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sheetId="1" r:id="rId5"/>
    <sheet state="visible" name="JR" sheetId="2" r:id="rId6"/>
    <sheet state="visible" name="EOC DB" sheetId="3" r:id="rId7"/>
    <sheet state="visible" name="Countries DB" sheetId="4" r:id="rId8"/>
    <sheet state="visible" name="Airline DB" sheetId="5" r:id="rId9"/>
    <sheet state="visible" name="Copy of Airline DB" sheetId="6" r:id="rId10"/>
    <sheet state="visible" name="Airports DB" sheetId="7" r:id="rId11"/>
  </sheets>
  <definedNames>
    <definedName hidden="1" localSheetId="6" name="_xlnm._FilterDatabase">'Airports DB'!$A$1:$F$9650</definedName>
  </definedNames>
  <calcPr/>
</workbook>
</file>

<file path=xl/sharedStrings.xml><?xml version="1.0" encoding="utf-8"?>
<sst xmlns="http://schemas.openxmlformats.org/spreadsheetml/2006/main" count="31" uniqueCount="29">
  <si>
    <t>EoC Check</t>
  </si>
  <si>
    <t>Choose Date</t>
  </si>
  <si>
    <t>Departure Airport Code</t>
  </si>
  <si>
    <t>lcy</t>
  </si>
  <si>
    <t>Arrival Airport Code</t>
  </si>
  <si>
    <t>ber</t>
  </si>
  <si>
    <t>Eligibility Check</t>
  </si>
  <si>
    <t>Notes</t>
  </si>
  <si>
    <t>Airlines Data</t>
  </si>
  <si>
    <t>Airline Name</t>
  </si>
  <si>
    <t>Air New Zealand (NZ)</t>
  </si>
  <si>
    <t>Des</t>
  </si>
  <si>
    <t>MAIN E-MAIL</t>
  </si>
  <si>
    <t>WAY OF SUBMISSION</t>
  </si>
  <si>
    <t xml:space="preserve"> ( Links/ webform)</t>
  </si>
  <si>
    <t>Mandatory</t>
  </si>
  <si>
    <t>Other Links/ Address</t>
  </si>
  <si>
    <t>Remarks</t>
  </si>
  <si>
    <t>Jurisdictions</t>
  </si>
  <si>
    <t>Romania</t>
  </si>
  <si>
    <t>RANK</t>
  </si>
  <si>
    <t>EXPIRATION PERIOD</t>
  </si>
  <si>
    <t>Assignment Form / POA</t>
  </si>
  <si>
    <t>TKT/ BP</t>
  </si>
  <si>
    <t>ID</t>
  </si>
  <si>
    <t>Claim Email</t>
  </si>
  <si>
    <r>
      <rPr>
        <rFont val="Arial"/>
        <b/>
        <color rgb="FFFFFFFF"/>
        <sz val="15.0"/>
      </rPr>
      <t xml:space="preserve">Rerouted Tkt
</t>
    </r>
    <r>
      <rPr>
        <rFont val="Arial"/>
        <b/>
        <color rgb="FFFFFFFF"/>
        <sz val="10.0"/>
      </rPr>
      <t>(missed leg)</t>
    </r>
  </si>
  <si>
    <t>Disruption Proof</t>
  </si>
  <si>
    <t>Note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</si>
</sst>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d-mm-yyyy"/>
    <numFmt numFmtId="166" formatCode="d-m-yyyy"/>
  </numFmts>
  <fonts count="59">
    <font>
      <sz val="10.0"/>
      <color rgb="FF000000"/>
      <name val="Arial"/>
      <scheme val="minor"/>
    </font>
    <font>
      <b/>
      <sz val="18.0"/>
      <color theme="1"/>
      <name val="Arial"/>
      <scheme val="minor"/>
    </font>
    <font/>
    <font>
      <b/>
      <sz val="15.0"/>
      <color theme="1"/>
      <name val="Arial"/>
      <scheme val="minor"/>
    </font>
    <font>
      <color theme="1"/>
      <name val="Arial"/>
      <scheme val="minor"/>
    </font>
    <font>
      <b/>
      <sz val="18.0"/>
      <color rgb="FF1155CC"/>
      <name val="Helvetica Neue"/>
    </font>
    <font>
      <b/>
      <sz val="15.0"/>
      <color theme="1"/>
      <name val="Helvetica Neue"/>
    </font>
    <font>
      <color theme="1"/>
      <name val="Helvetica Neue"/>
    </font>
    <font>
      <b/>
      <sz val="15.0"/>
      <color rgb="FFFFFFFF"/>
      <name val="Helvetica Neue"/>
    </font>
    <font>
      <b/>
      <sz val="17.0"/>
      <color rgb="FF000000"/>
      <name val="Arial"/>
    </font>
    <font>
      <b/>
      <sz val="14.0"/>
      <color rgb="FF000000"/>
      <name val="Arial"/>
    </font>
    <font>
      <b/>
      <sz val="14.0"/>
      <color rgb="FF000000"/>
      <name val="Helvetica Neue"/>
    </font>
    <font>
      <sz val="13.0"/>
      <color rgb="FF000000"/>
      <name val="Helvetica Neue"/>
    </font>
    <font>
      <sz val="12.0"/>
      <color rgb="FF000000"/>
      <name val="Helvetica Neue"/>
    </font>
    <font>
      <sz val="14.0"/>
      <color rgb="FF000000"/>
      <name val="Helvetica Neue"/>
    </font>
    <font>
      <b/>
      <sz val="11.0"/>
      <color theme="1"/>
      <name val="Helvetica Neue"/>
    </font>
    <font>
      <b/>
      <sz val="15.0"/>
      <color rgb="FFFFFFFF"/>
      <name val="Arial"/>
    </font>
    <font>
      <b/>
      <sz val="15.0"/>
      <color theme="1"/>
      <name val="Arial"/>
    </font>
    <font>
      <b/>
      <sz val="12.0"/>
      <color theme="1"/>
      <name val="Arial"/>
    </font>
    <font>
      <sz val="12.0"/>
      <color rgb="FF000000"/>
      <name val="&quot;Google Sans Mono&quot;"/>
    </font>
    <font>
      <sz val="12.0"/>
      <color theme="1"/>
      <name val="Arial"/>
      <scheme val="minor"/>
    </font>
    <font>
      <u/>
      <sz val="12.0"/>
      <color rgb="FF0000FF"/>
    </font>
    <font>
      <b/>
      <u/>
      <sz val="18.0"/>
      <color rgb="FF1155CC"/>
      <name val="Arial"/>
    </font>
    <font>
      <color theme="1"/>
      <name val="Arial"/>
    </font>
    <font>
      <b/>
      <sz val="14.0"/>
      <color theme="1"/>
      <name val="Arial"/>
      <scheme val="minor"/>
    </font>
    <font>
      <sz val="9.0"/>
      <color rgb="FF1F1F1F"/>
      <name val="&quot;Google Sans&quot;"/>
    </font>
    <font>
      <sz val="9.0"/>
      <color theme="1"/>
      <name val="Arial"/>
      <scheme val="minor"/>
    </font>
    <font>
      <u/>
      <color rgb="FF0000FF"/>
    </font>
    <font>
      <sz val="10.0"/>
      <color theme="1"/>
      <name val="Lato"/>
    </font>
    <font>
      <sz val="10.0"/>
      <color theme="1"/>
      <name val="Arial"/>
      <scheme val="minor"/>
    </font>
    <font>
      <sz val="10.0"/>
      <color rgb="FF434343"/>
      <name val="Lato"/>
    </font>
    <font>
      <u/>
      <sz val="10.0"/>
      <color rgb="FF0000FF"/>
      <name val="Lato"/>
    </font>
    <font>
      <u/>
      <sz val="10.0"/>
      <color rgb="FF0000FF"/>
      <name val="Lato"/>
    </font>
    <font>
      <sz val="10.0"/>
      <color rgb="FF1F1F1F"/>
      <name val="&quot;Google Sans&quot;"/>
    </font>
    <font>
      <u/>
      <sz val="10.0"/>
      <color rgb="FF222222"/>
      <name val="Lato"/>
    </font>
    <font>
      <u/>
      <sz val="10.0"/>
      <color rgb="FF1D1C1D"/>
      <name val="Lato"/>
    </font>
    <font>
      <sz val="10.0"/>
      <color rgb="FF1D1C1D"/>
      <name val="Lato"/>
    </font>
    <font>
      <u/>
      <sz val="10.0"/>
      <color rgb="FF0000FF"/>
      <name val="Lato"/>
    </font>
    <font>
      <u/>
      <sz val="10.0"/>
      <color rgb="FF0000FF"/>
    </font>
    <font>
      <u/>
      <sz val="10.0"/>
      <color rgb="FF1D1C1D"/>
      <name val="Lato"/>
    </font>
    <font>
      <u/>
      <sz val="10.0"/>
      <color rgb="FF0000FF"/>
      <name val="Lato"/>
    </font>
    <font>
      <u/>
      <sz val="10.0"/>
      <color rgb="FF0000FF"/>
      <name val="Lato"/>
    </font>
    <font>
      <color rgb="FF434343"/>
      <name val="Lato"/>
    </font>
    <font>
      <b/>
      <u/>
      <sz val="17.0"/>
      <color theme="1"/>
      <name val="Arial"/>
      <scheme val="minor"/>
    </font>
    <font>
      <b/>
      <u/>
      <sz val="17.0"/>
      <color theme="1"/>
      <name val="Arial"/>
      <scheme val="minor"/>
    </font>
    <font>
      <b/>
      <sz val="17.0"/>
      <color theme="1"/>
      <name val="Arial"/>
      <scheme val="minor"/>
    </font>
    <font>
      <sz val="11.0"/>
      <color theme="1"/>
      <name val="Arial"/>
      <scheme val="minor"/>
    </font>
    <font>
      <color rgb="FF000000"/>
      <name val="Docs-Tahoma"/>
    </font>
    <font>
      <b/>
      <sz val="13.0"/>
      <color theme="1"/>
      <name val="Arial"/>
      <scheme val="minor"/>
    </font>
    <font>
      <color theme="1"/>
      <name val="Tahoma"/>
    </font>
    <font>
      <b/>
      <sz val="9.0"/>
      <color theme="1"/>
      <name val="Arial"/>
      <scheme val="minor"/>
    </font>
    <font>
      <sz val="13.0"/>
      <color theme="1"/>
      <name val="Arial"/>
      <scheme val="minor"/>
    </font>
    <font>
      <sz val="11.0"/>
      <color theme="1"/>
      <name val="Calibri"/>
    </font>
    <font>
      <u/>
      <sz val="11.0"/>
      <color rgb="FF0000FF"/>
      <name val="Calibri"/>
    </font>
    <font>
      <u/>
      <color rgb="FF0000FF"/>
      <name val="Arial"/>
    </font>
    <font>
      <u/>
      <color rgb="FF0000FF"/>
      <name val="Arial"/>
    </font>
    <font>
      <sz val="11.0"/>
      <color rgb="FF000000"/>
      <name val="Calibri"/>
    </font>
    <font>
      <sz val="11.0"/>
      <color rgb="FF001D35"/>
      <name val="Arial"/>
    </font>
    <font>
      <sz val="11.0"/>
      <color rgb="FF000000"/>
      <name val="&quot;Aptos Narrow&quot;"/>
    </font>
  </fonts>
  <fills count="11">
    <fill>
      <patternFill patternType="none"/>
    </fill>
    <fill>
      <patternFill patternType="lightGray"/>
    </fill>
    <fill>
      <patternFill patternType="solid">
        <fgColor rgb="FFFFFFFF"/>
        <bgColor rgb="FFFFFFFF"/>
      </patternFill>
    </fill>
    <fill>
      <patternFill patternType="solid">
        <fgColor rgb="FF0F4761"/>
        <bgColor rgb="FF0F4761"/>
      </patternFill>
    </fill>
    <fill>
      <patternFill patternType="solid">
        <fgColor rgb="FFD9D9D9"/>
        <bgColor rgb="FFD9D9D9"/>
      </patternFill>
    </fill>
    <fill>
      <patternFill patternType="solid">
        <fgColor rgb="FFEFEFEF"/>
        <bgColor rgb="FFEFEFEF"/>
      </patternFill>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46BDC6"/>
        <bgColor rgb="FF46BDC6"/>
      </patternFill>
    </fill>
  </fills>
  <borders count="21">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bottom style="thin">
        <color rgb="FFFFFFFF"/>
      </bottom>
    </border>
    <border>
      <right style="thin">
        <color rgb="FF000000"/>
      </righ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top style="thin">
        <color rgb="FFFFFFFF"/>
      </top>
      <bottom style="thin">
        <color rgb="FFFFFFFF"/>
      </bottom>
    </border>
    <border>
      <right style="thin">
        <color rgb="FF000000"/>
      </right>
      <top style="thin">
        <color rgb="FFFFFFFF"/>
      </top>
      <bottom style="thin">
        <color rgb="FFFFFFFF"/>
      </bottom>
    </border>
    <border>
      <top style="thin">
        <color rgb="FFFFFFFF"/>
      </top>
      <bottom style="thin">
        <color rgb="FFFFFFFF"/>
      </bottom>
    </border>
    <border>
      <left style="thin">
        <color rgb="FFFFFFFF"/>
      </left>
      <top style="thin">
        <color rgb="FFFFFFFF"/>
      </top>
      <bottom style="thin">
        <color rgb="FFFFFFFF"/>
      </bottom>
    </border>
    <border>
      <left style="thin">
        <color rgb="FF000000"/>
      </left>
      <right style="thin">
        <color rgb="FFFFFFFF"/>
      </right>
      <bottom style="thin">
        <color rgb="FFFFFFFF"/>
      </bottom>
    </border>
    <border>
      <left style="thin">
        <color rgb="FF000000"/>
      </left>
      <right style="thin">
        <color rgb="FFFFFFFF"/>
      </right>
      <top style="thin">
        <color rgb="FFFFFFFF"/>
      </top>
      <bottom style="thin">
        <color rgb="FFFFFFFF"/>
      </bottom>
    </border>
    <border>
      <bottom style="thin">
        <color rgb="FF000000"/>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2" fontId="3" numFmtId="0" xfId="0" applyAlignment="1" applyBorder="1" applyFont="1">
      <alignment horizontal="center"/>
    </xf>
    <xf borderId="3" fillId="0" fontId="4" numFmtId="0" xfId="0" applyBorder="1" applyFont="1"/>
    <xf borderId="2" fillId="0" fontId="4" numFmtId="0" xfId="0" applyBorder="1" applyFont="1"/>
    <xf borderId="4" fillId="2" fontId="5" numFmtId="0" xfId="0" applyAlignment="1" applyBorder="1" applyFont="1">
      <alignment horizontal="center" readingOrder="0"/>
    </xf>
    <xf borderId="5" fillId="0" fontId="2" numFmtId="0" xfId="0" applyBorder="1" applyFont="1"/>
    <xf borderId="0" fillId="2" fontId="6" numFmtId="0" xfId="0" applyAlignment="1" applyFont="1">
      <alignment horizontal="center"/>
    </xf>
    <xf borderId="0" fillId="0" fontId="7" numFmtId="0" xfId="0" applyFont="1"/>
    <xf borderId="6" fillId="0" fontId="7" numFmtId="0" xfId="0" applyBorder="1" applyFont="1"/>
    <xf borderId="7" fillId="3" fontId="8" numFmtId="0" xfId="0" applyAlignment="1" applyBorder="1" applyFill="1" applyFont="1">
      <alignment horizontal="center" readingOrder="0" vertical="center"/>
    </xf>
    <xf borderId="0" fillId="2" fontId="9" numFmtId="164" xfId="0" applyAlignment="1" applyFont="1" applyNumberFormat="1">
      <alignment horizontal="center" readingOrder="0"/>
    </xf>
    <xf borderId="8" fillId="3" fontId="8" numFmtId="0" xfId="0" applyAlignment="1" applyBorder="1" applyFont="1">
      <alignment horizontal="center" readingOrder="0" vertical="center"/>
    </xf>
    <xf borderId="8" fillId="4" fontId="10" numFmtId="0" xfId="0" applyAlignment="1" applyBorder="1" applyFill="1" applyFont="1">
      <alignment horizontal="center" readingOrder="0" vertical="center"/>
    </xf>
    <xf borderId="8" fillId="4" fontId="11" numFmtId="0" xfId="0" applyAlignment="1" applyBorder="1" applyFont="1">
      <alignment horizontal="center" readingOrder="0" vertical="center"/>
    </xf>
    <xf borderId="8" fillId="2" fontId="12" numFmtId="0" xfId="0" applyAlignment="1" applyBorder="1" applyFont="1">
      <alignment horizontal="center" shrinkToFit="0" vertical="center" wrapText="1"/>
    </xf>
    <xf borderId="8" fillId="2" fontId="13" numFmtId="0" xfId="0" applyAlignment="1" applyBorder="1" applyFont="1">
      <alignment horizontal="left" shrinkToFit="0" vertical="center" wrapText="1"/>
    </xf>
    <xf borderId="8" fillId="2" fontId="14" numFmtId="0" xfId="0" applyAlignment="1" applyBorder="1" applyFont="1">
      <alignment horizontal="center" shrinkToFit="0" vertical="center" wrapText="1"/>
    </xf>
    <xf borderId="9" fillId="0" fontId="4" numFmtId="0" xfId="0" applyBorder="1" applyFont="1"/>
    <xf borderId="6" fillId="0" fontId="4" numFmtId="0" xfId="0" applyBorder="1" applyFont="1"/>
    <xf borderId="0" fillId="2" fontId="15" numFmtId="0" xfId="0" applyAlignment="1" applyFont="1">
      <alignment horizontal="center"/>
    </xf>
    <xf borderId="10" fillId="2" fontId="1" numFmtId="0" xfId="0" applyAlignment="1" applyBorder="1" applyFont="1">
      <alignment horizontal="center" readingOrder="0"/>
    </xf>
    <xf borderId="11" fillId="0" fontId="2" numFmtId="0" xfId="0" applyBorder="1" applyFont="1"/>
    <xf borderId="0" fillId="2" fontId="3" numFmtId="0" xfId="0" applyAlignment="1" applyFont="1">
      <alignment horizontal="center"/>
    </xf>
    <xf borderId="4" fillId="2" fontId="5" numFmtId="0" xfId="0" applyAlignment="1" applyBorder="1" applyFont="1">
      <alignment horizontal="center" readingOrder="0"/>
    </xf>
    <xf borderId="9" fillId="3" fontId="16" numFmtId="0" xfId="0" applyAlignment="1" applyBorder="1" applyFont="1">
      <alignment horizontal="center" readingOrder="0" vertical="center"/>
    </xf>
    <xf borderId="6" fillId="3" fontId="17" numFmtId="0" xfId="0" applyAlignment="1" applyBorder="1" applyFont="1">
      <alignment horizontal="center" readingOrder="0" shrinkToFit="0" vertical="center" wrapText="1"/>
    </xf>
    <xf borderId="9" fillId="5" fontId="18" numFmtId="0" xfId="0" applyAlignment="1" applyBorder="1" applyFill="1" applyFont="1">
      <alignment horizontal="center" readingOrder="0" vertical="center"/>
    </xf>
    <xf borderId="6" fillId="2" fontId="19" numFmtId="0" xfId="0" applyAlignment="1" applyBorder="1" applyFont="1">
      <alignment horizontal="center" shrinkToFit="0" wrapText="1"/>
    </xf>
    <xf borderId="0" fillId="0" fontId="4" numFmtId="0" xfId="0" applyAlignment="1" applyFont="1">
      <alignment readingOrder="0"/>
    </xf>
    <xf borderId="0" fillId="0" fontId="4" numFmtId="0" xfId="0" applyFont="1"/>
    <xf borderId="6" fillId="0" fontId="20" numFmtId="0" xfId="0" applyAlignment="1" applyBorder="1" applyFont="1">
      <alignment horizontal="center" shrinkToFit="0" wrapText="1"/>
    </xf>
    <xf borderId="12" fillId="2" fontId="3" numFmtId="0" xfId="0" applyAlignment="1" applyBorder="1" applyFont="1">
      <alignment horizontal="center"/>
    </xf>
    <xf borderId="13" fillId="2" fontId="3" numFmtId="0" xfId="0" applyAlignment="1" applyBorder="1" applyFont="1">
      <alignment horizontal="center"/>
    </xf>
    <xf borderId="6" fillId="0" fontId="21" numFmtId="0" xfId="0" applyAlignment="1" applyBorder="1" applyFont="1">
      <alignment horizontal="center" shrinkToFit="0" wrapText="1"/>
    </xf>
    <xf borderId="0" fillId="6" fontId="4" numFmtId="0" xfId="0" applyFill="1" applyFont="1"/>
    <xf borderId="4" fillId="2" fontId="18" numFmtId="0" xfId="0" applyAlignment="1" applyBorder="1" applyFont="1">
      <alignment horizontal="center" readingOrder="0" vertical="center"/>
    </xf>
    <xf borderId="14" fillId="2" fontId="22" numFmtId="0" xfId="0" applyAlignment="1" applyBorder="1" applyFont="1">
      <alignment horizontal="center"/>
    </xf>
    <xf borderId="15" fillId="0" fontId="2" numFmtId="0" xfId="0" applyBorder="1" applyFont="1"/>
    <xf borderId="9" fillId="3" fontId="16" numFmtId="0" xfId="0" applyAlignment="1" applyBorder="1" applyFont="1">
      <alignment horizontal="center"/>
    </xf>
    <xf borderId="6" fillId="3" fontId="17" numFmtId="0" xfId="0" applyAlignment="1" applyBorder="1" applyFont="1">
      <alignment horizontal="center" readingOrder="0" shrinkToFit="0" wrapText="1"/>
    </xf>
    <xf borderId="9" fillId="3" fontId="16" numFmtId="0" xfId="0" applyAlignment="1" applyBorder="1" applyFont="1">
      <alignment horizontal="center"/>
    </xf>
    <xf borderId="6" fillId="2" fontId="23" numFmtId="0" xfId="0" applyAlignment="1" applyBorder="1" applyFont="1">
      <alignment horizontal="center"/>
    </xf>
    <xf borderId="0" fillId="0" fontId="20" numFmtId="0" xfId="0" applyAlignment="1" applyFont="1">
      <alignment horizontal="center" shrinkToFit="0" wrapText="0"/>
    </xf>
    <xf borderId="0" fillId="0" fontId="4" numFmtId="0" xfId="0" applyAlignment="1" applyFont="1">
      <alignment horizontal="center"/>
    </xf>
    <xf borderId="16" fillId="0" fontId="24" numFmtId="0" xfId="0" applyAlignment="1" applyBorder="1" applyFont="1">
      <alignment horizontal="center" readingOrder="0"/>
    </xf>
    <xf borderId="17" fillId="0" fontId="24" numFmtId="0" xfId="0" applyAlignment="1" applyBorder="1" applyFont="1">
      <alignment horizontal="center" readingOrder="0"/>
    </xf>
    <xf borderId="16" fillId="0" fontId="2" numFmtId="0" xfId="0" applyBorder="1" applyFont="1"/>
    <xf borderId="16" fillId="2" fontId="3" numFmtId="0" xfId="0" applyAlignment="1" applyBorder="1" applyFont="1">
      <alignment horizontal="center" readingOrder="0"/>
    </xf>
    <xf borderId="16" fillId="2" fontId="3" numFmtId="0" xfId="0" applyAlignment="1" applyBorder="1" applyFont="1">
      <alignment horizontal="center"/>
    </xf>
    <xf borderId="17" fillId="2" fontId="3" numFmtId="0" xfId="0" applyAlignment="1" applyBorder="1" applyFont="1">
      <alignment horizontal="center"/>
    </xf>
    <xf borderId="18" fillId="2" fontId="3" numFmtId="0" xfId="0" applyAlignment="1" applyBorder="1" applyFont="1">
      <alignment horizontal="center"/>
    </xf>
    <xf borderId="19" fillId="2" fontId="3" numFmtId="0" xfId="0" applyAlignment="1" applyBorder="1" applyFont="1">
      <alignment horizontal="center"/>
    </xf>
    <xf borderId="6" fillId="2" fontId="3" numFmtId="0" xfId="0" applyAlignment="1" applyBorder="1" applyFont="1">
      <alignment horizontal="center"/>
    </xf>
    <xf borderId="13" fillId="2" fontId="25" numFmtId="0" xfId="0" applyAlignment="1" applyBorder="1" applyFont="1">
      <alignment readingOrder="0"/>
    </xf>
    <xf borderId="13" fillId="0" fontId="26" numFmtId="0" xfId="0" applyAlignment="1" applyBorder="1" applyFont="1">
      <alignment horizontal="center"/>
    </xf>
    <xf borderId="9" fillId="2" fontId="3" numFmtId="0" xfId="0" applyAlignment="1" applyBorder="1" applyFont="1">
      <alignment horizontal="center"/>
    </xf>
    <xf borderId="4" fillId="2" fontId="3" numFmtId="0" xfId="0" applyAlignment="1" applyBorder="1" applyFont="1">
      <alignment horizontal="center"/>
    </xf>
    <xf borderId="20" fillId="2" fontId="3" numFmtId="0" xfId="0" applyAlignment="1" applyBorder="1" applyFont="1">
      <alignment horizontal="center"/>
    </xf>
    <xf borderId="5" fillId="2" fontId="3" numFmtId="0" xfId="0" applyAlignment="1" applyBorder="1" applyFont="1">
      <alignment horizontal="center"/>
    </xf>
    <xf borderId="0" fillId="0" fontId="27" numFmtId="0" xfId="0" applyFont="1"/>
    <xf borderId="4" fillId="7" fontId="28" numFmtId="0" xfId="0" applyAlignment="1" applyBorder="1" applyFill="1" applyFont="1">
      <alignment horizontal="center" readingOrder="0" shrinkToFit="0" vertical="center" wrapText="1"/>
    </xf>
    <xf borderId="20" fillId="0" fontId="2" numFmtId="0" xfId="0" applyBorder="1" applyFont="1"/>
    <xf borderId="1" fillId="8" fontId="28" numFmtId="0" xfId="0" applyAlignment="1" applyBorder="1" applyFill="1" applyFont="1">
      <alignment horizontal="center" readingOrder="0" shrinkToFit="0" vertical="center" wrapText="1"/>
    </xf>
    <xf borderId="3" fillId="0" fontId="2" numFmtId="0" xfId="0" applyBorder="1" applyFont="1"/>
    <xf borderId="0" fillId="0" fontId="29" numFmtId="0" xfId="0" applyFont="1"/>
    <xf borderId="4" fillId="8" fontId="28" numFmtId="0" xfId="0" applyAlignment="1" applyBorder="1" applyFont="1">
      <alignment horizontal="center" readingOrder="0" shrinkToFit="0" vertical="center" wrapText="1"/>
    </xf>
    <xf borderId="20" fillId="8" fontId="28" numFmtId="0" xfId="0" applyAlignment="1" applyBorder="1" applyFont="1">
      <alignment horizontal="center" shrinkToFit="0" vertical="center" wrapText="1"/>
    </xf>
    <xf borderId="5" fillId="8" fontId="28" numFmtId="0" xfId="0" applyAlignment="1" applyBorder="1" applyFont="1">
      <alignment horizontal="center" shrinkToFit="0" vertical="center" wrapText="1"/>
    </xf>
    <xf borderId="20" fillId="8" fontId="28" numFmtId="0" xfId="0" applyAlignment="1" applyBorder="1" applyFont="1">
      <alignment horizontal="center" readingOrder="0" shrinkToFit="0" vertical="center" wrapText="1"/>
    </xf>
    <xf borderId="20" fillId="8" fontId="28" numFmtId="165" xfId="0" applyAlignment="1" applyBorder="1" applyFont="1" applyNumberFormat="1">
      <alignment horizontal="center" shrinkToFit="0" vertical="center" wrapText="1"/>
    </xf>
    <xf borderId="1" fillId="0" fontId="28" numFmtId="165" xfId="0" applyAlignment="1" applyBorder="1" applyFont="1" applyNumberFormat="1">
      <alignment horizontal="center" readingOrder="0" shrinkToFit="0" vertical="center" wrapText="1"/>
    </xf>
    <xf borderId="3" fillId="2" fontId="28" numFmtId="0" xfId="0" applyAlignment="1" applyBorder="1" applyFont="1">
      <alignment horizontal="center" shrinkToFit="0" vertical="center" wrapText="1"/>
    </xf>
    <xf borderId="2" fillId="9" fontId="30" numFmtId="0" xfId="0" applyAlignment="1" applyBorder="1" applyFill="1" applyFont="1">
      <alignment horizontal="center" shrinkToFit="0" vertical="center" wrapText="1"/>
    </xf>
    <xf borderId="9" fillId="0" fontId="28" numFmtId="165" xfId="0" applyAlignment="1" applyBorder="1" applyFont="1" applyNumberFormat="1">
      <alignment horizontal="center" readingOrder="0" shrinkToFit="0" vertical="center" wrapText="1"/>
    </xf>
    <xf borderId="0" fillId="2" fontId="28" numFmtId="0" xfId="0" applyAlignment="1" applyFont="1">
      <alignment horizontal="center" shrinkToFit="0" vertical="center" wrapText="1"/>
    </xf>
    <xf borderId="6" fillId="9" fontId="30" numFmtId="0" xfId="0" applyAlignment="1" applyBorder="1" applyFont="1">
      <alignment horizontal="center" shrinkToFit="0" vertical="center" wrapText="1"/>
    </xf>
    <xf borderId="9" fillId="0" fontId="29" numFmtId="165" xfId="0" applyAlignment="1" applyBorder="1" applyFont="1" applyNumberFormat="1">
      <alignment horizontal="center" shrinkToFit="0" vertical="center" wrapText="1"/>
    </xf>
    <xf borderId="0" fillId="0" fontId="28" numFmtId="165" xfId="0" applyAlignment="1" applyFont="1" applyNumberFormat="1">
      <alignment horizontal="center" shrinkToFit="0" vertical="center" wrapText="1"/>
    </xf>
    <xf borderId="0" fillId="2" fontId="31" numFmtId="0" xfId="0" applyAlignment="1" applyFont="1">
      <alignment horizontal="center" shrinkToFit="0" vertical="center" wrapText="1"/>
    </xf>
    <xf borderId="9" fillId="0" fontId="29" numFmtId="0" xfId="0" applyAlignment="1" applyBorder="1" applyFont="1">
      <alignment horizontal="center" readingOrder="0" shrinkToFit="0" vertical="center" wrapText="1"/>
    </xf>
    <xf borderId="0" fillId="0" fontId="28" numFmtId="165" xfId="0" applyAlignment="1" applyFont="1" applyNumberFormat="1">
      <alignment horizontal="center" readingOrder="0" shrinkToFit="0" vertical="center" wrapText="1"/>
    </xf>
    <xf borderId="8" fillId="0" fontId="32" numFmtId="0" xfId="0" applyAlignment="1" applyBorder="1" applyFont="1">
      <alignment readingOrder="0" vertical="bottom"/>
    </xf>
    <xf borderId="9" fillId="0" fontId="29" numFmtId="165" xfId="0" applyAlignment="1" applyBorder="1" applyFont="1" applyNumberFormat="1">
      <alignment shrinkToFit="0" wrapText="1"/>
    </xf>
    <xf borderId="0" fillId="0" fontId="29" numFmtId="0" xfId="0" applyAlignment="1" applyFont="1">
      <alignment shrinkToFit="0" wrapText="1"/>
    </xf>
    <xf borderId="6" fillId="0" fontId="29" numFmtId="0" xfId="0" applyAlignment="1" applyBorder="1" applyFont="1">
      <alignment shrinkToFit="0" wrapText="1"/>
    </xf>
    <xf borderId="0" fillId="2" fontId="33"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2" fontId="34" numFmtId="0" xfId="0" applyAlignment="1" applyFont="1">
      <alignment horizontal="center" shrinkToFit="0" vertical="center" wrapText="1"/>
    </xf>
    <xf borderId="9" fillId="0" fontId="29" numFmtId="0" xfId="0" applyAlignment="1" applyBorder="1" applyFont="1">
      <alignment horizontal="center" shrinkToFit="0" wrapText="1"/>
    </xf>
    <xf borderId="0" fillId="0" fontId="29" numFmtId="0" xfId="0" applyAlignment="1" applyFont="1">
      <alignment horizontal="center" shrinkToFit="0" wrapText="1"/>
    </xf>
    <xf borderId="6" fillId="0" fontId="29" numFmtId="0" xfId="0" applyAlignment="1" applyBorder="1" applyFont="1">
      <alignment horizontal="center" shrinkToFit="0" wrapText="1"/>
    </xf>
    <xf borderId="9" fillId="0" fontId="29" numFmtId="0" xfId="0" applyAlignment="1" applyBorder="1" applyFont="1">
      <alignment shrinkToFit="0" wrapText="1"/>
    </xf>
    <xf borderId="0" fillId="2" fontId="35" numFmtId="0" xfId="0" applyAlignment="1" applyFont="1">
      <alignment horizontal="center" shrinkToFit="0" vertical="center" wrapText="1"/>
    </xf>
    <xf borderId="9" fillId="0" fontId="28" numFmtId="166" xfId="0" applyAlignment="1" applyBorder="1" applyFont="1" applyNumberFormat="1">
      <alignment horizontal="center" readingOrder="0" shrinkToFit="0" vertical="center" wrapText="1"/>
    </xf>
    <xf borderId="0" fillId="0" fontId="29" numFmtId="0" xfId="0" applyAlignment="1" applyFont="1">
      <alignment horizontal="center" shrinkToFit="0" vertical="center" wrapText="1"/>
    </xf>
    <xf borderId="6" fillId="0" fontId="29" numFmtId="0" xfId="0" applyAlignment="1" applyBorder="1" applyFont="1">
      <alignment horizontal="center" shrinkToFit="0" vertical="center" wrapText="1"/>
    </xf>
    <xf borderId="6" fillId="10" fontId="30" numFmtId="0" xfId="0" applyAlignment="1" applyBorder="1" applyFill="1" applyFont="1">
      <alignment horizontal="center" shrinkToFit="0" vertical="center" wrapText="1"/>
    </xf>
    <xf borderId="0" fillId="2" fontId="36" numFmtId="0" xfId="0" applyAlignment="1" applyFont="1">
      <alignment horizontal="center" shrinkToFit="0" vertical="center" wrapText="1"/>
    </xf>
    <xf borderId="6" fillId="9" fontId="30" numFmtId="0" xfId="0" applyAlignment="1" applyBorder="1" applyFont="1">
      <alignment horizontal="center" readingOrder="0" shrinkToFit="0" vertical="center" wrapText="1"/>
    </xf>
    <xf borderId="0" fillId="0" fontId="29" numFmtId="165" xfId="0" applyAlignment="1" applyFont="1" applyNumberFormat="1">
      <alignment shrinkToFit="0" wrapText="1"/>
    </xf>
    <xf borderId="9" fillId="0" fontId="29" numFmtId="0" xfId="0" applyAlignment="1" applyBorder="1" applyFont="1">
      <alignment horizontal="center" shrinkToFit="0" vertical="center" wrapText="1"/>
    </xf>
    <xf borderId="8" fillId="2" fontId="37" numFmtId="0" xfId="0" applyAlignment="1" applyBorder="1" applyFont="1">
      <alignment shrinkToFit="0" vertical="bottom" wrapText="1"/>
    </xf>
    <xf borderId="0" fillId="0" fontId="38" numFmtId="0" xfId="0" applyAlignment="1" applyFont="1">
      <alignment shrinkToFit="0" wrapText="1"/>
    </xf>
    <xf borderId="8" fillId="2" fontId="39" numFmtId="0" xfId="0" applyAlignment="1" applyBorder="1" applyFont="1">
      <alignment shrinkToFit="0" vertical="bottom" wrapText="1"/>
    </xf>
    <xf borderId="8" fillId="2" fontId="40" numFmtId="0" xfId="0" applyAlignment="1" applyBorder="1" applyFont="1">
      <alignment vertical="bottom"/>
    </xf>
    <xf borderId="8" fillId="0" fontId="41" numFmtId="0" xfId="0" applyAlignment="1" applyBorder="1" applyFont="1">
      <alignment vertical="bottom"/>
    </xf>
    <xf borderId="8" fillId="10" fontId="30" numFmtId="0" xfId="0" applyAlignment="1" applyBorder="1" applyFont="1">
      <alignment vertical="bottom"/>
    </xf>
    <xf borderId="6" fillId="9" fontId="42" numFmtId="0" xfId="0" applyAlignment="1" applyBorder="1" applyFont="1">
      <alignment horizontal="center" shrinkToFit="0" wrapText="1"/>
    </xf>
    <xf borderId="8" fillId="0" fontId="28" numFmtId="0" xfId="0" applyAlignment="1" applyBorder="1" applyFont="1">
      <alignment vertical="bottom"/>
    </xf>
    <xf borderId="20" fillId="0" fontId="29" numFmtId="0" xfId="0" applyAlignment="1" applyBorder="1" applyFont="1">
      <alignment shrinkToFit="0" wrapText="1"/>
    </xf>
    <xf borderId="5" fillId="0" fontId="29" numFmtId="0" xfId="0" applyAlignment="1" applyBorder="1" applyFont="1">
      <alignment shrinkToFit="0" wrapText="1"/>
    </xf>
    <xf borderId="4" fillId="0" fontId="29" numFmtId="0" xfId="0" applyAlignment="1" applyBorder="1" applyFont="1">
      <alignment shrinkToFit="0" wrapText="1"/>
    </xf>
    <xf borderId="17" fillId="0" fontId="43" numFmtId="0" xfId="0" applyAlignment="1" applyBorder="1" applyFont="1">
      <alignment horizontal="center" readingOrder="0"/>
    </xf>
    <xf borderId="16" fillId="0" fontId="44" numFmtId="0" xfId="0" applyAlignment="1" applyBorder="1" applyFont="1">
      <alignment horizontal="center" readingOrder="0"/>
    </xf>
    <xf borderId="16" fillId="0" fontId="45" numFmtId="0" xfId="0" applyAlignment="1" applyBorder="1" applyFont="1">
      <alignment horizontal="center" readingOrder="0"/>
    </xf>
    <xf borderId="13" fillId="0" fontId="46" numFmtId="0" xfId="0" applyBorder="1" applyFont="1"/>
    <xf borderId="0" fillId="2" fontId="47" numFmtId="0" xfId="0" applyAlignment="1" applyFont="1">
      <alignment horizontal="left" readingOrder="0"/>
    </xf>
    <xf borderId="13" fillId="0" fontId="48" numFmtId="0" xfId="0" applyAlignment="1" applyBorder="1" applyFont="1">
      <alignment horizontal="center" readingOrder="0"/>
    </xf>
    <xf borderId="0" fillId="2" fontId="49" numFmtId="0" xfId="0" applyAlignment="1" applyFont="1">
      <alignment readingOrder="0" shrinkToFit="0" vertical="bottom" wrapText="0"/>
    </xf>
    <xf borderId="13" fillId="0" fontId="50" numFmtId="0" xfId="0" applyAlignment="1" applyBorder="1" applyFont="1">
      <alignment horizontal="center" readingOrder="0"/>
    </xf>
    <xf borderId="13" fillId="0" fontId="26" numFmtId="0" xfId="0" applyBorder="1" applyFont="1"/>
    <xf borderId="13" fillId="0" fontId="51" numFmtId="0" xfId="0" applyAlignment="1" applyBorder="1" applyFont="1">
      <alignment horizontal="center"/>
    </xf>
    <xf borderId="13" fillId="2" fontId="33" numFmtId="0" xfId="0" applyAlignment="1" applyBorder="1" applyFont="1">
      <alignment horizontal="left" readingOrder="0"/>
    </xf>
    <xf borderId="13" fillId="0" fontId="46" numFmtId="0" xfId="0" applyAlignment="1" applyBorder="1" applyFont="1">
      <alignment readingOrder="0"/>
    </xf>
    <xf borderId="0" fillId="7" fontId="23" numFmtId="0" xfId="0" applyAlignment="1" applyFont="1">
      <alignment vertical="bottom"/>
    </xf>
    <xf borderId="0" fillId="2" fontId="23" numFmtId="0" xfId="0" applyAlignment="1" applyFont="1">
      <alignment vertical="bottom"/>
    </xf>
    <xf borderId="0" fillId="2" fontId="23" numFmtId="0" xfId="0" applyAlignment="1" applyFont="1">
      <alignment vertical="bottom"/>
    </xf>
    <xf borderId="0" fillId="2" fontId="52" numFmtId="0" xfId="0" applyAlignment="1" applyFont="1">
      <alignment vertical="bottom"/>
    </xf>
    <xf borderId="0" fillId="2" fontId="52" numFmtId="0" xfId="0" applyAlignment="1" applyFont="1">
      <alignment vertical="bottom"/>
    </xf>
    <xf borderId="0" fillId="2" fontId="53" numFmtId="0" xfId="0" applyAlignment="1" applyFont="1">
      <alignment vertical="bottom"/>
    </xf>
    <xf borderId="0" fillId="2" fontId="54" numFmtId="0" xfId="0" applyAlignment="1" applyFont="1">
      <alignment vertical="bottom"/>
    </xf>
    <xf borderId="0" fillId="2" fontId="55" numFmtId="0" xfId="0" applyAlignment="1" applyFont="1">
      <alignment vertical="bottom"/>
    </xf>
    <xf borderId="0" fillId="0" fontId="56" numFmtId="0" xfId="0" applyAlignment="1" applyFont="1">
      <alignment readingOrder="0" shrinkToFit="0" vertical="bottom" wrapText="0"/>
    </xf>
    <xf borderId="0" fillId="0" fontId="23" numFmtId="0" xfId="0" applyAlignment="1" applyFont="1">
      <alignment readingOrder="0" shrinkToFit="0" vertical="bottom" wrapText="0"/>
    </xf>
    <xf borderId="0" fillId="0" fontId="4" numFmtId="165" xfId="0" applyAlignment="1" applyFont="1" applyNumberFormat="1">
      <alignment readingOrder="0"/>
    </xf>
    <xf borderId="0" fillId="0" fontId="49" numFmtId="0" xfId="0" applyAlignment="1" applyFont="1">
      <alignment horizontal="left" readingOrder="0" shrinkToFit="0" vertical="top" wrapText="0"/>
    </xf>
    <xf borderId="0" fillId="2" fontId="57" numFmtId="0" xfId="0" applyAlignment="1" applyFont="1">
      <alignment horizontal="left" readingOrder="0" shrinkToFit="0" wrapText="0"/>
    </xf>
    <xf borderId="8" fillId="0" fontId="56" numFmtId="0" xfId="0" applyAlignment="1" applyBorder="1" applyFont="1">
      <alignment readingOrder="0" shrinkToFit="0" vertical="bottom" wrapText="0"/>
    </xf>
    <xf borderId="8" fillId="0" fontId="52" numFmtId="0" xfId="0" applyAlignment="1" applyBorder="1" applyFont="1">
      <alignment vertical="bottom"/>
    </xf>
    <xf borderId="0" fillId="2" fontId="49" numFmtId="0" xfId="0" applyAlignment="1" applyFont="1">
      <alignment vertical="bottom"/>
    </xf>
    <xf borderId="0" fillId="0" fontId="56" numFmtId="0" xfId="0" applyAlignment="1" applyFont="1">
      <alignment shrinkToFit="0" vertical="bottom" wrapText="0"/>
    </xf>
    <xf borderId="0" fillId="0" fontId="58" numFmtId="0" xfId="0" applyAlignment="1" applyFont="1">
      <alignment readingOrder="0" shrinkToFit="0" vertical="bottom" wrapText="0"/>
    </xf>
  </cellXfs>
  <cellStyles count="1">
    <cellStyle xfId="0" name="Normal" builtinId="0"/>
  </cellStyles>
  <dxfs count="5">
    <dxf>
      <font/>
      <fill>
        <patternFill patternType="solid">
          <fgColor rgb="FFB7E1CD"/>
          <bgColor rgb="FFB7E1CD"/>
        </patternFill>
      </fill>
      <border/>
    </dxf>
    <dxf>
      <font/>
      <fill>
        <patternFill patternType="solid">
          <fgColor rgb="FFFCE8B2"/>
          <bgColor rgb="FFFCE8B2"/>
        </patternFill>
      </fill>
      <border/>
    </dxf>
    <dxf>
      <font>
        <b/>
        <color rgb="FFFFFFFF"/>
      </font>
      <fill>
        <patternFill patternType="solid">
          <fgColor rgb="FFE06666"/>
          <bgColor rgb="FFE06666"/>
        </patternFill>
      </fill>
      <border/>
    </dxf>
    <dxf>
      <font>
        <color rgb="FFFFFFFF"/>
      </font>
      <fill>
        <patternFill patternType="solid">
          <fgColor rgb="FFE06666"/>
          <bgColor rgb="FFE06666"/>
        </patternFill>
      </fill>
      <border/>
    </dxf>
    <dxf>
      <font/>
      <fill>
        <patternFill patternType="solid">
          <fgColor rgb="FFFFD966"/>
          <bgColor rgb="FFFFD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47925" cy="2333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11</xdr:row>
      <xdr:rowOff>0</xdr:rowOff>
    </xdr:from>
    <xdr:ext cx="2324100" cy="23241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21</xdr:row>
      <xdr:rowOff>0</xdr:rowOff>
    </xdr:from>
    <xdr:ext cx="3524250" cy="233362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irnewzealand.co.nz/feedback/complai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_bRVusCevXjQpyel2P7INxiNu0rEdJvhfUc6nDRQ4VA/edit?gid=0" TargetMode="External"/><Relationship Id="rId10" Type="http://schemas.openxmlformats.org/officeDocument/2006/relationships/hyperlink" Target="https://docs.google.com/spreadsheets/d/1lA-oEE8w03f2ICgwXWvrqpfjNNJmAFLmwm-N1lJnE5k/edit?gid=0" TargetMode="External"/><Relationship Id="rId13" Type="http://schemas.openxmlformats.org/officeDocument/2006/relationships/hyperlink" Target="https://docs.google.com/spreadsheets/d/13A48WzjUUUpf4VsuLAnkVnKY85GN7wki9CuYbZ-Lk0A/edit?gid=0" TargetMode="External"/><Relationship Id="rId12" Type="http://schemas.openxmlformats.org/officeDocument/2006/relationships/hyperlink" Target="https://docs.google.com/spreadsheets/d/14PElysUsnM_0XYZDtCEaawKb920RYz0UAkSXheRCRe0/edit?gid=0" TargetMode="External"/><Relationship Id="rId1" Type="http://schemas.openxmlformats.org/officeDocument/2006/relationships/hyperlink" Target="https://docs.google.com/spreadsheets/d/1M4R9VhdliNy7OvHkdUAYwSHcyHtwCdUS9bMd6_ZZBlw/edit?usp=sharing" TargetMode="External"/><Relationship Id="rId2" Type="http://schemas.openxmlformats.org/officeDocument/2006/relationships/hyperlink" Target="https://docs.google.com/spreadsheets/d/11Vq9vk5hErquJqXFAsYE8tfl_JaWQJYOA-U6szh0Lpg/edit?gid=0" TargetMode="External"/><Relationship Id="rId3" Type="http://schemas.openxmlformats.org/officeDocument/2006/relationships/hyperlink" Target="http://mmmm.es" TargetMode="External"/><Relationship Id="rId4" Type="http://schemas.openxmlformats.org/officeDocument/2006/relationships/hyperlink" Target="https://docs.google.com/spreadsheets/d/1A7apnBK3EO9KRHDHH8NNrwqZ9V6QGUZTaxE-ZJ98F4c/edit?pli=1&amp;gid=0" TargetMode="External"/><Relationship Id="rId9" Type="http://schemas.openxmlformats.org/officeDocument/2006/relationships/hyperlink" Target="https://docs.google.com/spreadsheets/d/1AS8zYTyGN2IKDmH_VhbYvYTNNaOp-amXO3AIHEmMVKM/edit?gid=531882190" TargetMode="External"/><Relationship Id="rId15" Type="http://schemas.openxmlformats.org/officeDocument/2006/relationships/hyperlink" Target="https://docs.google.com/spreadsheets/d/1Y5O9KyotYgxt8eriYUhB756pApmMACuzuvA_oCbzvHI/edit?gid=0" TargetMode="External"/><Relationship Id="rId14" Type="http://schemas.openxmlformats.org/officeDocument/2006/relationships/hyperlink" Target="https://docs.google.com/spreadsheets/d/1anpMXvJZGnXciOQVO-wZQGn7SkkMgnYsCgfkPVidWY8/edit?gid=0" TargetMode="External"/><Relationship Id="rId16" Type="http://schemas.openxmlformats.org/officeDocument/2006/relationships/drawing" Target="../drawings/drawing2.xml"/><Relationship Id="rId5" Type="http://schemas.openxmlformats.org/officeDocument/2006/relationships/hyperlink" Target="https://docs.google.com/spreadsheets/d/1pUf1mBWG_fGoPds3KHTrZtyGEEps-o5lSNcWNQ5w_og/edit?gid=0" TargetMode="External"/><Relationship Id="rId6" Type="http://schemas.openxmlformats.org/officeDocument/2006/relationships/hyperlink" Target="https://docs.google.com/spreadsheets/d/1-VvZkhdjhLlgHdkf_WONmoS4AXy5Q9OCMCUWJadc3GQ/edit?gid=0" TargetMode="External"/><Relationship Id="rId7" Type="http://schemas.openxmlformats.org/officeDocument/2006/relationships/hyperlink" Target="https://docs.google.com/spreadsheets/d/1277CL16RmgfEphZpghC7WzHwWCStDASqzjqPQSuYO10/edit?gid=0" TargetMode="External"/><Relationship Id="rId8" Type="http://schemas.openxmlformats.org/officeDocument/2006/relationships/hyperlink" Target="http://mmmm.es"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dailynews.lk/2025/01/07/world/700537/heavy-snowfall-causes-airport-closures-in-the-uk/" TargetMode="External"/><Relationship Id="rId194" Type="http://schemas.openxmlformats.org/officeDocument/2006/relationships/hyperlink" Target="https://www.dailynews.lk/2025/01/07/world/700537/heavy-snowfall-causes-airport-closures-in-the-uk/" TargetMode="External"/><Relationship Id="rId193" Type="http://schemas.openxmlformats.org/officeDocument/2006/relationships/hyperlink" Target="https://www.dailynews.lk/2025/01/07/world/700537/heavy-snowfall-causes-airport-closures-in-the-uk/" TargetMode="External"/><Relationship Id="rId192" Type="http://schemas.openxmlformats.org/officeDocument/2006/relationships/hyperlink" Target="https://www.flightstats.com/v2/historical-flight/departing/LPL/2025/01/06" TargetMode="External"/><Relationship Id="rId191" Type="http://schemas.openxmlformats.org/officeDocument/2006/relationships/hyperlink" Target="https://www.flightstats.com/v2/historical-flight/departing/LBA/2025/01/06" TargetMode="External"/><Relationship Id="rId187" Type="http://schemas.openxmlformats.org/officeDocument/2006/relationships/hyperlink" Target="https://www.dailynews.lk/2025/01/07/world/700537/heavy-snowfall-causes-airport-closures-in-the-uk/" TargetMode="External"/><Relationship Id="rId186" Type="http://schemas.openxmlformats.org/officeDocument/2006/relationships/hyperlink" Target="https://www.dailynews.lk/2025/01/07/world/700537/heavy-snowfall-causes-airport-closures-in-the-uk/" TargetMode="External"/><Relationship Id="rId185" Type="http://schemas.openxmlformats.org/officeDocument/2006/relationships/hyperlink" Target="https://www.wunderground.com/history/daily/nl/schiphol/EHAM/date/2025-1-5" TargetMode="External"/><Relationship Id="rId184" Type="http://schemas.openxmlformats.org/officeDocument/2006/relationships/hyperlink" Target="https://www.wunderground.com/history/daily/in/new-delhi/VIDP/date/2025-1-4" TargetMode="External"/><Relationship Id="rId189" Type="http://schemas.openxmlformats.org/officeDocument/2006/relationships/hyperlink" Target="https://www.dailynews.lk/2025/01/07/world/700537/heavy-snowfall-causes-airport-closures-in-the-uk/" TargetMode="External"/><Relationship Id="rId188" Type="http://schemas.openxmlformats.org/officeDocument/2006/relationships/hyperlink" Target="https://www.dailynews.lk/2025/01/07/world/700537/heavy-snowfall-causes-airport-closures-in-the-uk/" TargetMode="External"/><Relationship Id="rId183" Type="http://schemas.openxmlformats.org/officeDocument/2006/relationships/hyperlink" Target="https://www.bristolpost.co.uk/news/bristol-news/bristol-airport-suspends-flights-after-9837648" TargetMode="External"/><Relationship Id="rId182" Type="http://schemas.openxmlformats.org/officeDocument/2006/relationships/hyperlink" Target="https://www.dw.com/en/germany-airport-border-controls-hit-by-it-outage/a-71212783" TargetMode="External"/><Relationship Id="rId181" Type="http://schemas.openxmlformats.org/officeDocument/2006/relationships/hyperlink" Target="https://www.wunderground.com/history/daily/ch/kloten/LSZH/date/2025-1-1" TargetMode="External"/><Relationship Id="rId180" Type="http://schemas.openxmlformats.org/officeDocument/2006/relationships/hyperlink" Target="https://www.wunderground.com/history/daily/ro/ia%C8%99i/LRIA/date/2025-1-1" TargetMode="External"/><Relationship Id="rId176" Type="http://schemas.openxmlformats.org/officeDocument/2006/relationships/hyperlink" Target="https://www.wunderground.com/history/daily/de/frankfurt/EDDF/date/2024-12-28" TargetMode="External"/><Relationship Id="rId297" Type="http://schemas.openxmlformats.org/officeDocument/2006/relationships/hyperlink" Target="https://www.reuters.com/world/europe/no-departures-berlin-bremen-hamburg-airports-security-staff-strike-2023-03-13/" TargetMode="External"/><Relationship Id="rId175" Type="http://schemas.openxmlformats.org/officeDocument/2006/relationships/hyperlink" Target="https://www.wunderground.com/history/daily/nl/eindhoven/EHEH/date/2024-12-28" TargetMode="External"/><Relationship Id="rId296" Type="http://schemas.openxmlformats.org/officeDocument/2006/relationships/hyperlink" Target="https://www.flightstats.com/v2/historical-flight/departing/IBZ/2025/07/03" TargetMode="External"/><Relationship Id="rId174" Type="http://schemas.openxmlformats.org/officeDocument/2006/relationships/hyperlink" Target="https://www.independent.co.uk/travel/news-and-advice/uk-airport-delays-live-flight-gatwick-fog-weather-warnings-b2671407.html" TargetMode="External"/><Relationship Id="rId295" Type="http://schemas.openxmlformats.org/officeDocument/2006/relationships/hyperlink" Target="https://www.eurocontrol.int/sites/default/files/2025-07/eurocontrol-aviation-trends-issue-09.pdf" TargetMode="External"/><Relationship Id="rId173" Type="http://schemas.openxmlformats.org/officeDocument/2006/relationships/hyperlink" Target="https://www.wunderground.com/history/daily/ro/ia%C8%99i/LRIA/date/2024-12-20" TargetMode="External"/><Relationship Id="rId294" Type="http://schemas.openxmlformats.org/officeDocument/2006/relationships/hyperlink" Target="https://www.flightstats.com/v2/historical-flight/arriving/SAP/2025/05/15" TargetMode="External"/><Relationship Id="rId179" Type="http://schemas.openxmlformats.org/officeDocument/2006/relationships/hyperlink" Target="https://www.wunderground.com/history/daily/fr/mauregard/LFPG/date/2025-1-1" TargetMode="External"/><Relationship Id="rId178" Type="http://schemas.openxmlformats.org/officeDocument/2006/relationships/hyperlink" Target="https://www.today.az/news/regions/256090.html?utm_source=chatgpt.com" TargetMode="External"/><Relationship Id="rId299" Type="http://schemas.openxmlformats.org/officeDocument/2006/relationships/hyperlink" Target="https://www.flightstats.com/v2/historical-flight/departing/BVA/2023/05/01" TargetMode="External"/><Relationship Id="rId177" Type="http://schemas.openxmlformats.org/officeDocument/2006/relationships/hyperlink" Target="https://www.independent.co.uk/travel/news-and-advice/uk-airport-delays-live-flight-gatwick-fog-weather-warnings-b2671407.html" TargetMode="External"/><Relationship Id="rId298" Type="http://schemas.openxmlformats.org/officeDocument/2006/relationships/hyperlink" Target="https://www.flightstats.com/v2/historical-flight/departing/CRL/2025/01/13" TargetMode="External"/><Relationship Id="rId198" Type="http://schemas.openxmlformats.org/officeDocument/2006/relationships/hyperlink" Target="https://www.bbc.com/news/articles/cvgpgkwd3q4o" TargetMode="External"/><Relationship Id="rId197" Type="http://schemas.openxmlformats.org/officeDocument/2006/relationships/hyperlink" Target="https://www.bbc.com/news/articles/cvgpgkwd3q4o" TargetMode="External"/><Relationship Id="rId196" Type="http://schemas.openxmlformats.org/officeDocument/2006/relationships/hyperlink" Target="https://www.dailynews.lk/2025/01/07/world/700537/heavy-snowfall-causes-airport-closures-in-the-uk/" TargetMode="External"/><Relationship Id="rId195" Type="http://schemas.openxmlformats.org/officeDocument/2006/relationships/hyperlink" Target="https://www.dailynews.lk/2025/01/07/world/700537/heavy-snowfall-causes-airport-closures-in-the-uk/" TargetMode="External"/><Relationship Id="rId199" Type="http://schemas.openxmlformats.org/officeDocument/2006/relationships/hyperlink" Target="https://www.bbc.com/news/articles/cvgpgkwd3q4o" TargetMode="External"/><Relationship Id="rId150" Type="http://schemas.openxmlformats.org/officeDocument/2006/relationships/hyperlink" Target="https://news.aa.com/news/news-details/2024/American-provides-extra-seats-customer-flexibility-in-Florida-ahead-of-Hurricane-Milton-OPS-DIS-10/default.aspx" TargetMode="External"/><Relationship Id="rId271" Type="http://schemas.openxmlformats.org/officeDocument/2006/relationships/hyperlink" Target="https://www.wunderground.com/history/daily/is/sandger%C3%B0i/BIKF/date/2024-11-15" TargetMode="External"/><Relationship Id="rId392" Type="http://schemas.openxmlformats.org/officeDocument/2006/relationships/hyperlink" Target="https://www.dutchnews.nl/2026/01/tailbacks-and-cancelled-flights-as-netherlands-hit-by-more-snow/" TargetMode="External"/><Relationship Id="rId270" Type="http://schemas.openxmlformats.org/officeDocument/2006/relationships/hyperlink" Target="https://blog.caintravel.com/air-traffic-controllers-in-france-plan-to-strike-december-5th" TargetMode="External"/><Relationship Id="rId391" Type="http://schemas.openxmlformats.org/officeDocument/2006/relationships/hyperlink" Target="https://www.dutchnews.nl/2026/01/tailbacks-and-cancelled-flights-as-netherlands-hit-by-more-snow/" TargetMode="External"/><Relationship Id="rId390" Type="http://schemas.openxmlformats.org/officeDocument/2006/relationships/hyperlink" Target="https://www.dutchnews.nl/2026/01/tailbacks-and-cancelled-flights-as-netherlands-hit-by-more-snow/" TargetMode="External"/><Relationship Id="rId1" Type="http://schemas.openxmlformats.org/officeDocument/2006/relationships/hyperlink" Target="https://www.aeroportodinapoli.it/en/w/venerdi-29-settembre-2023-sciopero-nazionale-personale-di-terra-societa-di-handling-4-ore-dalle-ore-13-00-alle-17-00-" TargetMode="External"/><Relationship Id="rId2" Type="http://schemas.openxmlformats.org/officeDocument/2006/relationships/hyperlink" Target="https://apnews.com/article/germany-airport-security-staff-strike-6f78d0a462519b579bc5c8edfac9b346?utm_source=chatgpt.com" TargetMode="External"/><Relationship Id="rId3" Type="http://schemas.openxmlformats.org/officeDocument/2006/relationships/hyperlink" Target="https://www.ainonline.com/aviation-news/air-transport/2022-10-20/atc-strikes-cause-major-disruption-italian-airports" TargetMode="External"/><Relationship Id="rId149" Type="http://schemas.openxmlformats.org/officeDocument/2006/relationships/hyperlink" Target="https://news.aa.com/news/news-details/2024/American-provides-extra-seats-customer-flexibility-in-Florida-ahead-of-Hurricane-Milton-OPS-DIS-10/default.aspx" TargetMode="External"/><Relationship Id="rId4" Type="http://schemas.openxmlformats.org/officeDocument/2006/relationships/hyperlink" Target="https://apnews.com/article/germany-airport-security-staff-strike-6f78d0a462519b579bc5c8edfac9b346?utm_source=chatgpt.com" TargetMode="External"/><Relationship Id="rId148" Type="http://schemas.openxmlformats.org/officeDocument/2006/relationships/hyperlink" Target="https://news.aa.com/news/news-details/2024/American-provides-extra-seats-customer-flexibility-in-Florida-ahead-of-Hurricane-Milton-OPS-DIS-10/default.aspx" TargetMode="External"/><Relationship Id="rId269" Type="http://schemas.openxmlformats.org/officeDocument/2006/relationships/hyperlink" Target="https://blog.caintravel.com/air-traffic-controllers-in-france-plan-to-strike-december-5th" TargetMode="External"/><Relationship Id="rId9" Type="http://schemas.openxmlformats.org/officeDocument/2006/relationships/hyperlink" Target="https://loyaltylobby.com/2023/06/03/italy-air-transport-sector-strike-july-4-2023/" TargetMode="External"/><Relationship Id="rId143" Type="http://schemas.openxmlformats.org/officeDocument/2006/relationships/hyperlink" Target="https://news.aa.com/news/news-details/2024/American-provides-extra-seats-customer-flexibility-in-Florida-ahead-of-Hurricane-Milton-OPS-DIS-10/default.aspx" TargetMode="External"/><Relationship Id="rId264" Type="http://schemas.openxmlformats.org/officeDocument/2006/relationships/hyperlink" Target="https://www.aerotime.aero/articles/flights-disrupted-paris-orly-airport-atc-breakdown" TargetMode="External"/><Relationship Id="rId385" Type="http://schemas.openxmlformats.org/officeDocument/2006/relationships/hyperlink" Target="https://www.timeoutdubai.com/news/dxb-flight-disruption" TargetMode="External"/><Relationship Id="rId142" Type="http://schemas.openxmlformats.org/officeDocument/2006/relationships/hyperlink" Target="https://news.aa.com/news/news-details/2024/American-provides-extra-seats-customer-flexibility-in-Florida-ahead-of-Hurricane-Milton-OPS-DIS-10/default.aspx" TargetMode="External"/><Relationship Id="rId263" Type="http://schemas.openxmlformats.org/officeDocument/2006/relationships/hyperlink" Target="https://www.aerotime.aero/articles/flights-disrupted-paris-orly-airport-atc-breakdown" TargetMode="External"/><Relationship Id="rId384" Type="http://schemas.openxmlformats.org/officeDocument/2006/relationships/hyperlink" Target="https://www.timeoutdubai.com/news/dxb-flight-disruption" TargetMode="External"/><Relationship Id="rId141" Type="http://schemas.openxmlformats.org/officeDocument/2006/relationships/hyperlink" Target="https://news.aa.com/news/news-details/2024/American-provides-extra-seats-customer-flexibility-in-Florida-ahead-of-Hurricane-Milton-OPS-DIS-10/default.aspx" TargetMode="External"/><Relationship Id="rId262" Type="http://schemas.openxmlformats.org/officeDocument/2006/relationships/hyperlink" Target="https://www.flightstats.com/v2/historical-flight/departing/HEL/2025/05/16" TargetMode="External"/><Relationship Id="rId383" Type="http://schemas.openxmlformats.org/officeDocument/2006/relationships/hyperlink" Target="https://www.aviation24.be/airlines/finnair/finnair-cancels-128-flights-due-to-19-june-strike-at-helsinki-airport/" TargetMode="External"/><Relationship Id="rId140" Type="http://schemas.openxmlformats.org/officeDocument/2006/relationships/hyperlink" Target="https://news.aa.com/news/news-details/2024/American-provides-extra-seats-customer-flexibility-in-Florida-ahead-of-Hurricane-Milton-OPS-DIS-10/default.aspx" TargetMode="External"/><Relationship Id="rId261" Type="http://schemas.openxmlformats.org/officeDocument/2006/relationships/hyperlink" Target="https://www.flightstats.com/v2/historical-flight/departing/CRL/2025/03/31" TargetMode="External"/><Relationship Id="rId382" Type="http://schemas.openxmlformats.org/officeDocument/2006/relationships/hyperlink" Target="https://www.wantedinrome.com/news/italy-faces-airport-and-airline-strikes-on-26-september.html" TargetMode="External"/><Relationship Id="rId5" Type="http://schemas.openxmlformats.org/officeDocument/2006/relationships/hyperlink" Target="https://www.tradingview.com/news/reuters.com,2025:newsml_L2N3Q70RU:0-belgian-airports-cancel-all-departing-flights-on-march-31-due-to-strike/" TargetMode="External"/><Relationship Id="rId147" Type="http://schemas.openxmlformats.org/officeDocument/2006/relationships/hyperlink" Target="https://news.aa.com/news/news-details/2024/American-provides-extra-seats-customer-flexibility-in-Florida-ahead-of-Hurricane-Milton-OPS-DIS-10/default.aspx" TargetMode="External"/><Relationship Id="rId268" Type="http://schemas.openxmlformats.org/officeDocument/2006/relationships/hyperlink" Target="https://blog.caintravel.com/air-traffic-controllers-in-france-plan-to-strike-december-5th" TargetMode="External"/><Relationship Id="rId389" Type="http://schemas.openxmlformats.org/officeDocument/2006/relationships/hyperlink" Target="https://www.dutchnews.nl/2026/01/tailbacks-and-cancelled-flights-as-netherlands-hit-by-more-snow/" TargetMode="External"/><Relationship Id="rId6" Type="http://schemas.openxmlformats.org/officeDocument/2006/relationships/hyperlink" Target="https://apnews.com/article/germany-airport-security-staff-strike-6f78d0a462519b579bc5c8edfac9b346?utm_source=chatgpt.com" TargetMode="External"/><Relationship Id="rId146" Type="http://schemas.openxmlformats.org/officeDocument/2006/relationships/hyperlink" Target="https://news.aa.com/news/news-details/2024/American-provides-extra-seats-customer-flexibility-in-Florida-ahead-of-Hurricane-Milton-OPS-DIS-10/default.aspx" TargetMode="External"/><Relationship Id="rId267" Type="http://schemas.openxmlformats.org/officeDocument/2006/relationships/hyperlink" Target="https://blog.caintravel.com/air-traffic-controllers-in-france-plan-to-strike-december-5th" TargetMode="External"/><Relationship Id="rId388" Type="http://schemas.openxmlformats.org/officeDocument/2006/relationships/hyperlink" Target="https://www.dutchnews.nl/2026/01/tailbacks-and-cancelled-flights-as-netherlands-hit-by-more-snow/" TargetMode="External"/><Relationship Id="rId7" Type="http://schemas.openxmlformats.org/officeDocument/2006/relationships/hyperlink" Target="https://www.reuters.com/world/europe/airport-operator-says-no-passenger-flights-depart-frankfurt-monday-2025-03-10/" TargetMode="External"/><Relationship Id="rId145" Type="http://schemas.openxmlformats.org/officeDocument/2006/relationships/hyperlink" Target="https://crisis24.garda.com/alerts/2024/10/italy-unionized-air-traffic-controllers-plan-strike-at-palermo-airport-oct-11" TargetMode="External"/><Relationship Id="rId266" Type="http://schemas.openxmlformats.org/officeDocument/2006/relationships/hyperlink" Target="https://www.flightstats.com/v2/historical-flight/arriving/DFW/2025/03/04" TargetMode="External"/><Relationship Id="rId387" Type="http://schemas.openxmlformats.org/officeDocument/2006/relationships/hyperlink" Target="https://www.dutchnews.nl/2026/01/tailbacks-and-cancelled-flights-as-netherlands-hit-by-more-snow/" TargetMode="External"/><Relationship Id="rId8" Type="http://schemas.openxmlformats.org/officeDocument/2006/relationships/hyperlink" Target="https://apnews.com/article/germany-airport-security-staff-strike-6f78d0a462519b579bc5c8edfac9b346?utm_source=chatgpt.com" TargetMode="External"/><Relationship Id="rId144" Type="http://schemas.openxmlformats.org/officeDocument/2006/relationships/hyperlink" Target="https://news.aa.com/news/news-details/2024/American-provides-extra-seats-customer-flexibility-in-Florida-ahead-of-Hurricane-Milton-OPS-DIS-10/default.aspx" TargetMode="External"/><Relationship Id="rId265" Type="http://schemas.openxmlformats.org/officeDocument/2006/relationships/hyperlink" Target="https://www.flightstats.com/v2/historical-flight/arriving/LTN/2023/10/11" TargetMode="External"/><Relationship Id="rId386" Type="http://schemas.openxmlformats.org/officeDocument/2006/relationships/hyperlink" Target="https://www.dutchnews.nl/2026/01/tailbacks-and-cancelled-flights-as-netherlands-hit-by-more-snow/" TargetMode="External"/><Relationship Id="rId260" Type="http://schemas.openxmlformats.org/officeDocument/2006/relationships/hyperlink" Target="https://www.flightstats.com/v2/historical-flight/departing/BRU/2025/03/31" TargetMode="External"/><Relationship Id="rId381" Type="http://schemas.openxmlformats.org/officeDocument/2006/relationships/hyperlink" Target="https://www.wantedinrome.com/news/italy-faces-airport-and-airline-strikes-on-26-september.html" TargetMode="External"/><Relationship Id="rId380" Type="http://schemas.openxmlformats.org/officeDocument/2006/relationships/hyperlink" Target="https://www.wantedinrome.com/news/italy-faces-airport-and-airline-strikes-on-26-september.html" TargetMode="External"/><Relationship Id="rId139" Type="http://schemas.openxmlformats.org/officeDocument/2006/relationships/hyperlink" Target="https://news.aa.com/news/news-details/2024/American-provides-extra-seats-customer-flexibility-in-Florida-ahead-of-Hurricane-Milton-OPS-DIS-10/default.aspx" TargetMode="External"/><Relationship Id="rId138" Type="http://schemas.openxmlformats.org/officeDocument/2006/relationships/hyperlink" Target="https://news.aa.com/news/news-details/2024/American-provides-extra-seats-customer-flexibility-in-Florida-ahead-of-Hurricane-Milton-OPS-DIS-10/default.aspx" TargetMode="External"/><Relationship Id="rId259" Type="http://schemas.openxmlformats.org/officeDocument/2006/relationships/hyperlink" Target="https://www.flightstats.com/v2/historical-flight/departing/BRU/2025/04/29" TargetMode="External"/><Relationship Id="rId137" Type="http://schemas.openxmlformats.org/officeDocument/2006/relationships/hyperlink" Target="https://news.aa.com/news/news-details/2024/American-provides-extra-seats-customer-flexibility-in-Florida-ahead-of-Hurricane-Milton-OPS-DIS-10/default.aspx" TargetMode="External"/><Relationship Id="rId258" Type="http://schemas.openxmlformats.org/officeDocument/2006/relationships/hyperlink" Target="https://www.flightstats.com/v2/historical-flight/departing/CRL/2025/04/29" TargetMode="External"/><Relationship Id="rId379" Type="http://schemas.openxmlformats.org/officeDocument/2006/relationships/hyperlink" Target="https://www.wantedinrome.com/news/italy-faces-airport-and-airline-strikes-on-26-september.html" TargetMode="External"/><Relationship Id="rId132" Type="http://schemas.openxmlformats.org/officeDocument/2006/relationships/hyperlink" Target="https://news.aa.com/news/news-details/2024/American-provides-extra-seats-customer-flexibility-in-Florida-ahead-of-Hurricane-Milton-OPS-DIS-10/default.aspx" TargetMode="External"/><Relationship Id="rId253" Type="http://schemas.openxmlformats.org/officeDocument/2006/relationships/hyperlink" Target="https://www.flightstats.com/v2/historical-flight/departing/AGP/2025/04/28" TargetMode="External"/><Relationship Id="rId374" Type="http://schemas.openxmlformats.org/officeDocument/2006/relationships/hyperlink" Target="https://www.theguardian.com/world/2025/oct/04/munich-airport-forced-to-suspend-flights-for-second-day-in-a-row-over-drone-sightings" TargetMode="External"/><Relationship Id="rId131" Type="http://schemas.openxmlformats.org/officeDocument/2006/relationships/hyperlink" Target="https://news.aa.com/news/news-details/2024/American-provides-extra-seats-customer-flexibility-in-Florida-ahead-of-Hurricane-Milton-OPS-DIS-10/default.aspx" TargetMode="External"/><Relationship Id="rId252" Type="http://schemas.openxmlformats.org/officeDocument/2006/relationships/hyperlink" Target="https://www.flightstats.com/v2/historical-flight/departing/SVQ/2025/04/28" TargetMode="External"/><Relationship Id="rId373" Type="http://schemas.openxmlformats.org/officeDocument/2006/relationships/hyperlink" Target="https://www.reuters.com/world/uk/uk-airports-disrupted-by-radar-fault-air-traffic-control-system-2025-07-30/" TargetMode="External"/><Relationship Id="rId130" Type="http://schemas.openxmlformats.org/officeDocument/2006/relationships/hyperlink" Target="https://news.aa.com/news/news-details/2024/American-provides-extra-seats-customer-flexibility-in-Florida-ahead-of-Hurricane-Milton-OPS-DIS-10/default.aspx" TargetMode="External"/><Relationship Id="rId251" Type="http://schemas.openxmlformats.org/officeDocument/2006/relationships/hyperlink" Target="https://www.flightstats.com/v2/historical-flight/departing/VLC/2025/04/28" TargetMode="External"/><Relationship Id="rId372" Type="http://schemas.openxmlformats.org/officeDocument/2006/relationships/hyperlink" Target="https://www.flightstats.com/v2/historical-flight/departing/GLA/2025/01/24" TargetMode="External"/><Relationship Id="rId250" Type="http://schemas.openxmlformats.org/officeDocument/2006/relationships/hyperlink" Target="https://www.flightstats.com/v2/historical-flight/departing/PDL/2025/04/28" TargetMode="External"/><Relationship Id="rId371" Type="http://schemas.openxmlformats.org/officeDocument/2006/relationships/hyperlink" Target="https://www.flightstats.com/v2/historical-flight/departing/PMI/2025/09/21" TargetMode="External"/><Relationship Id="rId136" Type="http://schemas.openxmlformats.org/officeDocument/2006/relationships/hyperlink" Target="https://news.aa.com/news/news-details/2024/American-provides-extra-seats-customer-flexibility-in-Florida-ahead-of-Hurricane-Milton-OPS-DIS-10/default.aspx" TargetMode="External"/><Relationship Id="rId257" Type="http://schemas.openxmlformats.org/officeDocument/2006/relationships/hyperlink" Target="https://www.flightstats.com/v2/historical-flight/departing/AGP/2025/04/29" TargetMode="External"/><Relationship Id="rId378" Type="http://schemas.openxmlformats.org/officeDocument/2006/relationships/hyperlink" Target="https://www.euronews.com/travel/2025/09/25/flights-in-italy-face-disruption-as-nationwide-air-transport-strikes-hit-on-friday" TargetMode="External"/><Relationship Id="rId135" Type="http://schemas.openxmlformats.org/officeDocument/2006/relationships/hyperlink" Target="https://news.aa.com/news/news-details/2024/American-provides-extra-seats-customer-flexibility-in-Florida-ahead-of-Hurricane-Milton-OPS-DIS-10/default.aspx" TargetMode="External"/><Relationship Id="rId256" Type="http://schemas.openxmlformats.org/officeDocument/2006/relationships/hyperlink" Target="https://www.flightstats.com/v2/historical-flight/departing/LIS/2025/04/28" TargetMode="External"/><Relationship Id="rId377" Type="http://schemas.openxmlformats.org/officeDocument/2006/relationships/hyperlink" Target="https://www.euronews.com/travel/2025/09/25/flights-in-italy-face-disruption-as-nationwide-air-transport-strikes-hit-on-friday" TargetMode="External"/><Relationship Id="rId134" Type="http://schemas.openxmlformats.org/officeDocument/2006/relationships/hyperlink" Target="https://news.aa.com/news/news-details/2024/American-provides-extra-seats-customer-flexibility-in-Florida-ahead-of-Hurricane-Milton-OPS-DIS-10/default.aspx" TargetMode="External"/><Relationship Id="rId255" Type="http://schemas.openxmlformats.org/officeDocument/2006/relationships/hyperlink" Target="https://www.flightstats.com/v2/historical-flight/departing/ALC/2025/04/28" TargetMode="External"/><Relationship Id="rId376" Type="http://schemas.openxmlformats.org/officeDocument/2006/relationships/hyperlink" Target="https://www.euronews.com/travel/2025/09/25/flights-in-italy-face-disruption-as-nationwide-air-transport-strikes-hit-on-friday" TargetMode="External"/><Relationship Id="rId133" Type="http://schemas.openxmlformats.org/officeDocument/2006/relationships/hyperlink" Target="https://news.aa.com/news/news-details/2024/American-provides-extra-seats-customer-flexibility-in-Florida-ahead-of-Hurricane-Milton-OPS-DIS-10/default.aspx" TargetMode="External"/><Relationship Id="rId254" Type="http://schemas.openxmlformats.org/officeDocument/2006/relationships/hyperlink" Target="https://www.flightstats.com/v2/historical-flight/departing/BIO/2025/04/28" TargetMode="External"/><Relationship Id="rId375" Type="http://schemas.openxmlformats.org/officeDocument/2006/relationships/hyperlink" Target="https://www.euronews.com/travel/2025/09/25/flights-in-italy-face-disruption-as-nationwide-air-transport-strikes-hit-on-friday" TargetMode="External"/><Relationship Id="rId172" Type="http://schemas.openxmlformats.org/officeDocument/2006/relationships/hyperlink" Target="https://www.wunderground.com/history/daily/it/genoa/LIMJ/date/2024-12-20" TargetMode="External"/><Relationship Id="rId293" Type="http://schemas.openxmlformats.org/officeDocument/2006/relationships/hyperlink" Target="https://www.euronews.com/travel/2025/06/29/flight-chaos-in-italy-what-happened-and-how-to-claim-reimbursement" TargetMode="External"/><Relationship Id="rId171" Type="http://schemas.openxmlformats.org/officeDocument/2006/relationships/hyperlink" Target="https://www.wunderground.com/history/daily/ro/ia%C8%99i/LRIA/date/2024-12-20" TargetMode="External"/><Relationship Id="rId292" Type="http://schemas.openxmlformats.org/officeDocument/2006/relationships/hyperlink" Target="https://www.euronews.com/travel/2025/06/29/flight-chaos-in-italy-what-happened-and-how-to-claim-reimbursement" TargetMode="External"/><Relationship Id="rId170" Type="http://schemas.openxmlformats.org/officeDocument/2006/relationships/hyperlink" Target="https://crisis24.garda.com/alerts/2024/12/france-unionized-air-traffic-control-workers-to-strike-at-multiple-airports-dec-17" TargetMode="External"/><Relationship Id="rId291" Type="http://schemas.openxmlformats.org/officeDocument/2006/relationships/hyperlink" Target="https://www.flightstats.com/v2/historical-flight/departing/ORY/2024/05/26" TargetMode="External"/><Relationship Id="rId290" Type="http://schemas.openxmlformats.org/officeDocument/2006/relationships/hyperlink" Target="https://www.flightstats.com/v2/historical-flight/departing/LTN/2023/08/28" TargetMode="External"/><Relationship Id="rId165" Type="http://schemas.openxmlformats.org/officeDocument/2006/relationships/hyperlink" Target="https://www.wunderground.com/history/daily/it/genoa/LIMJ/date/2024-11-24" TargetMode="External"/><Relationship Id="rId286" Type="http://schemas.openxmlformats.org/officeDocument/2006/relationships/hyperlink" Target="https://traveltradejournal.com/nationwide-airport-strikes-in-italy-to-disrupt-travel-today/" TargetMode="External"/><Relationship Id="rId164" Type="http://schemas.openxmlformats.org/officeDocument/2006/relationships/hyperlink" Target="https://www.flightera.net/en/airport/Antalya/LTAI/arrival/2024-11-24%2021_00?" TargetMode="External"/><Relationship Id="rId285" Type="http://schemas.openxmlformats.org/officeDocument/2006/relationships/hyperlink" Target="https://traveltradejournal.com/nationwide-airport-strikes-in-italy-to-disrupt-travel-today/" TargetMode="External"/><Relationship Id="rId163" Type="http://schemas.openxmlformats.org/officeDocument/2006/relationships/hyperlink" Target="https://www.euronews.com/travel/2024/11/22/major-london-airport-evacuated-due-to-suspicious-item-in-luggage-are-flights-cancelled" TargetMode="External"/><Relationship Id="rId284" Type="http://schemas.openxmlformats.org/officeDocument/2006/relationships/hyperlink" Target="https://traveltradejournal.com/nationwide-airport-strikes-in-italy-to-disrupt-travel-today/" TargetMode="External"/><Relationship Id="rId162" Type="http://schemas.openxmlformats.org/officeDocument/2006/relationships/hyperlink" Target="https://www.wunderground.com/history/daily/fr/villeneuve-le-roi/LFPO/date/2024-11-21" TargetMode="External"/><Relationship Id="rId283" Type="http://schemas.openxmlformats.org/officeDocument/2006/relationships/hyperlink" Target="https://traveltradejournal.com/nationwide-airport-strikes-in-italy-to-disrupt-travel-today/" TargetMode="External"/><Relationship Id="rId169" Type="http://schemas.openxmlformats.org/officeDocument/2006/relationships/hyperlink" Target="https://www.edinburghairport.com/it-issue-impacting-air-traffic-control-information-for-passengers" TargetMode="External"/><Relationship Id="rId168" Type="http://schemas.openxmlformats.org/officeDocument/2006/relationships/hyperlink" Target="https://www.wunderground.com/history/daily/gb/luton/EGGW/date/2024-12-8" TargetMode="External"/><Relationship Id="rId289" Type="http://schemas.openxmlformats.org/officeDocument/2006/relationships/hyperlink" Target="https://loyaltylobby.com/2025/06/19/brussels-airport-closed-for-departing-flights-on-june-25-2025/" TargetMode="External"/><Relationship Id="rId167" Type="http://schemas.openxmlformats.org/officeDocument/2006/relationships/hyperlink" Target="https://www.wunderground.com/history/daily/gb/luton/EGGW/date/2024-12-7" TargetMode="External"/><Relationship Id="rId288" Type="http://schemas.openxmlformats.org/officeDocument/2006/relationships/hyperlink" Target="https://loyaltylobby.com/2025/06/19/brussels-airport-closed-for-departing-flights-on-june-25-2025/" TargetMode="External"/><Relationship Id="rId166" Type="http://schemas.openxmlformats.org/officeDocument/2006/relationships/hyperlink" Target="https://uk.marketscreener.com/quote/stock/FINNAIR-OYJ-1412456/news/Finnair-Oyj-The-Finnish-Aviation-Union-IAU-s-illegal-walk-out-affects-Finnair-flights-today-48502108/" TargetMode="External"/><Relationship Id="rId287" Type="http://schemas.openxmlformats.org/officeDocument/2006/relationships/hyperlink" Target="https://www.reuters.com/business/environment/wildfire-forces-closure-frances-marseille-airport-2025-07-08/" TargetMode="External"/><Relationship Id="rId161" Type="http://schemas.openxmlformats.org/officeDocument/2006/relationships/hyperlink" Target="https://www.wunderground.com/history/daily/fr/villeneuve-le-roi/LFPO/date/2024-11-21" TargetMode="External"/><Relationship Id="rId282" Type="http://schemas.openxmlformats.org/officeDocument/2006/relationships/hyperlink" Target="https://www.flightstats.com/v2/historical-flight/arriving/FRA/2025/03/10" TargetMode="External"/><Relationship Id="rId160" Type="http://schemas.openxmlformats.org/officeDocument/2006/relationships/hyperlink" Target="https://www.wunderground.com/history/daily/fi/vantaa/EFHK/date/2024-11-20" TargetMode="External"/><Relationship Id="rId281" Type="http://schemas.openxmlformats.org/officeDocument/2006/relationships/hyperlink" Target="https://www.flightstats.com/v2/historical-flight/arriving/DTM/2025/01/09" TargetMode="External"/><Relationship Id="rId280" Type="http://schemas.openxmlformats.org/officeDocument/2006/relationships/hyperlink" Target="https://www.flightstats.com/v2/historical-flight/departing/MUC/2023/12/01" TargetMode="External"/><Relationship Id="rId159" Type="http://schemas.openxmlformats.org/officeDocument/2006/relationships/hyperlink" Target="https://www.euronews.com/travel/2024/11/04/do-not-travel-unless-strictly-necessary-chaos-at-barcelona-airport-as-terminal-and-runway-" TargetMode="External"/><Relationship Id="rId154" Type="http://schemas.openxmlformats.org/officeDocument/2006/relationships/hyperlink" Target="https://irreg.lufthansaexperts.com/en/news/strike-by-the-trade-union-ver-di-at-the-airports-leipzig-and-dresden-on-24-and-25-october-2024.html" TargetMode="External"/><Relationship Id="rId275" Type="http://schemas.openxmlformats.org/officeDocument/2006/relationships/hyperlink" Target="https://www.flightstats.com/v2/historical-flight/departing/DUB/2025/01/24" TargetMode="External"/><Relationship Id="rId396" Type="http://schemas.openxmlformats.org/officeDocument/2006/relationships/hyperlink" Target="https://vreme.com/en/drustvo/odlaganje-letova-sa-aerodroma-nikola-tesla-zbog-snega/" TargetMode="External"/><Relationship Id="rId153" Type="http://schemas.openxmlformats.org/officeDocument/2006/relationships/hyperlink" Target="https://irreg.lufthansaexperts.com/en/news/strike-by-the-trade-union-ver-di-at-the-airports-leipzig-and-dresden-on-24-and-25-october-2024.html" TargetMode="External"/><Relationship Id="rId274" Type="http://schemas.openxmlformats.org/officeDocument/2006/relationships/hyperlink" Target="https://www.flightstats.com/v2/historical-flight/departing/TLS/2025/05/06" TargetMode="External"/><Relationship Id="rId395" Type="http://schemas.openxmlformats.org/officeDocument/2006/relationships/hyperlink" Target="https://www.marca.com/en/lifestyle/world-news/2026/01/07/695eba85e2704e64508b45b4.html" TargetMode="External"/><Relationship Id="rId152" Type="http://schemas.openxmlformats.org/officeDocument/2006/relationships/hyperlink" Target="https://crisis24.garda.com/alerts/2024/10/belgium-brussels-south-charleroi-airport-cancels-outbound-flights-for-oct-22-due-to-security-staff-strike" TargetMode="External"/><Relationship Id="rId273" Type="http://schemas.openxmlformats.org/officeDocument/2006/relationships/hyperlink" Target="https://www.travelgossip.co.uk/latestnews/flights-disrupted-at-naples-airport-due-to-mechanical-failure" TargetMode="External"/><Relationship Id="rId394" Type="http://schemas.openxmlformats.org/officeDocument/2006/relationships/hyperlink" Target="https://www.marca.com/en/lifestyle/world-news/2026/01/07/695eba85e2704e64508b45b4.html" TargetMode="External"/><Relationship Id="rId151" Type="http://schemas.openxmlformats.org/officeDocument/2006/relationships/hyperlink" Target="https://news.aa.com/news/news-details/2024/American-provides-extra-seats-customer-flexibility-in-Florida-ahead-of-Hurricane-Milton-OPS-DIS-10/default.aspx" TargetMode="External"/><Relationship Id="rId272" Type="http://schemas.openxmlformats.org/officeDocument/2006/relationships/hyperlink" Target="https://www.travelgossip.co.uk/latestnews/flights-disrupted-at-naples-airport-due-to-mechanical-failure" TargetMode="External"/><Relationship Id="rId393" Type="http://schemas.openxmlformats.org/officeDocument/2006/relationships/hyperlink" Target="https://www.dutchnews.nl/2026/01/tailbacks-and-cancelled-flights-as-netherlands-hit-by-more-snow/" TargetMode="External"/><Relationship Id="rId158" Type="http://schemas.openxmlformats.org/officeDocument/2006/relationships/hyperlink" Target="https://www.wunderground.com/history/daily/nl/eindhoven/EHEH/date/2024-11-3" TargetMode="External"/><Relationship Id="rId279" Type="http://schemas.openxmlformats.org/officeDocument/2006/relationships/hyperlink" Target="https://www.flightstats.com/v2/historical-flight/departing/OPO/2025/05/31" TargetMode="External"/><Relationship Id="rId157" Type="http://schemas.openxmlformats.org/officeDocument/2006/relationships/hyperlink" Target="https://www.bbc.com/news/articles/c80lxd9kne0o" TargetMode="External"/><Relationship Id="rId278" Type="http://schemas.openxmlformats.org/officeDocument/2006/relationships/hyperlink" Target="https://www.flightstats.com/v2/historical-flight/departing/MXP/2023/06/20" TargetMode="External"/><Relationship Id="rId399" Type="http://schemas.openxmlformats.org/officeDocument/2006/relationships/hyperlink" Target="https://vreme.com/en/drustvo/odlaganje-letova-sa-aerodroma-nikola-tesla-zbog-snega/" TargetMode="External"/><Relationship Id="rId156" Type="http://schemas.openxmlformats.org/officeDocument/2006/relationships/hyperlink" Target="https://www.bbc.com/news/articles/c80lxd9kne0o" TargetMode="External"/><Relationship Id="rId277" Type="http://schemas.openxmlformats.org/officeDocument/2006/relationships/hyperlink" Target="https://www.flightstats.com/v2/historical-flight/departing/OPO/2025/05/30" TargetMode="External"/><Relationship Id="rId398" Type="http://schemas.openxmlformats.org/officeDocument/2006/relationships/hyperlink" Target="https://vreme.com/en/drustvo/odlaganje-letova-sa-aerodroma-nikola-tesla-zbog-snega/" TargetMode="External"/><Relationship Id="rId155" Type="http://schemas.openxmlformats.org/officeDocument/2006/relationships/hyperlink" Target="https://www.bbc.com/news/articles/c80lxd9kne0o" TargetMode="External"/><Relationship Id="rId276" Type="http://schemas.openxmlformats.org/officeDocument/2006/relationships/hyperlink" Target="https://www.flightstats.com/v2/historical-flight/departing/MAN/2024/06/23" TargetMode="External"/><Relationship Id="rId397" Type="http://schemas.openxmlformats.org/officeDocument/2006/relationships/hyperlink" Target="https://vreme.com/en/drustvo/odlaganje-letova-sa-aerodroma-nikola-tesla-zbog-snega/" TargetMode="External"/><Relationship Id="rId40" Type="http://schemas.openxmlformats.org/officeDocument/2006/relationships/hyperlink" Target="https://phys.org/news/2024-08-sicily-catania-airport-etna.html" TargetMode="External"/><Relationship Id="rId42" Type="http://schemas.openxmlformats.org/officeDocument/2006/relationships/hyperlink" Target="https://phys.org/news/2024-08-sicily-catania-airport-etna.html" TargetMode="External"/><Relationship Id="rId41" Type="http://schemas.openxmlformats.org/officeDocument/2006/relationships/hyperlink" Target="https://phys.org/news/2024-08-sicily-catania-airport-etna.html" TargetMode="External"/><Relationship Id="rId44" Type="http://schemas.openxmlformats.org/officeDocument/2006/relationships/hyperlink" Target="https://www.flightstats.com/v2/historical-flight/departing/HAV/2024/11/06" TargetMode="External"/><Relationship Id="rId43" Type="http://schemas.openxmlformats.org/officeDocument/2006/relationships/hyperlink" Target="https://phys.org/news/2024-08-sicily-catania-airport-etna.html" TargetMode="External"/><Relationship Id="rId46" Type="http://schemas.openxmlformats.org/officeDocument/2006/relationships/hyperlink" Target="https://www.reuters.com/world/europe/it-outage-hits-german-airports-bild-newspaper-reports-2025-01-03/" TargetMode="External"/><Relationship Id="rId45" Type="http://schemas.openxmlformats.org/officeDocument/2006/relationships/hyperlink" Target="https://www.reuters.com/world/europe/it-outage-hits-german-airports-bild-newspaper-reports-2025-01-03/" TargetMode="External"/><Relationship Id="rId48" Type="http://schemas.openxmlformats.org/officeDocument/2006/relationships/hyperlink" Target="https://www.reuters.com/world/europe/it-outage-hits-german-airports-bild-newspaper-reports-2025-01-03/" TargetMode="External"/><Relationship Id="rId47" Type="http://schemas.openxmlformats.org/officeDocument/2006/relationships/hyperlink" Target="https://www.reuters.com/world/europe/it-outage-hits-german-airports-bild-newspaper-reports-2025-01-03/" TargetMode="External"/><Relationship Id="rId49" Type="http://schemas.openxmlformats.org/officeDocument/2006/relationships/hyperlink" Target="https://www.reuters.com/world/europe/it-outage-hits-german-airports-bild-newspaper-reports-2025-01-03/" TargetMode="External"/><Relationship Id="rId31" Type="http://schemas.openxmlformats.org/officeDocument/2006/relationships/hyperlink" Target="https://www.reuters.com/world/asia-pacific/why-are-there-protests-bangladesh-again-2024-08-05/" TargetMode="External"/><Relationship Id="rId30" Type="http://schemas.openxmlformats.org/officeDocument/2006/relationships/hyperlink" Target="https://phys.org/news/2024-08-sicily-catania-airport-etna.html" TargetMode="External"/><Relationship Id="rId33" Type="http://schemas.openxmlformats.org/officeDocument/2006/relationships/hyperlink" Target="https://phys.org/news/2024-08-sicily-catania-airport-etna.html" TargetMode="External"/><Relationship Id="rId32" Type="http://schemas.openxmlformats.org/officeDocument/2006/relationships/hyperlink" Target="https://phys.org/news/2024-08-sicily-catania-airport-etna.html" TargetMode="External"/><Relationship Id="rId35" Type="http://schemas.openxmlformats.org/officeDocument/2006/relationships/hyperlink" Target="https://phys.org/news/2024-08-sicily-catania-airport-etna.html" TargetMode="External"/><Relationship Id="rId34" Type="http://schemas.openxmlformats.org/officeDocument/2006/relationships/hyperlink" Target="https://phys.org/news/2024-08-sicily-catania-airport-etna.html" TargetMode="External"/><Relationship Id="rId37" Type="http://schemas.openxmlformats.org/officeDocument/2006/relationships/hyperlink" Target="https://phys.org/news/2024-08-sicily-catania-airport-etna.html" TargetMode="External"/><Relationship Id="rId36" Type="http://schemas.openxmlformats.org/officeDocument/2006/relationships/hyperlink" Target="https://phys.org/news/2024-08-sicily-catania-airport-etna.html" TargetMode="External"/><Relationship Id="rId39" Type="http://schemas.openxmlformats.org/officeDocument/2006/relationships/hyperlink" Target="https://phys.org/news/2024-08-sicily-catania-airport-etna.html" TargetMode="External"/><Relationship Id="rId38" Type="http://schemas.openxmlformats.org/officeDocument/2006/relationships/hyperlink" Target="https://phys.org/news/2024-08-sicily-catania-airport-etna.html" TargetMode="External"/><Relationship Id="rId20" Type="http://schemas.openxmlformats.org/officeDocument/2006/relationships/hyperlink" Target="https://phys.org/news/2024-08-sicily-catania-airport-etna.html" TargetMode="External"/><Relationship Id="rId22" Type="http://schemas.openxmlformats.org/officeDocument/2006/relationships/hyperlink" Target="https://phys.org/news/2024-08-sicily-catania-airport-etna.html" TargetMode="External"/><Relationship Id="rId21" Type="http://schemas.openxmlformats.org/officeDocument/2006/relationships/hyperlink" Target="https://derechadiario.com.ar/us/argentina/cgt-strike-which-transportation-services-are-interrupted-this-april-9-and-10" TargetMode="External"/><Relationship Id="rId24" Type="http://schemas.openxmlformats.org/officeDocument/2006/relationships/hyperlink" Target="https://phys.org/news/2024-08-sicily-catania-airport-etna.html" TargetMode="External"/><Relationship Id="rId23" Type="http://schemas.openxmlformats.org/officeDocument/2006/relationships/hyperlink" Target="https://www.reuters.com/world/asia-pacific/why-are-there-protests-bangladesh-again-2024-08-05/" TargetMode="External"/><Relationship Id="rId409" Type="http://schemas.openxmlformats.org/officeDocument/2006/relationships/hyperlink" Target="https://www.1news.co.nz/2026/01/26/thousands-of-flights-cancelled-across-us-as-massive-winter-storm-hits/" TargetMode="External"/><Relationship Id="rId404" Type="http://schemas.openxmlformats.org/officeDocument/2006/relationships/hyperlink" Target="https://www.traveltourister.com/news/winter-storm-fern-recovery-january-25-2026-15000-flights-disrupted-atlanta-1000-cancelled-135000-power-outages-monday-travel-outlook/" TargetMode="External"/><Relationship Id="rId403" Type="http://schemas.openxmlformats.org/officeDocument/2006/relationships/hyperlink" Target="https://www.traveltourister.com/news/winter-storm-fern-recovery-january-25-2026-15000-flights-disrupted-atlanta-1000-cancelled-135000-power-outages-monday-travel-outlook/" TargetMode="External"/><Relationship Id="rId402" Type="http://schemas.openxmlformats.org/officeDocument/2006/relationships/hyperlink" Target="https://www.traveltourister.com/news/winter-storm-fern-recovery-january-25-2026-15000-flights-disrupted-atlanta-1000-cancelled-135000-power-outages-monday-travel-outlook/" TargetMode="External"/><Relationship Id="rId401" Type="http://schemas.openxmlformats.org/officeDocument/2006/relationships/hyperlink" Target="https://www.traveltourister.com/news/winter-storm-fern-recovery-january-25-2026-15000-flights-disrupted-atlanta-1000-cancelled-135000-power-outages-monday-travel-outlook/" TargetMode="External"/><Relationship Id="rId408" Type="http://schemas.openxmlformats.org/officeDocument/2006/relationships/hyperlink" Target="https://www.1news.co.nz/2026/01/26/thousands-of-flights-cancelled-across-us-as-massive-winter-storm-hits/" TargetMode="External"/><Relationship Id="rId407" Type="http://schemas.openxmlformats.org/officeDocument/2006/relationships/hyperlink" Target="https://www.1news.co.nz/2026/01/26/thousands-of-flights-cancelled-across-us-as-massive-winter-storm-hits/" TargetMode="External"/><Relationship Id="rId406" Type="http://schemas.openxmlformats.org/officeDocument/2006/relationships/hyperlink" Target="https://www.1news.co.nz/2026/01/26/thousands-of-flights-cancelled-across-us-as-massive-winter-storm-hits/" TargetMode="External"/><Relationship Id="rId405" Type="http://schemas.openxmlformats.org/officeDocument/2006/relationships/hyperlink" Target="https://www.traveltourister.com/news/winter-storm-fern-recovery-january-25-2026-15000-flights-disrupted-atlanta-1000-cancelled-135000-power-outages-monday-travel-outlook/" TargetMode="External"/><Relationship Id="rId26" Type="http://schemas.openxmlformats.org/officeDocument/2006/relationships/hyperlink" Target="https://phys.org/news/2024-08-sicily-catania-airport-etna.html" TargetMode="External"/><Relationship Id="rId25" Type="http://schemas.openxmlformats.org/officeDocument/2006/relationships/hyperlink" Target="https://www.reuters.com/world/asia-pacific/why-are-there-protests-bangladesh-again-2024-08-05/" TargetMode="External"/><Relationship Id="rId28" Type="http://schemas.openxmlformats.org/officeDocument/2006/relationships/hyperlink" Target="https://phys.org/news/2024-08-sicily-catania-airport-etna.html" TargetMode="External"/><Relationship Id="rId27" Type="http://schemas.openxmlformats.org/officeDocument/2006/relationships/hyperlink" Target="https://www.reuters.com/world/asia-pacific/why-are-there-protests-bangladesh-again-2024-08-05/" TargetMode="External"/><Relationship Id="rId400" Type="http://schemas.openxmlformats.org/officeDocument/2006/relationships/hyperlink" Target="https://www.nhetravel.com/2026/01/06/france-transport-incident-level-3-flight-disruptions-at-nantes-atlantique-airport-nte-pays-de-la-loire-france/" TargetMode="External"/><Relationship Id="rId29" Type="http://schemas.openxmlformats.org/officeDocument/2006/relationships/hyperlink" Target="https://www.reuters.com/world/asia-pacific/why-are-there-protests-bangladesh-again-2024-08-05/" TargetMode="External"/><Relationship Id="rId11" Type="http://schemas.openxmlformats.org/officeDocument/2006/relationships/hyperlink" Target="https://www.cgrs.be/en/news/national-strike-thursday-13-february-personal-interviews-are-maintained" TargetMode="External"/><Relationship Id="rId10" Type="http://schemas.openxmlformats.org/officeDocument/2006/relationships/hyperlink" Target="https://www.reuters.com/world/europe/germanys-airport-security-staff-ground-flights-nationwide-protests-2024-02-01/" TargetMode="External"/><Relationship Id="rId13" Type="http://schemas.openxmlformats.org/officeDocument/2006/relationships/hyperlink" Target="https://www.enav.it/en/node/17681" TargetMode="External"/><Relationship Id="rId12" Type="http://schemas.openxmlformats.org/officeDocument/2006/relationships/hyperlink" Target="https://www.connexionfrance.com/news/nantes-airport-hit-by-strike-action-almost-all-flights-cancelled/687816" TargetMode="External"/><Relationship Id="rId15" Type="http://schemas.openxmlformats.org/officeDocument/2006/relationships/hyperlink" Target="https://www.google.com/search?q=Argentina+30-10-2024+Strike&amp;oq=Argentina%0930-10-2024%09Strike&amp;gs_lcrp=EgRlZGdlKgYIABBFGDkyBggAEEUYOTIKCAEQABiABBiiBDIHCAIQABjvBTIHCAMQABjvBTIHCAQQABjvBTIHCAUQABjvBdIBBzI4MGowajGoAgCwAgA&amp;sourceid=chrome&amp;ie=UTF-8" TargetMode="External"/><Relationship Id="rId14" Type="http://schemas.openxmlformats.org/officeDocument/2006/relationships/hyperlink" Target="https://www.connexionfrance.com/news/nantes-airport-hit-by-strike-action-almost-all-flights-cancelled/687816" TargetMode="External"/><Relationship Id="rId17" Type="http://schemas.openxmlformats.org/officeDocument/2006/relationships/hyperlink" Target="https://www.flightera.net/en/airport/Athens/LGAV/departure/2025-02-28%2014_00?" TargetMode="External"/><Relationship Id="rId16" Type="http://schemas.openxmlformats.org/officeDocument/2006/relationships/hyperlink" Target="https://phys.org/news/2024-08-sicily-catania-airport-etna.html" TargetMode="External"/><Relationship Id="rId19" Type="http://schemas.openxmlformats.org/officeDocument/2006/relationships/hyperlink" Target="http://s" TargetMode="External"/><Relationship Id="rId18" Type="http://schemas.openxmlformats.org/officeDocument/2006/relationships/hyperlink" Target="https://phys.org/news/2024-08-sicily-catania-airport-etna.html" TargetMode="External"/><Relationship Id="rId84" Type="http://schemas.openxmlformats.org/officeDocument/2006/relationships/hyperlink" Target="https://www.gat.report/15465/a-cyber-attack-blocks-the-systems-of-split-airport/" TargetMode="External"/><Relationship Id="rId83" Type="http://schemas.openxmlformats.org/officeDocument/2006/relationships/hyperlink" Target="https://www.faa.gov/newsroom/Emergency-Order-Cancellation-Replacement-11-12-25.pdf" TargetMode="External"/><Relationship Id="rId86" Type="http://schemas.openxmlformats.org/officeDocument/2006/relationships/hyperlink" Target="https://www.flightera.net/en/airport/Frankfurt/EDDF/departure/2024-07-25%20%2005_00?" TargetMode="External"/><Relationship Id="rId85" Type="http://schemas.openxmlformats.org/officeDocument/2006/relationships/hyperlink" Target="https://www.faa.gov/newsroom/Emergency-Order-Cancellation-Replacement-11-12-25.pdf" TargetMode="External"/><Relationship Id="rId88" Type="http://schemas.openxmlformats.org/officeDocument/2006/relationships/hyperlink" Target="https://www.reuters.com/world/europe/franco-swiss-basel-mulhouse-airport-evacuated-after-bomb-alert-french-police-2024-07-26/" TargetMode="External"/><Relationship Id="rId87" Type="http://schemas.openxmlformats.org/officeDocument/2006/relationships/hyperlink" Target="https://www.faa.gov/newsroom/Emergency-Order-Cancellation-Replacement-11-12-25.pdf" TargetMode="External"/><Relationship Id="rId89" Type="http://schemas.openxmlformats.org/officeDocument/2006/relationships/hyperlink" Target="https://www.faa.gov/newsroom/Emergency-Order-Cancellation-Replacement-11-12-25.pdf" TargetMode="External"/><Relationship Id="rId80" Type="http://schemas.openxmlformats.org/officeDocument/2006/relationships/hyperlink" Target="https://www.wunderground.com/history/daily/gr/mykonos/LGMK/date/2024-6-29" TargetMode="External"/><Relationship Id="rId82" Type="http://schemas.openxmlformats.org/officeDocument/2006/relationships/hyperlink" Target="https://www.flightstats.com/v2/historical-flight/departing/ZRH/2024/07/12" TargetMode="External"/><Relationship Id="rId81" Type="http://schemas.openxmlformats.org/officeDocument/2006/relationships/hyperlink" Target="https://www.reuters.com/sustainability/sustainable-finance-reporting/portugal-general-strike-stalls-transport-closes-schools-labour-reform-protest-2025-12-11/" TargetMode="External"/><Relationship Id="rId73" Type="http://schemas.openxmlformats.org/officeDocument/2006/relationships/hyperlink" Target="https://www.lemonde.fr/en/le-monde-africa/article/2025/09/26/madagascar-at-least-five-killed-after-unprecedented-protests_6745772_124.htmlhttps://www.lemonde.fr/en/le-monde-africa/article/2025/09/26/madagascar-at-least-five-killed-after-unprecedented-protests_6745772_124.html" TargetMode="External"/><Relationship Id="rId72" Type="http://schemas.openxmlformats.org/officeDocument/2006/relationships/hyperlink" Target="https://www.aviation24.be/airports/frankfurt-fra/security-staff-strike-on-7-march-will-cause-disruptions/" TargetMode="External"/><Relationship Id="rId75" Type="http://schemas.openxmlformats.org/officeDocument/2006/relationships/hyperlink" Target="https://www.lemonde.fr/en/le-monde-africa/article/2025/09/26/madagascar-at-least-five-killed-after-unprecedented-protests_6745772_124.htmlhttps://www.lemonde.fr/en/le-monde-africa/article/2025/09/26/madagascar-at-least-five-killed-after-unprecedented-protests_6745772_124.html" TargetMode="External"/><Relationship Id="rId74" Type="http://schemas.openxmlformats.org/officeDocument/2006/relationships/hyperlink" Target="https://www.flightstats.com/v2/historical-flight/arriving/CDG/2024/04/25" TargetMode="External"/><Relationship Id="rId77" Type="http://schemas.openxmlformats.org/officeDocument/2006/relationships/hyperlink" Target="https://www.brusselstimes.com/1780086/belgiums-national-strike-disruptions-expected-across-multiple-sectors" TargetMode="External"/><Relationship Id="rId76" Type="http://schemas.openxmlformats.org/officeDocument/2006/relationships/hyperlink" Target="https://www.france24.com/en/live-news/20240524-paris-orly-air-controller-strike-sparks-mass-cancellations" TargetMode="External"/><Relationship Id="rId79" Type="http://schemas.openxmlformats.org/officeDocument/2006/relationships/hyperlink" Target="https://www.reuters.com/sustainability/sustainable-finance-reporting/brussels-airport-cancels-all-departing-flights-nov-26-due-strike-2025-11-19/" TargetMode="External"/><Relationship Id="rId78" Type="http://schemas.openxmlformats.org/officeDocument/2006/relationships/hyperlink" Target="https://crisis24.garda.com/alerts/2024/06/peru-runway-light-outage-prompts-diversions-delays-at-jorge-chavez-international-airport-in-lima-as-of-late-june-2" TargetMode="External"/><Relationship Id="rId71" Type="http://schemas.openxmlformats.org/officeDocument/2006/relationships/hyperlink" Target="https://www.lemonde.fr/en/le-monde-africa/article/2025/09/26/madagascar-at-least-five-killed-after-unprecedented-protests_6745772_124.htmlhttps://www.lemonde.fr/en/le-monde-africa/article/2025/09/26/madagascar-at-least-five-killed-after-unprecedented-protests_6745772_124.html" TargetMode="External"/><Relationship Id="rId70" Type="http://schemas.openxmlformats.org/officeDocument/2006/relationships/hyperlink" Target="https://www.aviation24.be/airports/frankfurt-fra/security-staff-strike-on-7-march-will-cause-disruptions/" TargetMode="External"/><Relationship Id="rId62" Type="http://schemas.openxmlformats.org/officeDocument/2006/relationships/hyperlink" Target="https://www.aviation24.be/airports/dublin-dub/flight-disruptions-at-dublin-airport-as-storm-ashley-hits-ireland/" TargetMode="External"/><Relationship Id="rId61" Type="http://schemas.openxmlformats.org/officeDocument/2006/relationships/hyperlink" Target="https://edition.cnn.com/2025/09/09/europe/poland-scramble-jets-russian-drone-reports-intl-hnk-ml" TargetMode="External"/><Relationship Id="rId64" Type="http://schemas.openxmlformats.org/officeDocument/2006/relationships/hyperlink" Target="https://simpleflying.com/german-atc-issue-flight-delay/" TargetMode="External"/><Relationship Id="rId63" Type="http://schemas.openxmlformats.org/officeDocument/2006/relationships/hyperlink" Target="https://www.sortiraparis.com/en/news/in-paris/articles/281448-strike-at-airports-on-september-10-and-18-chaos-looms-at-roissy-and-orly" TargetMode="External"/><Relationship Id="rId66" Type="http://schemas.openxmlformats.org/officeDocument/2006/relationships/hyperlink" Target="https://www.aviation24.be/airports/geneva/flights-cancelled-at-geneva-airport-today-as-workers-vote-to-strike/" TargetMode="External"/><Relationship Id="rId65" Type="http://schemas.openxmlformats.org/officeDocument/2006/relationships/hyperlink" Target="https://www.lemonde.fr/en/le-monde-africa/article/2025/09/26/madagascar-at-least-five-killed-after-unprecedented-protests_6745772_124.htmlhttps://www.lemonde.fr/en/le-monde-africa/article/2025/09/26/madagascar-at-least-five-killed-after-unprecedented-protests_6745772_124.html" TargetMode="External"/><Relationship Id="rId68" Type="http://schemas.openxmlformats.org/officeDocument/2006/relationships/hyperlink" Target="https://www.stuttgartcitizen.com/translated-local-news/local-news-translated-feb-1-2024/" TargetMode="External"/><Relationship Id="rId67" Type="http://schemas.openxmlformats.org/officeDocument/2006/relationships/hyperlink" Target="https://www.lemonde.fr/en/le-monde-africa/article/2025/09/26/madagascar-at-least-five-killed-after-unprecedented-protests_6745772_124.htmlhttps://www.lemonde.fr/en/le-monde-africa/article/2025/09/26/madagascar-at-least-five-killed-after-unprecedented-protests_6745772_124.html" TargetMode="External"/><Relationship Id="rId60" Type="http://schemas.openxmlformats.org/officeDocument/2006/relationships/hyperlink" Target="https://media.dubaiairports.ae/dubai-airports-statement-on-weather-disruption/" TargetMode="External"/><Relationship Id="rId69" Type="http://schemas.openxmlformats.org/officeDocument/2006/relationships/hyperlink" Target="https://www.lemonde.fr/en/le-monde-africa/article/2025/09/26/madagascar-at-least-five-killed-after-unprecedented-protests_6745772_124.htmlhttps://www.lemonde.fr/en/le-monde-africa/article/2025/09/26/madagascar-at-least-five-killed-after-unprecedented-protests_6745772_124.html" TargetMode="External"/><Relationship Id="rId51" Type="http://schemas.openxmlformats.org/officeDocument/2006/relationships/hyperlink" Target="https://media.dubaiairports.ae/dubai-airports-statement-on-weather-disruption/" TargetMode="External"/><Relationship Id="rId50" Type="http://schemas.openxmlformats.org/officeDocument/2006/relationships/hyperlink" Target="https://www.reuters.com/world/europe/it-outage-hits-german-airports-bild-newspaper-reports-2025-01-03/" TargetMode="External"/><Relationship Id="rId53" Type="http://schemas.openxmlformats.org/officeDocument/2006/relationships/hyperlink" Target="https://media.dubaiairports.ae/dubai-airports-statement-on-weather-disruption/" TargetMode="External"/><Relationship Id="rId52" Type="http://schemas.openxmlformats.org/officeDocument/2006/relationships/hyperlink" Target="https://media.dubaiairports.ae/dubai-airports-statement-on-weather-disruption/" TargetMode="External"/><Relationship Id="rId55" Type="http://schemas.openxmlformats.org/officeDocument/2006/relationships/hyperlink" Target="https://media.dubaiairports.ae/dubai-airports-statement-on-weather-disruption/" TargetMode="External"/><Relationship Id="rId54" Type="http://schemas.openxmlformats.org/officeDocument/2006/relationships/hyperlink" Target="https://media.dubaiairports.ae/dubai-airports-statement-on-weather-disruption/" TargetMode="External"/><Relationship Id="rId57" Type="http://schemas.openxmlformats.org/officeDocument/2006/relationships/hyperlink" Target="https://media.dubaiairports.ae/dubai-airports-statement-on-weather-disruption/" TargetMode="External"/><Relationship Id="rId56" Type="http://schemas.openxmlformats.org/officeDocument/2006/relationships/hyperlink" Target="https://media.dubaiairports.ae/dubai-airports-statement-on-weather-disruption/" TargetMode="External"/><Relationship Id="rId59" Type="http://schemas.openxmlformats.org/officeDocument/2006/relationships/hyperlink" Target="https://media.dubaiairports.ae/dubai-airports-statement-on-weather-disruption/" TargetMode="External"/><Relationship Id="rId58" Type="http://schemas.openxmlformats.org/officeDocument/2006/relationships/hyperlink" Target="https://media.dubaiairports.ae/dubai-airports-statement-on-weather-disruption/" TargetMode="External"/><Relationship Id="rId107" Type="http://schemas.openxmlformats.org/officeDocument/2006/relationships/hyperlink" Target="https://news.aa.com/news/news-details/2024/American-provides-extra-seats-customer-flexibility-in-Florida-ahead-of-Hurricane-Milton-OPS-DIS-10/default.aspx" TargetMode="External"/><Relationship Id="rId228" Type="http://schemas.openxmlformats.org/officeDocument/2006/relationships/hyperlink" Target="https://www.theflightclub.it/en/2024/12/aircraft-strike-dec-15-2024-airports-involved/" TargetMode="External"/><Relationship Id="rId349" Type="http://schemas.openxmlformats.org/officeDocument/2006/relationships/hyperlink" Target="https://www.bbc.com/news/articles/c1jw71kjx14o" TargetMode="External"/><Relationship Id="rId106" Type="http://schemas.openxmlformats.org/officeDocument/2006/relationships/hyperlink" Target="https://news.aa.com/news/news-details/2024/American-provides-extra-seats-customer-flexibility-in-Florida-ahead-of-Hurricane-Milton-OPS-DIS-10/default.aspx" TargetMode="External"/><Relationship Id="rId227" Type="http://schemas.openxmlformats.org/officeDocument/2006/relationships/hyperlink" Target="https://www.reuters.com/pictures/lava-ash-spew-italys-mount-etna-volcano-2024-07-23/" TargetMode="External"/><Relationship Id="rId348" Type="http://schemas.openxmlformats.org/officeDocument/2006/relationships/hyperlink" Target="https://www.bbc.com/news/articles/c1jw71kjx14o" TargetMode="External"/><Relationship Id="rId105" Type="http://schemas.openxmlformats.org/officeDocument/2006/relationships/hyperlink" Target="https://news.aa.com/news/news-details/2024/American-provides-extra-seats-customer-flexibility-in-Florida-ahead-of-Hurricane-Milton-OPS-DIS-10/default.aspx" TargetMode="External"/><Relationship Id="rId226" Type="http://schemas.openxmlformats.org/officeDocument/2006/relationships/hyperlink" Target="https://www.dw.com/en/heathrow-airport-the-impact-of-a-major-shutdown/a-71992776" TargetMode="External"/><Relationship Id="rId347" Type="http://schemas.openxmlformats.org/officeDocument/2006/relationships/hyperlink" Target="https://www.bbc.com/news/live/c0m44dlndnrt" TargetMode="External"/><Relationship Id="rId104" Type="http://schemas.openxmlformats.org/officeDocument/2006/relationships/hyperlink" Target="https://news.aa.com/news/news-details/2024/American-provides-extra-seats-customer-flexibility-in-Florida-ahead-of-Hurricane-Milton-OPS-DIS-10/default.aspx" TargetMode="External"/><Relationship Id="rId225" Type="http://schemas.openxmlformats.org/officeDocument/2006/relationships/hyperlink" Target="https://www.flightera.net/en/airport/Hamburg/EDDH/departure/2025-03-09%2014_00" TargetMode="External"/><Relationship Id="rId346" Type="http://schemas.openxmlformats.org/officeDocument/2006/relationships/hyperlink" Target="https://www.bbc.com/news/live/c0m44dlndnrt" TargetMode="External"/><Relationship Id="rId109" Type="http://schemas.openxmlformats.org/officeDocument/2006/relationships/hyperlink" Target="https://news.aa.com/news/news-details/2024/American-provides-extra-seats-customer-flexibility-in-Florida-ahead-of-Hurricane-Milton-OPS-DIS-10/default.aspx" TargetMode="External"/><Relationship Id="rId108" Type="http://schemas.openxmlformats.org/officeDocument/2006/relationships/hyperlink" Target="https://news.aa.com/news/news-details/2024/American-provides-extra-seats-customer-flexibility-in-Florida-ahead-of-Hurricane-Milton-OPS-DIS-10/default.aspx" TargetMode="External"/><Relationship Id="rId229" Type="http://schemas.openxmlformats.org/officeDocument/2006/relationships/hyperlink" Target="https://www.theflightclub.it/en/2024/12/aircraft-strike-dec-15-2024-airports-involved/" TargetMode="External"/><Relationship Id="rId220" Type="http://schemas.openxmlformats.org/officeDocument/2006/relationships/hyperlink" Target="https://www.flightera.net/en/airport/Saint-Denis/FMEE/departure/2025-02-26%2023_00?" TargetMode="External"/><Relationship Id="rId341" Type="http://schemas.openxmlformats.org/officeDocument/2006/relationships/hyperlink" Target="https://www.bbc.com/news/live/c0m44dlndnrt" TargetMode="External"/><Relationship Id="rId340" Type="http://schemas.openxmlformats.org/officeDocument/2006/relationships/hyperlink" Target="https://www.bbc.com/news/live/c0m44dlndnrt" TargetMode="External"/><Relationship Id="rId103" Type="http://schemas.openxmlformats.org/officeDocument/2006/relationships/hyperlink" Target="https://news.aa.com/news/news-details/2024/American-provides-extra-seats-customer-flexibility-in-Florida-ahead-of-Hurricane-Milton-OPS-DIS-10/default.aspx" TargetMode="External"/><Relationship Id="rId224" Type="http://schemas.openxmlformats.org/officeDocument/2006/relationships/hyperlink" Target="https://www.flightera.net/en/airport/Saint-Denis/FMEE/departure/2025-02-26%2023_00?" TargetMode="External"/><Relationship Id="rId345" Type="http://schemas.openxmlformats.org/officeDocument/2006/relationships/hyperlink" Target="https://www.bbc.com/news/live/c0m44dlndnrt" TargetMode="External"/><Relationship Id="rId102" Type="http://schemas.openxmlformats.org/officeDocument/2006/relationships/hyperlink" Target="https://news.aa.com/news/news-details/2024/American-provides-extra-seats-customer-flexibility-in-Florida-ahead-of-Hurricane-Milton-OPS-DIS-10/default.aspx" TargetMode="External"/><Relationship Id="rId223" Type="http://schemas.openxmlformats.org/officeDocument/2006/relationships/hyperlink" Target="https://www.flightera.net/en/airport/Saint-Denis/FMEE/departure/2025-02-26%2023_00?" TargetMode="External"/><Relationship Id="rId344" Type="http://schemas.openxmlformats.org/officeDocument/2006/relationships/hyperlink" Target="https://www.bbc.com/news/live/c0m44dlndnrt" TargetMode="External"/><Relationship Id="rId101" Type="http://schemas.openxmlformats.org/officeDocument/2006/relationships/hyperlink" Target="https://news.aa.com/news/news-details/2024/American-provides-extra-seats-customer-flexibility-in-Florida-ahead-of-Hurricane-Milton-OPS-DIS-10/default.aspx" TargetMode="External"/><Relationship Id="rId222" Type="http://schemas.openxmlformats.org/officeDocument/2006/relationships/hyperlink" Target="https://www.flightera.net/en/airport/Saint-Denis/FMEE/departure/2025-02-26%2023_00?" TargetMode="External"/><Relationship Id="rId343" Type="http://schemas.openxmlformats.org/officeDocument/2006/relationships/hyperlink" Target="https://www.bbc.com/news/live/c0m44dlndnrt" TargetMode="External"/><Relationship Id="rId100" Type="http://schemas.openxmlformats.org/officeDocument/2006/relationships/hyperlink" Target="https://news.aa.com/news/news-details/2024/American-provides-extra-seats-customer-flexibility-in-Florida-ahead-of-Hurricane-Milton-OPS-DIS-10/default.aspx" TargetMode="External"/><Relationship Id="rId221" Type="http://schemas.openxmlformats.org/officeDocument/2006/relationships/hyperlink" Target="https://www.travelandtourworld.com/news/article/lufthansa-british-united-japan-qatar-delta-cathay-pacific-emirates-and-more-airlines-to-face-new-travel-disruptions-as-munich-airports-forty-eight-hour-strike-begins-tomorrow-in-germany/" TargetMode="External"/><Relationship Id="rId342" Type="http://schemas.openxmlformats.org/officeDocument/2006/relationships/hyperlink" Target="https://www.bbc.com/news/live/c0m44dlndnrt" TargetMode="External"/><Relationship Id="rId217" Type="http://schemas.openxmlformats.org/officeDocument/2006/relationships/hyperlink" Target="https://euroweeklynews.com/2025/02/24/strikes-disrupt-flights-at-dusseldorf-and-cologne-airports-as-pay-row-continues/" TargetMode="External"/><Relationship Id="rId338" Type="http://schemas.openxmlformats.org/officeDocument/2006/relationships/hyperlink" Target="https://www.bbc.com/news/live/c0m44dlndnrt" TargetMode="External"/><Relationship Id="rId216" Type="http://schemas.openxmlformats.org/officeDocument/2006/relationships/hyperlink" Target="https://euroweeklynews.com/2025/02/24/strikes-disrupt-flights-at-dusseldorf-and-cologne-airports-as-pay-row-continues/" TargetMode="External"/><Relationship Id="rId337" Type="http://schemas.openxmlformats.org/officeDocument/2006/relationships/hyperlink" Target="https://www.bbc.com/news/live/c0m44dlndnrt" TargetMode="External"/><Relationship Id="rId215" Type="http://schemas.openxmlformats.org/officeDocument/2006/relationships/hyperlink" Target="https://report.az/en/region/istanbul-airports-cancel-flights-amid-severe-weather-warnings/" TargetMode="External"/><Relationship Id="rId336" Type="http://schemas.openxmlformats.org/officeDocument/2006/relationships/hyperlink" Target="https://www.bbc.com/news/live/c0m44dlndnrt" TargetMode="External"/><Relationship Id="rId214" Type="http://schemas.openxmlformats.org/officeDocument/2006/relationships/hyperlink" Target="https://euroweeklynews.com/2025/02/24/strikes-disrupt-flights-at-dusseldorf-and-cologne-airports-as-pay-row-continues/" TargetMode="External"/><Relationship Id="rId335" Type="http://schemas.openxmlformats.org/officeDocument/2006/relationships/hyperlink" Target="https://www.bbc.com/news/live/c0m44dlndnrt" TargetMode="External"/><Relationship Id="rId219" Type="http://schemas.openxmlformats.org/officeDocument/2006/relationships/hyperlink" Target="https://www.travelandtourworld.com/news/article/lufthansa-british-united-japan-qatar-delta-cathay-pacific-emirates-and-more-airlines-to-face-new-travel-disruptions-as-munich-airports-forty-eight-hour-strike-begins-tomorrow-in-germany/" TargetMode="External"/><Relationship Id="rId218" Type="http://schemas.openxmlformats.org/officeDocument/2006/relationships/hyperlink" Target="https://www.flightera.net/en/airport/Saint-Denis/FMEE/departure/2025-02-26%2023_00?" TargetMode="External"/><Relationship Id="rId339" Type="http://schemas.openxmlformats.org/officeDocument/2006/relationships/hyperlink" Target="https://www.bbc.com/news/live/c0m44dlndnrt" TargetMode="External"/><Relationship Id="rId330" Type="http://schemas.openxmlformats.org/officeDocument/2006/relationships/hyperlink" Target="https://www.bbc.com/news/live/c0m44dlndnrt" TargetMode="External"/><Relationship Id="rId451" Type="http://schemas.openxmlformats.org/officeDocument/2006/relationships/drawing" Target="../drawings/drawing3.xml"/><Relationship Id="rId450" Type="http://schemas.openxmlformats.org/officeDocument/2006/relationships/hyperlink" Target="https://www.aviation24.be/airports/berlin/berlin-brandenburg-airport-to-halt-all-passenger-flights-on-18-march-due-to-strike/" TargetMode="External"/><Relationship Id="rId213" Type="http://schemas.openxmlformats.org/officeDocument/2006/relationships/hyperlink" Target="https://report.az/en/region/istanbul-airports-cancel-flights-amid-severe-weather-warnings/" TargetMode="External"/><Relationship Id="rId334" Type="http://schemas.openxmlformats.org/officeDocument/2006/relationships/hyperlink" Target="https://www.bbc.com/news/live/c0m44dlndnrt" TargetMode="External"/><Relationship Id="rId212" Type="http://schemas.openxmlformats.org/officeDocument/2006/relationships/hyperlink" Target="https://report.az/en/region/istanbul-airports-cancel-flights-amid-severe-weather-warnings/" TargetMode="External"/><Relationship Id="rId333" Type="http://schemas.openxmlformats.org/officeDocument/2006/relationships/hyperlink" Target="https://www.bbc.com/news/live/c0m44dlndnrt" TargetMode="External"/><Relationship Id="rId211" Type="http://schemas.openxmlformats.org/officeDocument/2006/relationships/hyperlink" Target="https://www.nytimes.com/2025/02/18/world/canada/toronto-airport-snow-disruptions-delta.html" TargetMode="External"/><Relationship Id="rId332" Type="http://schemas.openxmlformats.org/officeDocument/2006/relationships/hyperlink" Target="https://www.bbc.com/news/live/c0m44dlndnrt" TargetMode="External"/><Relationship Id="rId210" Type="http://schemas.openxmlformats.org/officeDocument/2006/relationships/hyperlink" Target="https://www.nytimes.com/2025/02/18/world/canada/toronto-airport-snow-disruptions-delta.html" TargetMode="External"/><Relationship Id="rId331" Type="http://schemas.openxmlformats.org/officeDocument/2006/relationships/hyperlink" Target="https://www.bbc.com/news/live/c0m44dlndnrt" TargetMode="External"/><Relationship Id="rId370" Type="http://schemas.openxmlformats.org/officeDocument/2006/relationships/hyperlink" Target="https://www.wunderground.com/history/daily/es/el-prat-de-llobregat/LEBL/date/2025-9-21" TargetMode="External"/><Relationship Id="rId129" Type="http://schemas.openxmlformats.org/officeDocument/2006/relationships/hyperlink" Target="https://news.aa.com/news/news-details/2024/American-provides-extra-seats-customer-flexibility-in-Florida-ahead-of-Hurricane-Milton-OPS-DIS-10/default.aspx" TargetMode="External"/><Relationship Id="rId128" Type="http://schemas.openxmlformats.org/officeDocument/2006/relationships/hyperlink" Target="https://news.aa.com/news/news-details/2024/American-provides-extra-seats-customer-flexibility-in-Florida-ahead-of-Hurricane-Milton-OPS-DIS-10/default.aspx" TargetMode="External"/><Relationship Id="rId249" Type="http://schemas.openxmlformats.org/officeDocument/2006/relationships/hyperlink" Target="https://www.flightstats.com/v2/historical-flight/departing/FNC/2025/04/28" TargetMode="External"/><Relationship Id="rId127" Type="http://schemas.openxmlformats.org/officeDocument/2006/relationships/hyperlink" Target="https://news.aa.com/news/news-details/2024/American-provides-extra-seats-customer-flexibility-in-Florida-ahead-of-Hurricane-Milton-OPS-DIS-10/default.aspx" TargetMode="External"/><Relationship Id="rId248" Type="http://schemas.openxmlformats.org/officeDocument/2006/relationships/hyperlink" Target="https://www.flightstats.com/v2/historical-flight/departing/OPO/2025/04/28" TargetMode="External"/><Relationship Id="rId369" Type="http://schemas.openxmlformats.org/officeDocument/2006/relationships/hyperlink" Target="https://www.flightstats.com/v2/historical-flight/departing/LTN/2020/05/29" TargetMode="External"/><Relationship Id="rId126" Type="http://schemas.openxmlformats.org/officeDocument/2006/relationships/hyperlink" Target="https://news.aa.com/news/news-details/2024/American-provides-extra-seats-customer-flexibility-in-Florida-ahead-of-Hurricane-Milton-OPS-DIS-10/default.aspx" TargetMode="External"/><Relationship Id="rId247" Type="http://schemas.openxmlformats.org/officeDocument/2006/relationships/hyperlink" Target="https://www.flightstats.com/v2/historical-flight/departing/LIS/2025/04/29" TargetMode="External"/><Relationship Id="rId368" Type="http://schemas.openxmlformats.org/officeDocument/2006/relationships/hyperlink" Target="https://www.met.ie/ga/meteorologists-commentary/storm-amy-first-storm-of-the-2025-26-season-has-been-named" TargetMode="External"/><Relationship Id="rId121" Type="http://schemas.openxmlformats.org/officeDocument/2006/relationships/hyperlink" Target="https://news.aa.com/news/news-details/2024/American-provides-extra-seats-customer-flexibility-in-Florida-ahead-of-Hurricane-Milton-OPS-DIS-10/default.aspx" TargetMode="External"/><Relationship Id="rId242" Type="http://schemas.openxmlformats.org/officeDocument/2006/relationships/hyperlink" Target="https://www.flightstats.com/v2/historical-flight/departing/BER/2023/03/13" TargetMode="External"/><Relationship Id="rId363" Type="http://schemas.openxmlformats.org/officeDocument/2006/relationships/hyperlink" Target="https://www.met.ie/ga/meteorologists-commentary/storm-amy-first-storm-of-the-2025-26-season-has-been-named" TargetMode="External"/><Relationship Id="rId120" Type="http://schemas.openxmlformats.org/officeDocument/2006/relationships/hyperlink" Target="https://news.aa.com/news/news-details/2024/American-provides-extra-seats-customer-flexibility-in-Florida-ahead-of-Hurricane-Milton-OPS-DIS-10/default.aspx" TargetMode="External"/><Relationship Id="rId241" Type="http://schemas.openxmlformats.org/officeDocument/2006/relationships/hyperlink" Target="https://www.flightstats.com/v2/historical-flight/departing/BRS/2024/11/23" TargetMode="External"/><Relationship Id="rId362" Type="http://schemas.openxmlformats.org/officeDocument/2006/relationships/hyperlink" Target="https://www.met.ie/ga/meteorologists-commentary/storm-amy-first-storm-of-the-2025-26-season-has-been-named" TargetMode="External"/><Relationship Id="rId240" Type="http://schemas.openxmlformats.org/officeDocument/2006/relationships/hyperlink" Target="https://www.flightstats.com/v2/historical-flight/departing/GLA/2024/11/23" TargetMode="External"/><Relationship Id="rId361" Type="http://schemas.openxmlformats.org/officeDocument/2006/relationships/hyperlink" Target="https://www.met.ie/ga/meteorologists-commentary/storm-amy-first-storm-of-the-2025-26-season-has-been-named" TargetMode="External"/><Relationship Id="rId360" Type="http://schemas.openxmlformats.org/officeDocument/2006/relationships/hyperlink" Target="https://www.met.ie/ga/meteorologists-commentary/storm-amy-first-storm-of-the-2025-26-season-has-been-named" TargetMode="External"/><Relationship Id="rId125" Type="http://schemas.openxmlformats.org/officeDocument/2006/relationships/hyperlink" Target="https://news.aa.com/news/news-details/2024/American-provides-extra-seats-customer-flexibility-in-Florida-ahead-of-Hurricane-Milton-OPS-DIS-10/default.aspx" TargetMode="External"/><Relationship Id="rId246" Type="http://schemas.openxmlformats.org/officeDocument/2006/relationships/hyperlink" Target="https://www.flightstats.com/v2/historical-flight/departing/LGW/2024/12/27" TargetMode="External"/><Relationship Id="rId367" Type="http://schemas.openxmlformats.org/officeDocument/2006/relationships/hyperlink" Target="https://www.met.ie/ga/meteorologists-commentary/storm-amy-first-storm-of-the-2025-26-season-has-been-named" TargetMode="External"/><Relationship Id="rId124" Type="http://schemas.openxmlformats.org/officeDocument/2006/relationships/hyperlink" Target="https://news.aa.com/news/news-details/2024/American-provides-extra-seats-customer-flexibility-in-Florida-ahead-of-Hurricane-Milton-OPS-DIS-10/default.aspx" TargetMode="External"/><Relationship Id="rId245" Type="http://schemas.openxmlformats.org/officeDocument/2006/relationships/hyperlink" Target="https://www.flightstats.com/v2/historical-flight/departing/MEM/2025/04/05" TargetMode="External"/><Relationship Id="rId366" Type="http://schemas.openxmlformats.org/officeDocument/2006/relationships/hyperlink" Target="https://www.met.ie/ga/meteorologists-commentary/storm-amy-first-storm-of-the-2025-26-season-has-been-named" TargetMode="External"/><Relationship Id="rId123" Type="http://schemas.openxmlformats.org/officeDocument/2006/relationships/hyperlink" Target="https://news.aa.com/news/news-details/2024/American-provides-extra-seats-customer-flexibility-in-Florida-ahead-of-Hurricane-Milton-OPS-DIS-10/default.aspx" TargetMode="External"/><Relationship Id="rId244" Type="http://schemas.openxmlformats.org/officeDocument/2006/relationships/hyperlink" Target="https://www.flightstats.com/v2/historical-flight/arriving/KEF/2024/12/25" TargetMode="External"/><Relationship Id="rId365" Type="http://schemas.openxmlformats.org/officeDocument/2006/relationships/hyperlink" Target="https://www.met.ie/ga/meteorologists-commentary/storm-amy-first-storm-of-the-2025-26-season-has-been-named" TargetMode="External"/><Relationship Id="rId122" Type="http://schemas.openxmlformats.org/officeDocument/2006/relationships/hyperlink" Target="https://news.aa.com/news/news-details/2024/American-provides-extra-seats-customer-flexibility-in-Florida-ahead-of-Hurricane-Milton-OPS-DIS-10/default.aspx" TargetMode="External"/><Relationship Id="rId243" Type="http://schemas.openxmlformats.org/officeDocument/2006/relationships/hyperlink" Target="https://www.flightstats.com/v2/historical-flight/arriving/SKG/2023/03/16" TargetMode="External"/><Relationship Id="rId364" Type="http://schemas.openxmlformats.org/officeDocument/2006/relationships/hyperlink" Target="https://www.met.ie/ga/meteorologists-commentary/storm-amy-first-storm-of-the-2025-26-season-has-been-named" TargetMode="External"/><Relationship Id="rId95" Type="http://schemas.openxmlformats.org/officeDocument/2006/relationships/hyperlink" Target="https://www.nationalworld.com/travel/travel-news/bucharest-airport-dozens-of-departure-and-arrival-flights-cancelled-snow-storm-hits-romania-5602843" TargetMode="External"/><Relationship Id="rId94" Type="http://schemas.openxmlformats.org/officeDocument/2006/relationships/hyperlink" Target="https://crisis24.garda.com/alerts/2024/09/belgium-unionized-airport-workers-extend-strike-at-charleroi-airport-through-sept-13-update-1" TargetMode="External"/><Relationship Id="rId97" Type="http://schemas.openxmlformats.org/officeDocument/2006/relationships/hyperlink" Target="https://www.nationalworld.com/travel/travel-news/bucharest-airport-dozens-of-departure-and-arrival-flights-cancelled-snow-storm-hits-romania-5602843" TargetMode="External"/><Relationship Id="rId96" Type="http://schemas.openxmlformats.org/officeDocument/2006/relationships/hyperlink" Target="https://crisis24.garda.com/alerts/2024/09/belgium-unionized-airport-workers-extend-strike-at-charleroi-airport-through-sept-13-update-1" TargetMode="External"/><Relationship Id="rId99" Type="http://schemas.openxmlformats.org/officeDocument/2006/relationships/hyperlink" Target="https://news.aa.com/news/news-details/2024/American-provides-extra-seats-customer-flexibility-in-Florida-ahead-of-Hurricane-Milton-OPS-DIS-10/default.aspx" TargetMode="External"/><Relationship Id="rId98" Type="http://schemas.openxmlformats.org/officeDocument/2006/relationships/hyperlink" Target="https://crisis24.garda.com/alerts/2024/10/italy-authorities-suspend-flights-at-milan-bergamo-airport-oct-1-following-runway-incident" TargetMode="External"/><Relationship Id="rId91" Type="http://schemas.openxmlformats.org/officeDocument/2006/relationships/hyperlink" Target="https://www.wantedinrome.com/news/italy-general-strike-on-28-november-to-affect-air-rail-and-local-public-transport.html" TargetMode="External"/><Relationship Id="rId90" Type="http://schemas.openxmlformats.org/officeDocument/2006/relationships/hyperlink" Target="https://aviation.direct/en/it-stoerung-fuehrt-zu-flugverspaetungen-am-belgrader-flughafen" TargetMode="External"/><Relationship Id="rId93" Type="http://schemas.openxmlformats.org/officeDocument/2006/relationships/hyperlink" Target="https://www.newsonair.gov.in/greece-flight-operations-suspended-nationwide-after-radio-disruption/" TargetMode="External"/><Relationship Id="rId92" Type="http://schemas.openxmlformats.org/officeDocument/2006/relationships/hyperlink" Target="https://crisis24.garda.com/alerts/2024/09/belgium-unionized-airport-workers-extend-strike-at-charleroi-airport-through-sept-13-update-1" TargetMode="External"/><Relationship Id="rId118" Type="http://schemas.openxmlformats.org/officeDocument/2006/relationships/hyperlink" Target="https://news.aa.com/news/news-details/2024/American-provides-extra-seats-customer-flexibility-in-Florida-ahead-of-Hurricane-Milton-OPS-DIS-10/default.aspx" TargetMode="External"/><Relationship Id="rId239" Type="http://schemas.openxmlformats.org/officeDocument/2006/relationships/hyperlink" Target="https://www.flightstats.com/v2/historical-flight/departing/EDI/2024/11/24" TargetMode="External"/><Relationship Id="rId117" Type="http://schemas.openxmlformats.org/officeDocument/2006/relationships/hyperlink" Target="https://news.aa.com/news/news-details/2024/American-provides-extra-seats-customer-flexibility-in-Florida-ahead-of-Hurricane-Milton-OPS-DIS-10/default.aspx" TargetMode="External"/><Relationship Id="rId238" Type="http://schemas.openxmlformats.org/officeDocument/2006/relationships/hyperlink" Target="https://www.flightstats.com/v2/historical-flight/departing/LHR/2024/11/24" TargetMode="External"/><Relationship Id="rId359" Type="http://schemas.openxmlformats.org/officeDocument/2006/relationships/hyperlink" Target="https://www.met.ie/ga/meteorologists-commentary/storm-amy-first-storm-of-the-2025-26-season-has-been-named" TargetMode="External"/><Relationship Id="rId116" Type="http://schemas.openxmlformats.org/officeDocument/2006/relationships/hyperlink" Target="https://news.aa.com/news/news-details/2024/American-provides-extra-seats-customer-flexibility-in-Florida-ahead-of-Hurricane-Milton-OPS-DIS-10/default.aspx" TargetMode="External"/><Relationship Id="rId237" Type="http://schemas.openxmlformats.org/officeDocument/2006/relationships/hyperlink" Target="https://loyaltylobby.com/2025/03/23/easyjet-pilots-ground-handling-employee-strikes-in-italy-march-24-2025/" TargetMode="External"/><Relationship Id="rId358" Type="http://schemas.openxmlformats.org/officeDocument/2006/relationships/hyperlink" Target="https://www.met.ie/ga/meteorologists-commentary/storm-amy-first-storm-of-the-2025-26-season-has-been-named" TargetMode="External"/><Relationship Id="rId115" Type="http://schemas.openxmlformats.org/officeDocument/2006/relationships/hyperlink" Target="https://news.aa.com/news/news-details/2024/American-provides-extra-seats-customer-flexibility-in-Florida-ahead-of-Hurricane-Milton-OPS-DIS-10/default.aspx" TargetMode="External"/><Relationship Id="rId236" Type="http://schemas.openxmlformats.org/officeDocument/2006/relationships/hyperlink" Target="https://irreg.lufthansaexperts.com/en/news/strike-by-the-trade-union-ver-di-at-the-airports-leipzig-and-dresden-on-24-and-25-october-2024.html" TargetMode="External"/><Relationship Id="rId357" Type="http://schemas.openxmlformats.org/officeDocument/2006/relationships/hyperlink" Target="https://www.met.ie/ga/meteorologists-commentary/storm-amy-first-storm-of-the-2025-26-season-has-been-named" TargetMode="External"/><Relationship Id="rId119" Type="http://schemas.openxmlformats.org/officeDocument/2006/relationships/hyperlink" Target="https://news.aa.com/news/news-details/2024/American-provides-extra-seats-customer-flexibility-in-Florida-ahead-of-Hurricane-Milton-OPS-DIS-10/default.aspx" TargetMode="External"/><Relationship Id="rId110" Type="http://schemas.openxmlformats.org/officeDocument/2006/relationships/hyperlink" Target="https://news.aa.com/news/news-details/2024/American-provides-extra-seats-customer-flexibility-in-Florida-ahead-of-Hurricane-Milton-OPS-DIS-10/default.aspx" TargetMode="External"/><Relationship Id="rId231" Type="http://schemas.openxmlformats.org/officeDocument/2006/relationships/hyperlink" Target="https://www.gdacs.org/report.aspx?eventtype=VO&amp;eventid=1000099" TargetMode="External"/><Relationship Id="rId352" Type="http://schemas.openxmlformats.org/officeDocument/2006/relationships/hyperlink" Target="https://www.wunderground.com/history/daily/us/ny/new-york-city/KJFK/date/2025-6-19" TargetMode="External"/><Relationship Id="rId230" Type="http://schemas.openxmlformats.org/officeDocument/2006/relationships/hyperlink" Target="https://www.theflightclub.it/en/2024/12/aircraft-strike-dec-15-2024-airports-involved/" TargetMode="External"/><Relationship Id="rId351" Type="http://schemas.openxmlformats.org/officeDocument/2006/relationships/hyperlink" Target="https://www.bbc.com/news/articles/c1jw71kjx14o" TargetMode="External"/><Relationship Id="rId350" Type="http://schemas.openxmlformats.org/officeDocument/2006/relationships/hyperlink" Target="https://www.bbc.com/news/articles/c1jw71kjx14o" TargetMode="External"/><Relationship Id="rId114" Type="http://schemas.openxmlformats.org/officeDocument/2006/relationships/hyperlink" Target="https://news.aa.com/news/news-details/2024/American-provides-extra-seats-customer-flexibility-in-Florida-ahead-of-Hurricane-Milton-OPS-DIS-10/default.aspx" TargetMode="External"/><Relationship Id="rId235" Type="http://schemas.openxmlformats.org/officeDocument/2006/relationships/hyperlink" Target="https://www.gdacs.org/report.aspx?eventtype=VO&amp;eventid=1000099" TargetMode="External"/><Relationship Id="rId356" Type="http://schemas.openxmlformats.org/officeDocument/2006/relationships/hyperlink" Target="https://www.met.ie/ga/meteorologists-commentary/storm-amy-first-storm-of-the-2025-26-season-has-been-named" TargetMode="External"/><Relationship Id="rId113" Type="http://schemas.openxmlformats.org/officeDocument/2006/relationships/hyperlink" Target="https://news.aa.com/news/news-details/2024/American-provides-extra-seats-customer-flexibility-in-Florida-ahead-of-Hurricane-Milton-OPS-DIS-10/default.aspx" TargetMode="External"/><Relationship Id="rId234" Type="http://schemas.openxmlformats.org/officeDocument/2006/relationships/hyperlink" Target="https://www.gdacs.org/report.aspx?eventtype=VO&amp;eventid=1000099" TargetMode="External"/><Relationship Id="rId355" Type="http://schemas.openxmlformats.org/officeDocument/2006/relationships/hyperlink" Target="https://www.met.ie/ga/meteorologists-commentary/storm-amy-first-storm-of-the-2025-26-season-has-been-named" TargetMode="External"/><Relationship Id="rId112" Type="http://schemas.openxmlformats.org/officeDocument/2006/relationships/hyperlink" Target="https://news.aa.com/news/news-details/2024/American-provides-extra-seats-customer-flexibility-in-Florida-ahead-of-Hurricane-Milton-OPS-DIS-10/default.aspx" TargetMode="External"/><Relationship Id="rId233" Type="http://schemas.openxmlformats.org/officeDocument/2006/relationships/hyperlink" Target="https://www.gdacs.org/report.aspx?eventtype=VO&amp;eventid=1000099" TargetMode="External"/><Relationship Id="rId354" Type="http://schemas.openxmlformats.org/officeDocument/2006/relationships/hyperlink" Target="https://www.flightstats.com/v2/historical-flight/arriving/SXM/2025/10/10" TargetMode="External"/><Relationship Id="rId111" Type="http://schemas.openxmlformats.org/officeDocument/2006/relationships/hyperlink" Target="https://news.aa.com/news/news-details/2024/American-provides-extra-seats-customer-flexibility-in-Florida-ahead-of-Hurricane-Milton-OPS-DIS-10/default.aspx" TargetMode="External"/><Relationship Id="rId232" Type="http://schemas.openxmlformats.org/officeDocument/2006/relationships/hyperlink" Target="https://www.gdacs.org/report.aspx?eventtype=VO&amp;eventid=1000099" TargetMode="External"/><Relationship Id="rId353" Type="http://schemas.openxmlformats.org/officeDocument/2006/relationships/hyperlink" Target="https://www.flightstats.com/v2/historical-flight/departing/SXM/2025/08/16" TargetMode="External"/><Relationship Id="rId305" Type="http://schemas.openxmlformats.org/officeDocument/2006/relationships/hyperlink" Target="https://www.flightstats.com/v2/historical-flight/arriving/BVA/2024/04/25" TargetMode="External"/><Relationship Id="rId426" Type="http://schemas.openxmlformats.org/officeDocument/2006/relationships/hyperlink" Target="https://www.traveltourister.com/news/winter-storm-fern-recovery-january-25-2026-15000-flights-disrupted-atlanta-1000-cancelled-135000-power-outages-monday-travel-outlook/" TargetMode="External"/><Relationship Id="rId304" Type="http://schemas.openxmlformats.org/officeDocument/2006/relationships/hyperlink" Target="https://www.flightstats.com/v2/historical-flight/arriving/AOI/2024/02/20" TargetMode="External"/><Relationship Id="rId425" Type="http://schemas.openxmlformats.org/officeDocument/2006/relationships/hyperlink" Target="https://www.traveltourister.com/news/winter-storm-fern-recovery-january-25-2026-15000-flights-disrupted-atlanta-1000-cancelled-135000-power-outages-monday-travel-outlook/" TargetMode="External"/><Relationship Id="rId303" Type="http://schemas.openxmlformats.org/officeDocument/2006/relationships/hyperlink" Target="https://www.reuters.com/en/italys-bergamo-airport-temporarily-closed-after-runway-death-2025-07-08/" TargetMode="External"/><Relationship Id="rId424" Type="http://schemas.openxmlformats.org/officeDocument/2006/relationships/hyperlink" Target="https://www.traveltourister.com/news/winter-storm-fern-recovery-january-25-2026-15000-flights-disrupted-atlanta-1000-cancelled-135000-power-outages-monday-travel-outlook/" TargetMode="External"/><Relationship Id="rId302" Type="http://schemas.openxmlformats.org/officeDocument/2006/relationships/hyperlink" Target="https://www.flightstats.com/v2/historical-flight/departing/BHX/2025/08/06" TargetMode="External"/><Relationship Id="rId423" Type="http://schemas.openxmlformats.org/officeDocument/2006/relationships/hyperlink" Target="https://www.traveltourister.com/news/winter-storm-fern-recovery-january-25-2026-15000-flights-disrupted-atlanta-1000-cancelled-135000-power-outages-monday-travel-outlook/" TargetMode="External"/><Relationship Id="rId309" Type="http://schemas.openxmlformats.org/officeDocument/2006/relationships/hyperlink" Target="https://www.reuters.com/en/cyberattack-causes-flight-delays-cancellations-brussels-airport-2025-09-20/" TargetMode="External"/><Relationship Id="rId308" Type="http://schemas.openxmlformats.org/officeDocument/2006/relationships/hyperlink" Target="https://www.wunderground.com/history/daily/us/tx/grapevine/KDFW/date/2025-4-30" TargetMode="External"/><Relationship Id="rId429" Type="http://schemas.openxmlformats.org/officeDocument/2006/relationships/hyperlink" Target="https://money-tourism.gr/en/hurricane-melissa-causes-flight-cancellations-and-chaos-at-airports-in-jamaica/" TargetMode="External"/><Relationship Id="rId307" Type="http://schemas.openxmlformats.org/officeDocument/2006/relationships/hyperlink" Target="https://www.wunderground.com/history/daily/gb/london-gatwick-airport/EGKK/date/2024-12-8" TargetMode="External"/><Relationship Id="rId428" Type="http://schemas.openxmlformats.org/officeDocument/2006/relationships/hyperlink" Target="https://money-tourism.gr/en/hurricane-melissa-causes-flight-cancellations-and-chaos-at-airports-in-jamaica/" TargetMode="External"/><Relationship Id="rId306" Type="http://schemas.openxmlformats.org/officeDocument/2006/relationships/hyperlink" Target="https://www.wunderground.com/history/daily/gb/london-gatwick-airport/EGKK/date/2024-12-7" TargetMode="External"/><Relationship Id="rId427" Type="http://schemas.openxmlformats.org/officeDocument/2006/relationships/hyperlink" Target="https://www.traveltourister.com/news/winter-storm-fern-recovery-january-25-2026-15000-flights-disrupted-atlanta-1000-cancelled-135000-power-outages-monday-travel-outlook/" TargetMode="External"/><Relationship Id="rId301" Type="http://schemas.openxmlformats.org/officeDocument/2006/relationships/hyperlink" Target="https://www.flightstats.com/v2/historical-flight/departing/ZAG/2025/06/08" TargetMode="External"/><Relationship Id="rId422" Type="http://schemas.openxmlformats.org/officeDocument/2006/relationships/hyperlink" Target="https://www.euronews.com/travel/2026/02/06/flight-delayed-or-cancelled-by-winter-weather-here-are-your-rights-to-rebooking-and-refund" TargetMode="External"/><Relationship Id="rId300" Type="http://schemas.openxmlformats.org/officeDocument/2006/relationships/hyperlink" Target="https://www.flightstats.com/v2/historical-flight/departing/ZAZ/2024/01/19" TargetMode="External"/><Relationship Id="rId421" Type="http://schemas.openxmlformats.org/officeDocument/2006/relationships/hyperlink" Target="https://www.euronews.com/travel/2026/02/06/flight-delayed-or-cancelled-by-winter-weather-here-are-your-rights-to-rebooking-and-refund" TargetMode="External"/><Relationship Id="rId420" Type="http://schemas.openxmlformats.org/officeDocument/2006/relationships/hyperlink" Target="https://6abc.com/post/winter-storm-expected-disrupt-holiday-travel-busiest-day-air/18318449/" TargetMode="External"/><Relationship Id="rId415" Type="http://schemas.openxmlformats.org/officeDocument/2006/relationships/hyperlink" Target="https://www.1news.co.nz/2026/01/26/thousands-of-flights-cancelled-across-us-as-massive-winter-storm-hits/" TargetMode="External"/><Relationship Id="rId414" Type="http://schemas.openxmlformats.org/officeDocument/2006/relationships/hyperlink" Target="https://www.1news.co.nz/2026/01/26/thousands-of-flights-cancelled-across-us-as-massive-winter-storm-hits/" TargetMode="External"/><Relationship Id="rId413" Type="http://schemas.openxmlformats.org/officeDocument/2006/relationships/hyperlink" Target="https://www.1news.co.nz/2026/01/26/thousands-of-flights-cancelled-across-us-as-massive-winter-storm-hits/" TargetMode="External"/><Relationship Id="rId412" Type="http://schemas.openxmlformats.org/officeDocument/2006/relationships/hyperlink" Target="https://www.1news.co.nz/2026/01/26/thousands-of-flights-cancelled-across-us-as-massive-winter-storm-hits/" TargetMode="External"/><Relationship Id="rId419" Type="http://schemas.openxmlformats.org/officeDocument/2006/relationships/hyperlink" Target="https://www.nhetravel.com/2026/01/09/united-kingdom-transport-incident-level-3-heavy-snowfall-causes-disruptions-at-birmingham-airport-bhx-england-united-kingdom/?noamp=available" TargetMode="External"/><Relationship Id="rId418" Type="http://schemas.openxmlformats.org/officeDocument/2006/relationships/hyperlink" Target="https://www.nhetravel.com/2026/01/09/united-kingdom-transport-incident-level-3-heavy-snowfall-causes-disruptions-at-birmingham-airport-bhx-england-united-kingdom/?noamp=available" TargetMode="External"/><Relationship Id="rId417" Type="http://schemas.openxmlformats.org/officeDocument/2006/relationships/hyperlink" Target="https://www.travelandtourworld.com/news/article/aberdeen-scotland-frozen-dreams-as-arctic-blast-shuts-aberdeen-international-airport-all-you-need-to-know/" TargetMode="External"/><Relationship Id="rId416" Type="http://schemas.openxmlformats.org/officeDocument/2006/relationships/hyperlink" Target="https://www.1news.co.nz/2026/01/26/thousands-of-flights-cancelled-across-us-as-massive-winter-storm-hits/" TargetMode="External"/><Relationship Id="rId411" Type="http://schemas.openxmlformats.org/officeDocument/2006/relationships/hyperlink" Target="https://www.1news.co.nz/2026/01/26/thousands-of-flights-cancelled-across-us-as-massive-winter-storm-hits/" TargetMode="External"/><Relationship Id="rId410" Type="http://schemas.openxmlformats.org/officeDocument/2006/relationships/hyperlink" Target="https://www.1news.co.nz/2026/01/26/thousands-of-flights-cancelled-across-us-as-massive-winter-storm-hits/" TargetMode="External"/><Relationship Id="rId206" Type="http://schemas.openxmlformats.org/officeDocument/2006/relationships/hyperlink" Target="https://www.flightstats.com/v2/historical-flight/departing/LIS/2025/02/14" TargetMode="External"/><Relationship Id="rId327" Type="http://schemas.openxmlformats.org/officeDocument/2006/relationships/hyperlink" Target="https://www.bbc.com/news/live/c0m44dlndnrt" TargetMode="External"/><Relationship Id="rId448" Type="http://schemas.openxmlformats.org/officeDocument/2006/relationships/hyperlink" Target="https://www.visahq.com/news/2026-03-11/be/national-strike-on-12-march-to-ground-all-flights-at-brussels-and-charleroi-airports/" TargetMode="External"/><Relationship Id="rId205" Type="http://schemas.openxmlformats.org/officeDocument/2006/relationships/hyperlink" Target="https://www.timeanddate.com/weather/turkey/istanbul/historic?month=2&amp;year=2025" TargetMode="External"/><Relationship Id="rId326" Type="http://schemas.openxmlformats.org/officeDocument/2006/relationships/hyperlink" Target="https://www.bbc.com/news/live/c0m44dlndnrt" TargetMode="External"/><Relationship Id="rId447" Type="http://schemas.openxmlformats.org/officeDocument/2006/relationships/hyperlink" Target="https://www.visahq.com/news/2026-03-11/be/national-strike-on-12-march-to-ground-all-flights-at-brussels-and-charleroi-airports/" TargetMode="External"/><Relationship Id="rId204" Type="http://schemas.openxmlformats.org/officeDocument/2006/relationships/hyperlink" Target="https://www.wunderground.com/history/daily/ro/craiova/LRCV/date/2025-1-31" TargetMode="External"/><Relationship Id="rId325" Type="http://schemas.openxmlformats.org/officeDocument/2006/relationships/hyperlink" Target="https://www.bbc.com/news/live/c0m44dlndnrt" TargetMode="External"/><Relationship Id="rId446" Type="http://schemas.openxmlformats.org/officeDocument/2006/relationships/hyperlink" Target="https://abcnews.com/US/live-updates/severe-winter-storm-live-updates-northeast-braces-blizzard/?id=130378101" TargetMode="External"/><Relationship Id="rId203" Type="http://schemas.openxmlformats.org/officeDocument/2006/relationships/hyperlink" Target="https://www.wunderground.com/history/daily/de/dortmund/EDLW/date/2025-1-17" TargetMode="External"/><Relationship Id="rId324" Type="http://schemas.openxmlformats.org/officeDocument/2006/relationships/hyperlink" Target="https://www.bbc.com/news/live/c0m44dlndnrt" TargetMode="External"/><Relationship Id="rId445" Type="http://schemas.openxmlformats.org/officeDocument/2006/relationships/hyperlink" Target="https://abcnews.com/US/live-updates/severe-winter-storm-live-updates-northeast-braces-blizzard/?id=130378101" TargetMode="External"/><Relationship Id="rId209" Type="http://schemas.openxmlformats.org/officeDocument/2006/relationships/hyperlink" Target="https://www.nytimes.com/2025/02/18/world/canada/toronto-airport-snow-disruptions-delta.html" TargetMode="External"/><Relationship Id="rId208" Type="http://schemas.openxmlformats.org/officeDocument/2006/relationships/hyperlink" Target="https://www.nytimes.com/2025/02/18/world/canada/toronto-airport-snow-disruptions-delta.html" TargetMode="External"/><Relationship Id="rId329" Type="http://schemas.openxmlformats.org/officeDocument/2006/relationships/hyperlink" Target="https://www.bbc.com/news/live/c0m44dlndnrt" TargetMode="External"/><Relationship Id="rId207" Type="http://schemas.openxmlformats.org/officeDocument/2006/relationships/hyperlink" Target="https://www.flightera.net/en/airport/Catania/LICC/departure/2025-02-16%2013_00?" TargetMode="External"/><Relationship Id="rId328" Type="http://schemas.openxmlformats.org/officeDocument/2006/relationships/hyperlink" Target="https://www.bbc.com/news/live/c0m44dlndnrt" TargetMode="External"/><Relationship Id="rId449" Type="http://schemas.openxmlformats.org/officeDocument/2006/relationships/hyperlink" Target="https://aeronauticsonline.com/faa-issues-ground-stop-at-three-dc-area-airports-dca-iad-bwi-due-to-strong-odor-at-potomac-tracon-on-march-13-2026/" TargetMode="External"/><Relationship Id="rId440" Type="http://schemas.openxmlformats.org/officeDocument/2006/relationships/hyperlink" Target="https://abcnews.com/US/live-updates/severe-winter-storm-live-updates-northeast-braces-blizzard/?id=130378101" TargetMode="External"/><Relationship Id="rId202" Type="http://schemas.openxmlformats.org/officeDocument/2006/relationships/hyperlink" Target="https://www.wunderground.com/history/daily/nl/eindhoven/EHEH/date/2025-1-15" TargetMode="External"/><Relationship Id="rId323" Type="http://schemas.openxmlformats.org/officeDocument/2006/relationships/hyperlink" Target="https://ftnnews.com/travel-news/rail/italy-faces-wave-of-transport-strikes-in-october-impacting-rail-and-air-travel/" TargetMode="External"/><Relationship Id="rId444" Type="http://schemas.openxmlformats.org/officeDocument/2006/relationships/hyperlink" Target="https://abcnews.com/US/live-updates/severe-winter-storm-live-updates-northeast-braces-blizzard/?id=130378101" TargetMode="External"/><Relationship Id="rId201" Type="http://schemas.openxmlformats.org/officeDocument/2006/relationships/hyperlink" Target="https://www.bbc.com/news/articles/cvgpgkwd3q4o" TargetMode="External"/><Relationship Id="rId322" Type="http://schemas.openxmlformats.org/officeDocument/2006/relationships/hyperlink" Target="https://ftnnews.com/travel-news/rail/italy-faces-wave-of-transport-strikes-in-october-impacting-rail-and-air-travel/" TargetMode="External"/><Relationship Id="rId443" Type="http://schemas.openxmlformats.org/officeDocument/2006/relationships/hyperlink" Target="https://abcnews.com/US/live-updates/severe-winter-storm-live-updates-northeast-braces-blizzard/?id=130378101" TargetMode="External"/><Relationship Id="rId200" Type="http://schemas.openxmlformats.org/officeDocument/2006/relationships/hyperlink" Target="https://nltimes.nl/2025/01/11/eindhoven-airport-faces-delays-due-fog" TargetMode="External"/><Relationship Id="rId321" Type="http://schemas.openxmlformats.org/officeDocument/2006/relationships/hyperlink" Target="https://ftnnews.com/travel-news/rail/italy-faces-wave-of-transport-strikes-in-october-impacting-rail-and-air-travel/" TargetMode="External"/><Relationship Id="rId442" Type="http://schemas.openxmlformats.org/officeDocument/2006/relationships/hyperlink" Target="https://abcnews.com/US/live-updates/severe-winter-storm-live-updates-northeast-braces-blizzard/?id=130378101" TargetMode="External"/><Relationship Id="rId320" Type="http://schemas.openxmlformats.org/officeDocument/2006/relationships/hyperlink" Target="https://ftnnews.com/travel-news/rail/italy-faces-wave-of-transport-strikes-in-october-impacting-rail-and-air-travel/" TargetMode="External"/><Relationship Id="rId441" Type="http://schemas.openxmlformats.org/officeDocument/2006/relationships/hyperlink" Target="https://abcnews.com/US/live-updates/severe-winter-storm-live-updates-northeast-braces-blizzard/?id=130378101" TargetMode="External"/><Relationship Id="rId316" Type="http://schemas.openxmlformats.org/officeDocument/2006/relationships/hyperlink" Target="https://www.reuters.com/en/cyberattack-causes-flight-delays-cancellations-brussels-airport-2025-09-20/" TargetMode="External"/><Relationship Id="rId437" Type="http://schemas.openxmlformats.org/officeDocument/2006/relationships/hyperlink" Target="https://edition.cnn.com/weather/live-news/winter-storm-forecast-snow-ice-01-25-26-climate?post-id=cmkue208y00003b6r0f7rawug" TargetMode="External"/><Relationship Id="rId315" Type="http://schemas.openxmlformats.org/officeDocument/2006/relationships/hyperlink" Target="https://www.reuters.com/en/cyberattack-causes-flight-delays-cancellations-brussels-airport-2025-09-20/" TargetMode="External"/><Relationship Id="rId436" Type="http://schemas.openxmlformats.org/officeDocument/2006/relationships/hyperlink" Target="https://www.reuters.com/world/snow-causes-delays-some-cancellations-frankfurt-airport-2026-02-03/" TargetMode="External"/><Relationship Id="rId314" Type="http://schemas.openxmlformats.org/officeDocument/2006/relationships/hyperlink" Target="https://www.reuters.com/en/cyberattack-causes-flight-delays-cancellations-brussels-airport-2025-09-20/" TargetMode="External"/><Relationship Id="rId435" Type="http://schemas.openxmlformats.org/officeDocument/2006/relationships/hyperlink" Target="https://www.visahq.com/news/2026-01-05/it/instrument-landing-system-failure-at-milan-bergamo-ripples-across-european-flight-schedules/" TargetMode="External"/><Relationship Id="rId313" Type="http://schemas.openxmlformats.org/officeDocument/2006/relationships/hyperlink" Target="https://www.reuters.com/en/cyberattack-causes-flight-delays-cancellations-brussels-airport-2025-09-20/" TargetMode="External"/><Relationship Id="rId434" Type="http://schemas.openxmlformats.org/officeDocument/2006/relationships/hyperlink" Target="https://www.visahq.com/news/2026-01-05/it/instrument-landing-system-failure-at-milan-bergamo-ripples-across-european-flight-schedules/" TargetMode="External"/><Relationship Id="rId319" Type="http://schemas.openxmlformats.org/officeDocument/2006/relationships/hyperlink" Target="https://airlive.net/incident/2025/09/14/krakow-airport-closed-following-boeing-737-incident/" TargetMode="External"/><Relationship Id="rId318" Type="http://schemas.openxmlformats.org/officeDocument/2006/relationships/hyperlink" Target="https://www.irishtimes.com/ireland/dublin/2025/09/20/dublin-airports-terminal-2-evacuated-as-precautionary-measure/" TargetMode="External"/><Relationship Id="rId439" Type="http://schemas.openxmlformats.org/officeDocument/2006/relationships/hyperlink" Target="https://abcnews.com/US/live-updates/severe-winter-storm-live-updates-northeast-braces-blizzard/?id=130378101" TargetMode="External"/><Relationship Id="rId317" Type="http://schemas.openxmlformats.org/officeDocument/2006/relationships/hyperlink" Target="https://www.reuters.com/en/cyberattack-causes-flight-delays-cancellations-brussels-airport-2025-09-20/" TargetMode="External"/><Relationship Id="rId438" Type="http://schemas.openxmlformats.org/officeDocument/2006/relationships/hyperlink" Target="https://nltimes.nl/2026/02/15/575-flights-cancelled-delayed-schiphol-amid-snow-50-affected-tomorrow" TargetMode="External"/><Relationship Id="rId312" Type="http://schemas.openxmlformats.org/officeDocument/2006/relationships/hyperlink" Target="https://www.reuters.com/en/cyberattack-causes-flight-delays-cancellations-brussels-airport-2025-09-20/" TargetMode="External"/><Relationship Id="rId433" Type="http://schemas.openxmlformats.org/officeDocument/2006/relationships/hyperlink" Target="https://money-tourism.gr/en/hurricane-melissa-causes-flight-cancellations-and-chaos-at-airports-in-jamaica/" TargetMode="External"/><Relationship Id="rId311" Type="http://schemas.openxmlformats.org/officeDocument/2006/relationships/hyperlink" Target="https://www.reuters.com/en/cyberattack-causes-flight-delays-cancellations-brussels-airport-2025-09-20/" TargetMode="External"/><Relationship Id="rId432" Type="http://schemas.openxmlformats.org/officeDocument/2006/relationships/hyperlink" Target="https://money-tourism.gr/en/hurricane-melissa-causes-flight-cancellations-and-chaos-at-airports-in-jamaica/" TargetMode="External"/><Relationship Id="rId310" Type="http://schemas.openxmlformats.org/officeDocument/2006/relationships/hyperlink" Target="https://www.reuters.com/en/cyberattack-causes-flight-delays-cancellations-brussels-airport-2025-09-20/" TargetMode="External"/><Relationship Id="rId431" Type="http://schemas.openxmlformats.org/officeDocument/2006/relationships/hyperlink" Target="https://money-tourism.gr/en/hurricane-melissa-causes-flight-cancellations-and-chaos-at-airports-in-jamaica/" TargetMode="External"/><Relationship Id="rId430" Type="http://schemas.openxmlformats.org/officeDocument/2006/relationships/hyperlink" Target="https://money-tourism.gr/en/hurricane-melissa-causes-flight-cancellations-and-chaos-at-airports-in-jamaic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tuifly.be/en/complaint-others" TargetMode="External"/><Relationship Id="rId194" Type="http://schemas.openxmlformats.org/officeDocument/2006/relationships/hyperlink" Target="https://www.tunisairexpress.net/en/complaints-and-customer-assistance/" TargetMode="External"/><Relationship Id="rId193" Type="http://schemas.openxmlformats.org/officeDocument/2006/relationships/hyperlink" Target="https://www.tunisair.com/fr/reclamation?category_id=1" TargetMode="External"/><Relationship Id="rId192" Type="http://schemas.openxmlformats.org/officeDocument/2006/relationships/hyperlink" Target="https://www.tuiflynordic.se/forseningar-och-reklamationer/formular/" TargetMode="External"/><Relationship Id="rId191" Type="http://schemas.openxmlformats.org/officeDocument/2006/relationships/hyperlink" Target="https://fd5.formdesk.com/tuinederland/VluchtvertragingenTUIfly" TargetMode="External"/><Relationship Id="rId187" Type="http://schemas.openxmlformats.org/officeDocument/2006/relationships/hyperlink" Target="mailto:putnici@trade-air.com" TargetMode="External"/><Relationship Id="rId186" Type="http://schemas.openxmlformats.org/officeDocument/2006/relationships/hyperlink" Target="https://www.smartwings.com/en/contact-form" TargetMode="External"/><Relationship Id="rId185" Type="http://schemas.openxmlformats.org/officeDocument/2006/relationships/hyperlink" Target="https://www.transavia.com/claims" TargetMode="External"/><Relationship Id="rId184" Type="http://schemas.openxmlformats.org/officeDocument/2006/relationships/hyperlink" Target="https://www.tui.co.uk/destinations/contact-us/flight-delays" TargetMode="External"/><Relationship Id="rId189" Type="http://schemas.openxmlformats.org/officeDocument/2006/relationships/hyperlink" Target="https://claims.tuifly.com/tuifly/v1/claims/choose_claimant_type" TargetMode="External"/><Relationship Id="rId188" Type="http://schemas.openxmlformats.org/officeDocument/2006/relationships/hyperlink" Target="https://www.tui.co.uk/destinations/contact-us/flight-delays" TargetMode="External"/><Relationship Id="rId183" Type="http://schemas.openxmlformats.org/officeDocument/2006/relationships/hyperlink" Target="https://nltg.jotform.com/212292644592358?data-lang=DA" TargetMode="External"/><Relationship Id="rId182" Type="http://schemas.openxmlformats.org/officeDocument/2006/relationships/hyperlink" Target="https://www.tarom.ro/en/complaints-related-flights" TargetMode="External"/><Relationship Id="rId181" Type="http://schemas.openxmlformats.org/officeDocument/2006/relationships/hyperlink" Target="https://www.latamairlines.com/ca/en/help-center/create-case" TargetMode="External"/><Relationship Id="rId180" Type="http://schemas.openxmlformats.org/officeDocument/2006/relationships/hyperlink" Target="https://www.swiss.com/hu/en/customer-support/contact-us/feedback-past-flight" TargetMode="External"/><Relationship Id="rId176" Type="http://schemas.openxmlformats.org/officeDocument/2006/relationships/hyperlink" Target="https://nltg.jotform.com/212292644592358?language=da" TargetMode="External"/><Relationship Id="rId175" Type="http://schemas.openxmlformats.org/officeDocument/2006/relationships/hyperlink" Target="https://customerservices.sunexpress.com/s/?language=en_US&amp;_gl=1*1yc3nzu*_up*MQ..*_ga*MjAxMDAyMjk5OC4xNzAzNDE1NTcy*_ga_4VKC9RR1V5*MTcwMzQxNTU3Mi4xLjEuMTcwMzQxNTk5My4wLjAuMA.." TargetMode="External"/><Relationship Id="rId174" Type="http://schemas.openxmlformats.org/officeDocument/2006/relationships/hyperlink" Target="mailto:reservationslis@stpairways.st" TargetMode="External"/><Relationship Id="rId173" Type="http://schemas.openxmlformats.org/officeDocument/2006/relationships/hyperlink" Target="http://customersupport.spirit.com/create-case" TargetMode="External"/><Relationship Id="rId179" Type="http://schemas.openxmlformats.org/officeDocument/2006/relationships/hyperlink" Target="https://www.swiftair.com/canal-de-denuncias/" TargetMode="External"/><Relationship Id="rId178" Type="http://schemas.openxmlformats.org/officeDocument/2006/relationships/hyperlink" Target="https://www.flyslm.com/support-center/contact-us/claims-complains" TargetMode="External"/><Relationship Id="rId177" Type="http://schemas.openxmlformats.org/officeDocument/2006/relationships/hyperlink" Target="https://www.sunwing.ca/en/sunwing-airlines/delay-claim" TargetMode="External"/><Relationship Id="rId198" Type="http://schemas.openxmlformats.org/officeDocument/2006/relationships/hyperlink" Target="https://www.united.com/en/us/refunds" TargetMode="External"/><Relationship Id="rId197" Type="http://schemas.openxmlformats.org/officeDocument/2006/relationships/hyperlink" Target="https://www.united.com/en/us/customercare" TargetMode="External"/><Relationship Id="rId196" Type="http://schemas.openxmlformats.org/officeDocument/2006/relationships/hyperlink" Target="mailto:twayairit@gmail.com" TargetMode="External"/><Relationship Id="rId195" Type="http://schemas.openxmlformats.org/officeDocument/2006/relationships/hyperlink" Target="https://www.turkishairlines.com/en-int/any-questions/customer-relations/feedback/" TargetMode="External"/><Relationship Id="rId199" Type="http://schemas.openxmlformats.org/officeDocument/2006/relationships/hyperlink" Target="https://www.uralairlines.ru/upload/vozvrat.docx" TargetMode="External"/><Relationship Id="rId150" Type="http://schemas.openxmlformats.org/officeDocument/2006/relationships/hyperlink" Target="https://www.qantas.com/au/en/support/contact-us/customer-care-feedback-form.html" TargetMode="External"/><Relationship Id="rId1" Type="http://schemas.openxmlformats.org/officeDocument/2006/relationships/hyperlink" Target="https://albastar.es/en/contact/" TargetMode="External"/><Relationship Id="rId2" Type="http://schemas.openxmlformats.org/officeDocument/2006/relationships/hyperlink" Target="https://aegeanairlines.custhelp.com/app/email" TargetMode="External"/><Relationship Id="rId3" Type="http://schemas.openxmlformats.org/officeDocument/2006/relationships/hyperlink" Target="https://www.aerlingus.com/app/support/forms/complaints-form" TargetMode="External"/><Relationship Id="rId149" Type="http://schemas.openxmlformats.org/officeDocument/2006/relationships/hyperlink" Target="https://www.flyporter.com/en-ca/customer-service/help-contact/claims/compensation-eligibility-check" TargetMode="External"/><Relationship Id="rId4" Type="http://schemas.openxmlformats.org/officeDocument/2006/relationships/hyperlink" Target="https://www.aeroitalia.com/en/contact_form" TargetMode="External"/><Relationship Id="rId148" Type="http://schemas.openxmlformats.org/officeDocument/2006/relationships/hyperlink" Target="https://www.lot.com/content/dam/lot/lot-com/documents/reklamacje-pasazerskie-poa/POA.pdf" TargetMode="External"/><Relationship Id="rId9" Type="http://schemas.openxmlformats.org/officeDocument/2006/relationships/hyperlink" Target="https://doleances.airalgerie.dz/reclamation/forms" TargetMode="External"/><Relationship Id="rId143" Type="http://schemas.openxmlformats.org/officeDocument/2006/relationships/hyperlink" Target="https://www.oai.aero/contact" TargetMode="External"/><Relationship Id="rId142" Type="http://schemas.openxmlformats.org/officeDocument/2006/relationships/hyperlink" Target="https://services.omanair.com/gbl/en/feedback" TargetMode="External"/><Relationship Id="rId141" Type="http://schemas.openxmlformats.org/officeDocument/2006/relationships/hyperlink" Target="https://olympicair.custhelp.com/app/ask/session/" TargetMode="External"/><Relationship Id="rId140" Type="http://schemas.openxmlformats.org/officeDocument/2006/relationships/hyperlink" Target="https://booking.nouvelair.com/ibe/feedback?lang-frfr" TargetMode="External"/><Relationship Id="rId5" Type="http://schemas.openxmlformats.org/officeDocument/2006/relationships/hyperlink" Target="https://www.aeroflot.ru/us-en/help/questions/claim/delayed_flight" TargetMode="External"/><Relationship Id="rId147" Type="http://schemas.openxmlformats.org/officeDocument/2006/relationships/hyperlink" Target="https://www.lot.com/pl/en/help-center/contact/forms/form-claim-after-departure" TargetMode="External"/><Relationship Id="rId6" Type="http://schemas.openxmlformats.org/officeDocument/2006/relationships/hyperlink" Target="https://www.aerolineas.com.ar/en-eu/reservation-services/customer-service-contact" TargetMode="External"/><Relationship Id="rId146" Type="http://schemas.openxmlformats.org/officeDocument/2006/relationships/hyperlink" Target="https://static.plusultra.com/media/1003/formulario-reclamaciones-version-word_en.pdf" TargetMode="External"/><Relationship Id="rId7" Type="http://schemas.openxmlformats.org/officeDocument/2006/relationships/hyperlink" Target="https://ww2.aerolineas.com.ar/en-ar/contacto/contactoatencioncliente" TargetMode="External"/><Relationship Id="rId145" Type="http://schemas.openxmlformats.org/officeDocument/2006/relationships/hyperlink" Target="https://pal.my.site.com/s/submit-a-request" TargetMode="External"/><Relationship Id="rId8" Type="http://schemas.openxmlformats.org/officeDocument/2006/relationships/hyperlink" Target="https://aeromexico.com/es-mx/contacto" TargetMode="External"/><Relationship Id="rId144" Type="http://schemas.openxmlformats.org/officeDocument/2006/relationships/hyperlink" Target="https://www.flypgs.com/en/write-to-us/delays" TargetMode="External"/><Relationship Id="rId139" Type="http://schemas.openxmlformats.org/officeDocument/2006/relationships/hyperlink" Target="https://www.norwegian.com/en/travel-info/delayed-and-cancelled-flights/" TargetMode="External"/><Relationship Id="rId138" Type="http://schemas.openxmlformats.org/officeDocument/2006/relationships/hyperlink" Target="https://norseatlantic.typeform.com/compensation" TargetMode="External"/><Relationship Id="rId137" Type="http://schemas.openxmlformats.org/officeDocument/2006/relationships/hyperlink" Target="https://www.nileair.com/contact-us" TargetMode="External"/><Relationship Id="rId132" Type="http://schemas.openxmlformats.org/officeDocument/2006/relationships/hyperlink" Target="https://flymarabu.com/en/contact/" TargetMode="External"/><Relationship Id="rId131" Type="http://schemas.openxmlformats.org/officeDocument/2006/relationships/hyperlink" Target="https://www.malaysiaairlines.com/content/dam/mas/pdf/Consent_Letter_Malaysia_Airlines_Berhad.pdf" TargetMode="External"/><Relationship Id="rId130" Type="http://schemas.openxmlformats.org/officeDocument/2006/relationships/hyperlink" Target="https://www.malaysiaairlines.com/my/en/askmh/contact-us-form.html" TargetMode="External"/><Relationship Id="rId136" Type="http://schemas.openxmlformats.org/officeDocument/2006/relationships/hyperlink" Target="https://customercare.neosair.it/" TargetMode="External"/><Relationship Id="rId135" Type="http://schemas.openxmlformats.org/officeDocument/2006/relationships/hyperlink" Target="https://www.mea.com.lb/english/support/contact-us" TargetMode="External"/><Relationship Id="rId134" Type="http://schemas.openxmlformats.org/officeDocument/2006/relationships/hyperlink" Target="https://mga.aero/customer-services/help-and-contact" TargetMode="External"/><Relationship Id="rId133" Type="http://schemas.openxmlformats.org/officeDocument/2006/relationships/hyperlink" Target="https://commercial.flymarathon.aero/contact-us/" TargetMode="External"/><Relationship Id="rId172" Type="http://schemas.openxmlformats.org/officeDocument/2006/relationships/hyperlink" Target="https://help.southwindairlines.com/forms/claim" TargetMode="External"/><Relationship Id="rId171" Type="http://schemas.openxmlformats.org/officeDocument/2006/relationships/hyperlink" Target="https://support.southwest.com/email-us/s/" TargetMode="External"/><Relationship Id="rId170" Type="http://schemas.openxmlformats.org/officeDocument/2006/relationships/hyperlink" Target="https://www.flysaa.com/about-us/leading-carrier/our-vision/customer-service-charter" TargetMode="External"/><Relationship Id="rId165" Type="http://schemas.openxmlformats.org/officeDocument/2006/relationships/hyperlink" Target="https://www.singaporeair.com/saar5/pdf/Letter-of-Authorisation.pdf" TargetMode="External"/><Relationship Id="rId164" Type="http://schemas.openxmlformats.org/officeDocument/2006/relationships/hyperlink" Target="https://www.singaporeair.com/feedback-form/FeedbackContent" TargetMode="External"/><Relationship Id="rId163" Type="http://schemas.openxmlformats.org/officeDocument/2006/relationships/hyperlink" Target="https://os.flyscoot.com/customerserviceform/" TargetMode="External"/><Relationship Id="rId162" Type="http://schemas.openxmlformats.org/officeDocument/2006/relationships/hyperlink" Target="https://www.saudia.com/pages/help/contact-us/guest-relations/contact-form" TargetMode="External"/><Relationship Id="rId169" Type="http://schemas.openxmlformats.org/officeDocument/2006/relationships/hyperlink" Target="https://claim.smartwingsgroup.com/en/" TargetMode="External"/><Relationship Id="rId168" Type="http://schemas.openxmlformats.org/officeDocument/2006/relationships/hyperlink" Target="https://www.smartlynx.aero/en/passengers/claims" TargetMode="External"/><Relationship Id="rId167" Type="http://schemas.openxmlformats.org/officeDocument/2006/relationships/hyperlink" Target="https://skyup.aero/en/faq" TargetMode="External"/><Relationship Id="rId166" Type="http://schemas.openxmlformats.org/officeDocument/2006/relationships/hyperlink" Target="https://www.esky.eu/about-us/contact" TargetMode="External"/><Relationship Id="rId161" Type="http://schemas.openxmlformats.org/officeDocument/2006/relationships/hyperlink" Target="https://www.azoresairlines.pt/en/support/contact-us/claim" TargetMode="External"/><Relationship Id="rId160" Type="http://schemas.openxmlformats.org/officeDocument/2006/relationships/hyperlink" Target="https://www.flysas.com/en/customer-service/contact/forms/claim-eu261/" TargetMode="External"/><Relationship Id="rId159" Type="http://schemas.openxmlformats.org/officeDocument/2006/relationships/hyperlink" Target="http://www.s7.ru/home/about/contactus.dot" TargetMode="External"/><Relationship Id="rId154" Type="http://schemas.openxmlformats.org/officeDocument/2006/relationships/hyperlink" Target="https://www.rossiya-airlines.com/en/about/contacts/feedback/help/?THEME_ID=61084" TargetMode="External"/><Relationship Id="rId153" Type="http://schemas.openxmlformats.org/officeDocument/2006/relationships/hyperlink" Target="https://www.qatarairways.com/en/help/contact-us.html?iid=ALL74246290" TargetMode="External"/><Relationship Id="rId152" Type="http://schemas.openxmlformats.org/officeDocument/2006/relationships/hyperlink" Target="https://www.qatarairways.com/en/help/contact-us.html?iid=ALL74246290" TargetMode="External"/><Relationship Id="rId151" Type="http://schemas.openxmlformats.org/officeDocument/2006/relationships/hyperlink" Target="https://www.qatarairways.com/en/help/feedback.html" TargetMode="External"/><Relationship Id="rId158" Type="http://schemas.openxmlformats.org/officeDocument/2006/relationships/hyperlink" Target="https://onlineform.ryanair.com/gb/en/eu-261" TargetMode="External"/><Relationship Id="rId157" Type="http://schemas.openxmlformats.org/officeDocument/2006/relationships/hyperlink" Target="https://help.ryanair.com/hc/en-us/requests/new" TargetMode="External"/><Relationship Id="rId156" Type="http://schemas.openxmlformats.org/officeDocument/2006/relationships/hyperlink" Target="https://feedback.rj.com/createcase/" TargetMode="External"/><Relationship Id="rId155" Type="http://schemas.openxmlformats.org/officeDocument/2006/relationships/hyperlink" Target="https://www.royalairmaroc.com/int-en/information/service-claims" TargetMode="External"/><Relationship Id="rId40" Type="http://schemas.openxmlformats.org/officeDocument/2006/relationships/hyperlink" Target="https://www.airprishtina.com/en/contact-form/" TargetMode="External"/><Relationship Id="rId42" Type="http://schemas.openxmlformats.org/officeDocument/2006/relationships/hyperlink" Target="https://www.airtanzania.co.tz/contact-form" TargetMode="External"/><Relationship Id="rId41" Type="http://schemas.openxmlformats.org/officeDocument/2006/relationships/hyperlink" Target="https://www.airtahitinui.com/en/contact-us" TargetMode="External"/><Relationship Id="rId44" Type="http://schemas.openxmlformats.org/officeDocument/2006/relationships/hyperlink" Target="https://www.airbaltic.com/en/submit-a-claim" TargetMode="External"/><Relationship Id="rId43" Type="http://schemas.openxmlformats.org/officeDocument/2006/relationships/hyperlink" Target="https://www.airtransat.com/en-CA/forms/claim-for-flight-delay" TargetMode="External"/><Relationship Id="rId46" Type="http://schemas.openxmlformats.org/officeDocument/2006/relationships/hyperlink" Target="https://www.alaskaair.com/feedback/general-comments" TargetMode="External"/><Relationship Id="rId45" Type="http://schemas.openxmlformats.org/officeDocument/2006/relationships/hyperlink" Target="https://ajet.com/en/corporate/feedback-form" TargetMode="External"/><Relationship Id="rId48" Type="http://schemas.openxmlformats.org/officeDocument/2006/relationships/hyperlink" Target="https://www.amcaviation.eu/?lang=en" TargetMode="External"/><Relationship Id="rId47" Type="http://schemas.openxmlformats.org/officeDocument/2006/relationships/hyperlink" Target="https://www.albawings.com/en/contact" TargetMode="External"/><Relationship Id="rId49" Type="http://schemas.openxmlformats.org/officeDocument/2006/relationships/hyperlink" Target="https://www.aa.com/contact/forms?topic=CR" TargetMode="External"/><Relationship Id="rId31" Type="http://schemas.openxmlformats.org/officeDocument/2006/relationships/hyperlink" Target="https://en.airmoana.com/en/help-center/contact-us/customer-service" TargetMode="External"/><Relationship Id="rId30" Type="http://schemas.openxmlformats.org/officeDocument/2006/relationships/hyperlink" Target="https://www.flyairlink.com/en/za/need-help" TargetMode="External"/><Relationship Id="rId33" Type="http://schemas.openxmlformats.org/officeDocument/2006/relationships/hyperlink" Target="https://airmontenegro.com/en/contact/claims-form" TargetMode="External"/><Relationship Id="rId32" Type="http://schemas.openxmlformats.org/officeDocument/2006/relationships/hyperlink" Target="https://dbc.airmontenegro.com/" TargetMode="External"/><Relationship Id="rId35" Type="http://schemas.openxmlformats.org/officeDocument/2006/relationships/hyperlink" Target="https://www.airmoldova.md/mailus-en/" TargetMode="External"/><Relationship Id="rId34" Type="http://schemas.openxmlformats.org/officeDocument/2006/relationships/hyperlink" Target="https://www.airmauritius.com/en-gb/help/customer-support" TargetMode="External"/><Relationship Id="rId37" Type="http://schemas.openxmlformats.org/officeDocument/2006/relationships/hyperlink" Target="https://www.airnewzealand.co.nz/feedback/complaint/" TargetMode="External"/><Relationship Id="rId36" Type="http://schemas.openxmlformats.org/officeDocument/2006/relationships/hyperlink" Target="https://ana-support.my.site.com/enus/s/atmint-en?cc=us" TargetMode="External"/><Relationship Id="rId39" Type="http://schemas.openxmlformats.org/officeDocument/2006/relationships/hyperlink" Target="https://www.olympicair.com/en/customerhelp/" TargetMode="External"/><Relationship Id="rId38" Type="http://schemas.openxmlformats.org/officeDocument/2006/relationships/hyperlink" Target="https://www.iberia.com/gb/customer-relations/" TargetMode="External"/><Relationship Id="rId20" Type="http://schemas.openxmlformats.org/officeDocument/2006/relationships/hyperlink" Target="https://hda_s_form.airdolomiti.it/CustomerPortal_Forms/" TargetMode="External"/><Relationship Id="rId22" Type="http://schemas.openxmlformats.org/officeDocument/2006/relationships/hyperlink" Target="https://wwws.airfrance.co.uk/claim" TargetMode="External"/><Relationship Id="rId21" Type="http://schemas.openxmlformats.org/officeDocument/2006/relationships/hyperlink" Target="https://www.aireuropa.com/ot/en/complaints-compliments" TargetMode="External"/><Relationship Id="rId24" Type="http://schemas.openxmlformats.org/officeDocument/2006/relationships/hyperlink" Target="https://wwws.airfrance.us/refund" TargetMode="External"/><Relationship Id="rId23" Type="http://schemas.openxmlformats.org/officeDocument/2006/relationships/hyperlink" Target="https://refunds.klm.com/AirfranceRPS/Forms/frmMain.aspx" TargetMode="External"/><Relationship Id="rId26" Type="http://schemas.openxmlformats.org/officeDocument/2006/relationships/hyperlink" Target="https://kundeservice.airgreenland.gl/hc/en-us/requests/new" TargetMode="External"/><Relationship Id="rId25" Type="http://schemas.openxmlformats.org/officeDocument/2006/relationships/hyperlink" Target="https://wwws.airfrance.us/claim/track-a-claim" TargetMode="External"/><Relationship Id="rId28" Type="http://schemas.openxmlformats.org/officeDocument/2006/relationships/hyperlink" Target="https://airhorizont.com/en/contact-us/" TargetMode="External"/><Relationship Id="rId27" Type="http://schemas.openxmlformats.org/officeDocument/2006/relationships/hyperlink" Target="https://kundeservice.airgreenland.gl/hc/en-us/requests/new" TargetMode="External"/><Relationship Id="rId29" Type="http://schemas.openxmlformats.org/officeDocument/2006/relationships/hyperlink" Target="https://www.airindia.com/in/en/contact-us/customer-support-portal/queries.html" TargetMode="External"/><Relationship Id="rId11" Type="http://schemas.openxmlformats.org/officeDocument/2006/relationships/hyperlink" Target="https://sav.air-austral.com/en/complaints/new" TargetMode="External"/><Relationship Id="rId10" Type="http://schemas.openxmlformats.org/officeDocument/2006/relationships/hyperlink" Target="https://airanka.com.tr/contact-us/" TargetMode="External"/><Relationship Id="rId13" Type="http://schemas.openxmlformats.org/officeDocument/2006/relationships/hyperlink" Target="https://flyairsenegal.com/en/contact/" TargetMode="External"/><Relationship Id="rId12" Type="http://schemas.openxmlformats.org/officeDocument/2006/relationships/hyperlink" Target="https://flyairsenegal.com/en/contact/our-agencies/serviceclient@airsenegalsa.sn" TargetMode="External"/><Relationship Id="rId15" Type="http://schemas.openxmlformats.org/officeDocument/2006/relationships/hyperlink" Target="https://forms.airarabia.com/" TargetMode="External"/><Relationship Id="rId14" Type="http://schemas.openxmlformats.org/officeDocument/2006/relationships/hyperlink" Target="http://www.webcheckin.info/contact" TargetMode="External"/><Relationship Id="rId17" Type="http://schemas.openxmlformats.org/officeDocument/2006/relationships/hyperlink" Target="http://www.aircalin.fr/fr/contact/reclamation-suggestion" TargetMode="External"/><Relationship Id="rId16" Type="http://schemas.openxmlformats.org/officeDocument/2006/relationships/hyperlink" Target="https://accc-prod.microsoftcrmportals.com/en-CA/air-canada-contact-us/" TargetMode="External"/><Relationship Id="rId19" Type="http://schemas.openxmlformats.org/officeDocument/2006/relationships/hyperlink" Target="https://serviceclient.aircorsica.com/s/" TargetMode="External"/><Relationship Id="rId18" Type="http://schemas.openxmlformats.org/officeDocument/2006/relationships/hyperlink" Target="https://sav.cloud.aircaraibes.com/en/formulaire-reclamation?_gl=1*1d2249r*_ga*MTE1NjI2MDk2Ni4xNzAyOTIxMjY5*_ga_4NB3LGYGFQ*MTcwMjkyMTI3Mi4xLjEuMTcwMjkyMTU3Mi4wLjAuMA.." TargetMode="External"/><Relationship Id="rId84" Type="http://schemas.openxmlformats.org/officeDocument/2006/relationships/hyperlink" Target="https://www.electra-airways.com/about-us/" TargetMode="External"/><Relationship Id="rId83" Type="http://schemas.openxmlformats.org/officeDocument/2006/relationships/hyperlink" Target="https://contactus.elal.com/contactus/page0/0?lang=en&amp;rid=3OY9-9CWsKE" TargetMode="External"/><Relationship Id="rId86" Type="http://schemas.openxmlformats.org/officeDocument/2006/relationships/hyperlink" Target="https://reklamacje.enterair.pl/" TargetMode="External"/><Relationship Id="rId85" Type="http://schemas.openxmlformats.org/officeDocument/2006/relationships/hyperlink" Target="https://www.emirates.com/english/help/forms/complaint/" TargetMode="External"/><Relationship Id="rId88" Type="http://schemas.openxmlformats.org/officeDocument/2006/relationships/hyperlink" Target="mailto:supportclient@aslairlines.com" TargetMode="External"/><Relationship Id="rId87" Type="http://schemas.openxmlformats.org/officeDocument/2006/relationships/hyperlink" Target="https://www.etihad.com/en-us/about-us/contact-us/feedback/" TargetMode="External"/><Relationship Id="rId89" Type="http://schemas.openxmlformats.org/officeDocument/2006/relationships/hyperlink" Target="https://support.aslairlines.fr/en/form/identification/" TargetMode="External"/><Relationship Id="rId80" Type="http://schemas.openxmlformats.org/officeDocument/2006/relationships/hyperlink" Target="https://form.jotform.com/222552670822353" TargetMode="External"/><Relationship Id="rId82" Type="http://schemas.openxmlformats.org/officeDocument/2006/relationships/hyperlink" Target="https://www.flyedelweiss.com/ch/en/customer-service/eu261-compensation-form.html" TargetMode="External"/><Relationship Id="rId81" Type="http://schemas.openxmlformats.org/officeDocument/2006/relationships/hyperlink" Target="https://www.easyjet.com/en/claim/eu261" TargetMode="External"/><Relationship Id="rId73" Type="http://schemas.openxmlformats.org/officeDocument/2006/relationships/hyperlink" Target="https://www.cyprusairways.com/about/contactus.dot" TargetMode="External"/><Relationship Id="rId72" Type="http://schemas.openxmlformats.org/officeDocument/2006/relationships/hyperlink" Target="https://www.croatiaairlines.com/en/customer/request-type" TargetMode="External"/><Relationship Id="rId75" Type="http://schemas.openxmlformats.org/officeDocument/2006/relationships/hyperlink" Target="https://dat.formstack.com/forms/compensation_claim" TargetMode="External"/><Relationship Id="rId74" Type="http://schemas.openxmlformats.org/officeDocument/2006/relationships/hyperlink" Target="https://www.csa.cz/cz-en/contact-form/" TargetMode="External"/><Relationship Id="rId77" Type="http://schemas.openxmlformats.org/officeDocument/2006/relationships/hyperlink" Target="https://flydanaair.com/contact-us/" TargetMode="External"/><Relationship Id="rId76" Type="http://schemas.openxmlformats.org/officeDocument/2006/relationships/hyperlink" Target="https://danair.ro/contact" TargetMode="External"/><Relationship Id="rId79" Type="http://schemas.openxmlformats.org/officeDocument/2006/relationships/hyperlink" Target="https://www.discover-airlines.com/en/customer-service/contact-form/" TargetMode="External"/><Relationship Id="rId78" Type="http://schemas.openxmlformats.org/officeDocument/2006/relationships/hyperlink" Target="https://www.delta.com/apac/en/need-help/overview?commentComplaintsForm" TargetMode="External"/><Relationship Id="rId71" Type="http://schemas.openxmlformats.org/officeDocument/2006/relationships/hyperlink" Target="https://www.flycorsair.com/en/make-demand" TargetMode="External"/><Relationship Id="rId70" Type="http://schemas.openxmlformats.org/officeDocument/2006/relationships/hyperlink" Target="https://ccs.corendonairlines.com/" TargetMode="External"/><Relationship Id="rId62" Type="http://schemas.openxmlformats.org/officeDocument/2006/relationships/hyperlink" Target="https://www.canaryfly.es/informacion" TargetMode="External"/><Relationship Id="rId61" Type="http://schemas.openxmlformats.org/officeDocument/2006/relationships/hyperlink" Target="https://onlineform.buzzair.com/us/en/eu-261" TargetMode="External"/><Relationship Id="rId64" Type="http://schemas.openxmlformats.org/officeDocument/2006/relationships/hyperlink" Target="https://www.chair.ch/en/ngcommons/ngcontact/" TargetMode="External"/><Relationship Id="rId63" Type="http://schemas.openxmlformats.org/officeDocument/2006/relationships/hyperlink" Target="https://www.cathaypacific.com/cx/en_US/contact-us/complaints-and-suggestions.html" TargetMode="External"/><Relationship Id="rId66" Type="http://schemas.openxmlformats.org/officeDocument/2006/relationships/hyperlink" Target="https://calec.china-airlines.com/dot-experience/experience.aspx?lang=en-US&amp;country=us&amp;locale=en" TargetMode="External"/><Relationship Id="rId65" Type="http://schemas.openxmlformats.org/officeDocument/2006/relationships/hyperlink" Target="https://us.ceair.com/en/online-consulting.html" TargetMode="External"/><Relationship Id="rId68" Type="http://schemas.openxmlformats.org/officeDocument/2006/relationships/hyperlink" Target="https://help.copaair.com/hc/en-us/requests/new?tf_360045459154=tuve_un_problema_con_mi_boleto_o_mi_vuelo_y_debo_exponer_una_queja&amp;tf_5070193789719=___dc.servicios_adicionales_pagados_no_honrados__&amp;ticket_form_id=360004175854&amp;_gl=1*dwzblg*_ga*MTg4ODc5MjcwLjE3MTIyOTYzMTQ.*_ga_SEJ8DB2YNH*MTcxMjI5NjMxNC4xLjEuMTcxMjI5NjQyNS4yNC4wLjA." TargetMode="External"/><Relationship Id="rId67" Type="http://schemas.openxmlformats.org/officeDocument/2006/relationships/hyperlink" Target="https://www.condor.com/eu/help-contact/contact/customer-relations.jsp" TargetMode="External"/><Relationship Id="rId60" Type="http://schemas.openxmlformats.org/officeDocument/2006/relationships/hyperlink" Target="https://claims.air.bg/" TargetMode="External"/><Relationship Id="rId69" Type="http://schemas.openxmlformats.org/officeDocument/2006/relationships/hyperlink" Target="https://ccs.corendonairlines.com/" TargetMode="External"/><Relationship Id="rId51" Type="http://schemas.openxmlformats.org/officeDocument/2006/relationships/hyperlink" Target="https://avochome.flyasiana.com/complaint/complaintRegist.voc" TargetMode="External"/><Relationship Id="rId50" Type="http://schemas.openxmlformats.org/officeDocument/2006/relationships/hyperlink" Target="https://flyasiana.com/C/US/EN/customer/voc" TargetMode="External"/><Relationship Id="rId53" Type="http://schemas.openxmlformats.org/officeDocument/2006/relationships/hyperlink" Target="https://aurigny.centrik.net/sms/case/externalreport.aspx?ReportingSubsystemId=545a1dcf-edeb-423f-938e-aaed5bd303c6" TargetMode="External"/><Relationship Id="rId52" Type="http://schemas.openxmlformats.org/officeDocument/2006/relationships/hyperlink" Target="https://www.atlanticairways.com/media/2094/passenger_rights_nov_2021.pdf" TargetMode="External"/><Relationship Id="rId55" Type="http://schemas.openxmlformats.org/officeDocument/2006/relationships/hyperlink" Target="https://avionclaims.atlassian.net/servicedesk/customer/portal/1/group/1" TargetMode="External"/><Relationship Id="rId54" Type="http://schemas.openxmlformats.org/officeDocument/2006/relationships/hyperlink" Target="https://www.austrian.com/us/en/footer-pages/help-and-contact/application-for-compensation-in-the-event-of-flight-irregularities" TargetMode="External"/><Relationship Id="rId57" Type="http://schemas.openxmlformats.org/officeDocument/2006/relationships/hyperlink" Target="https://www.bintercanarias.com/en/contact-form" TargetMode="External"/><Relationship Id="rId56" Type="http://schemas.openxmlformats.org/officeDocument/2006/relationships/hyperlink" Target="https://help.azal.az/hc/en-us/requests/new?ticket_form_id=360000014551&amp;_gl=1*1y68sfj*_gcl_au*MTM3MDcyMTM0Ni4xNzI1ODg3Mzcw" TargetMode="External"/><Relationship Id="rId59" Type="http://schemas.openxmlformats.org/officeDocument/2006/relationships/hyperlink" Target="https://www.brusselsairlines.com/be/en/contact/feedback/general/delays-and-cancellation" TargetMode="External"/><Relationship Id="rId58" Type="http://schemas.openxmlformats.org/officeDocument/2006/relationships/hyperlink" Target="https://artvise.flygbra.se/eservice/MyPages.aspx?page=Catalog&amp;menuitemid=mainmenuitem_00000000000000000000000000000001" TargetMode="External"/><Relationship Id="rId107" Type="http://schemas.openxmlformats.org/officeDocument/2006/relationships/hyperlink" Target="https://hayways.aero/" TargetMode="External"/><Relationship Id="rId106" Type="http://schemas.openxmlformats.org/officeDocument/2006/relationships/hyperlink" Target="https://falconflyer.gulfair.com/" TargetMode="External"/><Relationship Id="rId105" Type="http://schemas.openxmlformats.org/officeDocument/2006/relationships/hyperlink" Target="https://gp-aviation.ch/refund-claims/" TargetMode="External"/><Relationship Id="rId104" Type="http://schemas.openxmlformats.org/officeDocument/2006/relationships/hyperlink" Target="https://germanairways.com/kontakt" TargetMode="External"/><Relationship Id="rId109" Type="http://schemas.openxmlformats.org/officeDocument/2006/relationships/hyperlink" Target="https://www.iberia.com/gb/customer-relations/" TargetMode="External"/><Relationship Id="rId108" Type="http://schemas.openxmlformats.org/officeDocument/2006/relationships/hyperlink" Target="https://www.helvetic.com/en/contact/servicecenter" TargetMode="External"/><Relationship Id="rId103" Type="http://schemas.openxmlformats.org/officeDocument/2006/relationships/hyperlink" Target="https://frontiercswprod.powerappsportals.com/contact-us/request-complaint-form/" TargetMode="External"/><Relationship Id="rId102" Type="http://schemas.openxmlformats.org/officeDocument/2006/relationships/hyperlink" Target="https://www.frenchbee.com/en/claims" TargetMode="External"/><Relationship Id="rId101" Type="http://schemas.openxmlformats.org/officeDocument/2006/relationships/hyperlink" Target="https://www.freebirdairlines.com/customer-relations" TargetMode="External"/><Relationship Id="rId100" Type="http://schemas.openxmlformats.org/officeDocument/2006/relationships/hyperlink" Target="https://flyone.eu/en/Contact/Contact-us" TargetMode="External"/><Relationship Id="rId210" Type="http://schemas.openxmlformats.org/officeDocument/2006/relationships/drawing" Target="../drawings/drawing5.xml"/><Relationship Id="rId129" Type="http://schemas.openxmlformats.org/officeDocument/2006/relationships/hyperlink" Target="https://www.luxair.lu/contact" TargetMode="External"/><Relationship Id="rId128" Type="http://schemas.openxmlformats.org/officeDocument/2006/relationships/hyperlink" Target="https://www.lumiwings.com/form/customer-care" TargetMode="External"/><Relationship Id="rId127" Type="http://schemas.openxmlformats.org/officeDocument/2006/relationships/hyperlink" Target="https://www.lufthansa.com/de/en/fast-compensation.html" TargetMode="External"/><Relationship Id="rId126" Type="http://schemas.openxmlformats.org/officeDocument/2006/relationships/hyperlink" Target="https://loganaircrcc.zendesk.com/hc/en-gb/requests/new?ticket_form_id=360003099678" TargetMode="External"/><Relationship Id="rId121" Type="http://schemas.openxmlformats.org/officeDocument/2006/relationships/hyperlink" Target="https://www.kenya-airways.com/en/help/make-an-enquiry/" TargetMode="External"/><Relationship Id="rId120" Type="http://schemas.openxmlformats.org/officeDocument/2006/relationships/hyperlink" Target="https://www.jetskyairways.com/contact" TargetMode="External"/><Relationship Id="rId125" Type="http://schemas.openxmlformats.org/officeDocument/2006/relationships/hyperlink" Target="https://www.latamairlines.com/ca/en/help-center/create-case" TargetMode="External"/><Relationship Id="rId124" Type="http://schemas.openxmlformats.org/officeDocument/2006/relationships/hyperlink" Target="https://ayuda.avianca.com/hc/en-us/requests/new?ticket_form_id=11745634200859" TargetMode="External"/><Relationship Id="rId123" Type="http://schemas.openxmlformats.org/officeDocument/2006/relationships/hyperlink" Target="https://help.kmmaltairlines.com/s/" TargetMode="External"/><Relationship Id="rId122" Type="http://schemas.openxmlformats.org/officeDocument/2006/relationships/hyperlink" Target="https://www.klm.nl/en/claim" TargetMode="External"/><Relationship Id="rId95" Type="http://schemas.openxmlformats.org/officeDocument/2006/relationships/hyperlink" Target="https://www.flyplay.com/en/claims" TargetMode="External"/><Relationship Id="rId94" Type="http://schemas.openxmlformats.org/officeDocument/2006/relationships/hyperlink" Target="https://www.finnair.com/en/customer-care-and-contact-information/contact-and-request-forms/feedback-and-compensation" TargetMode="External"/><Relationship Id="rId97" Type="http://schemas.openxmlformats.org/officeDocument/2006/relationships/hyperlink" Target="https://www.flydubai.com/en/help/contact-us-form" TargetMode="External"/><Relationship Id="rId96" Type="http://schemas.openxmlformats.org/officeDocument/2006/relationships/hyperlink" Target="https://www.flybaghdad.iq/en/feedback/" TargetMode="External"/><Relationship Id="rId99" Type="http://schemas.openxmlformats.org/officeDocument/2006/relationships/hyperlink" Target="https://webformlevel.bsqd.me/" TargetMode="External"/><Relationship Id="rId98" Type="http://schemas.openxmlformats.org/officeDocument/2006/relationships/hyperlink" Target="https://www.flyebl.com/dussseldorf-office/" TargetMode="External"/><Relationship Id="rId91" Type="http://schemas.openxmlformats.org/officeDocument/2006/relationships/hyperlink" Target="https://www.eurowings.com/claimtool" TargetMode="External"/><Relationship Id="rId90" Type="http://schemas.openxmlformats.org/officeDocument/2006/relationships/hyperlink" Target="https://www.eurowings.com/en/faq/flight-disruptions/claims-and-compensation.html" TargetMode="External"/><Relationship Id="rId93" Type="http://schemas.openxmlformats.org/officeDocument/2006/relationships/hyperlink" Target="https://sav.ewa-air.com/fr/complaints/new" TargetMode="External"/><Relationship Id="rId92" Type="http://schemas.openxmlformats.org/officeDocument/2006/relationships/hyperlink" Target="https://booking.evaair.com/flyeva/EVA/B2C/feedback.aspx" TargetMode="External"/><Relationship Id="rId118" Type="http://schemas.openxmlformats.org/officeDocument/2006/relationships/hyperlink" Target="https://www.jet2.com/delays-and-disruptions" TargetMode="External"/><Relationship Id="rId117" Type="http://schemas.openxmlformats.org/officeDocument/2006/relationships/hyperlink" Target="https://www.airserbia.com/en/feedback" TargetMode="External"/><Relationship Id="rId116" Type="http://schemas.openxmlformats.org/officeDocument/2006/relationships/hyperlink" Target="https://www.complaint.ita-airways.com/s/complaint?language=en_US&amp;market=EN" TargetMode="External"/><Relationship Id="rId115" Type="http://schemas.openxmlformats.org/officeDocument/2006/relationships/hyperlink" Target="https://www.complaint.ita-airways.com/s/complaint?language=en_US&amp;market=EN" TargetMode="External"/><Relationship Id="rId119" Type="http://schemas.openxmlformats.org/officeDocument/2006/relationships/hyperlink" Target="https://jetbluevoc.co1.qualtrics.com/jfe/form/SV_6gQoaNYRuosY08l" TargetMode="External"/><Relationship Id="rId110" Type="http://schemas.openxmlformats.org/officeDocument/2006/relationships/hyperlink" Target="https://www.iberojet.com/en/requests/claims" TargetMode="External"/><Relationship Id="rId114" Type="http://schemas.openxmlformats.org/officeDocument/2006/relationships/hyperlink" Target="https://customercarecontacts.com/submit-complaint/" TargetMode="External"/><Relationship Id="rId113" Type="http://schemas.openxmlformats.org/officeDocument/2006/relationships/hyperlink" Target="https://www.intercaribbean.com/contact-us.html" TargetMode="External"/><Relationship Id="rId112" Type="http://schemas.openxmlformats.org/officeDocument/2006/relationships/hyperlink" Target="https://interglobe.my.site.com/claim/s/compensation-claim" TargetMode="External"/><Relationship Id="rId111" Type="http://schemas.openxmlformats.org/officeDocument/2006/relationships/hyperlink" Target="https://www.iberojet.com/es/solicitudes/reclamaciones" TargetMode="External"/><Relationship Id="rId206" Type="http://schemas.openxmlformats.org/officeDocument/2006/relationships/hyperlink" Target="https://www.westjet.com/en-ca/interruptions/eu-alternate-dispute/european-regulation" TargetMode="External"/><Relationship Id="rId205" Type="http://schemas.openxmlformats.org/officeDocument/2006/relationships/hyperlink" Target="https://www.vueling.com/en/we-are-vueling/contact" TargetMode="External"/><Relationship Id="rId204" Type="http://schemas.openxmlformats.org/officeDocument/2006/relationships/hyperlink" Target="https://www.volotea.com/en/contact/complaints-delay/" TargetMode="External"/><Relationship Id="rId203" Type="http://schemas.openxmlformats.org/officeDocument/2006/relationships/hyperlink" Target="https://www.airvistara.com/bd/en/vistara-help" TargetMode="External"/><Relationship Id="rId209" Type="http://schemas.openxmlformats.org/officeDocument/2006/relationships/hyperlink" Target="https://www.w2fly.es/es-es/centro-de-atencion" TargetMode="External"/><Relationship Id="rId208" Type="http://schemas.openxmlformats.org/officeDocument/2006/relationships/hyperlink" Target="https://claim.wizzair.com/ClaimCompanies" TargetMode="External"/><Relationship Id="rId207" Type="http://schemas.openxmlformats.org/officeDocument/2006/relationships/hyperlink" Target="https://www.flywhite.com/services" TargetMode="External"/><Relationship Id="rId202" Type="http://schemas.openxmlformats.org/officeDocument/2006/relationships/hyperlink" Target="https://www.airvistara.com/in/en/eu-claim-form" TargetMode="External"/><Relationship Id="rId201" Type="http://schemas.openxmlformats.org/officeDocument/2006/relationships/hyperlink" Target="https://help.virginatlantic.com/gb/en/contact-forms.html?webform=feedback--i-need-to-claim-compensation-due-to-a-delay-or-cancelled-flight" TargetMode="External"/><Relationship Id="rId200" Type="http://schemas.openxmlformats.org/officeDocument/2006/relationships/hyperlink" Target="https://www.uzairways.com/en/contact/pretenzii"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tuifly.be/en/complaint-others" TargetMode="External"/><Relationship Id="rId194" Type="http://schemas.openxmlformats.org/officeDocument/2006/relationships/hyperlink" Target="https://www.tunisairexpress.net/en/complaints-and-customer-assistance/" TargetMode="External"/><Relationship Id="rId193" Type="http://schemas.openxmlformats.org/officeDocument/2006/relationships/hyperlink" Target="https://www.tunisair.com/fr/reclamation?category_id=1" TargetMode="External"/><Relationship Id="rId192" Type="http://schemas.openxmlformats.org/officeDocument/2006/relationships/hyperlink" Target="https://www.tuiflynordic.se/forseningar-och-reklamationer/formular/" TargetMode="External"/><Relationship Id="rId191" Type="http://schemas.openxmlformats.org/officeDocument/2006/relationships/hyperlink" Target="https://fd5.formdesk.com/tuinederland/VluchtvertragingenTUIfly" TargetMode="External"/><Relationship Id="rId187" Type="http://schemas.openxmlformats.org/officeDocument/2006/relationships/hyperlink" Target="mailto:putnici@trade-air.com" TargetMode="External"/><Relationship Id="rId186" Type="http://schemas.openxmlformats.org/officeDocument/2006/relationships/hyperlink" Target="https://www.smartwings.com/en/contact-form" TargetMode="External"/><Relationship Id="rId185" Type="http://schemas.openxmlformats.org/officeDocument/2006/relationships/hyperlink" Target="https://www.transavia.com/claims" TargetMode="External"/><Relationship Id="rId184" Type="http://schemas.openxmlformats.org/officeDocument/2006/relationships/hyperlink" Target="https://www.tui.co.uk/destinations/contact-us/flight-delays" TargetMode="External"/><Relationship Id="rId189" Type="http://schemas.openxmlformats.org/officeDocument/2006/relationships/hyperlink" Target="https://claims.tuifly.com/tuifly/v1/claims/choose_claimant_type" TargetMode="External"/><Relationship Id="rId188" Type="http://schemas.openxmlformats.org/officeDocument/2006/relationships/hyperlink" Target="https://www.tui.co.uk/destinations/contact-us/flight-delays" TargetMode="External"/><Relationship Id="rId183" Type="http://schemas.openxmlformats.org/officeDocument/2006/relationships/hyperlink" Target="https://nltg.jotform.com/212292644592358?data-lang=DA" TargetMode="External"/><Relationship Id="rId182" Type="http://schemas.openxmlformats.org/officeDocument/2006/relationships/hyperlink" Target="https://www.tarom.ro/en/complaints-related-flights" TargetMode="External"/><Relationship Id="rId181" Type="http://schemas.openxmlformats.org/officeDocument/2006/relationships/hyperlink" Target="https://www.latamairlines.com/ca/en/help-center/create-case" TargetMode="External"/><Relationship Id="rId180" Type="http://schemas.openxmlformats.org/officeDocument/2006/relationships/hyperlink" Target="https://www.swiss.com/hu/en/customer-support/contact-us/feedback-past-flight" TargetMode="External"/><Relationship Id="rId176" Type="http://schemas.openxmlformats.org/officeDocument/2006/relationships/hyperlink" Target="https://nltg.jotform.com/212292644592358?language=da" TargetMode="External"/><Relationship Id="rId175" Type="http://schemas.openxmlformats.org/officeDocument/2006/relationships/hyperlink" Target="https://customerservices.sunexpress.com/s/?language=en_US&amp;_gl=1*1yc3nzu*_up*MQ..*_ga*MjAxMDAyMjk5OC4xNzAzNDE1NTcy*_ga_4VKC9RR1V5*MTcwMzQxNTU3Mi4xLjEuMTcwMzQxNTk5My4wLjAuMA.." TargetMode="External"/><Relationship Id="rId174" Type="http://schemas.openxmlformats.org/officeDocument/2006/relationships/hyperlink" Target="mailto:reservationslis@stpairways.st" TargetMode="External"/><Relationship Id="rId173" Type="http://schemas.openxmlformats.org/officeDocument/2006/relationships/hyperlink" Target="http://customersupport.spirit.com/create-case" TargetMode="External"/><Relationship Id="rId179" Type="http://schemas.openxmlformats.org/officeDocument/2006/relationships/hyperlink" Target="https://www.swiftair.com/canal-de-denuncias/" TargetMode="External"/><Relationship Id="rId178" Type="http://schemas.openxmlformats.org/officeDocument/2006/relationships/hyperlink" Target="https://www.flyslm.com/support-center/contact-us/claims-complains" TargetMode="External"/><Relationship Id="rId177" Type="http://schemas.openxmlformats.org/officeDocument/2006/relationships/hyperlink" Target="https://www.sunwing.ca/en/sunwing-airlines/delay-claim" TargetMode="External"/><Relationship Id="rId198" Type="http://schemas.openxmlformats.org/officeDocument/2006/relationships/hyperlink" Target="https://www.united.com/en/us/refunds" TargetMode="External"/><Relationship Id="rId197" Type="http://schemas.openxmlformats.org/officeDocument/2006/relationships/hyperlink" Target="https://www.united.com/en/us/customercare" TargetMode="External"/><Relationship Id="rId196" Type="http://schemas.openxmlformats.org/officeDocument/2006/relationships/hyperlink" Target="mailto:twayairit@gmail.com" TargetMode="External"/><Relationship Id="rId195" Type="http://schemas.openxmlformats.org/officeDocument/2006/relationships/hyperlink" Target="https://www.turkishairlines.com/en-int/any-questions/customer-relations/feedback/" TargetMode="External"/><Relationship Id="rId199" Type="http://schemas.openxmlformats.org/officeDocument/2006/relationships/hyperlink" Target="https://www.uralairlines.ru/upload/vozvrat.docx" TargetMode="External"/><Relationship Id="rId150" Type="http://schemas.openxmlformats.org/officeDocument/2006/relationships/hyperlink" Target="https://www.qantas.com/au/en/support/contact-us/customer-care-feedback-form.html" TargetMode="External"/><Relationship Id="rId1" Type="http://schemas.openxmlformats.org/officeDocument/2006/relationships/hyperlink" Target="https://albastar.es/en/contact/" TargetMode="External"/><Relationship Id="rId2" Type="http://schemas.openxmlformats.org/officeDocument/2006/relationships/hyperlink" Target="https://aegeanairlines.custhelp.com/app/email" TargetMode="External"/><Relationship Id="rId3" Type="http://schemas.openxmlformats.org/officeDocument/2006/relationships/hyperlink" Target="https://www.aerlingus.com/app/support/forms/complaints-form" TargetMode="External"/><Relationship Id="rId149" Type="http://schemas.openxmlformats.org/officeDocument/2006/relationships/hyperlink" Target="https://www.flyporter.com/en-ca/customer-service/help-contact/claims/compensation-eligibility-check" TargetMode="External"/><Relationship Id="rId4" Type="http://schemas.openxmlformats.org/officeDocument/2006/relationships/hyperlink" Target="https://www.aeroitalia.com/en/contact_form" TargetMode="External"/><Relationship Id="rId148" Type="http://schemas.openxmlformats.org/officeDocument/2006/relationships/hyperlink" Target="https://www.lot.com/content/dam/lot/lot-com/documents/reklamacje-pasazerskie-poa/POA.pdf" TargetMode="External"/><Relationship Id="rId9" Type="http://schemas.openxmlformats.org/officeDocument/2006/relationships/hyperlink" Target="https://doleances.airalgerie.dz/reclamation/forms" TargetMode="External"/><Relationship Id="rId143" Type="http://schemas.openxmlformats.org/officeDocument/2006/relationships/hyperlink" Target="https://www.oai.aero/contact" TargetMode="External"/><Relationship Id="rId142" Type="http://schemas.openxmlformats.org/officeDocument/2006/relationships/hyperlink" Target="https://services.omanair.com/gbl/en/feedback" TargetMode="External"/><Relationship Id="rId141" Type="http://schemas.openxmlformats.org/officeDocument/2006/relationships/hyperlink" Target="https://olympicair.custhelp.com/app/ask/session/" TargetMode="External"/><Relationship Id="rId140" Type="http://schemas.openxmlformats.org/officeDocument/2006/relationships/hyperlink" Target="https://booking.nouvelair.com/ibe/feedback?lang-frfr" TargetMode="External"/><Relationship Id="rId5" Type="http://schemas.openxmlformats.org/officeDocument/2006/relationships/hyperlink" Target="https://www.aeroflot.ru/us-en/help/questions/claim/delayed_flight" TargetMode="External"/><Relationship Id="rId147" Type="http://schemas.openxmlformats.org/officeDocument/2006/relationships/hyperlink" Target="https://www.lot.com/pl/en/help-center/contact/forms/form-claim-after-departure" TargetMode="External"/><Relationship Id="rId6" Type="http://schemas.openxmlformats.org/officeDocument/2006/relationships/hyperlink" Target="https://www.aerolineas.com.ar/en-eu/reservation-services/customer-service-contact" TargetMode="External"/><Relationship Id="rId146" Type="http://schemas.openxmlformats.org/officeDocument/2006/relationships/hyperlink" Target="https://static.plusultra.com/media/1003/formulario-reclamaciones-version-word_en.pdf" TargetMode="External"/><Relationship Id="rId7" Type="http://schemas.openxmlformats.org/officeDocument/2006/relationships/hyperlink" Target="https://ww2.aerolineas.com.ar/en-ar/contacto/contactoatencioncliente" TargetMode="External"/><Relationship Id="rId145" Type="http://schemas.openxmlformats.org/officeDocument/2006/relationships/hyperlink" Target="https://pal.my.site.com/s/submit-a-request" TargetMode="External"/><Relationship Id="rId8" Type="http://schemas.openxmlformats.org/officeDocument/2006/relationships/hyperlink" Target="https://aeromexico.com/es-mx/contacto" TargetMode="External"/><Relationship Id="rId144" Type="http://schemas.openxmlformats.org/officeDocument/2006/relationships/hyperlink" Target="https://www.flypgs.com/en/write-to-us/delays" TargetMode="External"/><Relationship Id="rId139" Type="http://schemas.openxmlformats.org/officeDocument/2006/relationships/hyperlink" Target="https://www.norwegian.com/en/travel-info/delayed-and-cancelled-flights/" TargetMode="External"/><Relationship Id="rId138" Type="http://schemas.openxmlformats.org/officeDocument/2006/relationships/hyperlink" Target="https://norseatlantic.typeform.com/compensation" TargetMode="External"/><Relationship Id="rId137" Type="http://schemas.openxmlformats.org/officeDocument/2006/relationships/hyperlink" Target="https://www.nileair.com/contact-us" TargetMode="External"/><Relationship Id="rId132" Type="http://schemas.openxmlformats.org/officeDocument/2006/relationships/hyperlink" Target="https://flymarabu.com/en/contact/" TargetMode="External"/><Relationship Id="rId131" Type="http://schemas.openxmlformats.org/officeDocument/2006/relationships/hyperlink" Target="https://www.malaysiaairlines.com/content/dam/mas/pdf/Consent_Letter_Malaysia_Airlines_Berhad.pdf" TargetMode="External"/><Relationship Id="rId130" Type="http://schemas.openxmlformats.org/officeDocument/2006/relationships/hyperlink" Target="https://www.malaysiaairlines.com/my/en/askmh/contact-us-form.html" TargetMode="External"/><Relationship Id="rId136" Type="http://schemas.openxmlformats.org/officeDocument/2006/relationships/hyperlink" Target="https://customercare.neosair.it/" TargetMode="External"/><Relationship Id="rId135" Type="http://schemas.openxmlformats.org/officeDocument/2006/relationships/hyperlink" Target="https://www.mea.com.lb/english/support/contact-us" TargetMode="External"/><Relationship Id="rId134" Type="http://schemas.openxmlformats.org/officeDocument/2006/relationships/hyperlink" Target="https://mga.aero/customer-services/help-and-contact" TargetMode="External"/><Relationship Id="rId133" Type="http://schemas.openxmlformats.org/officeDocument/2006/relationships/hyperlink" Target="https://commercial.flymarathon.aero/contact-us/" TargetMode="External"/><Relationship Id="rId172" Type="http://schemas.openxmlformats.org/officeDocument/2006/relationships/hyperlink" Target="https://help.southwindairlines.com/forms/claim" TargetMode="External"/><Relationship Id="rId171" Type="http://schemas.openxmlformats.org/officeDocument/2006/relationships/hyperlink" Target="https://support.southwest.com/email-us/s/" TargetMode="External"/><Relationship Id="rId170" Type="http://schemas.openxmlformats.org/officeDocument/2006/relationships/hyperlink" Target="https://www.flysaa.com/about-us/leading-carrier/our-vision/customer-service-charter" TargetMode="External"/><Relationship Id="rId165" Type="http://schemas.openxmlformats.org/officeDocument/2006/relationships/hyperlink" Target="https://www.singaporeair.com/saar5/pdf/Letter-of-Authorisation.pdf" TargetMode="External"/><Relationship Id="rId164" Type="http://schemas.openxmlformats.org/officeDocument/2006/relationships/hyperlink" Target="https://www.singaporeair.com/feedback-form/FeedbackContent" TargetMode="External"/><Relationship Id="rId163" Type="http://schemas.openxmlformats.org/officeDocument/2006/relationships/hyperlink" Target="https://os.flyscoot.com/customerserviceform/" TargetMode="External"/><Relationship Id="rId162" Type="http://schemas.openxmlformats.org/officeDocument/2006/relationships/hyperlink" Target="https://www.saudia.com/pages/help/contact-us/guest-relations/contact-form" TargetMode="External"/><Relationship Id="rId169" Type="http://schemas.openxmlformats.org/officeDocument/2006/relationships/hyperlink" Target="https://claim.smartwingsgroup.com/en/" TargetMode="External"/><Relationship Id="rId168" Type="http://schemas.openxmlformats.org/officeDocument/2006/relationships/hyperlink" Target="https://www.smartlynx.aero/en/passengers/claims" TargetMode="External"/><Relationship Id="rId167" Type="http://schemas.openxmlformats.org/officeDocument/2006/relationships/hyperlink" Target="https://skyup.aero/en/faq" TargetMode="External"/><Relationship Id="rId166" Type="http://schemas.openxmlformats.org/officeDocument/2006/relationships/hyperlink" Target="https://www.esky.eu/about-us/contact" TargetMode="External"/><Relationship Id="rId161" Type="http://schemas.openxmlformats.org/officeDocument/2006/relationships/hyperlink" Target="https://www.azoresairlines.pt/en/support/contact-us/claim" TargetMode="External"/><Relationship Id="rId160" Type="http://schemas.openxmlformats.org/officeDocument/2006/relationships/hyperlink" Target="https://www.flysas.com/en/customer-service/contact/forms/claim-eu261/" TargetMode="External"/><Relationship Id="rId159" Type="http://schemas.openxmlformats.org/officeDocument/2006/relationships/hyperlink" Target="http://www.s7.ru/home/about/contactus.dot" TargetMode="External"/><Relationship Id="rId154" Type="http://schemas.openxmlformats.org/officeDocument/2006/relationships/hyperlink" Target="https://www.rossiya-airlines.com/en/about/contacts/feedback/help/?THEME_ID=61084" TargetMode="External"/><Relationship Id="rId153" Type="http://schemas.openxmlformats.org/officeDocument/2006/relationships/hyperlink" Target="https://www.qatarairways.com/en/help/contact-us.html?iid=ALL74246290" TargetMode="External"/><Relationship Id="rId152" Type="http://schemas.openxmlformats.org/officeDocument/2006/relationships/hyperlink" Target="https://www.qatarairways.com/en/help/contact-us.html?iid=ALL74246290" TargetMode="External"/><Relationship Id="rId151" Type="http://schemas.openxmlformats.org/officeDocument/2006/relationships/hyperlink" Target="https://www.qatarairways.com/en/help/feedback.html" TargetMode="External"/><Relationship Id="rId158" Type="http://schemas.openxmlformats.org/officeDocument/2006/relationships/hyperlink" Target="https://onlineform.ryanair.com/gb/en/eu-261" TargetMode="External"/><Relationship Id="rId157" Type="http://schemas.openxmlformats.org/officeDocument/2006/relationships/hyperlink" Target="https://help.ryanair.com/hc/en-us/requests/new" TargetMode="External"/><Relationship Id="rId156" Type="http://schemas.openxmlformats.org/officeDocument/2006/relationships/hyperlink" Target="https://feedback.rj.com/createcase/" TargetMode="External"/><Relationship Id="rId155" Type="http://schemas.openxmlformats.org/officeDocument/2006/relationships/hyperlink" Target="https://www.royalairmaroc.com/int-en/information/service-claims" TargetMode="External"/><Relationship Id="rId40" Type="http://schemas.openxmlformats.org/officeDocument/2006/relationships/hyperlink" Target="https://www.airprishtina.com/en/contact-form/" TargetMode="External"/><Relationship Id="rId42" Type="http://schemas.openxmlformats.org/officeDocument/2006/relationships/hyperlink" Target="https://www.airtanzania.co.tz/contact-form" TargetMode="External"/><Relationship Id="rId41" Type="http://schemas.openxmlformats.org/officeDocument/2006/relationships/hyperlink" Target="https://www.airtahitinui.com/en/contact-us" TargetMode="External"/><Relationship Id="rId44" Type="http://schemas.openxmlformats.org/officeDocument/2006/relationships/hyperlink" Target="https://www.airbaltic.com/en/submit-a-claim" TargetMode="External"/><Relationship Id="rId43" Type="http://schemas.openxmlformats.org/officeDocument/2006/relationships/hyperlink" Target="https://www.airtransat.com/en-CA/forms/claim-for-flight-delay" TargetMode="External"/><Relationship Id="rId46" Type="http://schemas.openxmlformats.org/officeDocument/2006/relationships/hyperlink" Target="https://www.alaskaair.com/feedback/general-comments" TargetMode="External"/><Relationship Id="rId45" Type="http://schemas.openxmlformats.org/officeDocument/2006/relationships/hyperlink" Target="https://ajet.com/en/corporate/feedback-form" TargetMode="External"/><Relationship Id="rId48" Type="http://schemas.openxmlformats.org/officeDocument/2006/relationships/hyperlink" Target="https://www.amcaviation.eu/?lang=en" TargetMode="External"/><Relationship Id="rId47" Type="http://schemas.openxmlformats.org/officeDocument/2006/relationships/hyperlink" Target="https://www.albawings.com/en/contact" TargetMode="External"/><Relationship Id="rId49" Type="http://schemas.openxmlformats.org/officeDocument/2006/relationships/hyperlink" Target="https://www.aa.com/contact/forms?topic=CR" TargetMode="External"/><Relationship Id="rId31" Type="http://schemas.openxmlformats.org/officeDocument/2006/relationships/hyperlink" Target="https://en.airmoana.com/en/help-center/contact-us/customer-service" TargetMode="External"/><Relationship Id="rId30" Type="http://schemas.openxmlformats.org/officeDocument/2006/relationships/hyperlink" Target="https://www.flyairlink.com/en/za/need-help" TargetMode="External"/><Relationship Id="rId33" Type="http://schemas.openxmlformats.org/officeDocument/2006/relationships/hyperlink" Target="https://airmontenegro.com/en/contact/claims-form" TargetMode="External"/><Relationship Id="rId32" Type="http://schemas.openxmlformats.org/officeDocument/2006/relationships/hyperlink" Target="https://dbc.airmontenegro.com/" TargetMode="External"/><Relationship Id="rId35" Type="http://schemas.openxmlformats.org/officeDocument/2006/relationships/hyperlink" Target="https://www.airmoldova.md/mailus-en/" TargetMode="External"/><Relationship Id="rId34" Type="http://schemas.openxmlformats.org/officeDocument/2006/relationships/hyperlink" Target="https://www.airmauritius.com/en-gb/help/customer-support" TargetMode="External"/><Relationship Id="rId37" Type="http://schemas.openxmlformats.org/officeDocument/2006/relationships/hyperlink" Target="https://www.airnewzealand.co.nz/feedback/complaint/" TargetMode="External"/><Relationship Id="rId36" Type="http://schemas.openxmlformats.org/officeDocument/2006/relationships/hyperlink" Target="https://ana-support.my.site.com/enus/s/atmint-en?cc=us" TargetMode="External"/><Relationship Id="rId39" Type="http://schemas.openxmlformats.org/officeDocument/2006/relationships/hyperlink" Target="https://www.olympicair.com/en/customerhelp/" TargetMode="External"/><Relationship Id="rId38" Type="http://schemas.openxmlformats.org/officeDocument/2006/relationships/hyperlink" Target="https://www.iberia.com/gb/customer-relations/" TargetMode="External"/><Relationship Id="rId20" Type="http://schemas.openxmlformats.org/officeDocument/2006/relationships/hyperlink" Target="https://hda_s_form.airdolomiti.it/CustomerPortal_Forms/" TargetMode="External"/><Relationship Id="rId22" Type="http://schemas.openxmlformats.org/officeDocument/2006/relationships/hyperlink" Target="https://wwws.airfrance.co.uk/claim" TargetMode="External"/><Relationship Id="rId21" Type="http://schemas.openxmlformats.org/officeDocument/2006/relationships/hyperlink" Target="https://www.aireuropa.com/ot/en/complaints-compliments" TargetMode="External"/><Relationship Id="rId24" Type="http://schemas.openxmlformats.org/officeDocument/2006/relationships/hyperlink" Target="https://wwws.airfrance.us/refund" TargetMode="External"/><Relationship Id="rId23" Type="http://schemas.openxmlformats.org/officeDocument/2006/relationships/hyperlink" Target="https://refunds.klm.com/AirfranceRPS/Forms/frmMain.aspx" TargetMode="External"/><Relationship Id="rId26" Type="http://schemas.openxmlformats.org/officeDocument/2006/relationships/hyperlink" Target="https://kundeservice.airgreenland.gl/hc/en-us/requests/new" TargetMode="External"/><Relationship Id="rId25" Type="http://schemas.openxmlformats.org/officeDocument/2006/relationships/hyperlink" Target="https://wwws.airfrance.us/claim/track-a-claim" TargetMode="External"/><Relationship Id="rId28" Type="http://schemas.openxmlformats.org/officeDocument/2006/relationships/hyperlink" Target="https://airhorizont.com/en/contact-us/" TargetMode="External"/><Relationship Id="rId27" Type="http://schemas.openxmlformats.org/officeDocument/2006/relationships/hyperlink" Target="https://kundeservice.airgreenland.gl/hc/en-us/requests/new" TargetMode="External"/><Relationship Id="rId29" Type="http://schemas.openxmlformats.org/officeDocument/2006/relationships/hyperlink" Target="https://www.airindia.com/in/en/contact-us/customer-support-portal/queries.html" TargetMode="External"/><Relationship Id="rId11" Type="http://schemas.openxmlformats.org/officeDocument/2006/relationships/hyperlink" Target="https://sav.air-austral.com/en/complaints/new" TargetMode="External"/><Relationship Id="rId10" Type="http://schemas.openxmlformats.org/officeDocument/2006/relationships/hyperlink" Target="https://airanka.com.tr/contact-us/" TargetMode="External"/><Relationship Id="rId13" Type="http://schemas.openxmlformats.org/officeDocument/2006/relationships/hyperlink" Target="https://flyairsenegal.com/en/contact/" TargetMode="External"/><Relationship Id="rId12" Type="http://schemas.openxmlformats.org/officeDocument/2006/relationships/hyperlink" Target="https://flyairsenegal.com/en/contact/our-agencies/serviceclient@airsenegalsa.sn" TargetMode="External"/><Relationship Id="rId15" Type="http://schemas.openxmlformats.org/officeDocument/2006/relationships/hyperlink" Target="https://forms.airarabia.com/" TargetMode="External"/><Relationship Id="rId14" Type="http://schemas.openxmlformats.org/officeDocument/2006/relationships/hyperlink" Target="http://www.webcheckin.info/contact" TargetMode="External"/><Relationship Id="rId17" Type="http://schemas.openxmlformats.org/officeDocument/2006/relationships/hyperlink" Target="http://www.aircalin.fr/fr/contact/reclamation-suggestion" TargetMode="External"/><Relationship Id="rId16" Type="http://schemas.openxmlformats.org/officeDocument/2006/relationships/hyperlink" Target="https://accc-prod.microsoftcrmportals.com/en-CA/air-canada-contact-us/" TargetMode="External"/><Relationship Id="rId19" Type="http://schemas.openxmlformats.org/officeDocument/2006/relationships/hyperlink" Target="https://serviceclient.aircorsica.com/s/" TargetMode="External"/><Relationship Id="rId18" Type="http://schemas.openxmlformats.org/officeDocument/2006/relationships/hyperlink" Target="https://sav.cloud.aircaraibes.com/en/formulaire-reclamation?_gl=1*1d2249r*_ga*MTE1NjI2MDk2Ni4xNzAyOTIxMjY5*_ga_4NB3LGYGFQ*MTcwMjkyMTI3Mi4xLjEuMTcwMjkyMTU3Mi4wLjAuMA.." TargetMode="External"/><Relationship Id="rId84" Type="http://schemas.openxmlformats.org/officeDocument/2006/relationships/hyperlink" Target="https://www.electra-airways.com/about-us/" TargetMode="External"/><Relationship Id="rId83" Type="http://schemas.openxmlformats.org/officeDocument/2006/relationships/hyperlink" Target="https://contactus.elal.com/contactus/page0/0?lang=en&amp;rid=3OY9-9CWsKE" TargetMode="External"/><Relationship Id="rId86" Type="http://schemas.openxmlformats.org/officeDocument/2006/relationships/hyperlink" Target="https://reklamacje.enterair.pl/" TargetMode="External"/><Relationship Id="rId85" Type="http://schemas.openxmlformats.org/officeDocument/2006/relationships/hyperlink" Target="https://www.emirates.com/english/help/forms/complaint/" TargetMode="External"/><Relationship Id="rId88" Type="http://schemas.openxmlformats.org/officeDocument/2006/relationships/hyperlink" Target="mailto:supportclient@aslairlines.com" TargetMode="External"/><Relationship Id="rId87" Type="http://schemas.openxmlformats.org/officeDocument/2006/relationships/hyperlink" Target="https://www.etihad.com/en-us/about-us/contact-us/feedback/" TargetMode="External"/><Relationship Id="rId89" Type="http://schemas.openxmlformats.org/officeDocument/2006/relationships/hyperlink" Target="https://support.aslairlines.fr/en/form/identification/" TargetMode="External"/><Relationship Id="rId80" Type="http://schemas.openxmlformats.org/officeDocument/2006/relationships/hyperlink" Target="https://form.jotform.com/222552670822353" TargetMode="External"/><Relationship Id="rId82" Type="http://schemas.openxmlformats.org/officeDocument/2006/relationships/hyperlink" Target="https://www.flyedelweiss.com/ch/en/customer-service/eu261-compensation-form.html" TargetMode="External"/><Relationship Id="rId81" Type="http://schemas.openxmlformats.org/officeDocument/2006/relationships/hyperlink" Target="https://www.easyjet.com/en/claim/eu261" TargetMode="External"/><Relationship Id="rId73" Type="http://schemas.openxmlformats.org/officeDocument/2006/relationships/hyperlink" Target="https://www.cyprusairways.com/about/contactus.dot" TargetMode="External"/><Relationship Id="rId72" Type="http://schemas.openxmlformats.org/officeDocument/2006/relationships/hyperlink" Target="https://www.croatiaairlines.com/en/customer/request-type" TargetMode="External"/><Relationship Id="rId75" Type="http://schemas.openxmlformats.org/officeDocument/2006/relationships/hyperlink" Target="https://dat.formstack.com/forms/compensation_claim" TargetMode="External"/><Relationship Id="rId74" Type="http://schemas.openxmlformats.org/officeDocument/2006/relationships/hyperlink" Target="https://www.csa.cz/cz-en/contact-form/" TargetMode="External"/><Relationship Id="rId77" Type="http://schemas.openxmlformats.org/officeDocument/2006/relationships/hyperlink" Target="https://flydanaair.com/contact-us/" TargetMode="External"/><Relationship Id="rId76" Type="http://schemas.openxmlformats.org/officeDocument/2006/relationships/hyperlink" Target="https://danair.ro/contact" TargetMode="External"/><Relationship Id="rId79" Type="http://schemas.openxmlformats.org/officeDocument/2006/relationships/hyperlink" Target="https://www.discover-airlines.com/en/customer-service/contact-form/" TargetMode="External"/><Relationship Id="rId78" Type="http://schemas.openxmlformats.org/officeDocument/2006/relationships/hyperlink" Target="https://www.delta.com/apac/en/need-help/overview?commentComplaintsForm" TargetMode="External"/><Relationship Id="rId71" Type="http://schemas.openxmlformats.org/officeDocument/2006/relationships/hyperlink" Target="https://www.flycorsair.com/en/make-demand" TargetMode="External"/><Relationship Id="rId70" Type="http://schemas.openxmlformats.org/officeDocument/2006/relationships/hyperlink" Target="https://ccs.corendonairlines.com/" TargetMode="External"/><Relationship Id="rId62" Type="http://schemas.openxmlformats.org/officeDocument/2006/relationships/hyperlink" Target="https://www.canaryfly.es/informacion" TargetMode="External"/><Relationship Id="rId61" Type="http://schemas.openxmlformats.org/officeDocument/2006/relationships/hyperlink" Target="https://onlineform.buzzair.com/us/en/eu-261" TargetMode="External"/><Relationship Id="rId64" Type="http://schemas.openxmlformats.org/officeDocument/2006/relationships/hyperlink" Target="https://www.chair.ch/en/ngcommons/ngcontact/" TargetMode="External"/><Relationship Id="rId63" Type="http://schemas.openxmlformats.org/officeDocument/2006/relationships/hyperlink" Target="https://www.cathaypacific.com/cx/en_US/contact-us/complaints-and-suggestions.html" TargetMode="External"/><Relationship Id="rId66" Type="http://schemas.openxmlformats.org/officeDocument/2006/relationships/hyperlink" Target="https://calec.china-airlines.com/dot-experience/experience.aspx?lang=en-US&amp;country=us&amp;locale=en" TargetMode="External"/><Relationship Id="rId65" Type="http://schemas.openxmlformats.org/officeDocument/2006/relationships/hyperlink" Target="https://us.ceair.com/en/online-consulting.html" TargetMode="External"/><Relationship Id="rId68" Type="http://schemas.openxmlformats.org/officeDocument/2006/relationships/hyperlink" Target="https://help.copaair.com/hc/en-us/requests/new?tf_360045459154=tuve_un_problema_con_mi_boleto_o_mi_vuelo_y_debo_exponer_una_queja&amp;tf_5070193789719=___dc.servicios_adicionales_pagados_no_honrados__&amp;ticket_form_id=360004175854&amp;_gl=1*dwzblg*_ga*MTg4ODc5MjcwLjE3MTIyOTYzMTQ.*_ga_SEJ8DB2YNH*MTcxMjI5NjMxNC4xLjEuMTcxMjI5NjQyNS4yNC4wLjA." TargetMode="External"/><Relationship Id="rId67" Type="http://schemas.openxmlformats.org/officeDocument/2006/relationships/hyperlink" Target="https://www.condor.com/eu/help-contact/contact/customer-relations.jsp" TargetMode="External"/><Relationship Id="rId60" Type="http://schemas.openxmlformats.org/officeDocument/2006/relationships/hyperlink" Target="https://claims.air.bg/" TargetMode="External"/><Relationship Id="rId69" Type="http://schemas.openxmlformats.org/officeDocument/2006/relationships/hyperlink" Target="https://ccs.corendonairlines.com/" TargetMode="External"/><Relationship Id="rId51" Type="http://schemas.openxmlformats.org/officeDocument/2006/relationships/hyperlink" Target="https://avochome.flyasiana.com/complaint/complaintRegist.voc" TargetMode="External"/><Relationship Id="rId50" Type="http://schemas.openxmlformats.org/officeDocument/2006/relationships/hyperlink" Target="https://flyasiana.com/C/US/EN/customer/voc" TargetMode="External"/><Relationship Id="rId53" Type="http://schemas.openxmlformats.org/officeDocument/2006/relationships/hyperlink" Target="https://aurigny.centrik.net/sms/case/externalreport.aspx?ReportingSubsystemId=545a1dcf-edeb-423f-938e-aaed5bd303c6" TargetMode="External"/><Relationship Id="rId52" Type="http://schemas.openxmlformats.org/officeDocument/2006/relationships/hyperlink" Target="https://www.atlanticairways.com/media/2094/passenger_rights_nov_2021.pdf" TargetMode="External"/><Relationship Id="rId55" Type="http://schemas.openxmlformats.org/officeDocument/2006/relationships/hyperlink" Target="https://avionclaims.atlassian.net/servicedesk/customer/portal/1/group/1" TargetMode="External"/><Relationship Id="rId54" Type="http://schemas.openxmlformats.org/officeDocument/2006/relationships/hyperlink" Target="https://www.austrian.com/us/en/footer-pages/help-and-contact/application-for-compensation-in-the-event-of-flight-irregularities" TargetMode="External"/><Relationship Id="rId57" Type="http://schemas.openxmlformats.org/officeDocument/2006/relationships/hyperlink" Target="https://www.bintercanarias.com/en/contact-form" TargetMode="External"/><Relationship Id="rId56" Type="http://schemas.openxmlformats.org/officeDocument/2006/relationships/hyperlink" Target="https://help.azal.az/hc/en-us/requests/new?ticket_form_id=360000014551&amp;_gl=1*1y68sfj*_gcl_au*MTM3MDcyMTM0Ni4xNzI1ODg3Mzcw" TargetMode="External"/><Relationship Id="rId59" Type="http://schemas.openxmlformats.org/officeDocument/2006/relationships/hyperlink" Target="https://www.brusselsairlines.com/be/en/contact/feedback/general/delays-and-cancellation" TargetMode="External"/><Relationship Id="rId58" Type="http://schemas.openxmlformats.org/officeDocument/2006/relationships/hyperlink" Target="https://artvise.flygbra.se/eservice/MyPages.aspx?page=Catalog&amp;menuitemid=mainmenuitem_00000000000000000000000000000001" TargetMode="External"/><Relationship Id="rId107" Type="http://schemas.openxmlformats.org/officeDocument/2006/relationships/hyperlink" Target="https://hayways.aero/" TargetMode="External"/><Relationship Id="rId106" Type="http://schemas.openxmlformats.org/officeDocument/2006/relationships/hyperlink" Target="https://falconflyer.gulfair.com/" TargetMode="External"/><Relationship Id="rId105" Type="http://schemas.openxmlformats.org/officeDocument/2006/relationships/hyperlink" Target="https://gp-aviation.ch/refund-claims/" TargetMode="External"/><Relationship Id="rId104" Type="http://schemas.openxmlformats.org/officeDocument/2006/relationships/hyperlink" Target="https://germanairways.com/kontakt" TargetMode="External"/><Relationship Id="rId109" Type="http://schemas.openxmlformats.org/officeDocument/2006/relationships/hyperlink" Target="https://www.iberia.com/gb/customer-relations/" TargetMode="External"/><Relationship Id="rId108" Type="http://schemas.openxmlformats.org/officeDocument/2006/relationships/hyperlink" Target="https://www.helvetic.com/en/contact/servicecenter" TargetMode="External"/><Relationship Id="rId103" Type="http://schemas.openxmlformats.org/officeDocument/2006/relationships/hyperlink" Target="https://frontiercswprod.powerappsportals.com/contact-us/request-complaint-form/" TargetMode="External"/><Relationship Id="rId102" Type="http://schemas.openxmlformats.org/officeDocument/2006/relationships/hyperlink" Target="https://www.frenchbee.com/en/claims" TargetMode="External"/><Relationship Id="rId101" Type="http://schemas.openxmlformats.org/officeDocument/2006/relationships/hyperlink" Target="https://www.freebirdairlines.com/customer-relations" TargetMode="External"/><Relationship Id="rId100" Type="http://schemas.openxmlformats.org/officeDocument/2006/relationships/hyperlink" Target="https://flyone.eu/en/Contact/Contact-us" TargetMode="External"/><Relationship Id="rId210" Type="http://schemas.openxmlformats.org/officeDocument/2006/relationships/drawing" Target="../drawings/drawing6.xml"/><Relationship Id="rId129" Type="http://schemas.openxmlformats.org/officeDocument/2006/relationships/hyperlink" Target="https://www.luxair.lu/contact" TargetMode="External"/><Relationship Id="rId128" Type="http://schemas.openxmlformats.org/officeDocument/2006/relationships/hyperlink" Target="https://www.lumiwings.com/form/customer-care" TargetMode="External"/><Relationship Id="rId127" Type="http://schemas.openxmlformats.org/officeDocument/2006/relationships/hyperlink" Target="https://www.lufthansa.com/de/en/fast-compensation.html" TargetMode="External"/><Relationship Id="rId126" Type="http://schemas.openxmlformats.org/officeDocument/2006/relationships/hyperlink" Target="https://loganaircrcc.zendesk.com/hc/en-gb/requests/new?ticket_form_id=360003099678" TargetMode="External"/><Relationship Id="rId121" Type="http://schemas.openxmlformats.org/officeDocument/2006/relationships/hyperlink" Target="https://www.kenya-airways.com/en/help/make-an-enquiry/" TargetMode="External"/><Relationship Id="rId120" Type="http://schemas.openxmlformats.org/officeDocument/2006/relationships/hyperlink" Target="https://www.jetskyairways.com/contact" TargetMode="External"/><Relationship Id="rId125" Type="http://schemas.openxmlformats.org/officeDocument/2006/relationships/hyperlink" Target="https://www.latamairlines.com/ca/en/help-center/create-case" TargetMode="External"/><Relationship Id="rId124" Type="http://schemas.openxmlformats.org/officeDocument/2006/relationships/hyperlink" Target="https://ayuda.avianca.com/hc/en-us/requests/new?ticket_form_id=11745634200859" TargetMode="External"/><Relationship Id="rId123" Type="http://schemas.openxmlformats.org/officeDocument/2006/relationships/hyperlink" Target="https://help.kmmaltairlines.com/s/" TargetMode="External"/><Relationship Id="rId122" Type="http://schemas.openxmlformats.org/officeDocument/2006/relationships/hyperlink" Target="https://www.klm.nl/en/claim" TargetMode="External"/><Relationship Id="rId95" Type="http://schemas.openxmlformats.org/officeDocument/2006/relationships/hyperlink" Target="https://www.flyplay.com/en/claims" TargetMode="External"/><Relationship Id="rId94" Type="http://schemas.openxmlformats.org/officeDocument/2006/relationships/hyperlink" Target="https://www.finnair.com/en/customer-care-and-contact-information/contact-and-request-forms/feedback-and-compensation" TargetMode="External"/><Relationship Id="rId97" Type="http://schemas.openxmlformats.org/officeDocument/2006/relationships/hyperlink" Target="https://www.flydubai.com/en/help/contact-us-form" TargetMode="External"/><Relationship Id="rId96" Type="http://schemas.openxmlformats.org/officeDocument/2006/relationships/hyperlink" Target="https://www.flybaghdad.iq/en/feedback/" TargetMode="External"/><Relationship Id="rId99" Type="http://schemas.openxmlformats.org/officeDocument/2006/relationships/hyperlink" Target="https://webformlevel.bsqd.me/" TargetMode="External"/><Relationship Id="rId98" Type="http://schemas.openxmlformats.org/officeDocument/2006/relationships/hyperlink" Target="https://www.flyebl.com/dussseldorf-office/" TargetMode="External"/><Relationship Id="rId91" Type="http://schemas.openxmlformats.org/officeDocument/2006/relationships/hyperlink" Target="https://www.eurowings.com/claimtool" TargetMode="External"/><Relationship Id="rId90" Type="http://schemas.openxmlformats.org/officeDocument/2006/relationships/hyperlink" Target="https://www.eurowings.com/en/faq/flight-disruptions/claims-and-compensation.html" TargetMode="External"/><Relationship Id="rId93" Type="http://schemas.openxmlformats.org/officeDocument/2006/relationships/hyperlink" Target="https://sav.ewa-air.com/fr/complaints/new" TargetMode="External"/><Relationship Id="rId92" Type="http://schemas.openxmlformats.org/officeDocument/2006/relationships/hyperlink" Target="https://booking.evaair.com/flyeva/EVA/B2C/feedback.aspx" TargetMode="External"/><Relationship Id="rId118" Type="http://schemas.openxmlformats.org/officeDocument/2006/relationships/hyperlink" Target="https://www.jet2.com/delays-and-disruptions" TargetMode="External"/><Relationship Id="rId117" Type="http://schemas.openxmlformats.org/officeDocument/2006/relationships/hyperlink" Target="https://www.airserbia.com/en/feedback" TargetMode="External"/><Relationship Id="rId116" Type="http://schemas.openxmlformats.org/officeDocument/2006/relationships/hyperlink" Target="https://www.complaint.ita-airways.com/s/complaint?language=en_US&amp;market=EN" TargetMode="External"/><Relationship Id="rId115" Type="http://schemas.openxmlformats.org/officeDocument/2006/relationships/hyperlink" Target="https://www.complaint.ita-airways.com/s/complaint?language=en_US&amp;market=EN" TargetMode="External"/><Relationship Id="rId119" Type="http://schemas.openxmlformats.org/officeDocument/2006/relationships/hyperlink" Target="https://jetbluevoc.co1.qualtrics.com/jfe/form/SV_6gQoaNYRuosY08l" TargetMode="External"/><Relationship Id="rId110" Type="http://schemas.openxmlformats.org/officeDocument/2006/relationships/hyperlink" Target="https://www.iberojet.com/en/requests/claims" TargetMode="External"/><Relationship Id="rId114" Type="http://schemas.openxmlformats.org/officeDocument/2006/relationships/hyperlink" Target="https://customercarecontacts.com/submit-complaint/" TargetMode="External"/><Relationship Id="rId113" Type="http://schemas.openxmlformats.org/officeDocument/2006/relationships/hyperlink" Target="https://www.intercaribbean.com/contact-us.html" TargetMode="External"/><Relationship Id="rId112" Type="http://schemas.openxmlformats.org/officeDocument/2006/relationships/hyperlink" Target="https://interglobe.my.site.com/claim/s/compensation-claim" TargetMode="External"/><Relationship Id="rId111" Type="http://schemas.openxmlformats.org/officeDocument/2006/relationships/hyperlink" Target="https://www.iberojet.com/es/solicitudes/reclamaciones" TargetMode="External"/><Relationship Id="rId206" Type="http://schemas.openxmlformats.org/officeDocument/2006/relationships/hyperlink" Target="https://www.westjet.com/en-ca/interruptions/eu-alternate-dispute/european-regulation" TargetMode="External"/><Relationship Id="rId205" Type="http://schemas.openxmlformats.org/officeDocument/2006/relationships/hyperlink" Target="https://www.vueling.com/en/we-are-vueling/contact" TargetMode="External"/><Relationship Id="rId204" Type="http://schemas.openxmlformats.org/officeDocument/2006/relationships/hyperlink" Target="https://www.volotea.com/en/contact/complaints-delay/" TargetMode="External"/><Relationship Id="rId203" Type="http://schemas.openxmlformats.org/officeDocument/2006/relationships/hyperlink" Target="https://www.airvistara.com/bd/en/vistara-help" TargetMode="External"/><Relationship Id="rId209" Type="http://schemas.openxmlformats.org/officeDocument/2006/relationships/hyperlink" Target="https://www.w2fly.es/es-es/centro-de-atencion" TargetMode="External"/><Relationship Id="rId208" Type="http://schemas.openxmlformats.org/officeDocument/2006/relationships/hyperlink" Target="https://claim.wizzair.com/ClaimCompanies" TargetMode="External"/><Relationship Id="rId207" Type="http://schemas.openxmlformats.org/officeDocument/2006/relationships/hyperlink" Target="https://www.flywhite.com/services" TargetMode="External"/><Relationship Id="rId202" Type="http://schemas.openxmlformats.org/officeDocument/2006/relationships/hyperlink" Target="https://www.airvistara.com/in/en/eu-claim-form" TargetMode="External"/><Relationship Id="rId201" Type="http://schemas.openxmlformats.org/officeDocument/2006/relationships/hyperlink" Target="https://help.virginatlantic.com/gb/en/contact-forms.html?webform=feedback--i-need-to-claim-compensation-due-to-a-delay-or-cancelled-flight" TargetMode="External"/><Relationship Id="rId200" Type="http://schemas.openxmlformats.org/officeDocument/2006/relationships/hyperlink" Target="https://www.uzairways.com/en/contact/pretenzii"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86.5"/>
    <col customWidth="1" hidden="1" min="3" max="3" width="27.63"/>
    <col customWidth="1" hidden="1" min="4" max="4" width="34.63"/>
    <col hidden="1" min="5" max="44" width="12.63"/>
  </cols>
  <sheetData>
    <row r="1" ht="183.75" customHeight="1">
      <c r="A1" s="1"/>
      <c r="B1" s="2"/>
      <c r="C1" s="3"/>
      <c r="D1" s="3"/>
      <c r="E1" s="3"/>
      <c r="F1" s="3"/>
      <c r="G1" s="3"/>
      <c r="H1" s="3"/>
      <c r="I1" s="3"/>
      <c r="J1" s="3"/>
      <c r="K1" s="3"/>
      <c r="L1" s="3"/>
      <c r="M1" s="3"/>
      <c r="N1" s="3"/>
      <c r="O1" s="3"/>
      <c r="P1" s="3"/>
      <c r="Q1" s="3"/>
      <c r="R1" s="3"/>
      <c r="S1" s="3"/>
      <c r="T1" s="3"/>
      <c r="U1" s="3"/>
      <c r="V1" s="3"/>
      <c r="W1" s="3"/>
      <c r="X1" s="3"/>
      <c r="Y1" s="3"/>
      <c r="Z1" s="3"/>
      <c r="AA1" s="3"/>
      <c r="AB1" s="4"/>
      <c r="AC1" s="4"/>
      <c r="AD1" s="4"/>
      <c r="AE1" s="4"/>
      <c r="AF1" s="4"/>
      <c r="AG1" s="4"/>
      <c r="AH1" s="4"/>
      <c r="AI1" s="4"/>
      <c r="AJ1" s="4"/>
      <c r="AK1" s="4"/>
      <c r="AL1" s="4"/>
      <c r="AM1" s="4"/>
      <c r="AN1" s="4"/>
      <c r="AO1" s="4"/>
      <c r="AP1" s="4"/>
      <c r="AQ1" s="4"/>
      <c r="AR1" s="5"/>
    </row>
    <row r="2" ht="30.75" customHeight="1">
      <c r="A2" s="6" t="s">
        <v>0</v>
      </c>
      <c r="B2" s="7"/>
      <c r="C2" s="8"/>
      <c r="D2" s="8"/>
      <c r="E2" s="8"/>
      <c r="F2" s="8"/>
      <c r="G2" s="8"/>
      <c r="H2" s="8"/>
      <c r="I2" s="8"/>
      <c r="J2" s="8"/>
      <c r="K2" s="8"/>
      <c r="L2" s="8"/>
      <c r="M2" s="8"/>
      <c r="N2" s="8"/>
      <c r="O2" s="8"/>
      <c r="P2" s="8"/>
      <c r="Q2" s="8"/>
      <c r="R2" s="8"/>
      <c r="S2" s="8"/>
      <c r="T2" s="8"/>
      <c r="U2" s="8"/>
      <c r="V2" s="8"/>
      <c r="W2" s="8"/>
      <c r="X2" s="8"/>
      <c r="Y2" s="8"/>
      <c r="Z2" s="8"/>
      <c r="AA2" s="8"/>
      <c r="AB2" s="9"/>
      <c r="AC2" s="9"/>
      <c r="AD2" s="9"/>
      <c r="AE2" s="9"/>
      <c r="AF2" s="9"/>
      <c r="AG2" s="9"/>
      <c r="AH2" s="9"/>
      <c r="AI2" s="9"/>
      <c r="AJ2" s="9"/>
      <c r="AK2" s="9"/>
      <c r="AL2" s="9"/>
      <c r="AM2" s="9"/>
      <c r="AN2" s="9"/>
      <c r="AO2" s="9"/>
      <c r="AP2" s="9"/>
      <c r="AQ2" s="9"/>
      <c r="AR2" s="10"/>
    </row>
    <row r="3">
      <c r="A3" s="11" t="s">
        <v>1</v>
      </c>
      <c r="B3" s="12">
        <v>46098.0</v>
      </c>
      <c r="C3" s="8"/>
      <c r="D3" s="8"/>
      <c r="E3" s="8"/>
      <c r="F3" s="8"/>
      <c r="G3" s="8"/>
      <c r="H3" s="8"/>
      <c r="I3" s="8"/>
      <c r="J3" s="8"/>
      <c r="K3" s="8"/>
      <c r="L3" s="8"/>
      <c r="M3" s="8"/>
      <c r="N3" s="8"/>
      <c r="O3" s="8"/>
      <c r="P3" s="8"/>
      <c r="Q3" s="8"/>
      <c r="R3" s="8"/>
      <c r="S3" s="8"/>
      <c r="T3" s="8"/>
      <c r="U3" s="8"/>
      <c r="V3" s="8"/>
      <c r="W3" s="8"/>
      <c r="X3" s="8"/>
      <c r="Y3" s="8"/>
      <c r="Z3" s="8"/>
      <c r="AA3" s="8"/>
      <c r="AB3" s="9"/>
      <c r="AC3" s="9"/>
      <c r="AD3" s="9"/>
      <c r="AE3" s="9"/>
      <c r="AF3" s="9"/>
      <c r="AG3" s="9"/>
      <c r="AH3" s="9"/>
      <c r="AI3" s="9"/>
      <c r="AJ3" s="9"/>
      <c r="AK3" s="9"/>
      <c r="AL3" s="9"/>
      <c r="AM3" s="9"/>
      <c r="AN3" s="9"/>
      <c r="AO3" s="9"/>
      <c r="AP3" s="9"/>
      <c r="AQ3" s="9"/>
      <c r="AR3" s="10"/>
    </row>
    <row r="4">
      <c r="A4" s="13" t="s">
        <v>2</v>
      </c>
      <c r="B4" s="14" t="s">
        <v>3</v>
      </c>
      <c r="C4" s="8"/>
      <c r="D4" s="8"/>
      <c r="E4" s="8"/>
      <c r="F4" s="8"/>
      <c r="G4" s="8"/>
      <c r="H4" s="8"/>
      <c r="I4" s="8"/>
      <c r="J4" s="8"/>
      <c r="K4" s="8"/>
      <c r="L4" s="8"/>
      <c r="M4" s="8"/>
      <c r="N4" s="8"/>
      <c r="O4" s="8"/>
      <c r="P4" s="8"/>
      <c r="Q4" s="8"/>
      <c r="R4" s="8"/>
      <c r="S4" s="8"/>
      <c r="T4" s="8"/>
      <c r="U4" s="8"/>
      <c r="V4" s="8"/>
      <c r="W4" s="8"/>
      <c r="X4" s="8"/>
      <c r="Y4" s="8"/>
      <c r="Z4" s="8"/>
      <c r="AA4" s="8"/>
      <c r="AB4" s="9"/>
      <c r="AC4" s="9"/>
      <c r="AD4" s="9"/>
      <c r="AE4" s="9"/>
      <c r="AF4" s="9"/>
      <c r="AG4" s="9"/>
      <c r="AH4" s="9"/>
      <c r="AI4" s="9"/>
      <c r="AJ4" s="9"/>
      <c r="AK4" s="9"/>
      <c r="AL4" s="9"/>
      <c r="AM4" s="9"/>
      <c r="AN4" s="9"/>
      <c r="AO4" s="9"/>
      <c r="AP4" s="9"/>
      <c r="AQ4" s="9"/>
      <c r="AR4" s="10"/>
    </row>
    <row r="5">
      <c r="A5" s="13" t="s">
        <v>4</v>
      </c>
      <c r="B5" s="15" t="s">
        <v>5</v>
      </c>
      <c r="C5" s="8"/>
      <c r="D5" s="8"/>
      <c r="E5" s="8"/>
      <c r="F5" s="8"/>
      <c r="G5" s="8"/>
      <c r="H5" s="8"/>
      <c r="I5" s="8"/>
      <c r="J5" s="8"/>
      <c r="K5" s="8"/>
      <c r="L5" s="8"/>
      <c r="M5" s="8"/>
      <c r="N5" s="8"/>
      <c r="O5" s="8"/>
      <c r="P5" s="8"/>
      <c r="Q5" s="8"/>
      <c r="R5" s="8"/>
      <c r="S5" s="8"/>
      <c r="T5" s="8"/>
      <c r="U5" s="8"/>
      <c r="V5" s="8"/>
      <c r="W5" s="8"/>
      <c r="X5" s="8"/>
      <c r="Y5" s="8"/>
      <c r="Z5" s="8"/>
      <c r="AA5" s="8"/>
      <c r="AB5" s="9" t="str">
        <f>IFERROR(__xludf.DUMMYFUNCTION("ifna(FILTER('EOC DB'!B3:C2875,'EOC DB'!A3:A2875=$B$3),ifna(ifna(FILTER('EOC DB'!F2:G2875,'EOC DB'!E2:E2875=VLOOKUP(B4,'Airports DB'!B1:E2875,3,0),$B$3&gt;'EOC DB'!D2:D2875),ifna(FILTER('EOC DB'!K2:L2875,'EOC DB'!H2:H2875=$B$3&amp;VLOOKUP(B4,'Airports DB'!B1:E287"&amp;"5,3,0)),FILTER('EOC DB'!P2:Q2875,'EOC DB'!M2:M2875=$B$3&amp;B4))),""No Extra Ordinary Circumstances""))"),"No Extra Ordinary Circumstances")</f>
        <v>No Extra Ordinary Circumstances</v>
      </c>
      <c r="AC5" s="9"/>
      <c r="AD5" s="9"/>
      <c r="AE5" s="9"/>
      <c r="AF5" s="9"/>
      <c r="AG5" s="9"/>
      <c r="AH5" s="9"/>
      <c r="AI5" s="9"/>
      <c r="AJ5" s="9"/>
      <c r="AK5" s="9"/>
      <c r="AL5" s="9"/>
      <c r="AM5" s="9"/>
      <c r="AN5" s="9"/>
      <c r="AO5" s="9"/>
      <c r="AP5" s="9"/>
      <c r="AQ5" s="9"/>
      <c r="AR5" s="10"/>
    </row>
    <row r="6">
      <c r="A6" s="13" t="s">
        <v>6</v>
      </c>
      <c r="B6" s="16" t="str">
        <f>IF(AB16+AK16=2,"Under EC 261/2004",if(AB16=1,"Under EC 261/2004",IF(AK16=1,"Please check the airline if the operator is an EU airline then it's under EC 261/2004","Not Under EC 261/2004")))</f>
        <v>Under EC 261/2004</v>
      </c>
      <c r="C6" s="8"/>
      <c r="D6" s="8"/>
      <c r="E6" s="8"/>
      <c r="F6" s="8"/>
      <c r="G6" s="8"/>
      <c r="H6" s="8"/>
      <c r="I6" s="8"/>
      <c r="J6" s="8"/>
      <c r="K6" s="8"/>
      <c r="L6" s="8"/>
      <c r="M6" s="8"/>
      <c r="N6" s="8"/>
      <c r="O6" s="8"/>
      <c r="P6" s="8"/>
      <c r="Q6" s="8"/>
      <c r="R6" s="8"/>
      <c r="S6" s="8"/>
      <c r="T6" s="8"/>
      <c r="U6" s="8"/>
      <c r="V6" s="8"/>
      <c r="W6" s="8"/>
      <c r="X6" s="8"/>
      <c r="Y6" s="8"/>
      <c r="Z6" s="8"/>
      <c r="AA6" s="8"/>
      <c r="AB6" s="9" t="str">
        <f>IFERROR(__xludf.DUMMYFUNCTION("ifna(FILTER('EOC DB'!B4:C2875,'EOC DB'!A4:A2875=$B$3),ifna(ifna(FILTER('EOC DB'!F3:G2875,'EOC DB'!E3:E2875=VLOOKUP(B5,'Airports DB'!B2:E2875,3,0),$B$3&gt;'EOC DB'!D3:D2875),ifna(FILTER('EOC DB'!K3:L2875,'EOC DB'!H3:H2875=$B$3&amp;VLOOKUP(B5,'Airports DB'!B2:E287"&amp;"5,3,0)),FILTER('EOC DB'!P3:Q2875,'EOC DB'!M3:M2875=$B$3&amp;B5))),""No Extra Ordinary Circumstances""))"),"No Extra Ordinary Circumstances")</f>
        <v>No Extra Ordinary Circumstances</v>
      </c>
      <c r="AC6" s="9"/>
      <c r="AD6" s="9"/>
      <c r="AE6" s="9"/>
      <c r="AF6" s="9"/>
      <c r="AG6" s="9"/>
      <c r="AH6" s="9"/>
      <c r="AI6" s="9"/>
      <c r="AJ6" s="9"/>
      <c r="AK6" s="9"/>
      <c r="AL6" s="9"/>
      <c r="AM6" s="9"/>
      <c r="AN6" s="9"/>
      <c r="AO6" s="9"/>
      <c r="AP6" s="9"/>
      <c r="AQ6" s="9"/>
      <c r="AR6" s="10"/>
    </row>
    <row r="7">
      <c r="A7" s="13" t="s">
        <v>7</v>
      </c>
      <c r="B7" s="17" t="str">
        <f>ifna(ifna("- Departure Country (" &amp;VLOOKUP(AB26,'Countries DB'!$G:$G,1,0)&amp;") is under EC261/2004","- Departure country ("&amp;AB26&amp;") Is Not under EC261")&amp;"
" &amp;ifna("- Destination Country (" &amp;VLOOKUP(AK26,'Countries DB'!$G:$G,1,0)&amp;") is under EC261/2004","- Destination Country ("&amp;AK26&amp;") Is Not under EC261"),"")</f>
        <v>- Departure Country (United Kingdom) is under EC261/2004
- Destination Country (Germany) is under EC261/2004</v>
      </c>
      <c r="C7" s="8"/>
      <c r="D7" s="8"/>
      <c r="E7" s="8"/>
      <c r="F7" s="8"/>
      <c r="G7" s="8"/>
      <c r="H7" s="8"/>
      <c r="I7" s="8"/>
      <c r="J7" s="8"/>
      <c r="K7" s="8"/>
      <c r="L7" s="8"/>
      <c r="M7" s="8"/>
      <c r="N7" s="8"/>
      <c r="O7" s="8"/>
      <c r="P7" s="8"/>
      <c r="Q7" s="8"/>
      <c r="R7" s="8"/>
      <c r="S7" s="8"/>
      <c r="T7" s="8"/>
      <c r="U7" s="8"/>
      <c r="V7" s="8"/>
      <c r="W7" s="8"/>
      <c r="X7" s="8"/>
      <c r="Y7" s="8"/>
      <c r="Z7" s="8"/>
      <c r="AA7" s="8"/>
      <c r="AB7" s="9"/>
      <c r="AC7" s="9"/>
      <c r="AD7" s="9"/>
      <c r="AE7" s="9"/>
      <c r="AF7" s="9"/>
      <c r="AG7" s="9"/>
      <c r="AH7" s="9"/>
      <c r="AI7" s="9"/>
      <c r="AJ7" s="9"/>
      <c r="AK7" s="9"/>
      <c r="AL7" s="9"/>
      <c r="AM7" s="9"/>
      <c r="AN7" s="9"/>
      <c r="AO7" s="9"/>
      <c r="AP7" s="9"/>
      <c r="AQ7" s="9"/>
      <c r="AR7" s="10"/>
    </row>
    <row r="8">
      <c r="A8" s="13" t="s">
        <v>0</v>
      </c>
      <c r="B8" s="18" t="str">
        <f>IF(AC5="reject","Reject Because "&amp;B4&amp;" airport had an EoC: "&amp;AB5,IF(AC6="reject","Reject Because "&amp;B5&amp;" airport had an EoC: "&amp;AB6,"No Extra Ordinary Circumstances"))</f>
        <v>No Extra Ordinary Circumstances</v>
      </c>
      <c r="C8" s="8"/>
      <c r="D8" s="8"/>
      <c r="E8" s="8"/>
      <c r="F8" s="8"/>
      <c r="G8" s="8"/>
      <c r="H8" s="8"/>
      <c r="I8" s="8"/>
      <c r="J8" s="8"/>
      <c r="K8" s="8"/>
      <c r="L8" s="8"/>
      <c r="M8" s="8"/>
      <c r="N8" s="8"/>
      <c r="O8" s="8"/>
      <c r="P8" s="8"/>
      <c r="Q8" s="8"/>
      <c r="R8" s="8"/>
      <c r="S8" s="8"/>
      <c r="T8" s="8"/>
      <c r="U8" s="8"/>
      <c r="V8" s="8"/>
      <c r="W8" s="8"/>
      <c r="X8" s="8"/>
      <c r="Y8" s="8"/>
      <c r="Z8" s="8"/>
      <c r="AA8" s="8"/>
      <c r="AB8" s="9"/>
      <c r="AC8" s="9"/>
      <c r="AD8" s="9"/>
      <c r="AE8" s="9"/>
      <c r="AF8" s="9"/>
      <c r="AG8" s="9"/>
      <c r="AH8" s="9"/>
      <c r="AI8" s="9"/>
      <c r="AJ8" s="9"/>
      <c r="AK8" s="9"/>
      <c r="AL8" s="9"/>
      <c r="AM8" s="9"/>
      <c r="AN8" s="9"/>
      <c r="AO8" s="9"/>
      <c r="AP8" s="9"/>
      <c r="AQ8" s="9"/>
      <c r="AR8" s="10"/>
    </row>
    <row r="9" hidden="1">
      <c r="A9" s="19"/>
      <c r="B9" s="20"/>
      <c r="C9" s="21"/>
      <c r="D9" s="8"/>
      <c r="E9" s="8"/>
      <c r="F9" s="8"/>
      <c r="G9" s="8"/>
      <c r="H9" s="8"/>
      <c r="I9" s="8"/>
      <c r="J9" s="8"/>
      <c r="K9" s="8"/>
      <c r="L9" s="8"/>
      <c r="M9" s="8"/>
      <c r="N9" s="8"/>
      <c r="O9" s="8"/>
      <c r="P9" s="8"/>
      <c r="Q9" s="8"/>
      <c r="R9" s="8"/>
      <c r="S9" s="8"/>
      <c r="T9" s="8"/>
      <c r="U9" s="8"/>
      <c r="V9" s="8"/>
      <c r="W9" s="8"/>
      <c r="X9" s="8"/>
      <c r="Y9" s="8"/>
      <c r="Z9" s="8"/>
      <c r="AA9" s="8"/>
      <c r="AB9" s="9"/>
      <c r="AC9" s="9"/>
      <c r="AD9" s="9"/>
      <c r="AE9" s="9"/>
      <c r="AF9" s="9"/>
      <c r="AG9" s="9"/>
      <c r="AH9" s="9"/>
      <c r="AI9" s="9"/>
      <c r="AJ9" s="9"/>
      <c r="AK9" s="9"/>
      <c r="AL9" s="9"/>
      <c r="AM9" s="9"/>
      <c r="AN9" s="9"/>
      <c r="AO9" s="9"/>
      <c r="AP9" s="9"/>
      <c r="AQ9" s="9"/>
      <c r="AR9" s="10"/>
    </row>
    <row r="10" hidden="1">
      <c r="A10" s="19"/>
      <c r="B10" s="20"/>
      <c r="C10" s="8"/>
      <c r="D10" s="9"/>
      <c r="E10" s="9"/>
      <c r="F10" s="8"/>
      <c r="G10" s="8"/>
      <c r="H10" s="8"/>
      <c r="I10" s="8"/>
      <c r="J10" s="8"/>
      <c r="K10" s="8"/>
      <c r="L10" s="8"/>
      <c r="M10" s="8"/>
      <c r="N10" s="8"/>
      <c r="O10" s="8"/>
      <c r="P10" s="8"/>
      <c r="Q10" s="8"/>
      <c r="R10" s="8"/>
      <c r="S10" s="8"/>
      <c r="T10" s="8"/>
      <c r="U10" s="8"/>
      <c r="V10" s="8"/>
      <c r="W10" s="8"/>
      <c r="X10" s="8"/>
      <c r="Y10" s="8"/>
      <c r="Z10" s="8"/>
      <c r="AA10" s="8"/>
      <c r="AB10" s="9"/>
      <c r="AC10" s="9"/>
      <c r="AD10" s="9"/>
      <c r="AE10" s="9"/>
      <c r="AF10" s="9"/>
      <c r="AG10" s="9"/>
      <c r="AH10" s="9"/>
      <c r="AI10" s="9"/>
      <c r="AJ10" s="9"/>
      <c r="AK10" s="9"/>
      <c r="AL10" s="9"/>
      <c r="AM10" s="9"/>
      <c r="AN10" s="9"/>
      <c r="AO10" s="9"/>
      <c r="AP10" s="9"/>
      <c r="AQ10" s="9"/>
      <c r="AR10" s="10"/>
    </row>
    <row r="11" hidden="1">
      <c r="A11" s="19"/>
      <c r="B11" s="20"/>
      <c r="C11" s="8"/>
      <c r="D11" s="9"/>
      <c r="E11" s="9"/>
      <c r="F11" s="8"/>
      <c r="G11" s="8"/>
      <c r="H11" s="8"/>
      <c r="I11" s="8"/>
      <c r="J11" s="8"/>
      <c r="K11" s="8"/>
      <c r="L11" s="8"/>
      <c r="M11" s="8"/>
      <c r="N11" s="8"/>
      <c r="O11" s="8"/>
      <c r="P11" s="8"/>
      <c r="Q11" s="8"/>
      <c r="R11" s="8"/>
      <c r="S11" s="8"/>
      <c r="T11" s="8"/>
      <c r="U11" s="8"/>
      <c r="V11" s="8"/>
      <c r="W11" s="8"/>
      <c r="X11" s="8"/>
      <c r="Y11" s="8"/>
      <c r="Z11" s="8"/>
      <c r="AA11" s="8"/>
      <c r="AB11" s="9"/>
      <c r="AC11" s="9"/>
      <c r="AD11" s="9"/>
      <c r="AE11" s="9"/>
      <c r="AF11" s="9"/>
      <c r="AG11" s="9"/>
      <c r="AH11" s="9"/>
      <c r="AI11" s="9"/>
      <c r="AJ11" s="9"/>
      <c r="AK11" s="9"/>
      <c r="AL11" s="9"/>
      <c r="AM11" s="9"/>
      <c r="AN11" s="9"/>
      <c r="AO11" s="9"/>
      <c r="AP11" s="9"/>
      <c r="AQ11" s="9"/>
      <c r="AR11" s="10"/>
    </row>
    <row r="12" ht="183.75" customHeight="1">
      <c r="A12" s="22"/>
      <c r="B12" s="23"/>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R12" s="20"/>
    </row>
    <row r="13" ht="24.0" customHeight="1">
      <c r="A13" s="25" t="s">
        <v>8</v>
      </c>
      <c r="B13" s="7"/>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R13" s="20"/>
    </row>
    <row r="14" ht="36.75" customHeight="1">
      <c r="A14" s="26" t="s">
        <v>9</v>
      </c>
      <c r="B14" s="27" t="s">
        <v>10</v>
      </c>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R14" s="20"/>
    </row>
    <row r="15">
      <c r="A15" s="28" t="str">
        <f t="array" ref="A15:A21">TRANSPOSE('Airline DB'!B1:H1)</f>
        <v/>
      </c>
      <c r="B15" s="29" t="str">
        <f>IFERROR(__xludf.DUMMYFUNCTION("TRANSPOSE(FILTER('Airline DB'!B:J,'Airline DB'!A:A=$B$14))"),"")</f>
        <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K15" s="30" t="s">
        <v>11</v>
      </c>
      <c r="AR15" s="20"/>
    </row>
    <row r="16">
      <c r="A16" s="28" t="s">
        <v>12</v>
      </c>
      <c r="B16" s="29" t="str">
        <f>IFERROR(__xludf.DUMMYFUNCTION("""COMPUTED_VALUE"""),"cro@airnz.co.nz")</f>
        <v>cro@airnz.co.nz</v>
      </c>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31">
        <f>IF(IFERROR(FIND("Not",AB19,1),1)=1,1,0)</f>
        <v>1</v>
      </c>
      <c r="AK16" s="31">
        <f>IF(IFERROR(FIND("Not",AK19,1),1)=1,1,0)</f>
        <v>1</v>
      </c>
      <c r="AR16" s="20"/>
    </row>
    <row r="17">
      <c r="A17" s="28" t="s">
        <v>13</v>
      </c>
      <c r="B17" s="32"/>
      <c r="C17" s="33"/>
      <c r="D17" s="34"/>
      <c r="E17" s="34"/>
      <c r="F17" s="34"/>
      <c r="G17" s="34"/>
      <c r="H17" s="34"/>
      <c r="I17" s="34"/>
      <c r="J17" s="34"/>
      <c r="K17" s="34"/>
      <c r="L17" s="34"/>
      <c r="M17" s="34"/>
      <c r="N17" s="34"/>
      <c r="O17" s="34"/>
      <c r="P17" s="34"/>
      <c r="Q17" s="34"/>
      <c r="R17" s="24"/>
      <c r="S17" s="24"/>
      <c r="T17" s="24"/>
      <c r="U17" s="24"/>
      <c r="V17" s="24"/>
      <c r="W17" s="24"/>
      <c r="X17" s="24"/>
      <c r="Y17" s="24"/>
      <c r="Z17" s="24"/>
      <c r="AA17" s="24"/>
      <c r="AR17" s="20"/>
    </row>
    <row r="18">
      <c r="A18" s="28" t="s">
        <v>14</v>
      </c>
      <c r="B18" s="35" t="str">
        <f>IFERROR(__xludf.DUMMYFUNCTION("""COMPUTED_VALUE"""),"https://www.airnewzealand.co.nz/feedback/complaint/")</f>
        <v>https://www.airnewzealand.co.nz/feedback/complaint/</v>
      </c>
      <c r="C18" s="33"/>
      <c r="D18" s="34"/>
      <c r="E18" s="34"/>
      <c r="F18" s="34"/>
      <c r="G18" s="34"/>
      <c r="H18" s="34"/>
      <c r="I18" s="34"/>
      <c r="J18" s="34"/>
      <c r="K18" s="34"/>
      <c r="L18" s="34"/>
      <c r="M18" s="34"/>
      <c r="N18" s="34"/>
      <c r="O18" s="34"/>
      <c r="P18" s="34"/>
      <c r="Q18" s="34"/>
      <c r="R18" s="24"/>
      <c r="S18" s="24"/>
      <c r="T18" s="24"/>
      <c r="U18" s="24"/>
      <c r="V18" s="24"/>
      <c r="W18" s="24"/>
      <c r="X18" s="24"/>
      <c r="Y18" s="24"/>
      <c r="Z18" s="24"/>
      <c r="AA18" s="24"/>
      <c r="AB18" s="36"/>
      <c r="AR18" s="20"/>
    </row>
    <row r="19">
      <c r="A19" s="28" t="s">
        <v>15</v>
      </c>
      <c r="B19" s="32"/>
      <c r="C19" s="33"/>
      <c r="D19" s="34"/>
      <c r="E19" s="34"/>
      <c r="F19" s="34"/>
      <c r="G19" s="34"/>
      <c r="H19" s="34"/>
      <c r="I19" s="34"/>
      <c r="J19" s="34"/>
      <c r="K19" s="34"/>
      <c r="L19" s="34"/>
      <c r="M19" s="34"/>
      <c r="N19" s="34"/>
      <c r="O19" s="34"/>
      <c r="P19" s="34"/>
      <c r="Q19" s="34"/>
      <c r="R19" s="24"/>
      <c r="S19" s="24"/>
      <c r="T19" s="24"/>
      <c r="U19" s="24"/>
      <c r="V19" s="24"/>
      <c r="W19" s="24"/>
      <c r="X19" s="24"/>
      <c r="Y19" s="24"/>
      <c r="Z19" s="24"/>
      <c r="AA19" s="24"/>
      <c r="AB19" s="36" t="str">
        <f>ifna("Departure Country (" &amp;VLOOKUP(AB26,'Countries DB'!$G:$G,1,0)&amp;") is under EC261/2004","Departure country ("&amp;AB26&amp;") Is Not under EC261")</f>
        <v>Departure Country (United Kingdom) is under EC261/2004</v>
      </c>
      <c r="AK19" s="36" t="str">
        <f>ifna("Destination Country (" &amp;VLOOKUP(AK26,'Countries DB'!$G:$G,1,0)&amp;") is under EC261/2004","Destination Country ("&amp;AK26&amp;") Is Not under EC261")</f>
        <v>Destination Country (Germany) is under EC261/2004</v>
      </c>
      <c r="AR19" s="20"/>
    </row>
    <row r="20">
      <c r="A20" s="28" t="s">
        <v>16</v>
      </c>
      <c r="B20" s="32"/>
      <c r="C20" s="33"/>
      <c r="D20" s="34"/>
      <c r="E20" s="34"/>
      <c r="F20" s="34"/>
      <c r="G20" s="34"/>
      <c r="H20" s="34"/>
      <c r="I20" s="34"/>
      <c r="J20" s="34"/>
      <c r="K20" s="34"/>
      <c r="L20" s="34"/>
      <c r="M20" s="34"/>
      <c r="N20" s="34"/>
      <c r="O20" s="34"/>
      <c r="P20" s="34"/>
      <c r="Q20" s="34"/>
      <c r="R20" s="24"/>
      <c r="S20" s="24"/>
      <c r="T20" s="24"/>
      <c r="U20" s="24"/>
      <c r="V20" s="24"/>
      <c r="W20" s="24"/>
      <c r="X20" s="24"/>
      <c r="Y20" s="24"/>
      <c r="Z20" s="24"/>
      <c r="AA20" s="24"/>
      <c r="AR20" s="20"/>
    </row>
    <row r="21">
      <c r="A21" s="28" t="s">
        <v>17</v>
      </c>
      <c r="B21" s="32"/>
      <c r="C21" s="33"/>
      <c r="D21" s="34"/>
      <c r="E21" s="34"/>
      <c r="F21" s="34"/>
      <c r="G21" s="34"/>
      <c r="H21" s="34"/>
      <c r="I21" s="34"/>
      <c r="J21" s="34"/>
      <c r="K21" s="34"/>
      <c r="L21" s="34"/>
      <c r="M21" s="34"/>
      <c r="N21" s="34"/>
      <c r="O21" s="34"/>
      <c r="P21" s="34"/>
      <c r="Q21" s="34"/>
      <c r="R21" s="24"/>
      <c r="S21" s="24"/>
      <c r="T21" s="24"/>
      <c r="U21" s="24"/>
      <c r="V21" s="24"/>
      <c r="W21" s="24"/>
      <c r="X21" s="24"/>
      <c r="Y21" s="24"/>
      <c r="Z21" s="24"/>
      <c r="AA21" s="24"/>
      <c r="AR21" s="20"/>
    </row>
    <row r="22" ht="183.75" customHeight="1">
      <c r="A22" s="37"/>
      <c r="B22" s="7"/>
      <c r="C22" s="33"/>
      <c r="D22" s="34"/>
      <c r="E22" s="34"/>
      <c r="F22" s="34"/>
      <c r="G22" s="34"/>
      <c r="H22" s="34"/>
      <c r="I22" s="34"/>
      <c r="J22" s="34"/>
      <c r="K22" s="34"/>
      <c r="L22" s="34"/>
      <c r="M22" s="34"/>
      <c r="N22" s="34"/>
      <c r="O22" s="34"/>
      <c r="P22" s="34"/>
      <c r="Q22" s="34"/>
      <c r="R22" s="24"/>
      <c r="S22" s="24"/>
      <c r="T22" s="24"/>
      <c r="U22" s="24"/>
      <c r="V22" s="24"/>
      <c r="W22" s="24"/>
      <c r="X22" s="24"/>
      <c r="Y22" s="24"/>
      <c r="Z22" s="24"/>
      <c r="AA22" s="24"/>
      <c r="AR22" s="20"/>
    </row>
    <row r="23">
      <c r="A23" s="38" t="s">
        <v>18</v>
      </c>
      <c r="B23" s="39"/>
      <c r="C23" s="33"/>
      <c r="D23" s="34"/>
      <c r="E23" s="34"/>
      <c r="F23" s="34"/>
      <c r="G23" s="34"/>
      <c r="H23" s="34"/>
      <c r="I23" s="34"/>
      <c r="J23" s="34"/>
      <c r="K23" s="34"/>
      <c r="L23" s="34"/>
      <c r="M23" s="34"/>
      <c r="N23" s="34"/>
      <c r="O23" s="34"/>
      <c r="P23" s="34"/>
      <c r="Q23" s="34"/>
      <c r="R23" s="24"/>
      <c r="S23" s="24"/>
      <c r="T23" s="24"/>
      <c r="U23" s="24"/>
      <c r="V23" s="24"/>
      <c r="W23" s="24"/>
      <c r="X23" s="24"/>
      <c r="Y23" s="24"/>
      <c r="Z23" s="24"/>
      <c r="AA23" s="24"/>
      <c r="AR23" s="20"/>
    </row>
    <row r="24">
      <c r="A24" s="40" t="s">
        <v>18</v>
      </c>
      <c r="B24" s="41" t="s">
        <v>19</v>
      </c>
      <c r="C24" s="33"/>
      <c r="D24" s="34"/>
      <c r="E24" s="34"/>
      <c r="F24" s="34"/>
      <c r="G24" s="34"/>
      <c r="H24" s="34"/>
      <c r="I24" s="34"/>
      <c r="J24" s="34"/>
      <c r="K24" s="34"/>
      <c r="L24" s="34"/>
      <c r="M24" s="34"/>
      <c r="N24" s="34"/>
      <c r="O24" s="34"/>
      <c r="P24" s="34"/>
      <c r="Q24" s="34"/>
      <c r="R24" s="24"/>
      <c r="S24" s="24"/>
      <c r="T24" s="24"/>
      <c r="U24" s="24"/>
      <c r="V24" s="24"/>
      <c r="W24" s="24"/>
      <c r="X24" s="24"/>
      <c r="Y24" s="24"/>
      <c r="Z24" s="24"/>
      <c r="AA24" s="24"/>
      <c r="AR24" s="20"/>
    </row>
    <row r="25" hidden="1">
      <c r="A25" s="42" t="s">
        <v>20</v>
      </c>
      <c r="B25" s="43">
        <f>IFERROR(__xludf.DUMMYFUNCTION("TRANSPOSE(FILTER(JR!O:W,JR!A:A=$B$24))"),2.0)</f>
        <v>2</v>
      </c>
      <c r="C25" s="33"/>
      <c r="D25" s="34"/>
      <c r="E25" s="34"/>
      <c r="F25" s="34"/>
      <c r="G25" s="34"/>
      <c r="H25" s="34"/>
      <c r="I25" s="34"/>
      <c r="J25" s="34"/>
      <c r="K25" s="34"/>
      <c r="L25" s="34"/>
      <c r="M25" s="34"/>
      <c r="N25" s="34"/>
      <c r="O25" s="34"/>
      <c r="P25" s="34"/>
      <c r="Q25" s="34"/>
      <c r="R25" s="24"/>
      <c r="S25" s="24"/>
      <c r="T25" s="24"/>
      <c r="U25" s="24"/>
      <c r="V25" s="24"/>
      <c r="W25" s="24"/>
      <c r="X25" s="24"/>
      <c r="Y25" s="24"/>
      <c r="Z25" s="24"/>
      <c r="AA25" s="24"/>
      <c r="AR25" s="20"/>
    </row>
    <row r="26">
      <c r="A26" s="40" t="s">
        <v>21</v>
      </c>
      <c r="B26" s="32" t="str">
        <f>IFERROR(__xludf.DUMMYFUNCTION("""COMPUTED_VALUE"""),"3 years")</f>
        <v>3 years</v>
      </c>
      <c r="C26" s="33"/>
      <c r="D26" s="34"/>
      <c r="E26" s="34"/>
      <c r="F26" s="34"/>
      <c r="G26" s="34"/>
      <c r="H26" s="34"/>
      <c r="I26" s="34"/>
      <c r="J26" s="34"/>
      <c r="K26" s="34"/>
      <c r="L26" s="34"/>
      <c r="M26" s="34"/>
      <c r="N26" s="34"/>
      <c r="O26" s="34"/>
      <c r="P26" s="34"/>
      <c r="Q26" s="34"/>
      <c r="R26" s="24"/>
      <c r="S26" s="24"/>
      <c r="T26" s="24"/>
      <c r="U26" s="24"/>
      <c r="V26" s="24"/>
      <c r="W26" s="24"/>
      <c r="X26" s="24"/>
      <c r="Y26" s="24"/>
      <c r="Z26" s="24"/>
      <c r="AA26" s="24"/>
      <c r="AB26" s="31" t="str">
        <f>VLOOKUP(Tools!B4,'Airports DB'!B1:D2875,3,0)</f>
        <v>United Kingdom</v>
      </c>
      <c r="AC26" s="31" t="str">
        <f>IFERROR(__xludf.DUMMYFUNCTION("FILTER('Airports DB'!A1:F2875,'Airports DB'!D1:D2875=AB26)"),"Aberdeen")</f>
        <v>Aberdeen</v>
      </c>
      <c r="AD26" s="31" t="str">
        <f>IFERROR(__xludf.DUMMYFUNCTION("""COMPUTED_VALUE"""),"ABZ")</f>
        <v>ABZ</v>
      </c>
      <c r="AE26" s="31" t="str">
        <f>IFERROR(__xludf.DUMMYFUNCTION("""COMPUTED_VALUE"""),"Dyce")</f>
        <v>Dyce</v>
      </c>
      <c r="AF26" s="31" t="str">
        <f>IFERROR(__xludf.DUMMYFUNCTION("""COMPUTED_VALUE"""),"United Kingdom")</f>
        <v>United Kingdom</v>
      </c>
      <c r="AG26" s="31"/>
      <c r="AH26" s="31"/>
      <c r="AK26" s="31" t="str">
        <f>VLOOKUP(Tools!B5,'Airports DB'!B1:D2875,3,0)</f>
        <v>Germany</v>
      </c>
      <c r="AL26" s="31" t="str">
        <f>IFERROR(__xludf.DUMMYFUNCTION("FILTER('Airports DB'!A1:F2875,'Airports DB'!D1:D2875=AK26)"),"Aachen")</f>
        <v>Aachen</v>
      </c>
      <c r="AM26" s="31" t="str">
        <f>IFERROR(__xludf.DUMMYFUNCTION("""COMPUTED_VALUE"""),"AAH")</f>
        <v>AAH</v>
      </c>
      <c r="AN26" s="31" t="str">
        <f>IFERROR(__xludf.DUMMYFUNCTION("""COMPUTED_VALUE"""),"Aachen/Merzbruck")</f>
        <v>Aachen/Merzbruck</v>
      </c>
      <c r="AO26" s="31" t="str">
        <f>IFERROR(__xludf.DUMMYFUNCTION("""COMPUTED_VALUE"""),"Germany")</f>
        <v>Germany</v>
      </c>
      <c r="AP26" s="31"/>
      <c r="AQ26" s="31"/>
      <c r="AR26" s="20"/>
    </row>
    <row r="27">
      <c r="A27" s="42" t="s">
        <v>22</v>
      </c>
      <c r="B27" s="44" t="str">
        <f>IFERROR(__xludf.DUMMYFUNCTION("""COMPUTED_VALUE"""),"Yes")</f>
        <v>Yes</v>
      </c>
      <c r="C27" s="33"/>
      <c r="D27" s="34"/>
      <c r="E27" s="34"/>
      <c r="F27" s="34"/>
      <c r="G27" s="34"/>
      <c r="H27" s="34"/>
      <c r="I27" s="34"/>
      <c r="J27" s="34"/>
      <c r="K27" s="34"/>
      <c r="L27" s="34"/>
      <c r="M27" s="34"/>
      <c r="N27" s="34"/>
      <c r="O27" s="34"/>
      <c r="P27" s="34"/>
      <c r="Q27" s="34"/>
      <c r="R27" s="24"/>
      <c r="S27" s="24"/>
      <c r="T27" s="24"/>
      <c r="U27" s="24"/>
      <c r="V27" s="24"/>
      <c r="W27" s="24"/>
      <c r="X27" s="24"/>
      <c r="Y27" s="24"/>
      <c r="Z27" s="24"/>
      <c r="AA27" s="24"/>
      <c r="AC27" s="31" t="str">
        <f>IFERROR(__xludf.DUMMYFUNCTION("""COMPUTED_VALUE"""),"Abingdon")</f>
        <v>Abingdon</v>
      </c>
      <c r="AD27" s="31" t="str">
        <f>IFERROR(__xludf.DUMMYFUNCTION("""COMPUTED_VALUE"""),"ABB")</f>
        <v>ABB</v>
      </c>
      <c r="AE27" s="31" t="str">
        <f>IFERROR(__xludf.DUMMYFUNCTION("""COMPUTED_VALUE"""),"RAF Station")</f>
        <v>RAF Station</v>
      </c>
      <c r="AF27" s="31" t="str">
        <f>IFERROR(__xludf.DUMMYFUNCTION("""COMPUTED_VALUE"""),"United Kingdom")</f>
        <v>United Kingdom</v>
      </c>
      <c r="AG27" s="31"/>
      <c r="AH27" s="31"/>
      <c r="AL27" s="31" t="str">
        <f>IFERROR(__xludf.DUMMYFUNCTION("""COMPUTED_VALUE"""),"Aachen")</f>
        <v>Aachen</v>
      </c>
      <c r="AM27" s="31" t="str">
        <f>IFERROR(__xludf.DUMMYFUNCTION("""COMPUTED_VALUE"""),"ZIU")</f>
        <v>ZIU</v>
      </c>
      <c r="AN27" s="31" t="str">
        <f>IFERROR(__xludf.DUMMYFUNCTION("""COMPUTED_VALUE"""),"Railway")</f>
        <v>Railway</v>
      </c>
      <c r="AO27" s="31" t="str">
        <f>IFERROR(__xludf.DUMMYFUNCTION("""COMPUTED_VALUE"""),"Germany")</f>
        <v>Germany</v>
      </c>
      <c r="AP27" s="31"/>
      <c r="AQ27" s="31"/>
      <c r="AR27" s="20"/>
    </row>
    <row r="28">
      <c r="A28" s="42" t="s">
        <v>23</v>
      </c>
      <c r="B28" s="44" t="str">
        <f>IFERROR(__xludf.DUMMYFUNCTION("""COMPUTED_VALUE"""),"Yes")</f>
        <v>Yes</v>
      </c>
      <c r="C28" s="33"/>
      <c r="D28" s="34"/>
      <c r="E28" s="34"/>
      <c r="F28" s="34"/>
      <c r="G28" s="34"/>
      <c r="H28" s="34"/>
      <c r="I28" s="34"/>
      <c r="J28" s="34"/>
      <c r="K28" s="34"/>
      <c r="L28" s="34"/>
      <c r="M28" s="34"/>
      <c r="N28" s="34"/>
      <c r="O28" s="34"/>
      <c r="P28" s="34"/>
      <c r="Q28" s="34"/>
      <c r="R28" s="24"/>
      <c r="S28" s="24"/>
      <c r="T28" s="24"/>
      <c r="U28" s="24"/>
      <c r="V28" s="24"/>
      <c r="W28" s="24"/>
      <c r="X28" s="24"/>
      <c r="Y28" s="24"/>
      <c r="Z28" s="24"/>
      <c r="AA28" s="24"/>
      <c r="AC28" s="31" t="str">
        <f>IFERROR(__xludf.DUMMYFUNCTION("""COMPUTED_VALUE"""),"Alconbury")</f>
        <v>Alconbury</v>
      </c>
      <c r="AD28" s="31" t="str">
        <f>IFERROR(__xludf.DUMMYFUNCTION("""COMPUTED_VALUE"""),"AYH")</f>
        <v>AYH</v>
      </c>
      <c r="AE28" s="31" t="str">
        <f>IFERROR(__xludf.DUMMYFUNCTION("""COMPUTED_VALUE"""),"RAF Station")</f>
        <v>RAF Station</v>
      </c>
      <c r="AF28" s="31" t="str">
        <f>IFERROR(__xludf.DUMMYFUNCTION("""COMPUTED_VALUE"""),"United Kingdom")</f>
        <v>United Kingdom</v>
      </c>
      <c r="AG28" s="31"/>
      <c r="AH28" s="31"/>
      <c r="AL28" s="31" t="str">
        <f>IFERROR(__xludf.DUMMYFUNCTION("""COMPUTED_VALUE"""),"Aix La Chapelle")</f>
        <v>Aix La Chapelle</v>
      </c>
      <c r="AM28" s="31" t="str">
        <f>IFERROR(__xludf.DUMMYFUNCTION("""COMPUTED_VALUE"""),"XHJ")</f>
        <v>XHJ</v>
      </c>
      <c r="AN28" s="31" t="str">
        <f>IFERROR(__xludf.DUMMYFUNCTION("""COMPUTED_VALUE"""),"Railway Station")</f>
        <v>Railway Station</v>
      </c>
      <c r="AO28" s="31" t="str">
        <f>IFERROR(__xludf.DUMMYFUNCTION("""COMPUTED_VALUE"""),"Germany")</f>
        <v>Germany</v>
      </c>
      <c r="AP28" s="31"/>
      <c r="AQ28" s="31"/>
      <c r="AR28" s="20"/>
    </row>
    <row r="29">
      <c r="A29" s="42" t="s">
        <v>24</v>
      </c>
      <c r="B29" s="44" t="str">
        <f>IFERROR(__xludf.DUMMYFUNCTION("""COMPUTED_VALUE"""),"No")</f>
        <v>No</v>
      </c>
      <c r="C29" s="33"/>
      <c r="D29" s="34"/>
      <c r="E29" s="34"/>
      <c r="F29" s="34"/>
      <c r="G29" s="34"/>
      <c r="H29" s="34"/>
      <c r="I29" s="34"/>
      <c r="J29" s="34"/>
      <c r="K29" s="34"/>
      <c r="L29" s="34"/>
      <c r="M29" s="34"/>
      <c r="N29" s="34"/>
      <c r="O29" s="34"/>
      <c r="P29" s="34"/>
      <c r="Q29" s="34"/>
      <c r="R29" s="24"/>
      <c r="S29" s="24"/>
      <c r="T29" s="24"/>
      <c r="U29" s="24"/>
      <c r="V29" s="24"/>
      <c r="W29" s="24"/>
      <c r="X29" s="24"/>
      <c r="Y29" s="24"/>
      <c r="Z29" s="24"/>
      <c r="AA29" s="24"/>
      <c r="AC29" s="31" t="str">
        <f>IFERROR(__xludf.DUMMYFUNCTION("""COMPUTED_VALUE"""),"Alderney")</f>
        <v>Alderney</v>
      </c>
      <c r="AD29" s="31" t="str">
        <f>IFERROR(__xludf.DUMMYFUNCTION("""COMPUTED_VALUE"""),"ACI")</f>
        <v>ACI</v>
      </c>
      <c r="AE29" s="31" t="str">
        <f>IFERROR(__xludf.DUMMYFUNCTION("""COMPUTED_VALUE"""),"The Blaye")</f>
        <v>The Blaye</v>
      </c>
      <c r="AF29" s="31" t="str">
        <f>IFERROR(__xludf.DUMMYFUNCTION("""COMPUTED_VALUE"""),"United Kingdom")</f>
        <v>United Kingdom</v>
      </c>
      <c r="AG29" s="31"/>
      <c r="AH29" s="31"/>
      <c r="AL29" s="31" t="str">
        <f>IFERROR(__xludf.DUMMYFUNCTION("""COMPUTED_VALUE"""),"Altenburg")</f>
        <v>Altenburg</v>
      </c>
      <c r="AM29" s="31" t="str">
        <f>IFERROR(__xludf.DUMMYFUNCTION("""COMPUTED_VALUE"""),"AOC")</f>
        <v>AOC</v>
      </c>
      <c r="AN29" s="31" t="str">
        <f>IFERROR(__xludf.DUMMYFUNCTION("""COMPUTED_VALUE"""),"Altenburg Nobitz")</f>
        <v>Altenburg Nobitz</v>
      </c>
      <c r="AO29" s="31" t="str">
        <f>IFERROR(__xludf.DUMMYFUNCTION("""COMPUTED_VALUE"""),"Germany")</f>
        <v>Germany</v>
      </c>
      <c r="AP29" s="31"/>
      <c r="AQ29" s="31"/>
      <c r="AR29" s="20"/>
    </row>
    <row r="30">
      <c r="A30" s="42" t="s">
        <v>25</v>
      </c>
      <c r="B30" s="44" t="str">
        <f>IFERROR(__xludf.DUMMYFUNCTION("""COMPUTED_VALUE"""),"Yes")</f>
        <v>Yes</v>
      </c>
      <c r="C30" s="33"/>
      <c r="D30" s="34"/>
      <c r="E30" s="34"/>
      <c r="F30" s="34"/>
      <c r="G30" s="34"/>
      <c r="H30" s="34"/>
      <c r="I30" s="34"/>
      <c r="J30" s="34"/>
      <c r="K30" s="34"/>
      <c r="L30" s="34"/>
      <c r="M30" s="34"/>
      <c r="N30" s="34"/>
      <c r="O30" s="34"/>
      <c r="P30" s="34"/>
      <c r="Q30" s="34"/>
      <c r="R30" s="24"/>
      <c r="S30" s="24"/>
      <c r="T30" s="24"/>
      <c r="U30" s="24"/>
      <c r="V30" s="24"/>
      <c r="W30" s="24"/>
      <c r="X30" s="24"/>
      <c r="Y30" s="24"/>
      <c r="Z30" s="24"/>
      <c r="AA30" s="24"/>
      <c r="AC30" s="31" t="str">
        <f>IFERROR(__xludf.DUMMYFUNCTION("""COMPUTED_VALUE"""),"Andover")</f>
        <v>Andover</v>
      </c>
      <c r="AD30" s="31" t="str">
        <f>IFERROR(__xludf.DUMMYFUNCTION("""COMPUTED_VALUE"""),"ADV")</f>
        <v>ADV</v>
      </c>
      <c r="AE30" s="31" t="str">
        <f>IFERROR(__xludf.DUMMYFUNCTION("""COMPUTED_VALUE"""),"Andover")</f>
        <v>Andover</v>
      </c>
      <c r="AF30" s="31" t="str">
        <f>IFERROR(__xludf.DUMMYFUNCTION("""COMPUTED_VALUE"""),"United Kingdom")</f>
        <v>United Kingdom</v>
      </c>
      <c r="AG30" s="31"/>
      <c r="AH30" s="31"/>
      <c r="AL30" s="31" t="str">
        <f>IFERROR(__xludf.DUMMYFUNCTION("""COMPUTED_VALUE"""),"Aue")</f>
        <v>Aue</v>
      </c>
      <c r="AM30" s="31" t="str">
        <f>IFERROR(__xludf.DUMMYFUNCTION("""COMPUTED_VALUE"""),"ZAU")</f>
        <v>ZAU</v>
      </c>
      <c r="AN30" s="31" t="str">
        <f>IFERROR(__xludf.DUMMYFUNCTION("""COMPUTED_VALUE"""),"Sachsen Railway Stn.")</f>
        <v>Sachsen Railway Stn.</v>
      </c>
      <c r="AO30" s="31" t="str">
        <f>IFERROR(__xludf.DUMMYFUNCTION("""COMPUTED_VALUE"""),"Germany")</f>
        <v>Germany</v>
      </c>
      <c r="AP30" s="31"/>
      <c r="AQ30" s="31"/>
      <c r="AR30" s="20"/>
    </row>
    <row r="31">
      <c r="A31" s="42" t="s">
        <v>26</v>
      </c>
      <c r="B31" s="44" t="str">
        <f>IFERROR(__xludf.DUMMYFUNCTION("""COMPUTED_VALUE"""),"Yes")</f>
        <v>Yes</v>
      </c>
      <c r="C31" s="33"/>
      <c r="D31" s="34"/>
      <c r="E31" s="34"/>
      <c r="F31" s="34"/>
      <c r="G31" s="34"/>
      <c r="H31" s="34"/>
      <c r="I31" s="34"/>
      <c r="J31" s="34"/>
      <c r="K31" s="34"/>
      <c r="L31" s="34"/>
      <c r="M31" s="34"/>
      <c r="N31" s="34"/>
      <c r="O31" s="34"/>
      <c r="P31" s="34"/>
      <c r="Q31" s="34"/>
      <c r="R31" s="24"/>
      <c r="S31" s="24"/>
      <c r="T31" s="24"/>
      <c r="U31" s="24"/>
      <c r="V31" s="24"/>
      <c r="W31" s="24"/>
      <c r="X31" s="24"/>
      <c r="Y31" s="24"/>
      <c r="Z31" s="24"/>
      <c r="AA31" s="24"/>
      <c r="AC31" s="31" t="str">
        <f>IFERROR(__xludf.DUMMYFUNCTION("""COMPUTED_VALUE"""),"Bally Kelly")</f>
        <v>Bally Kelly</v>
      </c>
      <c r="AD31" s="31" t="str">
        <f>IFERROR(__xludf.DUMMYFUNCTION("""COMPUTED_VALUE"""),"BOL")</f>
        <v>BOL</v>
      </c>
      <c r="AE31" s="31" t="str">
        <f>IFERROR(__xludf.DUMMYFUNCTION("""COMPUTED_VALUE"""),"Bally Kelly")</f>
        <v>Bally Kelly</v>
      </c>
      <c r="AF31" s="31" t="str">
        <f>IFERROR(__xludf.DUMMYFUNCTION("""COMPUTED_VALUE"""),"United Kingdom")</f>
        <v>United Kingdom</v>
      </c>
      <c r="AG31" s="31"/>
      <c r="AH31" s="31"/>
      <c r="AL31" s="31" t="str">
        <f>IFERROR(__xludf.DUMMYFUNCTION("""COMPUTED_VALUE"""),"Baltrum")</f>
        <v>Baltrum</v>
      </c>
      <c r="AM31" s="31" t="str">
        <f>IFERROR(__xludf.DUMMYFUNCTION("""COMPUTED_VALUE"""),"BMR")</f>
        <v>BMR</v>
      </c>
      <c r="AN31" s="31" t="str">
        <f>IFERROR(__xludf.DUMMYFUNCTION("""COMPUTED_VALUE"""),"Baltrum")</f>
        <v>Baltrum</v>
      </c>
      <c r="AO31" s="31" t="str">
        <f>IFERROR(__xludf.DUMMYFUNCTION("""COMPUTED_VALUE"""),"Germany")</f>
        <v>Germany</v>
      </c>
      <c r="AP31" s="31"/>
      <c r="AQ31" s="31"/>
      <c r="AR31" s="20"/>
    </row>
    <row r="32">
      <c r="A32" s="42" t="s">
        <v>27</v>
      </c>
      <c r="B32" s="45" t="str">
        <f>IFERROR(__xludf.DUMMYFUNCTION("""COMPUTED_VALUE"""),"No")</f>
        <v>No</v>
      </c>
      <c r="C32" s="33"/>
      <c r="D32" s="34"/>
      <c r="E32" s="34"/>
      <c r="F32" s="34"/>
      <c r="G32" s="34"/>
      <c r="H32" s="34"/>
      <c r="I32" s="34"/>
      <c r="J32" s="34"/>
      <c r="K32" s="34"/>
      <c r="L32" s="34"/>
      <c r="M32" s="34"/>
      <c r="N32" s="34"/>
      <c r="O32" s="34"/>
      <c r="P32" s="34"/>
      <c r="Q32" s="34"/>
      <c r="R32" s="24"/>
      <c r="S32" s="24"/>
      <c r="T32" s="24"/>
      <c r="U32" s="24"/>
      <c r="V32" s="24"/>
      <c r="W32" s="24"/>
      <c r="X32" s="24"/>
      <c r="Y32" s="24"/>
      <c r="Z32" s="24"/>
      <c r="AA32" s="24"/>
      <c r="AC32" s="31" t="str">
        <f>IFERROR(__xludf.DUMMYFUNCTION("""COMPUTED_VALUE"""),"Barra")</f>
        <v>Barra</v>
      </c>
      <c r="AD32" s="31" t="str">
        <f>IFERROR(__xludf.DUMMYFUNCTION("""COMPUTED_VALUE"""),"BRR")</f>
        <v>BRR</v>
      </c>
      <c r="AE32" s="31" t="str">
        <f>IFERROR(__xludf.DUMMYFUNCTION("""COMPUTED_VALUE"""),"North Bay")</f>
        <v>North Bay</v>
      </c>
      <c r="AF32" s="31" t="str">
        <f>IFERROR(__xludf.DUMMYFUNCTION("""COMPUTED_VALUE"""),"United Kingdom")</f>
        <v>United Kingdom</v>
      </c>
      <c r="AG32" s="31"/>
      <c r="AH32" s="31"/>
      <c r="AL32" s="31" t="str">
        <f>IFERROR(__xludf.DUMMYFUNCTION("""COMPUTED_VALUE"""),"Barth")</f>
        <v>Barth</v>
      </c>
      <c r="AM32" s="31" t="str">
        <f>IFERROR(__xludf.DUMMYFUNCTION("""COMPUTED_VALUE"""),"BBH")</f>
        <v>BBH</v>
      </c>
      <c r="AN32" s="31" t="str">
        <f>IFERROR(__xludf.DUMMYFUNCTION("""COMPUTED_VALUE"""),"Barth")</f>
        <v>Barth</v>
      </c>
      <c r="AO32" s="31" t="str">
        <f>IFERROR(__xludf.DUMMYFUNCTION("""COMPUTED_VALUE"""),"Germany")</f>
        <v>Germany</v>
      </c>
      <c r="AP32" s="31"/>
      <c r="AQ32" s="31"/>
      <c r="AR32" s="20"/>
    </row>
    <row r="33">
      <c r="A33" s="42" t="s">
        <v>28</v>
      </c>
      <c r="B33" s="45" t="str">
        <f>IFERROR(__xludf.DUMMYFUNCTION("""COMPUTED_VALUE"""),"Goal: 100 claims a week
No legal assessment necessary: we should only check the disruption and EOC
Documents required: AF, BP/eticket, claim, proof of sending the claim to airline")</f>
        <v>Goal: 100 claims a week
No legal assessment necessary: we should only check the disruption and EOC
Documents required: AF, BP/eticket, claim, proof of sending the claim to airline</v>
      </c>
      <c r="E33" s="46"/>
      <c r="F33" s="47"/>
      <c r="G33" s="48"/>
      <c r="H33" s="48"/>
      <c r="J33" s="49"/>
      <c r="K33" s="34"/>
      <c r="L33" s="34"/>
      <c r="N33" s="34"/>
      <c r="O33" s="34"/>
      <c r="P33" s="34"/>
      <c r="Q33" s="34"/>
      <c r="R33" s="24"/>
      <c r="S33" s="24"/>
      <c r="T33" s="24"/>
      <c r="U33" s="24"/>
      <c r="V33" s="24"/>
      <c r="W33" s="24"/>
      <c r="X33" s="24"/>
      <c r="Y33" s="24"/>
      <c r="Z33" s="24"/>
      <c r="AA33" s="24"/>
      <c r="AC33" s="31" t="str">
        <f>IFERROR(__xludf.DUMMYFUNCTION("""COMPUTED_VALUE"""),"Barrow-In-Furness")</f>
        <v>Barrow-In-Furness</v>
      </c>
      <c r="AD33" s="31" t="str">
        <f>IFERROR(__xludf.DUMMYFUNCTION("""COMPUTED_VALUE"""),"BWF")</f>
        <v>BWF</v>
      </c>
      <c r="AE33" s="31" t="str">
        <f>IFERROR(__xludf.DUMMYFUNCTION("""COMPUTED_VALUE"""),"Walney Island")</f>
        <v>Walney Island</v>
      </c>
      <c r="AF33" s="31" t="str">
        <f>IFERROR(__xludf.DUMMYFUNCTION("""COMPUTED_VALUE"""),"United Kingdom")</f>
        <v>United Kingdom</v>
      </c>
      <c r="AG33" s="31"/>
      <c r="AH33" s="31"/>
      <c r="AL33" s="31" t="str">
        <f>IFERROR(__xludf.DUMMYFUNCTION("""COMPUTED_VALUE"""),"Bayreuth")</f>
        <v>Bayreuth</v>
      </c>
      <c r="AM33" s="31" t="str">
        <f>IFERROR(__xludf.DUMMYFUNCTION("""COMPUTED_VALUE"""),"BYU")</f>
        <v>BYU</v>
      </c>
      <c r="AN33" s="31" t="str">
        <f>IFERROR(__xludf.DUMMYFUNCTION("""COMPUTED_VALUE"""),"Bindlacher-Berg")</f>
        <v>Bindlacher-Berg</v>
      </c>
      <c r="AO33" s="31" t="str">
        <f>IFERROR(__xludf.DUMMYFUNCTION("""COMPUTED_VALUE"""),"Germany")</f>
        <v>Germany</v>
      </c>
      <c r="AP33" s="31"/>
      <c r="AQ33" s="31"/>
      <c r="AR33" s="20"/>
    </row>
    <row r="34">
      <c r="A34" s="19"/>
      <c r="D34" s="24"/>
      <c r="E34" s="50"/>
      <c r="F34" s="51"/>
      <c r="G34" s="51"/>
      <c r="H34" s="51"/>
      <c r="I34" s="24"/>
      <c r="J34" s="50"/>
      <c r="K34" s="34"/>
      <c r="L34" s="34"/>
      <c r="M34" s="24"/>
      <c r="N34" s="34"/>
      <c r="O34" s="34"/>
      <c r="P34" s="34"/>
      <c r="Q34" s="34"/>
      <c r="R34" s="24"/>
      <c r="S34" s="24"/>
      <c r="T34" s="24"/>
      <c r="U34" s="24"/>
      <c r="V34" s="24"/>
      <c r="W34" s="24"/>
      <c r="X34" s="24"/>
      <c r="Y34" s="24"/>
      <c r="Z34" s="24"/>
      <c r="AA34" s="24"/>
      <c r="AC34" s="31" t="str">
        <f>IFERROR(__xludf.DUMMYFUNCTION("""COMPUTED_VALUE"""),"Belfast")</f>
        <v>Belfast</v>
      </c>
      <c r="AD34" s="31" t="str">
        <f>IFERROR(__xludf.DUMMYFUNCTION("""COMPUTED_VALUE"""),"BHD")</f>
        <v>BHD</v>
      </c>
      <c r="AE34" s="31" t="str">
        <f>IFERROR(__xludf.DUMMYFUNCTION("""COMPUTED_VALUE"""),"Belfast City Airport")</f>
        <v>Belfast City Airport</v>
      </c>
      <c r="AF34" s="31" t="str">
        <f>IFERROR(__xludf.DUMMYFUNCTION("""COMPUTED_VALUE"""),"United Kingdom")</f>
        <v>United Kingdom</v>
      </c>
      <c r="AG34" s="31"/>
      <c r="AH34" s="31"/>
      <c r="AL34" s="31" t="str">
        <f>IFERROR(__xludf.DUMMYFUNCTION("""COMPUTED_VALUE"""),"Berlin")</f>
        <v>Berlin</v>
      </c>
      <c r="AM34" s="31" t="str">
        <f>IFERROR(__xludf.DUMMYFUNCTION("""COMPUTED_VALUE"""),"QWC")</f>
        <v>QWC</v>
      </c>
      <c r="AN34" s="31" t="str">
        <f>IFERROR(__xludf.DUMMYFUNCTION("""COMPUTED_VALUE"""),"Berlin Zoo")</f>
        <v>Berlin Zoo</v>
      </c>
      <c r="AO34" s="31" t="str">
        <f>IFERROR(__xludf.DUMMYFUNCTION("""COMPUTED_VALUE"""),"Germany")</f>
        <v>Germany</v>
      </c>
      <c r="AP34" s="31"/>
      <c r="AQ34" s="31"/>
      <c r="AR34" s="20"/>
    </row>
    <row r="35">
      <c r="A35" s="52"/>
      <c r="D35" s="34"/>
      <c r="E35" s="34"/>
      <c r="F35" s="51"/>
      <c r="G35" s="51"/>
      <c r="H35" s="51"/>
      <c r="I35" s="34"/>
      <c r="J35" s="34"/>
      <c r="K35" s="34"/>
      <c r="L35" s="34"/>
      <c r="M35" s="34"/>
      <c r="N35" s="34"/>
      <c r="O35" s="34"/>
      <c r="P35" s="34"/>
      <c r="Q35" s="34"/>
      <c r="R35" s="24"/>
      <c r="S35" s="24"/>
      <c r="T35" s="24"/>
      <c r="U35" s="24"/>
      <c r="V35" s="24"/>
      <c r="W35" s="24"/>
      <c r="X35" s="24"/>
      <c r="Y35" s="24"/>
      <c r="Z35" s="24"/>
      <c r="AA35" s="24"/>
      <c r="AC35" s="31" t="str">
        <f>IFERROR(__xludf.DUMMYFUNCTION("""COMPUTED_VALUE"""),"Belfast")</f>
        <v>Belfast</v>
      </c>
      <c r="AD35" s="31" t="str">
        <f>IFERROR(__xludf.DUMMYFUNCTION("""COMPUTED_VALUE"""),"BFS")</f>
        <v>BFS</v>
      </c>
      <c r="AE35" s="31" t="str">
        <f>IFERROR(__xludf.DUMMYFUNCTION("""COMPUTED_VALUE"""),"Belfast Aldergrove International")</f>
        <v>Belfast Aldergrove International</v>
      </c>
      <c r="AF35" s="31" t="str">
        <f>IFERROR(__xludf.DUMMYFUNCTION("""COMPUTED_VALUE"""),"United Kingdom")</f>
        <v>United Kingdom</v>
      </c>
      <c r="AG35" s="31"/>
      <c r="AH35" s="31"/>
      <c r="AL35" s="31" t="str">
        <f>IFERROR(__xludf.DUMMYFUNCTION("""COMPUTED_VALUE"""),"Berlin")</f>
        <v>Berlin</v>
      </c>
      <c r="AM35" s="31" t="str">
        <f>IFERROR(__xludf.DUMMYFUNCTION("""COMPUTED_VALUE"""),"GWW")</f>
        <v>GWW</v>
      </c>
      <c r="AN35" s="31" t="str">
        <f>IFERROR(__xludf.DUMMYFUNCTION("""COMPUTED_VALUE"""),"RAF Gatow")</f>
        <v>RAF Gatow</v>
      </c>
      <c r="AO35" s="31" t="str">
        <f>IFERROR(__xludf.DUMMYFUNCTION("""COMPUTED_VALUE"""),"Germany")</f>
        <v>Germany</v>
      </c>
      <c r="AP35" s="31"/>
      <c r="AQ35" s="31"/>
      <c r="AR35" s="20"/>
    </row>
    <row r="36">
      <c r="A36" s="53"/>
      <c r="D36" s="34"/>
      <c r="E36" s="34"/>
      <c r="G36" s="51"/>
      <c r="H36" s="51"/>
      <c r="I36" s="34"/>
      <c r="J36" s="34"/>
      <c r="K36" s="34"/>
      <c r="L36" s="34"/>
      <c r="M36" s="34"/>
      <c r="N36" s="34"/>
      <c r="O36" s="34"/>
      <c r="P36" s="34"/>
      <c r="Q36" s="34"/>
      <c r="R36" s="24"/>
      <c r="S36" s="24"/>
      <c r="T36" s="24"/>
      <c r="U36" s="24"/>
      <c r="V36" s="24"/>
      <c r="W36" s="24"/>
      <c r="X36" s="24"/>
      <c r="Y36" s="24"/>
      <c r="Z36" s="24"/>
      <c r="AA36" s="24"/>
      <c r="AC36" s="31" t="str">
        <f>IFERROR(__xludf.DUMMYFUNCTION("""COMPUTED_VALUE"""),"Bembridge")</f>
        <v>Bembridge</v>
      </c>
      <c r="AD36" s="31" t="str">
        <f>IFERROR(__xludf.DUMMYFUNCTION("""COMPUTED_VALUE"""),"BBP")</f>
        <v>BBP</v>
      </c>
      <c r="AE36" s="31" t="str">
        <f>IFERROR(__xludf.DUMMYFUNCTION("""COMPUTED_VALUE"""),"Bembridge")</f>
        <v>Bembridge</v>
      </c>
      <c r="AF36" s="31" t="str">
        <f>IFERROR(__xludf.DUMMYFUNCTION("""COMPUTED_VALUE"""),"United Kingdom")</f>
        <v>United Kingdom</v>
      </c>
      <c r="AG36" s="31"/>
      <c r="AH36" s="31"/>
      <c r="AL36" s="31" t="str">
        <f>IFERROR(__xludf.DUMMYFUNCTION("""COMPUTED_VALUE"""),"Berlin")</f>
        <v>Berlin</v>
      </c>
      <c r="AM36" s="31" t="str">
        <f>IFERROR(__xludf.DUMMYFUNCTION("""COMPUTED_VALUE"""),"SXF")</f>
        <v>SXF</v>
      </c>
      <c r="AN36" s="31" t="str">
        <f>IFERROR(__xludf.DUMMYFUNCTION("""COMPUTED_VALUE"""),"Schoenefeld")</f>
        <v>Schoenefeld</v>
      </c>
      <c r="AO36" s="31" t="str">
        <f>IFERROR(__xludf.DUMMYFUNCTION("""COMPUTED_VALUE"""),"Germany")</f>
        <v>Germany</v>
      </c>
      <c r="AP36" s="31"/>
      <c r="AQ36" s="31"/>
      <c r="AR36" s="20"/>
    </row>
    <row r="37">
      <c r="A37" s="19"/>
      <c r="D37" s="34"/>
      <c r="E37" s="34"/>
      <c r="G37" s="51"/>
      <c r="H37" s="51"/>
      <c r="I37" s="34"/>
      <c r="J37" s="34"/>
      <c r="K37" s="34"/>
      <c r="L37" s="34"/>
      <c r="M37" s="34"/>
      <c r="N37" s="34"/>
      <c r="O37" s="34"/>
      <c r="P37" s="34"/>
      <c r="Q37" s="34"/>
      <c r="R37" s="24"/>
      <c r="S37" s="24"/>
      <c r="T37" s="24"/>
      <c r="U37" s="24"/>
      <c r="V37" s="24"/>
      <c r="W37" s="24"/>
      <c r="X37" s="24"/>
      <c r="Y37" s="24"/>
      <c r="Z37" s="24"/>
      <c r="AA37" s="24"/>
      <c r="AC37" s="31" t="str">
        <f>IFERROR(__xludf.DUMMYFUNCTION("""COMPUTED_VALUE"""),"Benbecula")</f>
        <v>Benbecula</v>
      </c>
      <c r="AD37" s="31" t="str">
        <f>IFERROR(__xludf.DUMMYFUNCTION("""COMPUTED_VALUE"""),"BEB")</f>
        <v>BEB</v>
      </c>
      <c r="AE37" s="31" t="str">
        <f>IFERROR(__xludf.DUMMYFUNCTION("""COMPUTED_VALUE"""),"Benbecula")</f>
        <v>Benbecula</v>
      </c>
      <c r="AF37" s="31" t="str">
        <f>IFERROR(__xludf.DUMMYFUNCTION("""COMPUTED_VALUE"""),"United Kingdom")</f>
        <v>United Kingdom</v>
      </c>
      <c r="AG37" s="31"/>
      <c r="AH37" s="31"/>
      <c r="AL37" s="31" t="str">
        <f>IFERROR(__xludf.DUMMYFUNCTION("""COMPUTED_VALUE"""),"Berlin")</f>
        <v>Berlin</v>
      </c>
      <c r="AM37" s="31" t="str">
        <f>IFERROR(__xludf.DUMMYFUNCTION("""COMPUTED_VALUE"""),"TXL")</f>
        <v>TXL</v>
      </c>
      <c r="AN37" s="31" t="str">
        <f>IFERROR(__xludf.DUMMYFUNCTION("""COMPUTED_VALUE"""),"Tegel")</f>
        <v>Tegel</v>
      </c>
      <c r="AO37" s="31" t="str">
        <f>IFERROR(__xludf.DUMMYFUNCTION("""COMPUTED_VALUE"""),"Germany")</f>
        <v>Germany</v>
      </c>
      <c r="AP37" s="31"/>
      <c r="AQ37" s="31"/>
      <c r="AR37" s="20"/>
    </row>
    <row r="38">
      <c r="A38" s="19"/>
      <c r="D38" s="34"/>
      <c r="E38" s="34"/>
      <c r="G38" s="51"/>
      <c r="H38" s="51"/>
      <c r="I38" s="34"/>
      <c r="J38" s="34"/>
      <c r="K38" s="34"/>
      <c r="L38" s="34"/>
      <c r="M38" s="34"/>
      <c r="N38" s="34"/>
      <c r="O38" s="34"/>
      <c r="P38" s="34"/>
      <c r="Q38" s="34"/>
      <c r="R38" s="24"/>
      <c r="S38" s="24"/>
      <c r="T38" s="24"/>
      <c r="U38" s="24"/>
      <c r="V38" s="24"/>
      <c r="W38" s="24"/>
      <c r="X38" s="24"/>
      <c r="Y38" s="24"/>
      <c r="Z38" s="24"/>
      <c r="AA38" s="24"/>
      <c r="AC38" s="31" t="str">
        <f>IFERROR(__xludf.DUMMYFUNCTION("""COMPUTED_VALUE"""),"Benson")</f>
        <v>Benson</v>
      </c>
      <c r="AD38" s="31" t="str">
        <f>IFERROR(__xludf.DUMMYFUNCTION("""COMPUTED_VALUE"""),"BEX")</f>
        <v>BEX</v>
      </c>
      <c r="AE38" s="31" t="str">
        <f>IFERROR(__xludf.DUMMYFUNCTION("""COMPUTED_VALUE"""),"RAF Station")</f>
        <v>RAF Station</v>
      </c>
      <c r="AF38" s="31" t="str">
        <f>IFERROR(__xludf.DUMMYFUNCTION("""COMPUTED_VALUE"""),"United Kingdom")</f>
        <v>United Kingdom</v>
      </c>
      <c r="AG38" s="31"/>
      <c r="AH38" s="31"/>
      <c r="AL38" s="31" t="str">
        <f>IFERROR(__xludf.DUMMYFUNCTION("""COMPUTED_VALUE"""),"Berlin")</f>
        <v>Berlin</v>
      </c>
      <c r="AM38" s="31" t="str">
        <f>IFERROR(__xludf.DUMMYFUNCTION("""COMPUTED_VALUE"""),"THF")</f>
        <v>THF</v>
      </c>
      <c r="AN38" s="31" t="str">
        <f>IFERROR(__xludf.DUMMYFUNCTION("""COMPUTED_VALUE"""),"Tempelhof")</f>
        <v>Tempelhof</v>
      </c>
      <c r="AO38" s="31" t="str">
        <f>IFERROR(__xludf.DUMMYFUNCTION("""COMPUTED_VALUE"""),"Germany")</f>
        <v>Germany</v>
      </c>
      <c r="AP38" s="31"/>
      <c r="AQ38" s="31"/>
      <c r="AR38" s="20"/>
    </row>
    <row r="39">
      <c r="A39" s="19"/>
      <c r="D39" s="34"/>
      <c r="E39" s="34"/>
      <c r="G39" s="34"/>
      <c r="H39" s="51"/>
      <c r="I39" s="34"/>
      <c r="J39" s="34"/>
      <c r="K39" s="34"/>
      <c r="L39" s="34"/>
      <c r="M39" s="34"/>
      <c r="N39" s="34"/>
      <c r="O39" s="34"/>
      <c r="P39" s="34"/>
      <c r="Q39" s="34"/>
      <c r="R39" s="24"/>
      <c r="S39" s="24"/>
      <c r="T39" s="24"/>
      <c r="U39" s="24"/>
      <c r="V39" s="24"/>
      <c r="W39" s="24"/>
      <c r="X39" s="24"/>
      <c r="Y39" s="24"/>
      <c r="Z39" s="24"/>
      <c r="AA39" s="24"/>
      <c r="AC39" s="31" t="str">
        <f>IFERROR(__xludf.DUMMYFUNCTION("""COMPUTED_VALUE"""),"Birmingham")</f>
        <v>Birmingham</v>
      </c>
      <c r="AD39" s="31" t="str">
        <f>IFERROR(__xludf.DUMMYFUNCTION("""COMPUTED_VALUE"""),"ZBC")</f>
        <v>ZBC</v>
      </c>
      <c r="AE39" s="31" t="str">
        <f>IFERROR(__xludf.DUMMYFUNCTION("""COMPUTED_VALUE"""),"Colmore Row Bus Stn")</f>
        <v>Colmore Row Bus Stn</v>
      </c>
      <c r="AF39" s="31" t="str">
        <f>IFERROR(__xludf.DUMMYFUNCTION("""COMPUTED_VALUE"""),"United Kingdom")</f>
        <v>United Kingdom</v>
      </c>
      <c r="AG39" s="31"/>
      <c r="AH39" s="31"/>
      <c r="AL39" s="31" t="str">
        <f>IFERROR(__xludf.DUMMYFUNCTION("""COMPUTED_VALUE"""),"Bielefeld")</f>
        <v>Bielefeld</v>
      </c>
      <c r="AM39" s="31" t="str">
        <f>IFERROR(__xludf.DUMMYFUNCTION("""COMPUTED_VALUE"""),"BFE")</f>
        <v>BFE</v>
      </c>
      <c r="AN39" s="31" t="str">
        <f>IFERROR(__xludf.DUMMYFUNCTION("""COMPUTED_VALUE"""),"Bielefeld")</f>
        <v>Bielefeld</v>
      </c>
      <c r="AO39" s="31" t="str">
        <f>IFERROR(__xludf.DUMMYFUNCTION("""COMPUTED_VALUE"""),"Germany")</f>
        <v>Germany</v>
      </c>
      <c r="AP39" s="31"/>
      <c r="AQ39" s="31"/>
      <c r="AR39" s="20"/>
    </row>
    <row r="40">
      <c r="A40" s="19"/>
      <c r="D40" s="34"/>
      <c r="E40" s="34"/>
      <c r="F40" s="34"/>
      <c r="G40" s="34"/>
      <c r="H40" s="51"/>
      <c r="I40" s="34"/>
      <c r="J40" s="34"/>
      <c r="K40" s="34"/>
      <c r="L40" s="34"/>
      <c r="M40" s="34"/>
      <c r="N40" s="34"/>
      <c r="O40" s="34"/>
      <c r="P40" s="34"/>
      <c r="Q40" s="34"/>
      <c r="R40" s="24"/>
      <c r="S40" s="24"/>
      <c r="T40" s="24"/>
      <c r="U40" s="24"/>
      <c r="V40" s="24"/>
      <c r="W40" s="24"/>
      <c r="X40" s="24"/>
      <c r="Y40" s="24"/>
      <c r="Z40" s="24"/>
      <c r="AA40" s="24"/>
      <c r="AC40" s="31" t="str">
        <f>IFERROR(__xludf.DUMMYFUNCTION("""COMPUTED_VALUE"""),"Birmingham")</f>
        <v>Birmingham</v>
      </c>
      <c r="AD40" s="31" t="str">
        <f>IFERROR(__xludf.DUMMYFUNCTION("""COMPUTED_VALUE"""),"BHX")</f>
        <v>BHX</v>
      </c>
      <c r="AE40" s="31" t="str">
        <f>IFERROR(__xludf.DUMMYFUNCTION("""COMPUTED_VALUE"""),"Birmingham International")</f>
        <v>Birmingham International</v>
      </c>
      <c r="AF40" s="31" t="str">
        <f>IFERROR(__xludf.DUMMYFUNCTION("""COMPUTED_VALUE"""),"United Kingdom")</f>
        <v>United Kingdom</v>
      </c>
      <c r="AG40" s="31"/>
      <c r="AH40" s="31"/>
      <c r="AL40" s="31" t="str">
        <f>IFERROR(__xludf.DUMMYFUNCTION("""COMPUTED_VALUE"""),"Bitburg")</f>
        <v>Bitburg</v>
      </c>
      <c r="AM40" s="31" t="str">
        <f>IFERROR(__xludf.DUMMYFUNCTION("""COMPUTED_VALUE"""),"BBJ")</f>
        <v>BBJ</v>
      </c>
      <c r="AN40" s="31" t="str">
        <f>IFERROR(__xludf.DUMMYFUNCTION("""COMPUTED_VALUE"""),"Bitburg Air Base")</f>
        <v>Bitburg Air Base</v>
      </c>
      <c r="AO40" s="31" t="str">
        <f>IFERROR(__xludf.DUMMYFUNCTION("""COMPUTED_VALUE"""),"Germany")</f>
        <v>Germany</v>
      </c>
      <c r="AP40" s="31"/>
      <c r="AQ40" s="31"/>
      <c r="AR40" s="20"/>
    </row>
    <row r="41">
      <c r="A41" s="19"/>
      <c r="D41" s="34"/>
      <c r="E41" s="34"/>
      <c r="F41" s="51"/>
      <c r="H41" s="51"/>
      <c r="I41" s="34"/>
      <c r="J41" s="34"/>
      <c r="K41" s="34"/>
      <c r="L41" s="34"/>
      <c r="M41" s="34"/>
      <c r="N41" s="34"/>
      <c r="O41" s="34"/>
      <c r="P41" s="34"/>
      <c r="Q41" s="34"/>
      <c r="R41" s="24"/>
      <c r="S41" s="24"/>
      <c r="T41" s="24"/>
      <c r="U41" s="24"/>
      <c r="V41" s="24"/>
      <c r="W41" s="24"/>
      <c r="X41" s="24"/>
      <c r="Y41" s="24"/>
      <c r="Z41" s="24"/>
      <c r="AA41" s="24"/>
      <c r="AC41" s="31" t="str">
        <f>IFERROR(__xludf.DUMMYFUNCTION("""COMPUTED_VALUE"""),"Yateley")</f>
        <v>Yateley</v>
      </c>
      <c r="AD41" s="31" t="str">
        <f>IFERROR(__xludf.DUMMYFUNCTION("""COMPUTED_VALUE"""),"BBS")</f>
        <v>BBS</v>
      </c>
      <c r="AE41" s="31" t="str">
        <f>IFERROR(__xludf.DUMMYFUNCTION("""COMPUTED_VALUE"""),"Blackbushe")</f>
        <v>Blackbushe</v>
      </c>
      <c r="AF41" s="31" t="str">
        <f>IFERROR(__xludf.DUMMYFUNCTION("""COMPUTED_VALUE"""),"United Kingdom")</f>
        <v>United Kingdom</v>
      </c>
      <c r="AG41" s="31"/>
      <c r="AH41" s="31"/>
      <c r="AL41" s="31" t="str">
        <f>IFERROR(__xludf.DUMMYFUNCTION("""COMPUTED_VALUE"""),"Boeblingen")</f>
        <v>Boeblingen</v>
      </c>
      <c r="AM41" s="31" t="str">
        <f>IFERROR(__xludf.DUMMYFUNCTION("""COMPUTED_VALUE"""),"PHM")</f>
        <v>PHM</v>
      </c>
      <c r="AN41" s="31" t="str">
        <f>IFERROR(__xludf.DUMMYFUNCTION("""COMPUTED_VALUE"""),"Boeblingen")</f>
        <v>Boeblingen</v>
      </c>
      <c r="AO41" s="31" t="str">
        <f>IFERROR(__xludf.DUMMYFUNCTION("""COMPUTED_VALUE"""),"Germany")</f>
        <v>Germany</v>
      </c>
      <c r="AP41" s="31"/>
      <c r="AQ41" s="31"/>
      <c r="AR41" s="20"/>
    </row>
    <row r="42">
      <c r="A42" s="19"/>
      <c r="D42" s="34"/>
      <c r="E42" s="34"/>
      <c r="F42" s="51"/>
      <c r="G42" s="51"/>
      <c r="H42" s="51"/>
      <c r="I42" s="34"/>
      <c r="J42" s="34"/>
      <c r="K42" s="34"/>
      <c r="L42" s="34"/>
      <c r="M42" s="34"/>
      <c r="N42" s="34"/>
      <c r="O42" s="34"/>
      <c r="P42" s="34"/>
      <c r="Q42" s="34"/>
      <c r="R42" s="24"/>
      <c r="S42" s="24"/>
      <c r="T42" s="24"/>
      <c r="U42" s="24"/>
      <c r="V42" s="24"/>
      <c r="W42" s="24"/>
      <c r="X42" s="24"/>
      <c r="Y42" s="24"/>
      <c r="Z42" s="24"/>
      <c r="AA42" s="24"/>
      <c r="AC42" s="31" t="str">
        <f>IFERROR(__xludf.DUMMYFUNCTION("""COMPUTED_VALUE"""),"Blackpool")</f>
        <v>Blackpool</v>
      </c>
      <c r="AD42" s="31" t="str">
        <f>IFERROR(__xludf.DUMMYFUNCTION("""COMPUTED_VALUE"""),"BLK")</f>
        <v>BLK</v>
      </c>
      <c r="AE42" s="31" t="str">
        <f>IFERROR(__xludf.DUMMYFUNCTION("""COMPUTED_VALUE"""),"Blackpool")</f>
        <v>Blackpool</v>
      </c>
      <c r="AF42" s="31" t="str">
        <f>IFERROR(__xludf.DUMMYFUNCTION("""COMPUTED_VALUE"""),"United Kingdom")</f>
        <v>United Kingdom</v>
      </c>
      <c r="AG42" s="31"/>
      <c r="AH42" s="31"/>
      <c r="AL42" s="31" t="str">
        <f>IFERROR(__xludf.DUMMYFUNCTION("""COMPUTED_VALUE"""),"Borkum")</f>
        <v>Borkum</v>
      </c>
      <c r="AM42" s="31" t="str">
        <f>IFERROR(__xludf.DUMMYFUNCTION("""COMPUTED_VALUE"""),"BMK")</f>
        <v>BMK</v>
      </c>
      <c r="AN42" s="31" t="str">
        <f>IFERROR(__xludf.DUMMYFUNCTION("""COMPUTED_VALUE"""),"Borkum")</f>
        <v>Borkum</v>
      </c>
      <c r="AO42" s="31" t="str">
        <f>IFERROR(__xludf.DUMMYFUNCTION("""COMPUTED_VALUE"""),"Germany")</f>
        <v>Germany</v>
      </c>
      <c r="AP42" s="31"/>
      <c r="AQ42" s="31"/>
      <c r="AR42" s="20"/>
    </row>
    <row r="43">
      <c r="A43" s="19"/>
      <c r="D43" s="34"/>
      <c r="E43" s="34"/>
      <c r="F43" s="51"/>
      <c r="G43" s="51"/>
      <c r="H43" s="51"/>
      <c r="I43" s="34"/>
      <c r="J43" s="34"/>
      <c r="K43" s="34"/>
      <c r="L43" s="34"/>
      <c r="M43" s="34"/>
      <c r="N43" s="34"/>
      <c r="O43" s="34"/>
      <c r="P43" s="34"/>
      <c r="Q43" s="34"/>
      <c r="R43" s="24"/>
      <c r="S43" s="24"/>
      <c r="T43" s="24"/>
      <c r="U43" s="24"/>
      <c r="V43" s="24"/>
      <c r="W43" s="24"/>
      <c r="X43" s="24"/>
      <c r="Y43" s="24"/>
      <c r="Z43" s="24"/>
      <c r="AA43" s="24"/>
      <c r="AC43" s="31" t="str">
        <f>IFERROR(__xludf.DUMMYFUNCTION("""COMPUTED_VALUE"""),"Bournemouth")</f>
        <v>Bournemouth</v>
      </c>
      <c r="AD43" s="31" t="str">
        <f>IFERROR(__xludf.DUMMYFUNCTION("""COMPUTED_VALUE"""),"BOH")</f>
        <v>BOH</v>
      </c>
      <c r="AE43" s="31" t="str">
        <f>IFERROR(__xludf.DUMMYFUNCTION("""COMPUTED_VALUE"""),"Bournemouth International")</f>
        <v>Bournemouth International</v>
      </c>
      <c r="AF43" s="31" t="str">
        <f>IFERROR(__xludf.DUMMYFUNCTION("""COMPUTED_VALUE"""),"United Kingdom")</f>
        <v>United Kingdom</v>
      </c>
      <c r="AG43" s="31"/>
      <c r="AH43" s="31"/>
      <c r="AL43" s="31" t="str">
        <f>IFERROR(__xludf.DUMMYFUNCTION("""COMPUTED_VALUE"""),"Braunschweig")</f>
        <v>Braunschweig</v>
      </c>
      <c r="AM43" s="31" t="str">
        <f>IFERROR(__xludf.DUMMYFUNCTION("""COMPUTED_VALUE"""),"BWE")</f>
        <v>BWE</v>
      </c>
      <c r="AN43" s="31" t="str">
        <f>IFERROR(__xludf.DUMMYFUNCTION("""COMPUTED_VALUE"""),"Braunschweig")</f>
        <v>Braunschweig</v>
      </c>
      <c r="AO43" s="31" t="str">
        <f>IFERROR(__xludf.DUMMYFUNCTION("""COMPUTED_VALUE"""),"Germany")</f>
        <v>Germany</v>
      </c>
      <c r="AP43" s="31"/>
      <c r="AQ43" s="31"/>
      <c r="AR43" s="20"/>
    </row>
    <row r="44">
      <c r="A44" s="19"/>
      <c r="D44" s="34"/>
      <c r="E44" s="34"/>
      <c r="F44" s="51"/>
      <c r="H44" s="51"/>
      <c r="J44" s="34"/>
      <c r="K44" s="34"/>
      <c r="L44" s="34"/>
      <c r="M44" s="34"/>
      <c r="N44" s="34"/>
      <c r="O44" s="34"/>
      <c r="P44" s="34"/>
      <c r="Q44" s="34"/>
      <c r="R44" s="24"/>
      <c r="S44" s="24"/>
      <c r="T44" s="24"/>
      <c r="U44" s="24"/>
      <c r="V44" s="24"/>
      <c r="W44" s="24"/>
      <c r="X44" s="24"/>
      <c r="Y44" s="24"/>
      <c r="Z44" s="24"/>
      <c r="AA44" s="24"/>
      <c r="AC44" s="31" t="str">
        <f>IFERROR(__xludf.DUMMYFUNCTION("""COMPUTED_VALUE"""),"Bradford")</f>
        <v>Bradford</v>
      </c>
      <c r="AD44" s="31" t="str">
        <f>IFERROR(__xludf.DUMMYFUNCTION("""COMPUTED_VALUE"""),"BRF")</f>
        <v>BRF</v>
      </c>
      <c r="AE44" s="31" t="str">
        <f>IFERROR(__xludf.DUMMYFUNCTION("""COMPUTED_VALUE"""),"Bradford")</f>
        <v>Bradford</v>
      </c>
      <c r="AF44" s="31" t="str">
        <f>IFERROR(__xludf.DUMMYFUNCTION("""COMPUTED_VALUE"""),"United Kingdom")</f>
        <v>United Kingdom</v>
      </c>
      <c r="AG44" s="31"/>
      <c r="AH44" s="31"/>
      <c r="AL44" s="31" t="str">
        <f>IFERROR(__xludf.DUMMYFUNCTION("""COMPUTED_VALUE"""),"Bremen")</f>
        <v>Bremen</v>
      </c>
      <c r="AM44" s="31" t="str">
        <f>IFERROR(__xludf.DUMMYFUNCTION("""COMPUTED_VALUE"""),"BRE")</f>
        <v>BRE</v>
      </c>
      <c r="AN44" s="31" t="str">
        <f>IFERROR(__xludf.DUMMYFUNCTION("""COMPUTED_VALUE"""),"Bremen")</f>
        <v>Bremen</v>
      </c>
      <c r="AO44" s="31" t="str">
        <f>IFERROR(__xludf.DUMMYFUNCTION("""COMPUTED_VALUE"""),"Germany")</f>
        <v>Germany</v>
      </c>
      <c r="AP44" s="31"/>
      <c r="AQ44" s="31"/>
      <c r="AR44" s="20"/>
    </row>
    <row r="45">
      <c r="A45" s="19"/>
      <c r="D45" s="34"/>
      <c r="E45" s="34"/>
      <c r="F45" s="51"/>
      <c r="G45" s="51"/>
      <c r="H45" s="51"/>
      <c r="I45" s="34"/>
      <c r="J45" s="34"/>
      <c r="K45" s="34"/>
      <c r="L45" s="34"/>
      <c r="M45" s="34"/>
      <c r="N45" s="34"/>
      <c r="O45" s="34"/>
      <c r="P45" s="34"/>
      <c r="Q45" s="34"/>
      <c r="R45" s="24"/>
      <c r="S45" s="24"/>
      <c r="T45" s="24"/>
      <c r="U45" s="24"/>
      <c r="V45" s="24"/>
      <c r="W45" s="24"/>
      <c r="X45" s="24"/>
      <c r="Y45" s="24"/>
      <c r="Z45" s="24"/>
      <c r="AA45" s="24"/>
      <c r="AC45" s="31" t="str">
        <f>IFERROR(__xludf.DUMMYFUNCTION("""COMPUTED_VALUE"""),"Bradford")</f>
        <v>Bradford</v>
      </c>
      <c r="AD45" s="31" t="str">
        <f>IFERROR(__xludf.DUMMYFUNCTION("""COMPUTED_VALUE"""),"ZFC")</f>
        <v>ZFC</v>
      </c>
      <c r="AE45" s="31" t="str">
        <f>IFERROR(__xludf.DUMMYFUNCTION("""COMPUTED_VALUE"""),"Bus Station")</f>
        <v>Bus Station</v>
      </c>
      <c r="AF45" s="31" t="str">
        <f>IFERROR(__xludf.DUMMYFUNCTION("""COMPUTED_VALUE"""),"United Kingdom")</f>
        <v>United Kingdom</v>
      </c>
      <c r="AG45" s="31"/>
      <c r="AH45" s="31"/>
      <c r="AL45" s="31" t="str">
        <f>IFERROR(__xludf.DUMMYFUNCTION("""COMPUTED_VALUE"""),"Bremerhaven")</f>
        <v>Bremerhaven</v>
      </c>
      <c r="AM45" s="31" t="str">
        <f>IFERROR(__xludf.DUMMYFUNCTION("""COMPUTED_VALUE"""),"BRV")</f>
        <v>BRV</v>
      </c>
      <c r="AN45" s="31" t="str">
        <f>IFERROR(__xludf.DUMMYFUNCTION("""COMPUTED_VALUE"""),"Bremerhaven")</f>
        <v>Bremerhaven</v>
      </c>
      <c r="AO45" s="31" t="str">
        <f>IFERROR(__xludf.DUMMYFUNCTION("""COMPUTED_VALUE"""),"Germany")</f>
        <v>Germany</v>
      </c>
      <c r="AP45" s="31"/>
      <c r="AQ45" s="31"/>
      <c r="AR45" s="20"/>
    </row>
    <row r="46">
      <c r="A46" s="19"/>
      <c r="D46" s="34"/>
      <c r="E46" s="34"/>
      <c r="F46" s="34"/>
      <c r="G46" s="34"/>
      <c r="H46" s="34"/>
      <c r="I46" s="34"/>
      <c r="J46" s="34"/>
      <c r="K46" s="34"/>
      <c r="L46" s="34"/>
      <c r="M46" s="34"/>
      <c r="N46" s="34"/>
      <c r="O46" s="34"/>
      <c r="P46" s="34"/>
      <c r="Q46" s="34"/>
      <c r="R46" s="24"/>
      <c r="S46" s="24"/>
      <c r="T46" s="24"/>
      <c r="U46" s="24"/>
      <c r="V46" s="24"/>
      <c r="W46" s="24"/>
      <c r="X46" s="24"/>
      <c r="Y46" s="24"/>
      <c r="Z46" s="24"/>
      <c r="AA46" s="24"/>
      <c r="AC46" s="31" t="str">
        <f>IFERROR(__xludf.DUMMYFUNCTION("""COMPUTED_VALUE"""),"Braintree")</f>
        <v>Braintree</v>
      </c>
      <c r="AD46" s="31" t="str">
        <f>IFERROR(__xludf.DUMMYFUNCTION("""COMPUTED_VALUE"""),"WXF")</f>
        <v>WXF</v>
      </c>
      <c r="AE46" s="31" t="str">
        <f>IFERROR(__xludf.DUMMYFUNCTION("""COMPUTED_VALUE"""),"Wether Fld RAF")</f>
        <v>Wether Fld RAF</v>
      </c>
      <c r="AF46" s="31" t="str">
        <f>IFERROR(__xludf.DUMMYFUNCTION("""COMPUTED_VALUE"""),"United Kingdom")</f>
        <v>United Kingdom</v>
      </c>
      <c r="AG46" s="31"/>
      <c r="AH46" s="31"/>
      <c r="AL46" s="31" t="str">
        <f>IFERROR(__xludf.DUMMYFUNCTION("""COMPUTED_VALUE"""),"Brueggen")</f>
        <v>Brueggen</v>
      </c>
      <c r="AM46" s="31" t="str">
        <f>IFERROR(__xludf.DUMMYFUNCTION("""COMPUTED_VALUE"""),"BGN")</f>
        <v>BGN</v>
      </c>
      <c r="AN46" s="31" t="str">
        <f>IFERROR(__xludf.DUMMYFUNCTION("""COMPUTED_VALUE"""),"R.A.F.")</f>
        <v>R.A.F.</v>
      </c>
      <c r="AO46" s="31" t="str">
        <f>IFERROR(__xludf.DUMMYFUNCTION("""COMPUTED_VALUE"""),"Germany")</f>
        <v>Germany</v>
      </c>
      <c r="AP46" s="31"/>
      <c r="AQ46" s="31"/>
      <c r="AR46" s="20"/>
    </row>
    <row r="47">
      <c r="A47" s="19"/>
      <c r="D47" s="34"/>
      <c r="E47" s="34"/>
      <c r="F47" s="34"/>
      <c r="G47" s="34"/>
      <c r="O47" s="34"/>
      <c r="P47" s="34"/>
      <c r="Q47" s="34"/>
      <c r="R47" s="24"/>
      <c r="S47" s="24"/>
      <c r="T47" s="24"/>
      <c r="U47" s="24"/>
      <c r="V47" s="24"/>
      <c r="W47" s="24"/>
      <c r="X47" s="24"/>
      <c r="Y47" s="24"/>
      <c r="Z47" s="24"/>
      <c r="AA47" s="24"/>
      <c r="AC47" s="31" t="str">
        <f>IFERROR(__xludf.DUMMYFUNCTION("""COMPUTED_VALUE"""),"Brandon")</f>
        <v>Brandon</v>
      </c>
      <c r="AD47" s="31" t="str">
        <f>IFERROR(__xludf.DUMMYFUNCTION("""COMPUTED_VALUE"""),"LKZ")</f>
        <v>LKZ</v>
      </c>
      <c r="AE47" s="31" t="str">
        <f>IFERROR(__xludf.DUMMYFUNCTION("""COMPUTED_VALUE"""),"Lakenheath RAF")</f>
        <v>Lakenheath RAF</v>
      </c>
      <c r="AF47" s="31" t="str">
        <f>IFERROR(__xludf.DUMMYFUNCTION("""COMPUTED_VALUE"""),"United Kingdom")</f>
        <v>United Kingdom</v>
      </c>
      <c r="AG47" s="31"/>
      <c r="AH47" s="31"/>
      <c r="AL47" s="31" t="str">
        <f>IFERROR(__xludf.DUMMYFUNCTION("""COMPUTED_VALUE"""),"Burg Feuerstein")</f>
        <v>Burg Feuerstein</v>
      </c>
      <c r="AM47" s="31" t="str">
        <f>IFERROR(__xludf.DUMMYFUNCTION("""COMPUTED_VALUE"""),"URD")</f>
        <v>URD</v>
      </c>
      <c r="AN47" s="31" t="str">
        <f>IFERROR(__xludf.DUMMYFUNCTION("""COMPUTED_VALUE"""),"Burg Feuerstein")</f>
        <v>Burg Feuerstein</v>
      </c>
      <c r="AO47" s="31" t="str">
        <f>IFERROR(__xludf.DUMMYFUNCTION("""COMPUTED_VALUE"""),"Germany")</f>
        <v>Germany</v>
      </c>
      <c r="AP47" s="31"/>
      <c r="AQ47" s="31"/>
      <c r="AR47" s="20"/>
    </row>
    <row r="48">
      <c r="A48" s="19"/>
      <c r="D48" s="34"/>
      <c r="E48" s="34"/>
      <c r="F48" s="34"/>
      <c r="G48" s="34"/>
      <c r="P48" s="34"/>
      <c r="Q48" s="34"/>
      <c r="R48" s="24"/>
      <c r="S48" s="24"/>
      <c r="T48" s="24"/>
      <c r="U48" s="24"/>
      <c r="V48" s="24"/>
      <c r="W48" s="24"/>
      <c r="X48" s="24"/>
      <c r="Y48" s="24"/>
      <c r="Z48" s="24"/>
      <c r="AA48" s="24"/>
      <c r="AC48" s="31" t="str">
        <f>IFERROR(__xludf.DUMMYFUNCTION("""COMPUTED_VALUE"""),"Brighton")</f>
        <v>Brighton</v>
      </c>
      <c r="AD48" s="31" t="str">
        <f>IFERROR(__xludf.DUMMYFUNCTION("""COMPUTED_VALUE"""),"BSH")</f>
        <v>BSH</v>
      </c>
      <c r="AE48" s="31" t="str">
        <f>IFERROR(__xludf.DUMMYFUNCTION("""COMPUTED_VALUE"""),"Brighton")</f>
        <v>Brighton</v>
      </c>
      <c r="AF48" s="31" t="str">
        <f>IFERROR(__xludf.DUMMYFUNCTION("""COMPUTED_VALUE"""),"United Kingdom")</f>
        <v>United Kingdom</v>
      </c>
      <c r="AG48" s="31"/>
      <c r="AH48" s="31"/>
      <c r="AL48" s="31" t="str">
        <f>IFERROR(__xludf.DUMMYFUNCTION("""COMPUTED_VALUE"""),"Chemnitz")</f>
        <v>Chemnitz</v>
      </c>
      <c r="AM48" s="31" t="str">
        <f>IFERROR(__xludf.DUMMYFUNCTION("""COMPUTED_VALUE"""),"ZTZ")</f>
        <v>ZTZ</v>
      </c>
      <c r="AN48" s="31" t="str">
        <f>IFERROR(__xludf.DUMMYFUNCTION("""COMPUTED_VALUE"""),"Chemnitz Railway Stn.")</f>
        <v>Chemnitz Railway Stn.</v>
      </c>
      <c r="AO48" s="31" t="str">
        <f>IFERROR(__xludf.DUMMYFUNCTION("""COMPUTED_VALUE"""),"Germany")</f>
        <v>Germany</v>
      </c>
      <c r="AP48" s="31"/>
      <c r="AQ48" s="31"/>
      <c r="AR48" s="20"/>
    </row>
    <row r="49">
      <c r="A49" s="19"/>
      <c r="D49" s="34"/>
      <c r="E49" s="34"/>
      <c r="F49" s="34"/>
      <c r="G49" s="34"/>
      <c r="H49" s="34"/>
      <c r="I49" s="34"/>
      <c r="J49" s="34"/>
      <c r="K49" s="34"/>
      <c r="L49" s="34"/>
      <c r="M49" s="34"/>
      <c r="N49" s="34"/>
      <c r="O49" s="34"/>
      <c r="P49" s="34"/>
      <c r="Q49" s="34"/>
      <c r="R49" s="24"/>
      <c r="S49" s="24"/>
      <c r="T49" s="24"/>
      <c r="U49" s="24"/>
      <c r="V49" s="24"/>
      <c r="W49" s="24"/>
      <c r="X49" s="24"/>
      <c r="Y49" s="24"/>
      <c r="Z49" s="24"/>
      <c r="AA49" s="24"/>
      <c r="AC49" s="31" t="str">
        <f>IFERROR(__xludf.DUMMYFUNCTION("""COMPUTED_VALUE"""),"Bristol")</f>
        <v>Bristol</v>
      </c>
      <c r="AD49" s="31" t="str">
        <f>IFERROR(__xludf.DUMMYFUNCTION("""COMPUTED_VALUE"""),"BRS")</f>
        <v>BRS</v>
      </c>
      <c r="AE49" s="31" t="str">
        <f>IFERROR(__xludf.DUMMYFUNCTION("""COMPUTED_VALUE"""),"Bristol")</f>
        <v>Bristol</v>
      </c>
      <c r="AF49" s="31" t="str">
        <f>IFERROR(__xludf.DUMMYFUNCTION("""COMPUTED_VALUE"""),"United Kingdom")</f>
        <v>United Kingdom</v>
      </c>
      <c r="AG49" s="31"/>
      <c r="AH49" s="31"/>
      <c r="AL49" s="31" t="str">
        <f>IFERROR(__xludf.DUMMYFUNCTION("""COMPUTED_VALUE"""),"Cochstedt")</f>
        <v>Cochstedt</v>
      </c>
      <c r="AM49" s="31" t="str">
        <f>IFERROR(__xludf.DUMMYFUNCTION("""COMPUTED_VALUE"""),"CSO")</f>
        <v>CSO</v>
      </c>
      <c r="AN49" s="31" t="str">
        <f>IFERROR(__xludf.DUMMYFUNCTION("""COMPUTED_VALUE"""),"Cochstedt")</f>
        <v>Cochstedt</v>
      </c>
      <c r="AO49" s="31" t="str">
        <f>IFERROR(__xludf.DUMMYFUNCTION("""COMPUTED_VALUE"""),"Germany")</f>
        <v>Germany</v>
      </c>
      <c r="AP49" s="31"/>
      <c r="AQ49" s="31"/>
      <c r="AR49" s="20"/>
    </row>
    <row r="50">
      <c r="A50" s="19"/>
      <c r="D50" s="34"/>
      <c r="E50" s="34"/>
      <c r="F50" s="34"/>
      <c r="G50" s="34"/>
      <c r="H50" s="34"/>
      <c r="I50" s="34"/>
      <c r="J50" s="34"/>
      <c r="K50" s="34"/>
      <c r="L50" s="34"/>
      <c r="M50" s="34"/>
      <c r="N50" s="34"/>
      <c r="O50" s="34"/>
      <c r="P50" s="34"/>
      <c r="Q50" s="34"/>
      <c r="R50" s="24"/>
      <c r="S50" s="24"/>
      <c r="T50" s="24"/>
      <c r="U50" s="24"/>
      <c r="V50" s="24"/>
      <c r="W50" s="24"/>
      <c r="X50" s="24"/>
      <c r="Y50" s="24"/>
      <c r="Z50" s="24"/>
      <c r="AA50" s="24"/>
      <c r="AC50" s="31" t="str">
        <f>IFERROR(__xludf.DUMMYFUNCTION("""COMPUTED_VALUE"""),"Britrail Rail Zone S")</f>
        <v>Britrail Rail Zone S</v>
      </c>
      <c r="AD50" s="31" t="str">
        <f>IFERROR(__xludf.DUMMYFUNCTION("""COMPUTED_VALUE"""),"QQS")</f>
        <v>QQS</v>
      </c>
      <c r="AE50" s="31" t="str">
        <f>IFERROR(__xludf.DUMMYFUNCTION("""COMPUTED_VALUE"""),"London St. Pancras")</f>
        <v>London St. Pancras</v>
      </c>
      <c r="AF50" s="31" t="str">
        <f>IFERROR(__xludf.DUMMYFUNCTION("""COMPUTED_VALUE"""),"United Kingdom")</f>
        <v>United Kingdom</v>
      </c>
      <c r="AG50" s="31"/>
      <c r="AH50" s="31"/>
      <c r="AL50" s="31" t="str">
        <f>IFERROR(__xludf.DUMMYFUNCTION("""COMPUTED_VALUE"""),"Cologne")</f>
        <v>Cologne</v>
      </c>
      <c r="AM50" s="31" t="str">
        <f>IFERROR(__xludf.DUMMYFUNCTION("""COMPUTED_VALUE"""),"CGN")</f>
        <v>CGN</v>
      </c>
      <c r="AN50" s="31" t="str">
        <f>IFERROR(__xludf.DUMMYFUNCTION("""COMPUTED_VALUE"""),"Cologne/bonn")</f>
        <v>Cologne/bonn</v>
      </c>
      <c r="AO50" s="31" t="str">
        <f>IFERROR(__xludf.DUMMYFUNCTION("""COMPUTED_VALUE"""),"Germany")</f>
        <v>Germany</v>
      </c>
      <c r="AP50" s="31"/>
      <c r="AQ50" s="31"/>
      <c r="AR50" s="20"/>
    </row>
    <row r="51">
      <c r="A51" s="19"/>
      <c r="D51" s="34"/>
      <c r="E51" s="34"/>
      <c r="F51" s="34"/>
      <c r="G51" s="34"/>
      <c r="H51" s="34"/>
      <c r="I51" s="34"/>
      <c r="J51" s="34"/>
      <c r="K51" s="34"/>
      <c r="L51" s="34"/>
      <c r="M51" s="34"/>
      <c r="N51" s="34"/>
      <c r="O51" s="34"/>
      <c r="P51" s="34"/>
      <c r="Q51" s="34"/>
      <c r="R51" s="24"/>
      <c r="S51" s="24"/>
      <c r="T51" s="24"/>
      <c r="U51" s="24"/>
      <c r="V51" s="24"/>
      <c r="W51" s="24"/>
      <c r="X51" s="24"/>
      <c r="Y51" s="24"/>
      <c r="Z51" s="24"/>
      <c r="AA51" s="24"/>
      <c r="AB51" s="24"/>
      <c r="AC51" s="24" t="str">
        <f>IFERROR(__xludf.DUMMYFUNCTION("""COMPUTED_VALUE"""),"Brize Norton")</f>
        <v>Brize Norton</v>
      </c>
      <c r="AD51" s="24" t="str">
        <f>IFERROR(__xludf.DUMMYFUNCTION("""COMPUTED_VALUE"""),"BZZ")</f>
        <v>BZZ</v>
      </c>
      <c r="AE51" s="24" t="str">
        <f>IFERROR(__xludf.DUMMYFUNCTION("""COMPUTED_VALUE"""),"Raf Station")</f>
        <v>Raf Station</v>
      </c>
      <c r="AF51" s="24" t="str">
        <f>IFERROR(__xludf.DUMMYFUNCTION("""COMPUTED_VALUE"""),"United Kingdom")</f>
        <v>United Kingdom</v>
      </c>
      <c r="AG51" s="24"/>
      <c r="AH51" s="24"/>
      <c r="AI51" s="24"/>
      <c r="AJ51" s="24"/>
      <c r="AK51" s="24"/>
      <c r="AL51" s="24" t="str">
        <f>IFERROR(__xludf.DUMMYFUNCTION("""COMPUTED_VALUE"""),"Cottbus")</f>
        <v>Cottbus</v>
      </c>
      <c r="AM51" s="24" t="str">
        <f>IFERROR(__xludf.DUMMYFUNCTION("""COMPUTED_VALUE"""),"CBU")</f>
        <v>CBU</v>
      </c>
      <c r="AN51" s="24" t="str">
        <f>IFERROR(__xludf.DUMMYFUNCTION("""COMPUTED_VALUE"""),"Cottbus")</f>
        <v>Cottbus</v>
      </c>
      <c r="AO51" s="24" t="str">
        <f>IFERROR(__xludf.DUMMYFUNCTION("""COMPUTED_VALUE"""),"Germany")</f>
        <v>Germany</v>
      </c>
      <c r="AP51" s="24"/>
      <c r="AQ51" s="24"/>
      <c r="AR51" s="54"/>
    </row>
    <row r="52">
      <c r="A52" s="19"/>
      <c r="D52" s="34"/>
      <c r="E52" s="34"/>
      <c r="F52" s="34"/>
      <c r="G52" s="34"/>
      <c r="H52" s="34"/>
      <c r="I52" s="34"/>
      <c r="J52" s="34"/>
      <c r="K52" s="34"/>
      <c r="L52" s="34"/>
      <c r="M52" s="34"/>
      <c r="N52" s="34"/>
      <c r="O52" s="34"/>
      <c r="P52" s="34"/>
      <c r="Q52" s="34"/>
      <c r="R52" s="24"/>
      <c r="S52" s="24"/>
      <c r="T52" s="24"/>
      <c r="U52" s="24"/>
      <c r="V52" s="24"/>
      <c r="W52" s="24"/>
      <c r="X52" s="24"/>
      <c r="Y52" s="24"/>
      <c r="Z52" s="24"/>
      <c r="AA52" s="24"/>
      <c r="AB52" s="24"/>
      <c r="AC52" s="24" t="str">
        <f>IFERROR(__xludf.DUMMYFUNCTION("""COMPUTED_VALUE"""),"Burtonwood")</f>
        <v>Burtonwood</v>
      </c>
      <c r="AD52" s="24" t="str">
        <f>IFERROR(__xludf.DUMMYFUNCTION("""COMPUTED_VALUE"""),"BUT")</f>
        <v>BUT</v>
      </c>
      <c r="AE52" s="24" t="str">
        <f>IFERROR(__xludf.DUMMYFUNCTION("""COMPUTED_VALUE"""),"Burtonwood")</f>
        <v>Burtonwood</v>
      </c>
      <c r="AF52" s="24" t="str">
        <f>IFERROR(__xludf.DUMMYFUNCTION("""COMPUTED_VALUE"""),"United Kingdom")</f>
        <v>United Kingdom</v>
      </c>
      <c r="AG52" s="24"/>
      <c r="AH52" s="24"/>
      <c r="AI52" s="24"/>
      <c r="AJ52" s="24"/>
      <c r="AK52" s="24"/>
      <c r="AL52" s="24" t="str">
        <f>IFERROR(__xludf.DUMMYFUNCTION("""COMPUTED_VALUE"""),"Cottbus")</f>
        <v>Cottbus</v>
      </c>
      <c r="AM52" s="24" t="str">
        <f>IFERROR(__xludf.DUMMYFUNCTION("""COMPUTED_VALUE"""),"ZTT")</f>
        <v>ZTT</v>
      </c>
      <c r="AN52" s="24" t="str">
        <f>IFERROR(__xludf.DUMMYFUNCTION("""COMPUTED_VALUE"""),"Cottbus Railway Stn.")</f>
        <v>Cottbus Railway Stn.</v>
      </c>
      <c r="AO52" s="24" t="str">
        <f>IFERROR(__xludf.DUMMYFUNCTION("""COMPUTED_VALUE"""),"Germany")</f>
        <v>Germany</v>
      </c>
      <c r="AP52" s="24"/>
      <c r="AQ52" s="24"/>
      <c r="AR52" s="54"/>
    </row>
    <row r="53">
      <c r="A53" s="19"/>
      <c r="D53" s="34"/>
      <c r="E53" s="34"/>
      <c r="F53" s="34"/>
      <c r="G53" s="34"/>
      <c r="H53" s="34"/>
      <c r="I53" s="34"/>
      <c r="J53" s="34"/>
      <c r="K53" s="34"/>
      <c r="L53" s="34"/>
      <c r="M53" s="34"/>
      <c r="N53" s="34"/>
      <c r="O53" s="34"/>
      <c r="P53" s="34"/>
      <c r="Q53" s="34"/>
      <c r="R53" s="24"/>
      <c r="S53" s="24"/>
      <c r="T53" s="24"/>
      <c r="U53" s="24"/>
      <c r="V53" s="24"/>
      <c r="W53" s="24"/>
      <c r="X53" s="24"/>
      <c r="Y53" s="24"/>
      <c r="Z53" s="24"/>
      <c r="AA53" s="24"/>
      <c r="AB53" s="24"/>
      <c r="AC53" s="24" t="str">
        <f>IFERROR(__xludf.DUMMYFUNCTION("""COMPUTED_VALUE"""),"Bury St Edmunds")</f>
        <v>Bury St Edmunds</v>
      </c>
      <c r="AD53" s="24" t="str">
        <f>IFERROR(__xludf.DUMMYFUNCTION("""COMPUTED_VALUE"""),"BEQ")</f>
        <v>BEQ</v>
      </c>
      <c r="AE53" s="24" t="str">
        <f>IFERROR(__xludf.DUMMYFUNCTION("""COMPUTED_VALUE"""),"Honington")</f>
        <v>Honington</v>
      </c>
      <c r="AF53" s="24" t="str">
        <f>IFERROR(__xludf.DUMMYFUNCTION("""COMPUTED_VALUE"""),"United Kingdom")</f>
        <v>United Kingdom</v>
      </c>
      <c r="AG53" s="24"/>
      <c r="AH53" s="24"/>
      <c r="AI53" s="24"/>
      <c r="AJ53" s="24"/>
      <c r="AK53" s="24"/>
      <c r="AL53" s="24" t="str">
        <f>IFERROR(__xludf.DUMMYFUNCTION("""COMPUTED_VALUE"""),"Cuxhaven")</f>
        <v>Cuxhaven</v>
      </c>
      <c r="AM53" s="24" t="str">
        <f>IFERROR(__xludf.DUMMYFUNCTION("""COMPUTED_VALUE"""),"FCN")</f>
        <v>FCN</v>
      </c>
      <c r="AN53" s="24" t="str">
        <f>IFERROR(__xludf.DUMMYFUNCTION("""COMPUTED_VALUE"""),"Cuxhaven/Nordholz")</f>
        <v>Cuxhaven/Nordholz</v>
      </c>
      <c r="AO53" s="24" t="str">
        <f>IFERROR(__xludf.DUMMYFUNCTION("""COMPUTED_VALUE"""),"Germany")</f>
        <v>Germany</v>
      </c>
      <c r="AP53" s="24"/>
      <c r="AQ53" s="24"/>
      <c r="AR53" s="54"/>
    </row>
    <row r="54">
      <c r="A54" s="19"/>
      <c r="D54" s="34"/>
      <c r="E54" s="34"/>
      <c r="F54" s="34"/>
      <c r="G54" s="34"/>
      <c r="J54" s="34"/>
      <c r="K54" s="34"/>
      <c r="M54" s="34"/>
      <c r="N54" s="34"/>
      <c r="O54" s="34"/>
      <c r="P54" s="34"/>
      <c r="Q54" s="34"/>
      <c r="R54" s="24"/>
      <c r="S54" s="24"/>
      <c r="T54" s="24"/>
      <c r="U54" s="24"/>
      <c r="V54" s="24"/>
      <c r="W54" s="24"/>
      <c r="X54" s="24"/>
      <c r="Y54" s="24"/>
      <c r="Z54" s="24"/>
      <c r="AA54" s="24"/>
      <c r="AB54" s="24"/>
      <c r="AC54" s="24" t="str">
        <f>IFERROR(__xludf.DUMMYFUNCTION("""COMPUTED_VALUE"""),"Cambridge")</f>
        <v>Cambridge</v>
      </c>
      <c r="AD54" s="24" t="str">
        <f>IFERROR(__xludf.DUMMYFUNCTION("""COMPUTED_VALUE"""),"CBG")</f>
        <v>CBG</v>
      </c>
      <c r="AE54" s="24" t="str">
        <f>IFERROR(__xludf.DUMMYFUNCTION("""COMPUTED_VALUE"""),"Cambridge")</f>
        <v>Cambridge</v>
      </c>
      <c r="AF54" s="24" t="str">
        <f>IFERROR(__xludf.DUMMYFUNCTION("""COMPUTED_VALUE"""),"United Kingdom")</f>
        <v>United Kingdom</v>
      </c>
      <c r="AG54" s="24"/>
      <c r="AH54" s="24"/>
      <c r="AI54" s="24"/>
      <c r="AJ54" s="24"/>
      <c r="AK54" s="24"/>
      <c r="AL54" s="24" t="str">
        <f>IFERROR(__xludf.DUMMYFUNCTION("""COMPUTED_VALUE"""),"Dessau")</f>
        <v>Dessau</v>
      </c>
      <c r="AM54" s="24" t="str">
        <f>IFERROR(__xludf.DUMMYFUNCTION("""COMPUTED_VALUE"""),"ZSU")</f>
        <v>ZSU</v>
      </c>
      <c r="AN54" s="24" t="str">
        <f>IFERROR(__xludf.DUMMYFUNCTION("""COMPUTED_VALUE"""),"Dessau Railway Stn.")</f>
        <v>Dessau Railway Stn.</v>
      </c>
      <c r="AO54" s="24" t="str">
        <f>IFERROR(__xludf.DUMMYFUNCTION("""COMPUTED_VALUE"""),"Germany")</f>
        <v>Germany</v>
      </c>
      <c r="AP54" s="24"/>
      <c r="AQ54" s="24"/>
      <c r="AR54" s="54"/>
    </row>
    <row r="55">
      <c r="A55" s="19"/>
      <c r="D55" s="34"/>
      <c r="E55" s="34"/>
      <c r="F55" s="34"/>
      <c r="G55" s="34"/>
      <c r="H55" s="34"/>
      <c r="I55" s="34"/>
      <c r="J55" s="34"/>
      <c r="K55" s="34"/>
      <c r="L55" s="34"/>
      <c r="M55" s="34"/>
      <c r="N55" s="34"/>
      <c r="P55" s="34"/>
      <c r="Q55" s="34"/>
      <c r="R55" s="24"/>
      <c r="S55" s="24"/>
      <c r="T55" s="24"/>
      <c r="U55" s="24"/>
      <c r="V55" s="24"/>
      <c r="W55" s="24"/>
      <c r="X55" s="24"/>
      <c r="Y55" s="24"/>
      <c r="Z55" s="24"/>
      <c r="AA55" s="24"/>
      <c r="AB55" s="24"/>
      <c r="AC55" s="24" t="str">
        <f>IFERROR(__xludf.DUMMYFUNCTION("""COMPUTED_VALUE"""),"Campbeltown")</f>
        <v>Campbeltown</v>
      </c>
      <c r="AD55" s="24" t="str">
        <f>IFERROR(__xludf.DUMMYFUNCTION("""COMPUTED_VALUE"""),"CAL")</f>
        <v>CAL</v>
      </c>
      <c r="AE55" s="24" t="str">
        <f>IFERROR(__xludf.DUMMYFUNCTION("""COMPUTED_VALUE"""),"Machrihanish")</f>
        <v>Machrihanish</v>
      </c>
      <c r="AF55" s="24" t="str">
        <f>IFERROR(__xludf.DUMMYFUNCTION("""COMPUTED_VALUE"""),"United Kingdom")</f>
        <v>United Kingdom</v>
      </c>
      <c r="AG55" s="24"/>
      <c r="AH55" s="24"/>
      <c r="AI55" s="24"/>
      <c r="AJ55" s="24"/>
      <c r="AK55" s="24"/>
      <c r="AL55" s="24" t="str">
        <f>IFERROR(__xludf.DUMMYFUNCTION("""COMPUTED_VALUE"""),"Dortmund")</f>
        <v>Dortmund</v>
      </c>
      <c r="AM55" s="24" t="str">
        <f>IFERROR(__xludf.DUMMYFUNCTION("""COMPUTED_VALUE"""),"DTM")</f>
        <v>DTM</v>
      </c>
      <c r="AN55" s="24" t="str">
        <f>IFERROR(__xludf.DUMMYFUNCTION("""COMPUTED_VALUE"""),"Dortmund")</f>
        <v>Dortmund</v>
      </c>
      <c r="AO55" s="24" t="str">
        <f>IFERROR(__xludf.DUMMYFUNCTION("""COMPUTED_VALUE"""),"Germany")</f>
        <v>Germany</v>
      </c>
      <c r="AP55" s="24"/>
      <c r="AQ55" s="24"/>
      <c r="AR55" s="54"/>
    </row>
    <row r="56">
      <c r="A56" s="19"/>
      <c r="D56" s="34"/>
      <c r="E56" s="34"/>
      <c r="F56" s="34"/>
      <c r="G56" s="34"/>
      <c r="H56" s="34"/>
      <c r="I56" s="34"/>
      <c r="J56" s="34"/>
      <c r="K56" s="34"/>
      <c r="L56" s="34"/>
      <c r="M56" s="34"/>
      <c r="N56" s="34"/>
      <c r="O56" s="34"/>
      <c r="P56" s="34"/>
      <c r="Q56" s="34"/>
      <c r="R56" s="24"/>
      <c r="S56" s="24"/>
      <c r="T56" s="24"/>
      <c r="U56" s="24"/>
      <c r="V56" s="24"/>
      <c r="W56" s="24"/>
      <c r="X56" s="24"/>
      <c r="Y56" s="24"/>
      <c r="Z56" s="24"/>
      <c r="AA56" s="24"/>
      <c r="AB56" s="24"/>
      <c r="AC56" s="24" t="str">
        <f>IFERROR(__xludf.DUMMYFUNCTION("""COMPUTED_VALUE"""),"Cardiff")</f>
        <v>Cardiff</v>
      </c>
      <c r="AD56" s="24" t="str">
        <f>IFERROR(__xludf.DUMMYFUNCTION("""COMPUTED_VALUE"""),"CWL")</f>
        <v>CWL</v>
      </c>
      <c r="AE56" s="24" t="str">
        <f>IFERROR(__xludf.DUMMYFUNCTION("""COMPUTED_VALUE"""),"Cardiff-wales Arpt")</f>
        <v>Cardiff-wales Arpt</v>
      </c>
      <c r="AF56" s="24" t="str">
        <f>IFERROR(__xludf.DUMMYFUNCTION("""COMPUTED_VALUE"""),"United Kingdom")</f>
        <v>United Kingdom</v>
      </c>
      <c r="AG56" s="24"/>
      <c r="AH56" s="24"/>
      <c r="AI56" s="24"/>
      <c r="AJ56" s="24"/>
      <c r="AK56" s="24"/>
      <c r="AL56" s="24" t="str">
        <f>IFERROR(__xludf.DUMMYFUNCTION("""COMPUTED_VALUE"""),"Dresden")</f>
        <v>Dresden</v>
      </c>
      <c r="AM56" s="24" t="str">
        <f>IFERROR(__xludf.DUMMYFUNCTION("""COMPUTED_VALUE"""),"DRS")</f>
        <v>DRS</v>
      </c>
      <c r="AN56" s="24" t="str">
        <f>IFERROR(__xludf.DUMMYFUNCTION("""COMPUTED_VALUE"""),"Dresden Arpt")</f>
        <v>Dresden Arpt</v>
      </c>
      <c r="AO56" s="24" t="str">
        <f>IFERROR(__xludf.DUMMYFUNCTION("""COMPUTED_VALUE"""),"Germany")</f>
        <v>Germany</v>
      </c>
      <c r="AP56" s="24"/>
      <c r="AQ56" s="24"/>
      <c r="AR56" s="54"/>
    </row>
    <row r="57">
      <c r="A57" s="19"/>
      <c r="D57" s="34"/>
      <c r="E57" s="34"/>
      <c r="F57" s="34"/>
      <c r="G57" s="34"/>
      <c r="H57" s="34"/>
      <c r="I57" s="34"/>
      <c r="J57" s="34"/>
      <c r="K57" s="34"/>
      <c r="L57" s="34"/>
      <c r="M57" s="34"/>
      <c r="N57" s="34"/>
      <c r="O57" s="34"/>
      <c r="P57" s="34"/>
      <c r="Q57" s="34"/>
      <c r="R57" s="24"/>
      <c r="S57" s="24"/>
      <c r="T57" s="24"/>
      <c r="U57" s="24"/>
      <c r="V57" s="24"/>
      <c r="W57" s="24"/>
      <c r="X57" s="24"/>
      <c r="Y57" s="24"/>
      <c r="Z57" s="24"/>
      <c r="AA57" s="24"/>
      <c r="AB57" s="24"/>
      <c r="AC57" s="24" t="str">
        <f>IFERROR(__xludf.DUMMYFUNCTION("""COMPUTED_VALUE"""),"Carlisle")</f>
        <v>Carlisle</v>
      </c>
      <c r="AD57" s="24" t="str">
        <f>IFERROR(__xludf.DUMMYFUNCTION("""COMPUTED_VALUE"""),"CAX")</f>
        <v>CAX</v>
      </c>
      <c r="AE57" s="24" t="str">
        <f>IFERROR(__xludf.DUMMYFUNCTION("""COMPUTED_VALUE"""),"Carlisle")</f>
        <v>Carlisle</v>
      </c>
      <c r="AF57" s="24" t="str">
        <f>IFERROR(__xludf.DUMMYFUNCTION("""COMPUTED_VALUE"""),"United Kingdom")</f>
        <v>United Kingdom</v>
      </c>
      <c r="AG57" s="24"/>
      <c r="AH57" s="24"/>
      <c r="AI57" s="24"/>
      <c r="AJ57" s="24"/>
      <c r="AK57" s="24"/>
      <c r="AL57" s="24" t="str">
        <f>IFERROR(__xludf.DUMMYFUNCTION("""COMPUTED_VALUE"""),"Dusseldorf")</f>
        <v>Dusseldorf</v>
      </c>
      <c r="AM57" s="24" t="str">
        <f>IFERROR(__xludf.DUMMYFUNCTION("""COMPUTED_VALUE"""),"DUS")</f>
        <v>DUS</v>
      </c>
      <c r="AN57" s="24" t="str">
        <f>IFERROR(__xludf.DUMMYFUNCTION("""COMPUTED_VALUE"""),"Düsseldorf International Airport (Rhein-Ruhr)")</f>
        <v>Düsseldorf International Airport (Rhein-Ruhr)</v>
      </c>
      <c r="AO57" s="24" t="str">
        <f>IFERROR(__xludf.DUMMYFUNCTION("""COMPUTED_VALUE"""),"Germany")</f>
        <v>Germany</v>
      </c>
      <c r="AP57" s="24"/>
      <c r="AQ57" s="24"/>
      <c r="AR57" s="54"/>
    </row>
    <row r="58">
      <c r="A58" s="19"/>
      <c r="C58" s="33"/>
      <c r="D58" s="34"/>
      <c r="E58" s="34"/>
      <c r="F58" s="34"/>
      <c r="G58" s="34"/>
      <c r="H58" s="34"/>
      <c r="I58" s="34"/>
      <c r="J58" s="34"/>
      <c r="K58" s="34"/>
      <c r="L58" s="34"/>
      <c r="M58" s="34"/>
      <c r="N58" s="34"/>
      <c r="O58" s="34"/>
      <c r="P58" s="34"/>
      <c r="Q58" s="34"/>
      <c r="R58" s="24"/>
      <c r="S58" s="24"/>
      <c r="T58" s="24"/>
      <c r="U58" s="24"/>
      <c r="V58" s="24"/>
      <c r="W58" s="24"/>
      <c r="X58" s="24"/>
      <c r="Y58" s="24"/>
      <c r="Z58" s="24"/>
      <c r="AA58" s="24"/>
      <c r="AB58" s="24"/>
      <c r="AC58" s="24" t="str">
        <f>IFERROR(__xludf.DUMMYFUNCTION("""COMPUTED_VALUE"""),"Chester")</f>
        <v>Chester</v>
      </c>
      <c r="AD58" s="24" t="str">
        <f>IFERROR(__xludf.DUMMYFUNCTION("""COMPUTED_VALUE"""),"CEG")</f>
        <v>CEG</v>
      </c>
      <c r="AE58" s="24" t="str">
        <f>IFERROR(__xludf.DUMMYFUNCTION("""COMPUTED_VALUE"""),"Chester")</f>
        <v>Chester</v>
      </c>
      <c r="AF58" s="24" t="str">
        <f>IFERROR(__xludf.DUMMYFUNCTION("""COMPUTED_VALUE"""),"United Kingdom")</f>
        <v>United Kingdom</v>
      </c>
      <c r="AG58" s="24"/>
      <c r="AH58" s="24"/>
      <c r="AI58" s="24"/>
      <c r="AJ58" s="24"/>
      <c r="AK58" s="24"/>
      <c r="AL58" s="24" t="str">
        <f>IFERROR(__xludf.DUMMYFUNCTION("""COMPUTED_VALUE"""),"Dusseldorf")</f>
        <v>Dusseldorf</v>
      </c>
      <c r="AM58" s="24" t="str">
        <f>IFERROR(__xludf.DUMMYFUNCTION("""COMPUTED_VALUE"""),"MGL")</f>
        <v>MGL</v>
      </c>
      <c r="AN58" s="24" t="str">
        <f>IFERROR(__xludf.DUMMYFUNCTION("""COMPUTED_VALUE"""),"Moenchen-Gl. - DUS Exp")</f>
        <v>Moenchen-Gl. - DUS Exp</v>
      </c>
      <c r="AO58" s="24" t="str">
        <f>IFERROR(__xludf.DUMMYFUNCTION("""COMPUTED_VALUE"""),"Germany")</f>
        <v>Germany</v>
      </c>
      <c r="AP58" s="24"/>
      <c r="AQ58" s="24"/>
      <c r="AR58" s="54"/>
    </row>
    <row r="59">
      <c r="A59" s="19"/>
      <c r="C59" s="33"/>
      <c r="D59" s="34"/>
      <c r="E59" s="34"/>
      <c r="F59" s="34"/>
      <c r="G59" s="34"/>
      <c r="H59" s="34"/>
      <c r="I59" s="34"/>
      <c r="J59" s="34"/>
      <c r="K59" s="34"/>
      <c r="L59" s="34"/>
      <c r="M59" s="34"/>
      <c r="N59" s="34"/>
      <c r="O59" s="34"/>
      <c r="P59" s="34"/>
      <c r="Q59" s="34"/>
      <c r="R59" s="24"/>
      <c r="S59" s="24"/>
      <c r="T59" s="24"/>
      <c r="U59" s="24"/>
      <c r="V59" s="24"/>
      <c r="W59" s="24"/>
      <c r="X59" s="24"/>
      <c r="Y59" s="24"/>
      <c r="Z59" s="24"/>
      <c r="AA59" s="24"/>
      <c r="AB59" s="24"/>
      <c r="AC59" s="24" t="str">
        <f>IFERROR(__xludf.DUMMYFUNCTION("""COMPUTED_VALUE"""),"Isle Of Coll")</f>
        <v>Isle Of Coll</v>
      </c>
      <c r="AD59" s="24" t="str">
        <f>IFERROR(__xludf.DUMMYFUNCTION("""COMPUTED_VALUE"""),"COL")</f>
        <v>COL</v>
      </c>
      <c r="AE59" s="24" t="str">
        <f>IFERROR(__xludf.DUMMYFUNCTION("""COMPUTED_VALUE"""),"Isle Of Coll")</f>
        <v>Isle Of Coll</v>
      </c>
      <c r="AF59" s="24" t="str">
        <f>IFERROR(__xludf.DUMMYFUNCTION("""COMPUTED_VALUE"""),"United Kingdom")</f>
        <v>United Kingdom</v>
      </c>
      <c r="AG59" s="24"/>
      <c r="AH59" s="24"/>
      <c r="AI59" s="24"/>
      <c r="AJ59" s="24"/>
      <c r="AK59" s="24"/>
      <c r="AL59" s="24" t="str">
        <f>IFERROR(__xludf.DUMMYFUNCTION("""COMPUTED_VALUE"""),"Dusseldorf")</f>
        <v>Dusseldorf</v>
      </c>
      <c r="AM59" s="24" t="str">
        <f>IFERROR(__xludf.DUMMYFUNCTION("""COMPUTED_VALUE"""),"NRN")</f>
        <v>NRN</v>
      </c>
      <c r="AN59" s="24" t="str">
        <f>IFERROR(__xludf.DUMMYFUNCTION("""COMPUTED_VALUE"""),"Weeze")</f>
        <v>Weeze</v>
      </c>
      <c r="AO59" s="24" t="str">
        <f>IFERROR(__xludf.DUMMYFUNCTION("""COMPUTED_VALUE"""),"Germany")</f>
        <v>Germany</v>
      </c>
      <c r="AP59" s="24"/>
      <c r="AQ59" s="24"/>
      <c r="AR59" s="54"/>
    </row>
    <row r="60">
      <c r="A60" s="19"/>
      <c r="C60" s="33"/>
      <c r="D60" s="34"/>
      <c r="E60" s="34"/>
      <c r="F60" s="34"/>
      <c r="G60" s="34"/>
      <c r="H60" s="34"/>
      <c r="I60" s="34"/>
      <c r="J60" s="34"/>
      <c r="K60" s="34"/>
      <c r="L60" s="34"/>
      <c r="M60" s="34"/>
      <c r="N60" s="34"/>
      <c r="O60" s="34"/>
      <c r="P60" s="34"/>
      <c r="Q60" s="34"/>
      <c r="R60" s="24"/>
      <c r="S60" s="24"/>
      <c r="T60" s="24"/>
      <c r="U60" s="24"/>
      <c r="V60" s="24"/>
      <c r="W60" s="24"/>
      <c r="X60" s="24"/>
      <c r="Y60" s="24"/>
      <c r="Z60" s="24"/>
      <c r="AA60" s="24"/>
      <c r="AB60" s="24"/>
      <c r="AC60" s="24" t="str">
        <f>IFERROR(__xludf.DUMMYFUNCTION("""COMPUTED_VALUE"""),"Isle Of Colonsay")</f>
        <v>Isle Of Colonsay</v>
      </c>
      <c r="AD60" s="24" t="str">
        <f>IFERROR(__xludf.DUMMYFUNCTION("""COMPUTED_VALUE"""),"CSA")</f>
        <v>CSA</v>
      </c>
      <c r="AE60" s="24" t="str">
        <f>IFERROR(__xludf.DUMMYFUNCTION("""COMPUTED_VALUE"""),"Isle Of Colonsay")</f>
        <v>Isle Of Colonsay</v>
      </c>
      <c r="AF60" s="24" t="str">
        <f>IFERROR(__xludf.DUMMYFUNCTION("""COMPUTED_VALUE"""),"United Kingdom")</f>
        <v>United Kingdom</v>
      </c>
      <c r="AG60" s="24"/>
      <c r="AH60" s="24"/>
      <c r="AI60" s="24"/>
      <c r="AJ60" s="24"/>
      <c r="AK60" s="24"/>
      <c r="AL60" s="24" t="str">
        <f>IFERROR(__xludf.DUMMYFUNCTION("""COMPUTED_VALUE"""),"Dusseldorf")</f>
        <v>Dusseldorf</v>
      </c>
      <c r="AM60" s="24" t="str">
        <f>IFERROR(__xludf.DUMMYFUNCTION("""COMPUTED_VALUE"""),"QDU")</f>
        <v>QDU</v>
      </c>
      <c r="AN60" s="24" t="str">
        <f>IFERROR(__xludf.DUMMYFUNCTION("""COMPUTED_VALUE"""),"Station")</f>
        <v>Station</v>
      </c>
      <c r="AO60" s="24" t="str">
        <f>IFERROR(__xludf.DUMMYFUNCTION("""COMPUTED_VALUE"""),"Germany")</f>
        <v>Germany</v>
      </c>
      <c r="AP60" s="24"/>
      <c r="AQ60" s="24"/>
      <c r="AR60" s="54"/>
    </row>
    <row r="61">
      <c r="A61" s="19"/>
      <c r="C61" s="33"/>
      <c r="D61" s="34"/>
      <c r="E61" s="34"/>
      <c r="F61" s="34"/>
      <c r="G61" s="34"/>
      <c r="H61" s="34"/>
      <c r="I61" s="34"/>
      <c r="J61" s="34"/>
      <c r="K61" s="34"/>
      <c r="L61" s="34"/>
      <c r="M61" s="34"/>
      <c r="N61" s="34"/>
      <c r="O61" s="34"/>
      <c r="P61" s="34"/>
      <c r="Q61" s="34"/>
      <c r="R61" s="24"/>
      <c r="S61" s="24"/>
      <c r="T61" s="24"/>
      <c r="U61" s="24"/>
      <c r="V61" s="24"/>
      <c r="W61" s="24"/>
      <c r="X61" s="24"/>
      <c r="Y61" s="24"/>
      <c r="Z61" s="24"/>
      <c r="AA61" s="24"/>
      <c r="AB61" s="24"/>
      <c r="AC61" s="24" t="str">
        <f>IFERROR(__xludf.DUMMYFUNCTION("""COMPUTED_VALUE"""),"Coventry")</f>
        <v>Coventry</v>
      </c>
      <c r="AD61" s="24" t="str">
        <f>IFERROR(__xludf.DUMMYFUNCTION("""COMPUTED_VALUE"""),"CVT")</f>
        <v>CVT</v>
      </c>
      <c r="AE61" s="24" t="str">
        <f>IFERROR(__xludf.DUMMYFUNCTION("""COMPUTED_VALUE"""),"Coventry - West Midlands International Airport")</f>
        <v>Coventry - West Midlands International Airport</v>
      </c>
      <c r="AF61" s="24" t="str">
        <f>IFERROR(__xludf.DUMMYFUNCTION("""COMPUTED_VALUE"""),"United Kingdom")</f>
        <v>United Kingdom</v>
      </c>
      <c r="AG61" s="24"/>
      <c r="AH61" s="24"/>
      <c r="AI61" s="24"/>
      <c r="AJ61" s="24"/>
      <c r="AK61" s="24"/>
      <c r="AL61" s="24" t="str">
        <f>IFERROR(__xludf.DUMMYFUNCTION("""COMPUTED_VALUE"""),"Eisenach")</f>
        <v>Eisenach</v>
      </c>
      <c r="AM61" s="24" t="str">
        <f>IFERROR(__xludf.DUMMYFUNCTION("""COMPUTED_VALUE"""),"EIB")</f>
        <v>EIB</v>
      </c>
      <c r="AN61" s="24" t="str">
        <f>IFERROR(__xludf.DUMMYFUNCTION("""COMPUTED_VALUE"""),"Eisenach")</f>
        <v>Eisenach</v>
      </c>
      <c r="AO61" s="24" t="str">
        <f>IFERROR(__xludf.DUMMYFUNCTION("""COMPUTED_VALUE"""),"Germany")</f>
        <v>Germany</v>
      </c>
      <c r="AP61" s="24"/>
      <c r="AQ61" s="24"/>
      <c r="AR61" s="54"/>
    </row>
    <row r="62">
      <c r="A62" s="19"/>
      <c r="C62" s="33"/>
      <c r="D62" s="34"/>
      <c r="E62" s="34"/>
      <c r="F62" s="34"/>
      <c r="G62" s="34"/>
      <c r="H62" s="34"/>
      <c r="I62" s="34"/>
      <c r="J62" s="34"/>
      <c r="K62" s="34"/>
      <c r="L62" s="34"/>
      <c r="M62" s="34"/>
      <c r="N62" s="34"/>
      <c r="O62" s="34"/>
      <c r="P62" s="34"/>
      <c r="Q62" s="34"/>
      <c r="R62" s="24"/>
      <c r="S62" s="24"/>
      <c r="T62" s="24"/>
      <c r="U62" s="24"/>
      <c r="V62" s="24"/>
      <c r="W62" s="24"/>
      <c r="X62" s="24"/>
      <c r="Y62" s="24"/>
      <c r="Z62" s="24"/>
      <c r="AA62" s="24"/>
      <c r="AB62" s="24"/>
      <c r="AC62" s="24" t="str">
        <f>IFERROR(__xludf.DUMMYFUNCTION("""COMPUTED_VALUE"""),"Cromarty")</f>
        <v>Cromarty</v>
      </c>
      <c r="AD62" s="24" t="str">
        <f>IFERROR(__xludf.DUMMYFUNCTION("""COMPUTED_VALUE"""),"CRN")</f>
        <v>CRN</v>
      </c>
      <c r="AE62" s="24" t="str">
        <f>IFERROR(__xludf.DUMMYFUNCTION("""COMPUTED_VALUE"""),"Cromarty")</f>
        <v>Cromarty</v>
      </c>
      <c r="AF62" s="24" t="str">
        <f>IFERROR(__xludf.DUMMYFUNCTION("""COMPUTED_VALUE"""),"United Kingdom")</f>
        <v>United Kingdom</v>
      </c>
      <c r="AG62" s="24"/>
      <c r="AH62" s="24"/>
      <c r="AI62" s="24"/>
      <c r="AJ62" s="24"/>
      <c r="AK62" s="24"/>
      <c r="AL62" s="24" t="str">
        <f>IFERROR(__xludf.DUMMYFUNCTION("""COMPUTED_VALUE"""),"Emden")</f>
        <v>Emden</v>
      </c>
      <c r="AM62" s="24" t="str">
        <f>IFERROR(__xludf.DUMMYFUNCTION("""COMPUTED_VALUE"""),"EME")</f>
        <v>EME</v>
      </c>
      <c r="AN62" s="24" t="str">
        <f>IFERROR(__xludf.DUMMYFUNCTION("""COMPUTED_VALUE"""),"Emden")</f>
        <v>Emden</v>
      </c>
      <c r="AO62" s="24" t="str">
        <f>IFERROR(__xludf.DUMMYFUNCTION("""COMPUTED_VALUE"""),"Germany")</f>
        <v>Germany</v>
      </c>
      <c r="AP62" s="24"/>
      <c r="AQ62" s="24"/>
      <c r="AR62" s="54"/>
    </row>
    <row r="63">
      <c r="A63" s="19"/>
      <c r="C63" s="33"/>
      <c r="D63" s="34"/>
      <c r="E63" s="34"/>
      <c r="F63" s="34"/>
      <c r="G63" s="34"/>
      <c r="H63" s="34"/>
      <c r="I63" s="34"/>
      <c r="J63" s="34"/>
      <c r="K63" s="34"/>
      <c r="L63" s="34"/>
      <c r="M63" s="34"/>
      <c r="N63" s="34"/>
      <c r="O63" s="34"/>
      <c r="P63" s="34"/>
      <c r="Q63" s="34"/>
      <c r="R63" s="24"/>
      <c r="S63" s="24"/>
      <c r="T63" s="24"/>
      <c r="U63" s="24"/>
      <c r="V63" s="24"/>
      <c r="W63" s="24"/>
      <c r="X63" s="24"/>
      <c r="Y63" s="24"/>
      <c r="Z63" s="24"/>
      <c r="AA63" s="24"/>
      <c r="AB63" s="24"/>
      <c r="AC63" s="24" t="str">
        <f>IFERROR(__xludf.DUMMYFUNCTION("""COMPUTED_VALUE"""),"Dewsbury")</f>
        <v>Dewsbury</v>
      </c>
      <c r="AD63" s="24" t="str">
        <f>IFERROR(__xludf.DUMMYFUNCTION("""COMPUTED_VALUE"""),"ZEQ")</f>
        <v>ZEQ</v>
      </c>
      <c r="AE63" s="24" t="str">
        <f>IFERROR(__xludf.DUMMYFUNCTION("""COMPUTED_VALUE"""),"Bus Station")</f>
        <v>Bus Station</v>
      </c>
      <c r="AF63" s="24" t="str">
        <f>IFERROR(__xludf.DUMMYFUNCTION("""COMPUTED_VALUE"""),"United Kingdom")</f>
        <v>United Kingdom</v>
      </c>
      <c r="AG63" s="24"/>
      <c r="AH63" s="24"/>
      <c r="AI63" s="24"/>
      <c r="AJ63" s="24"/>
      <c r="AK63" s="24"/>
      <c r="AL63" s="24" t="str">
        <f>IFERROR(__xludf.DUMMYFUNCTION("""COMPUTED_VALUE"""),"Erfurt")</f>
        <v>Erfurt</v>
      </c>
      <c r="AM63" s="24" t="str">
        <f>IFERROR(__xludf.DUMMYFUNCTION("""COMPUTED_VALUE"""),"ERF")</f>
        <v>ERF</v>
      </c>
      <c r="AN63" s="24" t="str">
        <f>IFERROR(__xludf.DUMMYFUNCTION("""COMPUTED_VALUE"""),"Erfurt")</f>
        <v>Erfurt</v>
      </c>
      <c r="AO63" s="24" t="str">
        <f>IFERROR(__xludf.DUMMYFUNCTION("""COMPUTED_VALUE"""),"Germany")</f>
        <v>Germany</v>
      </c>
      <c r="AP63" s="24"/>
      <c r="AQ63" s="24"/>
      <c r="AR63" s="54"/>
    </row>
    <row r="64">
      <c r="A64" s="19"/>
      <c r="C64" s="33"/>
      <c r="D64" s="34"/>
      <c r="E64" s="34"/>
      <c r="F64" s="34"/>
      <c r="G64" s="34"/>
      <c r="H64" s="34"/>
      <c r="I64" s="34"/>
      <c r="J64" s="34"/>
      <c r="K64" s="34"/>
      <c r="L64" s="34"/>
      <c r="M64" s="34"/>
      <c r="N64" s="34"/>
      <c r="O64" s="34"/>
      <c r="P64" s="34"/>
      <c r="Q64" s="34"/>
      <c r="R64" s="24"/>
      <c r="S64" s="24"/>
      <c r="T64" s="24"/>
      <c r="U64" s="24"/>
      <c r="V64" s="24"/>
      <c r="W64" s="24"/>
      <c r="X64" s="24"/>
      <c r="Y64" s="24"/>
      <c r="Z64" s="24"/>
      <c r="AA64" s="24"/>
      <c r="AB64" s="24"/>
      <c r="AC64" s="24" t="str">
        <f>IFERROR(__xludf.DUMMYFUNCTION("""COMPUTED_VALUE"""),"Doncaster")</f>
        <v>Doncaster</v>
      </c>
      <c r="AD64" s="24" t="str">
        <f>IFERROR(__xludf.DUMMYFUNCTION("""COMPUTED_VALUE"""),"DSA")</f>
        <v>DSA</v>
      </c>
      <c r="AE64" s="24" t="str">
        <f>IFERROR(__xludf.DUMMYFUNCTION("""COMPUTED_VALUE"""),"Robin Hood International")</f>
        <v>Robin Hood International</v>
      </c>
      <c r="AF64" s="24" t="str">
        <f>IFERROR(__xludf.DUMMYFUNCTION("""COMPUTED_VALUE"""),"United Kingdom")</f>
        <v>United Kingdom</v>
      </c>
      <c r="AG64" s="24"/>
      <c r="AH64" s="24"/>
      <c r="AI64" s="24"/>
      <c r="AJ64" s="24"/>
      <c r="AK64" s="24"/>
      <c r="AL64" s="24" t="str">
        <f>IFERROR(__xludf.DUMMYFUNCTION("""COMPUTED_VALUE"""),"Essen")</f>
        <v>Essen</v>
      </c>
      <c r="AM64" s="24" t="str">
        <f>IFERROR(__xludf.DUMMYFUNCTION("""COMPUTED_VALUE"""),"ESS")</f>
        <v>ESS</v>
      </c>
      <c r="AN64" s="24" t="str">
        <f>IFERROR(__xludf.DUMMYFUNCTION("""COMPUTED_VALUE"""),"Essen")</f>
        <v>Essen</v>
      </c>
      <c r="AO64" s="24" t="str">
        <f>IFERROR(__xludf.DUMMYFUNCTION("""COMPUTED_VALUE"""),"Germany")</f>
        <v>Germany</v>
      </c>
      <c r="AP64" s="24"/>
      <c r="AQ64" s="24"/>
      <c r="AR64" s="54"/>
    </row>
    <row r="65">
      <c r="A65" s="19"/>
      <c r="C65" s="33"/>
      <c r="D65" s="34"/>
      <c r="E65" s="34"/>
      <c r="F65" s="34"/>
      <c r="G65" s="34"/>
      <c r="H65" s="34"/>
      <c r="I65" s="34"/>
      <c r="J65" s="34"/>
      <c r="K65" s="34"/>
      <c r="L65" s="34"/>
      <c r="M65" s="34"/>
      <c r="N65" s="34"/>
      <c r="O65" s="34"/>
      <c r="P65" s="34"/>
      <c r="Q65" s="34"/>
      <c r="R65" s="24"/>
      <c r="S65" s="24"/>
      <c r="T65" s="24"/>
      <c r="U65" s="24"/>
      <c r="V65" s="24"/>
      <c r="W65" s="24"/>
      <c r="X65" s="24"/>
      <c r="Y65" s="24"/>
      <c r="Z65" s="24"/>
      <c r="AA65" s="24"/>
      <c r="AB65" s="24"/>
      <c r="AC65" s="24" t="str">
        <f>IFERROR(__xludf.DUMMYFUNCTION("""COMPUTED_VALUE"""),"Dornoch")</f>
        <v>Dornoch</v>
      </c>
      <c r="AD65" s="24" t="str">
        <f>IFERROR(__xludf.DUMMYFUNCTION("""COMPUTED_VALUE"""),"DOC")</f>
        <v>DOC</v>
      </c>
      <c r="AE65" s="24" t="str">
        <f>IFERROR(__xludf.DUMMYFUNCTION("""COMPUTED_VALUE"""),"Dornoch")</f>
        <v>Dornoch</v>
      </c>
      <c r="AF65" s="24" t="str">
        <f>IFERROR(__xludf.DUMMYFUNCTION("""COMPUTED_VALUE"""),"United Kingdom")</f>
        <v>United Kingdom</v>
      </c>
      <c r="AG65" s="24"/>
      <c r="AH65" s="24"/>
      <c r="AI65" s="24"/>
      <c r="AJ65" s="24"/>
      <c r="AK65" s="24"/>
      <c r="AL65" s="24" t="str">
        <f>IFERROR(__xludf.DUMMYFUNCTION("""COMPUTED_VALUE"""),"Fictitious Point/AA2")</f>
        <v>Fictitious Point/AA2</v>
      </c>
      <c r="AM65" s="24" t="str">
        <f>IFERROR(__xludf.DUMMYFUNCTION("""COMPUTED_VALUE"""),"ZGZ")</f>
        <v>ZGZ</v>
      </c>
      <c r="AN65" s="24" t="str">
        <f>IFERROR(__xludf.DUMMYFUNCTION("""COMPUTED_VALUE"""),"GermanRail Pass")</f>
        <v>GermanRail Pass</v>
      </c>
      <c r="AO65" s="24" t="str">
        <f>IFERROR(__xludf.DUMMYFUNCTION("""COMPUTED_VALUE"""),"Germany")</f>
        <v>Germany</v>
      </c>
      <c r="AP65" s="24"/>
      <c r="AQ65" s="24"/>
      <c r="AR65" s="54"/>
    </row>
    <row r="66">
      <c r="A66" s="19"/>
      <c r="C66" s="33"/>
      <c r="D66" s="34"/>
      <c r="E66" s="34"/>
      <c r="F66" s="34"/>
      <c r="G66" s="34"/>
      <c r="H66" s="34"/>
      <c r="I66" s="34"/>
      <c r="J66" s="34"/>
      <c r="K66" s="34"/>
      <c r="L66" s="34"/>
      <c r="M66" s="34"/>
      <c r="N66" s="34"/>
      <c r="O66" s="34"/>
      <c r="P66" s="34"/>
      <c r="Q66" s="34"/>
      <c r="R66" s="24"/>
      <c r="S66" s="24"/>
      <c r="T66" s="24"/>
      <c r="U66" s="24"/>
      <c r="V66" s="24"/>
      <c r="W66" s="24"/>
      <c r="X66" s="24"/>
      <c r="Y66" s="24"/>
      <c r="Z66" s="24"/>
      <c r="AA66" s="24"/>
      <c r="AB66" s="24"/>
      <c r="AC66" s="24" t="str">
        <f>IFERROR(__xludf.DUMMYFUNCTION("""COMPUTED_VALUE"""),"Dundee")</f>
        <v>Dundee</v>
      </c>
      <c r="AD66" s="24" t="str">
        <f>IFERROR(__xludf.DUMMYFUNCTION("""COMPUTED_VALUE"""),"DND")</f>
        <v>DND</v>
      </c>
      <c r="AE66" s="24" t="str">
        <f>IFERROR(__xludf.DUMMYFUNCTION("""COMPUTED_VALUE"""),"Dundee")</f>
        <v>Dundee</v>
      </c>
      <c r="AF66" s="24" t="str">
        <f>IFERROR(__xludf.DUMMYFUNCTION("""COMPUTED_VALUE"""),"United Kingdom")</f>
        <v>United Kingdom</v>
      </c>
      <c r="AG66" s="24"/>
      <c r="AH66" s="24"/>
      <c r="AI66" s="24"/>
      <c r="AJ66" s="24"/>
      <c r="AK66" s="24"/>
      <c r="AL66" s="24" t="str">
        <f>IFERROR(__xludf.DUMMYFUNCTION("""COMPUTED_VALUE"""),"Fictitious Point/LH")</f>
        <v>Fictitious Point/LH</v>
      </c>
      <c r="AM66" s="24" t="str">
        <f>IFERROR(__xludf.DUMMYFUNCTION("""COMPUTED_VALUE"""),"QFP")</f>
        <v>QFP</v>
      </c>
      <c r="AN66" s="24" t="str">
        <f>IFERROR(__xludf.DUMMYFUNCTION("""COMPUTED_VALUE"""),"Fictitious Point/LH")</f>
        <v>Fictitious Point/LH</v>
      </c>
      <c r="AO66" s="24" t="str">
        <f>IFERROR(__xludf.DUMMYFUNCTION("""COMPUTED_VALUE"""),"Germany")</f>
        <v>Germany</v>
      </c>
      <c r="AP66" s="24"/>
      <c r="AQ66" s="24"/>
      <c r="AR66" s="54"/>
    </row>
    <row r="67">
      <c r="A67" s="19"/>
      <c r="C67" s="33"/>
      <c r="D67" s="34"/>
      <c r="E67" s="34"/>
      <c r="F67" s="34"/>
      <c r="G67" s="34"/>
      <c r="H67" s="34"/>
      <c r="I67" s="34"/>
      <c r="J67" s="34"/>
      <c r="K67" s="34"/>
      <c r="L67" s="34"/>
      <c r="M67" s="34"/>
      <c r="N67" s="34"/>
      <c r="O67" s="34"/>
      <c r="P67" s="34"/>
      <c r="Q67" s="34"/>
      <c r="R67" s="24"/>
      <c r="S67" s="24"/>
      <c r="T67" s="24"/>
      <c r="U67" s="24"/>
      <c r="V67" s="24"/>
      <c r="W67" s="24"/>
      <c r="X67" s="24"/>
      <c r="Y67" s="24"/>
      <c r="Z67" s="24"/>
      <c r="AA67" s="24"/>
      <c r="AB67" s="24"/>
      <c r="AC67" s="24" t="str">
        <f>IFERROR(__xludf.DUMMYFUNCTION("""COMPUTED_VALUE"""),"Dundee")</f>
        <v>Dundee</v>
      </c>
      <c r="AD67" s="24" t="str">
        <f>IFERROR(__xludf.DUMMYFUNCTION("""COMPUTED_VALUE"""),"ZDU")</f>
        <v>ZDU</v>
      </c>
      <c r="AE67" s="24" t="str">
        <f>IFERROR(__xludf.DUMMYFUNCTION("""COMPUTED_VALUE"""),"ScotRail")</f>
        <v>ScotRail</v>
      </c>
      <c r="AF67" s="24" t="str">
        <f>IFERROR(__xludf.DUMMYFUNCTION("""COMPUTED_VALUE"""),"United Kingdom")</f>
        <v>United Kingdom</v>
      </c>
      <c r="AG67" s="24"/>
      <c r="AH67" s="24"/>
      <c r="AI67" s="24"/>
      <c r="AJ67" s="24"/>
      <c r="AK67" s="24"/>
      <c r="AL67" s="24" t="str">
        <f>IFERROR(__xludf.DUMMYFUNCTION("""COMPUTED_VALUE"""),"Hamburg")</f>
        <v>Hamburg</v>
      </c>
      <c r="AM67" s="24" t="str">
        <f>IFERROR(__xludf.DUMMYFUNCTION("""COMPUTED_VALUE"""),"XFW")</f>
        <v>XFW</v>
      </c>
      <c r="AN67" s="24" t="str">
        <f>IFERROR(__xludf.DUMMYFUNCTION("""COMPUTED_VALUE"""),"Finkenwerder")</f>
        <v>Finkenwerder</v>
      </c>
      <c r="AO67" s="24" t="str">
        <f>IFERROR(__xludf.DUMMYFUNCTION("""COMPUTED_VALUE"""),"Germany")</f>
        <v>Germany</v>
      </c>
      <c r="AP67" s="24"/>
      <c r="AQ67" s="24"/>
      <c r="AR67" s="54"/>
    </row>
    <row r="68">
      <c r="A68" s="19"/>
      <c r="C68" s="34"/>
      <c r="D68" s="34"/>
      <c r="E68" s="34"/>
      <c r="F68" s="34"/>
      <c r="G68" s="34"/>
      <c r="H68" s="34"/>
      <c r="I68" s="34"/>
      <c r="J68" s="34"/>
      <c r="K68" s="34"/>
      <c r="L68" s="34"/>
      <c r="M68" s="34"/>
      <c r="N68" s="34"/>
      <c r="O68" s="34"/>
      <c r="P68" s="34"/>
      <c r="Q68" s="34"/>
      <c r="R68" s="24"/>
      <c r="S68" s="24"/>
      <c r="T68" s="24"/>
      <c r="U68" s="24"/>
      <c r="V68" s="24"/>
      <c r="W68" s="24"/>
      <c r="X68" s="24"/>
      <c r="Y68" s="24"/>
      <c r="Z68" s="24"/>
      <c r="AA68" s="24"/>
      <c r="AB68" s="24"/>
      <c r="AC68" s="24" t="str">
        <f>IFERROR(__xludf.DUMMYFUNCTION("""COMPUTED_VALUE"""),"Durham Tees Valley")</f>
        <v>Durham Tees Valley</v>
      </c>
      <c r="AD68" s="24" t="str">
        <f>IFERROR(__xludf.DUMMYFUNCTION("""COMPUTED_VALUE"""),"MME")</f>
        <v>MME</v>
      </c>
      <c r="AE68" s="24" t="str">
        <f>IFERROR(__xludf.DUMMYFUNCTION("""COMPUTED_VALUE"""),"Durham Tees Valley")</f>
        <v>Durham Tees Valley</v>
      </c>
      <c r="AF68" s="24" t="str">
        <f>IFERROR(__xludf.DUMMYFUNCTION("""COMPUTED_VALUE"""),"United Kingdom")</f>
        <v>United Kingdom</v>
      </c>
      <c r="AG68" s="24"/>
      <c r="AH68" s="24"/>
      <c r="AI68" s="24"/>
      <c r="AJ68" s="24"/>
      <c r="AK68" s="24"/>
      <c r="AL68" s="24" t="str">
        <f>IFERROR(__xludf.DUMMYFUNCTION("""COMPUTED_VALUE"""),"Flensburg")</f>
        <v>Flensburg</v>
      </c>
      <c r="AM68" s="24" t="str">
        <f>IFERROR(__xludf.DUMMYFUNCTION("""COMPUTED_VALUE"""),"FLF")</f>
        <v>FLF</v>
      </c>
      <c r="AN68" s="24" t="str">
        <f>IFERROR(__xludf.DUMMYFUNCTION("""COMPUTED_VALUE"""),"Schaferhaus")</f>
        <v>Schaferhaus</v>
      </c>
      <c r="AO68" s="24" t="str">
        <f>IFERROR(__xludf.DUMMYFUNCTION("""COMPUTED_VALUE"""),"Germany")</f>
        <v>Germany</v>
      </c>
      <c r="AP68" s="24"/>
      <c r="AQ68" s="24"/>
      <c r="AR68" s="54"/>
    </row>
    <row r="69">
      <c r="A69" s="19"/>
      <c r="C69" s="34"/>
      <c r="D69" s="34"/>
      <c r="E69" s="34"/>
      <c r="F69" s="34"/>
      <c r="G69" s="34"/>
      <c r="H69" s="34"/>
      <c r="I69" s="34"/>
      <c r="J69" s="34"/>
      <c r="K69" s="34"/>
      <c r="L69" s="34"/>
      <c r="M69" s="34"/>
      <c r="N69" s="34"/>
      <c r="O69" s="34"/>
      <c r="P69" s="34"/>
      <c r="Q69" s="34"/>
      <c r="R69" s="24"/>
      <c r="S69" s="24"/>
      <c r="T69" s="24"/>
      <c r="U69" s="24"/>
      <c r="V69" s="24"/>
      <c r="W69" s="24"/>
      <c r="X69" s="24"/>
      <c r="Y69" s="24"/>
      <c r="Z69" s="24"/>
      <c r="AA69" s="24"/>
      <c r="AB69" s="24"/>
      <c r="AC69" s="24" t="str">
        <f>IFERROR(__xludf.DUMMYFUNCTION("""COMPUTED_VALUE"""),"Eday")</f>
        <v>Eday</v>
      </c>
      <c r="AD69" s="24" t="str">
        <f>IFERROR(__xludf.DUMMYFUNCTION("""COMPUTED_VALUE"""),"EOI")</f>
        <v>EOI</v>
      </c>
      <c r="AE69" s="24" t="str">
        <f>IFERROR(__xludf.DUMMYFUNCTION("""COMPUTED_VALUE"""),"Eday")</f>
        <v>Eday</v>
      </c>
      <c r="AF69" s="24" t="str">
        <f>IFERROR(__xludf.DUMMYFUNCTION("""COMPUTED_VALUE"""),"United Kingdom")</f>
        <v>United Kingdom</v>
      </c>
      <c r="AG69" s="24"/>
      <c r="AH69" s="24"/>
      <c r="AI69" s="24"/>
      <c r="AJ69" s="24"/>
      <c r="AK69" s="24"/>
      <c r="AL69" s="24" t="str">
        <f>IFERROR(__xludf.DUMMYFUNCTION("""COMPUTED_VALUE"""),"Hahn")</f>
        <v>Hahn</v>
      </c>
      <c r="AM69" s="24" t="str">
        <f>IFERROR(__xludf.DUMMYFUNCTION("""COMPUTED_VALUE"""),"HHN")</f>
        <v>HHN</v>
      </c>
      <c r="AN69" s="24" t="str">
        <f>IFERROR(__xludf.DUMMYFUNCTION("""COMPUTED_VALUE"""),"Hahn")</f>
        <v>Hahn</v>
      </c>
      <c r="AO69" s="24" t="str">
        <f>IFERROR(__xludf.DUMMYFUNCTION("""COMPUTED_VALUE"""),"Germany")</f>
        <v>Germany</v>
      </c>
      <c r="AP69" s="24"/>
      <c r="AQ69" s="24"/>
      <c r="AR69" s="54"/>
    </row>
    <row r="70">
      <c r="A70" s="19"/>
      <c r="C70" s="34"/>
      <c r="D70" s="34"/>
      <c r="E70" s="34"/>
      <c r="F70" s="34"/>
      <c r="G70" s="34"/>
      <c r="H70" s="34"/>
      <c r="I70" s="34"/>
      <c r="J70" s="34"/>
      <c r="K70" s="34"/>
      <c r="L70" s="34"/>
      <c r="M70" s="34"/>
      <c r="N70" s="34"/>
      <c r="O70" s="34"/>
      <c r="P70" s="34"/>
      <c r="Q70" s="34"/>
      <c r="R70" s="24"/>
      <c r="S70" s="24"/>
      <c r="T70" s="24"/>
      <c r="U70" s="24"/>
      <c r="V70" s="24"/>
      <c r="W70" s="24"/>
      <c r="X70" s="24"/>
      <c r="Y70" s="24"/>
      <c r="Z70" s="24"/>
      <c r="AA70" s="24"/>
      <c r="AB70" s="24"/>
      <c r="AC70" s="24" t="str">
        <f>IFERROR(__xludf.DUMMYFUNCTION("""COMPUTED_VALUE"""),"Edinburgh")</f>
        <v>Edinburgh</v>
      </c>
      <c r="AD70" s="24" t="str">
        <f>IFERROR(__xludf.DUMMYFUNCTION("""COMPUTED_VALUE"""),"EDI")</f>
        <v>EDI</v>
      </c>
      <c r="AE70" s="24" t="str">
        <f>IFERROR(__xludf.DUMMYFUNCTION("""COMPUTED_VALUE"""),"Turnhouse")</f>
        <v>Turnhouse</v>
      </c>
      <c r="AF70" s="24" t="str">
        <f>IFERROR(__xludf.DUMMYFUNCTION("""COMPUTED_VALUE"""),"United Kingdom")</f>
        <v>United Kingdom</v>
      </c>
      <c r="AG70" s="24"/>
      <c r="AH70" s="24"/>
      <c r="AI70" s="24"/>
      <c r="AJ70" s="24"/>
      <c r="AK70" s="24"/>
      <c r="AL70" s="24" t="str">
        <f>IFERROR(__xludf.DUMMYFUNCTION("""COMPUTED_VALUE"""),"Frankfurt")</f>
        <v>Frankfurt</v>
      </c>
      <c r="AM70" s="24" t="str">
        <f>IFERROR(__xludf.DUMMYFUNCTION("""COMPUTED_VALUE"""),"FRA")</f>
        <v>FRA</v>
      </c>
      <c r="AN70" s="24" t="str">
        <f>IFERROR(__xludf.DUMMYFUNCTION("""COMPUTED_VALUE"""),"Frankfurt International Airport (Rhein-Main)")</f>
        <v>Frankfurt International Airport (Rhein-Main)</v>
      </c>
      <c r="AO70" s="24" t="str">
        <f>IFERROR(__xludf.DUMMYFUNCTION("""COMPUTED_VALUE"""),"Germany")</f>
        <v>Germany</v>
      </c>
      <c r="AP70" s="24"/>
      <c r="AQ70" s="24"/>
      <c r="AR70" s="54"/>
    </row>
    <row r="71">
      <c r="A71" s="19"/>
      <c r="C71" s="34"/>
      <c r="D71" s="34"/>
      <c r="E71" s="34"/>
      <c r="F71" s="34"/>
      <c r="G71" s="34"/>
      <c r="H71" s="34"/>
      <c r="I71" s="34"/>
      <c r="J71" s="34"/>
      <c r="K71" s="34"/>
      <c r="L71" s="34"/>
      <c r="M71" s="34"/>
      <c r="N71" s="34"/>
      <c r="O71" s="34"/>
      <c r="P71" s="34"/>
      <c r="Q71" s="34"/>
      <c r="R71" s="24"/>
      <c r="S71" s="24"/>
      <c r="T71" s="24"/>
      <c r="U71" s="24"/>
      <c r="V71" s="24"/>
      <c r="W71" s="24"/>
      <c r="X71" s="24"/>
      <c r="Y71" s="24"/>
      <c r="Z71" s="24"/>
      <c r="AA71" s="24"/>
      <c r="AB71" s="24"/>
      <c r="AC71" s="24" t="str">
        <f>IFERROR(__xludf.DUMMYFUNCTION("""COMPUTED_VALUE"""),"Edinburgh")</f>
        <v>Edinburgh</v>
      </c>
      <c r="AD71" s="24" t="str">
        <f>IFERROR(__xludf.DUMMYFUNCTION("""COMPUTED_VALUE"""),"ZXE")</f>
        <v>ZXE</v>
      </c>
      <c r="AE71" s="24" t="str">
        <f>IFERROR(__xludf.DUMMYFUNCTION("""COMPUTED_VALUE"""),"ScotRail")</f>
        <v>ScotRail</v>
      </c>
      <c r="AF71" s="24" t="str">
        <f>IFERROR(__xludf.DUMMYFUNCTION("""COMPUTED_VALUE"""),"United Kingdom")</f>
        <v>United Kingdom</v>
      </c>
      <c r="AG71" s="24"/>
      <c r="AH71" s="24"/>
      <c r="AI71" s="24"/>
      <c r="AJ71" s="24"/>
      <c r="AK71" s="24"/>
      <c r="AL71" s="24" t="str">
        <f>IFERROR(__xludf.DUMMYFUNCTION("""COMPUTED_VALUE"""),"Frankfurt")</f>
        <v>Frankfurt</v>
      </c>
      <c r="AM71" s="24" t="str">
        <f>IFERROR(__xludf.DUMMYFUNCTION("""COMPUTED_VALUE"""),"QGV")</f>
        <v>QGV</v>
      </c>
      <c r="AN71" s="24" t="str">
        <f>IFERROR(__xludf.DUMMYFUNCTION("""COMPUTED_VALUE"""),"Neu Isenburg")</f>
        <v>Neu Isenburg</v>
      </c>
      <c r="AO71" s="24" t="str">
        <f>IFERROR(__xludf.DUMMYFUNCTION("""COMPUTED_VALUE"""),"Germany")</f>
        <v>Germany</v>
      </c>
      <c r="AP71" s="24"/>
      <c r="AQ71" s="24"/>
      <c r="AR71" s="54"/>
    </row>
    <row r="72">
      <c r="A72" s="53"/>
      <c r="B72" s="34"/>
      <c r="C72" s="34"/>
      <c r="D72" s="34"/>
      <c r="E72" s="34"/>
      <c r="F72" s="34"/>
      <c r="G72" s="34"/>
      <c r="H72" s="34"/>
      <c r="I72" s="34"/>
      <c r="J72" s="34"/>
      <c r="K72" s="34"/>
      <c r="L72" s="34"/>
      <c r="M72" s="34"/>
      <c r="N72" s="34"/>
      <c r="O72" s="34"/>
      <c r="P72" s="34"/>
      <c r="Q72" s="34"/>
      <c r="R72" s="24"/>
      <c r="S72" s="24"/>
      <c r="T72" s="24"/>
      <c r="U72" s="24"/>
      <c r="V72" s="24"/>
      <c r="W72" s="24"/>
      <c r="X72" s="24"/>
      <c r="Y72" s="24"/>
      <c r="Z72" s="24"/>
      <c r="AA72" s="24"/>
      <c r="AB72" s="24"/>
      <c r="AC72" s="24" t="str">
        <f>IFERROR(__xludf.DUMMYFUNCTION("""COMPUTED_VALUE"""),"Enniskillen")</f>
        <v>Enniskillen</v>
      </c>
      <c r="AD72" s="24" t="str">
        <f>IFERROR(__xludf.DUMMYFUNCTION("""COMPUTED_VALUE"""),"ENK")</f>
        <v>ENK</v>
      </c>
      <c r="AE72" s="24" t="str">
        <f>IFERROR(__xludf.DUMMYFUNCTION("""COMPUTED_VALUE"""),"Enniskillen")</f>
        <v>Enniskillen</v>
      </c>
      <c r="AF72" s="24" t="str">
        <f>IFERROR(__xludf.DUMMYFUNCTION("""COMPUTED_VALUE"""),"United Kingdom")</f>
        <v>United Kingdom</v>
      </c>
      <c r="AG72" s="24"/>
      <c r="AH72" s="24"/>
      <c r="AI72" s="24"/>
      <c r="AJ72" s="24"/>
      <c r="AK72" s="24"/>
      <c r="AL72" s="24" t="str">
        <f>IFERROR(__xludf.DUMMYFUNCTION("""COMPUTED_VALUE"""),"Frankfurt")</f>
        <v>Frankfurt</v>
      </c>
      <c r="AM72" s="24" t="str">
        <f>IFERROR(__xludf.DUMMYFUNCTION("""COMPUTED_VALUE"""),"FRF")</f>
        <v>FRF</v>
      </c>
      <c r="AN72" s="24" t="str">
        <f>IFERROR(__xludf.DUMMYFUNCTION("""COMPUTED_VALUE"""),"Rhein-Main AFB")</f>
        <v>Rhein-Main AFB</v>
      </c>
      <c r="AO72" s="24" t="str">
        <f>IFERROR(__xludf.DUMMYFUNCTION("""COMPUTED_VALUE"""),"Germany")</f>
        <v>Germany</v>
      </c>
      <c r="AP72" s="24"/>
      <c r="AQ72" s="24"/>
      <c r="AR72" s="54"/>
    </row>
    <row r="73">
      <c r="A73" s="53"/>
      <c r="B73" s="34"/>
      <c r="C73" s="34"/>
      <c r="D73" s="34"/>
      <c r="E73" s="34"/>
      <c r="F73" s="34"/>
      <c r="G73" s="34"/>
      <c r="H73" s="34"/>
      <c r="I73" s="34"/>
      <c r="J73" s="34"/>
      <c r="K73" s="34"/>
      <c r="L73" s="34"/>
      <c r="M73" s="34"/>
      <c r="N73" s="34"/>
      <c r="O73" s="34"/>
      <c r="P73" s="34"/>
      <c r="Q73" s="34"/>
      <c r="R73" s="24"/>
      <c r="S73" s="24"/>
      <c r="T73" s="24"/>
      <c r="U73" s="24"/>
      <c r="V73" s="24"/>
      <c r="W73" s="24"/>
      <c r="X73" s="24"/>
      <c r="Y73" s="24"/>
      <c r="Z73" s="24"/>
      <c r="AA73" s="24"/>
      <c r="AB73" s="24"/>
      <c r="AC73" s="24" t="str">
        <f>IFERROR(__xludf.DUMMYFUNCTION("""COMPUTED_VALUE"""),"Exeter")</f>
        <v>Exeter</v>
      </c>
      <c r="AD73" s="24" t="str">
        <f>IFERROR(__xludf.DUMMYFUNCTION("""COMPUTED_VALUE"""),"EXT")</f>
        <v>EXT</v>
      </c>
      <c r="AE73" s="24" t="str">
        <f>IFERROR(__xludf.DUMMYFUNCTION("""COMPUTED_VALUE"""),"Exeter")</f>
        <v>Exeter</v>
      </c>
      <c r="AF73" s="24" t="str">
        <f>IFERROR(__xludf.DUMMYFUNCTION("""COMPUTED_VALUE"""),"United Kingdom")</f>
        <v>United Kingdom</v>
      </c>
      <c r="AG73" s="24"/>
      <c r="AH73" s="24"/>
      <c r="AI73" s="24"/>
      <c r="AJ73" s="24"/>
      <c r="AK73" s="24"/>
      <c r="AL73" s="24" t="str">
        <f>IFERROR(__xludf.DUMMYFUNCTION("""COMPUTED_VALUE"""),"Frankfurt/Oder")</f>
        <v>Frankfurt/Oder</v>
      </c>
      <c r="AM73" s="24" t="str">
        <f>IFERROR(__xludf.DUMMYFUNCTION("""COMPUTED_VALUE"""),"ZFR")</f>
        <v>ZFR</v>
      </c>
      <c r="AN73" s="24" t="str">
        <f>IFERROR(__xludf.DUMMYFUNCTION("""COMPUTED_VALUE"""),"Frankfurt/Oder Railway")</f>
        <v>Frankfurt/Oder Railway</v>
      </c>
      <c r="AO73" s="24" t="str">
        <f>IFERROR(__xludf.DUMMYFUNCTION("""COMPUTED_VALUE"""),"Germany")</f>
        <v>Germany</v>
      </c>
      <c r="AP73" s="24"/>
      <c r="AQ73" s="24"/>
      <c r="AR73" s="54"/>
    </row>
    <row r="74">
      <c r="A74" s="53"/>
      <c r="B74" s="34"/>
      <c r="C74" s="34"/>
      <c r="D74" s="34"/>
      <c r="E74" s="34"/>
      <c r="F74" s="34"/>
      <c r="G74" s="34"/>
      <c r="H74" s="34"/>
      <c r="I74" s="34"/>
      <c r="J74" s="34"/>
      <c r="K74" s="34"/>
      <c r="L74" s="34"/>
      <c r="M74" s="34"/>
      <c r="N74" s="34"/>
      <c r="O74" s="34"/>
      <c r="P74" s="34"/>
      <c r="Q74" s="34"/>
      <c r="R74" s="24"/>
      <c r="S74" s="24"/>
      <c r="T74" s="24"/>
      <c r="U74" s="24"/>
      <c r="V74" s="24"/>
      <c r="W74" s="24"/>
      <c r="X74" s="24"/>
      <c r="Y74" s="24"/>
      <c r="Z74" s="24"/>
      <c r="AA74" s="24"/>
      <c r="AB74" s="24"/>
      <c r="AC74" s="24" t="str">
        <f>IFERROR(__xludf.DUMMYFUNCTION("""COMPUTED_VALUE"""),"Fair Isle")</f>
        <v>Fair Isle</v>
      </c>
      <c r="AD74" s="24" t="str">
        <f>IFERROR(__xludf.DUMMYFUNCTION("""COMPUTED_VALUE"""),"FIE")</f>
        <v>FIE</v>
      </c>
      <c r="AE74" s="24" t="str">
        <f>IFERROR(__xludf.DUMMYFUNCTION("""COMPUTED_VALUE"""),"Fair Isle")</f>
        <v>Fair Isle</v>
      </c>
      <c r="AF74" s="24" t="str">
        <f>IFERROR(__xludf.DUMMYFUNCTION("""COMPUTED_VALUE"""),"United Kingdom")</f>
        <v>United Kingdom</v>
      </c>
      <c r="AG74" s="24"/>
      <c r="AH74" s="24"/>
      <c r="AI74" s="24"/>
      <c r="AJ74" s="24"/>
      <c r="AK74" s="24"/>
      <c r="AL74" s="24" t="str">
        <f>IFERROR(__xludf.DUMMYFUNCTION("""COMPUTED_VALUE"""),"Friedrichshafen")</f>
        <v>Friedrichshafen</v>
      </c>
      <c r="AM74" s="24" t="str">
        <f>IFERROR(__xludf.DUMMYFUNCTION("""COMPUTED_VALUE"""),"FDH")</f>
        <v>FDH</v>
      </c>
      <c r="AN74" s="24" t="str">
        <f>IFERROR(__xludf.DUMMYFUNCTION("""COMPUTED_VALUE"""),"Friedrichshafen")</f>
        <v>Friedrichshafen</v>
      </c>
      <c r="AO74" s="24" t="str">
        <f>IFERROR(__xludf.DUMMYFUNCTION("""COMPUTED_VALUE"""),"Germany")</f>
        <v>Germany</v>
      </c>
      <c r="AP74" s="24"/>
      <c r="AQ74" s="24"/>
      <c r="AR74" s="54"/>
    </row>
    <row r="75">
      <c r="A75" s="19"/>
      <c r="C75" s="34"/>
      <c r="D75" s="34"/>
      <c r="E75" s="34"/>
      <c r="F75" s="34"/>
      <c r="G75" s="34"/>
      <c r="H75" s="34"/>
      <c r="I75" s="34"/>
      <c r="J75" s="34"/>
      <c r="K75" s="34"/>
      <c r="L75" s="34"/>
      <c r="M75" s="34"/>
      <c r="N75" s="34"/>
      <c r="O75" s="34"/>
      <c r="P75" s="34"/>
      <c r="Q75" s="34"/>
      <c r="R75" s="24"/>
      <c r="S75" s="24"/>
      <c r="T75" s="24"/>
      <c r="U75" s="24"/>
      <c r="V75" s="24"/>
      <c r="W75" s="24"/>
      <c r="X75" s="24"/>
      <c r="Y75" s="24"/>
      <c r="Z75" s="24"/>
      <c r="AA75" s="24"/>
      <c r="AB75" s="24"/>
      <c r="AC75" s="24" t="str">
        <f>IFERROR(__xludf.DUMMYFUNCTION("""COMPUTED_VALUE"""),"Fairford")</f>
        <v>Fairford</v>
      </c>
      <c r="AD75" s="24" t="str">
        <f>IFERROR(__xludf.DUMMYFUNCTION("""COMPUTED_VALUE"""),"FFD")</f>
        <v>FFD</v>
      </c>
      <c r="AE75" s="24" t="str">
        <f>IFERROR(__xludf.DUMMYFUNCTION("""COMPUTED_VALUE"""),"RAF Station")</f>
        <v>RAF Station</v>
      </c>
      <c r="AF75" s="24" t="str">
        <f>IFERROR(__xludf.DUMMYFUNCTION("""COMPUTED_VALUE"""),"United Kingdom")</f>
        <v>United Kingdom</v>
      </c>
      <c r="AG75" s="24"/>
      <c r="AH75" s="24"/>
      <c r="AI75" s="24"/>
      <c r="AJ75" s="24"/>
      <c r="AK75" s="24"/>
      <c r="AL75" s="24" t="str">
        <f>IFERROR(__xludf.DUMMYFUNCTION("""COMPUTED_VALUE"""),"Fritzlar")</f>
        <v>Fritzlar</v>
      </c>
      <c r="AM75" s="24" t="str">
        <f>IFERROR(__xludf.DUMMYFUNCTION("""COMPUTED_VALUE"""),"FRZ")</f>
        <v>FRZ</v>
      </c>
      <c r="AN75" s="24" t="str">
        <f>IFERROR(__xludf.DUMMYFUNCTION("""COMPUTED_VALUE"""),"Fritzlar Airbase")</f>
        <v>Fritzlar Airbase</v>
      </c>
      <c r="AO75" s="24" t="str">
        <f>IFERROR(__xludf.DUMMYFUNCTION("""COMPUTED_VALUE"""),"Germany")</f>
        <v>Germany</v>
      </c>
      <c r="AP75" s="24"/>
      <c r="AQ75" s="24"/>
      <c r="AR75" s="54"/>
    </row>
    <row r="76">
      <c r="A76" s="19"/>
      <c r="C76" s="34"/>
      <c r="D76" s="34"/>
      <c r="E76" s="34"/>
      <c r="F76" s="34"/>
      <c r="G76" s="34"/>
      <c r="H76" s="34"/>
      <c r="I76" s="34"/>
      <c r="J76" s="34"/>
      <c r="K76" s="34"/>
      <c r="L76" s="34"/>
      <c r="M76" s="34"/>
      <c r="N76" s="34"/>
      <c r="O76" s="34"/>
      <c r="P76" s="34"/>
      <c r="Q76" s="34"/>
      <c r="R76" s="24"/>
      <c r="S76" s="24"/>
      <c r="T76" s="24"/>
      <c r="U76" s="24"/>
      <c r="V76" s="24"/>
      <c r="W76" s="24"/>
      <c r="X76" s="24"/>
      <c r="Y76" s="24"/>
      <c r="Z76" s="24"/>
      <c r="AA76" s="24"/>
      <c r="AB76" s="24"/>
      <c r="AC76" s="24" t="str">
        <f>IFERROR(__xludf.DUMMYFUNCTION("""COMPUTED_VALUE"""),"Fakenham")</f>
        <v>Fakenham</v>
      </c>
      <c r="AD76" s="24" t="str">
        <f>IFERROR(__xludf.DUMMYFUNCTION("""COMPUTED_VALUE"""),"FKH")</f>
        <v>FKH</v>
      </c>
      <c r="AE76" s="24" t="str">
        <f>IFERROR(__xludf.DUMMYFUNCTION("""COMPUTED_VALUE"""),"Sculthorp RAF")</f>
        <v>Sculthorp RAF</v>
      </c>
      <c r="AF76" s="24" t="str">
        <f>IFERROR(__xludf.DUMMYFUNCTION("""COMPUTED_VALUE"""),"United Kingdom")</f>
        <v>United Kingdom</v>
      </c>
      <c r="AG76" s="24"/>
      <c r="AH76" s="24"/>
      <c r="AI76" s="24"/>
      <c r="AJ76" s="24"/>
      <c r="AK76" s="24"/>
      <c r="AL76" s="24" t="str">
        <f>IFERROR(__xludf.DUMMYFUNCTION("""COMPUTED_VALUE"""),"Fuerstenfeldbruck")</f>
        <v>Fuerstenfeldbruck</v>
      </c>
      <c r="AM76" s="24" t="str">
        <f>IFERROR(__xludf.DUMMYFUNCTION("""COMPUTED_VALUE"""),"FEL")</f>
        <v>FEL</v>
      </c>
      <c r="AN76" s="24" t="str">
        <f>IFERROR(__xludf.DUMMYFUNCTION("""COMPUTED_VALUE"""),"Fuerstenfeldbruck")</f>
        <v>Fuerstenfeldbruck</v>
      </c>
      <c r="AO76" s="24" t="str">
        <f>IFERROR(__xludf.DUMMYFUNCTION("""COMPUTED_VALUE"""),"Germany")</f>
        <v>Germany</v>
      </c>
      <c r="AP76" s="24"/>
      <c r="AQ76" s="24"/>
      <c r="AR76" s="54"/>
    </row>
    <row r="77">
      <c r="A77" s="19"/>
      <c r="C77" s="34"/>
      <c r="D77" s="34"/>
      <c r="E77" s="34"/>
      <c r="F77" s="34"/>
      <c r="G77" s="34"/>
      <c r="H77" s="34"/>
      <c r="I77" s="34"/>
      <c r="J77" s="34"/>
      <c r="K77" s="34"/>
      <c r="L77" s="34"/>
      <c r="M77" s="34"/>
      <c r="N77" s="34"/>
      <c r="O77" s="34"/>
      <c r="P77" s="34"/>
      <c r="Q77" s="34"/>
      <c r="R77" s="24"/>
      <c r="S77" s="24"/>
      <c r="T77" s="24"/>
      <c r="U77" s="24"/>
      <c r="V77" s="24"/>
      <c r="W77" s="24"/>
      <c r="X77" s="24"/>
      <c r="Y77" s="24"/>
      <c r="Z77" s="24"/>
      <c r="AA77" s="24"/>
      <c r="AB77" s="24"/>
      <c r="AC77" s="24" t="str">
        <f>IFERROR(__xludf.DUMMYFUNCTION("""COMPUTED_VALUE"""),"Farnborough")</f>
        <v>Farnborough</v>
      </c>
      <c r="AD77" s="24" t="str">
        <f>IFERROR(__xludf.DUMMYFUNCTION("""COMPUTED_VALUE"""),"FAB")</f>
        <v>FAB</v>
      </c>
      <c r="AE77" s="24" t="str">
        <f>IFERROR(__xludf.DUMMYFUNCTION("""COMPUTED_VALUE"""),"Farnborough")</f>
        <v>Farnborough</v>
      </c>
      <c r="AF77" s="24" t="str">
        <f>IFERROR(__xludf.DUMMYFUNCTION("""COMPUTED_VALUE"""),"United Kingdom")</f>
        <v>United Kingdom</v>
      </c>
      <c r="AG77" s="24"/>
      <c r="AH77" s="24"/>
      <c r="AI77" s="24"/>
      <c r="AJ77" s="24"/>
      <c r="AK77" s="24"/>
      <c r="AL77" s="24" t="str">
        <f>IFERROR(__xludf.DUMMYFUNCTION("""COMPUTED_VALUE"""),"Geilenkirchen")</f>
        <v>Geilenkirchen</v>
      </c>
      <c r="AM77" s="24" t="str">
        <f>IFERROR(__xludf.DUMMYFUNCTION("""COMPUTED_VALUE"""),"GKE")</f>
        <v>GKE</v>
      </c>
      <c r="AN77" s="24" t="str">
        <f>IFERROR(__xludf.DUMMYFUNCTION("""COMPUTED_VALUE"""),"Geilenkirchen")</f>
        <v>Geilenkirchen</v>
      </c>
      <c r="AO77" s="24" t="str">
        <f>IFERROR(__xludf.DUMMYFUNCTION("""COMPUTED_VALUE"""),"Germany")</f>
        <v>Germany</v>
      </c>
      <c r="AP77" s="24"/>
      <c r="AQ77" s="24"/>
      <c r="AR77" s="54"/>
    </row>
    <row r="78">
      <c r="A78" s="19"/>
      <c r="C78" s="34"/>
      <c r="D78" s="34"/>
      <c r="E78" s="34"/>
      <c r="F78" s="34"/>
      <c r="G78" s="34"/>
      <c r="H78" s="34"/>
      <c r="I78" s="34"/>
      <c r="J78" s="34"/>
      <c r="K78" s="34"/>
      <c r="L78" s="34"/>
      <c r="M78" s="34"/>
      <c r="N78" s="34"/>
      <c r="O78" s="34"/>
      <c r="P78" s="34"/>
      <c r="Q78" s="34"/>
      <c r="R78" s="24"/>
      <c r="S78" s="24"/>
      <c r="T78" s="24"/>
      <c r="U78" s="24"/>
      <c r="V78" s="24"/>
      <c r="W78" s="24"/>
      <c r="X78" s="24"/>
      <c r="Y78" s="24"/>
      <c r="Z78" s="24"/>
      <c r="AA78" s="24"/>
      <c r="AB78" s="24"/>
      <c r="AC78" s="24" t="str">
        <f>IFERROR(__xludf.DUMMYFUNCTION("""COMPUTED_VALUE"""),"Fetlar")</f>
        <v>Fetlar</v>
      </c>
      <c r="AD78" s="24" t="str">
        <f>IFERROR(__xludf.DUMMYFUNCTION("""COMPUTED_VALUE"""),"FEA")</f>
        <v>FEA</v>
      </c>
      <c r="AE78" s="24" t="str">
        <f>IFERROR(__xludf.DUMMYFUNCTION("""COMPUTED_VALUE"""),"Fetlar")</f>
        <v>Fetlar</v>
      </c>
      <c r="AF78" s="24" t="str">
        <f>IFERROR(__xludf.DUMMYFUNCTION("""COMPUTED_VALUE"""),"United Kingdom")</f>
        <v>United Kingdom</v>
      </c>
      <c r="AG78" s="24"/>
      <c r="AH78" s="24"/>
      <c r="AI78" s="24"/>
      <c r="AJ78" s="24"/>
      <c r="AK78" s="24"/>
      <c r="AL78" s="24" t="str">
        <f>IFERROR(__xludf.DUMMYFUNCTION("""COMPUTED_VALUE"""),"Gera")</f>
        <v>Gera</v>
      </c>
      <c r="AM78" s="24" t="str">
        <f>IFERROR(__xludf.DUMMYFUNCTION("""COMPUTED_VALUE"""),"ZGA")</f>
        <v>ZGA</v>
      </c>
      <c r="AN78" s="24" t="str">
        <f>IFERROR(__xludf.DUMMYFUNCTION("""COMPUTED_VALUE"""),"Gera Railway")</f>
        <v>Gera Railway</v>
      </c>
      <c r="AO78" s="24" t="str">
        <f>IFERROR(__xludf.DUMMYFUNCTION("""COMPUTED_VALUE"""),"Germany")</f>
        <v>Germany</v>
      </c>
      <c r="AP78" s="24"/>
      <c r="AQ78" s="24"/>
      <c r="AR78" s="54"/>
    </row>
    <row r="79">
      <c r="A79" s="19"/>
      <c r="C79" s="34"/>
      <c r="D79" s="34"/>
      <c r="E79" s="34"/>
      <c r="F79" s="34"/>
      <c r="G79" s="34"/>
      <c r="H79" s="34"/>
      <c r="I79" s="34"/>
      <c r="J79" s="34"/>
      <c r="K79" s="34"/>
      <c r="L79" s="34"/>
      <c r="M79" s="34"/>
      <c r="N79" s="34"/>
      <c r="O79" s="34"/>
      <c r="P79" s="34"/>
      <c r="Q79" s="34"/>
      <c r="R79" s="24"/>
      <c r="S79" s="24"/>
      <c r="T79" s="24"/>
      <c r="U79" s="24"/>
      <c r="V79" s="24"/>
      <c r="W79" s="24"/>
      <c r="X79" s="24"/>
      <c r="Y79" s="24"/>
      <c r="Z79" s="24"/>
      <c r="AA79" s="24"/>
      <c r="AB79" s="24"/>
      <c r="AC79" s="24" t="str">
        <f>IFERROR(__xludf.DUMMYFUNCTION("""COMPUTED_VALUE"""),"Filton")</f>
        <v>Filton</v>
      </c>
      <c r="AD79" s="24" t="str">
        <f>IFERROR(__xludf.DUMMYFUNCTION("""COMPUTED_VALUE"""),"FZO")</f>
        <v>FZO</v>
      </c>
      <c r="AE79" s="24" t="str">
        <f>IFERROR(__xludf.DUMMYFUNCTION("""COMPUTED_VALUE"""),"Filton")</f>
        <v>Filton</v>
      </c>
      <c r="AF79" s="24" t="str">
        <f>IFERROR(__xludf.DUMMYFUNCTION("""COMPUTED_VALUE"""),"United Kingdom")</f>
        <v>United Kingdom</v>
      </c>
      <c r="AG79" s="24"/>
      <c r="AH79" s="24"/>
      <c r="AI79" s="24"/>
      <c r="AJ79" s="24"/>
      <c r="AK79" s="24"/>
      <c r="AL79" s="24" t="str">
        <f>IFERROR(__xludf.DUMMYFUNCTION("""COMPUTED_VALUE"""),"Giebelstadt")</f>
        <v>Giebelstadt</v>
      </c>
      <c r="AM79" s="24" t="str">
        <f>IFERROR(__xludf.DUMMYFUNCTION("""COMPUTED_VALUE"""),"GHF")</f>
        <v>GHF</v>
      </c>
      <c r="AN79" s="24" t="str">
        <f>IFERROR(__xludf.DUMMYFUNCTION("""COMPUTED_VALUE"""),"Giebelstadt")</f>
        <v>Giebelstadt</v>
      </c>
      <c r="AO79" s="24" t="str">
        <f>IFERROR(__xludf.DUMMYFUNCTION("""COMPUTED_VALUE"""),"Germany")</f>
        <v>Germany</v>
      </c>
      <c r="AP79" s="24"/>
      <c r="AQ79" s="24"/>
      <c r="AR79" s="54"/>
    </row>
    <row r="80">
      <c r="A80" s="19"/>
      <c r="C80" s="34"/>
      <c r="D80" s="34"/>
      <c r="E80" s="34"/>
      <c r="F80" s="34"/>
      <c r="G80" s="34"/>
      <c r="H80" s="34"/>
      <c r="I80" s="34"/>
      <c r="J80" s="34"/>
      <c r="K80" s="34"/>
      <c r="L80" s="34"/>
      <c r="M80" s="34"/>
      <c r="N80" s="34"/>
      <c r="O80" s="34"/>
      <c r="P80" s="34"/>
      <c r="Q80" s="34"/>
      <c r="R80" s="24"/>
      <c r="S80" s="24"/>
      <c r="T80" s="24"/>
      <c r="U80" s="24"/>
      <c r="V80" s="24"/>
      <c r="W80" s="24"/>
      <c r="X80" s="24"/>
      <c r="Y80" s="24"/>
      <c r="Z80" s="24"/>
      <c r="AA80" s="24"/>
      <c r="AB80" s="24"/>
      <c r="AC80" s="24" t="str">
        <f>IFERROR(__xludf.DUMMYFUNCTION("""COMPUTED_VALUE"""),"Flotta")</f>
        <v>Flotta</v>
      </c>
      <c r="AD80" s="24" t="str">
        <f>IFERROR(__xludf.DUMMYFUNCTION("""COMPUTED_VALUE"""),"FLH")</f>
        <v>FLH</v>
      </c>
      <c r="AE80" s="24" t="str">
        <f>IFERROR(__xludf.DUMMYFUNCTION("""COMPUTED_VALUE"""),"Flotta")</f>
        <v>Flotta</v>
      </c>
      <c r="AF80" s="24" t="str">
        <f>IFERROR(__xludf.DUMMYFUNCTION("""COMPUTED_VALUE"""),"United Kingdom")</f>
        <v>United Kingdom</v>
      </c>
      <c r="AG80" s="24"/>
      <c r="AH80" s="24"/>
      <c r="AI80" s="24"/>
      <c r="AJ80" s="24"/>
      <c r="AK80" s="24"/>
      <c r="AL80" s="24" t="str">
        <f>IFERROR(__xludf.DUMMYFUNCTION("""COMPUTED_VALUE"""),"Goerlitz")</f>
        <v>Goerlitz</v>
      </c>
      <c r="AM80" s="24" t="str">
        <f>IFERROR(__xludf.DUMMYFUNCTION("""COMPUTED_VALUE"""),"ZGE")</f>
        <v>ZGE</v>
      </c>
      <c r="AN80" s="24" t="str">
        <f>IFERROR(__xludf.DUMMYFUNCTION("""COMPUTED_VALUE"""),"Goerlitz Railway")</f>
        <v>Goerlitz Railway</v>
      </c>
      <c r="AO80" s="24" t="str">
        <f>IFERROR(__xludf.DUMMYFUNCTION("""COMPUTED_VALUE"""),"Germany")</f>
        <v>Germany</v>
      </c>
      <c r="AP80" s="24"/>
      <c r="AQ80" s="24"/>
      <c r="AR80" s="54"/>
    </row>
    <row r="81">
      <c r="A81" s="19"/>
      <c r="C81" s="34"/>
      <c r="D81" s="34"/>
      <c r="E81" s="34"/>
      <c r="F81" s="34"/>
      <c r="G81" s="34"/>
      <c r="H81" s="34"/>
      <c r="I81" s="34"/>
      <c r="J81" s="34"/>
      <c r="K81" s="34"/>
      <c r="L81" s="34"/>
      <c r="M81" s="34"/>
      <c r="N81" s="34"/>
      <c r="O81" s="34"/>
      <c r="P81" s="34"/>
      <c r="Q81" s="34"/>
      <c r="R81" s="24"/>
      <c r="S81" s="24"/>
      <c r="T81" s="24"/>
      <c r="U81" s="24"/>
      <c r="V81" s="24"/>
      <c r="W81" s="24"/>
      <c r="X81" s="24"/>
      <c r="Y81" s="24"/>
      <c r="Z81" s="24"/>
      <c r="AA81" s="24"/>
      <c r="AB81" s="24"/>
      <c r="AC81" s="24" t="str">
        <f>IFERROR(__xludf.DUMMYFUNCTION("""COMPUTED_VALUE"""),"Forres")</f>
        <v>Forres</v>
      </c>
      <c r="AD81" s="24" t="str">
        <f>IFERROR(__xludf.DUMMYFUNCTION("""COMPUTED_VALUE"""),"FSS")</f>
        <v>FSS</v>
      </c>
      <c r="AE81" s="24" t="str">
        <f>IFERROR(__xludf.DUMMYFUNCTION("""COMPUTED_VALUE"""),"Kinloss")</f>
        <v>Kinloss</v>
      </c>
      <c r="AF81" s="24" t="str">
        <f>IFERROR(__xludf.DUMMYFUNCTION("""COMPUTED_VALUE"""),"United Kingdom")</f>
        <v>United Kingdom</v>
      </c>
      <c r="AG81" s="24"/>
      <c r="AH81" s="24"/>
      <c r="AI81" s="24"/>
      <c r="AJ81" s="24"/>
      <c r="AK81" s="24"/>
      <c r="AL81" s="24" t="str">
        <f>IFERROR(__xludf.DUMMYFUNCTION("""COMPUTED_VALUE"""),"Gotha")</f>
        <v>Gotha</v>
      </c>
      <c r="AM81" s="24" t="str">
        <f>IFERROR(__xludf.DUMMYFUNCTION("""COMPUTED_VALUE"""),"ZGO")</f>
        <v>ZGO</v>
      </c>
      <c r="AN81" s="24" t="str">
        <f>IFERROR(__xludf.DUMMYFUNCTION("""COMPUTED_VALUE"""),"Gotha Railway")</f>
        <v>Gotha Railway</v>
      </c>
      <c r="AO81" s="24" t="str">
        <f>IFERROR(__xludf.DUMMYFUNCTION("""COMPUTED_VALUE"""),"Germany")</f>
        <v>Germany</v>
      </c>
      <c r="AP81" s="24"/>
      <c r="AQ81" s="24"/>
      <c r="AR81" s="54"/>
    </row>
    <row r="82">
      <c r="A82" s="19"/>
      <c r="C82" s="34"/>
      <c r="D82" s="34"/>
      <c r="E82" s="34"/>
      <c r="F82" s="34"/>
      <c r="G82" s="34"/>
      <c r="H82" s="34"/>
      <c r="I82" s="34"/>
      <c r="J82" s="34"/>
      <c r="K82" s="34"/>
      <c r="L82" s="34"/>
      <c r="M82" s="34"/>
      <c r="N82" s="34"/>
      <c r="O82" s="34"/>
      <c r="P82" s="34"/>
      <c r="Q82" s="34"/>
      <c r="R82" s="24"/>
      <c r="S82" s="24"/>
      <c r="T82" s="24"/>
      <c r="U82" s="24"/>
      <c r="V82" s="24"/>
      <c r="W82" s="24"/>
      <c r="X82" s="24"/>
      <c r="Y82" s="24"/>
      <c r="Z82" s="24"/>
      <c r="AA82" s="24"/>
      <c r="AB82" s="24"/>
      <c r="AC82" s="24" t="str">
        <f>IFERROR(__xludf.DUMMYFUNCTION("""COMPUTED_VALUE"""),"Fort William")</f>
        <v>Fort William</v>
      </c>
      <c r="AD82" s="24" t="str">
        <f>IFERROR(__xludf.DUMMYFUNCTION("""COMPUTED_VALUE"""),"FWM")</f>
        <v>FWM</v>
      </c>
      <c r="AE82" s="24" t="str">
        <f>IFERROR(__xludf.DUMMYFUNCTION("""COMPUTED_VALUE"""),"Heliport")</f>
        <v>Heliport</v>
      </c>
      <c r="AF82" s="24" t="str">
        <f>IFERROR(__xludf.DUMMYFUNCTION("""COMPUTED_VALUE"""),"United Kingdom")</f>
        <v>United Kingdom</v>
      </c>
      <c r="AG82" s="24"/>
      <c r="AH82" s="24"/>
      <c r="AI82" s="24"/>
      <c r="AJ82" s="24"/>
      <c r="AK82" s="24"/>
      <c r="AL82" s="24" t="str">
        <f>IFERROR(__xludf.DUMMYFUNCTION("""COMPUTED_VALUE"""),"Greifswald")</f>
        <v>Greifswald</v>
      </c>
      <c r="AM82" s="24" t="str">
        <f>IFERROR(__xludf.DUMMYFUNCTION("""COMPUTED_VALUE"""),"ZGW")</f>
        <v>ZGW</v>
      </c>
      <c r="AN82" s="24" t="str">
        <f>IFERROR(__xludf.DUMMYFUNCTION("""COMPUTED_VALUE"""),"Greifswald Railway")</f>
        <v>Greifswald Railway</v>
      </c>
      <c r="AO82" s="24" t="str">
        <f>IFERROR(__xludf.DUMMYFUNCTION("""COMPUTED_VALUE"""),"Germany")</f>
        <v>Germany</v>
      </c>
      <c r="AP82" s="24"/>
      <c r="AQ82" s="24"/>
      <c r="AR82" s="54"/>
    </row>
    <row r="83">
      <c r="A83" s="53"/>
      <c r="B83" s="34"/>
      <c r="C83" s="34"/>
      <c r="D83" s="34"/>
      <c r="E83" s="34"/>
      <c r="F83" s="34"/>
      <c r="G83" s="34"/>
      <c r="H83" s="34"/>
      <c r="I83" s="34"/>
      <c r="J83" s="34"/>
      <c r="K83" s="34"/>
      <c r="L83" s="34"/>
      <c r="M83" s="34"/>
      <c r="N83" s="34"/>
      <c r="O83" s="34"/>
      <c r="P83" s="34"/>
      <c r="Q83" s="34"/>
      <c r="R83" s="24"/>
      <c r="S83" s="24"/>
      <c r="T83" s="24"/>
      <c r="U83" s="24"/>
      <c r="V83" s="24"/>
      <c r="W83" s="24"/>
      <c r="X83" s="24"/>
      <c r="Y83" s="24"/>
      <c r="Z83" s="24"/>
      <c r="AA83" s="24"/>
      <c r="AB83" s="24"/>
      <c r="AC83" s="24" t="str">
        <f>IFERROR(__xludf.DUMMYFUNCTION("""COMPUTED_VALUE"""),"Foula")</f>
        <v>Foula</v>
      </c>
      <c r="AD83" s="24" t="str">
        <f>IFERROR(__xludf.DUMMYFUNCTION("""COMPUTED_VALUE"""),"FOA")</f>
        <v>FOA</v>
      </c>
      <c r="AE83" s="24" t="str">
        <f>IFERROR(__xludf.DUMMYFUNCTION("""COMPUTED_VALUE"""),"Foula")</f>
        <v>Foula</v>
      </c>
      <c r="AF83" s="24" t="str">
        <f>IFERROR(__xludf.DUMMYFUNCTION("""COMPUTED_VALUE"""),"United Kingdom")</f>
        <v>United Kingdom</v>
      </c>
      <c r="AG83" s="24"/>
      <c r="AH83" s="24"/>
      <c r="AI83" s="24"/>
      <c r="AJ83" s="24"/>
      <c r="AK83" s="24"/>
      <c r="AL83" s="24" t="str">
        <f>IFERROR(__xludf.DUMMYFUNCTION("""COMPUTED_VALUE"""),"Guetersloh")</f>
        <v>Guetersloh</v>
      </c>
      <c r="AM83" s="24" t="str">
        <f>IFERROR(__xludf.DUMMYFUNCTION("""COMPUTED_VALUE"""),"GUT")</f>
        <v>GUT</v>
      </c>
      <c r="AN83" s="24" t="str">
        <f>IFERROR(__xludf.DUMMYFUNCTION("""COMPUTED_VALUE"""),"Guetersloh")</f>
        <v>Guetersloh</v>
      </c>
      <c r="AO83" s="24" t="str">
        <f>IFERROR(__xludf.DUMMYFUNCTION("""COMPUTED_VALUE"""),"Germany")</f>
        <v>Germany</v>
      </c>
      <c r="AP83" s="24"/>
      <c r="AQ83" s="24"/>
      <c r="AR83" s="54"/>
    </row>
    <row r="84">
      <c r="A84" s="53"/>
      <c r="B84" s="34"/>
      <c r="C84" s="34"/>
      <c r="D84" s="34"/>
      <c r="E84" s="34"/>
      <c r="F84" s="34"/>
      <c r="G84" s="34"/>
      <c r="H84" s="34"/>
      <c r="I84" s="34"/>
      <c r="J84" s="34"/>
      <c r="K84" s="34"/>
      <c r="L84" s="34"/>
      <c r="M84" s="34"/>
      <c r="N84" s="34"/>
      <c r="O84" s="34"/>
      <c r="P84" s="34"/>
      <c r="Q84" s="34"/>
      <c r="R84" s="24"/>
      <c r="S84" s="24"/>
      <c r="T84" s="24"/>
      <c r="U84" s="24"/>
      <c r="V84" s="24"/>
      <c r="W84" s="24"/>
      <c r="X84" s="24"/>
      <c r="Y84" s="24"/>
      <c r="Z84" s="24"/>
      <c r="AA84" s="24"/>
      <c r="AB84" s="24"/>
      <c r="AC84" s="24" t="str">
        <f>IFERROR(__xludf.DUMMYFUNCTION("""COMPUTED_VALUE"""),"Glasgow")</f>
        <v>Glasgow</v>
      </c>
      <c r="AD84" s="24" t="str">
        <f>IFERROR(__xludf.DUMMYFUNCTION("""COMPUTED_VALUE"""),"GLA")</f>
        <v>GLA</v>
      </c>
      <c r="AE84" s="24" t="str">
        <f>IFERROR(__xludf.DUMMYFUNCTION("""COMPUTED_VALUE"""),"Glasgow International")</f>
        <v>Glasgow International</v>
      </c>
      <c r="AF84" s="24" t="str">
        <f>IFERROR(__xludf.DUMMYFUNCTION("""COMPUTED_VALUE"""),"United Kingdom")</f>
        <v>United Kingdom</v>
      </c>
      <c r="AG84" s="24"/>
      <c r="AH84" s="24"/>
      <c r="AI84" s="24"/>
      <c r="AJ84" s="24"/>
      <c r="AK84" s="24"/>
      <c r="AL84" s="24" t="str">
        <f>IFERROR(__xludf.DUMMYFUNCTION("""COMPUTED_VALUE"""),"Guettin")</f>
        <v>Guettin</v>
      </c>
      <c r="AM84" s="24" t="str">
        <f>IFERROR(__xludf.DUMMYFUNCTION("""COMPUTED_VALUE"""),"GTI")</f>
        <v>GTI</v>
      </c>
      <c r="AN84" s="24" t="str">
        <f>IFERROR(__xludf.DUMMYFUNCTION("""COMPUTED_VALUE"""),"Guettin")</f>
        <v>Guettin</v>
      </c>
      <c r="AO84" s="24" t="str">
        <f>IFERROR(__xludf.DUMMYFUNCTION("""COMPUTED_VALUE"""),"Germany")</f>
        <v>Germany</v>
      </c>
      <c r="AP84" s="24"/>
      <c r="AQ84" s="24"/>
      <c r="AR84" s="54"/>
    </row>
    <row r="85">
      <c r="A85" s="53"/>
      <c r="B85" s="34"/>
      <c r="C85" s="34"/>
      <c r="D85" s="34"/>
      <c r="E85" s="34"/>
      <c r="F85" s="34"/>
      <c r="G85" s="34"/>
      <c r="H85" s="34"/>
      <c r="I85" s="34"/>
      <c r="J85" s="34"/>
      <c r="K85" s="34"/>
      <c r="L85" s="34"/>
      <c r="M85" s="34"/>
      <c r="N85" s="34"/>
      <c r="O85" s="34"/>
      <c r="P85" s="34"/>
      <c r="Q85" s="34"/>
      <c r="R85" s="24"/>
      <c r="S85" s="24"/>
      <c r="T85" s="24"/>
      <c r="U85" s="24"/>
      <c r="V85" s="24"/>
      <c r="W85" s="24"/>
      <c r="X85" s="24"/>
      <c r="Y85" s="24"/>
      <c r="Z85" s="24"/>
      <c r="AA85" s="24"/>
      <c r="AB85" s="24"/>
      <c r="AC85" s="24" t="str">
        <f>IFERROR(__xludf.DUMMYFUNCTION("""COMPUTED_VALUE"""),"Glasgow")</f>
        <v>Glasgow</v>
      </c>
      <c r="AD85" s="24" t="str">
        <f>IFERROR(__xludf.DUMMYFUNCTION("""COMPUTED_VALUE"""),"PIK")</f>
        <v>PIK</v>
      </c>
      <c r="AE85" s="24" t="str">
        <f>IFERROR(__xludf.DUMMYFUNCTION("""COMPUTED_VALUE"""),"Prestwick")</f>
        <v>Prestwick</v>
      </c>
      <c r="AF85" s="24" t="str">
        <f>IFERROR(__xludf.DUMMYFUNCTION("""COMPUTED_VALUE"""),"United Kingdom")</f>
        <v>United Kingdom</v>
      </c>
      <c r="AG85" s="24"/>
      <c r="AH85" s="24"/>
      <c r="AI85" s="24"/>
      <c r="AJ85" s="24"/>
      <c r="AK85" s="24"/>
      <c r="AL85" s="24" t="str">
        <f>IFERROR(__xludf.DUMMYFUNCTION("""COMPUTED_VALUE"""),"Halle")</f>
        <v>Halle</v>
      </c>
      <c r="AM85" s="24" t="str">
        <f>IFERROR(__xludf.DUMMYFUNCTION("""COMPUTED_VALUE"""),"ZHZ")</f>
        <v>ZHZ</v>
      </c>
      <c r="AN85" s="24" t="str">
        <f>IFERROR(__xludf.DUMMYFUNCTION("""COMPUTED_VALUE"""),"Halle Railway")</f>
        <v>Halle Railway</v>
      </c>
      <c r="AO85" s="24" t="str">
        <f>IFERROR(__xludf.DUMMYFUNCTION("""COMPUTED_VALUE"""),"Germany")</f>
        <v>Germany</v>
      </c>
      <c r="AP85" s="24"/>
      <c r="AQ85" s="24"/>
      <c r="AR85" s="54"/>
    </row>
    <row r="86">
      <c r="A86" s="53"/>
      <c r="B86" s="34"/>
      <c r="C86" s="34"/>
      <c r="D86" s="34"/>
      <c r="E86" s="34"/>
      <c r="F86" s="34"/>
      <c r="G86" s="34"/>
      <c r="H86" s="34"/>
      <c r="I86" s="34"/>
      <c r="J86" s="34"/>
      <c r="K86" s="34"/>
      <c r="L86" s="34"/>
      <c r="M86" s="34"/>
      <c r="N86" s="34"/>
      <c r="O86" s="34"/>
      <c r="P86" s="34"/>
      <c r="Q86" s="34"/>
      <c r="R86" s="24"/>
      <c r="S86" s="24"/>
      <c r="T86" s="24"/>
      <c r="U86" s="24"/>
      <c r="V86" s="24"/>
      <c r="W86" s="24"/>
      <c r="X86" s="24"/>
      <c r="Y86" s="24"/>
      <c r="Z86" s="24"/>
      <c r="AA86" s="24"/>
      <c r="AB86" s="24"/>
      <c r="AC86" s="24" t="str">
        <f>IFERROR(__xludf.DUMMYFUNCTION("""COMPUTED_VALUE"""),"Glasgow")</f>
        <v>Glasgow</v>
      </c>
      <c r="AD86" s="24" t="str">
        <f>IFERROR(__xludf.DUMMYFUNCTION("""COMPUTED_VALUE"""),"ZGG")</f>
        <v>ZGG</v>
      </c>
      <c r="AE86" s="24" t="str">
        <f>IFERROR(__xludf.DUMMYFUNCTION("""COMPUTED_VALUE"""),"ScotRail")</f>
        <v>ScotRail</v>
      </c>
      <c r="AF86" s="24" t="str">
        <f>IFERROR(__xludf.DUMMYFUNCTION("""COMPUTED_VALUE"""),"United Kingdom")</f>
        <v>United Kingdom</v>
      </c>
      <c r="AG86" s="24"/>
      <c r="AH86" s="24"/>
      <c r="AI86" s="24"/>
      <c r="AJ86" s="24"/>
      <c r="AK86" s="24"/>
      <c r="AL86" s="24" t="str">
        <f>IFERROR(__xludf.DUMMYFUNCTION("""COMPUTED_VALUE"""),"Hamburg")</f>
        <v>Hamburg</v>
      </c>
      <c r="AM86" s="24" t="str">
        <f>IFERROR(__xludf.DUMMYFUNCTION("""COMPUTED_VALUE"""),"HAM")</f>
        <v>HAM</v>
      </c>
      <c r="AN86" s="24" t="str">
        <f>IFERROR(__xludf.DUMMYFUNCTION("""COMPUTED_VALUE"""),"Hamburg")</f>
        <v>Hamburg</v>
      </c>
      <c r="AO86" s="24" t="str">
        <f>IFERROR(__xludf.DUMMYFUNCTION("""COMPUTED_VALUE"""),"Germany")</f>
        <v>Germany</v>
      </c>
      <c r="AP86" s="24"/>
      <c r="AQ86" s="24"/>
      <c r="AR86" s="54"/>
    </row>
    <row r="87">
      <c r="A87" s="53"/>
      <c r="B87" s="34"/>
      <c r="C87" s="34"/>
      <c r="D87" s="34"/>
      <c r="E87" s="34"/>
      <c r="F87" s="34"/>
      <c r="G87" s="34"/>
      <c r="H87" s="34"/>
      <c r="I87" s="34"/>
      <c r="J87" s="34"/>
      <c r="K87" s="34"/>
      <c r="L87" s="34"/>
      <c r="M87" s="34"/>
      <c r="N87" s="34"/>
      <c r="O87" s="34"/>
      <c r="P87" s="34"/>
      <c r="Q87" s="34"/>
      <c r="R87" s="24"/>
      <c r="S87" s="24"/>
      <c r="T87" s="24"/>
      <c r="U87" s="24"/>
      <c r="V87" s="24"/>
      <c r="W87" s="24"/>
      <c r="X87" s="24"/>
      <c r="Y87" s="24"/>
      <c r="Z87" s="24"/>
      <c r="AA87" s="24"/>
      <c r="AB87" s="24"/>
      <c r="AC87" s="24" t="str">
        <f>IFERROR(__xludf.DUMMYFUNCTION("""COMPUTED_VALUE"""),"Gloucester")</f>
        <v>Gloucester</v>
      </c>
      <c r="AD87" s="24" t="str">
        <f>IFERROR(__xludf.DUMMYFUNCTION("""COMPUTED_VALUE"""),"GLO")</f>
        <v>GLO</v>
      </c>
      <c r="AE87" s="24" t="str">
        <f>IFERROR(__xludf.DUMMYFUNCTION("""COMPUTED_VALUE"""),"Gloucestershire")</f>
        <v>Gloucestershire</v>
      </c>
      <c r="AF87" s="24" t="str">
        <f>IFERROR(__xludf.DUMMYFUNCTION("""COMPUTED_VALUE"""),"United Kingdom")</f>
        <v>United Kingdom</v>
      </c>
      <c r="AG87" s="24"/>
      <c r="AH87" s="24"/>
      <c r="AI87" s="24"/>
      <c r="AJ87" s="24"/>
      <c r="AK87" s="24"/>
      <c r="AL87" s="24" t="str">
        <f>IFERROR(__xludf.DUMMYFUNCTION("""COMPUTED_VALUE"""),"Lübeck")</f>
        <v>Lübeck</v>
      </c>
      <c r="AM87" s="24" t="str">
        <f>IFERROR(__xludf.DUMMYFUNCTION("""COMPUTED_VALUE"""),"LBC")</f>
        <v>LBC</v>
      </c>
      <c r="AN87" s="24" t="str">
        <f>IFERROR(__xludf.DUMMYFUNCTION("""COMPUTED_VALUE"""),"Lübeck Blankensee")</f>
        <v>Lübeck Blankensee</v>
      </c>
      <c r="AO87" s="24" t="str">
        <f>IFERROR(__xludf.DUMMYFUNCTION("""COMPUTED_VALUE"""),"Germany")</f>
        <v>Germany</v>
      </c>
      <c r="AP87" s="24"/>
      <c r="AQ87" s="24"/>
      <c r="AR87" s="54"/>
    </row>
    <row r="88">
      <c r="A88" s="53"/>
      <c r="B88" s="34"/>
      <c r="C88" s="34"/>
      <c r="D88" s="34"/>
      <c r="E88" s="34"/>
      <c r="F88" s="34"/>
      <c r="G88" s="34"/>
      <c r="H88" s="34"/>
      <c r="I88" s="34"/>
      <c r="J88" s="34"/>
      <c r="K88" s="34"/>
      <c r="L88" s="34"/>
      <c r="M88" s="34"/>
      <c r="N88" s="34"/>
      <c r="O88" s="34"/>
      <c r="P88" s="34"/>
      <c r="Q88" s="34"/>
      <c r="R88" s="24"/>
      <c r="S88" s="24"/>
      <c r="T88" s="24"/>
      <c r="U88" s="24"/>
      <c r="V88" s="24"/>
      <c r="W88" s="24"/>
      <c r="X88" s="24"/>
      <c r="Y88" s="24"/>
      <c r="Z88" s="24"/>
      <c r="AA88" s="24"/>
      <c r="AB88" s="24"/>
      <c r="AC88" s="24" t="str">
        <f>IFERROR(__xludf.DUMMYFUNCTION("""COMPUTED_VALUE"""),"Grimsby")</f>
        <v>Grimsby</v>
      </c>
      <c r="AD88" s="24" t="str">
        <f>IFERROR(__xludf.DUMMYFUNCTION("""COMPUTED_VALUE"""),"GSY")</f>
        <v>GSY</v>
      </c>
      <c r="AE88" s="24" t="str">
        <f>IFERROR(__xludf.DUMMYFUNCTION("""COMPUTED_VALUE"""),"Binbrook")</f>
        <v>Binbrook</v>
      </c>
      <c r="AF88" s="24" t="str">
        <f>IFERROR(__xludf.DUMMYFUNCTION("""COMPUTED_VALUE"""),"United Kingdom")</f>
        <v>United Kingdom</v>
      </c>
      <c r="AG88" s="24"/>
      <c r="AH88" s="24"/>
      <c r="AI88" s="24"/>
      <c r="AJ88" s="24"/>
      <c r="AK88" s="24"/>
      <c r="AL88" s="24" t="str">
        <f>IFERROR(__xludf.DUMMYFUNCTION("""COMPUTED_VALUE"""),"Hanover")</f>
        <v>Hanover</v>
      </c>
      <c r="AM88" s="24" t="str">
        <f>IFERROR(__xludf.DUMMYFUNCTION("""COMPUTED_VALUE"""),"HAJ")</f>
        <v>HAJ</v>
      </c>
      <c r="AN88" s="24" t="str">
        <f>IFERROR(__xludf.DUMMYFUNCTION("""COMPUTED_VALUE"""),"Hanover Arpt")</f>
        <v>Hanover Arpt</v>
      </c>
      <c r="AO88" s="24" t="str">
        <f>IFERROR(__xludf.DUMMYFUNCTION("""COMPUTED_VALUE"""),"Germany")</f>
        <v>Germany</v>
      </c>
      <c r="AP88" s="24"/>
      <c r="AQ88" s="24"/>
      <c r="AR88" s="54"/>
    </row>
    <row r="89">
      <c r="A89" s="53"/>
      <c r="B89" s="34"/>
      <c r="C89" s="34"/>
      <c r="D89" s="34"/>
      <c r="E89" s="34"/>
      <c r="F89" s="34"/>
      <c r="G89" s="34"/>
      <c r="H89" s="34"/>
      <c r="I89" s="34"/>
      <c r="J89" s="34"/>
      <c r="K89" s="34"/>
      <c r="L89" s="34"/>
      <c r="M89" s="34"/>
      <c r="N89" s="34"/>
      <c r="O89" s="34"/>
      <c r="P89" s="34"/>
      <c r="Q89" s="34"/>
      <c r="R89" s="24"/>
      <c r="S89" s="24"/>
      <c r="T89" s="24"/>
      <c r="U89" s="24"/>
      <c r="V89" s="24"/>
      <c r="W89" s="24"/>
      <c r="X89" s="24"/>
      <c r="Y89" s="24"/>
      <c r="Z89" s="24"/>
      <c r="AA89" s="24"/>
      <c r="AB89" s="24"/>
      <c r="AC89" s="24" t="str">
        <f>IFERROR(__xludf.DUMMYFUNCTION("""COMPUTED_VALUE"""),"Guernsey")</f>
        <v>Guernsey</v>
      </c>
      <c r="AD89" s="24" t="str">
        <f>IFERROR(__xludf.DUMMYFUNCTION("""COMPUTED_VALUE"""),"GCI")</f>
        <v>GCI</v>
      </c>
      <c r="AE89" s="24" t="str">
        <f>IFERROR(__xludf.DUMMYFUNCTION("""COMPUTED_VALUE"""),"Guernsey")</f>
        <v>Guernsey</v>
      </c>
      <c r="AF89" s="24" t="str">
        <f>IFERROR(__xludf.DUMMYFUNCTION("""COMPUTED_VALUE"""),"United Kingdom")</f>
        <v>United Kingdom</v>
      </c>
      <c r="AG89" s="24"/>
      <c r="AH89" s="24"/>
      <c r="AI89" s="24"/>
      <c r="AJ89" s="24"/>
      <c r="AK89" s="24"/>
      <c r="AL89" s="24" t="str">
        <f>IFERROR(__xludf.DUMMYFUNCTION("""COMPUTED_VALUE"""),"Hanover")</f>
        <v>Hanover</v>
      </c>
      <c r="AM89" s="24" t="str">
        <f>IFERROR(__xludf.DUMMYFUNCTION("""COMPUTED_VALUE"""),"ZVR")</f>
        <v>ZVR</v>
      </c>
      <c r="AN89" s="24" t="str">
        <f>IFERROR(__xludf.DUMMYFUNCTION("""COMPUTED_VALUE"""),"Hanover Railway")</f>
        <v>Hanover Railway</v>
      </c>
      <c r="AO89" s="24" t="str">
        <f>IFERROR(__xludf.DUMMYFUNCTION("""COMPUTED_VALUE"""),"Germany")</f>
        <v>Germany</v>
      </c>
      <c r="AP89" s="24"/>
      <c r="AQ89" s="24"/>
      <c r="AR89" s="54"/>
    </row>
    <row r="90">
      <c r="A90" s="53"/>
      <c r="B90" s="34"/>
      <c r="C90" s="34"/>
      <c r="D90" s="34"/>
      <c r="E90" s="34"/>
      <c r="F90" s="34"/>
      <c r="G90" s="34"/>
      <c r="H90" s="34"/>
      <c r="I90" s="34"/>
      <c r="J90" s="34"/>
      <c r="K90" s="34"/>
      <c r="L90" s="34"/>
      <c r="M90" s="34"/>
      <c r="N90" s="34"/>
      <c r="O90" s="34"/>
      <c r="P90" s="34"/>
      <c r="Q90" s="34"/>
      <c r="R90" s="24"/>
      <c r="S90" s="24"/>
      <c r="T90" s="24"/>
      <c r="U90" s="24"/>
      <c r="V90" s="24"/>
      <c r="W90" s="24"/>
      <c r="X90" s="24"/>
      <c r="Y90" s="24"/>
      <c r="Z90" s="24"/>
      <c r="AA90" s="24"/>
      <c r="AB90" s="24"/>
      <c r="AC90" s="24" t="str">
        <f>IFERROR(__xludf.DUMMYFUNCTION("""COMPUTED_VALUE"""),"Hammersmith")</f>
        <v>Hammersmith</v>
      </c>
      <c r="AD90" s="24" t="str">
        <f>IFERROR(__xludf.DUMMYFUNCTION("""COMPUTED_VALUE"""),"WUK")</f>
        <v>WUK</v>
      </c>
      <c r="AE90" s="24" t="str">
        <f>IFERROR(__xludf.DUMMYFUNCTION("""COMPUTED_VALUE"""),"Off Line Point")</f>
        <v>Off Line Point</v>
      </c>
      <c r="AF90" s="24" t="str">
        <f>IFERROR(__xludf.DUMMYFUNCTION("""COMPUTED_VALUE"""),"United Kingdom")</f>
        <v>United Kingdom</v>
      </c>
      <c r="AG90" s="24"/>
      <c r="AH90" s="24"/>
      <c r="AI90" s="24"/>
      <c r="AJ90" s="24"/>
      <c r="AK90" s="24"/>
      <c r="AL90" s="24" t="str">
        <f>IFERROR(__xludf.DUMMYFUNCTION("""COMPUTED_VALUE"""),"Hanover")</f>
        <v>Hanover</v>
      </c>
      <c r="AM90" s="24" t="str">
        <f>IFERROR(__xludf.DUMMYFUNCTION("""COMPUTED_VALUE"""),"ZVM")</f>
        <v>ZVM</v>
      </c>
      <c r="AN90" s="24" t="str">
        <f>IFERROR(__xludf.DUMMYFUNCTION("""COMPUTED_VALUE"""),"Messe-BF Railway Servi")</f>
        <v>Messe-BF Railway Servi</v>
      </c>
      <c r="AO90" s="24" t="str">
        <f>IFERROR(__xludf.DUMMYFUNCTION("""COMPUTED_VALUE"""),"Germany")</f>
        <v>Germany</v>
      </c>
      <c r="AP90" s="24"/>
      <c r="AQ90" s="24"/>
      <c r="AR90" s="54"/>
    </row>
    <row r="91">
      <c r="A91" s="53"/>
      <c r="B91" s="34"/>
      <c r="C91" s="34"/>
      <c r="D91" s="34"/>
      <c r="E91" s="34"/>
      <c r="F91" s="34"/>
      <c r="G91" s="34"/>
      <c r="H91" s="34"/>
      <c r="I91" s="34"/>
      <c r="J91" s="34"/>
      <c r="K91" s="34"/>
      <c r="L91" s="34"/>
      <c r="M91" s="34"/>
      <c r="N91" s="34"/>
      <c r="O91" s="34"/>
      <c r="P91" s="34"/>
      <c r="Q91" s="34"/>
      <c r="R91" s="24"/>
      <c r="S91" s="24"/>
      <c r="T91" s="24"/>
      <c r="U91" s="24"/>
      <c r="V91" s="24"/>
      <c r="W91" s="24"/>
      <c r="X91" s="24"/>
      <c r="Y91" s="24"/>
      <c r="Z91" s="24"/>
      <c r="AA91" s="24"/>
      <c r="AB91" s="24"/>
      <c r="AC91" s="24" t="str">
        <f>IFERROR(__xludf.DUMMYFUNCTION("""COMPUTED_VALUE"""),"Harrogate")</f>
        <v>Harrogate</v>
      </c>
      <c r="AD91" s="24" t="str">
        <f>IFERROR(__xludf.DUMMYFUNCTION("""COMPUTED_VALUE"""),"HRT")</f>
        <v>HRT</v>
      </c>
      <c r="AE91" s="24" t="str">
        <f>IFERROR(__xludf.DUMMYFUNCTION("""COMPUTED_VALUE"""),"Linton-On-Ouse")</f>
        <v>Linton-On-Ouse</v>
      </c>
      <c r="AF91" s="24" t="str">
        <f>IFERROR(__xludf.DUMMYFUNCTION("""COMPUTED_VALUE"""),"United Kingdom")</f>
        <v>United Kingdom</v>
      </c>
      <c r="AG91" s="24"/>
      <c r="AH91" s="24"/>
      <c r="AI91" s="24"/>
      <c r="AJ91" s="24"/>
      <c r="AK91" s="24"/>
      <c r="AL91" s="24" t="str">
        <f>IFERROR(__xludf.DUMMYFUNCTION("""COMPUTED_VALUE"""),"Heide-Buesum")</f>
        <v>Heide-Buesum</v>
      </c>
      <c r="AM91" s="24" t="str">
        <f>IFERROR(__xludf.DUMMYFUNCTION("""COMPUTED_VALUE"""),"HEI")</f>
        <v>HEI</v>
      </c>
      <c r="AN91" s="24" t="str">
        <f>IFERROR(__xludf.DUMMYFUNCTION("""COMPUTED_VALUE"""),"Heide-Buesum")</f>
        <v>Heide-Buesum</v>
      </c>
      <c r="AO91" s="24" t="str">
        <f>IFERROR(__xludf.DUMMYFUNCTION("""COMPUTED_VALUE"""),"Germany")</f>
        <v>Germany</v>
      </c>
      <c r="AP91" s="24"/>
      <c r="AQ91" s="24"/>
      <c r="AR91" s="54"/>
    </row>
    <row r="92">
      <c r="A92" s="53"/>
      <c r="B92" s="34"/>
      <c r="C92" s="34"/>
      <c r="D92" s="34"/>
      <c r="E92" s="34"/>
      <c r="F92" s="34"/>
      <c r="G92" s="34"/>
      <c r="H92" s="34"/>
      <c r="I92" s="34"/>
      <c r="J92" s="34"/>
      <c r="K92" s="34"/>
      <c r="L92" s="34"/>
      <c r="M92" s="34"/>
      <c r="N92" s="34"/>
      <c r="O92" s="34"/>
      <c r="P92" s="34"/>
      <c r="Q92" s="34"/>
      <c r="R92" s="24"/>
      <c r="S92" s="24"/>
      <c r="T92" s="24"/>
      <c r="U92" s="24"/>
      <c r="V92" s="24"/>
      <c r="W92" s="24"/>
      <c r="X92" s="24"/>
      <c r="Y92" s="24"/>
      <c r="Z92" s="24"/>
      <c r="AA92" s="24"/>
      <c r="AB92" s="24"/>
      <c r="AC92" s="24" t="str">
        <f>IFERROR(__xludf.DUMMYFUNCTION("""COMPUTED_VALUE"""),"Hatfield")</f>
        <v>Hatfield</v>
      </c>
      <c r="AD92" s="24" t="str">
        <f>IFERROR(__xludf.DUMMYFUNCTION("""COMPUTED_VALUE"""),"HTF")</f>
        <v>HTF</v>
      </c>
      <c r="AE92" s="24" t="str">
        <f>IFERROR(__xludf.DUMMYFUNCTION("""COMPUTED_VALUE"""),"Hatfield")</f>
        <v>Hatfield</v>
      </c>
      <c r="AF92" s="24" t="str">
        <f>IFERROR(__xludf.DUMMYFUNCTION("""COMPUTED_VALUE"""),"United Kingdom")</f>
        <v>United Kingdom</v>
      </c>
      <c r="AG92" s="24"/>
      <c r="AH92" s="24"/>
      <c r="AI92" s="24"/>
      <c r="AJ92" s="24"/>
      <c r="AK92" s="24"/>
      <c r="AL92" s="24" t="str">
        <f>IFERROR(__xludf.DUMMYFUNCTION("""COMPUTED_VALUE"""),"Heidelberg")</f>
        <v>Heidelberg</v>
      </c>
      <c r="AM92" s="24" t="str">
        <f>IFERROR(__xludf.DUMMYFUNCTION("""COMPUTED_VALUE"""),"HDB")</f>
        <v>HDB</v>
      </c>
      <c r="AN92" s="24" t="str">
        <f>IFERROR(__xludf.DUMMYFUNCTION("""COMPUTED_VALUE"""),"Heidelberg")</f>
        <v>Heidelberg</v>
      </c>
      <c r="AO92" s="24" t="str">
        <f>IFERROR(__xludf.DUMMYFUNCTION("""COMPUTED_VALUE"""),"Germany")</f>
        <v>Germany</v>
      </c>
      <c r="AP92" s="24"/>
      <c r="AQ92" s="24"/>
      <c r="AR92" s="54"/>
    </row>
    <row r="93">
      <c r="A93" s="53"/>
      <c r="B93" s="34"/>
      <c r="C93" s="34"/>
      <c r="D93" s="34"/>
      <c r="E93" s="34"/>
      <c r="F93" s="34"/>
      <c r="G93" s="34"/>
      <c r="H93" s="34"/>
      <c r="I93" s="34"/>
      <c r="J93" s="34"/>
      <c r="K93" s="34"/>
      <c r="L93" s="34"/>
      <c r="M93" s="34"/>
      <c r="N93" s="34"/>
      <c r="O93" s="34"/>
      <c r="P93" s="34"/>
      <c r="Q93" s="34"/>
      <c r="R93" s="24"/>
      <c r="S93" s="24"/>
      <c r="T93" s="24"/>
      <c r="U93" s="24"/>
      <c r="V93" s="24"/>
      <c r="W93" s="24"/>
      <c r="X93" s="24"/>
      <c r="Y93" s="24"/>
      <c r="Z93" s="24"/>
      <c r="AA93" s="24"/>
      <c r="AB93" s="24"/>
      <c r="AC93" s="24" t="str">
        <f>IFERROR(__xludf.DUMMYFUNCTION("""COMPUTED_VALUE"""),"Haverfordwest")</f>
        <v>Haverfordwest</v>
      </c>
      <c r="AD93" s="24" t="str">
        <f>IFERROR(__xludf.DUMMYFUNCTION("""COMPUTED_VALUE"""),"HAW")</f>
        <v>HAW</v>
      </c>
      <c r="AE93" s="24" t="str">
        <f>IFERROR(__xludf.DUMMYFUNCTION("""COMPUTED_VALUE"""),"Haverfordwest")</f>
        <v>Haverfordwest</v>
      </c>
      <c r="AF93" s="24" t="str">
        <f>IFERROR(__xludf.DUMMYFUNCTION("""COMPUTED_VALUE"""),"United Kingdom")</f>
        <v>United Kingdom</v>
      </c>
      <c r="AG93" s="24"/>
      <c r="AH93" s="24"/>
      <c r="AI93" s="24"/>
      <c r="AJ93" s="24"/>
      <c r="AK93" s="24"/>
      <c r="AL93" s="24" t="str">
        <f>IFERROR(__xludf.DUMMYFUNCTION("""COMPUTED_VALUE"""),"Helgoland")</f>
        <v>Helgoland</v>
      </c>
      <c r="AM93" s="24" t="str">
        <f>IFERROR(__xludf.DUMMYFUNCTION("""COMPUTED_VALUE"""),"HGL")</f>
        <v>HGL</v>
      </c>
      <c r="AN93" s="24" t="str">
        <f>IFERROR(__xludf.DUMMYFUNCTION("""COMPUTED_VALUE"""),"Helgoland")</f>
        <v>Helgoland</v>
      </c>
      <c r="AO93" s="24" t="str">
        <f>IFERROR(__xludf.DUMMYFUNCTION("""COMPUTED_VALUE"""),"Germany")</f>
        <v>Germany</v>
      </c>
      <c r="AP93" s="24"/>
      <c r="AQ93" s="24"/>
      <c r="AR93" s="54"/>
    </row>
    <row r="94">
      <c r="A94" s="53"/>
      <c r="B94" s="34"/>
      <c r="C94" s="34"/>
      <c r="D94" s="34"/>
      <c r="E94" s="34"/>
      <c r="F94" s="34"/>
      <c r="G94" s="34"/>
      <c r="H94" s="34"/>
      <c r="I94" s="34"/>
      <c r="J94" s="34"/>
      <c r="K94" s="34"/>
      <c r="L94" s="34"/>
      <c r="M94" s="34"/>
      <c r="N94" s="34"/>
      <c r="O94" s="34"/>
      <c r="P94" s="34"/>
      <c r="Q94" s="34"/>
      <c r="R94" s="24"/>
      <c r="S94" s="24"/>
      <c r="T94" s="24"/>
      <c r="U94" s="24"/>
      <c r="V94" s="24"/>
      <c r="W94" s="24"/>
      <c r="X94" s="24"/>
      <c r="Y94" s="24"/>
      <c r="Z94" s="24"/>
      <c r="AA94" s="24"/>
      <c r="AB94" s="24"/>
      <c r="AC94" s="24" t="str">
        <f>IFERROR(__xludf.DUMMYFUNCTION("""COMPUTED_VALUE"""),"High Wycombe")</f>
        <v>High Wycombe</v>
      </c>
      <c r="AD94" s="24" t="str">
        <f>IFERROR(__xludf.DUMMYFUNCTION("""COMPUTED_VALUE"""),"HYC")</f>
        <v>HYC</v>
      </c>
      <c r="AE94" s="24" t="str">
        <f>IFERROR(__xludf.DUMMYFUNCTION("""COMPUTED_VALUE"""),"High Wycombe")</f>
        <v>High Wycombe</v>
      </c>
      <c r="AF94" s="24" t="str">
        <f>IFERROR(__xludf.DUMMYFUNCTION("""COMPUTED_VALUE"""),"United Kingdom")</f>
        <v>United Kingdom</v>
      </c>
      <c r="AG94" s="24"/>
      <c r="AH94" s="24"/>
      <c r="AI94" s="24"/>
      <c r="AJ94" s="24"/>
      <c r="AK94" s="24"/>
      <c r="AL94" s="24" t="str">
        <f>IFERROR(__xludf.DUMMYFUNCTION("""COMPUTED_VALUE"""),"Heringsdorf")</f>
        <v>Heringsdorf</v>
      </c>
      <c r="AM94" s="24" t="str">
        <f>IFERROR(__xludf.DUMMYFUNCTION("""COMPUTED_VALUE"""),"HDF")</f>
        <v>HDF</v>
      </c>
      <c r="AN94" s="24" t="str">
        <f>IFERROR(__xludf.DUMMYFUNCTION("""COMPUTED_VALUE"""),"Heringsdorf")</f>
        <v>Heringsdorf</v>
      </c>
      <c r="AO94" s="24" t="str">
        <f>IFERROR(__xludf.DUMMYFUNCTION("""COMPUTED_VALUE"""),"Germany")</f>
        <v>Germany</v>
      </c>
      <c r="AP94" s="24"/>
      <c r="AQ94" s="24"/>
      <c r="AR94" s="54"/>
    </row>
    <row r="95">
      <c r="A95" s="53"/>
      <c r="B95" s="34"/>
      <c r="C95" s="34"/>
      <c r="D95" s="34"/>
      <c r="E95" s="34"/>
      <c r="F95" s="34"/>
      <c r="G95" s="34"/>
      <c r="H95" s="34"/>
      <c r="I95" s="34"/>
      <c r="J95" s="34"/>
      <c r="K95" s="34"/>
      <c r="L95" s="34"/>
      <c r="M95" s="34"/>
      <c r="N95" s="34"/>
      <c r="O95" s="34"/>
      <c r="P95" s="34"/>
      <c r="Q95" s="34"/>
      <c r="R95" s="24"/>
      <c r="S95" s="24"/>
      <c r="T95" s="24"/>
      <c r="U95" s="24"/>
      <c r="V95" s="24"/>
      <c r="W95" s="24"/>
      <c r="X95" s="24"/>
      <c r="Y95" s="24"/>
      <c r="Z95" s="24"/>
      <c r="AA95" s="24"/>
      <c r="AB95" s="24"/>
      <c r="AC95" s="24" t="str">
        <f>IFERROR(__xludf.DUMMYFUNCTION("""COMPUTED_VALUE"""),"Holyhead")</f>
        <v>Holyhead</v>
      </c>
      <c r="AD95" s="24" t="str">
        <f>IFERROR(__xludf.DUMMYFUNCTION("""COMPUTED_VALUE"""),"HLY")</f>
        <v>HLY</v>
      </c>
      <c r="AE95" s="24" t="str">
        <f>IFERROR(__xludf.DUMMYFUNCTION("""COMPUTED_VALUE"""),"Holyhead")</f>
        <v>Holyhead</v>
      </c>
      <c r="AF95" s="24" t="str">
        <f>IFERROR(__xludf.DUMMYFUNCTION("""COMPUTED_VALUE"""),"United Kingdom")</f>
        <v>United Kingdom</v>
      </c>
      <c r="AG95" s="24"/>
      <c r="AH95" s="24"/>
      <c r="AI95" s="24"/>
      <c r="AJ95" s="24"/>
      <c r="AK95" s="24"/>
      <c r="AL95" s="24" t="str">
        <f>IFERROR(__xludf.DUMMYFUNCTION("""COMPUTED_VALUE"""),"Hof")</f>
        <v>Hof</v>
      </c>
      <c r="AM95" s="24" t="str">
        <f>IFERROR(__xludf.DUMMYFUNCTION("""COMPUTED_VALUE"""),"HOQ")</f>
        <v>HOQ</v>
      </c>
      <c r="AN95" s="24" t="str">
        <f>IFERROR(__xludf.DUMMYFUNCTION("""COMPUTED_VALUE"""),"Hof")</f>
        <v>Hof</v>
      </c>
      <c r="AO95" s="24" t="str">
        <f>IFERROR(__xludf.DUMMYFUNCTION("""COMPUTED_VALUE"""),"Germany")</f>
        <v>Germany</v>
      </c>
      <c r="AP95" s="24"/>
      <c r="AQ95" s="24"/>
      <c r="AR95" s="54"/>
    </row>
    <row r="96">
      <c r="A96" s="53"/>
      <c r="B96" s="34"/>
      <c r="C96" s="34"/>
      <c r="D96" s="34"/>
      <c r="E96" s="34"/>
      <c r="F96" s="34"/>
      <c r="G96" s="34"/>
      <c r="H96" s="34"/>
      <c r="I96" s="34"/>
      <c r="J96" s="34"/>
      <c r="K96" s="34"/>
      <c r="L96" s="34"/>
      <c r="M96" s="34"/>
      <c r="N96" s="34"/>
      <c r="O96" s="34"/>
      <c r="P96" s="34"/>
      <c r="Q96" s="34"/>
      <c r="R96" s="24"/>
      <c r="S96" s="24"/>
      <c r="T96" s="24"/>
      <c r="U96" s="24"/>
      <c r="V96" s="24"/>
      <c r="W96" s="24"/>
      <c r="X96" s="24"/>
      <c r="Y96" s="24"/>
      <c r="Z96" s="24"/>
      <c r="AA96" s="24"/>
      <c r="AB96" s="24"/>
      <c r="AC96" s="24" t="str">
        <f>IFERROR(__xludf.DUMMYFUNCTION("""COMPUTED_VALUE"""),"Hoy Island")</f>
        <v>Hoy Island</v>
      </c>
      <c r="AD96" s="24" t="str">
        <f>IFERROR(__xludf.DUMMYFUNCTION("""COMPUTED_VALUE"""),"HOY")</f>
        <v>HOY</v>
      </c>
      <c r="AE96" s="24" t="str">
        <f>IFERROR(__xludf.DUMMYFUNCTION("""COMPUTED_VALUE"""),"Hoy Island")</f>
        <v>Hoy Island</v>
      </c>
      <c r="AF96" s="24" t="str">
        <f>IFERROR(__xludf.DUMMYFUNCTION("""COMPUTED_VALUE"""),"United Kingdom")</f>
        <v>United Kingdom</v>
      </c>
      <c r="AG96" s="24"/>
      <c r="AH96" s="24"/>
      <c r="AI96" s="24"/>
      <c r="AJ96" s="24"/>
      <c r="AK96" s="24"/>
      <c r="AL96" s="24" t="str">
        <f>IFERROR(__xludf.DUMMYFUNCTION("""COMPUTED_VALUE"""),"Husum")</f>
        <v>Husum</v>
      </c>
      <c r="AM96" s="24" t="str">
        <f>IFERROR(__xludf.DUMMYFUNCTION("""COMPUTED_VALUE"""),"QHU")</f>
        <v>QHU</v>
      </c>
      <c r="AN96" s="24" t="str">
        <f>IFERROR(__xludf.DUMMYFUNCTION("""COMPUTED_VALUE"""),"Husum")</f>
        <v>Husum</v>
      </c>
      <c r="AO96" s="24" t="str">
        <f>IFERROR(__xludf.DUMMYFUNCTION("""COMPUTED_VALUE"""),"Germany")</f>
        <v>Germany</v>
      </c>
      <c r="AP96" s="24"/>
      <c r="AQ96" s="24"/>
      <c r="AR96" s="54"/>
    </row>
    <row r="97">
      <c r="A97" s="53"/>
      <c r="B97" s="34"/>
      <c r="C97" s="34"/>
      <c r="D97" s="34"/>
      <c r="E97" s="34"/>
      <c r="F97" s="34"/>
      <c r="G97" s="34"/>
      <c r="H97" s="34"/>
      <c r="I97" s="34"/>
      <c r="J97" s="34"/>
      <c r="K97" s="34"/>
      <c r="L97" s="34"/>
      <c r="M97" s="34"/>
      <c r="N97" s="34"/>
      <c r="O97" s="34"/>
      <c r="P97" s="34"/>
      <c r="Q97" s="34"/>
      <c r="R97" s="24"/>
      <c r="S97" s="24"/>
      <c r="T97" s="24"/>
      <c r="U97" s="24"/>
      <c r="V97" s="24"/>
      <c r="W97" s="24"/>
      <c r="X97" s="24"/>
      <c r="Y97" s="24"/>
      <c r="Z97" s="24"/>
      <c r="AA97" s="24"/>
      <c r="AB97" s="24"/>
      <c r="AC97" s="24" t="str">
        <f>IFERROR(__xludf.DUMMYFUNCTION("""COMPUTED_VALUE"""),"Humberside")</f>
        <v>Humberside</v>
      </c>
      <c r="AD97" s="24" t="str">
        <f>IFERROR(__xludf.DUMMYFUNCTION("""COMPUTED_VALUE"""),"HUY")</f>
        <v>HUY</v>
      </c>
      <c r="AE97" s="24" t="str">
        <f>IFERROR(__xludf.DUMMYFUNCTION("""COMPUTED_VALUE"""),"Humberside Arpt")</f>
        <v>Humberside Arpt</v>
      </c>
      <c r="AF97" s="24" t="str">
        <f>IFERROR(__xludf.DUMMYFUNCTION("""COMPUTED_VALUE"""),"United Kingdom")</f>
        <v>United Kingdom</v>
      </c>
      <c r="AG97" s="24"/>
      <c r="AH97" s="24"/>
      <c r="AI97" s="24"/>
      <c r="AJ97" s="24"/>
      <c r="AK97" s="24"/>
      <c r="AL97" s="24" t="str">
        <f>IFERROR(__xludf.DUMMYFUNCTION("""COMPUTED_VALUE"""),"Illisheim")</f>
        <v>Illisheim</v>
      </c>
      <c r="AM97" s="24" t="str">
        <f>IFERROR(__xludf.DUMMYFUNCTION("""COMPUTED_VALUE"""),"ILH")</f>
        <v>ILH</v>
      </c>
      <c r="AN97" s="24" t="str">
        <f>IFERROR(__xludf.DUMMYFUNCTION("""COMPUTED_VALUE"""),"Illis Airbase")</f>
        <v>Illis Airbase</v>
      </c>
      <c r="AO97" s="24" t="str">
        <f>IFERROR(__xludf.DUMMYFUNCTION("""COMPUTED_VALUE"""),"Germany")</f>
        <v>Germany</v>
      </c>
      <c r="AP97" s="24"/>
      <c r="AQ97" s="24"/>
      <c r="AR97" s="54"/>
    </row>
    <row r="98">
      <c r="A98" s="53"/>
      <c r="B98" s="34"/>
      <c r="C98" s="34"/>
      <c r="D98" s="34"/>
      <c r="E98" s="34"/>
      <c r="F98" s="34"/>
      <c r="G98" s="34"/>
      <c r="H98" s="34"/>
      <c r="I98" s="34"/>
      <c r="J98" s="34"/>
      <c r="K98" s="34"/>
      <c r="L98" s="34"/>
      <c r="M98" s="34"/>
      <c r="N98" s="34"/>
      <c r="O98" s="34"/>
      <c r="P98" s="34"/>
      <c r="Q98" s="34"/>
      <c r="R98" s="24"/>
      <c r="S98" s="24"/>
      <c r="T98" s="24"/>
      <c r="U98" s="24"/>
      <c r="V98" s="24"/>
      <c r="W98" s="24"/>
      <c r="X98" s="24"/>
      <c r="Y98" s="24"/>
      <c r="Z98" s="24"/>
      <c r="AA98" s="24"/>
      <c r="AB98" s="24"/>
      <c r="AC98" s="24" t="str">
        <f>IFERROR(__xludf.DUMMYFUNCTION("""COMPUTED_VALUE"""),"Inverness")</f>
        <v>Inverness</v>
      </c>
      <c r="AD98" s="24" t="str">
        <f>IFERROR(__xludf.DUMMYFUNCTION("""COMPUTED_VALUE"""),"INV")</f>
        <v>INV</v>
      </c>
      <c r="AE98" s="24" t="str">
        <f>IFERROR(__xludf.DUMMYFUNCTION("""COMPUTED_VALUE"""),"Inverness")</f>
        <v>Inverness</v>
      </c>
      <c r="AF98" s="24" t="str">
        <f>IFERROR(__xludf.DUMMYFUNCTION("""COMPUTED_VALUE"""),"United Kingdom")</f>
        <v>United Kingdom</v>
      </c>
      <c r="AG98" s="24"/>
      <c r="AH98" s="24"/>
      <c r="AI98" s="24"/>
      <c r="AJ98" s="24"/>
      <c r="AK98" s="24"/>
      <c r="AL98" s="24" t="str">
        <f>IFERROR(__xludf.DUMMYFUNCTION("""COMPUTED_VALUE"""),"Ingolstadt-Manching")</f>
        <v>Ingolstadt-Manching</v>
      </c>
      <c r="AM98" s="24" t="str">
        <f>IFERROR(__xludf.DUMMYFUNCTION("""COMPUTED_VALUE"""),"IGS")</f>
        <v>IGS</v>
      </c>
      <c r="AN98" s="24" t="str">
        <f>IFERROR(__xludf.DUMMYFUNCTION("""COMPUTED_VALUE"""),"Ingolstadt-Manching")</f>
        <v>Ingolstadt-Manching</v>
      </c>
      <c r="AO98" s="24" t="str">
        <f>IFERROR(__xludf.DUMMYFUNCTION("""COMPUTED_VALUE"""),"Germany")</f>
        <v>Germany</v>
      </c>
      <c r="AP98" s="24"/>
      <c r="AQ98" s="24"/>
      <c r="AR98" s="54"/>
    </row>
    <row r="99">
      <c r="A99" s="53"/>
      <c r="B99" s="34"/>
      <c r="C99" s="34"/>
      <c r="H99" s="34"/>
      <c r="I99" s="34"/>
      <c r="J99" s="34"/>
      <c r="K99" s="34"/>
      <c r="L99" s="34"/>
      <c r="M99" s="34"/>
      <c r="N99" s="34"/>
      <c r="O99" s="34"/>
      <c r="P99" s="34"/>
      <c r="Q99" s="34"/>
      <c r="R99" s="24"/>
      <c r="S99" s="24"/>
      <c r="T99" s="24"/>
      <c r="U99" s="24"/>
      <c r="V99" s="24"/>
      <c r="W99" s="24"/>
      <c r="X99" s="24"/>
      <c r="Y99" s="24"/>
      <c r="Z99" s="24"/>
      <c r="AA99" s="24"/>
      <c r="AB99" s="24"/>
      <c r="AC99" s="24" t="str">
        <f>IFERROR(__xludf.DUMMYFUNCTION("""COMPUTED_VALUE"""),"Inverness")</f>
        <v>Inverness</v>
      </c>
      <c r="AD99" s="24" t="str">
        <f>IFERROR(__xludf.DUMMYFUNCTION("""COMPUTED_VALUE"""),"ZIV")</f>
        <v>ZIV</v>
      </c>
      <c r="AE99" s="24" t="str">
        <f>IFERROR(__xludf.DUMMYFUNCTION("""COMPUTED_VALUE"""),"ScotRail")</f>
        <v>ScotRail</v>
      </c>
      <c r="AF99" s="24" t="str">
        <f>IFERROR(__xludf.DUMMYFUNCTION("""COMPUTED_VALUE"""),"United Kingdom")</f>
        <v>United Kingdom</v>
      </c>
      <c r="AG99" s="24"/>
      <c r="AH99" s="24"/>
      <c r="AI99" s="24"/>
      <c r="AJ99" s="24"/>
      <c r="AK99" s="24"/>
      <c r="AL99" s="24" t="str">
        <f>IFERROR(__xludf.DUMMYFUNCTION("""COMPUTED_VALUE"""),"Jena")</f>
        <v>Jena</v>
      </c>
      <c r="AM99" s="24" t="str">
        <f>IFERROR(__xludf.DUMMYFUNCTION("""COMPUTED_VALUE"""),"ZJS")</f>
        <v>ZJS</v>
      </c>
      <c r="AN99" s="24" t="str">
        <f>IFERROR(__xludf.DUMMYFUNCTION("""COMPUTED_VALUE"""),"Jena Railway")</f>
        <v>Jena Railway</v>
      </c>
      <c r="AO99" s="24" t="str">
        <f>IFERROR(__xludf.DUMMYFUNCTION("""COMPUTED_VALUE"""),"Germany")</f>
        <v>Germany</v>
      </c>
      <c r="AP99" s="24"/>
      <c r="AQ99" s="24"/>
      <c r="AR99" s="20"/>
    </row>
    <row r="100">
      <c r="A100" s="53"/>
      <c r="B100" s="34"/>
      <c r="C100" s="34"/>
      <c r="H100" s="34"/>
      <c r="I100" s="34"/>
      <c r="J100" s="34"/>
      <c r="K100" s="34"/>
      <c r="L100" s="34"/>
      <c r="M100" s="34"/>
      <c r="N100" s="34"/>
      <c r="O100" s="34"/>
      <c r="P100" s="34"/>
      <c r="Q100" s="34"/>
      <c r="R100" s="24"/>
      <c r="S100" s="24"/>
      <c r="T100" s="24"/>
      <c r="U100" s="24"/>
      <c r="V100" s="24"/>
      <c r="W100" s="24"/>
      <c r="X100" s="24"/>
      <c r="Y100" s="24"/>
      <c r="Z100" s="24"/>
      <c r="AA100" s="24"/>
      <c r="AB100" s="24"/>
      <c r="AC100" s="24" t="str">
        <f>IFERROR(__xludf.DUMMYFUNCTION("""COMPUTED_VALUE"""),"Ipswich")</f>
        <v>Ipswich</v>
      </c>
      <c r="AD100" s="24" t="str">
        <f>IFERROR(__xludf.DUMMYFUNCTION("""COMPUTED_VALUE"""),"IPW")</f>
        <v>IPW</v>
      </c>
      <c r="AE100" s="24" t="str">
        <f>IFERROR(__xludf.DUMMYFUNCTION("""COMPUTED_VALUE"""),"Ipswich (Closed)")</f>
        <v>Ipswich (Closed)</v>
      </c>
      <c r="AF100" s="24" t="str">
        <f>IFERROR(__xludf.DUMMYFUNCTION("""COMPUTED_VALUE"""),"United Kingdom")</f>
        <v>United Kingdom</v>
      </c>
      <c r="AG100" s="24"/>
      <c r="AH100" s="24"/>
      <c r="AI100" s="24"/>
      <c r="AJ100" s="24"/>
      <c r="AK100" s="24"/>
      <c r="AL100" s="24" t="str">
        <f>IFERROR(__xludf.DUMMYFUNCTION("""COMPUTED_VALUE"""),"Juist")</f>
        <v>Juist</v>
      </c>
      <c r="AM100" s="24" t="str">
        <f>IFERROR(__xludf.DUMMYFUNCTION("""COMPUTED_VALUE"""),"JUI")</f>
        <v>JUI</v>
      </c>
      <c r="AN100" s="24" t="str">
        <f>IFERROR(__xludf.DUMMYFUNCTION("""COMPUTED_VALUE"""),"Juist")</f>
        <v>Juist</v>
      </c>
      <c r="AO100" s="24" t="str">
        <f>IFERROR(__xludf.DUMMYFUNCTION("""COMPUTED_VALUE"""),"Germany")</f>
        <v>Germany</v>
      </c>
      <c r="AP100" s="24"/>
      <c r="AQ100" s="24"/>
      <c r="AR100" s="20"/>
    </row>
    <row r="101">
      <c r="A101" s="53"/>
      <c r="B101" s="34"/>
      <c r="C101" s="34"/>
      <c r="H101" s="34"/>
      <c r="I101" s="34"/>
      <c r="J101" s="34"/>
      <c r="K101" s="34"/>
      <c r="L101" s="34"/>
      <c r="M101" s="34"/>
      <c r="N101" s="34"/>
      <c r="O101" s="34"/>
      <c r="P101" s="34"/>
      <c r="Q101" s="34"/>
      <c r="R101" s="24"/>
      <c r="S101" s="24"/>
      <c r="T101" s="24"/>
      <c r="U101" s="24"/>
      <c r="V101" s="24"/>
      <c r="W101" s="24"/>
      <c r="X101" s="24"/>
      <c r="Y101" s="24"/>
      <c r="Z101" s="24"/>
      <c r="AA101" s="24"/>
      <c r="AB101" s="24"/>
      <c r="AC101" s="24" t="str">
        <f>IFERROR(__xludf.DUMMYFUNCTION("""COMPUTED_VALUE"""),"Islay")</f>
        <v>Islay</v>
      </c>
      <c r="AD101" s="24" t="str">
        <f>IFERROR(__xludf.DUMMYFUNCTION("""COMPUTED_VALUE"""),"ILY")</f>
        <v>ILY</v>
      </c>
      <c r="AE101" s="24" t="str">
        <f>IFERROR(__xludf.DUMMYFUNCTION("""COMPUTED_VALUE"""),"Glenegedale")</f>
        <v>Glenegedale</v>
      </c>
      <c r="AF101" s="24" t="str">
        <f>IFERROR(__xludf.DUMMYFUNCTION("""COMPUTED_VALUE"""),"United Kingdom")</f>
        <v>United Kingdom</v>
      </c>
      <c r="AG101" s="24"/>
      <c r="AH101" s="24"/>
      <c r="AI101" s="24"/>
      <c r="AJ101" s="24"/>
      <c r="AK101" s="24"/>
      <c r="AL101" s="24" t="str">
        <f>IFERROR(__xludf.DUMMYFUNCTION("""COMPUTED_VALUE"""),"Kaiserslautern")</f>
        <v>Kaiserslautern</v>
      </c>
      <c r="AM101" s="24" t="str">
        <f>IFERROR(__xludf.DUMMYFUNCTION("""COMPUTED_VALUE"""),"KLT")</f>
        <v>KLT</v>
      </c>
      <c r="AN101" s="24" t="str">
        <f>IFERROR(__xludf.DUMMYFUNCTION("""COMPUTED_VALUE"""),"Kaiserslautern")</f>
        <v>Kaiserslautern</v>
      </c>
      <c r="AO101" s="24" t="str">
        <f>IFERROR(__xludf.DUMMYFUNCTION("""COMPUTED_VALUE"""),"Germany")</f>
        <v>Germany</v>
      </c>
      <c r="AP101" s="24"/>
      <c r="AQ101" s="24"/>
      <c r="AR101" s="20"/>
    </row>
    <row r="102">
      <c r="A102" s="53"/>
      <c r="B102" s="34"/>
      <c r="C102" s="34"/>
      <c r="H102" s="34"/>
      <c r="I102" s="34"/>
      <c r="J102" s="34"/>
      <c r="K102" s="34"/>
      <c r="L102" s="34"/>
      <c r="M102" s="34"/>
      <c r="N102" s="34"/>
      <c r="O102" s="34"/>
      <c r="P102" s="34"/>
      <c r="Q102" s="34"/>
      <c r="R102" s="24"/>
      <c r="S102" s="24"/>
      <c r="T102" s="24"/>
      <c r="U102" s="24"/>
      <c r="V102" s="24"/>
      <c r="W102" s="24"/>
      <c r="X102" s="24"/>
      <c r="Y102" s="24"/>
      <c r="Z102" s="24"/>
      <c r="AA102" s="24"/>
      <c r="AB102" s="24"/>
      <c r="AC102" s="24" t="str">
        <f>IFERROR(__xludf.DUMMYFUNCTION("""COMPUTED_VALUE"""),"Isle Of Man")</f>
        <v>Isle Of Man</v>
      </c>
      <c r="AD102" s="24" t="str">
        <f>IFERROR(__xludf.DUMMYFUNCTION("""COMPUTED_VALUE"""),"IOM")</f>
        <v>IOM</v>
      </c>
      <c r="AE102" s="24" t="str">
        <f>IFERROR(__xludf.DUMMYFUNCTION("""COMPUTED_VALUE"""),"Ronaldsway")</f>
        <v>Ronaldsway</v>
      </c>
      <c r="AF102" s="24" t="str">
        <f>IFERROR(__xludf.DUMMYFUNCTION("""COMPUTED_VALUE"""),"United Kingdom")</f>
        <v>United Kingdom</v>
      </c>
      <c r="AG102" s="24"/>
      <c r="AH102" s="24"/>
      <c r="AI102" s="24"/>
      <c r="AJ102" s="24"/>
      <c r="AK102" s="24"/>
      <c r="AL102" s="24" t="str">
        <f>IFERROR(__xludf.DUMMYFUNCTION("""COMPUTED_VALUE"""),"Karlsruhe/Baden Baden")</f>
        <v>Karlsruhe/Baden Baden</v>
      </c>
      <c r="AM102" s="24" t="str">
        <f>IFERROR(__xludf.DUMMYFUNCTION("""COMPUTED_VALUE"""),"FKB")</f>
        <v>FKB</v>
      </c>
      <c r="AN102" s="24" t="str">
        <f>IFERROR(__xludf.DUMMYFUNCTION("""COMPUTED_VALUE"""),"Soellingen")</f>
        <v>Soellingen</v>
      </c>
      <c r="AO102" s="24" t="str">
        <f>IFERROR(__xludf.DUMMYFUNCTION("""COMPUTED_VALUE"""),"Germany")</f>
        <v>Germany</v>
      </c>
      <c r="AP102" s="24"/>
      <c r="AQ102" s="24"/>
      <c r="AR102" s="20"/>
    </row>
    <row r="103">
      <c r="A103" s="53"/>
      <c r="B103" s="34"/>
      <c r="C103" s="34"/>
      <c r="H103" s="34"/>
      <c r="I103" s="34"/>
      <c r="J103" s="34"/>
      <c r="K103" s="34"/>
      <c r="L103" s="34"/>
      <c r="M103" s="34"/>
      <c r="N103" s="34"/>
      <c r="O103" s="34"/>
      <c r="P103" s="34"/>
      <c r="Q103" s="34"/>
      <c r="R103" s="24"/>
      <c r="S103" s="24"/>
      <c r="T103" s="24"/>
      <c r="U103" s="24"/>
      <c r="V103" s="24"/>
      <c r="W103" s="24"/>
      <c r="X103" s="24"/>
      <c r="Y103" s="24"/>
      <c r="Z103" s="24"/>
      <c r="AA103" s="24"/>
      <c r="AB103" s="24"/>
      <c r="AC103" s="24" t="str">
        <f>IFERROR(__xludf.DUMMYFUNCTION("""COMPUTED_VALUE"""),"Isle Of Skye")</f>
        <v>Isle Of Skye</v>
      </c>
      <c r="AD103" s="24" t="str">
        <f>IFERROR(__xludf.DUMMYFUNCTION("""COMPUTED_VALUE"""),"SKL")</f>
        <v>SKL</v>
      </c>
      <c r="AE103" s="24" t="str">
        <f>IFERROR(__xludf.DUMMYFUNCTION("""COMPUTED_VALUE"""),"Broadford")</f>
        <v>Broadford</v>
      </c>
      <c r="AF103" s="24" t="str">
        <f>IFERROR(__xludf.DUMMYFUNCTION("""COMPUTED_VALUE"""),"United Kingdom")</f>
        <v>United Kingdom</v>
      </c>
      <c r="AG103" s="24"/>
      <c r="AH103" s="24"/>
      <c r="AI103" s="24"/>
      <c r="AJ103" s="24"/>
      <c r="AK103" s="24"/>
      <c r="AL103" s="24" t="str">
        <f>IFERROR(__xludf.DUMMYFUNCTION("""COMPUTED_VALUE"""),"Kassel")</f>
        <v>Kassel</v>
      </c>
      <c r="AM103" s="24" t="str">
        <f>IFERROR(__xludf.DUMMYFUNCTION("""COMPUTED_VALUE"""),"KSF")</f>
        <v>KSF</v>
      </c>
      <c r="AN103" s="24" t="str">
        <f>IFERROR(__xludf.DUMMYFUNCTION("""COMPUTED_VALUE"""),"Kassel-Calden")</f>
        <v>Kassel-Calden</v>
      </c>
      <c r="AO103" s="24" t="str">
        <f>IFERROR(__xludf.DUMMYFUNCTION("""COMPUTED_VALUE"""),"Germany")</f>
        <v>Germany</v>
      </c>
      <c r="AP103" s="24"/>
      <c r="AQ103" s="24"/>
      <c r="AR103" s="20"/>
    </row>
    <row r="104">
      <c r="A104" s="53"/>
      <c r="B104" s="34"/>
      <c r="C104" s="34"/>
      <c r="H104" s="34"/>
      <c r="I104" s="34"/>
      <c r="J104" s="34"/>
      <c r="K104" s="34"/>
      <c r="L104" s="34"/>
      <c r="M104" s="34"/>
      <c r="N104" s="34"/>
      <c r="O104" s="34"/>
      <c r="P104" s="34"/>
      <c r="Q104" s="34"/>
      <c r="R104" s="24"/>
      <c r="S104" s="24"/>
      <c r="T104" s="24"/>
      <c r="U104" s="24"/>
      <c r="V104" s="24"/>
      <c r="W104" s="24"/>
      <c r="X104" s="24"/>
      <c r="Y104" s="24"/>
      <c r="Z104" s="24"/>
      <c r="AA104" s="24"/>
      <c r="AB104" s="24"/>
      <c r="AC104" s="24" t="str">
        <f>IFERROR(__xludf.DUMMYFUNCTION("""COMPUTED_VALUE"""),"Isles Of Scilly")</f>
        <v>Isles Of Scilly</v>
      </c>
      <c r="AD104" s="24" t="str">
        <f>IFERROR(__xludf.DUMMYFUNCTION("""COMPUTED_VALUE"""),"ISC")</f>
        <v>ISC</v>
      </c>
      <c r="AE104" s="24" t="str">
        <f>IFERROR(__xludf.DUMMYFUNCTION("""COMPUTED_VALUE"""),"St Marys")</f>
        <v>St Marys</v>
      </c>
      <c r="AF104" s="24" t="str">
        <f>IFERROR(__xludf.DUMMYFUNCTION("""COMPUTED_VALUE"""),"United Kingdom")</f>
        <v>United Kingdom</v>
      </c>
      <c r="AG104" s="24"/>
      <c r="AH104" s="24"/>
      <c r="AI104" s="24"/>
      <c r="AJ104" s="24"/>
      <c r="AK104" s="24"/>
      <c r="AL104" s="24" t="str">
        <f>IFERROR(__xludf.DUMMYFUNCTION("""COMPUTED_VALUE"""),"Kiel")</f>
        <v>Kiel</v>
      </c>
      <c r="AM104" s="24" t="str">
        <f>IFERROR(__xludf.DUMMYFUNCTION("""COMPUTED_VALUE"""),"KEL")</f>
        <v>KEL</v>
      </c>
      <c r="AN104" s="24" t="str">
        <f>IFERROR(__xludf.DUMMYFUNCTION("""COMPUTED_VALUE"""),"Holtenau")</f>
        <v>Holtenau</v>
      </c>
      <c r="AO104" s="24" t="str">
        <f>IFERROR(__xludf.DUMMYFUNCTION("""COMPUTED_VALUE"""),"Germany")</f>
        <v>Germany</v>
      </c>
      <c r="AP104" s="24"/>
      <c r="AQ104" s="24"/>
      <c r="AR104" s="20"/>
    </row>
    <row r="105">
      <c r="A105" s="53"/>
      <c r="B105" s="34"/>
      <c r="C105" s="34"/>
      <c r="H105" s="34"/>
      <c r="I105" s="34"/>
      <c r="J105" s="34"/>
      <c r="K105" s="34"/>
      <c r="L105" s="34"/>
      <c r="M105" s="34"/>
      <c r="N105" s="34"/>
      <c r="O105" s="34"/>
      <c r="P105" s="34"/>
      <c r="Q105" s="34"/>
      <c r="R105" s="24"/>
      <c r="S105" s="24"/>
      <c r="T105" s="24"/>
      <c r="U105" s="24"/>
      <c r="V105" s="24"/>
      <c r="W105" s="24"/>
      <c r="X105" s="24"/>
      <c r="Y105" s="24"/>
      <c r="Z105" s="24"/>
      <c r="AA105" s="24"/>
      <c r="AB105" s="24"/>
      <c r="AC105" s="24" t="str">
        <f>IFERROR(__xludf.DUMMYFUNCTION("""COMPUTED_VALUE"""),"Isles Of Scilly")</f>
        <v>Isles Of Scilly</v>
      </c>
      <c r="AD105" s="24" t="str">
        <f>IFERROR(__xludf.DUMMYFUNCTION("""COMPUTED_VALUE"""),"TSO")</f>
        <v>TSO</v>
      </c>
      <c r="AE105" s="24" t="str">
        <f>IFERROR(__xludf.DUMMYFUNCTION("""COMPUTED_VALUE"""),"Tresco")</f>
        <v>Tresco</v>
      </c>
      <c r="AF105" s="24" t="str">
        <f>IFERROR(__xludf.DUMMYFUNCTION("""COMPUTED_VALUE"""),"United Kingdom")</f>
        <v>United Kingdom</v>
      </c>
      <c r="AG105" s="24"/>
      <c r="AH105" s="24"/>
      <c r="AI105" s="24"/>
      <c r="AJ105" s="24"/>
      <c r="AK105" s="24"/>
      <c r="AL105" s="24" t="str">
        <f>IFERROR(__xludf.DUMMYFUNCTION("""COMPUTED_VALUE"""),"Kitzingen")</f>
        <v>Kitzingen</v>
      </c>
      <c r="AM105" s="24" t="str">
        <f>IFERROR(__xludf.DUMMYFUNCTION("""COMPUTED_VALUE"""),"KZG")</f>
        <v>KZG</v>
      </c>
      <c r="AN105" s="24" t="str">
        <f>IFERROR(__xludf.DUMMYFUNCTION("""COMPUTED_VALUE"""),"Kitzingen")</f>
        <v>Kitzingen</v>
      </c>
      <c r="AO105" s="24" t="str">
        <f>IFERROR(__xludf.DUMMYFUNCTION("""COMPUTED_VALUE"""),"Germany")</f>
        <v>Germany</v>
      </c>
      <c r="AP105" s="24"/>
      <c r="AQ105" s="24"/>
      <c r="AR105" s="20"/>
    </row>
    <row r="106">
      <c r="A106" s="53"/>
      <c r="B106" s="34"/>
      <c r="C106" s="34"/>
      <c r="H106" s="34"/>
      <c r="I106" s="34"/>
      <c r="J106" s="34"/>
      <c r="K106" s="34"/>
      <c r="L106" s="34"/>
      <c r="M106" s="34"/>
      <c r="N106" s="34"/>
      <c r="O106" s="34"/>
      <c r="P106" s="34"/>
      <c r="Q106" s="34"/>
      <c r="R106" s="24"/>
      <c r="S106" s="24"/>
      <c r="T106" s="24"/>
      <c r="U106" s="24"/>
      <c r="V106" s="24"/>
      <c r="W106" s="24"/>
      <c r="X106" s="24"/>
      <c r="Y106" s="24"/>
      <c r="Z106" s="24"/>
      <c r="AA106" s="24"/>
      <c r="AB106" s="24"/>
      <c r="AC106" s="24" t="str">
        <f>IFERROR(__xludf.DUMMYFUNCTION("""COMPUTED_VALUE"""),"Jersey")</f>
        <v>Jersey</v>
      </c>
      <c r="AD106" s="24" t="str">
        <f>IFERROR(__xludf.DUMMYFUNCTION("""COMPUTED_VALUE"""),"JER")</f>
        <v>JER</v>
      </c>
      <c r="AE106" s="24" t="str">
        <f>IFERROR(__xludf.DUMMYFUNCTION("""COMPUTED_VALUE"""),"States")</f>
        <v>States</v>
      </c>
      <c r="AF106" s="24" t="str">
        <f>IFERROR(__xludf.DUMMYFUNCTION("""COMPUTED_VALUE"""),"United Kingdom")</f>
        <v>United Kingdom</v>
      </c>
      <c r="AG106" s="24"/>
      <c r="AH106" s="24"/>
      <c r="AI106" s="24"/>
      <c r="AJ106" s="24"/>
      <c r="AK106" s="24"/>
      <c r="AL106" s="24" t="str">
        <f>IFERROR(__xludf.DUMMYFUNCTION("""COMPUTED_VALUE"""),"Koethen")</f>
        <v>Koethen</v>
      </c>
      <c r="AM106" s="24" t="str">
        <f>IFERROR(__xludf.DUMMYFUNCTION("""COMPUTED_VALUE"""),"KOQ")</f>
        <v>KOQ</v>
      </c>
      <c r="AN106" s="24" t="str">
        <f>IFERROR(__xludf.DUMMYFUNCTION("""COMPUTED_VALUE"""),"Koethen")</f>
        <v>Koethen</v>
      </c>
      <c r="AO106" s="24" t="str">
        <f>IFERROR(__xludf.DUMMYFUNCTION("""COMPUTED_VALUE"""),"Germany")</f>
        <v>Germany</v>
      </c>
      <c r="AP106" s="24"/>
      <c r="AQ106" s="24"/>
      <c r="AR106" s="20"/>
    </row>
    <row r="107">
      <c r="A107" s="53"/>
      <c r="B107" s="34"/>
      <c r="C107" s="34"/>
      <c r="E107" s="55"/>
      <c r="F107" s="56"/>
      <c r="G107" s="56"/>
      <c r="H107" s="34"/>
      <c r="I107" s="34"/>
      <c r="J107" s="34"/>
      <c r="K107" s="34"/>
      <c r="L107" s="34"/>
      <c r="M107" s="34"/>
      <c r="N107" s="34"/>
      <c r="O107" s="34"/>
      <c r="P107" s="34"/>
      <c r="Q107" s="34"/>
      <c r="R107" s="24"/>
      <c r="S107" s="24"/>
      <c r="T107" s="24"/>
      <c r="U107" s="24"/>
      <c r="V107" s="24"/>
      <c r="W107" s="24"/>
      <c r="X107" s="24"/>
      <c r="Y107" s="24"/>
      <c r="Z107" s="24"/>
      <c r="AA107" s="24"/>
      <c r="AB107" s="24"/>
      <c r="AC107" s="24" t="str">
        <f>IFERROR(__xludf.DUMMYFUNCTION("""COMPUTED_VALUE"""),"Kings Lynn")</f>
        <v>Kings Lynn</v>
      </c>
      <c r="AD107" s="24" t="str">
        <f>IFERROR(__xludf.DUMMYFUNCTION("""COMPUTED_VALUE"""),"KNF")</f>
        <v>KNF</v>
      </c>
      <c r="AE107" s="24" t="str">
        <f>IFERROR(__xludf.DUMMYFUNCTION("""COMPUTED_VALUE"""),"Marham RAF")</f>
        <v>Marham RAF</v>
      </c>
      <c r="AF107" s="24" t="str">
        <f>IFERROR(__xludf.DUMMYFUNCTION("""COMPUTED_VALUE"""),"United Kingdom")</f>
        <v>United Kingdom</v>
      </c>
      <c r="AG107" s="24"/>
      <c r="AH107" s="24"/>
      <c r="AI107" s="24"/>
      <c r="AJ107" s="24"/>
      <c r="AK107" s="24"/>
      <c r="AL107" s="24" t="str">
        <f>IFERROR(__xludf.DUMMYFUNCTION("""COMPUTED_VALUE"""),"Laarbruch")</f>
        <v>Laarbruch</v>
      </c>
      <c r="AM107" s="24" t="str">
        <f>IFERROR(__xludf.DUMMYFUNCTION("""COMPUTED_VALUE"""),"LRC")</f>
        <v>LRC</v>
      </c>
      <c r="AN107" s="24" t="str">
        <f>IFERROR(__xludf.DUMMYFUNCTION("""COMPUTED_VALUE"""),"R.A.F.")</f>
        <v>R.A.F.</v>
      </c>
      <c r="AO107" s="24" t="str">
        <f>IFERROR(__xludf.DUMMYFUNCTION("""COMPUTED_VALUE"""),"Germany")</f>
        <v>Germany</v>
      </c>
      <c r="AP107" s="24"/>
      <c r="AQ107" s="24"/>
      <c r="AR107" s="20"/>
    </row>
    <row r="108">
      <c r="A108" s="53"/>
      <c r="B108" s="34"/>
      <c r="C108" s="34"/>
      <c r="E108" s="34"/>
      <c r="F108" s="34"/>
      <c r="G108" s="34"/>
      <c r="H108" s="34"/>
      <c r="I108" s="34"/>
      <c r="J108" s="34"/>
      <c r="K108" s="34"/>
      <c r="L108" s="34"/>
      <c r="M108" s="34"/>
      <c r="N108" s="34"/>
      <c r="O108" s="34"/>
      <c r="P108" s="34"/>
      <c r="Q108" s="34"/>
      <c r="R108" s="24"/>
      <c r="S108" s="24"/>
      <c r="T108" s="24"/>
      <c r="U108" s="24"/>
      <c r="V108" s="24"/>
      <c r="W108" s="24"/>
      <c r="X108" s="24"/>
      <c r="Y108" s="24"/>
      <c r="Z108" s="24"/>
      <c r="AA108" s="24"/>
      <c r="AB108" s="24"/>
      <c r="AC108" s="24" t="str">
        <f>IFERROR(__xludf.DUMMYFUNCTION("""COMPUTED_VALUE"""),"Lands End")</f>
        <v>Lands End</v>
      </c>
      <c r="AD108" s="24" t="str">
        <f>IFERROR(__xludf.DUMMYFUNCTION("""COMPUTED_VALUE"""),"LEQ")</f>
        <v>LEQ</v>
      </c>
      <c r="AE108" s="24" t="str">
        <f>IFERROR(__xludf.DUMMYFUNCTION("""COMPUTED_VALUE"""),"Lands End")</f>
        <v>Lands End</v>
      </c>
      <c r="AF108" s="24" t="str">
        <f>IFERROR(__xludf.DUMMYFUNCTION("""COMPUTED_VALUE"""),"United Kingdom")</f>
        <v>United Kingdom</v>
      </c>
      <c r="AG108" s="24"/>
      <c r="AH108" s="24"/>
      <c r="AI108" s="24"/>
      <c r="AJ108" s="24"/>
      <c r="AK108" s="24"/>
      <c r="AL108" s="24" t="str">
        <f>IFERROR(__xludf.DUMMYFUNCTION("""COMPUTED_VALUE"""),"Lahr")</f>
        <v>Lahr</v>
      </c>
      <c r="AM108" s="24" t="str">
        <f>IFERROR(__xludf.DUMMYFUNCTION("""COMPUTED_VALUE"""),"LHA")</f>
        <v>LHA</v>
      </c>
      <c r="AN108" s="24" t="str">
        <f>IFERROR(__xludf.DUMMYFUNCTION("""COMPUTED_VALUE"""),"Lahr")</f>
        <v>Lahr</v>
      </c>
      <c r="AO108" s="24" t="str">
        <f>IFERROR(__xludf.DUMMYFUNCTION("""COMPUTED_VALUE"""),"Germany")</f>
        <v>Germany</v>
      </c>
      <c r="AP108" s="24"/>
      <c r="AQ108" s="24"/>
      <c r="AR108" s="20"/>
    </row>
    <row r="109">
      <c r="A109" s="53"/>
      <c r="B109" s="34"/>
      <c r="C109" s="34"/>
      <c r="E109" s="34"/>
      <c r="F109" s="34"/>
      <c r="G109" s="34"/>
      <c r="H109" s="34"/>
      <c r="I109" s="34"/>
      <c r="J109" s="34"/>
      <c r="K109" s="34"/>
      <c r="L109" s="34"/>
      <c r="M109" s="34"/>
      <c r="N109" s="34"/>
      <c r="O109" s="34"/>
      <c r="P109" s="34"/>
      <c r="Q109" s="34"/>
      <c r="R109" s="24"/>
      <c r="S109" s="24"/>
      <c r="T109" s="24"/>
      <c r="U109" s="24"/>
      <c r="V109" s="24"/>
      <c r="W109" s="24"/>
      <c r="X109" s="24"/>
      <c r="Y109" s="24"/>
      <c r="Z109" s="24"/>
      <c r="AA109" s="24"/>
      <c r="AB109" s="24"/>
      <c r="AC109" s="24" t="str">
        <f>IFERROR(__xludf.DUMMYFUNCTION("""COMPUTED_VALUE"""),"Leeds")</f>
        <v>Leeds</v>
      </c>
      <c r="AD109" s="24" t="str">
        <f>IFERROR(__xludf.DUMMYFUNCTION("""COMPUTED_VALUE"""),"LBA")</f>
        <v>LBA</v>
      </c>
      <c r="AE109" s="24" t="str">
        <f>IFERROR(__xludf.DUMMYFUNCTION("""COMPUTED_VALUE"""),"Leeds/Bradford")</f>
        <v>Leeds/Bradford</v>
      </c>
      <c r="AF109" s="24" t="str">
        <f>IFERROR(__xludf.DUMMYFUNCTION("""COMPUTED_VALUE"""),"United Kingdom")</f>
        <v>United Kingdom</v>
      </c>
      <c r="AG109" s="24"/>
      <c r="AH109" s="24"/>
      <c r="AI109" s="24"/>
      <c r="AJ109" s="24"/>
      <c r="AK109" s="24"/>
      <c r="AL109" s="24" t="str">
        <f>IFERROR(__xludf.DUMMYFUNCTION("""COMPUTED_VALUE"""),"Langeoog")</f>
        <v>Langeoog</v>
      </c>
      <c r="AM109" s="24" t="str">
        <f>IFERROR(__xludf.DUMMYFUNCTION("""COMPUTED_VALUE"""),"LGO")</f>
        <v>LGO</v>
      </c>
      <c r="AN109" s="24" t="str">
        <f>IFERROR(__xludf.DUMMYFUNCTION("""COMPUTED_VALUE"""),"Langeoog")</f>
        <v>Langeoog</v>
      </c>
      <c r="AO109" s="24" t="str">
        <f>IFERROR(__xludf.DUMMYFUNCTION("""COMPUTED_VALUE"""),"Germany")</f>
        <v>Germany</v>
      </c>
      <c r="AP109" s="24"/>
      <c r="AQ109" s="24"/>
      <c r="AR109" s="20"/>
    </row>
    <row r="110">
      <c r="A110" s="53"/>
      <c r="B110" s="34"/>
      <c r="C110" s="34"/>
      <c r="E110" s="34"/>
      <c r="F110" s="34"/>
      <c r="G110" s="34"/>
      <c r="H110" s="34"/>
      <c r="I110" s="34"/>
      <c r="J110" s="34"/>
      <c r="K110" s="34"/>
      <c r="L110" s="34"/>
      <c r="M110" s="34"/>
      <c r="N110" s="34"/>
      <c r="O110" s="34"/>
      <c r="P110" s="34"/>
      <c r="Q110" s="34"/>
      <c r="R110" s="24"/>
      <c r="S110" s="24"/>
      <c r="T110" s="24"/>
      <c r="U110" s="24"/>
      <c r="V110" s="24"/>
      <c r="W110" s="24"/>
      <c r="X110" s="24"/>
      <c r="Y110" s="24"/>
      <c r="Z110" s="24"/>
      <c r="AA110" s="24"/>
      <c r="AB110" s="24"/>
      <c r="AC110" s="24" t="str">
        <f>IFERROR(__xludf.DUMMYFUNCTION("""COMPUTED_VALUE"""),"Liverpool")</f>
        <v>Liverpool</v>
      </c>
      <c r="AD110" s="24" t="str">
        <f>IFERROR(__xludf.DUMMYFUNCTION("""COMPUTED_VALUE"""),"LPL")</f>
        <v>LPL</v>
      </c>
      <c r="AE110" s="24" t="str">
        <f>IFERROR(__xludf.DUMMYFUNCTION("""COMPUTED_VALUE"""),"Liverpool John Lennon (Speke)")</f>
        <v>Liverpool John Lennon (Speke)</v>
      </c>
      <c r="AF110" s="24" t="str">
        <f>IFERROR(__xludf.DUMMYFUNCTION("""COMPUTED_VALUE"""),"United Kingdom")</f>
        <v>United Kingdom</v>
      </c>
      <c r="AG110" s="24"/>
      <c r="AH110" s="24"/>
      <c r="AI110" s="24"/>
      <c r="AJ110" s="24"/>
      <c r="AK110" s="24"/>
      <c r="AL110" s="24" t="str">
        <f>IFERROR(__xludf.DUMMYFUNCTION("""COMPUTED_VALUE"""),"Leipzig/Halle")</f>
        <v>Leipzig/Halle</v>
      </c>
      <c r="AM110" s="24" t="str">
        <f>IFERROR(__xludf.DUMMYFUNCTION("""COMPUTED_VALUE"""),"LEJ")</f>
        <v>LEJ</v>
      </c>
      <c r="AN110" s="24" t="str">
        <f>IFERROR(__xludf.DUMMYFUNCTION("""COMPUTED_VALUE"""),"Leipzig/Halle")</f>
        <v>Leipzig/Halle</v>
      </c>
      <c r="AO110" s="24" t="str">
        <f>IFERROR(__xludf.DUMMYFUNCTION("""COMPUTED_VALUE"""),"Germany")</f>
        <v>Germany</v>
      </c>
      <c r="AP110" s="24"/>
      <c r="AQ110" s="24"/>
      <c r="AR110" s="20"/>
    </row>
    <row r="111">
      <c r="A111" s="53"/>
      <c r="B111" s="34"/>
      <c r="C111" s="34"/>
      <c r="F111" s="34"/>
      <c r="G111" s="34"/>
      <c r="H111" s="34"/>
      <c r="I111" s="34"/>
      <c r="J111" s="34"/>
      <c r="K111" s="34"/>
      <c r="L111" s="34"/>
      <c r="M111" s="34"/>
      <c r="N111" s="34"/>
      <c r="O111" s="34"/>
      <c r="P111" s="34"/>
      <c r="Q111" s="34"/>
      <c r="R111" s="24"/>
      <c r="S111" s="24"/>
      <c r="T111" s="24"/>
      <c r="U111" s="24"/>
      <c r="V111" s="24"/>
      <c r="W111" s="24"/>
      <c r="X111" s="24"/>
      <c r="Y111" s="24"/>
      <c r="Z111" s="24"/>
      <c r="AA111" s="24"/>
      <c r="AB111" s="24"/>
      <c r="AC111" s="24" t="str">
        <f>IFERROR(__xludf.DUMMYFUNCTION("""COMPUTED_VALUE"""),"Lochgilphead")</f>
        <v>Lochgilphead</v>
      </c>
      <c r="AD111" s="24" t="str">
        <f>IFERROR(__xludf.DUMMYFUNCTION("""COMPUTED_VALUE"""),"LPH")</f>
        <v>LPH</v>
      </c>
      <c r="AE111" s="24" t="str">
        <f>IFERROR(__xludf.DUMMYFUNCTION("""COMPUTED_VALUE"""),"Heliport")</f>
        <v>Heliport</v>
      </c>
      <c r="AF111" s="24" t="str">
        <f>IFERROR(__xludf.DUMMYFUNCTION("""COMPUTED_VALUE"""),"United Kingdom")</f>
        <v>United Kingdom</v>
      </c>
      <c r="AG111" s="24"/>
      <c r="AH111" s="24"/>
      <c r="AI111" s="24"/>
      <c r="AJ111" s="24"/>
      <c r="AK111" s="24"/>
      <c r="AL111" s="24" t="str">
        <f>IFERROR(__xludf.DUMMYFUNCTION("""COMPUTED_VALUE"""),"Lemwerder")</f>
        <v>Lemwerder</v>
      </c>
      <c r="AM111" s="24" t="str">
        <f>IFERROR(__xludf.DUMMYFUNCTION("""COMPUTED_VALUE"""),"XLW")</f>
        <v>XLW</v>
      </c>
      <c r="AN111" s="24" t="str">
        <f>IFERROR(__xludf.DUMMYFUNCTION("""COMPUTED_VALUE"""),"Lemwerder")</f>
        <v>Lemwerder</v>
      </c>
      <c r="AO111" s="24" t="str">
        <f>IFERROR(__xludf.DUMMYFUNCTION("""COMPUTED_VALUE"""),"Germany")</f>
        <v>Germany</v>
      </c>
      <c r="AP111" s="24"/>
      <c r="AQ111" s="24"/>
      <c r="AR111" s="20"/>
    </row>
    <row r="112">
      <c r="A112" s="53"/>
      <c r="B112" s="34"/>
      <c r="C112" s="34"/>
      <c r="E112" s="34"/>
      <c r="F112" s="34"/>
      <c r="G112" s="34"/>
      <c r="H112" s="34"/>
      <c r="I112" s="34"/>
      <c r="J112" s="34"/>
      <c r="K112" s="34"/>
      <c r="L112" s="34"/>
      <c r="M112" s="34"/>
      <c r="N112" s="34"/>
      <c r="O112" s="34"/>
      <c r="P112" s="34"/>
      <c r="Q112" s="34"/>
      <c r="R112" s="24"/>
      <c r="S112" s="24"/>
      <c r="T112" s="24"/>
      <c r="U112" s="24"/>
      <c r="V112" s="24"/>
      <c r="W112" s="24"/>
      <c r="X112" s="24"/>
      <c r="Y112" s="24"/>
      <c r="Z112" s="24"/>
      <c r="AA112" s="24"/>
      <c r="AB112" s="24"/>
      <c r="AC112" s="24" t="str">
        <f>IFERROR(__xludf.DUMMYFUNCTION("""COMPUTED_VALUE"""),"Biggin Hill")</f>
        <v>Biggin Hill</v>
      </c>
      <c r="AD112" s="24" t="str">
        <f>IFERROR(__xludf.DUMMYFUNCTION("""COMPUTED_VALUE"""),"BQH")</f>
        <v>BQH</v>
      </c>
      <c r="AE112" s="24" t="str">
        <f>IFERROR(__xludf.DUMMYFUNCTION("""COMPUTED_VALUE"""),"Biggin Hill")</f>
        <v>Biggin Hill</v>
      </c>
      <c r="AF112" s="24" t="str">
        <f>IFERROR(__xludf.DUMMYFUNCTION("""COMPUTED_VALUE"""),"United Kingdom")</f>
        <v>United Kingdom</v>
      </c>
      <c r="AG112" s="24"/>
      <c r="AH112" s="24"/>
      <c r="AI112" s="24"/>
      <c r="AJ112" s="24"/>
      <c r="AK112" s="24"/>
      <c r="AL112" s="24" t="str">
        <f>IFERROR(__xludf.DUMMYFUNCTION("""COMPUTED_VALUE"""),"Mannheim")</f>
        <v>Mannheim</v>
      </c>
      <c r="AM112" s="24" t="str">
        <f>IFERROR(__xludf.DUMMYFUNCTION("""COMPUTED_VALUE"""),"MHG")</f>
        <v>MHG</v>
      </c>
      <c r="AN112" s="24" t="str">
        <f>IFERROR(__xludf.DUMMYFUNCTION("""COMPUTED_VALUE"""),"Mannheim Arpt")</f>
        <v>Mannheim Arpt</v>
      </c>
      <c r="AO112" s="24" t="str">
        <f>IFERROR(__xludf.DUMMYFUNCTION("""COMPUTED_VALUE"""),"Germany")</f>
        <v>Germany</v>
      </c>
      <c r="AP112" s="24"/>
      <c r="AQ112" s="24"/>
      <c r="AR112" s="20"/>
    </row>
    <row r="113">
      <c r="A113" s="53"/>
      <c r="B113" s="34"/>
      <c r="C113" s="34"/>
      <c r="E113" s="34"/>
      <c r="F113" s="34"/>
      <c r="G113" s="34"/>
      <c r="H113" s="34"/>
      <c r="I113" s="34"/>
      <c r="J113" s="34"/>
      <c r="K113" s="34"/>
      <c r="L113" s="34"/>
      <c r="M113" s="34"/>
      <c r="N113" s="34"/>
      <c r="O113" s="34"/>
      <c r="P113" s="34"/>
      <c r="Q113" s="34"/>
      <c r="R113" s="24"/>
      <c r="S113" s="24"/>
      <c r="T113" s="24"/>
      <c r="U113" s="24"/>
      <c r="V113" s="24"/>
      <c r="W113" s="24"/>
      <c r="X113" s="24"/>
      <c r="Y113" s="24"/>
      <c r="Z113" s="24"/>
      <c r="AA113" s="24"/>
      <c r="AB113" s="24"/>
      <c r="AC113" s="24" t="str">
        <f>IFERROR(__xludf.DUMMYFUNCTION("""COMPUTED_VALUE"""),"London")</f>
        <v>London</v>
      </c>
      <c r="AD113" s="24" t="str">
        <f>IFERROR(__xludf.DUMMYFUNCTION("""COMPUTED_VALUE"""),"ZLX")</f>
        <v>ZLX</v>
      </c>
      <c r="AE113" s="24" t="str">
        <f>IFERROR(__xludf.DUMMYFUNCTION("""COMPUTED_VALUE"""),"British Rail Terminal")</f>
        <v>British Rail Terminal</v>
      </c>
      <c r="AF113" s="24" t="str">
        <f>IFERROR(__xludf.DUMMYFUNCTION("""COMPUTED_VALUE"""),"United Kingdom")</f>
        <v>United Kingdom</v>
      </c>
      <c r="AG113" s="24"/>
      <c r="AH113" s="24"/>
      <c r="AI113" s="24"/>
      <c r="AJ113" s="24"/>
      <c r="AK113" s="24"/>
      <c r="AL113" s="24" t="str">
        <f>IFERROR(__xludf.DUMMYFUNCTION("""COMPUTED_VALUE"""),"Mian Yang")</f>
        <v>Mian Yang</v>
      </c>
      <c r="AM113" s="24" t="str">
        <f>IFERROR(__xludf.DUMMYFUNCTION("""COMPUTED_VALUE"""),"MIG")</f>
        <v>MIG</v>
      </c>
      <c r="AN113" s="24" t="str">
        <f>IFERROR(__xludf.DUMMYFUNCTION("""COMPUTED_VALUE"""),"Mian Yang")</f>
        <v>Mian Yang</v>
      </c>
      <c r="AO113" s="24" t="str">
        <f>IFERROR(__xludf.DUMMYFUNCTION("""COMPUTED_VALUE"""),"Germany")</f>
        <v>Germany</v>
      </c>
      <c r="AP113" s="24"/>
      <c r="AQ113" s="24"/>
      <c r="AR113" s="20"/>
    </row>
    <row r="114">
      <c r="A114" s="53"/>
      <c r="B114" s="34"/>
      <c r="C114" s="34"/>
      <c r="E114" s="34"/>
      <c r="F114" s="34"/>
      <c r="G114" s="34"/>
      <c r="H114" s="34"/>
      <c r="I114" s="34"/>
      <c r="J114" s="34"/>
      <c r="K114" s="34"/>
      <c r="L114" s="34"/>
      <c r="M114" s="34"/>
      <c r="N114" s="34"/>
      <c r="O114" s="34"/>
      <c r="P114" s="34"/>
      <c r="Q114" s="34"/>
      <c r="R114" s="24"/>
      <c r="S114" s="24"/>
      <c r="T114" s="24"/>
      <c r="U114" s="24"/>
      <c r="V114" s="24"/>
      <c r="W114" s="24"/>
      <c r="X114" s="24"/>
      <c r="Y114" s="24"/>
      <c r="Z114" s="24"/>
      <c r="AA114" s="24"/>
      <c r="AB114" s="24"/>
      <c r="AC114" s="24" t="str">
        <f>IFERROR(__xludf.DUMMYFUNCTION("""COMPUTED_VALUE"""),"London")</f>
        <v>London</v>
      </c>
      <c r="AD114" s="24" t="str">
        <f>IFERROR(__xludf.DUMMYFUNCTION("""COMPUTED_VALUE"""),"LGW")</f>
        <v>LGW</v>
      </c>
      <c r="AE114" s="24" t="str">
        <f>IFERROR(__xludf.DUMMYFUNCTION("""COMPUTED_VALUE"""),"Gatwick")</f>
        <v>Gatwick</v>
      </c>
      <c r="AF114" s="24" t="str">
        <f>IFERROR(__xludf.DUMMYFUNCTION("""COMPUTED_VALUE"""),"United Kingdom")</f>
        <v>United Kingdom</v>
      </c>
      <c r="AG114" s="24"/>
      <c r="AH114" s="24"/>
      <c r="AI114" s="24"/>
      <c r="AJ114" s="24"/>
      <c r="AK114" s="24"/>
      <c r="AL114" s="24" t="str">
        <f>IFERROR(__xludf.DUMMYFUNCTION("""COMPUTED_VALUE"""),"Muenster")</f>
        <v>Muenster</v>
      </c>
      <c r="AM114" s="24" t="str">
        <f>IFERROR(__xludf.DUMMYFUNCTION("""COMPUTED_VALUE"""),"FMO")</f>
        <v>FMO</v>
      </c>
      <c r="AN114" s="24" t="str">
        <f>IFERROR(__xludf.DUMMYFUNCTION("""COMPUTED_VALUE"""),"Muenster")</f>
        <v>Muenster</v>
      </c>
      <c r="AO114" s="24" t="str">
        <f>IFERROR(__xludf.DUMMYFUNCTION("""COMPUTED_VALUE"""),"Germany")</f>
        <v>Germany</v>
      </c>
      <c r="AP114" s="24"/>
      <c r="AQ114" s="24"/>
      <c r="AR114" s="20"/>
    </row>
    <row r="115">
      <c r="A115" s="53"/>
      <c r="B115" s="34"/>
      <c r="C115" s="34"/>
      <c r="E115" s="34"/>
      <c r="F115" s="34"/>
      <c r="G115" s="34"/>
      <c r="H115" s="34"/>
      <c r="I115" s="34"/>
      <c r="J115" s="34"/>
      <c r="K115" s="34"/>
      <c r="L115" s="34"/>
      <c r="M115" s="34"/>
      <c r="N115" s="34"/>
      <c r="O115" s="34"/>
      <c r="P115" s="34"/>
      <c r="Q115" s="34"/>
      <c r="R115" s="24"/>
      <c r="S115" s="24"/>
      <c r="T115" s="24"/>
      <c r="U115" s="24"/>
      <c r="V115" s="24"/>
      <c r="W115" s="24"/>
      <c r="X115" s="24"/>
      <c r="Y115" s="24"/>
      <c r="Z115" s="24"/>
      <c r="AA115" s="24"/>
      <c r="AB115" s="24"/>
      <c r="AC115" s="24" t="str">
        <f>IFERROR(__xludf.DUMMYFUNCTION("""COMPUTED_VALUE"""),"London")</f>
        <v>London</v>
      </c>
      <c r="AD115" s="24" t="str">
        <f>IFERROR(__xludf.DUMMYFUNCTION("""COMPUTED_VALUE"""),"LHR")</f>
        <v>LHR</v>
      </c>
      <c r="AE115" s="24" t="str">
        <f>IFERROR(__xludf.DUMMYFUNCTION("""COMPUTED_VALUE"""),"Heathrow")</f>
        <v>Heathrow</v>
      </c>
      <c r="AF115" s="24" t="str">
        <f>IFERROR(__xludf.DUMMYFUNCTION("""COMPUTED_VALUE"""),"United Kingdom")</f>
        <v>United Kingdom</v>
      </c>
      <c r="AG115" s="24"/>
      <c r="AH115" s="24"/>
      <c r="AI115" s="24"/>
      <c r="AJ115" s="24"/>
      <c r="AK115" s="24"/>
      <c r="AL115" s="24" t="str">
        <f>IFERROR(__xludf.DUMMYFUNCTION("""COMPUTED_VALUE"""),"Augsburg")</f>
        <v>Augsburg</v>
      </c>
      <c r="AM115" s="24" t="str">
        <f>IFERROR(__xludf.DUMMYFUNCTION("""COMPUTED_VALUE"""),"AGB")</f>
        <v>AGB</v>
      </c>
      <c r="AN115" s="24" t="str">
        <f>IFERROR(__xludf.DUMMYFUNCTION("""COMPUTED_VALUE"""),"Augsburg - Muehlhausen")</f>
        <v>Augsburg - Muehlhausen</v>
      </c>
      <c r="AO115" s="24" t="str">
        <f>IFERROR(__xludf.DUMMYFUNCTION("""COMPUTED_VALUE"""),"Germany")</f>
        <v>Germany</v>
      </c>
      <c r="AP115" s="24"/>
      <c r="AQ115" s="24"/>
      <c r="AR115" s="20"/>
    </row>
    <row r="116">
      <c r="A116" s="53"/>
      <c r="B116" s="34"/>
      <c r="C116" s="34"/>
      <c r="E116" s="34"/>
      <c r="F116" s="34"/>
      <c r="G116" s="34"/>
      <c r="H116" s="34"/>
      <c r="I116" s="34"/>
      <c r="J116" s="34"/>
      <c r="K116" s="34"/>
      <c r="L116" s="34"/>
      <c r="M116" s="34"/>
      <c r="N116" s="34"/>
      <c r="O116" s="34"/>
      <c r="P116" s="34"/>
      <c r="Q116" s="34"/>
      <c r="R116" s="24"/>
      <c r="S116" s="24"/>
      <c r="T116" s="24"/>
      <c r="U116" s="24"/>
      <c r="V116" s="24"/>
      <c r="W116" s="24"/>
      <c r="X116" s="24"/>
      <c r="Y116" s="24"/>
      <c r="Z116" s="24"/>
      <c r="AA116" s="24"/>
      <c r="AB116" s="24"/>
      <c r="AC116" s="24" t="str">
        <f>IFERROR(__xludf.DUMMYFUNCTION("""COMPUTED_VALUE"""),"London")</f>
        <v>London</v>
      </c>
      <c r="AD116" s="24" t="str">
        <f>IFERROR(__xludf.DUMMYFUNCTION("""COMPUTED_VALUE"""),"LCY")</f>
        <v>LCY</v>
      </c>
      <c r="AE116" s="24" t="str">
        <f>IFERROR(__xludf.DUMMYFUNCTION("""COMPUTED_VALUE"""),"London City Airport")</f>
        <v>London City Airport</v>
      </c>
      <c r="AF116" s="24" t="str">
        <f>IFERROR(__xludf.DUMMYFUNCTION("""COMPUTED_VALUE"""),"United Kingdom")</f>
        <v>United Kingdom</v>
      </c>
      <c r="AG116" s="24"/>
      <c r="AH116" s="24"/>
      <c r="AI116" s="24"/>
      <c r="AJ116" s="24"/>
      <c r="AK116" s="24"/>
      <c r="AL116" s="24" t="str">
        <f>IFERROR(__xludf.DUMMYFUNCTION("""COMPUTED_VALUE"""),"Munich")</f>
        <v>Munich</v>
      </c>
      <c r="AM116" s="24" t="str">
        <f>IFERROR(__xludf.DUMMYFUNCTION("""COMPUTED_VALUE"""),"MUC")</f>
        <v>MUC</v>
      </c>
      <c r="AN116" s="24" t="str">
        <f>IFERROR(__xludf.DUMMYFUNCTION("""COMPUTED_VALUE"""),"Franz Josef Strauss")</f>
        <v>Franz Josef Strauss</v>
      </c>
      <c r="AO116" s="24" t="str">
        <f>IFERROR(__xludf.DUMMYFUNCTION("""COMPUTED_VALUE"""),"Germany")</f>
        <v>Germany</v>
      </c>
      <c r="AP116" s="24"/>
      <c r="AQ116" s="24"/>
      <c r="AR116" s="20"/>
    </row>
    <row r="117">
      <c r="A117" s="53"/>
      <c r="B117" s="34"/>
      <c r="C117" s="34"/>
      <c r="E117" s="34"/>
      <c r="F117" s="34"/>
      <c r="G117" s="34"/>
      <c r="H117" s="34"/>
      <c r="I117" s="34"/>
      <c r="J117" s="34"/>
      <c r="K117" s="34"/>
      <c r="L117" s="34"/>
      <c r="M117" s="34"/>
      <c r="N117" s="34"/>
      <c r="O117" s="34"/>
      <c r="P117" s="34"/>
      <c r="Q117" s="34"/>
      <c r="R117" s="24"/>
      <c r="S117" s="24"/>
      <c r="T117" s="24"/>
      <c r="U117" s="24"/>
      <c r="V117" s="24"/>
      <c r="W117" s="24"/>
      <c r="X117" s="24"/>
      <c r="Y117" s="24"/>
      <c r="Z117" s="24"/>
      <c r="AA117" s="24"/>
      <c r="AB117" s="24"/>
      <c r="AC117" s="24" t="str">
        <f>IFERROR(__xludf.DUMMYFUNCTION("""COMPUTED_VALUE"""),"London")</f>
        <v>London</v>
      </c>
      <c r="AD117" s="24" t="str">
        <f>IFERROR(__xludf.DUMMYFUNCTION("""COMPUTED_VALUE"""),"QQW")</f>
        <v>QQW</v>
      </c>
      <c r="AE117" s="24" t="str">
        <f>IFERROR(__xludf.DUMMYFUNCTION("""COMPUTED_VALUE"""),"London-Waterloo")</f>
        <v>London-Waterloo</v>
      </c>
      <c r="AF117" s="24" t="str">
        <f>IFERROR(__xludf.DUMMYFUNCTION("""COMPUTED_VALUE"""),"United Kingdom")</f>
        <v>United Kingdom</v>
      </c>
      <c r="AG117" s="24"/>
      <c r="AH117" s="24"/>
      <c r="AI117" s="24"/>
      <c r="AJ117" s="24"/>
      <c r="AK117" s="24"/>
      <c r="AL117" s="24" t="str">
        <f>IFERROR(__xludf.DUMMYFUNCTION("""COMPUTED_VALUE"""),"Neubrandenburg")</f>
        <v>Neubrandenburg</v>
      </c>
      <c r="AM117" s="24" t="str">
        <f>IFERROR(__xludf.DUMMYFUNCTION("""COMPUTED_VALUE"""),"FNB")</f>
        <v>FNB</v>
      </c>
      <c r="AN117" s="24" t="str">
        <f>IFERROR(__xludf.DUMMYFUNCTION("""COMPUTED_VALUE"""),"Neubrandenburg")</f>
        <v>Neubrandenburg</v>
      </c>
      <c r="AO117" s="24" t="str">
        <f>IFERROR(__xludf.DUMMYFUNCTION("""COMPUTED_VALUE"""),"Germany")</f>
        <v>Germany</v>
      </c>
      <c r="AP117" s="24"/>
      <c r="AQ117" s="24"/>
      <c r="AR117" s="20"/>
    </row>
    <row r="118">
      <c r="A118" s="53"/>
      <c r="B118" s="34"/>
      <c r="C118" s="34"/>
      <c r="E118" s="34"/>
      <c r="F118" s="34"/>
      <c r="G118" s="34"/>
      <c r="H118" s="34"/>
      <c r="I118" s="34"/>
      <c r="J118" s="34"/>
      <c r="K118" s="34"/>
      <c r="L118" s="34"/>
      <c r="M118" s="34"/>
      <c r="N118" s="34"/>
      <c r="O118" s="34"/>
      <c r="P118" s="34"/>
      <c r="Q118" s="34"/>
      <c r="R118" s="24"/>
      <c r="S118" s="24"/>
      <c r="T118" s="24"/>
      <c r="U118" s="24"/>
      <c r="V118" s="24"/>
      <c r="W118" s="24"/>
      <c r="X118" s="24"/>
      <c r="Y118" s="24"/>
      <c r="Z118" s="24"/>
      <c r="AA118" s="24"/>
      <c r="AB118" s="24"/>
      <c r="AC118" s="24" t="str">
        <f>IFERROR(__xludf.DUMMYFUNCTION("""COMPUTED_VALUE"""),"London")</f>
        <v>London</v>
      </c>
      <c r="AD118" s="24" t="str">
        <f>IFERROR(__xludf.DUMMYFUNCTION("""COMPUTED_VALUE"""),"LTN")</f>
        <v>LTN</v>
      </c>
      <c r="AE118" s="24" t="str">
        <f>IFERROR(__xludf.DUMMYFUNCTION("""COMPUTED_VALUE"""),"Luton Airport")</f>
        <v>Luton Airport</v>
      </c>
      <c r="AF118" s="24" t="str">
        <f>IFERROR(__xludf.DUMMYFUNCTION("""COMPUTED_VALUE"""),"United Kingdom")</f>
        <v>United Kingdom</v>
      </c>
      <c r="AG118" s="24"/>
      <c r="AH118" s="24"/>
      <c r="AI118" s="24"/>
      <c r="AJ118" s="24"/>
      <c r="AK118" s="24"/>
      <c r="AL118" s="24" t="str">
        <f>IFERROR(__xludf.DUMMYFUNCTION("""COMPUTED_VALUE"""),"Neumuenster")</f>
        <v>Neumuenster</v>
      </c>
      <c r="AM118" s="24" t="str">
        <f>IFERROR(__xludf.DUMMYFUNCTION("""COMPUTED_VALUE"""),"EUM")</f>
        <v>EUM</v>
      </c>
      <c r="AN118" s="24" t="str">
        <f>IFERROR(__xludf.DUMMYFUNCTION("""COMPUTED_VALUE"""),"Neumuenster")</f>
        <v>Neumuenster</v>
      </c>
      <c r="AO118" s="24" t="str">
        <f>IFERROR(__xludf.DUMMYFUNCTION("""COMPUTED_VALUE"""),"Germany")</f>
        <v>Germany</v>
      </c>
      <c r="AP118" s="24"/>
      <c r="AQ118" s="24"/>
      <c r="AR118" s="20"/>
    </row>
    <row r="119">
      <c r="A119" s="53"/>
      <c r="B119" s="34"/>
      <c r="C119" s="34"/>
      <c r="E119" s="34"/>
      <c r="F119" s="34"/>
      <c r="G119" s="34"/>
      <c r="H119" s="34"/>
      <c r="I119" s="34"/>
      <c r="J119" s="34"/>
      <c r="K119" s="34"/>
      <c r="L119" s="34"/>
      <c r="M119" s="34"/>
      <c r="N119" s="34"/>
      <c r="O119" s="34"/>
      <c r="P119" s="34"/>
      <c r="Q119" s="34"/>
      <c r="R119" s="24"/>
      <c r="S119" s="24"/>
      <c r="T119" s="24"/>
      <c r="U119" s="24"/>
      <c r="V119" s="24"/>
      <c r="W119" s="24"/>
      <c r="X119" s="24"/>
      <c r="Y119" s="24"/>
      <c r="Z119" s="24"/>
      <c r="AA119" s="24"/>
      <c r="AB119" s="24"/>
      <c r="AC119" s="24" t="str">
        <f>IFERROR(__xludf.DUMMYFUNCTION("""COMPUTED_VALUE"""),"London")</f>
        <v>London</v>
      </c>
      <c r="AD119" s="24" t="str">
        <f>IFERROR(__xludf.DUMMYFUNCTION("""COMPUTED_VALUE"""),"STN")</f>
        <v>STN</v>
      </c>
      <c r="AE119" s="24" t="str">
        <f>IFERROR(__xludf.DUMMYFUNCTION("""COMPUTED_VALUE"""),"Stansted")</f>
        <v>Stansted</v>
      </c>
      <c r="AF119" s="24" t="str">
        <f>IFERROR(__xludf.DUMMYFUNCTION("""COMPUTED_VALUE"""),"United Kingdom")</f>
        <v>United Kingdom</v>
      </c>
      <c r="AG119" s="24"/>
      <c r="AH119" s="24"/>
      <c r="AI119" s="24"/>
      <c r="AJ119" s="24"/>
      <c r="AK119" s="24"/>
      <c r="AL119" s="24" t="str">
        <f>IFERROR(__xludf.DUMMYFUNCTION("""COMPUTED_VALUE"""),"Norddeich")</f>
        <v>Norddeich</v>
      </c>
      <c r="AM119" s="24" t="str">
        <f>IFERROR(__xludf.DUMMYFUNCTION("""COMPUTED_VALUE"""),"NOE")</f>
        <v>NOE</v>
      </c>
      <c r="AN119" s="24" t="str">
        <f>IFERROR(__xludf.DUMMYFUNCTION("""COMPUTED_VALUE"""),"Norddeich")</f>
        <v>Norddeich</v>
      </c>
      <c r="AO119" s="24" t="str">
        <f>IFERROR(__xludf.DUMMYFUNCTION("""COMPUTED_VALUE"""),"Germany")</f>
        <v>Germany</v>
      </c>
      <c r="AP119" s="24"/>
      <c r="AQ119" s="24"/>
      <c r="AR119" s="20"/>
    </row>
    <row r="120">
      <c r="A120" s="53"/>
      <c r="B120" s="34"/>
      <c r="C120" s="34"/>
      <c r="E120" s="34"/>
      <c r="F120" s="34"/>
      <c r="G120" s="34"/>
      <c r="H120" s="34"/>
      <c r="I120" s="34"/>
      <c r="J120" s="34"/>
      <c r="K120" s="34"/>
      <c r="L120" s="34"/>
      <c r="M120" s="34"/>
      <c r="N120" s="34"/>
      <c r="O120" s="34"/>
      <c r="P120" s="34"/>
      <c r="Q120" s="34"/>
      <c r="R120" s="24"/>
      <c r="S120" s="24"/>
      <c r="T120" s="24"/>
      <c r="U120" s="24"/>
      <c r="V120" s="24"/>
      <c r="W120" s="24"/>
      <c r="X120" s="24"/>
      <c r="Y120" s="24"/>
      <c r="Z120" s="24"/>
      <c r="AA120" s="24"/>
      <c r="AB120" s="24"/>
      <c r="AC120" s="24" t="str">
        <f>IFERROR(__xludf.DUMMYFUNCTION("""COMPUTED_VALUE"""),"London")</f>
        <v>London</v>
      </c>
      <c r="AD120" s="24" t="str">
        <f>IFERROR(__xludf.DUMMYFUNCTION("""COMPUTED_VALUE"""),"ZEP")</f>
        <v>ZEP</v>
      </c>
      <c r="AE120" s="24" t="str">
        <f>IFERROR(__xludf.DUMMYFUNCTION("""COMPUTED_VALUE"""),"Victoria Railway Stn.")</f>
        <v>Victoria Railway Stn.</v>
      </c>
      <c r="AF120" s="24" t="str">
        <f>IFERROR(__xludf.DUMMYFUNCTION("""COMPUTED_VALUE"""),"United Kingdom")</f>
        <v>United Kingdom</v>
      </c>
      <c r="AG120" s="24"/>
      <c r="AH120" s="24"/>
      <c r="AI120" s="24"/>
      <c r="AJ120" s="24"/>
      <c r="AK120" s="24"/>
      <c r="AL120" s="24" t="str">
        <f>IFERROR(__xludf.DUMMYFUNCTION("""COMPUTED_VALUE"""),"Norden")</f>
        <v>Norden</v>
      </c>
      <c r="AM120" s="24" t="str">
        <f>IFERROR(__xludf.DUMMYFUNCTION("""COMPUTED_VALUE"""),"NOD")</f>
        <v>NOD</v>
      </c>
      <c r="AN120" s="24" t="str">
        <f>IFERROR(__xludf.DUMMYFUNCTION("""COMPUTED_VALUE"""),"Norden")</f>
        <v>Norden</v>
      </c>
      <c r="AO120" s="24" t="str">
        <f>IFERROR(__xludf.DUMMYFUNCTION("""COMPUTED_VALUE"""),"Germany")</f>
        <v>Germany</v>
      </c>
      <c r="AP120" s="24"/>
      <c r="AQ120" s="24"/>
      <c r="AR120" s="20"/>
    </row>
    <row r="121">
      <c r="A121" s="53"/>
      <c r="B121" s="34"/>
      <c r="C121" s="34"/>
      <c r="E121" s="34"/>
      <c r="F121" s="34"/>
      <c r="G121" s="34"/>
      <c r="H121" s="34"/>
      <c r="I121" s="34"/>
      <c r="J121" s="34"/>
      <c r="K121" s="34"/>
      <c r="L121" s="34"/>
      <c r="M121" s="34"/>
      <c r="N121" s="34"/>
      <c r="O121" s="34"/>
      <c r="P121" s="34"/>
      <c r="Q121" s="34"/>
      <c r="R121" s="24"/>
      <c r="S121" s="24"/>
      <c r="T121" s="24"/>
      <c r="U121" s="24"/>
      <c r="V121" s="24"/>
      <c r="W121" s="24"/>
      <c r="X121" s="24"/>
      <c r="Y121" s="24"/>
      <c r="Z121" s="24"/>
      <c r="AA121" s="24"/>
      <c r="AB121" s="24"/>
      <c r="AC121" s="24" t="str">
        <f>IFERROR(__xludf.DUMMYFUNCTION("""COMPUTED_VALUE"""),"Londonderry")</f>
        <v>Londonderry</v>
      </c>
      <c r="AD121" s="24" t="str">
        <f>IFERROR(__xludf.DUMMYFUNCTION("""COMPUTED_VALUE"""),"LDY")</f>
        <v>LDY</v>
      </c>
      <c r="AE121" s="24" t="str">
        <f>IFERROR(__xludf.DUMMYFUNCTION("""COMPUTED_VALUE"""),"Eglinton (City Of Londonderry)")</f>
        <v>Eglinton (City Of Londonderry)</v>
      </c>
      <c r="AF121" s="24" t="str">
        <f>IFERROR(__xludf.DUMMYFUNCTION("""COMPUTED_VALUE"""),"United Kingdom")</f>
        <v>United Kingdom</v>
      </c>
      <c r="AG121" s="24"/>
      <c r="AH121" s="24"/>
      <c r="AI121" s="24"/>
      <c r="AJ121" s="24"/>
      <c r="AK121" s="24"/>
      <c r="AL121" s="24" t="str">
        <f>IFERROR(__xludf.DUMMYFUNCTION("""COMPUTED_VALUE"""),"Norderney")</f>
        <v>Norderney</v>
      </c>
      <c r="AM121" s="24" t="str">
        <f>IFERROR(__xludf.DUMMYFUNCTION("""COMPUTED_VALUE"""),"NRD")</f>
        <v>NRD</v>
      </c>
      <c r="AN121" s="24" t="str">
        <f>IFERROR(__xludf.DUMMYFUNCTION("""COMPUTED_VALUE"""),"Norderney")</f>
        <v>Norderney</v>
      </c>
      <c r="AO121" s="24" t="str">
        <f>IFERROR(__xludf.DUMMYFUNCTION("""COMPUTED_VALUE"""),"Germany")</f>
        <v>Germany</v>
      </c>
      <c r="AP121" s="24"/>
      <c r="AQ121" s="24"/>
      <c r="AR121" s="20"/>
    </row>
    <row r="122">
      <c r="A122" s="53"/>
      <c r="B122" s="34"/>
      <c r="C122" s="34"/>
      <c r="E122" s="34"/>
      <c r="F122" s="34"/>
      <c r="G122" s="34"/>
      <c r="H122" s="34"/>
      <c r="I122" s="34"/>
      <c r="J122" s="34"/>
      <c r="K122" s="34"/>
      <c r="L122" s="34"/>
      <c r="M122" s="34"/>
      <c r="N122" s="34"/>
      <c r="O122" s="34"/>
      <c r="P122" s="34"/>
      <c r="Q122" s="34"/>
      <c r="R122" s="24"/>
      <c r="S122" s="24"/>
      <c r="T122" s="24"/>
      <c r="U122" s="24"/>
      <c r="V122" s="24"/>
      <c r="W122" s="24"/>
      <c r="X122" s="24"/>
      <c r="Y122" s="24"/>
      <c r="Z122" s="24"/>
      <c r="AA122" s="24"/>
      <c r="AB122" s="24"/>
      <c r="AC122" s="24" t="str">
        <f>IFERROR(__xludf.DUMMYFUNCTION("""COMPUTED_VALUE"""),"Lossiemouth")</f>
        <v>Lossiemouth</v>
      </c>
      <c r="AD122" s="24" t="str">
        <f>IFERROR(__xludf.DUMMYFUNCTION("""COMPUTED_VALUE"""),"LMO")</f>
        <v>LMO</v>
      </c>
      <c r="AE122" s="24" t="str">
        <f>IFERROR(__xludf.DUMMYFUNCTION("""COMPUTED_VALUE"""),"RAF Station")</f>
        <v>RAF Station</v>
      </c>
      <c r="AF122" s="24" t="str">
        <f>IFERROR(__xludf.DUMMYFUNCTION("""COMPUTED_VALUE"""),"United Kingdom")</f>
        <v>United Kingdom</v>
      </c>
      <c r="AG122" s="24"/>
      <c r="AH122" s="24"/>
      <c r="AI122" s="24"/>
      <c r="AJ122" s="24"/>
      <c r="AK122" s="24"/>
      <c r="AL122" s="24" t="str">
        <f>IFERROR(__xludf.DUMMYFUNCTION("""COMPUTED_VALUE"""),"Nordholz-Spieka")</f>
        <v>Nordholz-Spieka</v>
      </c>
      <c r="AM122" s="24" t="str">
        <f>IFERROR(__xludf.DUMMYFUNCTION("""COMPUTED_VALUE"""),"NDZ")</f>
        <v>NDZ</v>
      </c>
      <c r="AN122" s="24" t="str">
        <f>IFERROR(__xludf.DUMMYFUNCTION("""COMPUTED_VALUE"""),"Cuxhaven")</f>
        <v>Cuxhaven</v>
      </c>
      <c r="AO122" s="24" t="str">
        <f>IFERROR(__xludf.DUMMYFUNCTION("""COMPUTED_VALUE"""),"Germany")</f>
        <v>Germany</v>
      </c>
      <c r="AP122" s="24"/>
      <c r="AQ122" s="24"/>
      <c r="AR122" s="20"/>
    </row>
    <row r="123">
      <c r="A123" s="53"/>
      <c r="B123" s="34"/>
      <c r="C123" s="34"/>
      <c r="E123" s="34"/>
      <c r="F123" s="34"/>
      <c r="G123" s="34"/>
      <c r="H123" s="34"/>
      <c r="I123" s="34"/>
      <c r="J123" s="34"/>
      <c r="K123" s="34"/>
      <c r="L123" s="34"/>
      <c r="M123" s="34"/>
      <c r="N123" s="34"/>
      <c r="O123" s="34"/>
      <c r="P123" s="34"/>
      <c r="Q123" s="34"/>
      <c r="R123" s="24"/>
      <c r="S123" s="24"/>
      <c r="T123" s="24"/>
      <c r="U123" s="24"/>
      <c r="V123" s="24"/>
      <c r="W123" s="24"/>
      <c r="X123" s="24"/>
      <c r="Y123" s="24"/>
      <c r="Z123" s="24"/>
      <c r="AA123" s="24"/>
      <c r="AB123" s="24"/>
      <c r="AC123" s="24" t="str">
        <f>IFERROR(__xludf.DUMMYFUNCTION("""COMPUTED_VALUE"""),"Lyneham")</f>
        <v>Lyneham</v>
      </c>
      <c r="AD123" s="24" t="str">
        <f>IFERROR(__xludf.DUMMYFUNCTION("""COMPUTED_VALUE"""),"LYE")</f>
        <v>LYE</v>
      </c>
      <c r="AE123" s="24" t="str">
        <f>IFERROR(__xludf.DUMMYFUNCTION("""COMPUTED_VALUE"""),"RAF Station")</f>
        <v>RAF Station</v>
      </c>
      <c r="AF123" s="24" t="str">
        <f>IFERROR(__xludf.DUMMYFUNCTION("""COMPUTED_VALUE"""),"United Kingdom")</f>
        <v>United Kingdom</v>
      </c>
      <c r="AG123" s="24"/>
      <c r="AH123" s="24"/>
      <c r="AI123" s="24"/>
      <c r="AJ123" s="24"/>
      <c r="AK123" s="24"/>
      <c r="AL123" s="24" t="str">
        <f>IFERROR(__xludf.DUMMYFUNCTION("""COMPUTED_VALUE"""),"Oberpfaffenhofen")</f>
        <v>Oberpfaffenhofen</v>
      </c>
      <c r="AM123" s="24" t="str">
        <f>IFERROR(__xludf.DUMMYFUNCTION("""COMPUTED_VALUE"""),"OBF")</f>
        <v>OBF</v>
      </c>
      <c r="AN123" s="24" t="str">
        <f>IFERROR(__xludf.DUMMYFUNCTION("""COMPUTED_VALUE"""),"Oberpfaffenhofen")</f>
        <v>Oberpfaffenhofen</v>
      </c>
      <c r="AO123" s="24" t="str">
        <f>IFERROR(__xludf.DUMMYFUNCTION("""COMPUTED_VALUE"""),"Germany")</f>
        <v>Germany</v>
      </c>
      <c r="AP123" s="24"/>
      <c r="AQ123" s="24"/>
      <c r="AR123" s="20"/>
    </row>
    <row r="124">
      <c r="A124" s="53"/>
      <c r="B124" s="34"/>
      <c r="C124" s="34"/>
      <c r="E124" s="34"/>
      <c r="F124" s="34"/>
      <c r="G124" s="34"/>
      <c r="H124" s="34"/>
      <c r="I124" s="34"/>
      <c r="J124" s="34"/>
      <c r="K124" s="34"/>
      <c r="L124" s="34"/>
      <c r="M124" s="34"/>
      <c r="N124" s="34"/>
      <c r="O124" s="34"/>
      <c r="P124" s="34"/>
      <c r="Q124" s="34"/>
      <c r="R124" s="24"/>
      <c r="S124" s="24"/>
      <c r="T124" s="24"/>
      <c r="U124" s="24"/>
      <c r="V124" s="24"/>
      <c r="W124" s="24"/>
      <c r="X124" s="24"/>
      <c r="Y124" s="24"/>
      <c r="Z124" s="24"/>
      <c r="AA124" s="24"/>
      <c r="AB124" s="24"/>
      <c r="AC124" s="24" t="str">
        <f>IFERROR(__xludf.DUMMYFUNCTION("""COMPUTED_VALUE"""),"Machrihanish")</f>
        <v>Machrihanish</v>
      </c>
      <c r="AD124" s="24" t="str">
        <f>IFERROR(__xludf.DUMMYFUNCTION("""COMPUTED_VALUE"""),"GQJ")</f>
        <v>GQJ</v>
      </c>
      <c r="AE124" s="24" t="str">
        <f>IFERROR(__xludf.DUMMYFUNCTION("""COMPUTED_VALUE"""),"RAF Station")</f>
        <v>RAF Station</v>
      </c>
      <c r="AF124" s="24" t="str">
        <f>IFERROR(__xludf.DUMMYFUNCTION("""COMPUTED_VALUE"""),"United Kingdom")</f>
        <v>United Kingdom</v>
      </c>
      <c r="AG124" s="24"/>
      <c r="AH124" s="24"/>
      <c r="AI124" s="24"/>
      <c r="AJ124" s="24"/>
      <c r="AK124" s="24"/>
      <c r="AL124" s="24" t="str">
        <f>IFERROR(__xludf.DUMMYFUNCTION("""COMPUTED_VALUE"""),"Paderborn")</f>
        <v>Paderborn</v>
      </c>
      <c r="AM124" s="24" t="str">
        <f>IFERROR(__xludf.DUMMYFUNCTION("""COMPUTED_VALUE"""),"PAD")</f>
        <v>PAD</v>
      </c>
      <c r="AN124" s="24" t="str">
        <f>IFERROR(__xludf.DUMMYFUNCTION("""COMPUTED_VALUE"""),"Paderborn")</f>
        <v>Paderborn</v>
      </c>
      <c r="AO124" s="24" t="str">
        <f>IFERROR(__xludf.DUMMYFUNCTION("""COMPUTED_VALUE"""),"Germany")</f>
        <v>Germany</v>
      </c>
      <c r="AP124" s="24"/>
      <c r="AQ124" s="24"/>
      <c r="AR124" s="20"/>
    </row>
    <row r="125">
      <c r="A125" s="53"/>
      <c r="B125" s="34"/>
      <c r="C125" s="34"/>
      <c r="E125" s="34"/>
      <c r="F125" s="34"/>
      <c r="G125" s="34"/>
      <c r="H125" s="34"/>
      <c r="I125" s="34"/>
      <c r="J125" s="34"/>
      <c r="K125" s="34"/>
      <c r="L125" s="34"/>
      <c r="M125" s="34"/>
      <c r="N125" s="34"/>
      <c r="O125" s="34"/>
      <c r="P125" s="34"/>
      <c r="Q125" s="34"/>
      <c r="R125" s="24"/>
      <c r="S125" s="24"/>
      <c r="T125" s="24"/>
      <c r="U125" s="24"/>
      <c r="V125" s="24"/>
      <c r="W125" s="24"/>
      <c r="X125" s="24"/>
      <c r="Y125" s="24"/>
      <c r="Z125" s="24"/>
      <c r="AA125" s="24"/>
      <c r="AB125" s="24"/>
      <c r="AC125" s="24" t="str">
        <f>IFERROR(__xludf.DUMMYFUNCTION("""COMPUTED_VALUE"""),"Manchester")</f>
        <v>Manchester</v>
      </c>
      <c r="AD125" s="24" t="str">
        <f>IFERROR(__xludf.DUMMYFUNCTION("""COMPUTED_VALUE"""),"MAN")</f>
        <v>MAN</v>
      </c>
      <c r="AE125" s="24" t="str">
        <f>IFERROR(__xludf.DUMMYFUNCTION("""COMPUTED_VALUE"""),"Manchester")</f>
        <v>Manchester</v>
      </c>
      <c r="AF125" s="24" t="str">
        <f>IFERROR(__xludf.DUMMYFUNCTION("""COMPUTED_VALUE"""),"United Kingdom")</f>
        <v>United Kingdom</v>
      </c>
      <c r="AG125" s="24"/>
      <c r="AH125" s="24"/>
      <c r="AI125" s="24"/>
      <c r="AJ125" s="24"/>
      <c r="AK125" s="24"/>
      <c r="AL125" s="24" t="str">
        <f>IFERROR(__xludf.DUMMYFUNCTION("""COMPUTED_VALUE"""),"Peenemuende")</f>
        <v>Peenemuende</v>
      </c>
      <c r="AM125" s="24" t="str">
        <f>IFERROR(__xludf.DUMMYFUNCTION("""COMPUTED_VALUE"""),"PEF")</f>
        <v>PEF</v>
      </c>
      <c r="AN125" s="24" t="str">
        <f>IFERROR(__xludf.DUMMYFUNCTION("""COMPUTED_VALUE"""),"Peenemuende")</f>
        <v>Peenemuende</v>
      </c>
      <c r="AO125" s="24" t="str">
        <f>IFERROR(__xludf.DUMMYFUNCTION("""COMPUTED_VALUE"""),"Germany")</f>
        <v>Germany</v>
      </c>
      <c r="AP125" s="24"/>
      <c r="AQ125" s="24"/>
      <c r="AR125" s="20"/>
    </row>
    <row r="126">
      <c r="A126" s="53"/>
      <c r="B126" s="34"/>
      <c r="C126" s="34"/>
      <c r="E126" s="34"/>
      <c r="F126" s="34"/>
      <c r="G126" s="34"/>
      <c r="H126" s="34"/>
      <c r="I126" s="34"/>
      <c r="J126" s="34"/>
      <c r="K126" s="34"/>
      <c r="L126" s="34"/>
      <c r="M126" s="34"/>
      <c r="N126" s="34"/>
      <c r="O126" s="34"/>
      <c r="P126" s="34"/>
      <c r="Q126" s="34"/>
      <c r="R126" s="24"/>
      <c r="S126" s="24"/>
      <c r="T126" s="24"/>
      <c r="U126" s="24"/>
      <c r="V126" s="24"/>
      <c r="W126" s="24"/>
      <c r="X126" s="24"/>
      <c r="Y126" s="24"/>
      <c r="Z126" s="24"/>
      <c r="AA126" s="24"/>
      <c r="AB126" s="24"/>
      <c r="AC126" s="24" t="str">
        <f>IFERROR(__xludf.DUMMYFUNCTION("""COMPUTED_VALUE"""),"Manchester")</f>
        <v>Manchester</v>
      </c>
      <c r="AD126" s="24" t="str">
        <f>IFERROR(__xludf.DUMMYFUNCTION("""COMPUTED_VALUE"""),"ZMP")</f>
        <v>ZMP</v>
      </c>
      <c r="AE126" s="24" t="str">
        <f>IFERROR(__xludf.DUMMYFUNCTION("""COMPUTED_VALUE"""),"Manchester Bus Stn.")</f>
        <v>Manchester Bus Stn.</v>
      </c>
      <c r="AF126" s="24" t="str">
        <f>IFERROR(__xludf.DUMMYFUNCTION("""COMPUTED_VALUE"""),"United Kingdom")</f>
        <v>United Kingdom</v>
      </c>
      <c r="AG126" s="24"/>
      <c r="AH126" s="24"/>
      <c r="AI126" s="24"/>
      <c r="AJ126" s="24"/>
      <c r="AK126" s="24"/>
      <c r="AL126" s="24" t="str">
        <f>IFERROR(__xludf.DUMMYFUNCTION("""COMPUTED_VALUE"""),"Pforheim")</f>
        <v>Pforheim</v>
      </c>
      <c r="AM126" s="24" t="str">
        <f>IFERROR(__xludf.DUMMYFUNCTION("""COMPUTED_VALUE"""),"UPF")</f>
        <v>UPF</v>
      </c>
      <c r="AN126" s="24" t="str">
        <f>IFERROR(__xludf.DUMMYFUNCTION("""COMPUTED_VALUE"""),"Pforheim")</f>
        <v>Pforheim</v>
      </c>
      <c r="AO126" s="24" t="str">
        <f>IFERROR(__xludf.DUMMYFUNCTION("""COMPUTED_VALUE"""),"Germany")</f>
        <v>Germany</v>
      </c>
      <c r="AP126" s="24"/>
      <c r="AQ126" s="24"/>
      <c r="AR126" s="20"/>
    </row>
    <row r="127">
      <c r="A127" s="53"/>
      <c r="B127" s="34"/>
      <c r="C127" s="34"/>
      <c r="E127" s="34"/>
      <c r="F127" s="34"/>
      <c r="G127" s="34"/>
      <c r="H127" s="34"/>
      <c r="I127" s="34"/>
      <c r="J127" s="34"/>
      <c r="K127" s="34"/>
      <c r="L127" s="34"/>
      <c r="M127" s="34"/>
      <c r="N127" s="34"/>
      <c r="O127" s="34"/>
      <c r="P127" s="34"/>
      <c r="Q127" s="34"/>
      <c r="R127" s="24"/>
      <c r="S127" s="24"/>
      <c r="T127" s="24"/>
      <c r="U127" s="24"/>
      <c r="V127" s="24"/>
      <c r="W127" s="24"/>
      <c r="X127" s="24"/>
      <c r="Y127" s="24"/>
      <c r="Z127" s="24"/>
      <c r="AA127" s="24"/>
      <c r="AB127" s="24"/>
      <c r="AC127" s="24" t="str">
        <f>IFERROR(__xludf.DUMMYFUNCTION("""COMPUTED_VALUE"""),"Manston")</f>
        <v>Manston</v>
      </c>
      <c r="AD127" s="24" t="str">
        <f>IFERROR(__xludf.DUMMYFUNCTION("""COMPUTED_VALUE"""),"MSE")</f>
        <v>MSE</v>
      </c>
      <c r="AE127" s="24" t="str">
        <f>IFERROR(__xludf.DUMMYFUNCTION("""COMPUTED_VALUE"""),"Kent International")</f>
        <v>Kent International</v>
      </c>
      <c r="AF127" s="24" t="str">
        <f>IFERROR(__xludf.DUMMYFUNCTION("""COMPUTED_VALUE"""),"United Kingdom")</f>
        <v>United Kingdom</v>
      </c>
      <c r="AG127" s="24"/>
      <c r="AH127" s="24"/>
      <c r="AI127" s="24"/>
      <c r="AJ127" s="24"/>
      <c r="AK127" s="24"/>
      <c r="AL127" s="24" t="str">
        <f>IFERROR(__xludf.DUMMYFUNCTION("""COMPUTED_VALUE"""),"Rail (Generic)")</f>
        <v>Rail (Generic)</v>
      </c>
      <c r="AM127" s="24" t="str">
        <f>IFERROR(__xludf.DUMMYFUNCTION("""COMPUTED_VALUE"""),"XZE")</f>
        <v>XZE</v>
      </c>
      <c r="AN127" s="24" t="str">
        <f>IFERROR(__xludf.DUMMYFUNCTION("""COMPUTED_VALUE"""),"Off line Point")</f>
        <v>Off line Point</v>
      </c>
      <c r="AO127" s="24" t="str">
        <f>IFERROR(__xludf.DUMMYFUNCTION("""COMPUTED_VALUE"""),"Germany")</f>
        <v>Germany</v>
      </c>
      <c r="AP127" s="24"/>
      <c r="AQ127" s="24"/>
      <c r="AR127" s="20"/>
    </row>
    <row r="128">
      <c r="A128" s="53"/>
      <c r="B128" s="34"/>
      <c r="C128" s="34"/>
      <c r="E128" s="34"/>
      <c r="F128" s="34"/>
      <c r="G128" s="34"/>
      <c r="H128" s="34"/>
      <c r="I128" s="34"/>
      <c r="J128" s="34"/>
      <c r="K128" s="34"/>
      <c r="L128" s="34"/>
      <c r="M128" s="34"/>
      <c r="N128" s="34"/>
      <c r="O128" s="34"/>
      <c r="P128" s="34"/>
      <c r="Q128" s="34"/>
      <c r="R128" s="24"/>
      <c r="S128" s="24"/>
      <c r="T128" s="24"/>
      <c r="U128" s="24"/>
      <c r="V128" s="24"/>
      <c r="W128" s="24"/>
      <c r="X128" s="24"/>
      <c r="Y128" s="24"/>
      <c r="Z128" s="24"/>
      <c r="AA128" s="24"/>
      <c r="AB128" s="24"/>
      <c r="AC128" s="24" t="str">
        <f>IFERROR(__xludf.DUMMYFUNCTION("""COMPUTED_VALUE"""),"Mildenhall")</f>
        <v>Mildenhall</v>
      </c>
      <c r="AD128" s="24" t="str">
        <f>IFERROR(__xludf.DUMMYFUNCTION("""COMPUTED_VALUE"""),"MHZ")</f>
        <v>MHZ</v>
      </c>
      <c r="AE128" s="24" t="str">
        <f>IFERROR(__xludf.DUMMYFUNCTION("""COMPUTED_VALUE"""),"Mildenhall Arpt")</f>
        <v>Mildenhall Arpt</v>
      </c>
      <c r="AF128" s="24" t="str">
        <f>IFERROR(__xludf.DUMMYFUNCTION("""COMPUTED_VALUE"""),"United Kingdom")</f>
        <v>United Kingdom</v>
      </c>
      <c r="AG128" s="24"/>
      <c r="AH128" s="24"/>
      <c r="AI128" s="24"/>
      <c r="AJ128" s="24"/>
      <c r="AK128" s="24"/>
      <c r="AL128" s="24" t="str">
        <f>IFERROR(__xludf.DUMMYFUNCTION("""COMPUTED_VALUE"""),"Ramstein")</f>
        <v>Ramstein</v>
      </c>
      <c r="AM128" s="24" t="str">
        <f>IFERROR(__xludf.DUMMYFUNCTION("""COMPUTED_VALUE"""),"RMS")</f>
        <v>RMS</v>
      </c>
      <c r="AN128" s="24" t="str">
        <f>IFERROR(__xludf.DUMMYFUNCTION("""COMPUTED_VALUE"""),"Ramstein")</f>
        <v>Ramstein</v>
      </c>
      <c r="AO128" s="24" t="str">
        <f>IFERROR(__xludf.DUMMYFUNCTION("""COMPUTED_VALUE"""),"Germany")</f>
        <v>Germany</v>
      </c>
      <c r="AP128" s="24"/>
      <c r="AQ128" s="24"/>
      <c r="AR128" s="20"/>
    </row>
    <row r="129">
      <c r="A129" s="53"/>
      <c r="B129" s="34"/>
      <c r="C129" s="34"/>
      <c r="E129" s="34"/>
      <c r="F129" s="34"/>
      <c r="G129" s="34"/>
      <c r="H129" s="34"/>
      <c r="I129" s="34"/>
      <c r="J129" s="34"/>
      <c r="K129" s="34"/>
      <c r="L129" s="34"/>
      <c r="M129" s="34"/>
      <c r="N129" s="34"/>
      <c r="O129" s="34"/>
      <c r="P129" s="34"/>
      <c r="Q129" s="34"/>
      <c r="R129" s="24"/>
      <c r="S129" s="24"/>
      <c r="T129" s="24"/>
      <c r="U129" s="24"/>
      <c r="V129" s="24"/>
      <c r="W129" s="24"/>
      <c r="X129" s="24"/>
      <c r="Y129" s="24"/>
      <c r="Z129" s="24"/>
      <c r="AA129" s="24"/>
      <c r="AB129" s="24"/>
      <c r="AC129" s="24" t="str">
        <f>IFERROR(__xludf.DUMMYFUNCTION("""COMPUTED_VALUE"""),"Mildenhall")</f>
        <v>Mildenhall</v>
      </c>
      <c r="AD129" s="24" t="str">
        <f>IFERROR(__xludf.DUMMYFUNCTION("""COMPUTED_VALUE"""),"GXH")</f>
        <v>GXH</v>
      </c>
      <c r="AE129" s="24" t="str">
        <f>IFERROR(__xludf.DUMMYFUNCTION("""COMPUTED_VALUE"""),"NAF")</f>
        <v>NAF</v>
      </c>
      <c r="AF129" s="24" t="str">
        <f>IFERROR(__xludf.DUMMYFUNCTION("""COMPUTED_VALUE"""),"United Kingdom")</f>
        <v>United Kingdom</v>
      </c>
      <c r="AG129" s="24"/>
      <c r="AH129" s="24"/>
      <c r="AI129" s="24"/>
      <c r="AJ129" s="24"/>
      <c r="AK129" s="24"/>
      <c r="AL129" s="24" t="str">
        <f>IFERROR(__xludf.DUMMYFUNCTION("""COMPUTED_VALUE"""),"Rechlin")</f>
        <v>Rechlin</v>
      </c>
      <c r="AM129" s="24" t="str">
        <f>IFERROR(__xludf.DUMMYFUNCTION("""COMPUTED_VALUE"""),"REB")</f>
        <v>REB</v>
      </c>
      <c r="AN129" s="24" t="str">
        <f>IFERROR(__xludf.DUMMYFUNCTION("""COMPUTED_VALUE"""),"Rechlin")</f>
        <v>Rechlin</v>
      </c>
      <c r="AO129" s="24" t="str">
        <f>IFERROR(__xludf.DUMMYFUNCTION("""COMPUTED_VALUE"""),"Germany")</f>
        <v>Germany</v>
      </c>
      <c r="AP129" s="24"/>
      <c r="AQ129" s="24"/>
      <c r="AR129" s="20"/>
    </row>
    <row r="130">
      <c r="A130" s="53"/>
      <c r="B130" s="34"/>
      <c r="C130" s="34"/>
      <c r="E130" s="34"/>
      <c r="F130" s="34"/>
      <c r="G130" s="34"/>
      <c r="H130" s="34"/>
      <c r="I130" s="34"/>
      <c r="J130" s="34"/>
      <c r="K130" s="34"/>
      <c r="L130" s="34"/>
      <c r="M130" s="34"/>
      <c r="N130" s="34"/>
      <c r="O130" s="34"/>
      <c r="P130" s="34"/>
      <c r="Q130" s="34"/>
      <c r="R130" s="24"/>
      <c r="S130" s="24"/>
      <c r="T130" s="24"/>
      <c r="U130" s="24"/>
      <c r="V130" s="24"/>
      <c r="W130" s="24"/>
      <c r="X130" s="24"/>
      <c r="Y130" s="24"/>
      <c r="Z130" s="24"/>
      <c r="AA130" s="24"/>
      <c r="AB130" s="24"/>
      <c r="AC130" s="24" t="str">
        <f>IFERROR(__xludf.DUMMYFUNCTION("""COMPUTED_VALUE"""),"Milton Keynes")</f>
        <v>Milton Keynes</v>
      </c>
      <c r="AD130" s="24" t="str">
        <f>IFERROR(__xludf.DUMMYFUNCTION("""COMPUTED_VALUE"""),"KYN")</f>
        <v>KYN</v>
      </c>
      <c r="AE130" s="24" t="str">
        <f>IFERROR(__xludf.DUMMYFUNCTION("""COMPUTED_VALUE"""),"Milton Keynes")</f>
        <v>Milton Keynes</v>
      </c>
      <c r="AF130" s="24" t="str">
        <f>IFERROR(__xludf.DUMMYFUNCTION("""COMPUTED_VALUE"""),"United Kingdom")</f>
        <v>United Kingdom</v>
      </c>
      <c r="AG130" s="24"/>
      <c r="AH130" s="24"/>
      <c r="AI130" s="24"/>
      <c r="AJ130" s="24"/>
      <c r="AK130" s="24"/>
      <c r="AL130" s="24" t="str">
        <f>IFERROR(__xludf.DUMMYFUNCTION("""COMPUTED_VALUE"""),"Rheindahlen")</f>
        <v>Rheindahlen</v>
      </c>
      <c r="AM130" s="24" t="str">
        <f>IFERROR(__xludf.DUMMYFUNCTION("""COMPUTED_VALUE"""),"GMY")</f>
        <v>GMY</v>
      </c>
      <c r="AN130" s="24" t="str">
        <f>IFERROR(__xludf.DUMMYFUNCTION("""COMPUTED_VALUE"""),"Rheindahlen")</f>
        <v>Rheindahlen</v>
      </c>
      <c r="AO130" s="24" t="str">
        <f>IFERROR(__xludf.DUMMYFUNCTION("""COMPUTED_VALUE"""),"Germany")</f>
        <v>Germany</v>
      </c>
      <c r="AP130" s="24"/>
      <c r="AQ130" s="24"/>
      <c r="AR130" s="20"/>
    </row>
    <row r="131">
      <c r="A131" s="53"/>
      <c r="B131" s="34"/>
      <c r="C131" s="34"/>
      <c r="E131" s="34"/>
      <c r="F131" s="34"/>
      <c r="G131" s="34"/>
      <c r="H131" s="34"/>
      <c r="I131" s="34"/>
      <c r="J131" s="34"/>
      <c r="K131" s="34"/>
      <c r="L131" s="34"/>
      <c r="M131" s="34"/>
      <c r="N131" s="34"/>
      <c r="O131" s="34"/>
      <c r="P131" s="34"/>
      <c r="Q131" s="34"/>
      <c r="R131" s="24"/>
      <c r="S131" s="24"/>
      <c r="T131" s="24"/>
      <c r="U131" s="24"/>
      <c r="V131" s="24"/>
      <c r="W131" s="24"/>
      <c r="X131" s="24"/>
      <c r="Y131" s="24"/>
      <c r="Z131" s="24"/>
      <c r="AA131" s="24"/>
      <c r="AB131" s="24"/>
      <c r="AC131" s="24" t="str">
        <f>IFERROR(__xludf.DUMMYFUNCTION("""COMPUTED_VALUE"""),"Mull")</f>
        <v>Mull</v>
      </c>
      <c r="AD131" s="24" t="str">
        <f>IFERROR(__xludf.DUMMYFUNCTION("""COMPUTED_VALUE"""),"ULL")</f>
        <v>ULL</v>
      </c>
      <c r="AE131" s="24" t="str">
        <f>IFERROR(__xludf.DUMMYFUNCTION("""COMPUTED_VALUE"""),"Mull")</f>
        <v>Mull</v>
      </c>
      <c r="AF131" s="24" t="str">
        <f>IFERROR(__xludf.DUMMYFUNCTION("""COMPUTED_VALUE"""),"United Kingdom")</f>
        <v>United Kingdom</v>
      </c>
      <c r="AG131" s="24"/>
      <c r="AH131" s="24"/>
      <c r="AI131" s="24"/>
      <c r="AJ131" s="24"/>
      <c r="AK131" s="24"/>
      <c r="AL131" s="24" t="str">
        <f>IFERROR(__xludf.DUMMYFUNCTION("""COMPUTED_VALUE"""),"Riesa")</f>
        <v>Riesa</v>
      </c>
      <c r="AM131" s="24" t="str">
        <f>IFERROR(__xludf.DUMMYFUNCTION("""COMPUTED_VALUE"""),"IES")</f>
        <v>IES</v>
      </c>
      <c r="AN131" s="24" t="str">
        <f>IFERROR(__xludf.DUMMYFUNCTION("""COMPUTED_VALUE"""),"Riesa")</f>
        <v>Riesa</v>
      </c>
      <c r="AO131" s="24" t="str">
        <f>IFERROR(__xludf.DUMMYFUNCTION("""COMPUTED_VALUE"""),"Germany")</f>
        <v>Germany</v>
      </c>
      <c r="AP131" s="24"/>
      <c r="AQ131" s="24"/>
      <c r="AR131" s="20"/>
    </row>
    <row r="132">
      <c r="A132" s="53"/>
      <c r="B132" s="34"/>
      <c r="C132" s="34"/>
      <c r="E132" s="34"/>
      <c r="F132" s="34"/>
      <c r="G132" s="34"/>
      <c r="H132" s="34"/>
      <c r="I132" s="34"/>
      <c r="J132" s="34"/>
      <c r="K132" s="34"/>
      <c r="L132" s="34"/>
      <c r="M132" s="34"/>
      <c r="N132" s="34"/>
      <c r="O132" s="34"/>
      <c r="P132" s="34"/>
      <c r="Q132" s="34"/>
      <c r="R132" s="24"/>
      <c r="S132" s="24"/>
      <c r="T132" s="24"/>
      <c r="U132" s="24"/>
      <c r="V132" s="24"/>
      <c r="W132" s="24"/>
      <c r="X132" s="24"/>
      <c r="Y132" s="24"/>
      <c r="Z132" s="24"/>
      <c r="AA132" s="24"/>
      <c r="AB132" s="24"/>
      <c r="AC132" s="24" t="str">
        <f>IFERROR(__xludf.DUMMYFUNCTION("""COMPUTED_VALUE"""),"Newbury")</f>
        <v>Newbury</v>
      </c>
      <c r="AD132" s="24" t="str">
        <f>IFERROR(__xludf.DUMMYFUNCTION("""COMPUTED_VALUE"""),"EWY")</f>
        <v>EWY</v>
      </c>
      <c r="AE132" s="24" t="str">
        <f>IFERROR(__xludf.DUMMYFUNCTION("""COMPUTED_VALUE"""),"Greenham RAF")</f>
        <v>Greenham RAF</v>
      </c>
      <c r="AF132" s="24" t="str">
        <f>IFERROR(__xludf.DUMMYFUNCTION("""COMPUTED_VALUE"""),"United Kingdom")</f>
        <v>United Kingdom</v>
      </c>
      <c r="AG132" s="24"/>
      <c r="AH132" s="24"/>
      <c r="AI132" s="24"/>
      <c r="AJ132" s="24"/>
      <c r="AK132" s="24"/>
      <c r="AL132" s="24" t="str">
        <f>IFERROR(__xludf.DUMMYFUNCTION("""COMPUTED_VALUE"""),"Rostock-laage")</f>
        <v>Rostock-laage</v>
      </c>
      <c r="AM132" s="24" t="str">
        <f>IFERROR(__xludf.DUMMYFUNCTION("""COMPUTED_VALUE"""),"RLG")</f>
        <v>RLG</v>
      </c>
      <c r="AN132" s="24" t="str">
        <f>IFERROR(__xludf.DUMMYFUNCTION("""COMPUTED_VALUE"""),"Laage")</f>
        <v>Laage</v>
      </c>
      <c r="AO132" s="24" t="str">
        <f>IFERROR(__xludf.DUMMYFUNCTION("""COMPUTED_VALUE"""),"Germany")</f>
        <v>Germany</v>
      </c>
      <c r="AP132" s="24"/>
      <c r="AQ132" s="24"/>
      <c r="AR132" s="54"/>
    </row>
    <row r="133">
      <c r="A133" s="53"/>
      <c r="B133" s="34"/>
      <c r="C133" s="34"/>
      <c r="D133" s="34"/>
      <c r="E133" s="34"/>
      <c r="F133" s="34"/>
      <c r="G133" s="34"/>
      <c r="H133" s="34"/>
      <c r="I133" s="34"/>
      <c r="J133" s="34"/>
      <c r="K133" s="34"/>
      <c r="L133" s="34"/>
      <c r="M133" s="34"/>
      <c r="N133" s="34"/>
      <c r="O133" s="34"/>
      <c r="P133" s="34"/>
      <c r="Q133" s="34"/>
      <c r="R133" s="24"/>
      <c r="S133" s="24"/>
      <c r="T133" s="24"/>
      <c r="U133" s="24"/>
      <c r="V133" s="24"/>
      <c r="W133" s="24"/>
      <c r="X133" s="24"/>
      <c r="Y133" s="24"/>
      <c r="Z133" s="24"/>
      <c r="AA133" s="24"/>
      <c r="AB133" s="24"/>
      <c r="AC133" s="24" t="str">
        <f>IFERROR(__xludf.DUMMYFUNCTION("""COMPUTED_VALUE"""),"Newcastle")</f>
        <v>Newcastle</v>
      </c>
      <c r="AD133" s="24" t="str">
        <f>IFERROR(__xludf.DUMMYFUNCTION("""COMPUTED_VALUE"""),"NCL")</f>
        <v>NCL</v>
      </c>
      <c r="AE133" s="24" t="str">
        <f>IFERROR(__xludf.DUMMYFUNCTION("""COMPUTED_VALUE"""),"Newcastle Airport")</f>
        <v>Newcastle Airport</v>
      </c>
      <c r="AF133" s="24" t="str">
        <f>IFERROR(__xludf.DUMMYFUNCTION("""COMPUTED_VALUE"""),"United Kingdom")</f>
        <v>United Kingdom</v>
      </c>
      <c r="AG133" s="24"/>
      <c r="AH133" s="24"/>
      <c r="AI133" s="24"/>
      <c r="AJ133" s="24"/>
      <c r="AK133" s="24"/>
      <c r="AL133" s="24" t="str">
        <f>IFERROR(__xludf.DUMMYFUNCTION("""COMPUTED_VALUE"""),"Saarbruecken")</f>
        <v>Saarbruecken</v>
      </c>
      <c r="AM133" s="24" t="str">
        <f>IFERROR(__xludf.DUMMYFUNCTION("""COMPUTED_VALUE"""),"SCN")</f>
        <v>SCN</v>
      </c>
      <c r="AN133" s="24" t="str">
        <f>IFERROR(__xludf.DUMMYFUNCTION("""COMPUTED_VALUE"""),"Ensheim")</f>
        <v>Ensheim</v>
      </c>
      <c r="AO133" s="24" t="str">
        <f>IFERROR(__xludf.DUMMYFUNCTION("""COMPUTED_VALUE"""),"Germany")</f>
        <v>Germany</v>
      </c>
      <c r="AP133" s="24"/>
      <c r="AQ133" s="24"/>
      <c r="AR133" s="54"/>
    </row>
    <row r="134">
      <c r="A134" s="53"/>
      <c r="B134" s="34"/>
      <c r="C134" s="34"/>
      <c r="D134" s="34"/>
      <c r="E134" s="34"/>
      <c r="F134" s="34"/>
      <c r="G134" s="34"/>
      <c r="H134" s="34"/>
      <c r="I134" s="34"/>
      <c r="J134" s="34"/>
      <c r="K134" s="34"/>
      <c r="L134" s="34"/>
      <c r="M134" s="34"/>
      <c r="N134" s="34"/>
      <c r="O134" s="34"/>
      <c r="P134" s="34"/>
      <c r="Q134" s="34"/>
      <c r="R134" s="24"/>
      <c r="S134" s="24"/>
      <c r="T134" s="24"/>
      <c r="U134" s="24"/>
      <c r="V134" s="24"/>
      <c r="W134" s="24"/>
      <c r="X134" s="24"/>
      <c r="Y134" s="24"/>
      <c r="Z134" s="24"/>
      <c r="AA134" s="24"/>
      <c r="AB134" s="24"/>
      <c r="AC134" s="24" t="str">
        <f>IFERROR(__xludf.DUMMYFUNCTION("""COMPUTED_VALUE"""),"Newquay")</f>
        <v>Newquay</v>
      </c>
      <c r="AD134" s="24" t="str">
        <f>IFERROR(__xludf.DUMMYFUNCTION("""COMPUTED_VALUE"""),"NQY")</f>
        <v>NQY</v>
      </c>
      <c r="AE134" s="24" t="str">
        <f>IFERROR(__xludf.DUMMYFUNCTION("""COMPUTED_VALUE"""),"St Mawgan")</f>
        <v>St Mawgan</v>
      </c>
      <c r="AF134" s="24" t="str">
        <f>IFERROR(__xludf.DUMMYFUNCTION("""COMPUTED_VALUE"""),"United Kingdom")</f>
        <v>United Kingdom</v>
      </c>
      <c r="AG134" s="24"/>
      <c r="AH134" s="24"/>
      <c r="AI134" s="24"/>
      <c r="AJ134" s="24"/>
      <c r="AK134" s="24"/>
      <c r="AL134" s="24" t="str">
        <f>IFERROR(__xludf.DUMMYFUNCTION("""COMPUTED_VALUE"""),"Schleswig-Jagel")</f>
        <v>Schleswig-Jagel</v>
      </c>
      <c r="AM134" s="24" t="str">
        <f>IFERROR(__xludf.DUMMYFUNCTION("""COMPUTED_VALUE"""),"WBG")</f>
        <v>WBG</v>
      </c>
      <c r="AN134" s="24" t="str">
        <f>IFERROR(__xludf.DUMMYFUNCTION("""COMPUTED_VALUE"""),"Schleswig-Jagel")</f>
        <v>Schleswig-Jagel</v>
      </c>
      <c r="AO134" s="24" t="str">
        <f>IFERROR(__xludf.DUMMYFUNCTION("""COMPUTED_VALUE"""),"Germany")</f>
        <v>Germany</v>
      </c>
      <c r="AP134" s="24"/>
      <c r="AQ134" s="24"/>
      <c r="AR134" s="54"/>
    </row>
    <row r="135">
      <c r="A135" s="53"/>
      <c r="B135" s="34"/>
      <c r="C135" s="34"/>
      <c r="D135" s="34"/>
      <c r="E135" s="34"/>
      <c r="F135" s="34"/>
      <c r="G135" s="34"/>
      <c r="H135" s="34"/>
      <c r="I135" s="34"/>
      <c r="J135" s="34"/>
      <c r="K135" s="34"/>
      <c r="L135" s="34"/>
      <c r="M135" s="34"/>
      <c r="N135" s="34"/>
      <c r="O135" s="34"/>
      <c r="P135" s="34"/>
      <c r="Q135" s="34"/>
      <c r="R135" s="24"/>
      <c r="S135" s="24"/>
      <c r="T135" s="24"/>
      <c r="U135" s="24"/>
      <c r="V135" s="24"/>
      <c r="W135" s="24"/>
      <c r="X135" s="24"/>
      <c r="Y135" s="24"/>
      <c r="Z135" s="24"/>
      <c r="AA135" s="24"/>
      <c r="AB135" s="24"/>
      <c r="AC135" s="24" t="str">
        <f>IFERROR(__xludf.DUMMYFUNCTION("""COMPUTED_VALUE"""),"North Ronaldsay")</f>
        <v>North Ronaldsay</v>
      </c>
      <c r="AD135" s="24" t="str">
        <f>IFERROR(__xludf.DUMMYFUNCTION("""COMPUTED_VALUE"""),"NRL")</f>
        <v>NRL</v>
      </c>
      <c r="AE135" s="24" t="str">
        <f>IFERROR(__xludf.DUMMYFUNCTION("""COMPUTED_VALUE"""),"North Ronaldsay")</f>
        <v>North Ronaldsay</v>
      </c>
      <c r="AF135" s="24" t="str">
        <f>IFERROR(__xludf.DUMMYFUNCTION("""COMPUTED_VALUE"""),"United Kingdom")</f>
        <v>United Kingdom</v>
      </c>
      <c r="AG135" s="24"/>
      <c r="AH135" s="24"/>
      <c r="AI135" s="24"/>
      <c r="AJ135" s="24"/>
      <c r="AK135" s="24"/>
      <c r="AL135" s="24" t="str">
        <f>IFERROR(__xludf.DUMMYFUNCTION("""COMPUTED_VALUE"""),"Schwerin")</f>
        <v>Schwerin</v>
      </c>
      <c r="AM135" s="24" t="str">
        <f>IFERROR(__xludf.DUMMYFUNCTION("""COMPUTED_VALUE"""),"SZW")</f>
        <v>SZW</v>
      </c>
      <c r="AN135" s="24" t="str">
        <f>IFERROR(__xludf.DUMMYFUNCTION("""COMPUTED_VALUE"""),"Parchim Airport")</f>
        <v>Parchim Airport</v>
      </c>
      <c r="AO135" s="24" t="str">
        <f>IFERROR(__xludf.DUMMYFUNCTION("""COMPUTED_VALUE"""),"Germany")</f>
        <v>Germany</v>
      </c>
      <c r="AP135" s="24"/>
      <c r="AQ135" s="24"/>
      <c r="AR135" s="54"/>
    </row>
    <row r="136">
      <c r="A136" s="53"/>
      <c r="B136" s="34"/>
      <c r="C136" s="34"/>
      <c r="D136" s="34"/>
      <c r="E136" s="34"/>
      <c r="F136" s="34"/>
      <c r="G136" s="34"/>
      <c r="H136" s="34"/>
      <c r="I136" s="34"/>
      <c r="J136" s="34"/>
      <c r="K136" s="34"/>
      <c r="L136" s="34"/>
      <c r="M136" s="34"/>
      <c r="N136" s="34"/>
      <c r="O136" s="34"/>
      <c r="P136" s="34"/>
      <c r="Q136" s="34"/>
      <c r="R136" s="24"/>
      <c r="S136" s="24"/>
      <c r="T136" s="24"/>
      <c r="U136" s="24"/>
      <c r="V136" s="24"/>
      <c r="W136" s="24"/>
      <c r="X136" s="24"/>
      <c r="Y136" s="24"/>
      <c r="Z136" s="24"/>
      <c r="AA136" s="24"/>
      <c r="AB136" s="24"/>
      <c r="AC136" s="24" t="str">
        <f>IFERROR(__xludf.DUMMYFUNCTION("""COMPUTED_VALUE"""),"Northampton")</f>
        <v>Northampton</v>
      </c>
      <c r="AD136" s="24" t="str">
        <f>IFERROR(__xludf.DUMMYFUNCTION("""COMPUTED_VALUE"""),"ORM")</f>
        <v>ORM</v>
      </c>
      <c r="AE136" s="24" t="str">
        <f>IFERROR(__xludf.DUMMYFUNCTION("""COMPUTED_VALUE"""),"Northampton")</f>
        <v>Northampton</v>
      </c>
      <c r="AF136" s="24" t="str">
        <f>IFERROR(__xludf.DUMMYFUNCTION("""COMPUTED_VALUE"""),"United Kingdom")</f>
        <v>United Kingdom</v>
      </c>
      <c r="AG136" s="24"/>
      <c r="AH136" s="24"/>
      <c r="AI136" s="24"/>
      <c r="AJ136" s="24"/>
      <c r="AK136" s="24"/>
      <c r="AL136" s="24" t="str">
        <f>IFERROR(__xludf.DUMMYFUNCTION("""COMPUTED_VALUE"""),"Sembach")</f>
        <v>Sembach</v>
      </c>
      <c r="AM136" s="24" t="str">
        <f>IFERROR(__xludf.DUMMYFUNCTION("""COMPUTED_VALUE"""),"SEX")</f>
        <v>SEX</v>
      </c>
      <c r="AN136" s="24" t="str">
        <f>IFERROR(__xludf.DUMMYFUNCTION("""COMPUTED_VALUE"""),"Sembach")</f>
        <v>Sembach</v>
      </c>
      <c r="AO136" s="24" t="str">
        <f>IFERROR(__xludf.DUMMYFUNCTION("""COMPUTED_VALUE"""),"Germany")</f>
        <v>Germany</v>
      </c>
      <c r="AP136" s="24"/>
      <c r="AQ136" s="24"/>
      <c r="AR136" s="54"/>
    </row>
    <row r="137">
      <c r="A137" s="53"/>
      <c r="B137" s="34"/>
      <c r="C137" s="34"/>
      <c r="D137" s="34"/>
      <c r="E137" s="34"/>
      <c r="F137" s="34"/>
      <c r="G137" s="34"/>
      <c r="H137" s="34"/>
      <c r="I137" s="34"/>
      <c r="J137" s="34"/>
      <c r="K137" s="34"/>
      <c r="L137" s="34"/>
      <c r="M137" s="34"/>
      <c r="N137" s="34"/>
      <c r="O137" s="34"/>
      <c r="P137" s="34"/>
      <c r="Q137" s="34"/>
      <c r="R137" s="24"/>
      <c r="S137" s="24"/>
      <c r="T137" s="24"/>
      <c r="U137" s="24"/>
      <c r="V137" s="24"/>
      <c r="W137" s="24"/>
      <c r="X137" s="24"/>
      <c r="Y137" s="24"/>
      <c r="Z137" s="24"/>
      <c r="AA137" s="24"/>
      <c r="AB137" s="24"/>
      <c r="AC137" s="24" t="str">
        <f>IFERROR(__xludf.DUMMYFUNCTION("""COMPUTED_VALUE"""),"Northolt")</f>
        <v>Northolt</v>
      </c>
      <c r="AD137" s="24" t="str">
        <f>IFERROR(__xludf.DUMMYFUNCTION("""COMPUTED_VALUE"""),"NHT")</f>
        <v>NHT</v>
      </c>
      <c r="AE137" s="24" t="str">
        <f>IFERROR(__xludf.DUMMYFUNCTION("""COMPUTED_VALUE"""),"Northolt")</f>
        <v>Northolt</v>
      </c>
      <c r="AF137" s="24" t="str">
        <f>IFERROR(__xludf.DUMMYFUNCTION("""COMPUTED_VALUE"""),"United Kingdom")</f>
        <v>United Kingdom</v>
      </c>
      <c r="AG137" s="24"/>
      <c r="AH137" s="24"/>
      <c r="AI137" s="24"/>
      <c r="AJ137" s="24"/>
      <c r="AK137" s="24"/>
      <c r="AL137" s="24" t="str">
        <f>IFERROR(__xludf.DUMMYFUNCTION("""COMPUTED_VALUE"""),"Siegen")</f>
        <v>Siegen</v>
      </c>
      <c r="AM137" s="24" t="str">
        <f>IFERROR(__xludf.DUMMYFUNCTION("""COMPUTED_VALUE"""),"SGE")</f>
        <v>SGE</v>
      </c>
      <c r="AN137" s="24" t="str">
        <f>IFERROR(__xludf.DUMMYFUNCTION("""COMPUTED_VALUE"""),"Siegerland Airport")</f>
        <v>Siegerland Airport</v>
      </c>
      <c r="AO137" s="24" t="str">
        <f>IFERROR(__xludf.DUMMYFUNCTION("""COMPUTED_VALUE"""),"Germany")</f>
        <v>Germany</v>
      </c>
      <c r="AP137" s="24"/>
      <c r="AQ137" s="24"/>
      <c r="AR137" s="54"/>
    </row>
    <row r="138">
      <c r="A138" s="53"/>
      <c r="B138" s="34"/>
      <c r="C138" s="34"/>
      <c r="D138" s="34"/>
      <c r="E138" s="34"/>
      <c r="F138" s="34"/>
      <c r="G138" s="34"/>
      <c r="H138" s="34"/>
      <c r="I138" s="34"/>
      <c r="J138" s="34"/>
      <c r="K138" s="34"/>
      <c r="L138" s="34"/>
      <c r="M138" s="34"/>
      <c r="N138" s="34"/>
      <c r="O138" s="34"/>
      <c r="P138" s="34"/>
      <c r="Q138" s="34"/>
      <c r="R138" s="24"/>
      <c r="S138" s="24"/>
      <c r="T138" s="24"/>
      <c r="U138" s="24"/>
      <c r="V138" s="24"/>
      <c r="W138" s="24"/>
      <c r="X138" s="24"/>
      <c r="Y138" s="24"/>
      <c r="Z138" s="24"/>
      <c r="AA138" s="24"/>
      <c r="AB138" s="24"/>
      <c r="AC138" s="24" t="str">
        <f>IFERROR(__xludf.DUMMYFUNCTION("""COMPUTED_VALUE"""),"Norwich")</f>
        <v>Norwich</v>
      </c>
      <c r="AD138" s="24" t="str">
        <f>IFERROR(__xludf.DUMMYFUNCTION("""COMPUTED_VALUE"""),"NWI")</f>
        <v>NWI</v>
      </c>
      <c r="AE138" s="24" t="str">
        <f>IFERROR(__xludf.DUMMYFUNCTION("""COMPUTED_VALUE"""),"Norwich Arpt")</f>
        <v>Norwich Arpt</v>
      </c>
      <c r="AF138" s="24" t="str">
        <f>IFERROR(__xludf.DUMMYFUNCTION("""COMPUTED_VALUE"""),"United Kingdom")</f>
        <v>United Kingdom</v>
      </c>
      <c r="AG138" s="24"/>
      <c r="AH138" s="24"/>
      <c r="AI138" s="24"/>
      <c r="AJ138" s="24"/>
      <c r="AK138" s="24"/>
      <c r="AL138" s="24" t="str">
        <f>IFERROR(__xludf.DUMMYFUNCTION("""COMPUTED_VALUE"""),"Spangdahlem")</f>
        <v>Spangdahlem</v>
      </c>
      <c r="AM138" s="24" t="str">
        <f>IFERROR(__xludf.DUMMYFUNCTION("""COMPUTED_VALUE"""),"SPM")</f>
        <v>SPM</v>
      </c>
      <c r="AN138" s="24" t="str">
        <f>IFERROR(__xludf.DUMMYFUNCTION("""COMPUTED_VALUE"""),"Spangdahlem")</f>
        <v>Spangdahlem</v>
      </c>
      <c r="AO138" s="24" t="str">
        <f>IFERROR(__xludf.DUMMYFUNCTION("""COMPUTED_VALUE"""),"Germany")</f>
        <v>Germany</v>
      </c>
      <c r="AP138" s="24"/>
      <c r="AQ138" s="24"/>
      <c r="AR138" s="54"/>
    </row>
    <row r="139">
      <c r="A139" s="53"/>
      <c r="B139" s="34"/>
      <c r="C139" s="34"/>
      <c r="D139" s="34"/>
      <c r="E139" s="34"/>
      <c r="F139" s="34"/>
      <c r="G139" s="34"/>
      <c r="H139" s="34"/>
      <c r="I139" s="34"/>
      <c r="J139" s="34"/>
      <c r="K139" s="34"/>
      <c r="L139" s="34"/>
      <c r="M139" s="34"/>
      <c r="N139" s="34"/>
      <c r="O139" s="34"/>
      <c r="P139" s="34"/>
      <c r="Q139" s="34"/>
      <c r="R139" s="24"/>
      <c r="S139" s="24"/>
      <c r="T139" s="24"/>
      <c r="U139" s="24"/>
      <c r="V139" s="24"/>
      <c r="W139" s="24"/>
      <c r="X139" s="24"/>
      <c r="Y139" s="24"/>
      <c r="Z139" s="24"/>
      <c r="AA139" s="24"/>
      <c r="AB139" s="24"/>
      <c r="AC139" s="24" t="str">
        <f>IFERROR(__xludf.DUMMYFUNCTION("""COMPUTED_VALUE"""),"Nottingham")</f>
        <v>Nottingham</v>
      </c>
      <c r="AD139" s="24" t="str">
        <f>IFERROR(__xludf.DUMMYFUNCTION("""COMPUTED_VALUE"""),"NQT")</f>
        <v>NQT</v>
      </c>
      <c r="AE139" s="24" t="str">
        <f>IFERROR(__xludf.DUMMYFUNCTION("""COMPUTED_VALUE"""),"Nottingham Airport")</f>
        <v>Nottingham Airport</v>
      </c>
      <c r="AF139" s="24" t="str">
        <f>IFERROR(__xludf.DUMMYFUNCTION("""COMPUTED_VALUE"""),"United Kingdom")</f>
        <v>United Kingdom</v>
      </c>
      <c r="AG139" s="24"/>
      <c r="AH139" s="24"/>
      <c r="AI139" s="24"/>
      <c r="AJ139" s="24"/>
      <c r="AK139" s="24"/>
      <c r="AL139" s="24" t="str">
        <f>IFERROR(__xludf.DUMMYFUNCTION("""COMPUTED_VALUE"""),"St Peter")</f>
        <v>St Peter</v>
      </c>
      <c r="AM139" s="24" t="str">
        <f>IFERROR(__xludf.DUMMYFUNCTION("""COMPUTED_VALUE"""),"PSH")</f>
        <v>PSH</v>
      </c>
      <c r="AN139" s="24" t="str">
        <f>IFERROR(__xludf.DUMMYFUNCTION("""COMPUTED_VALUE"""),"St Peter")</f>
        <v>St Peter</v>
      </c>
      <c r="AO139" s="24" t="str">
        <f>IFERROR(__xludf.DUMMYFUNCTION("""COMPUTED_VALUE"""),"Germany")</f>
        <v>Germany</v>
      </c>
      <c r="AP139" s="24"/>
      <c r="AQ139" s="24"/>
      <c r="AR139" s="54"/>
    </row>
    <row r="140">
      <c r="A140" s="53"/>
      <c r="B140" s="34"/>
      <c r="C140" s="34"/>
      <c r="D140" s="34"/>
      <c r="E140" s="34"/>
      <c r="F140" s="34"/>
      <c r="G140" s="34"/>
      <c r="H140" s="34"/>
      <c r="I140" s="34"/>
      <c r="J140" s="34"/>
      <c r="K140" s="34"/>
      <c r="L140" s="34"/>
      <c r="M140" s="34"/>
      <c r="N140" s="34"/>
      <c r="O140" s="34"/>
      <c r="P140" s="34"/>
      <c r="Q140" s="34"/>
      <c r="R140" s="24"/>
      <c r="S140" s="24"/>
      <c r="T140" s="24"/>
      <c r="U140" s="24"/>
      <c r="V140" s="24"/>
      <c r="W140" s="24"/>
      <c r="X140" s="24"/>
      <c r="Y140" s="24"/>
      <c r="Z140" s="24"/>
      <c r="AA140" s="24"/>
      <c r="AB140" s="24"/>
      <c r="AC140" s="24" t="str">
        <f>IFERROR(__xludf.DUMMYFUNCTION("""COMPUTED_VALUE"""),"Nottingham")</f>
        <v>Nottingham</v>
      </c>
      <c r="AD140" s="24" t="str">
        <f>IFERROR(__xludf.DUMMYFUNCTION("""COMPUTED_VALUE"""),"EMA")</f>
        <v>EMA</v>
      </c>
      <c r="AE140" s="24" t="str">
        <f>IFERROR(__xludf.DUMMYFUNCTION("""COMPUTED_VALUE"""),"Nottingham E. Midlands")</f>
        <v>Nottingham E. Midlands</v>
      </c>
      <c r="AF140" s="24" t="str">
        <f>IFERROR(__xludf.DUMMYFUNCTION("""COMPUTED_VALUE"""),"United Kingdom")</f>
        <v>United Kingdom</v>
      </c>
      <c r="AG140" s="24"/>
      <c r="AH140" s="24"/>
      <c r="AI140" s="24"/>
      <c r="AJ140" s="24"/>
      <c r="AK140" s="24"/>
      <c r="AL140" s="24" t="str">
        <f>IFERROR(__xludf.DUMMYFUNCTION("""COMPUTED_VALUE"""),"Straubing")</f>
        <v>Straubing</v>
      </c>
      <c r="AM140" s="24" t="str">
        <f>IFERROR(__xludf.DUMMYFUNCTION("""COMPUTED_VALUE"""),"RBM")</f>
        <v>RBM</v>
      </c>
      <c r="AN140" s="24" t="str">
        <f>IFERROR(__xludf.DUMMYFUNCTION("""COMPUTED_VALUE"""),"Wallmuhle")</f>
        <v>Wallmuhle</v>
      </c>
      <c r="AO140" s="24" t="str">
        <f>IFERROR(__xludf.DUMMYFUNCTION("""COMPUTED_VALUE"""),"Germany")</f>
        <v>Germany</v>
      </c>
      <c r="AP140" s="24"/>
      <c r="AQ140" s="24"/>
      <c r="AR140" s="54"/>
    </row>
    <row r="141">
      <c r="A141" s="53"/>
      <c r="B141" s="34"/>
      <c r="C141" s="34"/>
      <c r="D141" s="34"/>
      <c r="E141" s="34"/>
      <c r="F141" s="34"/>
      <c r="G141" s="34"/>
      <c r="H141" s="34"/>
      <c r="I141" s="34"/>
      <c r="J141" s="34"/>
      <c r="K141" s="34"/>
      <c r="L141" s="34"/>
      <c r="M141" s="34"/>
      <c r="N141" s="34"/>
      <c r="O141" s="34"/>
      <c r="P141" s="34"/>
      <c r="Q141" s="34"/>
      <c r="R141" s="24"/>
      <c r="S141" s="24"/>
      <c r="T141" s="24"/>
      <c r="U141" s="24"/>
      <c r="V141" s="24"/>
      <c r="W141" s="24"/>
      <c r="X141" s="24"/>
      <c r="Y141" s="24"/>
      <c r="Z141" s="24"/>
      <c r="AA141" s="24"/>
      <c r="AB141" s="24"/>
      <c r="AC141" s="24" t="str">
        <f>IFERROR(__xludf.DUMMYFUNCTION("""COMPUTED_VALUE"""),"Nottingham")</f>
        <v>Nottingham</v>
      </c>
      <c r="AD141" s="24" t="str">
        <f>IFERROR(__xludf.DUMMYFUNCTION("""COMPUTED_VALUE"""),"XQI")</f>
        <v>XQI</v>
      </c>
      <c r="AE141" s="24" t="str">
        <f>IFERROR(__xludf.DUMMYFUNCTION("""COMPUTED_VALUE"""),"Railway Station")</f>
        <v>Railway Station</v>
      </c>
      <c r="AF141" s="24" t="str">
        <f>IFERROR(__xludf.DUMMYFUNCTION("""COMPUTED_VALUE"""),"United Kingdom")</f>
        <v>United Kingdom</v>
      </c>
      <c r="AG141" s="24"/>
      <c r="AH141" s="24"/>
      <c r="AI141" s="24"/>
      <c r="AJ141" s="24"/>
      <c r="AK141" s="24"/>
      <c r="AL141" s="24" t="str">
        <f>IFERROR(__xludf.DUMMYFUNCTION("""COMPUTED_VALUE"""),"Stuttgart")</f>
        <v>Stuttgart</v>
      </c>
      <c r="AM141" s="24" t="str">
        <f>IFERROR(__xludf.DUMMYFUNCTION("""COMPUTED_VALUE"""),"STR")</f>
        <v>STR</v>
      </c>
      <c r="AN141" s="24" t="str">
        <f>IFERROR(__xludf.DUMMYFUNCTION("""COMPUTED_VALUE"""),"Echterdingen")</f>
        <v>Echterdingen</v>
      </c>
      <c r="AO141" s="24" t="str">
        <f>IFERROR(__xludf.DUMMYFUNCTION("""COMPUTED_VALUE"""),"Germany")</f>
        <v>Germany</v>
      </c>
      <c r="AP141" s="24"/>
      <c r="AQ141" s="24"/>
      <c r="AR141" s="54"/>
    </row>
    <row r="142">
      <c r="A142" s="53"/>
      <c r="B142" s="34"/>
      <c r="C142" s="34"/>
      <c r="D142" s="34"/>
      <c r="E142" s="34"/>
      <c r="F142" s="34"/>
      <c r="G142" s="34"/>
      <c r="H142" s="34"/>
      <c r="I142" s="34"/>
      <c r="J142" s="34"/>
      <c r="K142" s="34"/>
      <c r="L142" s="34"/>
      <c r="M142" s="34"/>
      <c r="N142" s="34"/>
      <c r="O142" s="34"/>
      <c r="P142" s="34"/>
      <c r="Q142" s="34"/>
      <c r="R142" s="24"/>
      <c r="S142" s="24"/>
      <c r="T142" s="24"/>
      <c r="U142" s="24"/>
      <c r="V142" s="24"/>
      <c r="W142" s="24"/>
      <c r="X142" s="24"/>
      <c r="Y142" s="24"/>
      <c r="Z142" s="24"/>
      <c r="AA142" s="24"/>
      <c r="AB142" s="24"/>
      <c r="AC142" s="24" t="str">
        <f>IFERROR(__xludf.DUMMYFUNCTION("""COMPUTED_VALUE"""),"Nottingham")</f>
        <v>Nottingham</v>
      </c>
      <c r="AD142" s="24" t="str">
        <f>IFERROR(__xludf.DUMMYFUNCTION("""COMPUTED_VALUE"""),"XQH")</f>
        <v>XQH</v>
      </c>
      <c r="AE142" s="24" t="str">
        <f>IFERROR(__xludf.DUMMYFUNCTION("""COMPUTED_VALUE"""),"Railway Station")</f>
        <v>Railway Station</v>
      </c>
      <c r="AF142" s="24" t="str">
        <f>IFERROR(__xludf.DUMMYFUNCTION("""COMPUTED_VALUE"""),"United Kingdom")</f>
        <v>United Kingdom</v>
      </c>
      <c r="AG142" s="24"/>
      <c r="AH142" s="24"/>
      <c r="AI142" s="24"/>
      <c r="AJ142" s="24"/>
      <c r="AK142" s="24"/>
      <c r="AL142" s="24" t="str">
        <f>IFERROR(__xludf.DUMMYFUNCTION("""COMPUTED_VALUE"""),"Varrelbusch")</f>
        <v>Varrelbusch</v>
      </c>
      <c r="AM142" s="24" t="str">
        <f>IFERROR(__xludf.DUMMYFUNCTION("""COMPUTED_VALUE"""),"VAC")</f>
        <v>VAC</v>
      </c>
      <c r="AN142" s="24" t="str">
        <f>IFERROR(__xludf.DUMMYFUNCTION("""COMPUTED_VALUE"""),"Varrelbusch")</f>
        <v>Varrelbusch</v>
      </c>
      <c r="AO142" s="24" t="str">
        <f>IFERROR(__xludf.DUMMYFUNCTION("""COMPUTED_VALUE"""),"Germany")</f>
        <v>Germany</v>
      </c>
      <c r="AP142" s="24"/>
      <c r="AQ142" s="24"/>
      <c r="AR142" s="54"/>
    </row>
    <row r="143">
      <c r="A143" s="53"/>
      <c r="B143" s="34"/>
      <c r="C143" s="34"/>
      <c r="D143" s="34"/>
      <c r="E143" s="34"/>
      <c r="F143" s="34"/>
      <c r="G143" s="34"/>
      <c r="H143" s="34"/>
      <c r="I143" s="34"/>
      <c r="J143" s="34"/>
      <c r="K143" s="34"/>
      <c r="L143" s="34"/>
      <c r="M143" s="34"/>
      <c r="N143" s="34"/>
      <c r="O143" s="34"/>
      <c r="P143" s="34"/>
      <c r="Q143" s="34"/>
      <c r="R143" s="24"/>
      <c r="S143" s="24"/>
      <c r="T143" s="24"/>
      <c r="U143" s="24"/>
      <c r="V143" s="24"/>
      <c r="W143" s="24"/>
      <c r="X143" s="24"/>
      <c r="Y143" s="24"/>
      <c r="Z143" s="24"/>
      <c r="AA143" s="24"/>
      <c r="AB143" s="24"/>
      <c r="AC143" s="24" t="str">
        <f>IFERROR(__xludf.DUMMYFUNCTION("""COMPUTED_VALUE"""),"Oakham")</f>
        <v>Oakham</v>
      </c>
      <c r="AD143" s="24" t="str">
        <f>IFERROR(__xludf.DUMMYFUNCTION("""COMPUTED_VALUE"""),"OKH")</f>
        <v>OKH</v>
      </c>
      <c r="AE143" s="24" t="str">
        <f>IFERROR(__xludf.DUMMYFUNCTION("""COMPUTED_VALUE"""),"Cottesmor RAF")</f>
        <v>Cottesmor RAF</v>
      </c>
      <c r="AF143" s="24" t="str">
        <f>IFERROR(__xludf.DUMMYFUNCTION("""COMPUTED_VALUE"""),"United Kingdom")</f>
        <v>United Kingdom</v>
      </c>
      <c r="AG143" s="24"/>
      <c r="AH143" s="24"/>
      <c r="AI143" s="24"/>
      <c r="AJ143" s="24"/>
      <c r="AK143" s="24"/>
      <c r="AL143" s="24" t="str">
        <f>IFERROR(__xludf.DUMMYFUNCTION("""COMPUTED_VALUE"""),"Wangerooge")</f>
        <v>Wangerooge</v>
      </c>
      <c r="AM143" s="24" t="str">
        <f>IFERROR(__xludf.DUMMYFUNCTION("""COMPUTED_VALUE"""),"AGE")</f>
        <v>AGE</v>
      </c>
      <c r="AN143" s="24" t="str">
        <f>IFERROR(__xludf.DUMMYFUNCTION("""COMPUTED_VALUE"""),"Flugplatz")</f>
        <v>Flugplatz</v>
      </c>
      <c r="AO143" s="24" t="str">
        <f>IFERROR(__xludf.DUMMYFUNCTION("""COMPUTED_VALUE"""),"Germany")</f>
        <v>Germany</v>
      </c>
      <c r="AP143" s="24"/>
      <c r="AQ143" s="24"/>
      <c r="AR143" s="54"/>
    </row>
    <row r="144">
      <c r="A144" s="53"/>
      <c r="B144" s="34"/>
      <c r="C144" s="34"/>
      <c r="D144" s="34"/>
      <c r="E144" s="34"/>
      <c r="F144" s="34"/>
      <c r="G144" s="34"/>
      <c r="H144" s="34"/>
      <c r="I144" s="34"/>
      <c r="J144" s="34"/>
      <c r="K144" s="34"/>
      <c r="L144" s="34"/>
      <c r="M144" s="34"/>
      <c r="N144" s="34"/>
      <c r="O144" s="34"/>
      <c r="P144" s="34"/>
      <c r="Q144" s="34"/>
      <c r="R144" s="24"/>
      <c r="S144" s="24"/>
      <c r="T144" s="24"/>
      <c r="U144" s="24"/>
      <c r="V144" s="24"/>
      <c r="W144" s="24"/>
      <c r="X144" s="24"/>
      <c r="Y144" s="24"/>
      <c r="Z144" s="24"/>
      <c r="AA144" s="24"/>
      <c r="AB144" s="24"/>
      <c r="AC144" s="24" t="str">
        <f>IFERROR(__xludf.DUMMYFUNCTION("""COMPUTED_VALUE"""),"Oban")</f>
        <v>Oban</v>
      </c>
      <c r="AD144" s="24" t="str">
        <f>IFERROR(__xludf.DUMMYFUNCTION("""COMPUTED_VALUE"""),"OBN")</f>
        <v>OBN</v>
      </c>
      <c r="AE144" s="24" t="str">
        <f>IFERROR(__xludf.DUMMYFUNCTION("""COMPUTED_VALUE"""),"Oban Airport")</f>
        <v>Oban Airport</v>
      </c>
      <c r="AF144" s="24" t="str">
        <f>IFERROR(__xludf.DUMMYFUNCTION("""COMPUTED_VALUE"""),"United Kingdom")</f>
        <v>United Kingdom</v>
      </c>
      <c r="AG144" s="24"/>
      <c r="AH144" s="24"/>
      <c r="AI144" s="24"/>
      <c r="AJ144" s="24"/>
      <c r="AK144" s="24"/>
      <c r="AL144" s="24" t="str">
        <f>IFERROR(__xludf.DUMMYFUNCTION("""COMPUTED_VALUE"""),"Westerland")</f>
        <v>Westerland</v>
      </c>
      <c r="AM144" s="24" t="str">
        <f>IFERROR(__xludf.DUMMYFUNCTION("""COMPUTED_VALUE"""),"GWT")</f>
        <v>GWT</v>
      </c>
      <c r="AN144" s="24" t="str">
        <f>IFERROR(__xludf.DUMMYFUNCTION("""COMPUTED_VALUE"""),"Westerland - Sylt")</f>
        <v>Westerland - Sylt</v>
      </c>
      <c r="AO144" s="24" t="str">
        <f>IFERROR(__xludf.DUMMYFUNCTION("""COMPUTED_VALUE"""),"Germany")</f>
        <v>Germany</v>
      </c>
      <c r="AP144" s="24"/>
      <c r="AQ144" s="24"/>
      <c r="AR144" s="54"/>
    </row>
    <row r="145">
      <c r="A145" s="53"/>
      <c r="B145" s="34"/>
      <c r="C145" s="34"/>
      <c r="D145" s="34"/>
      <c r="E145" s="34"/>
      <c r="F145" s="34"/>
      <c r="G145" s="34"/>
      <c r="H145" s="34"/>
      <c r="I145" s="34"/>
      <c r="J145" s="34"/>
      <c r="K145" s="34"/>
      <c r="L145" s="34"/>
      <c r="M145" s="34"/>
      <c r="N145" s="34"/>
      <c r="O145" s="34"/>
      <c r="P145" s="34"/>
      <c r="Q145" s="34"/>
      <c r="R145" s="24"/>
      <c r="S145" s="24"/>
      <c r="T145" s="24"/>
      <c r="U145" s="24"/>
      <c r="V145" s="24"/>
      <c r="W145" s="24"/>
      <c r="X145" s="24"/>
      <c r="Y145" s="24"/>
      <c r="Z145" s="24"/>
      <c r="AA145" s="24"/>
      <c r="AB145" s="24"/>
      <c r="AC145" s="24" t="str">
        <f>IFERROR(__xludf.DUMMYFUNCTION("""COMPUTED_VALUE"""),"Oban")</f>
        <v>Oban</v>
      </c>
      <c r="AD145" s="24" t="str">
        <f>IFERROR(__xludf.DUMMYFUNCTION("""COMPUTED_VALUE"""),"OHP")</f>
        <v>OHP</v>
      </c>
      <c r="AE145" s="24" t="str">
        <f>IFERROR(__xludf.DUMMYFUNCTION("""COMPUTED_VALUE"""),"Heliport")</f>
        <v>Heliport</v>
      </c>
      <c r="AF145" s="24" t="str">
        <f>IFERROR(__xludf.DUMMYFUNCTION("""COMPUTED_VALUE"""),"United Kingdom")</f>
        <v>United Kingdom</v>
      </c>
      <c r="AG145" s="24"/>
      <c r="AH145" s="24"/>
      <c r="AI145" s="24"/>
      <c r="AJ145" s="24"/>
      <c r="AK145" s="24"/>
      <c r="AL145" s="24" t="str">
        <f>IFERROR(__xludf.DUMMYFUNCTION("""COMPUTED_VALUE"""),"Wiesbaden")</f>
        <v>Wiesbaden</v>
      </c>
      <c r="AM145" s="24" t="str">
        <f>IFERROR(__xludf.DUMMYFUNCTION("""COMPUTED_VALUE"""),"WIE")</f>
        <v>WIE</v>
      </c>
      <c r="AN145" s="24" t="str">
        <f>IFERROR(__xludf.DUMMYFUNCTION("""COMPUTED_VALUE"""),"Air Base")</f>
        <v>Air Base</v>
      </c>
      <c r="AO145" s="24" t="str">
        <f>IFERROR(__xludf.DUMMYFUNCTION("""COMPUTED_VALUE"""),"Germany")</f>
        <v>Germany</v>
      </c>
      <c r="AP145" s="24"/>
      <c r="AQ145" s="24"/>
      <c r="AR145" s="54"/>
    </row>
    <row r="146">
      <c r="A146" s="53"/>
      <c r="B146" s="34"/>
      <c r="C146" s="34"/>
      <c r="D146" s="34"/>
      <c r="E146" s="34"/>
      <c r="F146" s="34"/>
      <c r="G146" s="34"/>
      <c r="H146" s="34"/>
      <c r="I146" s="34"/>
      <c r="J146" s="34"/>
      <c r="K146" s="34"/>
      <c r="L146" s="34"/>
      <c r="M146" s="34"/>
      <c r="N146" s="34"/>
      <c r="O146" s="34"/>
      <c r="P146" s="34"/>
      <c r="Q146" s="34"/>
      <c r="R146" s="24"/>
      <c r="S146" s="24"/>
      <c r="T146" s="24"/>
      <c r="U146" s="24"/>
      <c r="V146" s="24"/>
      <c r="W146" s="24"/>
      <c r="X146" s="24"/>
      <c r="Y146" s="24"/>
      <c r="Z146" s="24"/>
      <c r="AA146" s="24"/>
      <c r="AB146" s="24"/>
      <c r="AC146" s="24" t="str">
        <f>IFERROR(__xludf.DUMMYFUNCTION("""COMPUTED_VALUE"""),"Odiham")</f>
        <v>Odiham</v>
      </c>
      <c r="AD146" s="24" t="str">
        <f>IFERROR(__xludf.DUMMYFUNCTION("""COMPUTED_VALUE"""),"ODH")</f>
        <v>ODH</v>
      </c>
      <c r="AE146" s="24" t="str">
        <f>IFERROR(__xludf.DUMMYFUNCTION("""COMPUTED_VALUE"""),"RAF Station")</f>
        <v>RAF Station</v>
      </c>
      <c r="AF146" s="24" t="str">
        <f>IFERROR(__xludf.DUMMYFUNCTION("""COMPUTED_VALUE"""),"United Kingdom")</f>
        <v>United Kingdom</v>
      </c>
      <c r="AG146" s="24"/>
      <c r="AH146" s="24"/>
      <c r="AI146" s="24"/>
      <c r="AJ146" s="24"/>
      <c r="AK146" s="24"/>
      <c r="AL146" s="24" t="str">
        <f>IFERROR(__xludf.DUMMYFUNCTION("""COMPUTED_VALUE"""),"Wildenrath")</f>
        <v>Wildenrath</v>
      </c>
      <c r="AM146" s="24" t="str">
        <f>IFERROR(__xludf.DUMMYFUNCTION("""COMPUTED_VALUE"""),"WID")</f>
        <v>WID</v>
      </c>
      <c r="AN146" s="24" t="str">
        <f>IFERROR(__xludf.DUMMYFUNCTION("""COMPUTED_VALUE"""),"Wildenrath")</f>
        <v>Wildenrath</v>
      </c>
      <c r="AO146" s="24" t="str">
        <f>IFERROR(__xludf.DUMMYFUNCTION("""COMPUTED_VALUE"""),"Germany")</f>
        <v>Germany</v>
      </c>
      <c r="AP146" s="24"/>
      <c r="AQ146" s="24"/>
      <c r="AR146" s="54"/>
    </row>
    <row r="147">
      <c r="A147" s="53"/>
      <c r="B147" s="34"/>
      <c r="C147" s="34"/>
      <c r="D147" s="34"/>
      <c r="E147" s="34"/>
      <c r="F147" s="34"/>
      <c r="G147" s="34"/>
      <c r="H147" s="34"/>
      <c r="I147" s="34"/>
      <c r="J147" s="34"/>
      <c r="K147" s="34"/>
      <c r="L147" s="34"/>
      <c r="M147" s="34"/>
      <c r="N147" s="34"/>
      <c r="O147" s="34"/>
      <c r="P147" s="34"/>
      <c r="Q147" s="34"/>
      <c r="R147" s="24"/>
      <c r="S147" s="24"/>
      <c r="T147" s="24"/>
      <c r="U147" s="24"/>
      <c r="V147" s="24"/>
      <c r="W147" s="24"/>
      <c r="X147" s="24"/>
      <c r="Y147" s="24"/>
      <c r="Z147" s="24"/>
      <c r="AA147" s="24"/>
      <c r="AB147" s="24"/>
      <c r="AC147" s="24" t="str">
        <f>IFERROR(__xludf.DUMMYFUNCTION("""COMPUTED_VALUE"""),"Orkney Island")</f>
        <v>Orkney Island</v>
      </c>
      <c r="AD147" s="24" t="str">
        <f>IFERROR(__xludf.DUMMYFUNCTION("""COMPUTED_VALUE"""),"KOI")</f>
        <v>KOI</v>
      </c>
      <c r="AE147" s="24" t="str">
        <f>IFERROR(__xludf.DUMMYFUNCTION("""COMPUTED_VALUE"""),"Orkney Island")</f>
        <v>Orkney Island</v>
      </c>
      <c r="AF147" s="24" t="str">
        <f>IFERROR(__xludf.DUMMYFUNCTION("""COMPUTED_VALUE"""),"United Kingdom")</f>
        <v>United Kingdom</v>
      </c>
      <c r="AG147" s="24"/>
      <c r="AH147" s="24"/>
      <c r="AI147" s="24"/>
      <c r="AJ147" s="24"/>
      <c r="AK147" s="24"/>
      <c r="AL147" s="24" t="str">
        <f>IFERROR(__xludf.DUMMYFUNCTION("""COMPUTED_VALUE"""),"Wilhelmshaven")</f>
        <v>Wilhelmshaven</v>
      </c>
      <c r="AM147" s="24" t="str">
        <f>IFERROR(__xludf.DUMMYFUNCTION("""COMPUTED_VALUE"""),"WVN")</f>
        <v>WVN</v>
      </c>
      <c r="AN147" s="24" t="str">
        <f>IFERROR(__xludf.DUMMYFUNCTION("""COMPUTED_VALUE"""),"Wilhelmshaven")</f>
        <v>Wilhelmshaven</v>
      </c>
      <c r="AO147" s="24" t="str">
        <f>IFERROR(__xludf.DUMMYFUNCTION("""COMPUTED_VALUE"""),"Germany")</f>
        <v>Germany</v>
      </c>
      <c r="AP147" s="24"/>
      <c r="AQ147" s="24"/>
      <c r="AR147" s="54"/>
    </row>
    <row r="148">
      <c r="A148" s="53"/>
      <c r="B148" s="34"/>
      <c r="C148" s="34"/>
      <c r="D148" s="34"/>
      <c r="E148" s="34"/>
      <c r="F148" s="34"/>
      <c r="G148" s="34"/>
      <c r="H148" s="34"/>
      <c r="I148" s="34"/>
      <c r="J148" s="34"/>
      <c r="K148" s="34"/>
      <c r="L148" s="34"/>
      <c r="M148" s="34"/>
      <c r="N148" s="34"/>
      <c r="O148" s="34"/>
      <c r="P148" s="34"/>
      <c r="Q148" s="34"/>
      <c r="R148" s="24"/>
      <c r="S148" s="24"/>
      <c r="T148" s="24"/>
      <c r="U148" s="24"/>
      <c r="V148" s="24"/>
      <c r="W148" s="24"/>
      <c r="X148" s="24"/>
      <c r="Y148" s="24"/>
      <c r="Z148" s="24"/>
      <c r="AA148" s="24"/>
      <c r="AB148" s="24"/>
      <c r="AC148" s="24" t="str">
        <f>IFERROR(__xludf.DUMMYFUNCTION("""COMPUTED_VALUE"""),"Outer Skerries")</f>
        <v>Outer Skerries</v>
      </c>
      <c r="AD148" s="24" t="str">
        <f>IFERROR(__xludf.DUMMYFUNCTION("""COMPUTED_VALUE"""),"OUK")</f>
        <v>OUK</v>
      </c>
      <c r="AE148" s="24" t="str">
        <f>IFERROR(__xludf.DUMMYFUNCTION("""COMPUTED_VALUE"""),"Outer Skerries")</f>
        <v>Outer Skerries</v>
      </c>
      <c r="AF148" s="24" t="str">
        <f>IFERROR(__xludf.DUMMYFUNCTION("""COMPUTED_VALUE"""),"United Kingdom")</f>
        <v>United Kingdom</v>
      </c>
      <c r="AG148" s="24"/>
      <c r="AH148" s="24"/>
      <c r="AI148" s="24"/>
      <c r="AJ148" s="24"/>
      <c r="AK148" s="24"/>
      <c r="AL148" s="24" t="str">
        <f>IFERROR(__xludf.DUMMYFUNCTION("""COMPUTED_VALUE"""),"Wyk Auf Foehr")</f>
        <v>Wyk Auf Foehr</v>
      </c>
      <c r="AM148" s="24" t="str">
        <f>IFERROR(__xludf.DUMMYFUNCTION("""COMPUTED_VALUE"""),"OHR")</f>
        <v>OHR</v>
      </c>
      <c r="AN148" s="24" t="str">
        <f>IFERROR(__xludf.DUMMYFUNCTION("""COMPUTED_VALUE"""),"Wyk Auf Foehr")</f>
        <v>Wyk Auf Foehr</v>
      </c>
      <c r="AO148" s="24" t="str">
        <f>IFERROR(__xludf.DUMMYFUNCTION("""COMPUTED_VALUE"""),"Germany")</f>
        <v>Germany</v>
      </c>
      <c r="AP148" s="24"/>
      <c r="AQ148" s="24"/>
      <c r="AR148" s="54"/>
    </row>
    <row r="149">
      <c r="A149" s="53"/>
      <c r="B149" s="34"/>
      <c r="C149" s="34"/>
      <c r="D149" s="34"/>
      <c r="E149" s="34"/>
      <c r="F149" s="34"/>
      <c r="G149" s="34"/>
      <c r="H149" s="34"/>
      <c r="I149" s="34"/>
      <c r="J149" s="34"/>
      <c r="K149" s="34"/>
      <c r="L149" s="34"/>
      <c r="M149" s="34"/>
      <c r="N149" s="34"/>
      <c r="O149" s="34"/>
      <c r="P149" s="34"/>
      <c r="Q149" s="34"/>
      <c r="R149" s="24"/>
      <c r="S149" s="24"/>
      <c r="T149" s="24"/>
      <c r="U149" s="24"/>
      <c r="V149" s="24"/>
      <c r="W149" s="24"/>
      <c r="X149" s="24"/>
      <c r="Y149" s="24"/>
      <c r="Z149" s="24"/>
      <c r="AA149" s="24"/>
      <c r="AB149" s="24"/>
      <c r="AC149" s="24" t="str">
        <f>IFERROR(__xludf.DUMMYFUNCTION("""COMPUTED_VALUE"""),"Oxford")</f>
        <v>Oxford</v>
      </c>
      <c r="AD149" s="24" t="str">
        <f>IFERROR(__xludf.DUMMYFUNCTION("""COMPUTED_VALUE"""),"OXF")</f>
        <v>OXF</v>
      </c>
      <c r="AE149" s="24" t="str">
        <f>IFERROR(__xludf.DUMMYFUNCTION("""COMPUTED_VALUE"""),"Kidlington")</f>
        <v>Kidlington</v>
      </c>
      <c r="AF149" s="24" t="str">
        <f>IFERROR(__xludf.DUMMYFUNCTION("""COMPUTED_VALUE"""),"United Kingdom")</f>
        <v>United Kingdom</v>
      </c>
      <c r="AG149" s="24"/>
      <c r="AH149" s="24"/>
      <c r="AI149" s="24"/>
      <c r="AJ149" s="24"/>
      <c r="AK149" s="24"/>
      <c r="AL149" s="24" t="str">
        <f>IFERROR(__xludf.DUMMYFUNCTION("""COMPUTED_VALUE"""),"Nuremberg")</f>
        <v>Nuremberg</v>
      </c>
      <c r="AM149" s="24" t="str">
        <f>IFERROR(__xludf.DUMMYFUNCTION("""COMPUTED_VALUE"""),"NUE")</f>
        <v>NUE</v>
      </c>
      <c r="AN149" s="24" t="str">
        <f>IFERROR(__xludf.DUMMYFUNCTION("""COMPUTED_VALUE"""),"Nuremberg")</f>
        <v>Nuremberg</v>
      </c>
      <c r="AO149" s="24" t="str">
        <f>IFERROR(__xludf.DUMMYFUNCTION("""COMPUTED_VALUE"""),"Germany")</f>
        <v>Germany</v>
      </c>
      <c r="AP149" s="24"/>
      <c r="AQ149" s="24"/>
      <c r="AR149" s="54"/>
    </row>
    <row r="150">
      <c r="A150" s="53"/>
      <c r="B150" s="34"/>
      <c r="C150" s="34"/>
      <c r="D150" s="34"/>
      <c r="E150" s="34"/>
      <c r="F150" s="34"/>
      <c r="G150" s="34"/>
      <c r="H150" s="34"/>
      <c r="I150" s="34"/>
      <c r="J150" s="34"/>
      <c r="K150" s="34"/>
      <c r="L150" s="34"/>
      <c r="M150" s="34"/>
      <c r="N150" s="34"/>
      <c r="O150" s="34"/>
      <c r="P150" s="34"/>
      <c r="Q150" s="34"/>
      <c r="R150" s="24"/>
      <c r="S150" s="24"/>
      <c r="T150" s="24"/>
      <c r="U150" s="24"/>
      <c r="V150" s="24"/>
      <c r="W150" s="24"/>
      <c r="X150" s="24"/>
      <c r="Y150" s="24"/>
      <c r="Z150" s="24"/>
      <c r="AA150" s="24"/>
      <c r="AB150" s="24"/>
      <c r="AC150" s="24" t="str">
        <f>IFERROR(__xludf.DUMMYFUNCTION("""COMPUTED_VALUE"""),"Papa Stour")</f>
        <v>Papa Stour</v>
      </c>
      <c r="AD150" s="24" t="str">
        <f>IFERROR(__xludf.DUMMYFUNCTION("""COMPUTED_VALUE"""),"PSV")</f>
        <v>PSV</v>
      </c>
      <c r="AE150" s="24" t="str">
        <f>IFERROR(__xludf.DUMMYFUNCTION("""COMPUTED_VALUE"""),"Papa Stour")</f>
        <v>Papa Stour</v>
      </c>
      <c r="AF150" s="24" t="str">
        <f>IFERROR(__xludf.DUMMYFUNCTION("""COMPUTED_VALUE"""),"United Kingdom")</f>
        <v>United Kingdom</v>
      </c>
      <c r="AG150" s="24"/>
      <c r="AH150" s="24"/>
      <c r="AI150" s="24"/>
      <c r="AJ150" s="24"/>
      <c r="AK150" s="24"/>
      <c r="AL150" s="24"/>
      <c r="AM150" s="24" t="str">
        <f>IFERROR(__xludf.DUMMYFUNCTION("""COMPUTED_VALUE"""),"BER")</f>
        <v>BER</v>
      </c>
      <c r="AN150" s="24"/>
      <c r="AO150" s="24" t="str">
        <f>IFERROR(__xludf.DUMMYFUNCTION("""COMPUTED_VALUE"""),"Germany")</f>
        <v>Germany</v>
      </c>
      <c r="AP150" s="24"/>
      <c r="AQ150" s="24"/>
      <c r="AR150" s="54"/>
    </row>
    <row r="151">
      <c r="A151" s="53"/>
      <c r="B151" s="34"/>
      <c r="C151" s="34"/>
      <c r="D151" s="34"/>
      <c r="E151" s="34"/>
      <c r="F151" s="34"/>
      <c r="G151" s="34"/>
      <c r="H151" s="34"/>
      <c r="I151" s="34"/>
      <c r="J151" s="34"/>
      <c r="K151" s="34"/>
      <c r="L151" s="34"/>
      <c r="M151" s="34"/>
      <c r="N151" s="34"/>
      <c r="O151" s="34"/>
      <c r="P151" s="34"/>
      <c r="Q151" s="34"/>
      <c r="R151" s="24"/>
      <c r="S151" s="24"/>
      <c r="T151" s="24"/>
      <c r="U151" s="24"/>
      <c r="V151" s="24"/>
      <c r="W151" s="24"/>
      <c r="X151" s="24"/>
      <c r="Y151" s="24"/>
      <c r="Z151" s="24"/>
      <c r="AA151" s="24"/>
      <c r="AB151" s="24"/>
      <c r="AC151" s="24" t="str">
        <f>IFERROR(__xludf.DUMMYFUNCTION("""COMPUTED_VALUE"""),"Papa Westray")</f>
        <v>Papa Westray</v>
      </c>
      <c r="AD151" s="24" t="str">
        <f>IFERROR(__xludf.DUMMYFUNCTION("""COMPUTED_VALUE"""),"PPW")</f>
        <v>PPW</v>
      </c>
      <c r="AE151" s="24" t="str">
        <f>IFERROR(__xludf.DUMMYFUNCTION("""COMPUTED_VALUE"""),"Papa Westray")</f>
        <v>Papa Westray</v>
      </c>
      <c r="AF151" s="24" t="str">
        <f>IFERROR(__xludf.DUMMYFUNCTION("""COMPUTED_VALUE"""),"United Kingdom")</f>
        <v>United Kingdom</v>
      </c>
      <c r="AG151" s="24"/>
      <c r="AH151" s="24"/>
      <c r="AI151" s="24"/>
      <c r="AJ151" s="24"/>
      <c r="AK151" s="24"/>
      <c r="AL151" s="24"/>
      <c r="AM151" s="24" t="str">
        <f>IFERROR(__xludf.DUMMYFUNCTION("""COMPUTED_VALUE"""),"FMM")</f>
        <v>FMM</v>
      </c>
      <c r="AN151" s="24"/>
      <c r="AO151" s="24" t="str">
        <f>IFERROR(__xludf.DUMMYFUNCTION("""COMPUTED_VALUE"""),"Germany")</f>
        <v>Germany</v>
      </c>
      <c r="AP151" s="24"/>
      <c r="AQ151" s="24"/>
      <c r="AR151" s="54"/>
    </row>
    <row r="152">
      <c r="A152" s="53"/>
      <c r="B152" s="34"/>
      <c r="C152" s="34"/>
      <c r="D152" s="34"/>
      <c r="E152" s="34"/>
      <c r="F152" s="34"/>
      <c r="G152" s="34"/>
      <c r="H152" s="34"/>
      <c r="I152" s="34"/>
      <c r="J152" s="34"/>
      <c r="K152" s="34"/>
      <c r="L152" s="34"/>
      <c r="M152" s="34"/>
      <c r="N152" s="34"/>
      <c r="O152" s="34"/>
      <c r="P152" s="34"/>
      <c r="Q152" s="34"/>
      <c r="R152" s="24"/>
      <c r="S152" s="24"/>
      <c r="T152" s="24"/>
      <c r="U152" s="24"/>
      <c r="V152" s="24"/>
      <c r="W152" s="24"/>
      <c r="X152" s="24"/>
      <c r="Y152" s="24"/>
      <c r="Z152" s="24"/>
      <c r="AA152" s="24"/>
      <c r="AB152" s="24"/>
      <c r="AC152" s="24" t="str">
        <f>IFERROR(__xludf.DUMMYFUNCTION("""COMPUTED_VALUE"""),"Penzance")</f>
        <v>Penzance</v>
      </c>
      <c r="AD152" s="24" t="str">
        <f>IFERROR(__xludf.DUMMYFUNCTION("""COMPUTED_VALUE"""),"PZE")</f>
        <v>PZE</v>
      </c>
      <c r="AE152" s="24" t="str">
        <f>IFERROR(__xludf.DUMMYFUNCTION("""COMPUTED_VALUE"""),"Penzance")</f>
        <v>Penzance</v>
      </c>
      <c r="AF152" s="24" t="str">
        <f>IFERROR(__xludf.DUMMYFUNCTION("""COMPUTED_VALUE"""),"United Kingdom")</f>
        <v>United Kingdom</v>
      </c>
      <c r="AG152" s="24"/>
      <c r="AH152" s="24"/>
      <c r="AI152" s="24"/>
      <c r="AJ152" s="24"/>
      <c r="AK152" s="24"/>
      <c r="AL152" s="24"/>
      <c r="AM152" s="24" t="str">
        <f>IFERROR(__xludf.DUMMYFUNCTION("""COMPUTED_VALUE"""),"LEJ")</f>
        <v>LEJ</v>
      </c>
      <c r="AN152" s="24"/>
      <c r="AO152" s="24" t="str">
        <f>IFERROR(__xludf.DUMMYFUNCTION("""COMPUTED_VALUE"""),"Germany")</f>
        <v>Germany</v>
      </c>
      <c r="AP152" s="24"/>
      <c r="AQ152" s="24"/>
      <c r="AR152" s="54"/>
    </row>
    <row r="153">
      <c r="A153" s="53"/>
      <c r="B153" s="34"/>
      <c r="C153" s="34"/>
      <c r="D153" s="34"/>
      <c r="E153" s="34"/>
      <c r="F153" s="34"/>
      <c r="G153" s="34"/>
      <c r="H153" s="34"/>
      <c r="I153" s="34"/>
      <c r="J153" s="34"/>
      <c r="K153" s="34"/>
      <c r="L153" s="34"/>
      <c r="M153" s="34"/>
      <c r="N153" s="34"/>
      <c r="O153" s="34"/>
      <c r="P153" s="34"/>
      <c r="Q153" s="34"/>
      <c r="R153" s="24"/>
      <c r="S153" s="24"/>
      <c r="T153" s="24"/>
      <c r="U153" s="24"/>
      <c r="V153" s="24"/>
      <c r="W153" s="24"/>
      <c r="X153" s="24"/>
      <c r="Y153" s="24"/>
      <c r="Z153" s="24"/>
      <c r="AA153" s="24"/>
      <c r="AB153" s="24"/>
      <c r="AC153" s="24" t="str">
        <f>IFERROR(__xludf.DUMMYFUNCTION("""COMPUTED_VALUE"""),"Perth")</f>
        <v>Perth</v>
      </c>
      <c r="AD153" s="24" t="str">
        <f>IFERROR(__xludf.DUMMYFUNCTION("""COMPUTED_VALUE"""),"PSL")</f>
        <v>PSL</v>
      </c>
      <c r="AE153" s="24" t="str">
        <f>IFERROR(__xludf.DUMMYFUNCTION("""COMPUTED_VALUE"""),"Perth")</f>
        <v>Perth</v>
      </c>
      <c r="AF153" s="24" t="str">
        <f>IFERROR(__xludf.DUMMYFUNCTION("""COMPUTED_VALUE"""),"United Kingdom")</f>
        <v>United Kingdom</v>
      </c>
      <c r="AG153" s="24"/>
      <c r="AH153" s="24"/>
      <c r="AI153" s="24"/>
      <c r="AJ153" s="24"/>
      <c r="AK153" s="24"/>
      <c r="AL153" s="24"/>
      <c r="AM153" s="24" t="str">
        <f>IFERROR(__xludf.DUMMYFUNCTION("""COMPUTED_VALUE"""),"NUR")</f>
        <v>NUR</v>
      </c>
      <c r="AN153" s="24"/>
      <c r="AO153" s="24" t="str">
        <f>IFERROR(__xludf.DUMMYFUNCTION("""COMPUTED_VALUE"""),"Germany")</f>
        <v>Germany</v>
      </c>
      <c r="AP153" s="24"/>
      <c r="AQ153" s="24"/>
      <c r="AR153" s="54"/>
    </row>
    <row r="154">
      <c r="A154" s="53"/>
      <c r="B154" s="34"/>
      <c r="C154" s="34"/>
      <c r="D154" s="34"/>
      <c r="E154" s="34"/>
      <c r="F154" s="34"/>
      <c r="G154" s="34"/>
      <c r="H154" s="34"/>
      <c r="I154" s="34"/>
      <c r="J154" s="34"/>
      <c r="K154" s="34"/>
      <c r="L154" s="34"/>
      <c r="M154" s="34"/>
      <c r="N154" s="34"/>
      <c r="O154" s="34"/>
      <c r="P154" s="34"/>
      <c r="Q154" s="34"/>
      <c r="R154" s="24"/>
      <c r="S154" s="24"/>
      <c r="T154" s="24"/>
      <c r="U154" s="24"/>
      <c r="V154" s="24"/>
      <c r="W154" s="24"/>
      <c r="X154" s="24"/>
      <c r="Y154" s="24"/>
      <c r="Z154" s="24"/>
      <c r="AA154" s="24"/>
      <c r="AB154" s="24"/>
      <c r="AC154" s="24" t="str">
        <f>IFERROR(__xludf.DUMMYFUNCTION("""COMPUTED_VALUE"""),"Perth")</f>
        <v>Perth</v>
      </c>
      <c r="AD154" s="24" t="str">
        <f>IFERROR(__xludf.DUMMYFUNCTION("""COMPUTED_VALUE"""),"ZXP")</f>
        <v>ZXP</v>
      </c>
      <c r="AE154" s="24" t="str">
        <f>IFERROR(__xludf.DUMMYFUNCTION("""COMPUTED_VALUE"""),"ScotRail")</f>
        <v>ScotRail</v>
      </c>
      <c r="AF154" s="24" t="str">
        <f>IFERROR(__xludf.DUMMYFUNCTION("""COMPUTED_VALUE"""),"United Kingdom")</f>
        <v>United Kingdom</v>
      </c>
      <c r="AG154" s="24"/>
      <c r="AH154" s="24"/>
      <c r="AI154" s="24"/>
      <c r="AJ154" s="24"/>
      <c r="AK154" s="24"/>
      <c r="AL154" s="24"/>
      <c r="AM154" s="24" t="str">
        <f>IFERROR(__xludf.DUMMYFUNCTION("""COMPUTED_VALUE"""),"FKB")</f>
        <v>FKB</v>
      </c>
      <c r="AN154" s="24"/>
      <c r="AO154" s="24" t="str">
        <f>IFERROR(__xludf.DUMMYFUNCTION("""COMPUTED_VALUE"""),"Germany")</f>
        <v>Germany</v>
      </c>
      <c r="AP154" s="24"/>
      <c r="AQ154" s="24"/>
      <c r="AR154" s="54"/>
    </row>
    <row r="155">
      <c r="A155" s="53"/>
      <c r="B155" s="34"/>
      <c r="C155" s="34"/>
      <c r="D155" s="34"/>
      <c r="E155" s="34"/>
      <c r="F155" s="34"/>
      <c r="G155" s="34"/>
      <c r="H155" s="34"/>
      <c r="I155" s="34"/>
      <c r="J155" s="34"/>
      <c r="K155" s="34"/>
      <c r="L155" s="34"/>
      <c r="M155" s="34"/>
      <c r="N155" s="34"/>
      <c r="O155" s="34"/>
      <c r="P155" s="34"/>
      <c r="Q155" s="34"/>
      <c r="R155" s="24"/>
      <c r="S155" s="24"/>
      <c r="T155" s="24"/>
      <c r="U155" s="24"/>
      <c r="V155" s="24"/>
      <c r="W155" s="24"/>
      <c r="X155" s="24"/>
      <c r="Y155" s="24"/>
      <c r="Z155" s="24"/>
      <c r="AA155" s="24"/>
      <c r="AB155" s="24"/>
      <c r="AC155" s="24" t="str">
        <f>IFERROR(__xludf.DUMMYFUNCTION("""COMPUTED_VALUE"""),"Plymouth")</f>
        <v>Plymouth</v>
      </c>
      <c r="AD155" s="24" t="str">
        <f>IFERROR(__xludf.DUMMYFUNCTION("""COMPUTED_VALUE"""),"PLH")</f>
        <v>PLH</v>
      </c>
      <c r="AE155" s="24" t="str">
        <f>IFERROR(__xludf.DUMMYFUNCTION("""COMPUTED_VALUE"""),"Plymouth")</f>
        <v>Plymouth</v>
      </c>
      <c r="AF155" s="24" t="str">
        <f>IFERROR(__xludf.DUMMYFUNCTION("""COMPUTED_VALUE"""),"United Kingdom")</f>
        <v>United Kingdom</v>
      </c>
      <c r="AG155" s="24"/>
      <c r="AH155" s="24"/>
      <c r="AI155" s="24"/>
      <c r="AJ155" s="24"/>
      <c r="AK155" s="24"/>
      <c r="AL155" s="24"/>
      <c r="AM155" s="24" t="str">
        <f>IFERROR(__xludf.DUMMYFUNCTION("""COMPUTED_VALUE"""),"ZCC")</f>
        <v>ZCC</v>
      </c>
      <c r="AN155" s="24"/>
      <c r="AO155" s="24" t="str">
        <f>IFERROR(__xludf.DUMMYFUNCTION("""COMPUTED_VALUE"""),"Germany")</f>
        <v>Germany</v>
      </c>
      <c r="AP155" s="24"/>
      <c r="AQ155" s="24"/>
      <c r="AR155" s="54"/>
    </row>
    <row r="156">
      <c r="A156" s="53"/>
      <c r="B156" s="34"/>
      <c r="C156" s="34"/>
      <c r="D156" s="34"/>
      <c r="E156" s="34"/>
      <c r="F156" s="34"/>
      <c r="G156" s="34"/>
      <c r="H156" s="34"/>
      <c r="I156" s="34"/>
      <c r="J156" s="34"/>
      <c r="K156" s="34"/>
      <c r="L156" s="34"/>
      <c r="M156" s="34"/>
      <c r="N156" s="34"/>
      <c r="O156" s="34"/>
      <c r="P156" s="34"/>
      <c r="Q156" s="34"/>
      <c r="R156" s="24"/>
      <c r="S156" s="24"/>
      <c r="T156" s="24"/>
      <c r="U156" s="24"/>
      <c r="V156" s="24"/>
      <c r="W156" s="24"/>
      <c r="X156" s="24"/>
      <c r="Y156" s="24"/>
      <c r="Z156" s="24"/>
      <c r="AA156" s="24"/>
      <c r="AB156" s="24"/>
      <c r="AC156" s="24" t="str">
        <f>IFERROR(__xludf.DUMMYFUNCTION("""COMPUTED_VALUE"""),"Portsmouth")</f>
        <v>Portsmouth</v>
      </c>
      <c r="AD156" s="24" t="str">
        <f>IFERROR(__xludf.DUMMYFUNCTION("""COMPUTED_VALUE"""),"PME")</f>
        <v>PME</v>
      </c>
      <c r="AE156" s="24" t="str">
        <f>IFERROR(__xludf.DUMMYFUNCTION("""COMPUTED_VALUE"""),"Portsmouth")</f>
        <v>Portsmouth</v>
      </c>
      <c r="AF156" s="24" t="str">
        <f>IFERROR(__xludf.DUMMYFUNCTION("""COMPUTED_VALUE"""),"United Kingdom")</f>
        <v>United Kingdom</v>
      </c>
      <c r="AG156" s="24"/>
      <c r="AH156" s="24"/>
      <c r="AI156" s="24"/>
      <c r="AJ156" s="24"/>
      <c r="AK156" s="24"/>
      <c r="AL156" s="24"/>
      <c r="AM156" s="24" t="str">
        <f>IFERROR(__xludf.DUMMYFUNCTION("""COMPUTED_VALUE"""),"ZMU")</f>
        <v>ZMU</v>
      </c>
      <c r="AN156" s="24"/>
      <c r="AO156" s="24" t="str">
        <f>IFERROR(__xludf.DUMMYFUNCTION("""COMPUTED_VALUE"""),"Germany")</f>
        <v>Germany</v>
      </c>
      <c r="AP156" s="24"/>
      <c r="AQ156" s="24"/>
      <c r="AR156" s="54"/>
    </row>
    <row r="157">
      <c r="A157" s="53"/>
      <c r="B157" s="34"/>
      <c r="C157" s="34"/>
      <c r="D157" s="34"/>
      <c r="E157" s="34"/>
      <c r="F157" s="34"/>
      <c r="G157" s="34"/>
      <c r="H157" s="34"/>
      <c r="I157" s="34"/>
      <c r="J157" s="34"/>
      <c r="K157" s="34"/>
      <c r="L157" s="34"/>
      <c r="M157" s="34"/>
      <c r="N157" s="34"/>
      <c r="O157" s="34"/>
      <c r="P157" s="34"/>
      <c r="Q157" s="34"/>
      <c r="R157" s="24"/>
      <c r="S157" s="24"/>
      <c r="T157" s="24"/>
      <c r="U157" s="24"/>
      <c r="V157" s="24"/>
      <c r="W157" s="24"/>
      <c r="X157" s="24"/>
      <c r="Y157" s="24"/>
      <c r="Z157" s="24"/>
      <c r="AA157" s="24"/>
      <c r="AB157" s="24"/>
      <c r="AC157" s="24" t="str">
        <f>IFERROR(__xludf.DUMMYFUNCTION("""COMPUTED_VALUE"""),"Rochester")</f>
        <v>Rochester</v>
      </c>
      <c r="AD157" s="24" t="str">
        <f>IFERROR(__xludf.DUMMYFUNCTION("""COMPUTED_VALUE"""),"RCS")</f>
        <v>RCS</v>
      </c>
      <c r="AE157" s="24" t="str">
        <f>IFERROR(__xludf.DUMMYFUNCTION("""COMPUTED_VALUE"""),"Rochester")</f>
        <v>Rochester</v>
      </c>
      <c r="AF157" s="24" t="str">
        <f>IFERROR(__xludf.DUMMYFUNCTION("""COMPUTED_VALUE"""),"United Kingdom")</f>
        <v>United Kingdom</v>
      </c>
      <c r="AG157" s="24"/>
      <c r="AH157" s="24"/>
      <c r="AI157" s="24"/>
      <c r="AJ157" s="24"/>
      <c r="AK157" s="24"/>
      <c r="AL157" s="24"/>
      <c r="AM157" s="24" t="str">
        <f>IFERROR(__xludf.DUMMYFUNCTION("""COMPUTED_VALUE"""),"ZWS")</f>
        <v>ZWS</v>
      </c>
      <c r="AN157" s="24"/>
      <c r="AO157" s="24" t="str">
        <f>IFERROR(__xludf.DUMMYFUNCTION("""COMPUTED_VALUE"""),"Germany")</f>
        <v>Germany</v>
      </c>
      <c r="AP157" s="24"/>
      <c r="AQ157" s="24"/>
      <c r="AR157" s="54"/>
    </row>
    <row r="158">
      <c r="A158" s="53"/>
      <c r="B158" s="34"/>
      <c r="C158" s="34"/>
      <c r="D158" s="34"/>
      <c r="E158" s="34"/>
      <c r="F158" s="34"/>
      <c r="G158" s="34"/>
      <c r="H158" s="34"/>
      <c r="I158" s="34"/>
      <c r="J158" s="34"/>
      <c r="K158" s="34"/>
      <c r="L158" s="34"/>
      <c r="M158" s="34"/>
      <c r="N158" s="34"/>
      <c r="O158" s="34"/>
      <c r="P158" s="34"/>
      <c r="Q158" s="34"/>
      <c r="R158" s="24"/>
      <c r="S158" s="24"/>
      <c r="T158" s="24"/>
      <c r="U158" s="24"/>
      <c r="V158" s="24"/>
      <c r="W158" s="24"/>
      <c r="X158" s="24"/>
      <c r="Y158" s="24"/>
      <c r="Z158" s="24"/>
      <c r="AA158" s="24"/>
      <c r="AB158" s="24"/>
      <c r="AC158" s="24" t="str">
        <f>IFERROR(__xludf.DUMMYFUNCTION("""COMPUTED_VALUE"""),"Rothesay")</f>
        <v>Rothesay</v>
      </c>
      <c r="AD158" s="24" t="str">
        <f>IFERROR(__xludf.DUMMYFUNCTION("""COMPUTED_VALUE"""),"RAY")</f>
        <v>RAY</v>
      </c>
      <c r="AE158" s="24" t="str">
        <f>IFERROR(__xludf.DUMMYFUNCTION("""COMPUTED_VALUE"""),"Heliport")</f>
        <v>Heliport</v>
      </c>
      <c r="AF158" s="24" t="str">
        <f>IFERROR(__xludf.DUMMYFUNCTION("""COMPUTED_VALUE"""),"United Kingdom")</f>
        <v>United Kingdom</v>
      </c>
      <c r="AG158" s="24"/>
      <c r="AH158" s="24"/>
      <c r="AI158" s="24"/>
      <c r="AJ158" s="24"/>
      <c r="AK158" s="24"/>
      <c r="AL158" s="24"/>
      <c r="AM158" s="24" t="str">
        <f>IFERROR(__xludf.DUMMYFUNCTION("""COMPUTED_VALUE"""),"BRE ")</f>
        <v>BRE </v>
      </c>
      <c r="AN158" s="24"/>
      <c r="AO158" s="24" t="str">
        <f>IFERROR(__xludf.DUMMYFUNCTION("""COMPUTED_VALUE"""),"Germany")</f>
        <v>Germany</v>
      </c>
      <c r="AP158" s="24"/>
      <c r="AQ158" s="24"/>
      <c r="AR158" s="54"/>
    </row>
    <row r="159">
      <c r="A159" s="53"/>
      <c r="B159" s="34"/>
      <c r="C159" s="34"/>
      <c r="D159" s="34"/>
      <c r="E159" s="34"/>
      <c r="F159" s="34"/>
      <c r="G159" s="34"/>
      <c r="H159" s="34"/>
      <c r="I159" s="34"/>
      <c r="J159" s="34"/>
      <c r="K159" s="34"/>
      <c r="L159" s="34"/>
      <c r="M159" s="34"/>
      <c r="N159" s="34"/>
      <c r="O159" s="34"/>
      <c r="P159" s="34"/>
      <c r="Q159" s="34"/>
      <c r="R159" s="24"/>
      <c r="S159" s="24"/>
      <c r="T159" s="24"/>
      <c r="U159" s="24"/>
      <c r="V159" s="24"/>
      <c r="W159" s="24"/>
      <c r="X159" s="24"/>
      <c r="Y159" s="24"/>
      <c r="Z159" s="24"/>
      <c r="AA159" s="24"/>
      <c r="AB159" s="24"/>
      <c r="AC159" s="24" t="str">
        <f>IFERROR(__xludf.DUMMYFUNCTION("""COMPUTED_VALUE"""),"Sanday")</f>
        <v>Sanday</v>
      </c>
      <c r="AD159" s="24" t="str">
        <f>IFERROR(__xludf.DUMMYFUNCTION("""COMPUTED_VALUE"""),"NDY")</f>
        <v>NDY</v>
      </c>
      <c r="AE159" s="24" t="str">
        <f>IFERROR(__xludf.DUMMYFUNCTION("""COMPUTED_VALUE"""),"Sanday")</f>
        <v>Sanday</v>
      </c>
      <c r="AF159" s="24" t="str">
        <f>IFERROR(__xludf.DUMMYFUNCTION("""COMPUTED_VALUE"""),"United Kingdom")</f>
        <v>United Kingdom</v>
      </c>
      <c r="AG159" s="24"/>
      <c r="AH159" s="24"/>
      <c r="AI159" s="24"/>
      <c r="AJ159" s="24"/>
      <c r="AK159" s="24"/>
      <c r="AL159" s="24"/>
      <c r="AM159" s="24"/>
      <c r="AN159" s="24"/>
      <c r="AO159" s="24"/>
      <c r="AP159" s="24"/>
      <c r="AQ159" s="24"/>
      <c r="AR159" s="54"/>
    </row>
    <row r="160">
      <c r="A160" s="53"/>
      <c r="B160" s="34"/>
      <c r="C160" s="34"/>
      <c r="D160" s="34"/>
      <c r="E160" s="34"/>
      <c r="F160" s="34"/>
      <c r="G160" s="34"/>
      <c r="H160" s="34"/>
      <c r="I160" s="34"/>
      <c r="J160" s="34"/>
      <c r="K160" s="34"/>
      <c r="L160" s="34"/>
      <c r="M160" s="34"/>
      <c r="N160" s="34"/>
      <c r="O160" s="34"/>
      <c r="P160" s="34"/>
      <c r="Q160" s="34"/>
      <c r="R160" s="24"/>
      <c r="S160" s="24"/>
      <c r="T160" s="24"/>
      <c r="U160" s="24"/>
      <c r="V160" s="24"/>
      <c r="W160" s="24"/>
      <c r="X160" s="24"/>
      <c r="Y160" s="24"/>
      <c r="Z160" s="24"/>
      <c r="AA160" s="24"/>
      <c r="AB160" s="24"/>
      <c r="AC160" s="24" t="str">
        <f>IFERROR(__xludf.DUMMYFUNCTION("""COMPUTED_VALUE"""),"Scampton")</f>
        <v>Scampton</v>
      </c>
      <c r="AD160" s="24" t="str">
        <f>IFERROR(__xludf.DUMMYFUNCTION("""COMPUTED_VALUE"""),"SQZ")</f>
        <v>SQZ</v>
      </c>
      <c r="AE160" s="24" t="str">
        <f>IFERROR(__xludf.DUMMYFUNCTION("""COMPUTED_VALUE"""),"RAF Station")</f>
        <v>RAF Station</v>
      </c>
      <c r="AF160" s="24" t="str">
        <f>IFERROR(__xludf.DUMMYFUNCTION("""COMPUTED_VALUE"""),"United Kingdom")</f>
        <v>United Kingdom</v>
      </c>
      <c r="AG160" s="24"/>
      <c r="AH160" s="24"/>
      <c r="AI160" s="24"/>
      <c r="AJ160" s="24"/>
      <c r="AK160" s="24"/>
      <c r="AL160" s="24"/>
      <c r="AM160" s="24"/>
      <c r="AN160" s="24"/>
      <c r="AO160" s="24"/>
      <c r="AP160" s="24"/>
      <c r="AQ160" s="24"/>
      <c r="AR160" s="54"/>
    </row>
    <row r="161">
      <c r="A161" s="53"/>
      <c r="B161" s="34"/>
      <c r="C161" s="34"/>
      <c r="D161" s="34"/>
      <c r="E161" s="34"/>
      <c r="F161" s="34"/>
      <c r="G161" s="34"/>
      <c r="H161" s="34"/>
      <c r="I161" s="34"/>
      <c r="J161" s="34"/>
      <c r="K161" s="34"/>
      <c r="L161" s="34"/>
      <c r="M161" s="34"/>
      <c r="N161" s="34"/>
      <c r="O161" s="34"/>
      <c r="P161" s="34"/>
      <c r="Q161" s="34"/>
      <c r="R161" s="24"/>
      <c r="S161" s="24"/>
      <c r="T161" s="24"/>
      <c r="U161" s="24"/>
      <c r="V161" s="24"/>
      <c r="W161" s="24"/>
      <c r="X161" s="24"/>
      <c r="Y161" s="24"/>
      <c r="Z161" s="24"/>
      <c r="AA161" s="24"/>
      <c r="AB161" s="24"/>
      <c r="AC161" s="24" t="str">
        <f>IFERROR(__xludf.DUMMYFUNCTION("""COMPUTED_VALUE"""),"Sheffield")</f>
        <v>Sheffield</v>
      </c>
      <c r="AD161" s="24" t="str">
        <f>IFERROR(__xludf.DUMMYFUNCTION("""COMPUTED_VALUE"""),"SZD")</f>
        <v>SZD</v>
      </c>
      <c r="AE161" s="24" t="str">
        <f>IFERROR(__xludf.DUMMYFUNCTION("""COMPUTED_VALUE"""),"Sheffield City Airport")</f>
        <v>Sheffield City Airport</v>
      </c>
      <c r="AF161" s="24" t="str">
        <f>IFERROR(__xludf.DUMMYFUNCTION("""COMPUTED_VALUE"""),"United Kingdom")</f>
        <v>United Kingdom</v>
      </c>
      <c r="AG161" s="24"/>
      <c r="AH161" s="24"/>
      <c r="AI161" s="24"/>
      <c r="AJ161" s="24"/>
      <c r="AK161" s="24"/>
      <c r="AL161" s="24"/>
      <c r="AM161" s="24"/>
      <c r="AN161" s="24"/>
      <c r="AO161" s="24"/>
      <c r="AP161" s="24"/>
      <c r="AQ161" s="24"/>
      <c r="AR161" s="54"/>
    </row>
    <row r="162">
      <c r="A162" s="53"/>
      <c r="B162" s="34"/>
      <c r="C162" s="34"/>
      <c r="D162" s="34"/>
      <c r="E162" s="34"/>
      <c r="F162" s="34"/>
      <c r="G162" s="34"/>
      <c r="H162" s="34"/>
      <c r="I162" s="34"/>
      <c r="J162" s="34"/>
      <c r="K162" s="34"/>
      <c r="L162" s="34"/>
      <c r="M162" s="34"/>
      <c r="N162" s="34"/>
      <c r="O162" s="34"/>
      <c r="P162" s="34"/>
      <c r="Q162" s="34"/>
      <c r="R162" s="24"/>
      <c r="S162" s="24"/>
      <c r="T162" s="24"/>
      <c r="U162" s="24"/>
      <c r="V162" s="24"/>
      <c r="W162" s="24"/>
      <c r="X162" s="24"/>
      <c r="Y162" s="24"/>
      <c r="Z162" s="24"/>
      <c r="AA162" s="24"/>
      <c r="AB162" s="24"/>
      <c r="AC162" s="24" t="str">
        <f>IFERROR(__xludf.DUMMYFUNCTION("""COMPUTED_VALUE"""),"Shetland Islands")</f>
        <v>Shetland Islands</v>
      </c>
      <c r="AD162" s="24" t="str">
        <f>IFERROR(__xludf.DUMMYFUNCTION("""COMPUTED_VALUE"""),"LWK")</f>
        <v>LWK</v>
      </c>
      <c r="AE162" s="24" t="str">
        <f>IFERROR(__xludf.DUMMYFUNCTION("""COMPUTED_VALUE"""),"Lerwick/Tingwall")</f>
        <v>Lerwick/Tingwall</v>
      </c>
      <c r="AF162" s="24" t="str">
        <f>IFERROR(__xludf.DUMMYFUNCTION("""COMPUTED_VALUE"""),"United Kingdom")</f>
        <v>United Kingdom</v>
      </c>
      <c r="AG162" s="24"/>
      <c r="AH162" s="24"/>
      <c r="AI162" s="24"/>
      <c r="AJ162" s="24"/>
      <c r="AK162" s="24"/>
      <c r="AL162" s="24"/>
      <c r="AM162" s="24"/>
      <c r="AN162" s="24"/>
      <c r="AO162" s="24"/>
      <c r="AP162" s="24"/>
      <c r="AQ162" s="24"/>
      <c r="AR162" s="54"/>
    </row>
    <row r="163">
      <c r="A163" s="53"/>
      <c r="B163" s="34"/>
      <c r="C163" s="34"/>
      <c r="D163" s="34"/>
      <c r="E163" s="34"/>
      <c r="F163" s="34"/>
      <c r="G163" s="34"/>
      <c r="H163" s="34"/>
      <c r="I163" s="34"/>
      <c r="J163" s="34"/>
      <c r="K163" s="34"/>
      <c r="L163" s="34"/>
      <c r="M163" s="34"/>
      <c r="N163" s="34"/>
      <c r="O163" s="34"/>
      <c r="P163" s="34"/>
      <c r="Q163" s="34"/>
      <c r="R163" s="24"/>
      <c r="S163" s="24"/>
      <c r="T163" s="24"/>
      <c r="U163" s="24"/>
      <c r="V163" s="24"/>
      <c r="W163" s="24"/>
      <c r="X163" s="24"/>
      <c r="Y163" s="24"/>
      <c r="Z163" s="24"/>
      <c r="AA163" s="24"/>
      <c r="AB163" s="24"/>
      <c r="AC163" s="24" t="str">
        <f>IFERROR(__xludf.DUMMYFUNCTION("""COMPUTED_VALUE"""),"Shetland Islands")</f>
        <v>Shetland Islands</v>
      </c>
      <c r="AD163" s="24" t="str">
        <f>IFERROR(__xludf.DUMMYFUNCTION("""COMPUTED_VALUE"""),"SCS")</f>
        <v>SCS</v>
      </c>
      <c r="AE163" s="24" t="str">
        <f>IFERROR(__xludf.DUMMYFUNCTION("""COMPUTED_VALUE"""),"Scatsta")</f>
        <v>Scatsta</v>
      </c>
      <c r="AF163" s="24" t="str">
        <f>IFERROR(__xludf.DUMMYFUNCTION("""COMPUTED_VALUE"""),"United Kingdom")</f>
        <v>United Kingdom</v>
      </c>
      <c r="AG163" s="24"/>
      <c r="AH163" s="24"/>
      <c r="AI163" s="24"/>
      <c r="AJ163" s="24"/>
      <c r="AK163" s="24"/>
      <c r="AL163" s="24"/>
      <c r="AM163" s="24"/>
      <c r="AN163" s="24"/>
      <c r="AO163" s="24"/>
      <c r="AP163" s="24"/>
      <c r="AQ163" s="24"/>
      <c r="AR163" s="54"/>
    </row>
    <row r="164">
      <c r="A164" s="53"/>
      <c r="B164" s="34"/>
      <c r="C164" s="34"/>
      <c r="D164" s="34"/>
      <c r="E164" s="34"/>
      <c r="F164" s="34"/>
      <c r="G164" s="34"/>
      <c r="H164" s="34"/>
      <c r="I164" s="34"/>
      <c r="J164" s="34"/>
      <c r="K164" s="34"/>
      <c r="L164" s="34"/>
      <c r="M164" s="34"/>
      <c r="N164" s="34"/>
      <c r="O164" s="34"/>
      <c r="P164" s="34"/>
      <c r="Q164" s="34"/>
      <c r="R164" s="24"/>
      <c r="S164" s="24"/>
      <c r="T164" s="24"/>
      <c r="U164" s="24"/>
      <c r="V164" s="24"/>
      <c r="W164" s="24"/>
      <c r="X164" s="24"/>
      <c r="Y164" s="24"/>
      <c r="Z164" s="24"/>
      <c r="AA164" s="24"/>
      <c r="AB164" s="24"/>
      <c r="AC164" s="24" t="str">
        <f>IFERROR(__xludf.DUMMYFUNCTION("""COMPUTED_VALUE"""),"Shetland Islands")</f>
        <v>Shetland Islands</v>
      </c>
      <c r="AD164" s="24" t="str">
        <f>IFERROR(__xludf.DUMMYFUNCTION("""COMPUTED_VALUE"""),"LSI")</f>
        <v>LSI</v>
      </c>
      <c r="AE164" s="24" t="str">
        <f>IFERROR(__xludf.DUMMYFUNCTION("""COMPUTED_VALUE"""),"Sumburgh")</f>
        <v>Sumburgh</v>
      </c>
      <c r="AF164" s="24" t="str">
        <f>IFERROR(__xludf.DUMMYFUNCTION("""COMPUTED_VALUE"""),"United Kingdom")</f>
        <v>United Kingdom</v>
      </c>
      <c r="AG164" s="24"/>
      <c r="AH164" s="24"/>
      <c r="AI164" s="24"/>
      <c r="AJ164" s="24"/>
      <c r="AK164" s="24"/>
      <c r="AL164" s="24"/>
      <c r="AM164" s="24"/>
      <c r="AN164" s="24"/>
      <c r="AO164" s="24"/>
      <c r="AP164" s="24"/>
      <c r="AQ164" s="24"/>
      <c r="AR164" s="54"/>
    </row>
    <row r="165">
      <c r="A165" s="53"/>
      <c r="B165" s="34"/>
      <c r="C165" s="34"/>
      <c r="D165" s="34"/>
      <c r="E165" s="34"/>
      <c r="F165" s="34"/>
      <c r="G165" s="34"/>
      <c r="H165" s="34"/>
      <c r="I165" s="34"/>
      <c r="J165" s="34"/>
      <c r="K165" s="34"/>
      <c r="L165" s="34"/>
      <c r="M165" s="34"/>
      <c r="N165" s="34"/>
      <c r="O165" s="34"/>
      <c r="P165" s="34"/>
      <c r="Q165" s="34"/>
      <c r="R165" s="24"/>
      <c r="S165" s="24"/>
      <c r="T165" s="24"/>
      <c r="U165" s="24"/>
      <c r="V165" s="24"/>
      <c r="W165" s="24"/>
      <c r="X165" s="24"/>
      <c r="Y165" s="24"/>
      <c r="Z165" s="24"/>
      <c r="AA165" s="24"/>
      <c r="AB165" s="24"/>
      <c r="AC165" s="24" t="str">
        <f>IFERROR(__xludf.DUMMYFUNCTION("""COMPUTED_VALUE"""),"Shoreham By Sea")</f>
        <v>Shoreham By Sea</v>
      </c>
      <c r="AD165" s="24" t="str">
        <f>IFERROR(__xludf.DUMMYFUNCTION("""COMPUTED_VALUE"""),"ESH")</f>
        <v>ESH</v>
      </c>
      <c r="AE165" s="24" t="str">
        <f>IFERROR(__xludf.DUMMYFUNCTION("""COMPUTED_VALUE"""),"Shoreham")</f>
        <v>Shoreham</v>
      </c>
      <c r="AF165" s="24" t="str">
        <f>IFERROR(__xludf.DUMMYFUNCTION("""COMPUTED_VALUE"""),"United Kingdom")</f>
        <v>United Kingdom</v>
      </c>
      <c r="AG165" s="24"/>
      <c r="AH165" s="24"/>
      <c r="AI165" s="24"/>
      <c r="AJ165" s="24"/>
      <c r="AK165" s="24"/>
      <c r="AL165" s="24"/>
      <c r="AM165" s="24"/>
      <c r="AN165" s="24"/>
      <c r="AO165" s="24"/>
      <c r="AP165" s="24"/>
      <c r="AQ165" s="24"/>
      <c r="AR165" s="54"/>
    </row>
    <row r="166">
      <c r="A166" s="53"/>
      <c r="B166" s="34"/>
      <c r="C166" s="34"/>
      <c r="D166" s="34"/>
      <c r="E166" s="34"/>
      <c r="F166" s="34"/>
      <c r="G166" s="34"/>
      <c r="H166" s="34"/>
      <c r="I166" s="34"/>
      <c r="J166" s="34"/>
      <c r="K166" s="34"/>
      <c r="L166" s="34"/>
      <c r="M166" s="34"/>
      <c r="N166" s="34"/>
      <c r="O166" s="34"/>
      <c r="P166" s="34"/>
      <c r="Q166" s="34"/>
      <c r="R166" s="24"/>
      <c r="S166" s="24"/>
      <c r="T166" s="24"/>
      <c r="U166" s="24"/>
      <c r="V166" s="24"/>
      <c r="W166" s="24"/>
      <c r="X166" s="24"/>
      <c r="Y166" s="24"/>
      <c r="Z166" s="24"/>
      <c r="AA166" s="24"/>
      <c r="AB166" s="24"/>
      <c r="AC166" s="24" t="str">
        <f>IFERROR(__xludf.DUMMYFUNCTION("""COMPUTED_VALUE"""),"Southampton")</f>
        <v>Southampton</v>
      </c>
      <c r="AD166" s="24" t="str">
        <f>IFERROR(__xludf.DUMMYFUNCTION("""COMPUTED_VALUE"""),"SOU")</f>
        <v>SOU</v>
      </c>
      <c r="AE166" s="24" t="str">
        <f>IFERROR(__xludf.DUMMYFUNCTION("""COMPUTED_VALUE"""),"Eastleigh")</f>
        <v>Eastleigh</v>
      </c>
      <c r="AF166" s="24" t="str">
        <f>IFERROR(__xludf.DUMMYFUNCTION("""COMPUTED_VALUE"""),"United Kingdom")</f>
        <v>United Kingdom</v>
      </c>
      <c r="AG166" s="24"/>
      <c r="AH166" s="24"/>
      <c r="AI166" s="24"/>
      <c r="AJ166" s="24"/>
      <c r="AK166" s="24"/>
      <c r="AL166" s="24"/>
      <c r="AM166" s="24"/>
      <c r="AN166" s="24"/>
      <c r="AO166" s="24"/>
      <c r="AP166" s="24"/>
      <c r="AQ166" s="24"/>
      <c r="AR166" s="54"/>
    </row>
    <row r="167">
      <c r="A167" s="53"/>
      <c r="B167" s="34"/>
      <c r="C167" s="34"/>
      <c r="D167" s="34"/>
      <c r="E167" s="34"/>
      <c r="F167" s="34"/>
      <c r="G167" s="34"/>
      <c r="H167" s="34"/>
      <c r="I167" s="34"/>
      <c r="J167" s="34"/>
      <c r="K167" s="34"/>
      <c r="L167" s="34"/>
      <c r="M167" s="34"/>
      <c r="N167" s="34"/>
      <c r="O167" s="34"/>
      <c r="P167" s="34"/>
      <c r="Q167" s="34"/>
      <c r="R167" s="24"/>
      <c r="S167" s="24"/>
      <c r="T167" s="24"/>
      <c r="U167" s="24"/>
      <c r="V167" s="24"/>
      <c r="W167" s="24"/>
      <c r="X167" s="24"/>
      <c r="Y167" s="24"/>
      <c r="Z167" s="24"/>
      <c r="AA167" s="24"/>
      <c r="AB167" s="24"/>
      <c r="AC167" s="24" t="str">
        <f>IFERROR(__xludf.DUMMYFUNCTION("""COMPUTED_VALUE"""),"Southend")</f>
        <v>Southend</v>
      </c>
      <c r="AD167" s="24" t="str">
        <f>IFERROR(__xludf.DUMMYFUNCTION("""COMPUTED_VALUE"""),"SEN")</f>
        <v>SEN</v>
      </c>
      <c r="AE167" s="24" t="str">
        <f>IFERROR(__xludf.DUMMYFUNCTION("""COMPUTED_VALUE"""),"London Southend")</f>
        <v>London Southend</v>
      </c>
      <c r="AF167" s="24" t="str">
        <f>IFERROR(__xludf.DUMMYFUNCTION("""COMPUTED_VALUE"""),"United Kingdom")</f>
        <v>United Kingdom</v>
      </c>
      <c r="AG167" s="24"/>
      <c r="AH167" s="24"/>
      <c r="AI167" s="24"/>
      <c r="AJ167" s="24"/>
      <c r="AK167" s="24"/>
      <c r="AL167" s="24"/>
      <c r="AM167" s="24"/>
      <c r="AN167" s="24"/>
      <c r="AO167" s="24"/>
      <c r="AP167" s="24"/>
      <c r="AQ167" s="24"/>
      <c r="AR167" s="54"/>
    </row>
    <row r="168">
      <c r="A168" s="53"/>
      <c r="B168" s="34"/>
      <c r="C168" s="34"/>
      <c r="D168" s="34"/>
      <c r="E168" s="34"/>
      <c r="F168" s="34"/>
      <c r="G168" s="34"/>
      <c r="H168" s="34"/>
      <c r="I168" s="34"/>
      <c r="J168" s="34"/>
      <c r="K168" s="34"/>
      <c r="L168" s="34"/>
      <c r="M168" s="34"/>
      <c r="N168" s="34"/>
      <c r="O168" s="34"/>
      <c r="P168" s="34"/>
      <c r="Q168" s="34"/>
      <c r="R168" s="24"/>
      <c r="S168" s="24"/>
      <c r="T168" s="24"/>
      <c r="U168" s="24"/>
      <c r="V168" s="24"/>
      <c r="W168" s="24"/>
      <c r="X168" s="24"/>
      <c r="Y168" s="24"/>
      <c r="Z168" s="24"/>
      <c r="AA168" s="24"/>
      <c r="AB168" s="24"/>
      <c r="AC168" s="24" t="str">
        <f>IFERROR(__xludf.DUMMYFUNCTION("""COMPUTED_VALUE"""),"St Andrews")</f>
        <v>St Andrews</v>
      </c>
      <c r="AD168" s="24" t="str">
        <f>IFERROR(__xludf.DUMMYFUNCTION("""COMPUTED_VALUE"""),"ADX")</f>
        <v>ADX</v>
      </c>
      <c r="AE168" s="24" t="str">
        <f>IFERROR(__xludf.DUMMYFUNCTION("""COMPUTED_VALUE"""),"Leuchars")</f>
        <v>Leuchars</v>
      </c>
      <c r="AF168" s="24" t="str">
        <f>IFERROR(__xludf.DUMMYFUNCTION("""COMPUTED_VALUE"""),"United Kingdom")</f>
        <v>United Kingdom</v>
      </c>
      <c r="AG168" s="24"/>
      <c r="AH168" s="24"/>
      <c r="AI168" s="24"/>
      <c r="AJ168" s="24"/>
      <c r="AK168" s="24"/>
      <c r="AL168" s="24"/>
      <c r="AM168" s="24"/>
      <c r="AN168" s="24"/>
      <c r="AO168" s="24"/>
      <c r="AP168" s="24"/>
      <c r="AQ168" s="24"/>
      <c r="AR168" s="54"/>
    </row>
    <row r="169">
      <c r="A169" s="53"/>
      <c r="B169" s="34"/>
      <c r="C169" s="34"/>
      <c r="D169" s="34"/>
      <c r="E169" s="34"/>
      <c r="F169" s="34"/>
      <c r="G169" s="34"/>
      <c r="H169" s="34"/>
      <c r="I169" s="34"/>
      <c r="J169" s="34"/>
      <c r="K169" s="34"/>
      <c r="L169" s="34"/>
      <c r="M169" s="34"/>
      <c r="N169" s="34"/>
      <c r="O169" s="34"/>
      <c r="P169" s="34"/>
      <c r="Q169" s="34"/>
      <c r="R169" s="24"/>
      <c r="S169" s="24"/>
      <c r="T169" s="24"/>
      <c r="U169" s="24"/>
      <c r="V169" s="24"/>
      <c r="W169" s="24"/>
      <c r="X169" s="24"/>
      <c r="Y169" s="24"/>
      <c r="Z169" s="24"/>
      <c r="AA169" s="24"/>
      <c r="AB169" s="24"/>
      <c r="AC169" s="24" t="str">
        <f>IFERROR(__xludf.DUMMYFUNCTION("""COMPUTED_VALUE"""),"Stornoway")</f>
        <v>Stornoway</v>
      </c>
      <c r="AD169" s="24" t="str">
        <f>IFERROR(__xludf.DUMMYFUNCTION("""COMPUTED_VALUE"""),"SYY")</f>
        <v>SYY</v>
      </c>
      <c r="AE169" s="24" t="str">
        <f>IFERROR(__xludf.DUMMYFUNCTION("""COMPUTED_VALUE"""),"Stornoway")</f>
        <v>Stornoway</v>
      </c>
      <c r="AF169" s="24" t="str">
        <f>IFERROR(__xludf.DUMMYFUNCTION("""COMPUTED_VALUE"""),"United Kingdom")</f>
        <v>United Kingdom</v>
      </c>
      <c r="AG169" s="24"/>
      <c r="AH169" s="24"/>
      <c r="AI169" s="24"/>
      <c r="AJ169" s="24"/>
      <c r="AK169" s="24"/>
      <c r="AL169" s="24"/>
      <c r="AM169" s="24"/>
      <c r="AN169" s="24"/>
      <c r="AO169" s="24"/>
      <c r="AP169" s="24"/>
      <c r="AQ169" s="24"/>
      <c r="AR169" s="54"/>
    </row>
    <row r="170">
      <c r="A170" s="53"/>
      <c r="B170" s="34"/>
      <c r="C170" s="34"/>
      <c r="D170" s="34"/>
      <c r="E170" s="34"/>
      <c r="F170" s="34"/>
      <c r="G170" s="34"/>
      <c r="H170" s="34"/>
      <c r="I170" s="34"/>
      <c r="J170" s="34"/>
      <c r="K170" s="34"/>
      <c r="L170" s="34"/>
      <c r="M170" s="34"/>
      <c r="N170" s="34"/>
      <c r="O170" s="34"/>
      <c r="P170" s="34"/>
      <c r="Q170" s="34"/>
      <c r="R170" s="24"/>
      <c r="S170" s="24"/>
      <c r="T170" s="24"/>
      <c r="U170" s="24"/>
      <c r="V170" s="24"/>
      <c r="W170" s="24"/>
      <c r="X170" s="24"/>
      <c r="Y170" s="24"/>
      <c r="Z170" s="24"/>
      <c r="AA170" s="24"/>
      <c r="AB170" s="24"/>
      <c r="AC170" s="24" t="str">
        <f>IFERROR(__xludf.DUMMYFUNCTION("""COMPUTED_VALUE"""),"Stronsay")</f>
        <v>Stronsay</v>
      </c>
      <c r="AD170" s="24" t="str">
        <f>IFERROR(__xludf.DUMMYFUNCTION("""COMPUTED_VALUE"""),"SOY")</f>
        <v>SOY</v>
      </c>
      <c r="AE170" s="24" t="str">
        <f>IFERROR(__xludf.DUMMYFUNCTION("""COMPUTED_VALUE"""),"Stronsay")</f>
        <v>Stronsay</v>
      </c>
      <c r="AF170" s="24" t="str">
        <f>IFERROR(__xludf.DUMMYFUNCTION("""COMPUTED_VALUE"""),"United Kingdom")</f>
        <v>United Kingdom</v>
      </c>
      <c r="AG170" s="24"/>
      <c r="AH170" s="24"/>
      <c r="AI170" s="24"/>
      <c r="AJ170" s="24"/>
      <c r="AK170" s="24"/>
      <c r="AL170" s="24"/>
      <c r="AM170" s="24"/>
      <c r="AN170" s="24"/>
      <c r="AO170" s="24"/>
      <c r="AP170" s="24"/>
      <c r="AQ170" s="24"/>
      <c r="AR170" s="54"/>
    </row>
    <row r="171">
      <c r="A171" s="53"/>
      <c r="B171" s="34"/>
      <c r="C171" s="34"/>
      <c r="D171" s="34"/>
      <c r="E171" s="34"/>
      <c r="F171" s="34"/>
      <c r="G171" s="34"/>
      <c r="H171" s="34"/>
      <c r="I171" s="34"/>
      <c r="J171" s="34"/>
      <c r="K171" s="34"/>
      <c r="L171" s="34"/>
      <c r="M171" s="34"/>
      <c r="N171" s="34"/>
      <c r="O171" s="34"/>
      <c r="P171" s="34"/>
      <c r="Q171" s="34"/>
      <c r="R171" s="24"/>
      <c r="S171" s="24"/>
      <c r="T171" s="24"/>
      <c r="U171" s="24"/>
      <c r="V171" s="24"/>
      <c r="W171" s="24"/>
      <c r="X171" s="24"/>
      <c r="Y171" s="24"/>
      <c r="Z171" s="24"/>
      <c r="AA171" s="24"/>
      <c r="AB171" s="24"/>
      <c r="AC171" s="24" t="str">
        <f>IFERROR(__xludf.DUMMYFUNCTION("""COMPUTED_VALUE"""),"Suttonheath")</f>
        <v>Suttonheath</v>
      </c>
      <c r="AD171" s="24" t="str">
        <f>IFERROR(__xludf.DUMMYFUNCTION("""COMPUTED_VALUE"""),"WOB")</f>
        <v>WOB</v>
      </c>
      <c r="AE171" s="24" t="str">
        <f>IFERROR(__xludf.DUMMYFUNCTION("""COMPUTED_VALUE"""),"Woodbridge RAF")</f>
        <v>Woodbridge RAF</v>
      </c>
      <c r="AF171" s="24" t="str">
        <f>IFERROR(__xludf.DUMMYFUNCTION("""COMPUTED_VALUE"""),"United Kingdom")</f>
        <v>United Kingdom</v>
      </c>
      <c r="AG171" s="24"/>
      <c r="AH171" s="24"/>
      <c r="AI171" s="24"/>
      <c r="AJ171" s="24"/>
      <c r="AK171" s="24"/>
      <c r="AL171" s="24"/>
      <c r="AM171" s="24"/>
      <c r="AN171" s="24"/>
      <c r="AO171" s="24"/>
      <c r="AP171" s="24"/>
      <c r="AQ171" s="24"/>
      <c r="AR171" s="54"/>
    </row>
    <row r="172">
      <c r="A172" s="53"/>
      <c r="B172" s="34"/>
      <c r="C172" s="34"/>
      <c r="D172" s="34"/>
      <c r="E172" s="34"/>
      <c r="F172" s="34"/>
      <c r="G172" s="34"/>
      <c r="H172" s="34"/>
      <c r="I172" s="34"/>
      <c r="J172" s="34"/>
      <c r="K172" s="34"/>
      <c r="L172" s="34"/>
      <c r="M172" s="34"/>
      <c r="N172" s="34"/>
      <c r="O172" s="34"/>
      <c r="P172" s="34"/>
      <c r="Q172" s="34"/>
      <c r="R172" s="24"/>
      <c r="S172" s="24"/>
      <c r="T172" s="24"/>
      <c r="U172" s="24"/>
      <c r="V172" s="24"/>
      <c r="W172" s="24"/>
      <c r="X172" s="24"/>
      <c r="Y172" s="24"/>
      <c r="Z172" s="24"/>
      <c r="AA172" s="24"/>
      <c r="AB172" s="24"/>
      <c r="AC172" s="24" t="str">
        <f>IFERROR(__xludf.DUMMYFUNCTION("""COMPUTED_VALUE"""),"Swansea")</f>
        <v>Swansea</v>
      </c>
      <c r="AD172" s="24" t="str">
        <f>IFERROR(__xludf.DUMMYFUNCTION("""COMPUTED_VALUE"""),"SWS")</f>
        <v>SWS</v>
      </c>
      <c r="AE172" s="24" t="str">
        <f>IFERROR(__xludf.DUMMYFUNCTION("""COMPUTED_VALUE"""),"Fairwood Comm")</f>
        <v>Fairwood Comm</v>
      </c>
      <c r="AF172" s="24" t="str">
        <f>IFERROR(__xludf.DUMMYFUNCTION("""COMPUTED_VALUE"""),"United Kingdom")</f>
        <v>United Kingdom</v>
      </c>
      <c r="AG172" s="24"/>
      <c r="AH172" s="24"/>
      <c r="AI172" s="24"/>
      <c r="AJ172" s="24"/>
      <c r="AK172" s="24"/>
      <c r="AL172" s="24"/>
      <c r="AM172" s="24"/>
      <c r="AN172" s="24"/>
      <c r="AO172" s="24"/>
      <c r="AP172" s="24"/>
      <c r="AQ172" s="24"/>
      <c r="AR172" s="54"/>
    </row>
    <row r="173">
      <c r="A173" s="53"/>
      <c r="B173" s="34"/>
      <c r="C173" s="34"/>
      <c r="D173" s="34"/>
      <c r="E173" s="34"/>
      <c r="F173" s="34"/>
      <c r="G173" s="34"/>
      <c r="H173" s="34"/>
      <c r="I173" s="34"/>
      <c r="J173" s="34"/>
      <c r="K173" s="34"/>
      <c r="L173" s="34"/>
      <c r="M173" s="34"/>
      <c r="N173" s="34"/>
      <c r="O173" s="34"/>
      <c r="P173" s="34"/>
      <c r="Q173" s="34"/>
      <c r="R173" s="24"/>
      <c r="S173" s="24"/>
      <c r="T173" s="24"/>
      <c r="U173" s="24"/>
      <c r="V173" s="24"/>
      <c r="W173" s="24"/>
      <c r="X173" s="24"/>
      <c r="Y173" s="24"/>
      <c r="Z173" s="24"/>
      <c r="AA173" s="24"/>
      <c r="AB173" s="24"/>
      <c r="AC173" s="24" t="str">
        <f>IFERROR(__xludf.DUMMYFUNCTION("""COMPUTED_VALUE"""),"Swindon")</f>
        <v>Swindon</v>
      </c>
      <c r="AD173" s="24" t="str">
        <f>IFERROR(__xludf.DUMMYFUNCTION("""COMPUTED_VALUE"""),"SWI")</f>
        <v>SWI</v>
      </c>
      <c r="AE173" s="24" t="str">
        <f>IFERROR(__xludf.DUMMYFUNCTION("""COMPUTED_VALUE"""),"Swindon")</f>
        <v>Swindon</v>
      </c>
      <c r="AF173" s="24" t="str">
        <f>IFERROR(__xludf.DUMMYFUNCTION("""COMPUTED_VALUE"""),"United Kingdom")</f>
        <v>United Kingdom</v>
      </c>
      <c r="AG173" s="24"/>
      <c r="AH173" s="24"/>
      <c r="AI173" s="24"/>
      <c r="AJ173" s="24"/>
      <c r="AK173" s="24"/>
      <c r="AL173" s="24"/>
      <c r="AM173" s="24"/>
      <c r="AN173" s="24"/>
      <c r="AO173" s="24"/>
      <c r="AP173" s="24"/>
      <c r="AQ173" s="24"/>
      <c r="AR173" s="54"/>
    </row>
    <row r="174">
      <c r="A174" s="53"/>
      <c r="B174" s="34"/>
      <c r="C174" s="34"/>
      <c r="D174" s="34"/>
      <c r="E174" s="34"/>
      <c r="F174" s="34"/>
      <c r="G174" s="34"/>
      <c r="H174" s="34"/>
      <c r="I174" s="34"/>
      <c r="J174" s="34"/>
      <c r="K174" s="34"/>
      <c r="L174" s="34"/>
      <c r="M174" s="34"/>
      <c r="N174" s="34"/>
      <c r="O174" s="34"/>
      <c r="P174" s="34"/>
      <c r="Q174" s="34"/>
      <c r="R174" s="24"/>
      <c r="S174" s="24"/>
      <c r="T174" s="24"/>
      <c r="U174" s="24"/>
      <c r="V174" s="24"/>
      <c r="W174" s="24"/>
      <c r="X174" s="24"/>
      <c r="Y174" s="24"/>
      <c r="Z174" s="24"/>
      <c r="AA174" s="24"/>
      <c r="AB174" s="24"/>
      <c r="AC174" s="24" t="str">
        <f>IFERROR(__xludf.DUMMYFUNCTION("""COMPUTED_VALUE"""),"Swindon")</f>
        <v>Swindon</v>
      </c>
      <c r="AD174" s="24" t="str">
        <f>IFERROR(__xludf.DUMMYFUNCTION("""COMPUTED_VALUE"""),"XWS")</f>
        <v>XWS</v>
      </c>
      <c r="AE174" s="24" t="str">
        <f>IFERROR(__xludf.DUMMYFUNCTION("""COMPUTED_VALUE"""),"Railway Station")</f>
        <v>Railway Station</v>
      </c>
      <c r="AF174" s="24" t="str">
        <f>IFERROR(__xludf.DUMMYFUNCTION("""COMPUTED_VALUE"""),"United Kingdom")</f>
        <v>United Kingdom</v>
      </c>
      <c r="AG174" s="24"/>
      <c r="AH174" s="24"/>
      <c r="AI174" s="24"/>
      <c r="AJ174" s="24"/>
      <c r="AK174" s="24"/>
      <c r="AL174" s="24"/>
      <c r="AM174" s="24"/>
      <c r="AN174" s="24"/>
      <c r="AO174" s="24"/>
      <c r="AP174" s="24"/>
      <c r="AQ174" s="24"/>
      <c r="AR174" s="54"/>
    </row>
    <row r="175">
      <c r="A175" s="53"/>
      <c r="B175" s="34"/>
      <c r="C175" s="34"/>
      <c r="D175" s="34"/>
      <c r="E175" s="34"/>
      <c r="F175" s="34"/>
      <c r="G175" s="34"/>
      <c r="H175" s="34"/>
      <c r="I175" s="34"/>
      <c r="J175" s="34"/>
      <c r="K175" s="34"/>
      <c r="L175" s="34"/>
      <c r="M175" s="34"/>
      <c r="N175" s="34"/>
      <c r="O175" s="34"/>
      <c r="P175" s="34"/>
      <c r="Q175" s="34"/>
      <c r="R175" s="24"/>
      <c r="S175" s="24"/>
      <c r="T175" s="24"/>
      <c r="U175" s="24"/>
      <c r="V175" s="24"/>
      <c r="W175" s="24"/>
      <c r="X175" s="24"/>
      <c r="Y175" s="24"/>
      <c r="Z175" s="24"/>
      <c r="AA175" s="24"/>
      <c r="AB175" s="24"/>
      <c r="AC175" s="24" t="str">
        <f>IFERROR(__xludf.DUMMYFUNCTION("""COMPUTED_VALUE"""),"Tiree")</f>
        <v>Tiree</v>
      </c>
      <c r="AD175" s="24" t="str">
        <f>IFERROR(__xludf.DUMMYFUNCTION("""COMPUTED_VALUE"""),"TRE")</f>
        <v>TRE</v>
      </c>
      <c r="AE175" s="24" t="str">
        <f>IFERROR(__xludf.DUMMYFUNCTION("""COMPUTED_VALUE"""),"Tiree")</f>
        <v>Tiree</v>
      </c>
      <c r="AF175" s="24" t="str">
        <f>IFERROR(__xludf.DUMMYFUNCTION("""COMPUTED_VALUE"""),"United Kingdom")</f>
        <v>United Kingdom</v>
      </c>
      <c r="AG175" s="24"/>
      <c r="AH175" s="24"/>
      <c r="AI175" s="24"/>
      <c r="AJ175" s="24"/>
      <c r="AK175" s="24"/>
      <c r="AL175" s="24"/>
      <c r="AM175" s="24"/>
      <c r="AN175" s="24"/>
      <c r="AO175" s="24"/>
      <c r="AP175" s="24"/>
      <c r="AQ175" s="24"/>
      <c r="AR175" s="54"/>
    </row>
    <row r="176">
      <c r="A176" s="53"/>
      <c r="B176" s="34"/>
      <c r="C176" s="34"/>
      <c r="D176" s="34"/>
      <c r="E176" s="34"/>
      <c r="F176" s="34"/>
      <c r="G176" s="34"/>
      <c r="H176" s="34"/>
      <c r="I176" s="34"/>
      <c r="J176" s="34"/>
      <c r="K176" s="34"/>
      <c r="L176" s="34"/>
      <c r="M176" s="34"/>
      <c r="N176" s="34"/>
      <c r="O176" s="34"/>
      <c r="P176" s="34"/>
      <c r="Q176" s="34"/>
      <c r="R176" s="24"/>
      <c r="S176" s="24"/>
      <c r="T176" s="24"/>
      <c r="U176" s="24"/>
      <c r="V176" s="24"/>
      <c r="W176" s="24"/>
      <c r="X176" s="24"/>
      <c r="Y176" s="24"/>
      <c r="Z176" s="24"/>
      <c r="AA176" s="24"/>
      <c r="AB176" s="24"/>
      <c r="AC176" s="24" t="str">
        <f>IFERROR(__xludf.DUMMYFUNCTION("""COMPUTED_VALUE"""),"Unst Shetland Is")</f>
        <v>Unst Shetland Is</v>
      </c>
      <c r="AD176" s="24" t="str">
        <f>IFERROR(__xludf.DUMMYFUNCTION("""COMPUTED_VALUE"""),"UNT")</f>
        <v>UNT</v>
      </c>
      <c r="AE176" s="24" t="str">
        <f>IFERROR(__xludf.DUMMYFUNCTION("""COMPUTED_VALUE"""),"Baltasound")</f>
        <v>Baltasound</v>
      </c>
      <c r="AF176" s="24" t="str">
        <f>IFERROR(__xludf.DUMMYFUNCTION("""COMPUTED_VALUE"""),"United Kingdom")</f>
        <v>United Kingdom</v>
      </c>
      <c r="AG176" s="24"/>
      <c r="AH176" s="24"/>
      <c r="AI176" s="24"/>
      <c r="AJ176" s="24"/>
      <c r="AK176" s="24"/>
      <c r="AL176" s="24"/>
      <c r="AM176" s="24"/>
      <c r="AN176" s="24"/>
      <c r="AO176" s="24"/>
      <c r="AP176" s="24"/>
      <c r="AQ176" s="24"/>
      <c r="AR176" s="54"/>
    </row>
    <row r="177">
      <c r="A177" s="53"/>
      <c r="B177" s="34"/>
      <c r="C177" s="34"/>
      <c r="D177" s="34"/>
      <c r="E177" s="34"/>
      <c r="F177" s="34"/>
      <c r="G177" s="34"/>
      <c r="H177" s="34"/>
      <c r="I177" s="34"/>
      <c r="J177" s="34"/>
      <c r="K177" s="34"/>
      <c r="L177" s="34"/>
      <c r="M177" s="34"/>
      <c r="N177" s="34"/>
      <c r="O177" s="34"/>
      <c r="P177" s="34"/>
      <c r="Q177" s="34"/>
      <c r="R177" s="24"/>
      <c r="S177" s="24"/>
      <c r="T177" s="24"/>
      <c r="U177" s="24"/>
      <c r="V177" s="24"/>
      <c r="W177" s="24"/>
      <c r="X177" s="24"/>
      <c r="Y177" s="24"/>
      <c r="Z177" s="24"/>
      <c r="AA177" s="24"/>
      <c r="AB177" s="24"/>
      <c r="AC177" s="24" t="str">
        <f>IFERROR(__xludf.DUMMYFUNCTION("""COMPUTED_VALUE"""),"Upavon")</f>
        <v>Upavon</v>
      </c>
      <c r="AD177" s="24" t="str">
        <f>IFERROR(__xludf.DUMMYFUNCTION("""COMPUTED_VALUE"""),"UPV")</f>
        <v>UPV</v>
      </c>
      <c r="AE177" s="24" t="str">
        <f>IFERROR(__xludf.DUMMYFUNCTION("""COMPUTED_VALUE"""),"Upavon")</f>
        <v>Upavon</v>
      </c>
      <c r="AF177" s="24" t="str">
        <f>IFERROR(__xludf.DUMMYFUNCTION("""COMPUTED_VALUE"""),"United Kingdom")</f>
        <v>United Kingdom</v>
      </c>
      <c r="AG177" s="24"/>
      <c r="AH177" s="24"/>
      <c r="AI177" s="24"/>
      <c r="AJ177" s="24"/>
      <c r="AK177" s="24"/>
      <c r="AL177" s="24"/>
      <c r="AM177" s="24"/>
      <c r="AN177" s="24"/>
      <c r="AO177" s="24"/>
      <c r="AP177" s="24"/>
      <c r="AQ177" s="24"/>
      <c r="AR177" s="54"/>
    </row>
    <row r="178">
      <c r="A178" s="53"/>
      <c r="B178" s="34"/>
      <c r="C178" s="34"/>
      <c r="D178" s="34"/>
      <c r="E178" s="34"/>
      <c r="F178" s="34"/>
      <c r="G178" s="34"/>
      <c r="H178" s="34"/>
      <c r="I178" s="34"/>
      <c r="J178" s="34"/>
      <c r="K178" s="34"/>
      <c r="L178" s="34"/>
      <c r="M178" s="34"/>
      <c r="N178" s="34"/>
      <c r="O178" s="34"/>
      <c r="P178" s="34"/>
      <c r="Q178" s="34"/>
      <c r="R178" s="24"/>
      <c r="S178" s="24"/>
      <c r="T178" s="24"/>
      <c r="U178" s="24"/>
      <c r="V178" s="24"/>
      <c r="W178" s="24"/>
      <c r="X178" s="24"/>
      <c r="Y178" s="24"/>
      <c r="Z178" s="24"/>
      <c r="AA178" s="24"/>
      <c r="AB178" s="24"/>
      <c r="AC178" s="24" t="str">
        <f>IFERROR(__xludf.DUMMYFUNCTION("""COMPUTED_VALUE"""),"Upper Heyford")</f>
        <v>Upper Heyford</v>
      </c>
      <c r="AD178" s="24" t="str">
        <f>IFERROR(__xludf.DUMMYFUNCTION("""COMPUTED_VALUE"""),"UHF")</f>
        <v>UHF</v>
      </c>
      <c r="AE178" s="24" t="str">
        <f>IFERROR(__xludf.DUMMYFUNCTION("""COMPUTED_VALUE"""),"RAF Station")</f>
        <v>RAF Station</v>
      </c>
      <c r="AF178" s="24" t="str">
        <f>IFERROR(__xludf.DUMMYFUNCTION("""COMPUTED_VALUE"""),"United Kingdom")</f>
        <v>United Kingdom</v>
      </c>
      <c r="AG178" s="24"/>
      <c r="AH178" s="24"/>
      <c r="AI178" s="24"/>
      <c r="AJ178" s="24"/>
      <c r="AK178" s="24"/>
      <c r="AL178" s="24"/>
      <c r="AM178" s="24"/>
      <c r="AN178" s="24"/>
      <c r="AO178" s="24"/>
      <c r="AP178" s="24"/>
      <c r="AQ178" s="24"/>
      <c r="AR178" s="54"/>
    </row>
    <row r="179">
      <c r="A179" s="53"/>
      <c r="B179" s="34"/>
      <c r="C179" s="34"/>
      <c r="D179" s="34"/>
      <c r="E179" s="34"/>
      <c r="F179" s="34"/>
      <c r="G179" s="34"/>
      <c r="H179" s="34"/>
      <c r="I179" s="34"/>
      <c r="J179" s="34"/>
      <c r="K179" s="34"/>
      <c r="L179" s="34"/>
      <c r="M179" s="34"/>
      <c r="N179" s="34"/>
      <c r="O179" s="34"/>
      <c r="P179" s="34"/>
      <c r="Q179" s="34"/>
      <c r="R179" s="24"/>
      <c r="S179" s="24"/>
      <c r="T179" s="24"/>
      <c r="U179" s="24"/>
      <c r="V179" s="24"/>
      <c r="W179" s="24"/>
      <c r="X179" s="24"/>
      <c r="Y179" s="24"/>
      <c r="Z179" s="24"/>
      <c r="AA179" s="24"/>
      <c r="AB179" s="24"/>
      <c r="AC179" s="24" t="str">
        <f>IFERROR(__xludf.DUMMYFUNCTION("""COMPUTED_VALUE"""),"Waddington")</f>
        <v>Waddington</v>
      </c>
      <c r="AD179" s="24" t="str">
        <f>IFERROR(__xludf.DUMMYFUNCTION("""COMPUTED_VALUE"""),"WTN")</f>
        <v>WTN</v>
      </c>
      <c r="AE179" s="24" t="str">
        <f>IFERROR(__xludf.DUMMYFUNCTION("""COMPUTED_VALUE"""),"RAF Station")</f>
        <v>RAF Station</v>
      </c>
      <c r="AF179" s="24" t="str">
        <f>IFERROR(__xludf.DUMMYFUNCTION("""COMPUTED_VALUE"""),"United Kingdom")</f>
        <v>United Kingdom</v>
      </c>
      <c r="AG179" s="24"/>
      <c r="AH179" s="24"/>
      <c r="AI179" s="24"/>
      <c r="AJ179" s="24"/>
      <c r="AK179" s="24"/>
      <c r="AL179" s="24"/>
      <c r="AM179" s="24"/>
      <c r="AN179" s="24"/>
      <c r="AO179" s="24"/>
      <c r="AP179" s="24"/>
      <c r="AQ179" s="24"/>
      <c r="AR179" s="54"/>
    </row>
    <row r="180">
      <c r="A180" s="53"/>
      <c r="B180" s="34"/>
      <c r="C180" s="34"/>
      <c r="D180" s="34"/>
      <c r="E180" s="34"/>
      <c r="F180" s="34"/>
      <c r="G180" s="34"/>
      <c r="H180" s="34"/>
      <c r="I180" s="34"/>
      <c r="J180" s="34"/>
      <c r="K180" s="34"/>
      <c r="L180" s="34"/>
      <c r="M180" s="34"/>
      <c r="N180" s="34"/>
      <c r="O180" s="34"/>
      <c r="P180" s="34"/>
      <c r="Q180" s="34"/>
      <c r="R180" s="24"/>
      <c r="S180" s="24"/>
      <c r="T180" s="24"/>
      <c r="U180" s="24"/>
      <c r="V180" s="24"/>
      <c r="W180" s="24"/>
      <c r="X180" s="24"/>
      <c r="Y180" s="24"/>
      <c r="Z180" s="24"/>
      <c r="AA180" s="24"/>
      <c r="AB180" s="24"/>
      <c r="AC180" s="24" t="str">
        <f>IFERROR(__xludf.DUMMYFUNCTION("""COMPUTED_VALUE"""),"West Malling")</f>
        <v>West Malling</v>
      </c>
      <c r="AD180" s="24" t="str">
        <f>IFERROR(__xludf.DUMMYFUNCTION("""COMPUTED_VALUE"""),"WEM")</f>
        <v>WEM</v>
      </c>
      <c r="AE180" s="24" t="str">
        <f>IFERROR(__xludf.DUMMYFUNCTION("""COMPUTED_VALUE"""),"West Malling")</f>
        <v>West Malling</v>
      </c>
      <c r="AF180" s="24" t="str">
        <f>IFERROR(__xludf.DUMMYFUNCTION("""COMPUTED_VALUE"""),"United Kingdom")</f>
        <v>United Kingdom</v>
      </c>
      <c r="AG180" s="24"/>
      <c r="AH180" s="24"/>
      <c r="AI180" s="24"/>
      <c r="AJ180" s="24"/>
      <c r="AK180" s="24"/>
      <c r="AL180" s="24"/>
      <c r="AM180" s="24"/>
      <c r="AN180" s="24"/>
      <c r="AO180" s="24"/>
      <c r="AP180" s="24"/>
      <c r="AQ180" s="24"/>
      <c r="AR180" s="54"/>
    </row>
    <row r="181">
      <c r="A181" s="53"/>
      <c r="B181" s="34"/>
      <c r="C181" s="34"/>
      <c r="D181" s="34"/>
      <c r="E181" s="34"/>
      <c r="F181" s="34"/>
      <c r="G181" s="34"/>
      <c r="H181" s="34"/>
      <c r="I181" s="34"/>
      <c r="J181" s="34"/>
      <c r="K181" s="34"/>
      <c r="L181" s="34"/>
      <c r="M181" s="34"/>
      <c r="N181" s="34"/>
      <c r="O181" s="34"/>
      <c r="P181" s="34"/>
      <c r="Q181" s="34"/>
      <c r="R181" s="24"/>
      <c r="S181" s="24"/>
      <c r="T181" s="24"/>
      <c r="U181" s="24"/>
      <c r="V181" s="24"/>
      <c r="W181" s="24"/>
      <c r="X181" s="24"/>
      <c r="Y181" s="24"/>
      <c r="Z181" s="24"/>
      <c r="AA181" s="24"/>
      <c r="AB181" s="24"/>
      <c r="AC181" s="24" t="str">
        <f>IFERROR(__xludf.DUMMYFUNCTION("""COMPUTED_VALUE"""),"Westray")</f>
        <v>Westray</v>
      </c>
      <c r="AD181" s="24" t="str">
        <f>IFERROR(__xludf.DUMMYFUNCTION("""COMPUTED_VALUE"""),"WRY")</f>
        <v>WRY</v>
      </c>
      <c r="AE181" s="24" t="str">
        <f>IFERROR(__xludf.DUMMYFUNCTION("""COMPUTED_VALUE"""),"Westray")</f>
        <v>Westray</v>
      </c>
      <c r="AF181" s="24" t="str">
        <f>IFERROR(__xludf.DUMMYFUNCTION("""COMPUTED_VALUE"""),"United Kingdom")</f>
        <v>United Kingdom</v>
      </c>
      <c r="AG181" s="24"/>
      <c r="AH181" s="24"/>
      <c r="AI181" s="24"/>
      <c r="AJ181" s="24"/>
      <c r="AK181" s="24"/>
      <c r="AL181" s="24"/>
      <c r="AM181" s="24"/>
      <c r="AN181" s="24"/>
      <c r="AO181" s="24"/>
      <c r="AP181" s="24"/>
      <c r="AQ181" s="24"/>
      <c r="AR181" s="54"/>
    </row>
    <row r="182">
      <c r="A182" s="53"/>
      <c r="B182" s="34"/>
      <c r="C182" s="34"/>
      <c r="D182" s="34"/>
      <c r="E182" s="34"/>
      <c r="F182" s="34"/>
      <c r="G182" s="34"/>
      <c r="H182" s="34"/>
      <c r="I182" s="34"/>
      <c r="J182" s="34"/>
      <c r="K182" s="34"/>
      <c r="L182" s="34"/>
      <c r="M182" s="34"/>
      <c r="N182" s="34"/>
      <c r="O182" s="34"/>
      <c r="P182" s="34"/>
      <c r="Q182" s="34"/>
      <c r="R182" s="24"/>
      <c r="S182" s="24"/>
      <c r="T182" s="24"/>
      <c r="U182" s="24"/>
      <c r="V182" s="24"/>
      <c r="W182" s="24"/>
      <c r="X182" s="24"/>
      <c r="Y182" s="24"/>
      <c r="Z182" s="24"/>
      <c r="AA182" s="24"/>
      <c r="AB182" s="24"/>
      <c r="AC182" s="24" t="str">
        <f>IFERROR(__xludf.DUMMYFUNCTION("""COMPUTED_VALUE"""),"Whalsay")</f>
        <v>Whalsay</v>
      </c>
      <c r="AD182" s="24" t="str">
        <f>IFERROR(__xludf.DUMMYFUNCTION("""COMPUTED_VALUE"""),"WHS")</f>
        <v>WHS</v>
      </c>
      <c r="AE182" s="24" t="str">
        <f>IFERROR(__xludf.DUMMYFUNCTION("""COMPUTED_VALUE"""),"Whalsay")</f>
        <v>Whalsay</v>
      </c>
      <c r="AF182" s="24" t="str">
        <f>IFERROR(__xludf.DUMMYFUNCTION("""COMPUTED_VALUE"""),"United Kingdom")</f>
        <v>United Kingdom</v>
      </c>
      <c r="AG182" s="24"/>
      <c r="AH182" s="24"/>
      <c r="AI182" s="24"/>
      <c r="AJ182" s="24"/>
      <c r="AK182" s="24"/>
      <c r="AL182" s="24"/>
      <c r="AM182" s="24"/>
      <c r="AN182" s="24"/>
      <c r="AO182" s="24"/>
      <c r="AP182" s="24"/>
      <c r="AQ182" s="24"/>
      <c r="AR182" s="54"/>
    </row>
    <row r="183">
      <c r="A183" s="53"/>
      <c r="B183" s="34"/>
      <c r="C183" s="34"/>
      <c r="D183" s="34"/>
      <c r="E183" s="34"/>
      <c r="F183" s="34"/>
      <c r="G183" s="34"/>
      <c r="H183" s="34"/>
      <c r="I183" s="34"/>
      <c r="J183" s="34"/>
      <c r="K183" s="34"/>
      <c r="L183" s="34"/>
      <c r="M183" s="34"/>
      <c r="N183" s="34"/>
      <c r="O183" s="34"/>
      <c r="P183" s="34"/>
      <c r="Q183" s="34"/>
      <c r="R183" s="24"/>
      <c r="S183" s="24"/>
      <c r="T183" s="24"/>
      <c r="U183" s="24"/>
      <c r="V183" s="24"/>
      <c r="W183" s="24"/>
      <c r="X183" s="24"/>
      <c r="Y183" s="24"/>
      <c r="Z183" s="24"/>
      <c r="AA183" s="24"/>
      <c r="AB183" s="24"/>
      <c r="AC183" s="24" t="str">
        <f>IFERROR(__xludf.DUMMYFUNCTION("""COMPUTED_VALUE"""),"Wick")</f>
        <v>Wick</v>
      </c>
      <c r="AD183" s="24" t="str">
        <f>IFERROR(__xludf.DUMMYFUNCTION("""COMPUTED_VALUE"""),"WIC")</f>
        <v>WIC</v>
      </c>
      <c r="AE183" s="24" t="str">
        <f>IFERROR(__xludf.DUMMYFUNCTION("""COMPUTED_VALUE"""),"Wick")</f>
        <v>Wick</v>
      </c>
      <c r="AF183" s="24" t="str">
        <f>IFERROR(__xludf.DUMMYFUNCTION("""COMPUTED_VALUE"""),"United Kingdom")</f>
        <v>United Kingdom</v>
      </c>
      <c r="AG183" s="24"/>
      <c r="AH183" s="24"/>
      <c r="AI183" s="24"/>
      <c r="AJ183" s="24"/>
      <c r="AK183" s="24"/>
      <c r="AL183" s="24"/>
      <c r="AM183" s="24"/>
      <c r="AN183" s="24"/>
      <c r="AO183" s="24"/>
      <c r="AP183" s="24"/>
      <c r="AQ183" s="24"/>
      <c r="AR183" s="54"/>
    </row>
    <row r="184">
      <c r="A184" s="53"/>
      <c r="B184" s="34"/>
      <c r="C184" s="34"/>
      <c r="D184" s="34"/>
      <c r="E184" s="34"/>
      <c r="F184" s="34"/>
      <c r="G184" s="34"/>
      <c r="H184" s="34"/>
      <c r="I184" s="34"/>
      <c r="J184" s="34"/>
      <c r="K184" s="34"/>
      <c r="L184" s="34"/>
      <c r="M184" s="34"/>
      <c r="N184" s="34"/>
      <c r="O184" s="34"/>
      <c r="P184" s="34"/>
      <c r="Q184" s="34"/>
      <c r="R184" s="24"/>
      <c r="S184" s="24"/>
      <c r="T184" s="24"/>
      <c r="U184" s="24"/>
      <c r="V184" s="24"/>
      <c r="W184" s="24"/>
      <c r="X184" s="24"/>
      <c r="Y184" s="24"/>
      <c r="Z184" s="24"/>
      <c r="AA184" s="24"/>
      <c r="AB184" s="24"/>
      <c r="AC184" s="24" t="str">
        <f>IFERROR(__xludf.DUMMYFUNCTION("""COMPUTED_VALUE"""),"Woodbridge")</f>
        <v>Woodbridge</v>
      </c>
      <c r="AD184" s="24" t="str">
        <f>IFERROR(__xludf.DUMMYFUNCTION("""COMPUTED_VALUE"""),"BWY")</f>
        <v>BWY</v>
      </c>
      <c r="AE184" s="24" t="str">
        <f>IFERROR(__xludf.DUMMYFUNCTION("""COMPUTED_VALUE"""),"Bentwaters St")</f>
        <v>Bentwaters St</v>
      </c>
      <c r="AF184" s="24" t="str">
        <f>IFERROR(__xludf.DUMMYFUNCTION("""COMPUTED_VALUE"""),"United Kingdom")</f>
        <v>United Kingdom</v>
      </c>
      <c r="AG184" s="24"/>
      <c r="AH184" s="24"/>
      <c r="AI184" s="24"/>
      <c r="AJ184" s="24"/>
      <c r="AK184" s="24"/>
      <c r="AL184" s="24"/>
      <c r="AM184" s="24"/>
      <c r="AN184" s="24"/>
      <c r="AO184" s="24"/>
      <c r="AP184" s="24"/>
      <c r="AQ184" s="24"/>
      <c r="AR184" s="54"/>
    </row>
    <row r="185">
      <c r="A185" s="53"/>
      <c r="B185" s="34"/>
      <c r="C185" s="34"/>
      <c r="D185" s="34"/>
      <c r="E185" s="34"/>
      <c r="F185" s="34"/>
      <c r="G185" s="34"/>
      <c r="H185" s="34"/>
      <c r="I185" s="34"/>
      <c r="J185" s="34"/>
      <c r="K185" s="34"/>
      <c r="L185" s="34"/>
      <c r="M185" s="34"/>
      <c r="N185" s="34"/>
      <c r="O185" s="34"/>
      <c r="P185" s="34"/>
      <c r="Q185" s="34"/>
      <c r="R185" s="24"/>
      <c r="S185" s="24"/>
      <c r="T185" s="24"/>
      <c r="U185" s="24"/>
      <c r="V185" s="24"/>
      <c r="W185" s="24"/>
      <c r="X185" s="24"/>
      <c r="Y185" s="24"/>
      <c r="Z185" s="24"/>
      <c r="AA185" s="24"/>
      <c r="AB185" s="24"/>
      <c r="AC185" s="24" t="str">
        <f>IFERROR(__xludf.DUMMYFUNCTION("""COMPUTED_VALUE"""),"Woodford")</f>
        <v>Woodford</v>
      </c>
      <c r="AD185" s="24" t="str">
        <f>IFERROR(__xludf.DUMMYFUNCTION("""COMPUTED_VALUE"""),"WFD")</f>
        <v>WFD</v>
      </c>
      <c r="AE185" s="24" t="str">
        <f>IFERROR(__xludf.DUMMYFUNCTION("""COMPUTED_VALUE"""),"Woodford")</f>
        <v>Woodford</v>
      </c>
      <c r="AF185" s="24" t="str">
        <f>IFERROR(__xludf.DUMMYFUNCTION("""COMPUTED_VALUE"""),"United Kingdom")</f>
        <v>United Kingdom</v>
      </c>
      <c r="AG185" s="24"/>
      <c r="AH185" s="24"/>
      <c r="AI185" s="24"/>
      <c r="AJ185" s="24"/>
      <c r="AK185" s="24"/>
      <c r="AL185" s="24"/>
      <c r="AM185" s="24"/>
      <c r="AN185" s="24"/>
      <c r="AO185" s="24"/>
      <c r="AP185" s="24"/>
      <c r="AQ185" s="24"/>
      <c r="AR185" s="54"/>
    </row>
    <row r="186">
      <c r="A186" s="53"/>
      <c r="B186" s="34"/>
      <c r="C186" s="34"/>
      <c r="D186" s="34"/>
      <c r="E186" s="34"/>
      <c r="F186" s="34"/>
      <c r="G186" s="34"/>
      <c r="H186" s="34"/>
      <c r="I186" s="34"/>
      <c r="J186" s="34"/>
      <c r="K186" s="34"/>
      <c r="L186" s="34"/>
      <c r="M186" s="34"/>
      <c r="N186" s="34"/>
      <c r="O186" s="34"/>
      <c r="P186" s="34"/>
      <c r="Q186" s="34"/>
      <c r="R186" s="24"/>
      <c r="S186" s="24"/>
      <c r="T186" s="24"/>
      <c r="U186" s="24"/>
      <c r="V186" s="24"/>
      <c r="W186" s="24"/>
      <c r="X186" s="24"/>
      <c r="Y186" s="24"/>
      <c r="Z186" s="24"/>
      <c r="AA186" s="24"/>
      <c r="AB186" s="24"/>
      <c r="AC186" s="24" t="str">
        <f>IFERROR(__xludf.DUMMYFUNCTION("""COMPUTED_VALUE"""),"Yeovilton")</f>
        <v>Yeovilton</v>
      </c>
      <c r="AD186" s="24" t="str">
        <f>IFERROR(__xludf.DUMMYFUNCTION("""COMPUTED_VALUE"""),"YEO")</f>
        <v>YEO</v>
      </c>
      <c r="AE186" s="24" t="str">
        <f>IFERROR(__xludf.DUMMYFUNCTION("""COMPUTED_VALUE"""),"Yeovilton")</f>
        <v>Yeovilton</v>
      </c>
      <c r="AF186" s="24" t="str">
        <f>IFERROR(__xludf.DUMMYFUNCTION("""COMPUTED_VALUE"""),"United Kingdom")</f>
        <v>United Kingdom</v>
      </c>
      <c r="AG186" s="24"/>
      <c r="AH186" s="24"/>
      <c r="AI186" s="24"/>
      <c r="AJ186" s="24"/>
      <c r="AK186" s="24"/>
      <c r="AL186" s="24"/>
      <c r="AM186" s="24"/>
      <c r="AN186" s="24"/>
      <c r="AO186" s="24"/>
      <c r="AP186" s="24"/>
      <c r="AQ186" s="24"/>
      <c r="AR186" s="54"/>
    </row>
    <row r="187">
      <c r="A187" s="53"/>
      <c r="B187" s="34"/>
      <c r="C187" s="34"/>
      <c r="D187" s="34"/>
      <c r="E187" s="34"/>
      <c r="F187" s="34"/>
      <c r="G187" s="34"/>
      <c r="H187" s="34"/>
      <c r="I187" s="34"/>
      <c r="J187" s="34"/>
      <c r="K187" s="34"/>
      <c r="L187" s="34"/>
      <c r="M187" s="34"/>
      <c r="N187" s="34"/>
      <c r="O187" s="34"/>
      <c r="P187" s="34"/>
      <c r="Q187" s="34"/>
      <c r="R187" s="24"/>
      <c r="S187" s="24"/>
      <c r="T187" s="24"/>
      <c r="U187" s="24"/>
      <c r="V187" s="24"/>
      <c r="W187" s="24"/>
      <c r="X187" s="24"/>
      <c r="Y187" s="24"/>
      <c r="Z187" s="24"/>
      <c r="AA187" s="24"/>
      <c r="AB187" s="24"/>
      <c r="AC187" s="24"/>
      <c r="AD187" s="24" t="str">
        <f>IFERROR(__xludf.DUMMYFUNCTION("""COMPUTED_VALUE"""),"LBA")</f>
        <v>LBA</v>
      </c>
      <c r="AE187" s="24"/>
      <c r="AF187" s="24" t="str">
        <f>IFERROR(__xludf.DUMMYFUNCTION("""COMPUTED_VALUE"""),"United Kingdom")</f>
        <v>United Kingdom</v>
      </c>
      <c r="AG187" s="24"/>
      <c r="AH187" s="24"/>
      <c r="AI187" s="24"/>
      <c r="AJ187" s="24"/>
      <c r="AK187" s="24"/>
      <c r="AL187" s="24"/>
      <c r="AM187" s="24"/>
      <c r="AN187" s="24"/>
      <c r="AO187" s="24"/>
      <c r="AP187" s="24"/>
      <c r="AQ187" s="24"/>
      <c r="AR187" s="54"/>
    </row>
    <row r="188">
      <c r="A188" s="53"/>
      <c r="B188" s="34"/>
      <c r="C188" s="34"/>
      <c r="D188" s="34"/>
      <c r="E188" s="34"/>
      <c r="F188" s="34"/>
      <c r="G188" s="34"/>
      <c r="H188" s="34"/>
      <c r="I188" s="34"/>
      <c r="J188" s="34"/>
      <c r="K188" s="34"/>
      <c r="L188" s="34"/>
      <c r="M188" s="34"/>
      <c r="N188" s="34"/>
      <c r="O188" s="34"/>
      <c r="P188" s="34"/>
      <c r="Q188" s="34"/>
      <c r="R188" s="24"/>
      <c r="S188" s="24"/>
      <c r="T188" s="24"/>
      <c r="U188" s="24"/>
      <c r="V188" s="24"/>
      <c r="W188" s="24"/>
      <c r="X188" s="24"/>
      <c r="Y188" s="24"/>
      <c r="Z188" s="24"/>
      <c r="AA188" s="24"/>
      <c r="AB188" s="24"/>
      <c r="AC188" s="24"/>
      <c r="AD188" s="24" t="str">
        <f>IFERROR(__xludf.DUMMYFUNCTION("""COMPUTED_VALUE"""),"BRS")</f>
        <v>BRS</v>
      </c>
      <c r="AE188" s="24"/>
      <c r="AF188" s="24" t="str">
        <f>IFERROR(__xludf.DUMMYFUNCTION("""COMPUTED_VALUE"""),"United Kingdom")</f>
        <v>United Kingdom</v>
      </c>
      <c r="AG188" s="24"/>
      <c r="AH188" s="24"/>
      <c r="AI188" s="24"/>
      <c r="AJ188" s="24"/>
      <c r="AK188" s="24"/>
      <c r="AL188" s="24"/>
      <c r="AM188" s="24"/>
      <c r="AN188" s="24"/>
      <c r="AO188" s="24"/>
      <c r="AP188" s="24"/>
      <c r="AQ188" s="24"/>
      <c r="AR188" s="54"/>
    </row>
    <row r="189">
      <c r="A189" s="53"/>
      <c r="B189" s="34"/>
      <c r="C189" s="34"/>
      <c r="D189" s="34"/>
      <c r="E189" s="34"/>
      <c r="F189" s="34"/>
      <c r="G189" s="34"/>
      <c r="H189" s="34"/>
      <c r="I189" s="34"/>
      <c r="J189" s="34"/>
      <c r="K189" s="34"/>
      <c r="L189" s="34"/>
      <c r="M189" s="34"/>
      <c r="N189" s="34"/>
      <c r="O189" s="34"/>
      <c r="P189" s="34"/>
      <c r="Q189" s="34"/>
      <c r="R189" s="24"/>
      <c r="S189" s="24"/>
      <c r="T189" s="24"/>
      <c r="U189" s="24"/>
      <c r="V189" s="24"/>
      <c r="W189" s="24"/>
      <c r="X189" s="24"/>
      <c r="Y189" s="24"/>
      <c r="Z189" s="24"/>
      <c r="AA189" s="24"/>
      <c r="AB189" s="24"/>
      <c r="AC189" s="24"/>
      <c r="AD189" s="24" t="str">
        <f>IFERROR(__xludf.DUMMYFUNCTION("""COMPUTED_VALUE"""),"LDY")</f>
        <v>LDY</v>
      </c>
      <c r="AE189" s="24"/>
      <c r="AF189" s="24" t="str">
        <f>IFERROR(__xludf.DUMMYFUNCTION("""COMPUTED_VALUE"""),"United Kingdom")</f>
        <v>United Kingdom</v>
      </c>
      <c r="AG189" s="24"/>
      <c r="AH189" s="24"/>
      <c r="AI189" s="24"/>
      <c r="AJ189" s="24"/>
      <c r="AK189" s="24"/>
      <c r="AL189" s="24"/>
      <c r="AM189" s="24"/>
      <c r="AN189" s="24"/>
      <c r="AO189" s="24"/>
      <c r="AP189" s="24"/>
      <c r="AQ189" s="24"/>
      <c r="AR189" s="54"/>
    </row>
    <row r="190">
      <c r="A190" s="53"/>
      <c r="B190" s="34"/>
      <c r="C190" s="34"/>
      <c r="D190" s="34"/>
      <c r="E190" s="34"/>
      <c r="F190" s="34"/>
      <c r="G190" s="34"/>
      <c r="H190" s="34"/>
      <c r="I190" s="34"/>
      <c r="J190" s="34"/>
      <c r="K190" s="34"/>
      <c r="L190" s="34"/>
      <c r="M190" s="34"/>
      <c r="N190" s="34"/>
      <c r="O190" s="34"/>
      <c r="P190" s="34"/>
      <c r="Q190" s="34"/>
      <c r="R190" s="24"/>
      <c r="S190" s="24"/>
      <c r="T190" s="24"/>
      <c r="U190" s="24"/>
      <c r="V190" s="24"/>
      <c r="W190" s="24"/>
      <c r="X190" s="24"/>
      <c r="Y190" s="24"/>
      <c r="Z190" s="24"/>
      <c r="AA190" s="24"/>
      <c r="AB190" s="24"/>
      <c r="AC190" s="24"/>
      <c r="AD190" s="24" t="str">
        <f>IFERROR(__xludf.DUMMYFUNCTION("""COMPUTED_VALUE"""),"ILY")</f>
        <v>ILY</v>
      </c>
      <c r="AE190" s="24"/>
      <c r="AF190" s="24" t="str">
        <f>IFERROR(__xludf.DUMMYFUNCTION("""COMPUTED_VALUE"""),"United Kingdom")</f>
        <v>United Kingdom</v>
      </c>
      <c r="AG190" s="24"/>
      <c r="AH190" s="24"/>
      <c r="AI190" s="24"/>
      <c r="AJ190" s="24"/>
      <c r="AK190" s="24"/>
      <c r="AL190" s="24"/>
      <c r="AM190" s="24"/>
      <c r="AN190" s="24"/>
      <c r="AO190" s="24"/>
      <c r="AP190" s="24"/>
      <c r="AQ190" s="24"/>
      <c r="AR190" s="54"/>
    </row>
    <row r="191">
      <c r="A191" s="53"/>
      <c r="B191" s="34"/>
      <c r="C191" s="34"/>
      <c r="D191" s="34"/>
      <c r="E191" s="34"/>
      <c r="F191" s="34"/>
      <c r="G191" s="34"/>
      <c r="H191" s="34"/>
      <c r="I191" s="34"/>
      <c r="J191" s="34"/>
      <c r="K191" s="34"/>
      <c r="L191" s="34"/>
      <c r="M191" s="34"/>
      <c r="N191" s="34"/>
      <c r="O191" s="34"/>
      <c r="P191" s="34"/>
      <c r="Q191" s="34"/>
      <c r="R191" s="24"/>
      <c r="S191" s="24"/>
      <c r="T191" s="24"/>
      <c r="U191" s="24"/>
      <c r="V191" s="24"/>
      <c r="W191" s="24"/>
      <c r="X191" s="24"/>
      <c r="Y191" s="24"/>
      <c r="Z191" s="24"/>
      <c r="AA191" s="24"/>
      <c r="AB191" s="24"/>
      <c r="AC191" s="24"/>
      <c r="AD191" s="24" t="str">
        <f>IFERROR(__xludf.DUMMYFUNCTION("""COMPUTED_VALUE"""),"LGW")</f>
        <v>LGW</v>
      </c>
      <c r="AE191" s="24"/>
      <c r="AF191" s="24" t="str">
        <f>IFERROR(__xludf.DUMMYFUNCTION("""COMPUTED_VALUE"""),"United Kingdom")</f>
        <v>United Kingdom</v>
      </c>
      <c r="AG191" s="24"/>
      <c r="AH191" s="24"/>
      <c r="AI191" s="24"/>
      <c r="AJ191" s="24"/>
      <c r="AK191" s="24"/>
      <c r="AL191" s="24"/>
      <c r="AM191" s="24"/>
      <c r="AN191" s="24"/>
      <c r="AO191" s="24"/>
      <c r="AP191" s="24"/>
      <c r="AQ191" s="24"/>
      <c r="AR191" s="54"/>
    </row>
    <row r="192">
      <c r="A192" s="53"/>
      <c r="B192" s="34"/>
      <c r="C192" s="34"/>
      <c r="D192" s="34"/>
      <c r="E192" s="34"/>
      <c r="F192" s="34"/>
      <c r="G192" s="34"/>
      <c r="H192" s="34"/>
      <c r="I192" s="34"/>
      <c r="J192" s="34"/>
      <c r="K192" s="34"/>
      <c r="L192" s="34"/>
      <c r="M192" s="34"/>
      <c r="N192" s="34"/>
      <c r="O192" s="34"/>
      <c r="P192" s="34"/>
      <c r="Q192" s="3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54"/>
    </row>
    <row r="193">
      <c r="A193" s="53"/>
      <c r="B193" s="34"/>
      <c r="C193" s="34"/>
      <c r="D193" s="34"/>
      <c r="E193" s="34"/>
      <c r="F193" s="34"/>
      <c r="G193" s="34"/>
      <c r="H193" s="34"/>
      <c r="I193" s="34"/>
      <c r="J193" s="34"/>
      <c r="K193" s="34"/>
      <c r="L193" s="34"/>
      <c r="M193" s="34"/>
      <c r="N193" s="34"/>
      <c r="O193" s="34"/>
      <c r="P193" s="34"/>
      <c r="Q193" s="3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54"/>
    </row>
    <row r="194">
      <c r="A194" s="53"/>
      <c r="B194" s="34"/>
      <c r="C194" s="34"/>
      <c r="D194" s="34"/>
      <c r="E194" s="34"/>
      <c r="F194" s="34"/>
      <c r="G194" s="34"/>
      <c r="H194" s="34"/>
      <c r="I194" s="34"/>
      <c r="J194" s="34"/>
      <c r="K194" s="34"/>
      <c r="L194" s="34"/>
      <c r="M194" s="34"/>
      <c r="N194" s="34"/>
      <c r="O194" s="34"/>
      <c r="P194" s="34"/>
      <c r="Q194" s="3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54"/>
    </row>
    <row r="195">
      <c r="A195" s="53"/>
      <c r="B195" s="34"/>
      <c r="C195" s="34"/>
      <c r="D195" s="34"/>
      <c r="E195" s="34"/>
      <c r="F195" s="34"/>
      <c r="G195" s="34"/>
      <c r="H195" s="34"/>
      <c r="I195" s="34"/>
      <c r="J195" s="34"/>
      <c r="K195" s="34"/>
      <c r="L195" s="34"/>
      <c r="M195" s="34"/>
      <c r="N195" s="34"/>
      <c r="O195" s="34"/>
      <c r="P195" s="34"/>
      <c r="Q195" s="3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54"/>
    </row>
    <row r="196">
      <c r="A196" s="53"/>
      <c r="B196" s="34"/>
      <c r="C196" s="34"/>
      <c r="D196" s="34"/>
      <c r="E196" s="34"/>
      <c r="F196" s="34"/>
      <c r="G196" s="34"/>
      <c r="H196" s="34"/>
      <c r="I196" s="34"/>
      <c r="J196" s="34"/>
      <c r="K196" s="34"/>
      <c r="L196" s="34"/>
      <c r="M196" s="34"/>
      <c r="N196" s="34"/>
      <c r="O196" s="34"/>
      <c r="P196" s="34"/>
      <c r="Q196" s="3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54"/>
    </row>
    <row r="197">
      <c r="A197" s="53"/>
      <c r="B197" s="34"/>
      <c r="C197" s="34"/>
      <c r="D197" s="34"/>
      <c r="E197" s="34"/>
      <c r="F197" s="34"/>
      <c r="G197" s="34"/>
      <c r="H197" s="34"/>
      <c r="I197" s="34"/>
      <c r="J197" s="34"/>
      <c r="K197" s="34"/>
      <c r="L197" s="34"/>
      <c r="M197" s="34"/>
      <c r="N197" s="34"/>
      <c r="O197" s="34"/>
      <c r="P197" s="34"/>
      <c r="Q197" s="3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54"/>
    </row>
    <row r="198">
      <c r="A198" s="53"/>
      <c r="B198" s="34"/>
      <c r="C198" s="34"/>
      <c r="D198" s="34"/>
      <c r="E198" s="34"/>
      <c r="F198" s="34"/>
      <c r="G198" s="34"/>
      <c r="H198" s="34"/>
      <c r="I198" s="34"/>
      <c r="J198" s="34"/>
      <c r="K198" s="34"/>
      <c r="L198" s="34"/>
      <c r="M198" s="34"/>
      <c r="N198" s="34"/>
      <c r="O198" s="34"/>
      <c r="P198" s="34"/>
      <c r="Q198" s="3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54"/>
    </row>
    <row r="199">
      <c r="A199" s="53"/>
      <c r="B199" s="34"/>
      <c r="C199" s="34"/>
      <c r="D199" s="34"/>
      <c r="E199" s="34"/>
      <c r="F199" s="34"/>
      <c r="G199" s="34"/>
      <c r="H199" s="34"/>
      <c r="I199" s="34"/>
      <c r="J199" s="34"/>
      <c r="K199" s="34"/>
      <c r="L199" s="34"/>
      <c r="M199" s="34"/>
      <c r="N199" s="34"/>
      <c r="O199" s="34"/>
      <c r="P199" s="34"/>
      <c r="Q199" s="3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54"/>
    </row>
    <row r="200">
      <c r="A200" s="53"/>
      <c r="B200" s="34"/>
      <c r="C200" s="34"/>
      <c r="D200" s="34"/>
      <c r="E200" s="34"/>
      <c r="F200" s="34"/>
      <c r="G200" s="34"/>
      <c r="H200" s="34"/>
      <c r="I200" s="34"/>
      <c r="J200" s="34"/>
      <c r="K200" s="34"/>
      <c r="L200" s="34"/>
      <c r="M200" s="34"/>
      <c r="N200" s="34"/>
      <c r="O200" s="34"/>
      <c r="P200" s="34"/>
      <c r="Q200" s="3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54"/>
    </row>
    <row r="201">
      <c r="A201" s="53"/>
      <c r="B201" s="34"/>
      <c r="C201" s="34"/>
      <c r="D201" s="34"/>
      <c r="E201" s="34"/>
      <c r="F201" s="34"/>
      <c r="G201" s="34"/>
      <c r="H201" s="34"/>
      <c r="I201" s="34"/>
      <c r="J201" s="34"/>
      <c r="K201" s="34"/>
      <c r="L201" s="34"/>
      <c r="M201" s="34"/>
      <c r="N201" s="34"/>
      <c r="O201" s="34"/>
      <c r="P201" s="34"/>
      <c r="Q201" s="3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54"/>
    </row>
    <row r="202">
      <c r="A202" s="53"/>
      <c r="B202" s="34"/>
      <c r="C202" s="34"/>
      <c r="D202" s="34"/>
      <c r="E202" s="34"/>
      <c r="F202" s="34"/>
      <c r="G202" s="34"/>
      <c r="H202" s="34"/>
      <c r="I202" s="34"/>
      <c r="J202" s="34"/>
      <c r="K202" s="34"/>
      <c r="L202" s="34"/>
      <c r="M202" s="34"/>
      <c r="N202" s="34"/>
      <c r="O202" s="34"/>
      <c r="P202" s="34"/>
      <c r="Q202" s="3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54"/>
    </row>
    <row r="203">
      <c r="A203" s="53"/>
      <c r="B203" s="34"/>
      <c r="C203" s="34"/>
      <c r="D203" s="34"/>
      <c r="E203" s="34"/>
      <c r="F203" s="34"/>
      <c r="G203" s="34"/>
      <c r="H203" s="34"/>
      <c r="I203" s="34"/>
      <c r="J203" s="34"/>
      <c r="K203" s="34"/>
      <c r="L203" s="34"/>
      <c r="M203" s="34"/>
      <c r="N203" s="34"/>
      <c r="O203" s="34"/>
      <c r="P203" s="34"/>
      <c r="Q203" s="3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54"/>
    </row>
    <row r="204">
      <c r="A204" s="53"/>
      <c r="B204" s="34"/>
      <c r="C204" s="34"/>
      <c r="D204" s="34"/>
      <c r="E204" s="34"/>
      <c r="F204" s="34"/>
      <c r="G204" s="34"/>
      <c r="H204" s="34"/>
      <c r="I204" s="34"/>
      <c r="J204" s="34"/>
      <c r="K204" s="34"/>
      <c r="L204" s="34"/>
      <c r="M204" s="34"/>
      <c r="N204" s="34"/>
      <c r="O204" s="34"/>
      <c r="P204" s="34"/>
      <c r="Q204" s="3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54"/>
    </row>
    <row r="205">
      <c r="A205" s="53"/>
      <c r="B205" s="34"/>
      <c r="C205" s="34"/>
      <c r="D205" s="34"/>
      <c r="E205" s="34"/>
      <c r="F205" s="34"/>
      <c r="G205" s="34"/>
      <c r="H205" s="34"/>
      <c r="I205" s="34"/>
      <c r="J205" s="34"/>
      <c r="K205" s="34"/>
      <c r="L205" s="34"/>
      <c r="M205" s="34"/>
      <c r="N205" s="34"/>
      <c r="O205" s="34"/>
      <c r="P205" s="34"/>
      <c r="Q205" s="3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54"/>
    </row>
    <row r="206">
      <c r="A206" s="53"/>
      <c r="B206" s="34"/>
      <c r="C206" s="34"/>
      <c r="D206" s="34"/>
      <c r="E206" s="34"/>
      <c r="F206" s="34"/>
      <c r="G206" s="34"/>
      <c r="H206" s="34"/>
      <c r="I206" s="34"/>
      <c r="J206" s="34"/>
      <c r="K206" s="34"/>
      <c r="L206" s="34"/>
      <c r="M206" s="34"/>
      <c r="N206" s="34"/>
      <c r="O206" s="34"/>
      <c r="P206" s="34"/>
      <c r="Q206" s="3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54"/>
    </row>
    <row r="207">
      <c r="A207" s="53"/>
      <c r="B207" s="34"/>
      <c r="C207" s="34"/>
      <c r="D207" s="34"/>
      <c r="E207" s="34"/>
      <c r="F207" s="34"/>
      <c r="G207" s="34"/>
      <c r="H207" s="34"/>
      <c r="I207" s="34"/>
      <c r="J207" s="34"/>
      <c r="K207" s="34"/>
      <c r="L207" s="34"/>
      <c r="M207" s="34"/>
      <c r="N207" s="34"/>
      <c r="O207" s="34"/>
      <c r="P207" s="34"/>
      <c r="Q207" s="3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54"/>
    </row>
    <row r="208">
      <c r="A208" s="53"/>
      <c r="B208" s="34"/>
      <c r="C208" s="34"/>
      <c r="D208" s="34"/>
      <c r="E208" s="34"/>
      <c r="F208" s="34"/>
      <c r="G208" s="34"/>
      <c r="H208" s="34"/>
      <c r="I208" s="34"/>
      <c r="J208" s="34"/>
      <c r="K208" s="34"/>
      <c r="L208" s="34"/>
      <c r="M208" s="34"/>
      <c r="N208" s="34"/>
      <c r="O208" s="34"/>
      <c r="P208" s="34"/>
      <c r="Q208" s="3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54"/>
    </row>
    <row r="209">
      <c r="A209" s="53"/>
      <c r="B209" s="34"/>
      <c r="C209" s="34"/>
      <c r="D209" s="34"/>
      <c r="E209" s="34"/>
      <c r="F209" s="34"/>
      <c r="G209" s="34"/>
      <c r="H209" s="34"/>
      <c r="I209" s="34"/>
      <c r="J209" s="34"/>
      <c r="K209" s="34"/>
      <c r="L209" s="34"/>
      <c r="M209" s="34"/>
      <c r="N209" s="34"/>
      <c r="O209" s="34"/>
      <c r="P209" s="34"/>
      <c r="Q209" s="3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54"/>
    </row>
    <row r="210">
      <c r="A210" s="53"/>
      <c r="B210" s="34"/>
      <c r="C210" s="34"/>
      <c r="D210" s="34"/>
      <c r="E210" s="34"/>
      <c r="F210" s="34"/>
      <c r="G210" s="34"/>
      <c r="H210" s="34"/>
      <c r="I210" s="34"/>
      <c r="J210" s="34"/>
      <c r="K210" s="34"/>
      <c r="L210" s="34"/>
      <c r="M210" s="34"/>
      <c r="N210" s="34"/>
      <c r="O210" s="34"/>
      <c r="P210" s="34"/>
      <c r="Q210" s="3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54"/>
    </row>
    <row r="211">
      <c r="A211" s="53"/>
      <c r="B211" s="34"/>
      <c r="C211" s="34"/>
      <c r="D211" s="34"/>
      <c r="E211" s="34"/>
      <c r="F211" s="34"/>
      <c r="G211" s="34"/>
      <c r="H211" s="34"/>
      <c r="I211" s="34"/>
      <c r="J211" s="34"/>
      <c r="K211" s="34"/>
      <c r="L211" s="34"/>
      <c r="M211" s="34"/>
      <c r="N211" s="34"/>
      <c r="O211" s="34"/>
      <c r="P211" s="34"/>
      <c r="Q211" s="3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54"/>
    </row>
    <row r="212">
      <c r="A212" s="53"/>
      <c r="B212" s="34"/>
      <c r="C212" s="34"/>
      <c r="D212" s="34"/>
      <c r="E212" s="34"/>
      <c r="F212" s="34"/>
      <c r="G212" s="34"/>
      <c r="H212" s="34"/>
      <c r="I212" s="34"/>
      <c r="J212" s="34"/>
      <c r="K212" s="34"/>
      <c r="L212" s="34"/>
      <c r="M212" s="34"/>
      <c r="N212" s="34"/>
      <c r="O212" s="34"/>
      <c r="P212" s="34"/>
      <c r="Q212" s="3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54"/>
    </row>
    <row r="213">
      <c r="A213" s="53"/>
      <c r="B213" s="34"/>
      <c r="C213" s="34"/>
      <c r="D213" s="34"/>
      <c r="E213" s="34"/>
      <c r="F213" s="34"/>
      <c r="G213" s="34"/>
      <c r="H213" s="34"/>
      <c r="I213" s="34"/>
      <c r="J213" s="34"/>
      <c r="K213" s="34"/>
      <c r="L213" s="34"/>
      <c r="M213" s="34"/>
      <c r="N213" s="34"/>
      <c r="O213" s="34"/>
      <c r="P213" s="34"/>
      <c r="Q213" s="3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54"/>
    </row>
    <row r="214">
      <c r="A214" s="53"/>
      <c r="B214" s="34"/>
      <c r="C214" s="34"/>
      <c r="D214" s="34"/>
      <c r="E214" s="34"/>
      <c r="F214" s="34"/>
      <c r="G214" s="34"/>
      <c r="H214" s="34"/>
      <c r="I214" s="34"/>
      <c r="J214" s="34"/>
      <c r="K214" s="34"/>
      <c r="L214" s="34"/>
      <c r="M214" s="34"/>
      <c r="N214" s="34"/>
      <c r="O214" s="34"/>
      <c r="P214" s="34"/>
      <c r="Q214" s="3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54"/>
    </row>
    <row r="215">
      <c r="A215" s="53"/>
      <c r="B215" s="34"/>
      <c r="C215" s="34"/>
      <c r="D215" s="34"/>
      <c r="E215" s="34"/>
      <c r="F215" s="34"/>
      <c r="G215" s="34"/>
      <c r="H215" s="34"/>
      <c r="I215" s="34"/>
      <c r="J215" s="34"/>
      <c r="K215" s="34"/>
      <c r="L215" s="34"/>
      <c r="M215" s="34"/>
      <c r="N215" s="34"/>
      <c r="O215" s="34"/>
      <c r="P215" s="34"/>
      <c r="Q215" s="3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54"/>
    </row>
    <row r="216">
      <c r="A216" s="53"/>
      <c r="B216" s="34"/>
      <c r="C216" s="34"/>
      <c r="D216" s="34"/>
      <c r="E216" s="34"/>
      <c r="F216" s="34"/>
      <c r="G216" s="34"/>
      <c r="H216" s="34"/>
      <c r="I216" s="34"/>
      <c r="J216" s="34"/>
      <c r="K216" s="34"/>
      <c r="L216" s="34"/>
      <c r="M216" s="34"/>
      <c r="N216" s="34"/>
      <c r="O216" s="34"/>
      <c r="P216" s="34"/>
      <c r="Q216" s="3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54"/>
    </row>
    <row r="217">
      <c r="A217" s="53"/>
      <c r="B217" s="34"/>
      <c r="C217" s="34"/>
      <c r="D217" s="34"/>
      <c r="E217" s="34"/>
      <c r="F217" s="34"/>
      <c r="G217" s="34"/>
      <c r="H217" s="34"/>
      <c r="I217" s="34"/>
      <c r="J217" s="34"/>
      <c r="K217" s="34"/>
      <c r="L217" s="34"/>
      <c r="M217" s="34"/>
      <c r="N217" s="34"/>
      <c r="O217" s="34"/>
      <c r="P217" s="34"/>
      <c r="Q217" s="3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54"/>
    </row>
    <row r="218">
      <c r="A218" s="53"/>
      <c r="B218" s="34"/>
      <c r="C218" s="34"/>
      <c r="D218" s="34"/>
      <c r="E218" s="34"/>
      <c r="F218" s="34"/>
      <c r="G218" s="34"/>
      <c r="H218" s="34"/>
      <c r="I218" s="34"/>
      <c r="J218" s="34"/>
      <c r="K218" s="34"/>
      <c r="L218" s="34"/>
      <c r="M218" s="34"/>
      <c r="N218" s="34"/>
      <c r="O218" s="34"/>
      <c r="P218" s="34"/>
      <c r="Q218" s="3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54"/>
    </row>
    <row r="219">
      <c r="A219" s="53"/>
      <c r="B219" s="34"/>
      <c r="C219" s="34"/>
      <c r="D219" s="34"/>
      <c r="E219" s="34"/>
      <c r="F219" s="34"/>
      <c r="G219" s="34"/>
      <c r="H219" s="34"/>
      <c r="I219" s="34"/>
      <c r="J219" s="34"/>
      <c r="K219" s="34"/>
      <c r="L219" s="34"/>
      <c r="M219" s="34"/>
      <c r="N219" s="34"/>
      <c r="O219" s="34"/>
      <c r="P219" s="34"/>
      <c r="Q219" s="3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54"/>
    </row>
    <row r="220">
      <c r="A220" s="53"/>
      <c r="B220" s="34"/>
      <c r="C220" s="34"/>
      <c r="D220" s="34"/>
      <c r="E220" s="34"/>
      <c r="F220" s="34"/>
      <c r="G220" s="34"/>
      <c r="H220" s="34"/>
      <c r="I220" s="34"/>
      <c r="J220" s="34"/>
      <c r="K220" s="34"/>
      <c r="L220" s="34"/>
      <c r="M220" s="34"/>
      <c r="N220" s="34"/>
      <c r="O220" s="34"/>
      <c r="P220" s="34"/>
      <c r="Q220" s="3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54"/>
    </row>
    <row r="221">
      <c r="A221" s="53"/>
      <c r="B221" s="34"/>
      <c r="C221" s="34"/>
      <c r="D221" s="34"/>
      <c r="E221" s="34"/>
      <c r="F221" s="34"/>
      <c r="G221" s="34"/>
      <c r="H221" s="34"/>
      <c r="I221" s="34"/>
      <c r="J221" s="34"/>
      <c r="K221" s="34"/>
      <c r="L221" s="34"/>
      <c r="M221" s="34"/>
      <c r="N221" s="34"/>
      <c r="O221" s="34"/>
      <c r="P221" s="34"/>
      <c r="Q221" s="3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54"/>
    </row>
    <row r="222">
      <c r="A222" s="53"/>
      <c r="B222" s="34"/>
      <c r="C222" s="34"/>
      <c r="D222" s="34"/>
      <c r="E222" s="34"/>
      <c r="F222" s="34"/>
      <c r="G222" s="34"/>
      <c r="H222" s="34"/>
      <c r="I222" s="34"/>
      <c r="J222" s="34"/>
      <c r="K222" s="34"/>
      <c r="L222" s="34"/>
      <c r="M222" s="34"/>
      <c r="N222" s="34"/>
      <c r="O222" s="34"/>
      <c r="P222" s="34"/>
      <c r="Q222" s="3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54"/>
    </row>
    <row r="223">
      <c r="A223" s="53"/>
      <c r="B223" s="34"/>
      <c r="C223" s="34"/>
      <c r="D223" s="34"/>
      <c r="E223" s="34"/>
      <c r="F223" s="34"/>
      <c r="G223" s="34"/>
      <c r="H223" s="34"/>
      <c r="I223" s="34"/>
      <c r="J223" s="34"/>
      <c r="K223" s="34"/>
      <c r="L223" s="34"/>
      <c r="M223" s="34"/>
      <c r="N223" s="34"/>
      <c r="O223" s="34"/>
      <c r="P223" s="34"/>
      <c r="Q223" s="3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54"/>
    </row>
    <row r="224">
      <c r="A224" s="53"/>
      <c r="B224" s="34"/>
      <c r="C224" s="34"/>
      <c r="D224" s="34"/>
      <c r="E224" s="34"/>
      <c r="F224" s="34"/>
      <c r="G224" s="34"/>
      <c r="H224" s="34"/>
      <c r="I224" s="34"/>
      <c r="J224" s="34"/>
      <c r="K224" s="34"/>
      <c r="L224" s="34"/>
      <c r="M224" s="34"/>
      <c r="N224" s="34"/>
      <c r="O224" s="34"/>
      <c r="P224" s="34"/>
      <c r="Q224" s="3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54"/>
    </row>
    <row r="225">
      <c r="A225" s="53"/>
      <c r="B225" s="34"/>
      <c r="C225" s="34"/>
      <c r="D225" s="34"/>
      <c r="E225" s="34"/>
      <c r="F225" s="34"/>
      <c r="G225" s="34"/>
      <c r="H225" s="34"/>
      <c r="I225" s="34"/>
      <c r="J225" s="34"/>
      <c r="K225" s="34"/>
      <c r="L225" s="34"/>
      <c r="M225" s="34"/>
      <c r="N225" s="34"/>
      <c r="O225" s="34"/>
      <c r="P225" s="34"/>
      <c r="Q225" s="3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54"/>
    </row>
    <row r="226">
      <c r="A226" s="53"/>
      <c r="B226" s="34"/>
      <c r="C226" s="34"/>
      <c r="D226" s="34"/>
      <c r="E226" s="34"/>
      <c r="F226" s="34"/>
      <c r="G226" s="34"/>
      <c r="H226" s="34"/>
      <c r="I226" s="34"/>
      <c r="J226" s="34"/>
      <c r="K226" s="34"/>
      <c r="L226" s="34"/>
      <c r="M226" s="34"/>
      <c r="N226" s="34"/>
      <c r="O226" s="34"/>
      <c r="P226" s="34"/>
      <c r="Q226" s="3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54"/>
    </row>
    <row r="227">
      <c r="A227" s="53"/>
      <c r="B227" s="34"/>
      <c r="C227" s="34"/>
      <c r="D227" s="34"/>
      <c r="E227" s="34"/>
      <c r="F227" s="34"/>
      <c r="G227" s="34"/>
      <c r="H227" s="34"/>
      <c r="I227" s="34"/>
      <c r="J227" s="34"/>
      <c r="K227" s="34"/>
      <c r="L227" s="34"/>
      <c r="M227" s="34"/>
      <c r="N227" s="34"/>
      <c r="O227" s="34"/>
      <c r="P227" s="34"/>
      <c r="Q227" s="3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54"/>
    </row>
    <row r="228">
      <c r="A228" s="53"/>
      <c r="B228" s="34"/>
      <c r="C228" s="34"/>
      <c r="D228" s="34"/>
      <c r="E228" s="34"/>
      <c r="F228" s="34"/>
      <c r="G228" s="34"/>
      <c r="H228" s="34"/>
      <c r="I228" s="34"/>
      <c r="J228" s="34"/>
      <c r="K228" s="34"/>
      <c r="L228" s="34"/>
      <c r="M228" s="34"/>
      <c r="N228" s="34"/>
      <c r="O228" s="34"/>
      <c r="P228" s="34"/>
      <c r="Q228" s="3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54"/>
    </row>
    <row r="229">
      <c r="A229" s="53"/>
      <c r="B229" s="34"/>
      <c r="C229" s="34"/>
      <c r="D229" s="34"/>
      <c r="E229" s="34"/>
      <c r="F229" s="34"/>
      <c r="G229" s="34"/>
      <c r="H229" s="34"/>
      <c r="I229" s="34"/>
      <c r="J229" s="34"/>
      <c r="K229" s="34"/>
      <c r="L229" s="34"/>
      <c r="M229" s="34"/>
      <c r="N229" s="34"/>
      <c r="O229" s="34"/>
      <c r="P229" s="34"/>
      <c r="Q229" s="3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54"/>
    </row>
    <row r="230">
      <c r="A230" s="53"/>
      <c r="B230" s="34"/>
      <c r="C230" s="34"/>
      <c r="D230" s="34"/>
      <c r="E230" s="34"/>
      <c r="F230" s="34"/>
      <c r="G230" s="34"/>
      <c r="H230" s="34"/>
      <c r="I230" s="34"/>
      <c r="J230" s="34"/>
      <c r="K230" s="34"/>
      <c r="L230" s="34"/>
      <c r="M230" s="34"/>
      <c r="N230" s="34"/>
      <c r="O230" s="34"/>
      <c r="P230" s="34"/>
      <c r="Q230" s="3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54"/>
    </row>
    <row r="231">
      <c r="A231" s="53"/>
      <c r="B231" s="34"/>
      <c r="C231" s="34"/>
      <c r="D231" s="34"/>
      <c r="E231" s="34"/>
      <c r="F231" s="34"/>
      <c r="G231" s="34"/>
      <c r="H231" s="34"/>
      <c r="I231" s="34"/>
      <c r="J231" s="34"/>
      <c r="K231" s="34"/>
      <c r="L231" s="34"/>
      <c r="M231" s="34"/>
      <c r="N231" s="34"/>
      <c r="O231" s="34"/>
      <c r="P231" s="34"/>
      <c r="Q231" s="3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54"/>
    </row>
    <row r="232">
      <c r="A232" s="53"/>
      <c r="B232" s="34"/>
      <c r="C232" s="34"/>
      <c r="D232" s="34"/>
      <c r="E232" s="34"/>
      <c r="F232" s="34"/>
      <c r="G232" s="34"/>
      <c r="H232" s="34"/>
      <c r="I232" s="34"/>
      <c r="J232" s="34"/>
      <c r="K232" s="34"/>
      <c r="L232" s="34"/>
      <c r="M232" s="34"/>
      <c r="N232" s="34"/>
      <c r="O232" s="34"/>
      <c r="P232" s="34"/>
      <c r="Q232" s="3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54"/>
    </row>
    <row r="233">
      <c r="A233" s="53"/>
      <c r="B233" s="34"/>
      <c r="C233" s="34"/>
      <c r="D233" s="34"/>
      <c r="E233" s="34"/>
      <c r="F233" s="34"/>
      <c r="G233" s="34"/>
      <c r="H233" s="34"/>
      <c r="I233" s="34"/>
      <c r="J233" s="34"/>
      <c r="K233" s="34"/>
      <c r="L233" s="34"/>
      <c r="M233" s="34"/>
      <c r="N233" s="34"/>
      <c r="O233" s="34"/>
      <c r="P233" s="34"/>
      <c r="Q233" s="3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54"/>
    </row>
    <row r="234">
      <c r="A234" s="53"/>
      <c r="B234" s="34"/>
      <c r="C234" s="34"/>
      <c r="D234" s="34"/>
      <c r="E234" s="34"/>
      <c r="F234" s="34"/>
      <c r="G234" s="34"/>
      <c r="H234" s="34"/>
      <c r="I234" s="34"/>
      <c r="J234" s="34"/>
      <c r="K234" s="34"/>
      <c r="L234" s="34"/>
      <c r="M234" s="34"/>
      <c r="N234" s="34"/>
      <c r="O234" s="34"/>
      <c r="P234" s="34"/>
      <c r="Q234" s="3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54"/>
    </row>
    <row r="235">
      <c r="A235" s="53"/>
      <c r="B235" s="34"/>
      <c r="C235" s="34"/>
      <c r="D235" s="34"/>
      <c r="E235" s="34"/>
      <c r="F235" s="34"/>
      <c r="G235" s="34"/>
      <c r="H235" s="34"/>
      <c r="I235" s="34"/>
      <c r="J235" s="34"/>
      <c r="K235" s="34"/>
      <c r="L235" s="34"/>
      <c r="M235" s="34"/>
      <c r="N235" s="34"/>
      <c r="O235" s="34"/>
      <c r="P235" s="34"/>
      <c r="Q235" s="3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54"/>
    </row>
    <row r="236">
      <c r="A236" s="53"/>
      <c r="B236" s="34"/>
      <c r="C236" s="34"/>
      <c r="D236" s="34"/>
      <c r="E236" s="34"/>
      <c r="F236" s="34"/>
      <c r="G236" s="34"/>
      <c r="H236" s="34"/>
      <c r="I236" s="34"/>
      <c r="J236" s="34"/>
      <c r="K236" s="34"/>
      <c r="L236" s="34"/>
      <c r="M236" s="34"/>
      <c r="N236" s="34"/>
      <c r="O236" s="34"/>
      <c r="P236" s="34"/>
      <c r="Q236" s="3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54"/>
    </row>
    <row r="237">
      <c r="A237" s="53"/>
      <c r="B237" s="34"/>
      <c r="C237" s="34"/>
      <c r="D237" s="34"/>
      <c r="E237" s="34"/>
      <c r="F237" s="34"/>
      <c r="G237" s="34"/>
      <c r="H237" s="34"/>
      <c r="I237" s="34"/>
      <c r="J237" s="34"/>
      <c r="K237" s="34"/>
      <c r="L237" s="34"/>
      <c r="M237" s="34"/>
      <c r="N237" s="34"/>
      <c r="O237" s="34"/>
      <c r="P237" s="34"/>
      <c r="Q237" s="3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54"/>
    </row>
    <row r="238">
      <c r="A238" s="53"/>
      <c r="B238" s="34"/>
      <c r="C238" s="34"/>
      <c r="D238" s="34"/>
      <c r="E238" s="34"/>
      <c r="F238" s="34"/>
      <c r="G238" s="34"/>
      <c r="H238" s="34"/>
      <c r="I238" s="34"/>
      <c r="J238" s="34"/>
      <c r="K238" s="34"/>
      <c r="L238" s="34"/>
      <c r="M238" s="34"/>
      <c r="N238" s="34"/>
      <c r="O238" s="34"/>
      <c r="P238" s="34"/>
      <c r="Q238" s="3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54"/>
    </row>
    <row r="239">
      <c r="A239" s="53"/>
      <c r="B239" s="34"/>
      <c r="C239" s="34"/>
      <c r="D239" s="34"/>
      <c r="E239" s="34"/>
      <c r="F239" s="34"/>
      <c r="G239" s="34"/>
      <c r="H239" s="34"/>
      <c r="I239" s="34"/>
      <c r="J239" s="34"/>
      <c r="K239" s="34"/>
      <c r="L239" s="34"/>
      <c r="M239" s="34"/>
      <c r="N239" s="34"/>
      <c r="O239" s="34"/>
      <c r="P239" s="34"/>
      <c r="Q239" s="3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54"/>
    </row>
    <row r="240">
      <c r="A240" s="53"/>
      <c r="B240" s="34"/>
      <c r="C240" s="34"/>
      <c r="D240" s="34"/>
      <c r="E240" s="34"/>
      <c r="F240" s="34"/>
      <c r="G240" s="34"/>
      <c r="H240" s="34"/>
      <c r="I240" s="34"/>
      <c r="J240" s="34"/>
      <c r="K240" s="34"/>
      <c r="L240" s="34"/>
      <c r="M240" s="34"/>
      <c r="N240" s="34"/>
      <c r="O240" s="34"/>
      <c r="P240" s="34"/>
      <c r="Q240" s="3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54"/>
    </row>
    <row r="241">
      <c r="A241" s="53"/>
      <c r="B241" s="34"/>
      <c r="C241" s="34"/>
      <c r="D241" s="34"/>
      <c r="E241" s="34"/>
      <c r="F241" s="34"/>
      <c r="G241" s="34"/>
      <c r="H241" s="34"/>
      <c r="I241" s="34"/>
      <c r="J241" s="34"/>
      <c r="K241" s="34"/>
      <c r="L241" s="34"/>
      <c r="M241" s="34"/>
      <c r="N241" s="34"/>
      <c r="O241" s="34"/>
      <c r="P241" s="34"/>
      <c r="Q241" s="3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54"/>
    </row>
    <row r="242">
      <c r="A242" s="53"/>
      <c r="B242" s="34"/>
      <c r="C242" s="34"/>
      <c r="D242" s="34"/>
      <c r="E242" s="34"/>
      <c r="F242" s="34"/>
      <c r="G242" s="34"/>
      <c r="H242" s="34"/>
      <c r="I242" s="34"/>
      <c r="J242" s="34"/>
      <c r="K242" s="34"/>
      <c r="L242" s="34"/>
      <c r="M242" s="34"/>
      <c r="N242" s="34"/>
      <c r="O242" s="34"/>
      <c r="P242" s="34"/>
      <c r="Q242" s="3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54"/>
    </row>
    <row r="243">
      <c r="A243" s="53"/>
      <c r="B243" s="34"/>
      <c r="C243" s="34"/>
      <c r="D243" s="34"/>
      <c r="E243" s="34"/>
      <c r="F243" s="34"/>
      <c r="G243" s="34"/>
      <c r="H243" s="34"/>
      <c r="I243" s="34"/>
      <c r="J243" s="34"/>
      <c r="K243" s="34"/>
      <c r="L243" s="34"/>
      <c r="M243" s="34"/>
      <c r="N243" s="34"/>
      <c r="O243" s="34"/>
      <c r="P243" s="34"/>
      <c r="Q243" s="3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54"/>
    </row>
    <row r="244">
      <c r="A244" s="53"/>
      <c r="B244" s="34"/>
      <c r="C244" s="34"/>
      <c r="D244" s="34"/>
      <c r="E244" s="34"/>
      <c r="F244" s="34"/>
      <c r="G244" s="34"/>
      <c r="H244" s="34"/>
      <c r="I244" s="34"/>
      <c r="J244" s="34"/>
      <c r="K244" s="34"/>
      <c r="L244" s="34"/>
      <c r="M244" s="34"/>
      <c r="N244" s="34"/>
      <c r="O244" s="34"/>
      <c r="P244" s="34"/>
      <c r="Q244" s="3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54"/>
    </row>
    <row r="245">
      <c r="A245" s="53"/>
      <c r="B245" s="34"/>
      <c r="C245" s="34"/>
      <c r="D245" s="34"/>
      <c r="E245" s="34"/>
      <c r="F245" s="34"/>
      <c r="G245" s="34"/>
      <c r="H245" s="34"/>
      <c r="I245" s="34"/>
      <c r="J245" s="34"/>
      <c r="K245" s="34"/>
      <c r="L245" s="34"/>
      <c r="M245" s="34"/>
      <c r="N245" s="34"/>
      <c r="O245" s="34"/>
      <c r="P245" s="34"/>
      <c r="Q245" s="3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54"/>
    </row>
    <row r="246">
      <c r="A246" s="53"/>
      <c r="B246" s="34"/>
      <c r="C246" s="34"/>
      <c r="D246" s="34"/>
      <c r="E246" s="34"/>
      <c r="F246" s="34"/>
      <c r="G246" s="34"/>
      <c r="H246" s="34"/>
      <c r="I246" s="34"/>
      <c r="J246" s="34"/>
      <c r="K246" s="34"/>
      <c r="L246" s="34"/>
      <c r="M246" s="34"/>
      <c r="N246" s="34"/>
      <c r="O246" s="34"/>
      <c r="P246" s="34"/>
      <c r="Q246" s="3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54"/>
    </row>
    <row r="247">
      <c r="A247" s="53"/>
      <c r="B247" s="34"/>
      <c r="C247" s="34"/>
      <c r="D247" s="34"/>
      <c r="E247" s="34"/>
      <c r="F247" s="34"/>
      <c r="G247" s="34"/>
      <c r="H247" s="34"/>
      <c r="I247" s="34"/>
      <c r="J247" s="34"/>
      <c r="K247" s="34"/>
      <c r="L247" s="34"/>
      <c r="M247" s="34"/>
      <c r="N247" s="34"/>
      <c r="O247" s="34"/>
      <c r="P247" s="34"/>
      <c r="Q247" s="3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54"/>
    </row>
    <row r="248">
      <c r="A248" s="53"/>
      <c r="B248" s="34"/>
      <c r="C248" s="34"/>
      <c r="D248" s="34"/>
      <c r="E248" s="34"/>
      <c r="F248" s="34"/>
      <c r="G248" s="34"/>
      <c r="H248" s="34"/>
      <c r="I248" s="34"/>
      <c r="J248" s="34"/>
      <c r="K248" s="34"/>
      <c r="L248" s="34"/>
      <c r="M248" s="34"/>
      <c r="N248" s="34"/>
      <c r="O248" s="34"/>
      <c r="P248" s="34"/>
      <c r="Q248" s="3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54"/>
    </row>
    <row r="249">
      <c r="A249" s="53"/>
      <c r="B249" s="34"/>
      <c r="C249" s="34"/>
      <c r="D249" s="34"/>
      <c r="E249" s="34"/>
      <c r="F249" s="34"/>
      <c r="G249" s="34"/>
      <c r="H249" s="34"/>
      <c r="I249" s="34"/>
      <c r="J249" s="34"/>
      <c r="K249" s="34"/>
      <c r="L249" s="34"/>
      <c r="M249" s="34"/>
      <c r="N249" s="34"/>
      <c r="O249" s="34"/>
      <c r="P249" s="34"/>
      <c r="Q249" s="3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54"/>
    </row>
    <row r="250">
      <c r="A250" s="53"/>
      <c r="B250" s="34"/>
      <c r="C250" s="34"/>
      <c r="D250" s="34"/>
      <c r="E250" s="34"/>
      <c r="F250" s="34"/>
      <c r="G250" s="34"/>
      <c r="H250" s="34"/>
      <c r="I250" s="34"/>
      <c r="J250" s="34"/>
      <c r="K250" s="34"/>
      <c r="L250" s="34"/>
      <c r="M250" s="34"/>
      <c r="N250" s="34"/>
      <c r="O250" s="34"/>
      <c r="P250" s="34"/>
      <c r="Q250" s="3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54"/>
    </row>
    <row r="251">
      <c r="A251" s="53"/>
      <c r="B251" s="34"/>
      <c r="C251" s="34"/>
      <c r="D251" s="34"/>
      <c r="E251" s="34"/>
      <c r="F251" s="34"/>
      <c r="G251" s="34"/>
      <c r="H251" s="34"/>
      <c r="I251" s="34"/>
      <c r="J251" s="34"/>
      <c r="K251" s="34"/>
      <c r="L251" s="34"/>
      <c r="M251" s="34"/>
      <c r="N251" s="34"/>
      <c r="O251" s="34"/>
      <c r="P251" s="34"/>
      <c r="Q251" s="3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54"/>
    </row>
    <row r="252">
      <c r="A252" s="53"/>
      <c r="B252" s="34"/>
      <c r="C252" s="34"/>
      <c r="D252" s="34"/>
      <c r="E252" s="34"/>
      <c r="F252" s="34"/>
      <c r="G252" s="34"/>
      <c r="H252" s="34"/>
      <c r="I252" s="34"/>
      <c r="J252" s="34"/>
      <c r="K252" s="34"/>
      <c r="L252" s="34"/>
      <c r="M252" s="34"/>
      <c r="N252" s="34"/>
      <c r="O252" s="34"/>
      <c r="P252" s="34"/>
      <c r="Q252" s="3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54"/>
    </row>
    <row r="253">
      <c r="A253" s="53"/>
      <c r="B253" s="34"/>
      <c r="C253" s="34"/>
      <c r="D253" s="34"/>
      <c r="E253" s="34"/>
      <c r="F253" s="34"/>
      <c r="G253" s="34"/>
      <c r="H253" s="34"/>
      <c r="I253" s="34"/>
      <c r="J253" s="34"/>
      <c r="K253" s="34"/>
      <c r="L253" s="34"/>
      <c r="M253" s="34"/>
      <c r="N253" s="34"/>
      <c r="O253" s="34"/>
      <c r="P253" s="34"/>
      <c r="Q253" s="3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54"/>
    </row>
    <row r="254">
      <c r="A254" s="53"/>
      <c r="B254" s="34"/>
      <c r="C254" s="34"/>
      <c r="D254" s="34"/>
      <c r="E254" s="34"/>
      <c r="F254" s="34"/>
      <c r="G254" s="34"/>
      <c r="H254" s="34"/>
      <c r="I254" s="34"/>
      <c r="J254" s="34"/>
      <c r="K254" s="34"/>
      <c r="L254" s="34"/>
      <c r="M254" s="34"/>
      <c r="N254" s="34"/>
      <c r="O254" s="34"/>
      <c r="P254" s="34"/>
      <c r="Q254" s="3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54"/>
    </row>
    <row r="255">
      <c r="A255" s="53"/>
      <c r="B255" s="34"/>
      <c r="C255" s="34"/>
      <c r="D255" s="34"/>
      <c r="E255" s="34"/>
      <c r="F255" s="34"/>
      <c r="G255" s="34"/>
      <c r="H255" s="34"/>
      <c r="I255" s="34"/>
      <c r="J255" s="34"/>
      <c r="K255" s="34"/>
      <c r="L255" s="34"/>
      <c r="M255" s="34"/>
      <c r="N255" s="34"/>
      <c r="O255" s="34"/>
      <c r="P255" s="34"/>
      <c r="Q255" s="3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54"/>
    </row>
    <row r="256">
      <c r="A256" s="53"/>
      <c r="B256" s="34"/>
      <c r="C256" s="34"/>
      <c r="D256" s="34"/>
      <c r="E256" s="34"/>
      <c r="F256" s="34"/>
      <c r="G256" s="34"/>
      <c r="H256" s="34"/>
      <c r="I256" s="34"/>
      <c r="J256" s="34"/>
      <c r="K256" s="34"/>
      <c r="L256" s="34"/>
      <c r="M256" s="34"/>
      <c r="N256" s="34"/>
      <c r="O256" s="34"/>
      <c r="P256" s="34"/>
      <c r="Q256" s="3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54"/>
    </row>
    <row r="257">
      <c r="A257" s="53"/>
      <c r="B257" s="34"/>
      <c r="C257" s="34"/>
      <c r="D257" s="34"/>
      <c r="E257" s="34"/>
      <c r="F257" s="34"/>
      <c r="G257" s="34"/>
      <c r="H257" s="34"/>
      <c r="I257" s="34"/>
      <c r="J257" s="34"/>
      <c r="K257" s="34"/>
      <c r="L257" s="34"/>
      <c r="M257" s="34"/>
      <c r="N257" s="34"/>
      <c r="O257" s="34"/>
      <c r="P257" s="34"/>
      <c r="Q257" s="3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54"/>
    </row>
    <row r="258">
      <c r="A258" s="53"/>
      <c r="B258" s="34"/>
      <c r="C258" s="34"/>
      <c r="D258" s="34"/>
      <c r="E258" s="34"/>
      <c r="F258" s="34"/>
      <c r="G258" s="34"/>
      <c r="H258" s="34"/>
      <c r="I258" s="34"/>
      <c r="J258" s="34"/>
      <c r="K258" s="34"/>
      <c r="L258" s="34"/>
      <c r="M258" s="34"/>
      <c r="N258" s="34"/>
      <c r="O258" s="34"/>
      <c r="P258" s="34"/>
      <c r="Q258" s="3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54"/>
    </row>
    <row r="259">
      <c r="A259" s="53"/>
      <c r="B259" s="34"/>
      <c r="C259" s="34"/>
      <c r="D259" s="34"/>
      <c r="E259" s="34"/>
      <c r="F259" s="34"/>
      <c r="G259" s="34"/>
      <c r="H259" s="34"/>
      <c r="I259" s="34"/>
      <c r="J259" s="34"/>
      <c r="K259" s="34"/>
      <c r="L259" s="34"/>
      <c r="M259" s="34"/>
      <c r="N259" s="34"/>
      <c r="O259" s="34"/>
      <c r="P259" s="34"/>
      <c r="Q259" s="3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54"/>
    </row>
    <row r="260">
      <c r="A260" s="53"/>
      <c r="B260" s="34"/>
      <c r="C260" s="34"/>
      <c r="D260" s="34"/>
      <c r="E260" s="34"/>
      <c r="F260" s="34"/>
      <c r="G260" s="34"/>
      <c r="H260" s="34"/>
      <c r="I260" s="34"/>
      <c r="J260" s="34"/>
      <c r="K260" s="34"/>
      <c r="L260" s="34"/>
      <c r="M260" s="34"/>
      <c r="N260" s="34"/>
      <c r="O260" s="34"/>
      <c r="P260" s="34"/>
      <c r="Q260" s="3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54"/>
    </row>
    <row r="261">
      <c r="A261" s="53"/>
      <c r="B261" s="34"/>
      <c r="C261" s="34"/>
      <c r="D261" s="34"/>
      <c r="E261" s="34"/>
      <c r="F261" s="34"/>
      <c r="G261" s="34"/>
      <c r="H261" s="34"/>
      <c r="I261" s="34"/>
      <c r="J261" s="34"/>
      <c r="K261" s="34"/>
      <c r="L261" s="34"/>
      <c r="M261" s="34"/>
      <c r="N261" s="34"/>
      <c r="O261" s="34"/>
      <c r="P261" s="34"/>
      <c r="Q261" s="3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54"/>
    </row>
    <row r="262">
      <c r="A262" s="53"/>
      <c r="B262" s="34"/>
      <c r="C262" s="34"/>
      <c r="D262" s="34"/>
      <c r="E262" s="34"/>
      <c r="F262" s="34"/>
      <c r="G262" s="34"/>
      <c r="H262" s="34"/>
      <c r="I262" s="34"/>
      <c r="J262" s="34"/>
      <c r="K262" s="34"/>
      <c r="L262" s="34"/>
      <c r="M262" s="34"/>
      <c r="N262" s="34"/>
      <c r="O262" s="34"/>
      <c r="P262" s="34"/>
      <c r="Q262" s="3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54"/>
    </row>
    <row r="263">
      <c r="A263" s="53"/>
      <c r="B263" s="34"/>
      <c r="C263" s="34"/>
      <c r="D263" s="34"/>
      <c r="E263" s="34"/>
      <c r="F263" s="34"/>
      <c r="G263" s="34"/>
      <c r="H263" s="34"/>
      <c r="I263" s="34"/>
      <c r="J263" s="34"/>
      <c r="K263" s="34"/>
      <c r="L263" s="34"/>
      <c r="M263" s="34"/>
      <c r="N263" s="34"/>
      <c r="O263" s="34"/>
      <c r="P263" s="34"/>
      <c r="Q263" s="3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54"/>
    </row>
    <row r="264">
      <c r="A264" s="53"/>
      <c r="B264" s="34"/>
      <c r="C264" s="34"/>
      <c r="D264" s="34"/>
      <c r="E264" s="34"/>
      <c r="F264" s="34"/>
      <c r="G264" s="34"/>
      <c r="H264" s="34"/>
      <c r="I264" s="34"/>
      <c r="J264" s="34"/>
      <c r="K264" s="34"/>
      <c r="L264" s="34"/>
      <c r="M264" s="34"/>
      <c r="N264" s="34"/>
      <c r="O264" s="34"/>
      <c r="P264" s="34"/>
      <c r="Q264" s="3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54"/>
    </row>
    <row r="265">
      <c r="A265" s="53"/>
      <c r="B265" s="34"/>
      <c r="C265" s="34"/>
      <c r="D265" s="34"/>
      <c r="E265" s="34"/>
      <c r="F265" s="34"/>
      <c r="G265" s="34"/>
      <c r="H265" s="34"/>
      <c r="I265" s="34"/>
      <c r="J265" s="34"/>
      <c r="K265" s="34"/>
      <c r="L265" s="34"/>
      <c r="M265" s="34"/>
      <c r="N265" s="34"/>
      <c r="O265" s="34"/>
      <c r="P265" s="34"/>
      <c r="Q265" s="3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54"/>
    </row>
    <row r="266">
      <c r="A266" s="53"/>
      <c r="B266" s="34"/>
      <c r="C266" s="34"/>
      <c r="D266" s="34"/>
      <c r="E266" s="34"/>
      <c r="F266" s="34"/>
      <c r="G266" s="34"/>
      <c r="H266" s="34"/>
      <c r="I266" s="34"/>
      <c r="J266" s="34"/>
      <c r="K266" s="34"/>
      <c r="L266" s="34"/>
      <c r="M266" s="34"/>
      <c r="N266" s="34"/>
      <c r="O266" s="34"/>
      <c r="P266" s="34"/>
      <c r="Q266" s="3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54"/>
    </row>
    <row r="267">
      <c r="A267" s="53"/>
      <c r="B267" s="34"/>
      <c r="C267" s="34"/>
      <c r="D267" s="34"/>
      <c r="E267" s="34"/>
      <c r="F267" s="34"/>
      <c r="G267" s="34"/>
      <c r="H267" s="34"/>
      <c r="I267" s="34"/>
      <c r="J267" s="34"/>
      <c r="K267" s="34"/>
      <c r="L267" s="34"/>
      <c r="M267" s="34"/>
      <c r="N267" s="34"/>
      <c r="O267" s="34"/>
      <c r="P267" s="34"/>
      <c r="Q267" s="3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54"/>
    </row>
    <row r="268">
      <c r="A268" s="53"/>
      <c r="B268" s="34"/>
      <c r="C268" s="34"/>
      <c r="D268" s="34"/>
      <c r="E268" s="34"/>
      <c r="F268" s="34"/>
      <c r="G268" s="34"/>
      <c r="H268" s="34"/>
      <c r="I268" s="34"/>
      <c r="J268" s="34"/>
      <c r="K268" s="34"/>
      <c r="L268" s="34"/>
      <c r="M268" s="34"/>
      <c r="N268" s="34"/>
      <c r="O268" s="34"/>
      <c r="P268" s="34"/>
      <c r="Q268" s="3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54"/>
    </row>
    <row r="269">
      <c r="A269" s="53"/>
      <c r="B269" s="34"/>
      <c r="C269" s="34"/>
      <c r="D269" s="34"/>
      <c r="E269" s="34"/>
      <c r="F269" s="34"/>
      <c r="G269" s="34"/>
      <c r="H269" s="34"/>
      <c r="I269" s="34"/>
      <c r="J269" s="34"/>
      <c r="K269" s="34"/>
      <c r="L269" s="34"/>
      <c r="M269" s="34"/>
      <c r="N269" s="34"/>
      <c r="O269" s="34"/>
      <c r="P269" s="34"/>
      <c r="Q269" s="3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54"/>
    </row>
    <row r="270">
      <c r="A270" s="53"/>
      <c r="B270" s="34"/>
      <c r="C270" s="34"/>
      <c r="D270" s="34"/>
      <c r="E270" s="34"/>
      <c r="F270" s="34"/>
      <c r="G270" s="34"/>
      <c r="H270" s="34"/>
      <c r="I270" s="34"/>
      <c r="J270" s="34"/>
      <c r="K270" s="34"/>
      <c r="L270" s="34"/>
      <c r="M270" s="34"/>
      <c r="N270" s="34"/>
      <c r="O270" s="34"/>
      <c r="P270" s="34"/>
      <c r="Q270" s="3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54"/>
    </row>
    <row r="271">
      <c r="A271" s="53"/>
      <c r="B271" s="34"/>
      <c r="C271" s="34"/>
      <c r="D271" s="34"/>
      <c r="E271" s="34"/>
      <c r="F271" s="34"/>
      <c r="G271" s="34"/>
      <c r="H271" s="34"/>
      <c r="I271" s="34"/>
      <c r="J271" s="34"/>
      <c r="K271" s="34"/>
      <c r="L271" s="34"/>
      <c r="M271" s="34"/>
      <c r="N271" s="34"/>
      <c r="O271" s="34"/>
      <c r="P271" s="34"/>
      <c r="Q271" s="3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54"/>
    </row>
    <row r="272">
      <c r="A272" s="53"/>
      <c r="B272" s="34"/>
      <c r="C272" s="34"/>
      <c r="D272" s="34"/>
      <c r="E272" s="34"/>
      <c r="F272" s="34"/>
      <c r="G272" s="34"/>
      <c r="H272" s="34"/>
      <c r="I272" s="34"/>
      <c r="J272" s="34"/>
      <c r="K272" s="34"/>
      <c r="L272" s="34"/>
      <c r="M272" s="34"/>
      <c r="N272" s="34"/>
      <c r="O272" s="34"/>
      <c r="P272" s="34"/>
      <c r="Q272" s="3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54"/>
    </row>
    <row r="273">
      <c r="A273" s="53"/>
      <c r="B273" s="34"/>
      <c r="C273" s="34"/>
      <c r="D273" s="34"/>
      <c r="E273" s="34"/>
      <c r="F273" s="34"/>
      <c r="G273" s="34"/>
      <c r="H273" s="34"/>
      <c r="I273" s="34"/>
      <c r="J273" s="34"/>
      <c r="K273" s="34"/>
      <c r="L273" s="34"/>
      <c r="M273" s="34"/>
      <c r="N273" s="34"/>
      <c r="O273" s="34"/>
      <c r="P273" s="34"/>
      <c r="Q273" s="3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54"/>
    </row>
    <row r="274">
      <c r="A274" s="53"/>
      <c r="B274" s="34"/>
      <c r="C274" s="34"/>
      <c r="D274" s="34"/>
      <c r="E274" s="34"/>
      <c r="F274" s="34"/>
      <c r="G274" s="34"/>
      <c r="H274" s="34"/>
      <c r="I274" s="34"/>
      <c r="J274" s="34"/>
      <c r="K274" s="34"/>
      <c r="L274" s="34"/>
      <c r="M274" s="34"/>
      <c r="N274" s="34"/>
      <c r="O274" s="34"/>
      <c r="P274" s="34"/>
      <c r="Q274" s="3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54"/>
    </row>
    <row r="275">
      <c r="A275" s="53"/>
      <c r="B275" s="34"/>
      <c r="C275" s="34"/>
      <c r="D275" s="34"/>
      <c r="E275" s="34"/>
      <c r="F275" s="34"/>
      <c r="G275" s="34"/>
      <c r="H275" s="34"/>
      <c r="I275" s="34"/>
      <c r="J275" s="34"/>
      <c r="K275" s="34"/>
      <c r="L275" s="34"/>
      <c r="M275" s="34"/>
      <c r="N275" s="34"/>
      <c r="O275" s="34"/>
      <c r="P275" s="34"/>
      <c r="Q275" s="3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54"/>
    </row>
    <row r="276">
      <c r="A276" s="53"/>
      <c r="B276" s="34"/>
      <c r="C276" s="34"/>
      <c r="D276" s="34"/>
      <c r="E276" s="34"/>
      <c r="F276" s="34"/>
      <c r="G276" s="34"/>
      <c r="H276" s="34"/>
      <c r="I276" s="34"/>
      <c r="J276" s="34"/>
      <c r="K276" s="34"/>
      <c r="L276" s="34"/>
      <c r="M276" s="34"/>
      <c r="N276" s="34"/>
      <c r="O276" s="34"/>
      <c r="P276" s="34"/>
      <c r="Q276" s="3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54"/>
    </row>
    <row r="277">
      <c r="A277" s="53"/>
      <c r="B277" s="34"/>
      <c r="C277" s="34"/>
      <c r="D277" s="34"/>
      <c r="E277" s="34"/>
      <c r="F277" s="34"/>
      <c r="G277" s="34"/>
      <c r="H277" s="34"/>
      <c r="I277" s="34"/>
      <c r="J277" s="34"/>
      <c r="K277" s="34"/>
      <c r="L277" s="34"/>
      <c r="M277" s="34"/>
      <c r="N277" s="34"/>
      <c r="O277" s="34"/>
      <c r="P277" s="34"/>
      <c r="Q277" s="3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54"/>
    </row>
    <row r="278">
      <c r="A278" s="53"/>
      <c r="B278" s="34"/>
      <c r="C278" s="34"/>
      <c r="D278" s="34"/>
      <c r="E278" s="34"/>
      <c r="F278" s="34"/>
      <c r="G278" s="34"/>
      <c r="H278" s="34"/>
      <c r="I278" s="34"/>
      <c r="J278" s="34"/>
      <c r="K278" s="34"/>
      <c r="L278" s="34"/>
      <c r="M278" s="34"/>
      <c r="N278" s="34"/>
      <c r="O278" s="34"/>
      <c r="P278" s="34"/>
      <c r="Q278" s="3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54"/>
    </row>
    <row r="279">
      <c r="A279" s="53"/>
      <c r="B279" s="34"/>
      <c r="C279" s="34"/>
      <c r="D279" s="34"/>
      <c r="E279" s="34"/>
      <c r="F279" s="34"/>
      <c r="G279" s="34"/>
      <c r="H279" s="34"/>
      <c r="I279" s="34"/>
      <c r="J279" s="34"/>
      <c r="K279" s="34"/>
      <c r="L279" s="34"/>
      <c r="M279" s="34"/>
      <c r="N279" s="34"/>
      <c r="O279" s="34"/>
      <c r="P279" s="34"/>
      <c r="Q279" s="3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54"/>
    </row>
    <row r="280">
      <c r="A280" s="53"/>
      <c r="B280" s="34"/>
      <c r="C280" s="34"/>
      <c r="D280" s="34"/>
      <c r="E280" s="34"/>
      <c r="F280" s="34"/>
      <c r="G280" s="34"/>
      <c r="H280" s="34"/>
      <c r="I280" s="34"/>
      <c r="J280" s="34"/>
      <c r="K280" s="34"/>
      <c r="L280" s="34"/>
      <c r="M280" s="34"/>
      <c r="N280" s="34"/>
      <c r="O280" s="34"/>
      <c r="P280" s="34"/>
      <c r="Q280" s="3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54"/>
    </row>
    <row r="281">
      <c r="A281" s="53"/>
      <c r="B281" s="34"/>
      <c r="C281" s="34"/>
      <c r="D281" s="34"/>
      <c r="E281" s="34"/>
      <c r="F281" s="34"/>
      <c r="G281" s="34"/>
      <c r="H281" s="34"/>
      <c r="I281" s="34"/>
      <c r="J281" s="34"/>
      <c r="K281" s="34"/>
      <c r="L281" s="34"/>
      <c r="M281" s="34"/>
      <c r="N281" s="34"/>
      <c r="O281" s="34"/>
      <c r="P281" s="34"/>
      <c r="Q281" s="3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54"/>
    </row>
    <row r="282">
      <c r="A282" s="53"/>
      <c r="B282" s="34"/>
      <c r="C282" s="34"/>
      <c r="D282" s="34"/>
      <c r="E282" s="34"/>
      <c r="F282" s="34"/>
      <c r="G282" s="34"/>
      <c r="H282" s="34"/>
      <c r="I282" s="34"/>
      <c r="J282" s="34"/>
      <c r="K282" s="34"/>
      <c r="L282" s="34"/>
      <c r="M282" s="34"/>
      <c r="N282" s="34"/>
      <c r="O282" s="34"/>
      <c r="P282" s="34"/>
      <c r="Q282" s="3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54"/>
    </row>
    <row r="283">
      <c r="A283" s="53"/>
      <c r="B283" s="34"/>
      <c r="C283" s="34"/>
      <c r="D283" s="34"/>
      <c r="E283" s="34"/>
      <c r="F283" s="34"/>
      <c r="G283" s="34"/>
      <c r="H283" s="34"/>
      <c r="I283" s="34"/>
      <c r="J283" s="34"/>
      <c r="K283" s="34"/>
      <c r="L283" s="34"/>
      <c r="M283" s="34"/>
      <c r="N283" s="34"/>
      <c r="O283" s="34"/>
      <c r="P283" s="34"/>
      <c r="Q283" s="3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54"/>
    </row>
    <row r="284">
      <c r="A284" s="53"/>
      <c r="B284" s="34"/>
      <c r="C284" s="34"/>
      <c r="D284" s="34"/>
      <c r="E284" s="34"/>
      <c r="F284" s="34"/>
      <c r="G284" s="34"/>
      <c r="H284" s="34"/>
      <c r="I284" s="34"/>
      <c r="J284" s="34"/>
      <c r="K284" s="34"/>
      <c r="L284" s="34"/>
      <c r="M284" s="34"/>
      <c r="N284" s="34"/>
      <c r="O284" s="34"/>
      <c r="P284" s="34"/>
      <c r="Q284" s="3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54"/>
    </row>
    <row r="285">
      <c r="A285" s="53"/>
      <c r="B285" s="34"/>
      <c r="C285" s="34"/>
      <c r="D285" s="34"/>
      <c r="E285" s="34"/>
      <c r="F285" s="34"/>
      <c r="G285" s="34"/>
      <c r="H285" s="34"/>
      <c r="I285" s="34"/>
      <c r="J285" s="34"/>
      <c r="K285" s="34"/>
      <c r="L285" s="34"/>
      <c r="M285" s="34"/>
      <c r="N285" s="34"/>
      <c r="O285" s="34"/>
      <c r="P285" s="34"/>
      <c r="Q285" s="3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54"/>
    </row>
    <row r="286">
      <c r="A286" s="53"/>
      <c r="B286" s="34"/>
      <c r="C286" s="34"/>
      <c r="D286" s="34"/>
      <c r="E286" s="34"/>
      <c r="F286" s="34"/>
      <c r="G286" s="34"/>
      <c r="H286" s="34"/>
      <c r="I286" s="34"/>
      <c r="J286" s="34"/>
      <c r="K286" s="34"/>
      <c r="L286" s="34"/>
      <c r="M286" s="34"/>
      <c r="N286" s="34"/>
      <c r="O286" s="34"/>
      <c r="P286" s="34"/>
      <c r="Q286" s="3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54"/>
    </row>
    <row r="287">
      <c r="A287" s="53"/>
      <c r="B287" s="34"/>
      <c r="C287" s="34"/>
      <c r="D287" s="34"/>
      <c r="E287" s="34"/>
      <c r="F287" s="34"/>
      <c r="G287" s="34"/>
      <c r="H287" s="34"/>
      <c r="I287" s="34"/>
      <c r="J287" s="34"/>
      <c r="K287" s="34"/>
      <c r="L287" s="34"/>
      <c r="M287" s="34"/>
      <c r="N287" s="34"/>
      <c r="O287" s="34"/>
      <c r="P287" s="34"/>
      <c r="Q287" s="3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54"/>
    </row>
    <row r="288">
      <c r="A288" s="53"/>
      <c r="B288" s="34"/>
      <c r="C288" s="34"/>
      <c r="D288" s="34"/>
      <c r="E288" s="34"/>
      <c r="F288" s="34"/>
      <c r="G288" s="34"/>
      <c r="H288" s="34"/>
      <c r="I288" s="34"/>
      <c r="J288" s="34"/>
      <c r="K288" s="34"/>
      <c r="L288" s="34"/>
      <c r="M288" s="34"/>
      <c r="N288" s="34"/>
      <c r="O288" s="34"/>
      <c r="P288" s="34"/>
      <c r="Q288" s="3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54"/>
    </row>
    <row r="289">
      <c r="A289" s="53"/>
      <c r="B289" s="34"/>
      <c r="C289" s="34"/>
      <c r="D289" s="34"/>
      <c r="E289" s="34"/>
      <c r="F289" s="34"/>
      <c r="G289" s="34"/>
      <c r="H289" s="34"/>
      <c r="I289" s="34"/>
      <c r="J289" s="34"/>
      <c r="K289" s="34"/>
      <c r="L289" s="34"/>
      <c r="M289" s="34"/>
      <c r="N289" s="34"/>
      <c r="O289" s="34"/>
      <c r="P289" s="34"/>
      <c r="Q289" s="3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54"/>
    </row>
    <row r="290">
      <c r="A290" s="53"/>
      <c r="B290" s="34"/>
      <c r="C290" s="34"/>
      <c r="D290" s="34"/>
      <c r="E290" s="34"/>
      <c r="F290" s="34"/>
      <c r="G290" s="34"/>
      <c r="H290" s="34"/>
      <c r="I290" s="34"/>
      <c r="J290" s="34"/>
      <c r="K290" s="34"/>
      <c r="L290" s="34"/>
      <c r="M290" s="34"/>
      <c r="N290" s="34"/>
      <c r="O290" s="34"/>
      <c r="P290" s="34"/>
      <c r="Q290" s="3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54"/>
    </row>
    <row r="291">
      <c r="A291" s="53"/>
      <c r="B291" s="34"/>
      <c r="C291" s="34"/>
      <c r="D291" s="34"/>
      <c r="E291" s="34"/>
      <c r="F291" s="34"/>
      <c r="G291" s="34"/>
      <c r="H291" s="34"/>
      <c r="I291" s="34"/>
      <c r="J291" s="34"/>
      <c r="K291" s="34"/>
      <c r="L291" s="34"/>
      <c r="M291" s="34"/>
      <c r="N291" s="34"/>
      <c r="O291" s="34"/>
      <c r="P291" s="34"/>
      <c r="Q291" s="3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54"/>
    </row>
    <row r="292">
      <c r="A292" s="53"/>
      <c r="B292" s="34"/>
      <c r="C292" s="34"/>
      <c r="D292" s="34"/>
      <c r="E292" s="34"/>
      <c r="F292" s="34"/>
      <c r="G292" s="34"/>
      <c r="H292" s="34"/>
      <c r="I292" s="34"/>
      <c r="J292" s="34"/>
      <c r="K292" s="34"/>
      <c r="L292" s="34"/>
      <c r="M292" s="34"/>
      <c r="N292" s="34"/>
      <c r="O292" s="34"/>
      <c r="P292" s="34"/>
      <c r="Q292" s="3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54"/>
    </row>
    <row r="293">
      <c r="A293" s="53"/>
      <c r="B293" s="34"/>
      <c r="C293" s="34"/>
      <c r="D293" s="34"/>
      <c r="E293" s="34"/>
      <c r="F293" s="34"/>
      <c r="G293" s="34"/>
      <c r="H293" s="34"/>
      <c r="I293" s="34"/>
      <c r="J293" s="34"/>
      <c r="K293" s="34"/>
      <c r="L293" s="34"/>
      <c r="M293" s="34"/>
      <c r="N293" s="34"/>
      <c r="O293" s="34"/>
      <c r="P293" s="34"/>
      <c r="Q293" s="3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54"/>
    </row>
    <row r="294">
      <c r="A294" s="53"/>
      <c r="B294" s="34"/>
      <c r="C294" s="34"/>
      <c r="D294" s="34"/>
      <c r="E294" s="34"/>
      <c r="F294" s="34"/>
      <c r="G294" s="34"/>
      <c r="H294" s="34"/>
      <c r="I294" s="34"/>
      <c r="J294" s="34"/>
      <c r="K294" s="34"/>
      <c r="L294" s="34"/>
      <c r="M294" s="34"/>
      <c r="N294" s="34"/>
      <c r="O294" s="34"/>
      <c r="P294" s="34"/>
      <c r="Q294" s="3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54"/>
    </row>
    <row r="295">
      <c r="A295" s="53"/>
      <c r="B295" s="34"/>
      <c r="C295" s="34"/>
      <c r="D295" s="34"/>
      <c r="E295" s="34"/>
      <c r="F295" s="34"/>
      <c r="G295" s="34"/>
      <c r="H295" s="34"/>
      <c r="I295" s="34"/>
      <c r="J295" s="34"/>
      <c r="K295" s="34"/>
      <c r="L295" s="34"/>
      <c r="M295" s="34"/>
      <c r="N295" s="34"/>
      <c r="O295" s="34"/>
      <c r="P295" s="34"/>
      <c r="Q295" s="3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54"/>
    </row>
    <row r="296">
      <c r="A296" s="53"/>
      <c r="B296" s="34"/>
      <c r="C296" s="34"/>
      <c r="D296" s="34"/>
      <c r="E296" s="34"/>
      <c r="F296" s="34"/>
      <c r="G296" s="34"/>
      <c r="H296" s="34"/>
      <c r="I296" s="34"/>
      <c r="J296" s="34"/>
      <c r="K296" s="34"/>
      <c r="L296" s="34"/>
      <c r="M296" s="34"/>
      <c r="N296" s="34"/>
      <c r="O296" s="34"/>
      <c r="P296" s="34"/>
      <c r="Q296" s="3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54"/>
    </row>
    <row r="297">
      <c r="A297" s="53"/>
      <c r="B297" s="34"/>
      <c r="C297" s="34"/>
      <c r="D297" s="34"/>
      <c r="E297" s="34"/>
      <c r="F297" s="34"/>
      <c r="G297" s="34"/>
      <c r="H297" s="34"/>
      <c r="I297" s="34"/>
      <c r="J297" s="34"/>
      <c r="K297" s="34"/>
      <c r="L297" s="34"/>
      <c r="M297" s="34"/>
      <c r="N297" s="34"/>
      <c r="O297" s="34"/>
      <c r="P297" s="34"/>
      <c r="Q297" s="3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54"/>
    </row>
    <row r="298">
      <c r="A298" s="53"/>
      <c r="B298" s="34"/>
      <c r="C298" s="34"/>
      <c r="D298" s="34"/>
      <c r="E298" s="34"/>
      <c r="F298" s="34"/>
      <c r="G298" s="34"/>
      <c r="H298" s="34"/>
      <c r="I298" s="34"/>
      <c r="J298" s="34"/>
      <c r="K298" s="34"/>
      <c r="L298" s="34"/>
      <c r="M298" s="34"/>
      <c r="N298" s="34"/>
      <c r="O298" s="34"/>
      <c r="P298" s="34"/>
      <c r="Q298" s="3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54"/>
    </row>
    <row r="299">
      <c r="A299" s="53"/>
      <c r="B299" s="34"/>
      <c r="C299" s="34"/>
      <c r="D299" s="34"/>
      <c r="E299" s="34"/>
      <c r="F299" s="34"/>
      <c r="G299" s="34"/>
      <c r="H299" s="34"/>
      <c r="I299" s="34"/>
      <c r="J299" s="34"/>
      <c r="K299" s="34"/>
      <c r="L299" s="34"/>
      <c r="M299" s="34"/>
      <c r="N299" s="34"/>
      <c r="O299" s="34"/>
      <c r="P299" s="34"/>
      <c r="Q299" s="3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54"/>
    </row>
    <row r="300">
      <c r="A300" s="53"/>
      <c r="B300" s="34"/>
      <c r="C300" s="34"/>
      <c r="D300" s="34"/>
      <c r="E300" s="34"/>
      <c r="F300" s="34"/>
      <c r="G300" s="34"/>
      <c r="H300" s="34"/>
      <c r="I300" s="34"/>
      <c r="J300" s="34"/>
      <c r="K300" s="34"/>
      <c r="L300" s="34"/>
      <c r="M300" s="34"/>
      <c r="N300" s="34"/>
      <c r="O300" s="34"/>
      <c r="P300" s="34"/>
      <c r="Q300" s="3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54"/>
    </row>
    <row r="301">
      <c r="A301" s="53"/>
      <c r="B301" s="34"/>
      <c r="C301" s="34"/>
      <c r="D301" s="34"/>
      <c r="E301" s="34"/>
      <c r="F301" s="34"/>
      <c r="G301" s="34"/>
      <c r="H301" s="34"/>
      <c r="I301" s="34"/>
      <c r="J301" s="34"/>
      <c r="K301" s="34"/>
      <c r="L301" s="34"/>
      <c r="M301" s="34"/>
      <c r="N301" s="34"/>
      <c r="O301" s="34"/>
      <c r="P301" s="34"/>
      <c r="Q301" s="3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54"/>
    </row>
    <row r="302">
      <c r="A302" s="53"/>
      <c r="B302" s="34"/>
      <c r="C302" s="34"/>
      <c r="D302" s="34"/>
      <c r="E302" s="34"/>
      <c r="F302" s="34"/>
      <c r="G302" s="34"/>
      <c r="H302" s="34"/>
      <c r="I302" s="34"/>
      <c r="J302" s="34"/>
      <c r="K302" s="34"/>
      <c r="L302" s="34"/>
      <c r="M302" s="34"/>
      <c r="N302" s="34"/>
      <c r="O302" s="34"/>
      <c r="P302" s="34"/>
      <c r="Q302" s="3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54"/>
    </row>
    <row r="303">
      <c r="A303" s="53"/>
      <c r="B303" s="34"/>
      <c r="C303" s="34"/>
      <c r="D303" s="34"/>
      <c r="E303" s="34"/>
      <c r="F303" s="34"/>
      <c r="G303" s="34"/>
      <c r="H303" s="34"/>
      <c r="I303" s="34"/>
      <c r="J303" s="34"/>
      <c r="K303" s="34"/>
      <c r="L303" s="34"/>
      <c r="M303" s="34"/>
      <c r="N303" s="34"/>
      <c r="O303" s="34"/>
      <c r="P303" s="34"/>
      <c r="Q303" s="3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54"/>
    </row>
    <row r="304">
      <c r="A304" s="53"/>
      <c r="B304" s="34"/>
      <c r="C304" s="34"/>
      <c r="D304" s="34"/>
      <c r="E304" s="34"/>
      <c r="F304" s="34"/>
      <c r="G304" s="34"/>
      <c r="H304" s="34"/>
      <c r="I304" s="34"/>
      <c r="J304" s="34"/>
      <c r="K304" s="34"/>
      <c r="L304" s="34"/>
      <c r="M304" s="34"/>
      <c r="N304" s="34"/>
      <c r="O304" s="34"/>
      <c r="P304" s="34"/>
      <c r="Q304" s="3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54"/>
    </row>
    <row r="305">
      <c r="A305" s="53"/>
      <c r="B305" s="34"/>
      <c r="C305" s="34"/>
      <c r="D305" s="34"/>
      <c r="E305" s="34"/>
      <c r="F305" s="34"/>
      <c r="G305" s="34"/>
      <c r="H305" s="34"/>
      <c r="I305" s="34"/>
      <c r="J305" s="34"/>
      <c r="K305" s="34"/>
      <c r="L305" s="34"/>
      <c r="M305" s="34"/>
      <c r="N305" s="34"/>
      <c r="O305" s="34"/>
      <c r="P305" s="34"/>
      <c r="Q305" s="3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54"/>
    </row>
    <row r="306">
      <c r="A306" s="53"/>
      <c r="B306" s="34"/>
      <c r="C306" s="34"/>
      <c r="D306" s="34"/>
      <c r="E306" s="34"/>
      <c r="F306" s="34"/>
      <c r="G306" s="34"/>
      <c r="H306" s="34"/>
      <c r="I306" s="34"/>
      <c r="J306" s="34"/>
      <c r="K306" s="34"/>
      <c r="L306" s="34"/>
      <c r="M306" s="34"/>
      <c r="N306" s="34"/>
      <c r="O306" s="34"/>
      <c r="P306" s="34"/>
      <c r="Q306" s="3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54"/>
    </row>
    <row r="307">
      <c r="A307" s="53"/>
      <c r="B307" s="34"/>
      <c r="C307" s="34"/>
      <c r="D307" s="34"/>
      <c r="E307" s="34"/>
      <c r="F307" s="34"/>
      <c r="G307" s="34"/>
      <c r="H307" s="34"/>
      <c r="I307" s="34"/>
      <c r="J307" s="34"/>
      <c r="K307" s="34"/>
      <c r="L307" s="34"/>
      <c r="M307" s="34"/>
      <c r="N307" s="34"/>
      <c r="O307" s="34"/>
      <c r="P307" s="34"/>
      <c r="Q307" s="3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54"/>
    </row>
    <row r="308">
      <c r="A308" s="53"/>
      <c r="B308" s="34"/>
      <c r="C308" s="34"/>
      <c r="D308" s="34"/>
      <c r="E308" s="34"/>
      <c r="F308" s="34"/>
      <c r="G308" s="34"/>
      <c r="H308" s="34"/>
      <c r="I308" s="34"/>
      <c r="J308" s="34"/>
      <c r="K308" s="34"/>
      <c r="L308" s="34"/>
      <c r="M308" s="34"/>
      <c r="N308" s="34"/>
      <c r="O308" s="34"/>
      <c r="P308" s="34"/>
      <c r="Q308" s="3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54"/>
    </row>
    <row r="309">
      <c r="A309" s="53"/>
      <c r="B309" s="34"/>
      <c r="C309" s="34"/>
      <c r="D309" s="34"/>
      <c r="E309" s="34"/>
      <c r="F309" s="34"/>
      <c r="G309" s="34"/>
      <c r="H309" s="34"/>
      <c r="I309" s="34"/>
      <c r="J309" s="34"/>
      <c r="K309" s="34"/>
      <c r="L309" s="34"/>
      <c r="M309" s="34"/>
      <c r="N309" s="34"/>
      <c r="O309" s="34"/>
      <c r="P309" s="34"/>
      <c r="Q309" s="3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54"/>
    </row>
    <row r="310">
      <c r="A310" s="53"/>
      <c r="B310" s="34"/>
      <c r="C310" s="34"/>
      <c r="D310" s="34"/>
      <c r="E310" s="34"/>
      <c r="F310" s="34"/>
      <c r="G310" s="34"/>
      <c r="H310" s="34"/>
      <c r="I310" s="34"/>
      <c r="J310" s="34"/>
      <c r="K310" s="34"/>
      <c r="L310" s="34"/>
      <c r="M310" s="34"/>
      <c r="N310" s="34"/>
      <c r="O310" s="34"/>
      <c r="P310" s="34"/>
      <c r="Q310" s="3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54"/>
    </row>
    <row r="311">
      <c r="A311" s="53"/>
      <c r="B311" s="34"/>
      <c r="C311" s="34"/>
      <c r="D311" s="34"/>
      <c r="E311" s="34"/>
      <c r="F311" s="34"/>
      <c r="G311" s="34"/>
      <c r="H311" s="34"/>
      <c r="I311" s="34"/>
      <c r="J311" s="34"/>
      <c r="K311" s="34"/>
      <c r="L311" s="34"/>
      <c r="M311" s="34"/>
      <c r="N311" s="34"/>
      <c r="O311" s="34"/>
      <c r="P311" s="34"/>
      <c r="Q311" s="3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54"/>
    </row>
    <row r="312">
      <c r="A312" s="53"/>
      <c r="B312" s="34"/>
      <c r="C312" s="34"/>
      <c r="D312" s="34"/>
      <c r="E312" s="34"/>
      <c r="F312" s="34"/>
      <c r="G312" s="34"/>
      <c r="H312" s="34"/>
      <c r="I312" s="34"/>
      <c r="J312" s="34"/>
      <c r="K312" s="34"/>
      <c r="L312" s="34"/>
      <c r="M312" s="34"/>
      <c r="N312" s="34"/>
      <c r="O312" s="34"/>
      <c r="P312" s="34"/>
      <c r="Q312" s="3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54"/>
    </row>
    <row r="313">
      <c r="A313" s="53"/>
      <c r="B313" s="34"/>
      <c r="C313" s="34"/>
      <c r="D313" s="34"/>
      <c r="E313" s="34"/>
      <c r="F313" s="34"/>
      <c r="G313" s="34"/>
      <c r="H313" s="34"/>
      <c r="I313" s="34"/>
      <c r="J313" s="34"/>
      <c r="K313" s="34"/>
      <c r="L313" s="34"/>
      <c r="M313" s="34"/>
      <c r="N313" s="34"/>
      <c r="O313" s="34"/>
      <c r="P313" s="34"/>
      <c r="Q313" s="3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54"/>
    </row>
    <row r="314">
      <c r="A314" s="53"/>
      <c r="B314" s="34"/>
      <c r="C314" s="34"/>
      <c r="D314" s="34"/>
      <c r="E314" s="34"/>
      <c r="F314" s="34"/>
      <c r="G314" s="34"/>
      <c r="H314" s="34"/>
      <c r="I314" s="34"/>
      <c r="J314" s="34"/>
      <c r="K314" s="34"/>
      <c r="L314" s="34"/>
      <c r="M314" s="34"/>
      <c r="N314" s="34"/>
      <c r="O314" s="34"/>
      <c r="P314" s="34"/>
      <c r="Q314" s="3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54"/>
    </row>
    <row r="315">
      <c r="A315" s="53"/>
      <c r="B315" s="34"/>
      <c r="C315" s="34"/>
      <c r="D315" s="34"/>
      <c r="E315" s="34"/>
      <c r="F315" s="34"/>
      <c r="G315" s="34"/>
      <c r="H315" s="34"/>
      <c r="I315" s="34"/>
      <c r="J315" s="34"/>
      <c r="K315" s="34"/>
      <c r="L315" s="34"/>
      <c r="M315" s="34"/>
      <c r="N315" s="34"/>
      <c r="O315" s="34"/>
      <c r="P315" s="34"/>
      <c r="Q315" s="3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54"/>
    </row>
    <row r="316">
      <c r="A316" s="53"/>
      <c r="B316" s="34"/>
      <c r="C316" s="34"/>
      <c r="D316" s="34"/>
      <c r="E316" s="34"/>
      <c r="F316" s="34"/>
      <c r="G316" s="34"/>
      <c r="H316" s="34"/>
      <c r="I316" s="34"/>
      <c r="J316" s="34"/>
      <c r="K316" s="34"/>
      <c r="L316" s="34"/>
      <c r="M316" s="34"/>
      <c r="N316" s="34"/>
      <c r="O316" s="34"/>
      <c r="P316" s="34"/>
      <c r="Q316" s="3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54"/>
    </row>
    <row r="317">
      <c r="A317" s="53"/>
      <c r="B317" s="34"/>
      <c r="C317" s="34"/>
      <c r="D317" s="34"/>
      <c r="E317" s="34"/>
      <c r="F317" s="34"/>
      <c r="G317" s="34"/>
      <c r="H317" s="34"/>
      <c r="I317" s="34"/>
      <c r="J317" s="34"/>
      <c r="K317" s="34"/>
      <c r="L317" s="34"/>
      <c r="M317" s="34"/>
      <c r="N317" s="34"/>
      <c r="O317" s="34"/>
      <c r="P317" s="34"/>
      <c r="Q317" s="3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54"/>
    </row>
    <row r="318">
      <c r="A318" s="53"/>
      <c r="B318" s="34"/>
      <c r="C318" s="34"/>
      <c r="D318" s="34"/>
      <c r="E318" s="34"/>
      <c r="F318" s="34"/>
      <c r="G318" s="34"/>
      <c r="H318" s="34"/>
      <c r="I318" s="34"/>
      <c r="J318" s="34"/>
      <c r="K318" s="34"/>
      <c r="L318" s="34"/>
      <c r="M318" s="34"/>
      <c r="N318" s="34"/>
      <c r="O318" s="34"/>
      <c r="P318" s="34"/>
      <c r="Q318" s="3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54"/>
    </row>
    <row r="319">
      <c r="A319" s="53"/>
      <c r="B319" s="34"/>
      <c r="C319" s="34"/>
      <c r="D319" s="34"/>
      <c r="E319" s="34"/>
      <c r="F319" s="34"/>
      <c r="G319" s="34"/>
      <c r="H319" s="34"/>
      <c r="I319" s="34"/>
      <c r="J319" s="34"/>
      <c r="K319" s="34"/>
      <c r="L319" s="34"/>
      <c r="M319" s="34"/>
      <c r="N319" s="34"/>
      <c r="O319" s="34"/>
      <c r="P319" s="34"/>
      <c r="Q319" s="3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54"/>
    </row>
    <row r="320">
      <c r="A320" s="53"/>
      <c r="B320" s="34"/>
      <c r="C320" s="34"/>
      <c r="D320" s="34"/>
      <c r="E320" s="34"/>
      <c r="F320" s="34"/>
      <c r="G320" s="34"/>
      <c r="H320" s="34"/>
      <c r="I320" s="34"/>
      <c r="J320" s="34"/>
      <c r="K320" s="34"/>
      <c r="L320" s="34"/>
      <c r="M320" s="34"/>
      <c r="N320" s="34"/>
      <c r="O320" s="34"/>
      <c r="P320" s="34"/>
      <c r="Q320" s="3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54"/>
    </row>
    <row r="321">
      <c r="A321" s="53"/>
      <c r="B321" s="34"/>
      <c r="C321" s="34"/>
      <c r="D321" s="34"/>
      <c r="E321" s="34"/>
      <c r="F321" s="34"/>
      <c r="G321" s="34"/>
      <c r="H321" s="34"/>
      <c r="I321" s="34"/>
      <c r="J321" s="34"/>
      <c r="K321" s="34"/>
      <c r="L321" s="34"/>
      <c r="M321" s="34"/>
      <c r="N321" s="34"/>
      <c r="O321" s="34"/>
      <c r="P321" s="34"/>
      <c r="Q321" s="3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54"/>
    </row>
    <row r="322">
      <c r="A322" s="53"/>
      <c r="B322" s="34"/>
      <c r="C322" s="34"/>
      <c r="D322" s="34"/>
      <c r="E322" s="34"/>
      <c r="F322" s="34"/>
      <c r="G322" s="34"/>
      <c r="H322" s="34"/>
      <c r="I322" s="34"/>
      <c r="J322" s="34"/>
      <c r="K322" s="34"/>
      <c r="L322" s="34"/>
      <c r="M322" s="34"/>
      <c r="N322" s="34"/>
      <c r="O322" s="34"/>
      <c r="P322" s="34"/>
      <c r="Q322" s="3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54"/>
    </row>
    <row r="323">
      <c r="A323" s="53"/>
      <c r="B323" s="34"/>
      <c r="C323" s="34"/>
      <c r="D323" s="34"/>
      <c r="E323" s="34"/>
      <c r="F323" s="34"/>
      <c r="G323" s="34"/>
      <c r="H323" s="34"/>
      <c r="I323" s="34"/>
      <c r="J323" s="34"/>
      <c r="K323" s="34"/>
      <c r="L323" s="34"/>
      <c r="M323" s="34"/>
      <c r="N323" s="34"/>
      <c r="O323" s="34"/>
      <c r="P323" s="34"/>
      <c r="Q323" s="3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54"/>
    </row>
    <row r="324">
      <c r="A324" s="53"/>
      <c r="B324" s="34"/>
      <c r="C324" s="34"/>
      <c r="D324" s="34"/>
      <c r="E324" s="34"/>
      <c r="F324" s="34"/>
      <c r="G324" s="34"/>
      <c r="H324" s="34"/>
      <c r="I324" s="34"/>
      <c r="J324" s="34"/>
      <c r="K324" s="34"/>
      <c r="L324" s="34"/>
      <c r="M324" s="34"/>
      <c r="N324" s="34"/>
      <c r="O324" s="34"/>
      <c r="P324" s="34"/>
      <c r="Q324" s="3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54"/>
    </row>
    <row r="325">
      <c r="A325" s="53"/>
      <c r="B325" s="34"/>
      <c r="C325" s="34"/>
      <c r="D325" s="34"/>
      <c r="E325" s="34"/>
      <c r="F325" s="34"/>
      <c r="G325" s="34"/>
      <c r="H325" s="34"/>
      <c r="I325" s="34"/>
      <c r="J325" s="34"/>
      <c r="K325" s="34"/>
      <c r="L325" s="34"/>
      <c r="M325" s="34"/>
      <c r="N325" s="34"/>
      <c r="O325" s="34"/>
      <c r="P325" s="34"/>
      <c r="Q325" s="3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54"/>
    </row>
    <row r="326">
      <c r="A326" s="53"/>
      <c r="B326" s="34"/>
      <c r="C326" s="34"/>
      <c r="D326" s="34"/>
      <c r="E326" s="34"/>
      <c r="F326" s="34"/>
      <c r="G326" s="34"/>
      <c r="H326" s="34"/>
      <c r="I326" s="34"/>
      <c r="J326" s="34"/>
      <c r="K326" s="34"/>
      <c r="L326" s="34"/>
      <c r="M326" s="34"/>
      <c r="N326" s="34"/>
      <c r="O326" s="34"/>
      <c r="P326" s="34"/>
      <c r="Q326" s="3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54"/>
    </row>
    <row r="327">
      <c r="A327" s="53"/>
      <c r="B327" s="34"/>
      <c r="C327" s="34"/>
      <c r="D327" s="34"/>
      <c r="E327" s="34"/>
      <c r="F327" s="34"/>
      <c r="G327" s="34"/>
      <c r="H327" s="34"/>
      <c r="I327" s="34"/>
      <c r="J327" s="34"/>
      <c r="K327" s="34"/>
      <c r="L327" s="34"/>
      <c r="M327" s="34"/>
      <c r="N327" s="34"/>
      <c r="O327" s="34"/>
      <c r="P327" s="34"/>
      <c r="Q327" s="3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54"/>
    </row>
    <row r="328">
      <c r="A328" s="53"/>
      <c r="B328" s="34"/>
      <c r="C328" s="34"/>
      <c r="D328" s="34"/>
      <c r="E328" s="34"/>
      <c r="F328" s="34"/>
      <c r="G328" s="34"/>
      <c r="H328" s="34"/>
      <c r="I328" s="34"/>
      <c r="J328" s="34"/>
      <c r="K328" s="34"/>
      <c r="L328" s="34"/>
      <c r="M328" s="34"/>
      <c r="N328" s="34"/>
      <c r="O328" s="34"/>
      <c r="P328" s="34"/>
      <c r="Q328" s="3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54"/>
    </row>
    <row r="329">
      <c r="A329" s="53"/>
      <c r="B329" s="34"/>
      <c r="C329" s="34"/>
      <c r="D329" s="34"/>
      <c r="E329" s="34"/>
      <c r="F329" s="34"/>
      <c r="G329" s="34"/>
      <c r="H329" s="34"/>
      <c r="I329" s="34"/>
      <c r="J329" s="34"/>
      <c r="K329" s="34"/>
      <c r="L329" s="34"/>
      <c r="M329" s="34"/>
      <c r="N329" s="34"/>
      <c r="O329" s="34"/>
      <c r="P329" s="34"/>
      <c r="Q329" s="3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54"/>
    </row>
    <row r="330">
      <c r="A330" s="53"/>
      <c r="B330" s="34"/>
      <c r="C330" s="34"/>
      <c r="D330" s="34"/>
      <c r="E330" s="34"/>
      <c r="F330" s="34"/>
      <c r="G330" s="34"/>
      <c r="H330" s="34"/>
      <c r="I330" s="34"/>
      <c r="J330" s="34"/>
      <c r="K330" s="34"/>
      <c r="L330" s="34"/>
      <c r="M330" s="34"/>
      <c r="N330" s="34"/>
      <c r="O330" s="34"/>
      <c r="P330" s="34"/>
      <c r="Q330" s="3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54"/>
    </row>
    <row r="331">
      <c r="A331" s="53"/>
      <c r="B331" s="34"/>
      <c r="C331" s="34"/>
      <c r="D331" s="34"/>
      <c r="E331" s="34"/>
      <c r="F331" s="34"/>
      <c r="G331" s="34"/>
      <c r="H331" s="34"/>
      <c r="I331" s="34"/>
      <c r="J331" s="34"/>
      <c r="K331" s="34"/>
      <c r="L331" s="34"/>
      <c r="M331" s="34"/>
      <c r="N331" s="34"/>
      <c r="O331" s="34"/>
      <c r="P331" s="34"/>
      <c r="Q331" s="3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54"/>
    </row>
    <row r="332">
      <c r="A332" s="53"/>
      <c r="B332" s="34"/>
      <c r="C332" s="34"/>
      <c r="D332" s="34"/>
      <c r="E332" s="34"/>
      <c r="F332" s="34"/>
      <c r="G332" s="34"/>
      <c r="H332" s="34"/>
      <c r="I332" s="34"/>
      <c r="J332" s="34"/>
      <c r="K332" s="34"/>
      <c r="L332" s="34"/>
      <c r="M332" s="34"/>
      <c r="N332" s="34"/>
      <c r="O332" s="34"/>
      <c r="P332" s="34"/>
      <c r="Q332" s="3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54"/>
    </row>
    <row r="333">
      <c r="A333" s="53"/>
      <c r="B333" s="34"/>
      <c r="C333" s="34"/>
      <c r="D333" s="34"/>
      <c r="E333" s="34"/>
      <c r="F333" s="34"/>
      <c r="G333" s="34"/>
      <c r="H333" s="34"/>
      <c r="I333" s="34"/>
      <c r="J333" s="34"/>
      <c r="K333" s="34"/>
      <c r="L333" s="34"/>
      <c r="M333" s="34"/>
      <c r="N333" s="34"/>
      <c r="O333" s="34"/>
      <c r="P333" s="34"/>
      <c r="Q333" s="3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54"/>
    </row>
    <row r="334">
      <c r="A334" s="53"/>
      <c r="B334" s="34"/>
      <c r="C334" s="34"/>
      <c r="D334" s="34"/>
      <c r="E334" s="34"/>
      <c r="F334" s="34"/>
      <c r="G334" s="34"/>
      <c r="H334" s="34"/>
      <c r="I334" s="34"/>
      <c r="J334" s="34"/>
      <c r="K334" s="34"/>
      <c r="L334" s="34"/>
      <c r="M334" s="34"/>
      <c r="N334" s="34"/>
      <c r="O334" s="34"/>
      <c r="P334" s="34"/>
      <c r="Q334" s="3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54"/>
    </row>
    <row r="335">
      <c r="A335" s="53"/>
      <c r="B335" s="34"/>
      <c r="C335" s="34"/>
      <c r="D335" s="34"/>
      <c r="E335" s="34"/>
      <c r="F335" s="34"/>
      <c r="G335" s="34"/>
      <c r="H335" s="34"/>
      <c r="I335" s="34"/>
      <c r="J335" s="34"/>
      <c r="K335" s="34"/>
      <c r="L335" s="34"/>
      <c r="M335" s="34"/>
      <c r="N335" s="34"/>
      <c r="O335" s="34"/>
      <c r="P335" s="34"/>
      <c r="Q335" s="3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54"/>
    </row>
    <row r="336">
      <c r="A336" s="53"/>
      <c r="B336" s="34"/>
      <c r="C336" s="34"/>
      <c r="D336" s="34"/>
      <c r="E336" s="34"/>
      <c r="F336" s="34"/>
      <c r="G336" s="34"/>
      <c r="H336" s="34"/>
      <c r="I336" s="34"/>
      <c r="J336" s="34"/>
      <c r="K336" s="34"/>
      <c r="L336" s="34"/>
      <c r="M336" s="34"/>
      <c r="N336" s="34"/>
      <c r="O336" s="34"/>
      <c r="P336" s="34"/>
      <c r="Q336" s="3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54"/>
    </row>
    <row r="337">
      <c r="A337" s="53"/>
      <c r="B337" s="34"/>
      <c r="C337" s="34"/>
      <c r="D337" s="34"/>
      <c r="E337" s="34"/>
      <c r="F337" s="34"/>
      <c r="G337" s="34"/>
      <c r="H337" s="34"/>
      <c r="I337" s="34"/>
      <c r="J337" s="34"/>
      <c r="K337" s="34"/>
      <c r="L337" s="34"/>
      <c r="M337" s="34"/>
      <c r="N337" s="34"/>
      <c r="O337" s="34"/>
      <c r="P337" s="34"/>
      <c r="Q337" s="3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54"/>
    </row>
    <row r="338">
      <c r="A338" s="53"/>
      <c r="B338" s="34"/>
      <c r="C338" s="34"/>
      <c r="D338" s="34"/>
      <c r="E338" s="34"/>
      <c r="F338" s="34"/>
      <c r="G338" s="34"/>
      <c r="H338" s="34"/>
      <c r="I338" s="34"/>
      <c r="J338" s="34"/>
      <c r="K338" s="34"/>
      <c r="L338" s="34"/>
      <c r="M338" s="34"/>
      <c r="N338" s="34"/>
      <c r="O338" s="34"/>
      <c r="P338" s="34"/>
      <c r="Q338" s="3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54"/>
    </row>
    <row r="339">
      <c r="A339" s="53"/>
      <c r="B339" s="34"/>
      <c r="C339" s="34"/>
      <c r="D339" s="34"/>
      <c r="E339" s="34"/>
      <c r="F339" s="34"/>
      <c r="G339" s="34"/>
      <c r="H339" s="34"/>
      <c r="I339" s="34"/>
      <c r="J339" s="34"/>
      <c r="K339" s="34"/>
      <c r="L339" s="34"/>
      <c r="M339" s="34"/>
      <c r="N339" s="34"/>
      <c r="O339" s="34"/>
      <c r="P339" s="34"/>
      <c r="Q339" s="3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54"/>
    </row>
    <row r="340">
      <c r="A340" s="53"/>
      <c r="B340" s="34"/>
      <c r="C340" s="34"/>
      <c r="D340" s="34"/>
      <c r="E340" s="34"/>
      <c r="F340" s="34"/>
      <c r="G340" s="34"/>
      <c r="H340" s="34"/>
      <c r="I340" s="34"/>
      <c r="J340" s="34"/>
      <c r="K340" s="34"/>
      <c r="L340" s="34"/>
      <c r="M340" s="34"/>
      <c r="N340" s="34"/>
      <c r="O340" s="34"/>
      <c r="P340" s="34"/>
      <c r="Q340" s="3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54"/>
    </row>
    <row r="341">
      <c r="A341" s="53"/>
      <c r="B341" s="34"/>
      <c r="C341" s="34"/>
      <c r="D341" s="34"/>
      <c r="E341" s="34"/>
      <c r="F341" s="34"/>
      <c r="G341" s="34"/>
      <c r="H341" s="34"/>
      <c r="I341" s="34"/>
      <c r="J341" s="34"/>
      <c r="K341" s="34"/>
      <c r="L341" s="34"/>
      <c r="M341" s="34"/>
      <c r="N341" s="34"/>
      <c r="O341" s="34"/>
      <c r="P341" s="34"/>
      <c r="Q341" s="3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54"/>
    </row>
    <row r="342">
      <c r="A342" s="53"/>
      <c r="B342" s="34"/>
      <c r="C342" s="34"/>
      <c r="D342" s="34"/>
      <c r="E342" s="34"/>
      <c r="F342" s="34"/>
      <c r="G342" s="34"/>
      <c r="H342" s="34"/>
      <c r="I342" s="34"/>
      <c r="J342" s="34"/>
      <c r="K342" s="34"/>
      <c r="L342" s="34"/>
      <c r="M342" s="34"/>
      <c r="N342" s="34"/>
      <c r="O342" s="34"/>
      <c r="P342" s="34"/>
      <c r="Q342" s="3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54"/>
    </row>
    <row r="343">
      <c r="A343" s="53"/>
      <c r="B343" s="34"/>
      <c r="C343" s="34"/>
      <c r="D343" s="34"/>
      <c r="E343" s="34"/>
      <c r="F343" s="34"/>
      <c r="G343" s="34"/>
      <c r="H343" s="34"/>
      <c r="I343" s="34"/>
      <c r="J343" s="34"/>
      <c r="K343" s="34"/>
      <c r="L343" s="34"/>
      <c r="M343" s="34"/>
      <c r="N343" s="34"/>
      <c r="O343" s="34"/>
      <c r="P343" s="34"/>
      <c r="Q343" s="3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54"/>
    </row>
    <row r="344">
      <c r="A344" s="53"/>
      <c r="B344" s="34"/>
      <c r="C344" s="34"/>
      <c r="D344" s="34"/>
      <c r="E344" s="34"/>
      <c r="F344" s="34"/>
      <c r="G344" s="34"/>
      <c r="H344" s="34"/>
      <c r="I344" s="34"/>
      <c r="J344" s="34"/>
      <c r="K344" s="34"/>
      <c r="L344" s="34"/>
      <c r="M344" s="34"/>
      <c r="N344" s="34"/>
      <c r="O344" s="34"/>
      <c r="P344" s="34"/>
      <c r="Q344" s="3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54"/>
    </row>
    <row r="345">
      <c r="A345" s="53"/>
      <c r="B345" s="34"/>
      <c r="C345" s="34"/>
      <c r="D345" s="34"/>
      <c r="E345" s="34"/>
      <c r="F345" s="34"/>
      <c r="G345" s="34"/>
      <c r="H345" s="34"/>
      <c r="I345" s="34"/>
      <c r="J345" s="34"/>
      <c r="K345" s="34"/>
      <c r="L345" s="34"/>
      <c r="M345" s="34"/>
      <c r="N345" s="34"/>
      <c r="O345" s="34"/>
      <c r="P345" s="34"/>
      <c r="Q345" s="3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54"/>
    </row>
    <row r="346">
      <c r="A346" s="53"/>
      <c r="B346" s="34"/>
      <c r="C346" s="34"/>
      <c r="D346" s="34"/>
      <c r="E346" s="34"/>
      <c r="F346" s="34"/>
      <c r="G346" s="34"/>
      <c r="H346" s="34"/>
      <c r="I346" s="34"/>
      <c r="J346" s="34"/>
      <c r="K346" s="34"/>
      <c r="L346" s="34"/>
      <c r="M346" s="34"/>
      <c r="N346" s="34"/>
      <c r="O346" s="34"/>
      <c r="P346" s="34"/>
      <c r="Q346" s="3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54"/>
    </row>
    <row r="347">
      <c r="A347" s="53"/>
      <c r="B347" s="34"/>
      <c r="C347" s="34"/>
      <c r="D347" s="34"/>
      <c r="E347" s="34"/>
      <c r="F347" s="34"/>
      <c r="G347" s="34"/>
      <c r="H347" s="34"/>
      <c r="I347" s="34"/>
      <c r="J347" s="34"/>
      <c r="K347" s="34"/>
      <c r="L347" s="34"/>
      <c r="M347" s="34"/>
      <c r="N347" s="34"/>
      <c r="O347" s="34"/>
      <c r="P347" s="34"/>
      <c r="Q347" s="3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54"/>
    </row>
    <row r="348">
      <c r="A348" s="53"/>
      <c r="B348" s="34"/>
      <c r="C348" s="34"/>
      <c r="D348" s="34"/>
      <c r="E348" s="34"/>
      <c r="F348" s="34"/>
      <c r="G348" s="34"/>
      <c r="H348" s="34"/>
      <c r="I348" s="34"/>
      <c r="J348" s="34"/>
      <c r="K348" s="34"/>
      <c r="L348" s="34"/>
      <c r="M348" s="34"/>
      <c r="N348" s="34"/>
      <c r="O348" s="34"/>
      <c r="P348" s="34"/>
      <c r="Q348" s="3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54"/>
    </row>
    <row r="349">
      <c r="A349" s="53"/>
      <c r="B349" s="34"/>
      <c r="C349" s="34"/>
      <c r="D349" s="34"/>
      <c r="E349" s="34"/>
      <c r="F349" s="34"/>
      <c r="G349" s="34"/>
      <c r="H349" s="34"/>
      <c r="I349" s="34"/>
      <c r="J349" s="34"/>
      <c r="K349" s="34"/>
      <c r="L349" s="34"/>
      <c r="M349" s="34"/>
      <c r="N349" s="34"/>
      <c r="O349" s="34"/>
      <c r="P349" s="34"/>
      <c r="Q349" s="3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54"/>
    </row>
    <row r="350">
      <c r="A350" s="53"/>
      <c r="B350" s="34"/>
      <c r="C350" s="34"/>
      <c r="D350" s="34"/>
      <c r="E350" s="34"/>
      <c r="F350" s="34"/>
      <c r="G350" s="34"/>
      <c r="H350" s="34"/>
      <c r="I350" s="34"/>
      <c r="J350" s="34"/>
      <c r="K350" s="34"/>
      <c r="L350" s="34"/>
      <c r="M350" s="34"/>
      <c r="N350" s="34"/>
      <c r="O350" s="34"/>
      <c r="P350" s="34"/>
      <c r="Q350" s="3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54"/>
    </row>
    <row r="351">
      <c r="A351" s="53"/>
      <c r="B351" s="34"/>
      <c r="C351" s="34"/>
      <c r="D351" s="34"/>
      <c r="E351" s="34"/>
      <c r="F351" s="34"/>
      <c r="G351" s="34"/>
      <c r="H351" s="34"/>
      <c r="I351" s="34"/>
      <c r="J351" s="34"/>
      <c r="K351" s="34"/>
      <c r="L351" s="34"/>
      <c r="M351" s="34"/>
      <c r="N351" s="34"/>
      <c r="O351" s="34"/>
      <c r="P351" s="34"/>
      <c r="Q351" s="3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54"/>
    </row>
    <row r="352">
      <c r="A352" s="53"/>
      <c r="B352" s="34"/>
      <c r="C352" s="34"/>
      <c r="D352" s="34"/>
      <c r="E352" s="34"/>
      <c r="F352" s="34"/>
      <c r="G352" s="34"/>
      <c r="H352" s="34"/>
      <c r="I352" s="34"/>
      <c r="J352" s="34"/>
      <c r="K352" s="34"/>
      <c r="L352" s="34"/>
      <c r="M352" s="34"/>
      <c r="N352" s="34"/>
      <c r="O352" s="34"/>
      <c r="P352" s="34"/>
      <c r="Q352" s="3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54"/>
    </row>
    <row r="353">
      <c r="A353" s="53"/>
      <c r="B353" s="34"/>
      <c r="C353" s="34"/>
      <c r="D353" s="34"/>
      <c r="E353" s="34"/>
      <c r="F353" s="34"/>
      <c r="G353" s="34"/>
      <c r="H353" s="34"/>
      <c r="I353" s="34"/>
      <c r="J353" s="34"/>
      <c r="K353" s="34"/>
      <c r="L353" s="34"/>
      <c r="M353" s="34"/>
      <c r="N353" s="34"/>
      <c r="O353" s="34"/>
      <c r="P353" s="34"/>
      <c r="Q353" s="3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54"/>
    </row>
    <row r="354">
      <c r="A354" s="53"/>
      <c r="B354" s="34"/>
      <c r="C354" s="34"/>
      <c r="D354" s="34"/>
      <c r="E354" s="34"/>
      <c r="F354" s="34"/>
      <c r="G354" s="34"/>
      <c r="H354" s="34"/>
      <c r="I354" s="34"/>
      <c r="J354" s="34"/>
      <c r="K354" s="34"/>
      <c r="L354" s="34"/>
      <c r="M354" s="34"/>
      <c r="N354" s="34"/>
      <c r="O354" s="34"/>
      <c r="P354" s="34"/>
      <c r="Q354" s="3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54"/>
    </row>
    <row r="355">
      <c r="A355" s="53"/>
      <c r="B355" s="34"/>
      <c r="C355" s="34"/>
      <c r="D355" s="34"/>
      <c r="E355" s="34"/>
      <c r="F355" s="34"/>
      <c r="G355" s="34"/>
      <c r="H355" s="34"/>
      <c r="I355" s="34"/>
      <c r="J355" s="34"/>
      <c r="K355" s="34"/>
      <c r="L355" s="34"/>
      <c r="M355" s="34"/>
      <c r="N355" s="34"/>
      <c r="O355" s="34"/>
      <c r="P355" s="34"/>
      <c r="Q355" s="3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54"/>
    </row>
    <row r="356">
      <c r="A356" s="53"/>
      <c r="B356" s="34"/>
      <c r="C356" s="34"/>
      <c r="D356" s="34"/>
      <c r="E356" s="34"/>
      <c r="F356" s="34"/>
      <c r="G356" s="34"/>
      <c r="H356" s="34"/>
      <c r="I356" s="34"/>
      <c r="J356" s="34"/>
      <c r="K356" s="34"/>
      <c r="L356" s="34"/>
      <c r="M356" s="34"/>
      <c r="N356" s="34"/>
      <c r="O356" s="34"/>
      <c r="P356" s="34"/>
      <c r="Q356" s="3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54"/>
    </row>
    <row r="357">
      <c r="A357" s="53"/>
      <c r="B357" s="34"/>
      <c r="C357" s="34"/>
      <c r="D357" s="34"/>
      <c r="E357" s="34"/>
      <c r="F357" s="34"/>
      <c r="G357" s="34"/>
      <c r="H357" s="34"/>
      <c r="I357" s="34"/>
      <c r="J357" s="34"/>
      <c r="K357" s="34"/>
      <c r="L357" s="34"/>
      <c r="M357" s="34"/>
      <c r="N357" s="34"/>
      <c r="O357" s="34"/>
      <c r="P357" s="34"/>
      <c r="Q357" s="3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54"/>
    </row>
    <row r="358">
      <c r="A358" s="53"/>
      <c r="B358" s="34"/>
      <c r="C358" s="34"/>
      <c r="D358" s="34"/>
      <c r="E358" s="34"/>
      <c r="F358" s="34"/>
      <c r="G358" s="34"/>
      <c r="H358" s="34"/>
      <c r="I358" s="34"/>
      <c r="J358" s="34"/>
      <c r="K358" s="34"/>
      <c r="L358" s="34"/>
      <c r="M358" s="34"/>
      <c r="N358" s="34"/>
      <c r="O358" s="34"/>
      <c r="P358" s="34"/>
      <c r="Q358" s="3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54"/>
    </row>
    <row r="359">
      <c r="A359" s="53"/>
      <c r="B359" s="34"/>
      <c r="C359" s="34"/>
      <c r="D359" s="34"/>
      <c r="E359" s="34"/>
      <c r="F359" s="34"/>
      <c r="G359" s="34"/>
      <c r="H359" s="34"/>
      <c r="I359" s="34"/>
      <c r="J359" s="34"/>
      <c r="K359" s="34"/>
      <c r="L359" s="34"/>
      <c r="M359" s="34"/>
      <c r="N359" s="34"/>
      <c r="O359" s="34"/>
      <c r="P359" s="34"/>
      <c r="Q359" s="3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54"/>
    </row>
    <row r="360">
      <c r="A360" s="53"/>
      <c r="B360" s="34"/>
      <c r="C360" s="34"/>
      <c r="D360" s="34"/>
      <c r="E360" s="34"/>
      <c r="F360" s="34"/>
      <c r="G360" s="34"/>
      <c r="H360" s="34"/>
      <c r="I360" s="34"/>
      <c r="J360" s="34"/>
      <c r="K360" s="34"/>
      <c r="L360" s="34"/>
      <c r="M360" s="34"/>
      <c r="N360" s="34"/>
      <c r="O360" s="34"/>
      <c r="P360" s="34"/>
      <c r="Q360" s="3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54"/>
    </row>
    <row r="361">
      <c r="A361" s="53"/>
      <c r="B361" s="34"/>
      <c r="C361" s="34"/>
      <c r="D361" s="34"/>
      <c r="E361" s="34"/>
      <c r="F361" s="34"/>
      <c r="G361" s="34"/>
      <c r="H361" s="34"/>
      <c r="I361" s="34"/>
      <c r="J361" s="34"/>
      <c r="K361" s="34"/>
      <c r="L361" s="34"/>
      <c r="M361" s="34"/>
      <c r="N361" s="34"/>
      <c r="O361" s="34"/>
      <c r="P361" s="34"/>
      <c r="Q361" s="3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54"/>
    </row>
    <row r="362">
      <c r="A362" s="53"/>
      <c r="B362" s="34"/>
      <c r="C362" s="34"/>
      <c r="D362" s="34"/>
      <c r="E362" s="34"/>
      <c r="F362" s="34"/>
      <c r="G362" s="34"/>
      <c r="H362" s="34"/>
      <c r="I362" s="34"/>
      <c r="J362" s="34"/>
      <c r="K362" s="34"/>
      <c r="L362" s="34"/>
      <c r="M362" s="34"/>
      <c r="N362" s="34"/>
      <c r="O362" s="34"/>
      <c r="P362" s="34"/>
      <c r="Q362" s="3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54"/>
    </row>
    <row r="363">
      <c r="A363" s="53"/>
      <c r="B363" s="34"/>
      <c r="C363" s="34"/>
      <c r="D363" s="34"/>
      <c r="E363" s="34"/>
      <c r="F363" s="34"/>
      <c r="G363" s="34"/>
      <c r="H363" s="34"/>
      <c r="I363" s="34"/>
      <c r="J363" s="34"/>
      <c r="K363" s="34"/>
      <c r="L363" s="34"/>
      <c r="M363" s="34"/>
      <c r="N363" s="34"/>
      <c r="O363" s="34"/>
      <c r="P363" s="34"/>
      <c r="Q363" s="3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54"/>
    </row>
    <row r="364">
      <c r="A364" s="53"/>
      <c r="B364" s="34"/>
      <c r="C364" s="34"/>
      <c r="D364" s="34"/>
      <c r="E364" s="34"/>
      <c r="F364" s="34"/>
      <c r="G364" s="34"/>
      <c r="H364" s="34"/>
      <c r="I364" s="34"/>
      <c r="J364" s="34"/>
      <c r="K364" s="34"/>
      <c r="L364" s="34"/>
      <c r="M364" s="34"/>
      <c r="N364" s="34"/>
      <c r="O364" s="34"/>
      <c r="P364" s="34"/>
      <c r="Q364" s="3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54"/>
    </row>
    <row r="365">
      <c r="A365" s="53"/>
      <c r="B365" s="34"/>
      <c r="C365" s="34"/>
      <c r="D365" s="34"/>
      <c r="E365" s="34"/>
      <c r="F365" s="34"/>
      <c r="G365" s="34"/>
      <c r="H365" s="34"/>
      <c r="I365" s="34"/>
      <c r="J365" s="34"/>
      <c r="K365" s="34"/>
      <c r="L365" s="34"/>
      <c r="M365" s="34"/>
      <c r="N365" s="34"/>
      <c r="O365" s="34"/>
      <c r="P365" s="34"/>
      <c r="Q365" s="3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54"/>
    </row>
    <row r="366">
      <c r="A366" s="53"/>
      <c r="B366" s="34"/>
      <c r="C366" s="34"/>
      <c r="D366" s="34"/>
      <c r="E366" s="34"/>
      <c r="F366" s="34"/>
      <c r="G366" s="34"/>
      <c r="H366" s="34"/>
      <c r="I366" s="34"/>
      <c r="J366" s="34"/>
      <c r="K366" s="34"/>
      <c r="L366" s="34"/>
      <c r="M366" s="34"/>
      <c r="N366" s="34"/>
      <c r="O366" s="34"/>
      <c r="P366" s="34"/>
      <c r="Q366" s="3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54"/>
    </row>
    <row r="367">
      <c r="A367" s="53"/>
      <c r="B367" s="34"/>
      <c r="C367" s="34"/>
      <c r="D367" s="34"/>
      <c r="E367" s="34"/>
      <c r="F367" s="34"/>
      <c r="G367" s="34"/>
      <c r="H367" s="34"/>
      <c r="I367" s="34"/>
      <c r="J367" s="34"/>
      <c r="K367" s="34"/>
      <c r="L367" s="34"/>
      <c r="M367" s="34"/>
      <c r="N367" s="34"/>
      <c r="O367" s="34"/>
      <c r="P367" s="34"/>
      <c r="Q367" s="3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54"/>
    </row>
    <row r="368">
      <c r="A368" s="53"/>
      <c r="B368" s="34"/>
      <c r="C368" s="34"/>
      <c r="D368" s="34"/>
      <c r="E368" s="34"/>
      <c r="F368" s="34"/>
      <c r="G368" s="34"/>
      <c r="H368" s="34"/>
      <c r="I368" s="34"/>
      <c r="J368" s="34"/>
      <c r="K368" s="34"/>
      <c r="L368" s="34"/>
      <c r="M368" s="34"/>
      <c r="N368" s="34"/>
      <c r="O368" s="34"/>
      <c r="P368" s="34"/>
      <c r="Q368" s="3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54"/>
    </row>
    <row r="369">
      <c r="A369" s="53"/>
      <c r="B369" s="34"/>
      <c r="C369" s="34"/>
      <c r="D369" s="34"/>
      <c r="E369" s="34"/>
      <c r="F369" s="34"/>
      <c r="G369" s="34"/>
      <c r="H369" s="34"/>
      <c r="I369" s="34"/>
      <c r="J369" s="34"/>
      <c r="K369" s="34"/>
      <c r="L369" s="34"/>
      <c r="M369" s="34"/>
      <c r="N369" s="34"/>
      <c r="O369" s="34"/>
      <c r="P369" s="34"/>
      <c r="Q369" s="3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54"/>
    </row>
    <row r="370">
      <c r="A370" s="53"/>
      <c r="B370" s="34"/>
      <c r="C370" s="34"/>
      <c r="D370" s="34"/>
      <c r="E370" s="34"/>
      <c r="F370" s="34"/>
      <c r="G370" s="34"/>
      <c r="H370" s="34"/>
      <c r="I370" s="34"/>
      <c r="J370" s="34"/>
      <c r="K370" s="34"/>
      <c r="L370" s="34"/>
      <c r="M370" s="34"/>
      <c r="N370" s="34"/>
      <c r="O370" s="34"/>
      <c r="P370" s="34"/>
      <c r="Q370" s="3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54"/>
    </row>
    <row r="371">
      <c r="A371" s="53"/>
      <c r="B371" s="34"/>
      <c r="C371" s="34"/>
      <c r="D371" s="34"/>
      <c r="E371" s="34"/>
      <c r="F371" s="34"/>
      <c r="G371" s="34"/>
      <c r="H371" s="34"/>
      <c r="I371" s="34"/>
      <c r="J371" s="34"/>
      <c r="K371" s="34"/>
      <c r="L371" s="34"/>
      <c r="M371" s="34"/>
      <c r="N371" s="34"/>
      <c r="O371" s="34"/>
      <c r="P371" s="34"/>
      <c r="Q371" s="3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54"/>
    </row>
    <row r="372">
      <c r="A372" s="53"/>
      <c r="B372" s="34"/>
      <c r="C372" s="34"/>
      <c r="D372" s="34"/>
      <c r="E372" s="34"/>
      <c r="F372" s="34"/>
      <c r="G372" s="34"/>
      <c r="H372" s="34"/>
      <c r="I372" s="34"/>
      <c r="J372" s="34"/>
      <c r="K372" s="34"/>
      <c r="L372" s="34"/>
      <c r="M372" s="34"/>
      <c r="N372" s="34"/>
      <c r="O372" s="34"/>
      <c r="P372" s="34"/>
      <c r="Q372" s="3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54"/>
    </row>
    <row r="373">
      <c r="A373" s="53"/>
      <c r="B373" s="34"/>
      <c r="C373" s="34"/>
      <c r="D373" s="34"/>
      <c r="E373" s="34"/>
      <c r="F373" s="34"/>
      <c r="G373" s="34"/>
      <c r="H373" s="34"/>
      <c r="I373" s="34"/>
      <c r="J373" s="34"/>
      <c r="K373" s="34"/>
      <c r="L373" s="34"/>
      <c r="M373" s="34"/>
      <c r="N373" s="34"/>
      <c r="O373" s="34"/>
      <c r="P373" s="34"/>
      <c r="Q373" s="3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54"/>
    </row>
    <row r="374">
      <c r="A374" s="53"/>
      <c r="B374" s="34"/>
      <c r="C374" s="34"/>
      <c r="D374" s="34"/>
      <c r="E374" s="34"/>
      <c r="F374" s="34"/>
      <c r="G374" s="34"/>
      <c r="H374" s="34"/>
      <c r="I374" s="34"/>
      <c r="J374" s="34"/>
      <c r="K374" s="34"/>
      <c r="L374" s="34"/>
      <c r="M374" s="34"/>
      <c r="N374" s="34"/>
      <c r="O374" s="34"/>
      <c r="P374" s="34"/>
      <c r="Q374" s="3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54"/>
    </row>
    <row r="375">
      <c r="A375" s="53"/>
      <c r="B375" s="34"/>
      <c r="C375" s="34"/>
      <c r="D375" s="34"/>
      <c r="E375" s="34"/>
      <c r="F375" s="34"/>
      <c r="G375" s="34"/>
      <c r="H375" s="34"/>
      <c r="I375" s="34"/>
      <c r="J375" s="34"/>
      <c r="K375" s="34"/>
      <c r="L375" s="34"/>
      <c r="M375" s="34"/>
      <c r="N375" s="34"/>
      <c r="O375" s="34"/>
      <c r="P375" s="34"/>
      <c r="Q375" s="3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54"/>
    </row>
    <row r="376">
      <c r="A376" s="53"/>
      <c r="B376" s="34"/>
      <c r="C376" s="34"/>
      <c r="D376" s="34"/>
      <c r="E376" s="34"/>
      <c r="F376" s="34"/>
      <c r="G376" s="34"/>
      <c r="H376" s="34"/>
      <c r="I376" s="34"/>
      <c r="J376" s="34"/>
      <c r="K376" s="34"/>
      <c r="L376" s="34"/>
      <c r="M376" s="34"/>
      <c r="N376" s="34"/>
      <c r="O376" s="34"/>
      <c r="P376" s="34"/>
      <c r="Q376" s="3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54"/>
    </row>
    <row r="377">
      <c r="A377" s="53"/>
      <c r="B377" s="34"/>
      <c r="C377" s="34"/>
      <c r="D377" s="34"/>
      <c r="E377" s="34"/>
      <c r="F377" s="34"/>
      <c r="G377" s="34"/>
      <c r="H377" s="34"/>
      <c r="I377" s="34"/>
      <c r="J377" s="34"/>
      <c r="K377" s="34"/>
      <c r="L377" s="34"/>
      <c r="M377" s="34"/>
      <c r="N377" s="34"/>
      <c r="O377" s="34"/>
      <c r="P377" s="34"/>
      <c r="Q377" s="3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54"/>
    </row>
    <row r="378">
      <c r="A378" s="53"/>
      <c r="B378" s="34"/>
      <c r="C378" s="34"/>
      <c r="D378" s="34"/>
      <c r="E378" s="34"/>
      <c r="F378" s="34"/>
      <c r="G378" s="34"/>
      <c r="H378" s="34"/>
      <c r="I378" s="34"/>
      <c r="J378" s="34"/>
      <c r="K378" s="34"/>
      <c r="L378" s="34"/>
      <c r="M378" s="34"/>
      <c r="N378" s="34"/>
      <c r="O378" s="34"/>
      <c r="P378" s="34"/>
      <c r="Q378" s="3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54"/>
    </row>
    <row r="379">
      <c r="A379" s="53"/>
      <c r="B379" s="34"/>
      <c r="C379" s="34"/>
      <c r="D379" s="34"/>
      <c r="E379" s="34"/>
      <c r="F379" s="34"/>
      <c r="G379" s="34"/>
      <c r="H379" s="34"/>
      <c r="I379" s="34"/>
      <c r="J379" s="34"/>
      <c r="K379" s="34"/>
      <c r="L379" s="34"/>
      <c r="M379" s="34"/>
      <c r="N379" s="34"/>
      <c r="O379" s="34"/>
      <c r="P379" s="34"/>
      <c r="Q379" s="3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54"/>
    </row>
    <row r="380">
      <c r="A380" s="53"/>
      <c r="B380" s="34"/>
      <c r="C380" s="34"/>
      <c r="D380" s="34"/>
      <c r="E380" s="34"/>
      <c r="F380" s="34"/>
      <c r="G380" s="34"/>
      <c r="H380" s="34"/>
      <c r="I380" s="34"/>
      <c r="J380" s="34"/>
      <c r="K380" s="34"/>
      <c r="L380" s="34"/>
      <c r="M380" s="34"/>
      <c r="N380" s="34"/>
      <c r="O380" s="34"/>
      <c r="P380" s="34"/>
      <c r="Q380" s="3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54"/>
    </row>
    <row r="381">
      <c r="A381" s="53"/>
      <c r="B381" s="34"/>
      <c r="C381" s="34"/>
      <c r="D381" s="34"/>
      <c r="E381" s="34"/>
      <c r="F381" s="34"/>
      <c r="G381" s="34"/>
      <c r="H381" s="34"/>
      <c r="I381" s="34"/>
      <c r="J381" s="34"/>
      <c r="K381" s="34"/>
      <c r="L381" s="34"/>
      <c r="M381" s="34"/>
      <c r="N381" s="34"/>
      <c r="O381" s="34"/>
      <c r="P381" s="34"/>
      <c r="Q381" s="3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54"/>
    </row>
    <row r="382">
      <c r="A382" s="53"/>
      <c r="B382" s="34"/>
      <c r="C382" s="34"/>
      <c r="D382" s="34"/>
      <c r="E382" s="34"/>
      <c r="F382" s="34"/>
      <c r="G382" s="34"/>
      <c r="H382" s="34"/>
      <c r="I382" s="34"/>
      <c r="J382" s="34"/>
      <c r="K382" s="34"/>
      <c r="L382" s="34"/>
      <c r="M382" s="34"/>
      <c r="N382" s="34"/>
      <c r="O382" s="34"/>
      <c r="P382" s="34"/>
      <c r="Q382" s="3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54"/>
    </row>
    <row r="383">
      <c r="A383" s="53"/>
      <c r="B383" s="34"/>
      <c r="C383" s="34"/>
      <c r="D383" s="34"/>
      <c r="E383" s="34"/>
      <c r="F383" s="34"/>
      <c r="G383" s="34"/>
      <c r="H383" s="34"/>
      <c r="I383" s="34"/>
      <c r="J383" s="34"/>
      <c r="K383" s="34"/>
      <c r="L383" s="34"/>
      <c r="M383" s="34"/>
      <c r="N383" s="34"/>
      <c r="O383" s="34"/>
      <c r="P383" s="34"/>
      <c r="Q383" s="3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54"/>
    </row>
    <row r="384">
      <c r="A384" s="53"/>
      <c r="B384" s="34"/>
      <c r="C384" s="34"/>
      <c r="D384" s="34"/>
      <c r="E384" s="34"/>
      <c r="F384" s="34"/>
      <c r="G384" s="34"/>
      <c r="H384" s="34"/>
      <c r="I384" s="34"/>
      <c r="J384" s="34"/>
      <c r="K384" s="34"/>
      <c r="L384" s="34"/>
      <c r="M384" s="34"/>
      <c r="N384" s="34"/>
      <c r="O384" s="34"/>
      <c r="P384" s="34"/>
      <c r="Q384" s="3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54"/>
    </row>
    <row r="385">
      <c r="A385" s="53"/>
      <c r="B385" s="34"/>
      <c r="C385" s="34"/>
      <c r="D385" s="34"/>
      <c r="E385" s="34"/>
      <c r="F385" s="34"/>
      <c r="G385" s="34"/>
      <c r="H385" s="34"/>
      <c r="I385" s="34"/>
      <c r="J385" s="34"/>
      <c r="K385" s="34"/>
      <c r="L385" s="34"/>
      <c r="M385" s="34"/>
      <c r="N385" s="34"/>
      <c r="O385" s="34"/>
      <c r="P385" s="34"/>
      <c r="Q385" s="3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54"/>
    </row>
    <row r="386">
      <c r="A386" s="53"/>
      <c r="B386" s="34"/>
      <c r="C386" s="34"/>
      <c r="D386" s="34"/>
      <c r="E386" s="34"/>
      <c r="F386" s="34"/>
      <c r="G386" s="34"/>
      <c r="H386" s="34"/>
      <c r="I386" s="34"/>
      <c r="J386" s="34"/>
      <c r="K386" s="34"/>
      <c r="L386" s="34"/>
      <c r="M386" s="34"/>
      <c r="N386" s="34"/>
      <c r="O386" s="34"/>
      <c r="P386" s="34"/>
      <c r="Q386" s="3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54"/>
    </row>
    <row r="387">
      <c r="A387" s="53"/>
      <c r="B387" s="34"/>
      <c r="C387" s="34"/>
      <c r="D387" s="34"/>
      <c r="E387" s="34"/>
      <c r="F387" s="34"/>
      <c r="G387" s="34"/>
      <c r="H387" s="34"/>
      <c r="I387" s="34"/>
      <c r="J387" s="34"/>
      <c r="K387" s="34"/>
      <c r="L387" s="34"/>
      <c r="M387" s="34"/>
      <c r="N387" s="34"/>
      <c r="O387" s="34"/>
      <c r="P387" s="34"/>
      <c r="Q387" s="3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54"/>
    </row>
    <row r="388">
      <c r="A388" s="53"/>
      <c r="B388" s="34"/>
      <c r="C388" s="34"/>
      <c r="D388" s="34"/>
      <c r="E388" s="34"/>
      <c r="F388" s="34"/>
      <c r="G388" s="34"/>
      <c r="H388" s="34"/>
      <c r="I388" s="34"/>
      <c r="J388" s="34"/>
      <c r="K388" s="34"/>
      <c r="L388" s="34"/>
      <c r="M388" s="34"/>
      <c r="N388" s="34"/>
      <c r="O388" s="34"/>
      <c r="P388" s="34"/>
      <c r="Q388" s="3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54"/>
    </row>
    <row r="389">
      <c r="A389" s="53"/>
      <c r="B389" s="34"/>
      <c r="C389" s="34"/>
      <c r="D389" s="34"/>
      <c r="E389" s="34"/>
      <c r="F389" s="34"/>
      <c r="G389" s="34"/>
      <c r="H389" s="34"/>
      <c r="I389" s="34"/>
      <c r="J389" s="34"/>
      <c r="K389" s="34"/>
      <c r="L389" s="34"/>
      <c r="M389" s="34"/>
      <c r="N389" s="34"/>
      <c r="O389" s="34"/>
      <c r="P389" s="34"/>
      <c r="Q389" s="3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54"/>
    </row>
    <row r="390">
      <c r="A390" s="53"/>
      <c r="B390" s="34"/>
      <c r="C390" s="34"/>
      <c r="D390" s="34"/>
      <c r="E390" s="34"/>
      <c r="F390" s="34"/>
      <c r="G390" s="34"/>
      <c r="H390" s="34"/>
      <c r="I390" s="34"/>
      <c r="J390" s="34"/>
      <c r="K390" s="34"/>
      <c r="L390" s="34"/>
      <c r="M390" s="34"/>
      <c r="N390" s="34"/>
      <c r="O390" s="34"/>
      <c r="P390" s="34"/>
      <c r="Q390" s="3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54"/>
    </row>
    <row r="391">
      <c r="A391" s="53"/>
      <c r="B391" s="34"/>
      <c r="C391" s="34"/>
      <c r="D391" s="34"/>
      <c r="E391" s="34"/>
      <c r="F391" s="34"/>
      <c r="G391" s="34"/>
      <c r="H391" s="34"/>
      <c r="I391" s="34"/>
      <c r="J391" s="34"/>
      <c r="K391" s="34"/>
      <c r="L391" s="34"/>
      <c r="M391" s="34"/>
      <c r="N391" s="34"/>
      <c r="O391" s="34"/>
      <c r="P391" s="34"/>
      <c r="Q391" s="3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54"/>
    </row>
    <row r="392">
      <c r="A392" s="53"/>
      <c r="B392" s="34"/>
      <c r="C392" s="34"/>
      <c r="D392" s="34"/>
      <c r="E392" s="34"/>
      <c r="F392" s="34"/>
      <c r="G392" s="34"/>
      <c r="H392" s="34"/>
      <c r="I392" s="34"/>
      <c r="J392" s="34"/>
      <c r="K392" s="34"/>
      <c r="L392" s="34"/>
      <c r="M392" s="34"/>
      <c r="N392" s="34"/>
      <c r="O392" s="34"/>
      <c r="P392" s="34"/>
      <c r="Q392" s="3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54"/>
    </row>
    <row r="393">
      <c r="A393" s="53"/>
      <c r="B393" s="34"/>
      <c r="C393" s="34"/>
      <c r="D393" s="34"/>
      <c r="E393" s="34"/>
      <c r="F393" s="34"/>
      <c r="G393" s="34"/>
      <c r="H393" s="34"/>
      <c r="I393" s="34"/>
      <c r="J393" s="34"/>
      <c r="K393" s="34"/>
      <c r="L393" s="34"/>
      <c r="M393" s="34"/>
      <c r="N393" s="34"/>
      <c r="O393" s="34"/>
      <c r="P393" s="34"/>
      <c r="Q393" s="3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54"/>
    </row>
    <row r="394">
      <c r="A394" s="53"/>
      <c r="B394" s="34"/>
      <c r="C394" s="34"/>
      <c r="D394" s="34"/>
      <c r="E394" s="34"/>
      <c r="F394" s="34"/>
      <c r="G394" s="34"/>
      <c r="H394" s="34"/>
      <c r="I394" s="34"/>
      <c r="J394" s="34"/>
      <c r="K394" s="34"/>
      <c r="L394" s="34"/>
      <c r="M394" s="34"/>
      <c r="N394" s="34"/>
      <c r="O394" s="34"/>
      <c r="P394" s="34"/>
      <c r="Q394" s="3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54"/>
    </row>
    <row r="395">
      <c r="A395" s="53"/>
      <c r="B395" s="34"/>
      <c r="C395" s="34"/>
      <c r="D395" s="34"/>
      <c r="E395" s="34"/>
      <c r="F395" s="34"/>
      <c r="G395" s="34"/>
      <c r="H395" s="34"/>
      <c r="I395" s="34"/>
      <c r="J395" s="34"/>
      <c r="K395" s="34"/>
      <c r="L395" s="34"/>
      <c r="M395" s="34"/>
      <c r="N395" s="34"/>
      <c r="O395" s="34"/>
      <c r="P395" s="34"/>
      <c r="Q395" s="3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54"/>
    </row>
    <row r="396">
      <c r="A396" s="53"/>
      <c r="B396" s="34"/>
      <c r="C396" s="34"/>
      <c r="D396" s="34"/>
      <c r="E396" s="34"/>
      <c r="F396" s="34"/>
      <c r="G396" s="34"/>
      <c r="H396" s="34"/>
      <c r="I396" s="34"/>
      <c r="J396" s="34"/>
      <c r="K396" s="34"/>
      <c r="L396" s="34"/>
      <c r="M396" s="34"/>
      <c r="N396" s="34"/>
      <c r="O396" s="34"/>
      <c r="P396" s="34"/>
      <c r="Q396" s="3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54"/>
    </row>
    <row r="397">
      <c r="A397" s="53"/>
      <c r="B397" s="34"/>
      <c r="C397" s="34"/>
      <c r="D397" s="34"/>
      <c r="E397" s="34"/>
      <c r="F397" s="34"/>
      <c r="G397" s="34"/>
      <c r="H397" s="34"/>
      <c r="I397" s="34"/>
      <c r="J397" s="34"/>
      <c r="K397" s="34"/>
      <c r="L397" s="34"/>
      <c r="M397" s="34"/>
      <c r="N397" s="34"/>
      <c r="O397" s="34"/>
      <c r="P397" s="34"/>
      <c r="Q397" s="3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54"/>
    </row>
    <row r="398">
      <c r="A398" s="53"/>
      <c r="B398" s="34"/>
      <c r="C398" s="34"/>
      <c r="D398" s="34"/>
      <c r="E398" s="34"/>
      <c r="F398" s="34"/>
      <c r="G398" s="34"/>
      <c r="H398" s="34"/>
      <c r="I398" s="34"/>
      <c r="J398" s="34"/>
      <c r="K398" s="34"/>
      <c r="L398" s="34"/>
      <c r="M398" s="34"/>
      <c r="N398" s="34"/>
      <c r="O398" s="34"/>
      <c r="P398" s="34"/>
      <c r="Q398" s="3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54"/>
    </row>
    <row r="399">
      <c r="A399" s="53"/>
      <c r="B399" s="34"/>
      <c r="C399" s="34"/>
      <c r="D399" s="34"/>
      <c r="E399" s="34"/>
      <c r="F399" s="34"/>
      <c r="G399" s="34"/>
      <c r="H399" s="34"/>
      <c r="I399" s="34"/>
      <c r="J399" s="34"/>
      <c r="K399" s="34"/>
      <c r="L399" s="34"/>
      <c r="M399" s="34"/>
      <c r="N399" s="34"/>
      <c r="O399" s="34"/>
      <c r="P399" s="34"/>
      <c r="Q399" s="3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54"/>
    </row>
    <row r="400">
      <c r="A400" s="53"/>
      <c r="B400" s="34"/>
      <c r="C400" s="34"/>
      <c r="D400" s="34"/>
      <c r="E400" s="34"/>
      <c r="F400" s="34"/>
      <c r="G400" s="34"/>
      <c r="H400" s="34"/>
      <c r="I400" s="34"/>
      <c r="J400" s="34"/>
      <c r="K400" s="34"/>
      <c r="L400" s="34"/>
      <c r="M400" s="34"/>
      <c r="N400" s="34"/>
      <c r="O400" s="34"/>
      <c r="P400" s="34"/>
      <c r="Q400" s="3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54"/>
    </row>
    <row r="401">
      <c r="A401" s="53"/>
      <c r="B401" s="34"/>
      <c r="C401" s="34"/>
      <c r="D401" s="34"/>
      <c r="E401" s="34"/>
      <c r="F401" s="34"/>
      <c r="G401" s="34"/>
      <c r="H401" s="34"/>
      <c r="I401" s="34"/>
      <c r="J401" s="34"/>
      <c r="K401" s="34"/>
      <c r="L401" s="34"/>
      <c r="M401" s="34"/>
      <c r="N401" s="34"/>
      <c r="O401" s="34"/>
      <c r="P401" s="34"/>
      <c r="Q401" s="3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54"/>
    </row>
    <row r="402">
      <c r="A402" s="53"/>
      <c r="B402" s="34"/>
      <c r="C402" s="34"/>
      <c r="D402" s="34"/>
      <c r="E402" s="34"/>
      <c r="F402" s="34"/>
      <c r="G402" s="34"/>
      <c r="H402" s="34"/>
      <c r="I402" s="34"/>
      <c r="J402" s="34"/>
      <c r="K402" s="34"/>
      <c r="L402" s="34"/>
      <c r="M402" s="34"/>
      <c r="N402" s="34"/>
      <c r="O402" s="34"/>
      <c r="P402" s="34"/>
      <c r="Q402" s="3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54"/>
    </row>
    <row r="403">
      <c r="A403" s="53"/>
      <c r="B403" s="34"/>
      <c r="C403" s="34"/>
      <c r="D403" s="34"/>
      <c r="E403" s="34"/>
      <c r="F403" s="34"/>
      <c r="G403" s="34"/>
      <c r="H403" s="34"/>
      <c r="I403" s="34"/>
      <c r="J403" s="34"/>
      <c r="K403" s="34"/>
      <c r="L403" s="34"/>
      <c r="M403" s="34"/>
      <c r="N403" s="34"/>
      <c r="O403" s="34"/>
      <c r="P403" s="34"/>
      <c r="Q403" s="3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54"/>
    </row>
    <row r="404">
      <c r="A404" s="53"/>
      <c r="B404" s="34"/>
      <c r="C404" s="34"/>
      <c r="D404" s="34"/>
      <c r="E404" s="34"/>
      <c r="F404" s="34"/>
      <c r="G404" s="34"/>
      <c r="H404" s="34"/>
      <c r="I404" s="34"/>
      <c r="J404" s="34"/>
      <c r="K404" s="34"/>
      <c r="L404" s="34"/>
      <c r="M404" s="34"/>
      <c r="N404" s="34"/>
      <c r="O404" s="34"/>
      <c r="P404" s="34"/>
      <c r="Q404" s="3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54"/>
    </row>
    <row r="405">
      <c r="A405" s="53"/>
      <c r="B405" s="34"/>
      <c r="C405" s="34"/>
      <c r="D405" s="34"/>
      <c r="E405" s="34"/>
      <c r="F405" s="34"/>
      <c r="G405" s="34"/>
      <c r="H405" s="34"/>
      <c r="I405" s="34"/>
      <c r="J405" s="34"/>
      <c r="K405" s="34"/>
      <c r="L405" s="34"/>
      <c r="M405" s="34"/>
      <c r="N405" s="34"/>
      <c r="O405" s="34"/>
      <c r="P405" s="34"/>
      <c r="Q405" s="3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54"/>
    </row>
    <row r="406">
      <c r="A406" s="53"/>
      <c r="B406" s="34"/>
      <c r="C406" s="34"/>
      <c r="D406" s="34"/>
      <c r="E406" s="34"/>
      <c r="F406" s="34"/>
      <c r="G406" s="34"/>
      <c r="H406" s="34"/>
      <c r="I406" s="34"/>
      <c r="J406" s="34"/>
      <c r="K406" s="34"/>
      <c r="L406" s="34"/>
      <c r="M406" s="34"/>
      <c r="N406" s="34"/>
      <c r="O406" s="34"/>
      <c r="P406" s="34"/>
      <c r="Q406" s="3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54"/>
    </row>
    <row r="407">
      <c r="A407" s="53"/>
      <c r="B407" s="34"/>
      <c r="C407" s="34"/>
      <c r="D407" s="34"/>
      <c r="E407" s="34"/>
      <c r="F407" s="34"/>
      <c r="G407" s="34"/>
      <c r="H407" s="34"/>
      <c r="I407" s="34"/>
      <c r="J407" s="34"/>
      <c r="K407" s="34"/>
      <c r="L407" s="34"/>
      <c r="M407" s="34"/>
      <c r="N407" s="34"/>
      <c r="O407" s="34"/>
      <c r="P407" s="34"/>
      <c r="Q407" s="3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54"/>
    </row>
    <row r="408">
      <c r="A408" s="53"/>
      <c r="B408" s="34"/>
      <c r="C408" s="34"/>
      <c r="D408" s="34"/>
      <c r="E408" s="34"/>
      <c r="F408" s="34"/>
      <c r="G408" s="34"/>
      <c r="H408" s="34"/>
      <c r="I408" s="34"/>
      <c r="J408" s="34"/>
      <c r="K408" s="34"/>
      <c r="L408" s="34"/>
      <c r="M408" s="34"/>
      <c r="N408" s="34"/>
      <c r="O408" s="34"/>
      <c r="P408" s="34"/>
      <c r="Q408" s="3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54"/>
    </row>
    <row r="409">
      <c r="A409" s="53"/>
      <c r="B409" s="34"/>
      <c r="C409" s="34"/>
      <c r="D409" s="34"/>
      <c r="E409" s="34"/>
      <c r="F409" s="34"/>
      <c r="G409" s="34"/>
      <c r="H409" s="34"/>
      <c r="I409" s="34"/>
      <c r="J409" s="34"/>
      <c r="K409" s="34"/>
      <c r="L409" s="34"/>
      <c r="M409" s="34"/>
      <c r="N409" s="34"/>
      <c r="O409" s="34"/>
      <c r="P409" s="34"/>
      <c r="Q409" s="3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54"/>
    </row>
    <row r="410">
      <c r="A410" s="53"/>
      <c r="B410" s="34"/>
      <c r="C410" s="34"/>
      <c r="D410" s="34"/>
      <c r="E410" s="34"/>
      <c r="F410" s="34"/>
      <c r="G410" s="34"/>
      <c r="H410" s="34"/>
      <c r="I410" s="34"/>
      <c r="J410" s="34"/>
      <c r="K410" s="34"/>
      <c r="L410" s="34"/>
      <c r="M410" s="34"/>
      <c r="N410" s="34"/>
      <c r="O410" s="34"/>
      <c r="P410" s="34"/>
      <c r="Q410" s="3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54"/>
    </row>
    <row r="411">
      <c r="A411" s="53"/>
      <c r="B411" s="34"/>
      <c r="C411" s="34"/>
      <c r="D411" s="34"/>
      <c r="E411" s="34"/>
      <c r="F411" s="34"/>
      <c r="G411" s="34"/>
      <c r="H411" s="34"/>
      <c r="I411" s="34"/>
      <c r="J411" s="34"/>
      <c r="K411" s="34"/>
      <c r="L411" s="34"/>
      <c r="M411" s="34"/>
      <c r="N411" s="34"/>
      <c r="O411" s="34"/>
      <c r="P411" s="34"/>
      <c r="Q411" s="3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54"/>
    </row>
    <row r="412">
      <c r="A412" s="53"/>
      <c r="B412" s="34"/>
      <c r="C412" s="34"/>
      <c r="D412" s="34"/>
      <c r="E412" s="34"/>
      <c r="F412" s="34"/>
      <c r="G412" s="34"/>
      <c r="H412" s="34"/>
      <c r="I412" s="34"/>
      <c r="J412" s="34"/>
      <c r="K412" s="34"/>
      <c r="L412" s="34"/>
      <c r="M412" s="34"/>
      <c r="N412" s="34"/>
      <c r="O412" s="34"/>
      <c r="P412" s="34"/>
      <c r="Q412" s="3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54"/>
    </row>
    <row r="413">
      <c r="A413" s="53"/>
      <c r="B413" s="34"/>
      <c r="C413" s="34"/>
      <c r="D413" s="34"/>
      <c r="E413" s="34"/>
      <c r="F413" s="34"/>
      <c r="G413" s="34"/>
      <c r="H413" s="34"/>
      <c r="I413" s="34"/>
      <c r="J413" s="34"/>
      <c r="K413" s="34"/>
      <c r="L413" s="34"/>
      <c r="M413" s="34"/>
      <c r="N413" s="34"/>
      <c r="O413" s="34"/>
      <c r="P413" s="34"/>
      <c r="Q413" s="3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54"/>
    </row>
    <row r="414">
      <c r="A414" s="53"/>
      <c r="B414" s="34"/>
      <c r="C414" s="34"/>
      <c r="D414" s="34"/>
      <c r="E414" s="34"/>
      <c r="F414" s="34"/>
      <c r="G414" s="34"/>
      <c r="H414" s="34"/>
      <c r="I414" s="34"/>
      <c r="J414" s="34"/>
      <c r="K414" s="34"/>
      <c r="L414" s="34"/>
      <c r="M414" s="34"/>
      <c r="N414" s="34"/>
      <c r="O414" s="34"/>
      <c r="P414" s="34"/>
      <c r="Q414" s="3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54"/>
    </row>
    <row r="415">
      <c r="A415" s="53"/>
      <c r="B415" s="34"/>
      <c r="C415" s="34"/>
      <c r="D415" s="34"/>
      <c r="E415" s="34"/>
      <c r="F415" s="34"/>
      <c r="G415" s="34"/>
      <c r="H415" s="34"/>
      <c r="I415" s="34"/>
      <c r="J415" s="34"/>
      <c r="K415" s="34"/>
      <c r="L415" s="34"/>
      <c r="M415" s="34"/>
      <c r="N415" s="34"/>
      <c r="O415" s="34"/>
      <c r="P415" s="34"/>
      <c r="Q415" s="3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54"/>
    </row>
    <row r="416">
      <c r="A416" s="53"/>
      <c r="B416" s="34"/>
      <c r="C416" s="34"/>
      <c r="D416" s="34"/>
      <c r="E416" s="34"/>
      <c r="F416" s="34"/>
      <c r="G416" s="34"/>
      <c r="H416" s="34"/>
      <c r="I416" s="34"/>
      <c r="J416" s="34"/>
      <c r="K416" s="34"/>
      <c r="L416" s="34"/>
      <c r="M416" s="34"/>
      <c r="N416" s="34"/>
      <c r="O416" s="34"/>
      <c r="P416" s="34"/>
      <c r="Q416" s="3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54"/>
    </row>
    <row r="417">
      <c r="A417" s="53"/>
      <c r="B417" s="34"/>
      <c r="C417" s="34"/>
      <c r="D417" s="34"/>
      <c r="E417" s="34"/>
      <c r="F417" s="34"/>
      <c r="G417" s="34"/>
      <c r="H417" s="34"/>
      <c r="I417" s="34"/>
      <c r="J417" s="34"/>
      <c r="K417" s="34"/>
      <c r="L417" s="34"/>
      <c r="M417" s="34"/>
      <c r="N417" s="34"/>
      <c r="O417" s="34"/>
      <c r="P417" s="34"/>
      <c r="Q417" s="3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54"/>
    </row>
    <row r="418">
      <c r="A418" s="53"/>
      <c r="B418" s="34"/>
      <c r="C418" s="34"/>
      <c r="D418" s="34"/>
      <c r="E418" s="34"/>
      <c r="F418" s="34"/>
      <c r="G418" s="34"/>
      <c r="H418" s="34"/>
      <c r="I418" s="34"/>
      <c r="J418" s="34"/>
      <c r="K418" s="34"/>
      <c r="L418" s="34"/>
      <c r="M418" s="34"/>
      <c r="N418" s="34"/>
      <c r="O418" s="34"/>
      <c r="P418" s="34"/>
      <c r="Q418" s="3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54"/>
    </row>
    <row r="419">
      <c r="A419" s="53"/>
      <c r="B419" s="34"/>
      <c r="C419" s="34"/>
      <c r="D419" s="34"/>
      <c r="E419" s="34"/>
      <c r="F419" s="34"/>
      <c r="G419" s="34"/>
      <c r="H419" s="34"/>
      <c r="I419" s="34"/>
      <c r="J419" s="34"/>
      <c r="K419" s="34"/>
      <c r="L419" s="34"/>
      <c r="M419" s="34"/>
      <c r="N419" s="34"/>
      <c r="O419" s="34"/>
      <c r="P419" s="34"/>
      <c r="Q419" s="3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54"/>
    </row>
    <row r="420">
      <c r="A420" s="53"/>
      <c r="B420" s="34"/>
      <c r="C420" s="34"/>
      <c r="D420" s="34"/>
      <c r="E420" s="34"/>
      <c r="F420" s="34"/>
      <c r="G420" s="34"/>
      <c r="H420" s="34"/>
      <c r="I420" s="34"/>
      <c r="J420" s="34"/>
      <c r="K420" s="34"/>
      <c r="L420" s="34"/>
      <c r="M420" s="34"/>
      <c r="N420" s="34"/>
      <c r="O420" s="34"/>
      <c r="P420" s="34"/>
      <c r="Q420" s="3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54"/>
    </row>
    <row r="421">
      <c r="A421" s="53"/>
      <c r="B421" s="34"/>
      <c r="C421" s="34"/>
      <c r="D421" s="34"/>
      <c r="E421" s="34"/>
      <c r="F421" s="34"/>
      <c r="G421" s="34"/>
      <c r="H421" s="34"/>
      <c r="I421" s="34"/>
      <c r="J421" s="34"/>
      <c r="K421" s="34"/>
      <c r="L421" s="34"/>
      <c r="M421" s="34"/>
      <c r="N421" s="34"/>
      <c r="O421" s="34"/>
      <c r="P421" s="34"/>
      <c r="Q421" s="3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54"/>
    </row>
    <row r="422">
      <c r="A422" s="53"/>
      <c r="B422" s="34"/>
      <c r="C422" s="34"/>
      <c r="D422" s="34"/>
      <c r="E422" s="34"/>
      <c r="F422" s="34"/>
      <c r="G422" s="34"/>
      <c r="H422" s="34"/>
      <c r="I422" s="34"/>
      <c r="J422" s="34"/>
      <c r="K422" s="34"/>
      <c r="L422" s="34"/>
      <c r="M422" s="34"/>
      <c r="N422" s="34"/>
      <c r="O422" s="34"/>
      <c r="P422" s="34"/>
      <c r="Q422" s="3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54"/>
    </row>
    <row r="423">
      <c r="A423" s="53"/>
      <c r="B423" s="34"/>
      <c r="C423" s="34"/>
      <c r="D423" s="34"/>
      <c r="E423" s="34"/>
      <c r="F423" s="34"/>
      <c r="G423" s="34"/>
      <c r="H423" s="34"/>
      <c r="I423" s="34"/>
      <c r="J423" s="34"/>
      <c r="K423" s="34"/>
      <c r="L423" s="34"/>
      <c r="M423" s="34"/>
      <c r="N423" s="34"/>
      <c r="O423" s="34"/>
      <c r="P423" s="34"/>
      <c r="Q423" s="3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54"/>
    </row>
    <row r="424">
      <c r="A424" s="53"/>
      <c r="B424" s="34"/>
      <c r="C424" s="34"/>
      <c r="D424" s="34"/>
      <c r="E424" s="34"/>
      <c r="F424" s="34"/>
      <c r="G424" s="34"/>
      <c r="H424" s="34"/>
      <c r="I424" s="34"/>
      <c r="J424" s="34"/>
      <c r="K424" s="34"/>
      <c r="L424" s="34"/>
      <c r="M424" s="34"/>
      <c r="N424" s="34"/>
      <c r="O424" s="34"/>
      <c r="P424" s="34"/>
      <c r="Q424" s="3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54"/>
    </row>
    <row r="425">
      <c r="A425" s="53"/>
      <c r="B425" s="34"/>
      <c r="C425" s="34"/>
      <c r="D425" s="34"/>
      <c r="E425" s="34"/>
      <c r="F425" s="34"/>
      <c r="G425" s="34"/>
      <c r="H425" s="34"/>
      <c r="I425" s="34"/>
      <c r="J425" s="34"/>
      <c r="K425" s="34"/>
      <c r="L425" s="34"/>
      <c r="M425" s="34"/>
      <c r="N425" s="34"/>
      <c r="O425" s="34"/>
      <c r="P425" s="34"/>
      <c r="Q425" s="3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54"/>
    </row>
    <row r="426">
      <c r="A426" s="53"/>
      <c r="B426" s="34"/>
      <c r="C426" s="34"/>
      <c r="D426" s="34"/>
      <c r="E426" s="34"/>
      <c r="F426" s="34"/>
      <c r="G426" s="34"/>
      <c r="H426" s="34"/>
      <c r="I426" s="34"/>
      <c r="J426" s="34"/>
      <c r="K426" s="34"/>
      <c r="L426" s="34"/>
      <c r="M426" s="34"/>
      <c r="N426" s="34"/>
      <c r="O426" s="34"/>
      <c r="P426" s="34"/>
      <c r="Q426" s="3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54"/>
    </row>
    <row r="427">
      <c r="A427" s="53"/>
      <c r="B427" s="34"/>
      <c r="C427" s="34"/>
      <c r="D427" s="34"/>
      <c r="E427" s="34"/>
      <c r="F427" s="34"/>
      <c r="G427" s="34"/>
      <c r="H427" s="34"/>
      <c r="I427" s="34"/>
      <c r="J427" s="34"/>
      <c r="K427" s="34"/>
      <c r="L427" s="34"/>
      <c r="M427" s="34"/>
      <c r="N427" s="34"/>
      <c r="O427" s="34"/>
      <c r="P427" s="34"/>
      <c r="Q427" s="3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54"/>
    </row>
    <row r="428">
      <c r="A428" s="53"/>
      <c r="B428" s="34"/>
      <c r="C428" s="34"/>
      <c r="D428" s="34"/>
      <c r="E428" s="34"/>
      <c r="F428" s="34"/>
      <c r="G428" s="34"/>
      <c r="H428" s="34"/>
      <c r="I428" s="34"/>
      <c r="J428" s="34"/>
      <c r="K428" s="34"/>
      <c r="L428" s="34"/>
      <c r="M428" s="34"/>
      <c r="N428" s="34"/>
      <c r="O428" s="34"/>
      <c r="P428" s="34"/>
      <c r="Q428" s="3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54"/>
    </row>
    <row r="429">
      <c r="A429" s="53"/>
      <c r="B429" s="34"/>
      <c r="C429" s="34"/>
      <c r="D429" s="34"/>
      <c r="E429" s="34"/>
      <c r="F429" s="34"/>
      <c r="G429" s="34"/>
      <c r="H429" s="34"/>
      <c r="I429" s="34"/>
      <c r="J429" s="34"/>
      <c r="K429" s="34"/>
      <c r="L429" s="34"/>
      <c r="M429" s="34"/>
      <c r="N429" s="34"/>
      <c r="O429" s="34"/>
      <c r="P429" s="34"/>
      <c r="Q429" s="3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54"/>
    </row>
    <row r="430">
      <c r="A430" s="53"/>
      <c r="B430" s="34"/>
      <c r="C430" s="34"/>
      <c r="D430" s="34"/>
      <c r="E430" s="34"/>
      <c r="F430" s="34"/>
      <c r="G430" s="34"/>
      <c r="H430" s="34"/>
      <c r="I430" s="34"/>
      <c r="J430" s="34"/>
      <c r="K430" s="34"/>
      <c r="L430" s="34"/>
      <c r="M430" s="34"/>
      <c r="N430" s="34"/>
      <c r="O430" s="34"/>
      <c r="P430" s="34"/>
      <c r="Q430" s="3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54"/>
    </row>
    <row r="431">
      <c r="A431" s="53"/>
      <c r="B431" s="34"/>
      <c r="C431" s="34"/>
      <c r="D431" s="34"/>
      <c r="E431" s="34"/>
      <c r="F431" s="34"/>
      <c r="G431" s="34"/>
      <c r="H431" s="34"/>
      <c r="I431" s="34"/>
      <c r="J431" s="34"/>
      <c r="K431" s="34"/>
      <c r="L431" s="34"/>
      <c r="M431" s="34"/>
      <c r="N431" s="34"/>
      <c r="O431" s="34"/>
      <c r="P431" s="34"/>
      <c r="Q431" s="3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54"/>
    </row>
    <row r="432">
      <c r="A432" s="53"/>
      <c r="B432" s="34"/>
      <c r="C432" s="34"/>
      <c r="D432" s="34"/>
      <c r="E432" s="34"/>
      <c r="F432" s="34"/>
      <c r="G432" s="34"/>
      <c r="H432" s="34"/>
      <c r="I432" s="34"/>
      <c r="J432" s="34"/>
      <c r="K432" s="34"/>
      <c r="L432" s="34"/>
      <c r="M432" s="34"/>
      <c r="N432" s="34"/>
      <c r="O432" s="34"/>
      <c r="P432" s="34"/>
      <c r="Q432" s="3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54"/>
    </row>
    <row r="433">
      <c r="A433" s="53"/>
      <c r="B433" s="34"/>
      <c r="C433" s="34"/>
      <c r="D433" s="34"/>
      <c r="E433" s="34"/>
      <c r="F433" s="34"/>
      <c r="G433" s="34"/>
      <c r="H433" s="34"/>
      <c r="I433" s="34"/>
      <c r="J433" s="34"/>
      <c r="K433" s="34"/>
      <c r="L433" s="34"/>
      <c r="M433" s="34"/>
      <c r="N433" s="34"/>
      <c r="O433" s="34"/>
      <c r="P433" s="34"/>
      <c r="Q433" s="3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54"/>
    </row>
    <row r="434">
      <c r="A434" s="53"/>
      <c r="B434" s="34"/>
      <c r="C434" s="34"/>
      <c r="D434" s="34"/>
      <c r="E434" s="34"/>
      <c r="F434" s="34"/>
      <c r="G434" s="34"/>
      <c r="H434" s="34"/>
      <c r="I434" s="34"/>
      <c r="J434" s="34"/>
      <c r="K434" s="34"/>
      <c r="L434" s="34"/>
      <c r="M434" s="34"/>
      <c r="N434" s="34"/>
      <c r="O434" s="34"/>
      <c r="P434" s="34"/>
      <c r="Q434" s="3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54"/>
    </row>
    <row r="435">
      <c r="A435" s="53"/>
      <c r="B435" s="34"/>
      <c r="C435" s="34"/>
      <c r="D435" s="34"/>
      <c r="E435" s="34"/>
      <c r="F435" s="34"/>
      <c r="G435" s="34"/>
      <c r="H435" s="34"/>
      <c r="I435" s="34"/>
      <c r="J435" s="34"/>
      <c r="K435" s="34"/>
      <c r="L435" s="34"/>
      <c r="M435" s="34"/>
      <c r="N435" s="34"/>
      <c r="O435" s="34"/>
      <c r="P435" s="34"/>
      <c r="Q435" s="3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54"/>
    </row>
    <row r="436">
      <c r="A436" s="53"/>
      <c r="B436" s="34"/>
      <c r="C436" s="34"/>
      <c r="D436" s="34"/>
      <c r="E436" s="34"/>
      <c r="F436" s="34"/>
      <c r="G436" s="34"/>
      <c r="H436" s="34"/>
      <c r="I436" s="34"/>
      <c r="J436" s="34"/>
      <c r="K436" s="34"/>
      <c r="L436" s="34"/>
      <c r="M436" s="34"/>
      <c r="N436" s="34"/>
      <c r="O436" s="34"/>
      <c r="P436" s="34"/>
      <c r="Q436" s="3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54"/>
    </row>
    <row r="437">
      <c r="A437" s="53"/>
      <c r="B437" s="34"/>
      <c r="C437" s="34"/>
      <c r="D437" s="34"/>
      <c r="E437" s="34"/>
      <c r="F437" s="34"/>
      <c r="G437" s="34"/>
      <c r="H437" s="34"/>
      <c r="I437" s="34"/>
      <c r="J437" s="34"/>
      <c r="K437" s="34"/>
      <c r="L437" s="34"/>
      <c r="M437" s="34"/>
      <c r="N437" s="34"/>
      <c r="O437" s="34"/>
      <c r="P437" s="34"/>
      <c r="Q437" s="3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54"/>
    </row>
    <row r="438">
      <c r="A438" s="53"/>
      <c r="B438" s="34"/>
      <c r="C438" s="34"/>
      <c r="D438" s="34"/>
      <c r="E438" s="34"/>
      <c r="F438" s="34"/>
      <c r="G438" s="34"/>
      <c r="H438" s="34"/>
      <c r="I438" s="34"/>
      <c r="J438" s="34"/>
      <c r="K438" s="34"/>
      <c r="L438" s="34"/>
      <c r="M438" s="34"/>
      <c r="N438" s="34"/>
      <c r="O438" s="34"/>
      <c r="P438" s="34"/>
      <c r="Q438" s="3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54"/>
    </row>
    <row r="439">
      <c r="A439" s="53"/>
      <c r="B439" s="34"/>
      <c r="C439" s="34"/>
      <c r="D439" s="34"/>
      <c r="E439" s="34"/>
      <c r="F439" s="34"/>
      <c r="G439" s="34"/>
      <c r="H439" s="34"/>
      <c r="I439" s="34"/>
      <c r="J439" s="34"/>
      <c r="K439" s="34"/>
      <c r="L439" s="34"/>
      <c r="M439" s="34"/>
      <c r="N439" s="34"/>
      <c r="O439" s="34"/>
      <c r="P439" s="34"/>
      <c r="Q439" s="3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54"/>
    </row>
    <row r="440">
      <c r="A440" s="53"/>
      <c r="B440" s="34"/>
      <c r="C440" s="34"/>
      <c r="D440" s="34"/>
      <c r="E440" s="34"/>
      <c r="F440" s="34"/>
      <c r="G440" s="34"/>
      <c r="H440" s="34"/>
      <c r="I440" s="34"/>
      <c r="J440" s="34"/>
      <c r="K440" s="34"/>
      <c r="L440" s="34"/>
      <c r="M440" s="34"/>
      <c r="N440" s="34"/>
      <c r="O440" s="34"/>
      <c r="P440" s="34"/>
      <c r="Q440" s="3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54"/>
    </row>
    <row r="441">
      <c r="A441" s="53"/>
      <c r="B441" s="34"/>
      <c r="C441" s="34"/>
      <c r="D441" s="34"/>
      <c r="E441" s="34"/>
      <c r="F441" s="34"/>
      <c r="G441" s="34"/>
      <c r="H441" s="34"/>
      <c r="I441" s="34"/>
      <c r="J441" s="34"/>
      <c r="K441" s="34"/>
      <c r="L441" s="34"/>
      <c r="M441" s="34"/>
      <c r="N441" s="34"/>
      <c r="O441" s="34"/>
      <c r="P441" s="34"/>
      <c r="Q441" s="3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54"/>
    </row>
    <row r="442">
      <c r="A442" s="53"/>
      <c r="B442" s="34"/>
      <c r="C442" s="34"/>
      <c r="D442" s="34"/>
      <c r="E442" s="34"/>
      <c r="F442" s="34"/>
      <c r="G442" s="34"/>
      <c r="H442" s="34"/>
      <c r="I442" s="34"/>
      <c r="J442" s="34"/>
      <c r="K442" s="34"/>
      <c r="L442" s="34"/>
      <c r="M442" s="34"/>
      <c r="N442" s="34"/>
      <c r="O442" s="34"/>
      <c r="P442" s="34"/>
      <c r="Q442" s="3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54"/>
    </row>
    <row r="443">
      <c r="A443" s="53"/>
      <c r="B443" s="34"/>
      <c r="C443" s="34"/>
      <c r="D443" s="34"/>
      <c r="E443" s="34"/>
      <c r="F443" s="34"/>
      <c r="G443" s="34"/>
      <c r="H443" s="34"/>
      <c r="I443" s="34"/>
      <c r="J443" s="34"/>
      <c r="K443" s="34"/>
      <c r="L443" s="34"/>
      <c r="M443" s="34"/>
      <c r="N443" s="34"/>
      <c r="O443" s="34"/>
      <c r="P443" s="34"/>
      <c r="Q443" s="3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54"/>
    </row>
    <row r="444">
      <c r="A444" s="53"/>
      <c r="B444" s="34"/>
      <c r="C444" s="34"/>
      <c r="D444" s="34"/>
      <c r="E444" s="34"/>
      <c r="F444" s="34"/>
      <c r="G444" s="34"/>
      <c r="H444" s="34"/>
      <c r="I444" s="34"/>
      <c r="J444" s="34"/>
      <c r="K444" s="34"/>
      <c r="L444" s="34"/>
      <c r="M444" s="34"/>
      <c r="N444" s="34"/>
      <c r="O444" s="34"/>
      <c r="P444" s="34"/>
      <c r="Q444" s="3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54"/>
    </row>
    <row r="445">
      <c r="A445" s="53"/>
      <c r="B445" s="34"/>
      <c r="C445" s="34"/>
      <c r="D445" s="34"/>
      <c r="E445" s="34"/>
      <c r="F445" s="34"/>
      <c r="G445" s="34"/>
      <c r="H445" s="34"/>
      <c r="I445" s="34"/>
      <c r="J445" s="34"/>
      <c r="K445" s="34"/>
      <c r="L445" s="34"/>
      <c r="M445" s="34"/>
      <c r="N445" s="34"/>
      <c r="O445" s="34"/>
      <c r="P445" s="34"/>
      <c r="Q445" s="3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54"/>
    </row>
    <row r="446">
      <c r="A446" s="53"/>
      <c r="B446" s="34"/>
      <c r="C446" s="34"/>
      <c r="D446" s="34"/>
      <c r="E446" s="34"/>
      <c r="F446" s="34"/>
      <c r="G446" s="34"/>
      <c r="H446" s="34"/>
      <c r="I446" s="34"/>
      <c r="J446" s="34"/>
      <c r="K446" s="34"/>
      <c r="L446" s="34"/>
      <c r="M446" s="34"/>
      <c r="N446" s="34"/>
      <c r="O446" s="34"/>
      <c r="P446" s="34"/>
      <c r="Q446" s="3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54"/>
    </row>
    <row r="447">
      <c r="A447" s="53"/>
      <c r="B447" s="34"/>
      <c r="C447" s="34"/>
      <c r="D447" s="34"/>
      <c r="E447" s="34"/>
      <c r="F447" s="34"/>
      <c r="G447" s="34"/>
      <c r="H447" s="34"/>
      <c r="I447" s="34"/>
      <c r="J447" s="34"/>
      <c r="K447" s="34"/>
      <c r="L447" s="34"/>
      <c r="M447" s="34"/>
      <c r="N447" s="34"/>
      <c r="O447" s="34"/>
      <c r="P447" s="34"/>
      <c r="Q447" s="3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54"/>
    </row>
    <row r="448">
      <c r="A448" s="53"/>
      <c r="B448" s="34"/>
      <c r="C448" s="34"/>
      <c r="D448" s="34"/>
      <c r="E448" s="34"/>
      <c r="F448" s="34"/>
      <c r="G448" s="34"/>
      <c r="H448" s="34"/>
      <c r="I448" s="34"/>
      <c r="J448" s="34"/>
      <c r="K448" s="34"/>
      <c r="L448" s="34"/>
      <c r="M448" s="34"/>
      <c r="N448" s="34"/>
      <c r="O448" s="34"/>
      <c r="P448" s="34"/>
      <c r="Q448" s="3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54"/>
    </row>
    <row r="449">
      <c r="A449" s="53"/>
      <c r="B449" s="34"/>
      <c r="C449" s="34"/>
      <c r="D449" s="34"/>
      <c r="E449" s="34"/>
      <c r="F449" s="34"/>
      <c r="G449" s="34"/>
      <c r="H449" s="34"/>
      <c r="I449" s="34"/>
      <c r="J449" s="34"/>
      <c r="K449" s="34"/>
      <c r="L449" s="34"/>
      <c r="M449" s="34"/>
      <c r="N449" s="34"/>
      <c r="O449" s="34"/>
      <c r="P449" s="34"/>
      <c r="Q449" s="3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54"/>
    </row>
    <row r="450">
      <c r="A450" s="53"/>
      <c r="B450" s="34"/>
      <c r="C450" s="34"/>
      <c r="D450" s="34"/>
      <c r="E450" s="34"/>
      <c r="F450" s="34"/>
      <c r="G450" s="34"/>
      <c r="H450" s="34"/>
      <c r="I450" s="34"/>
      <c r="J450" s="34"/>
      <c r="K450" s="34"/>
      <c r="L450" s="34"/>
      <c r="M450" s="34"/>
      <c r="N450" s="34"/>
      <c r="O450" s="34"/>
      <c r="P450" s="34"/>
      <c r="Q450" s="3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54"/>
    </row>
    <row r="451">
      <c r="A451" s="53"/>
      <c r="B451" s="34"/>
      <c r="C451" s="34"/>
      <c r="D451" s="34"/>
      <c r="E451" s="34"/>
      <c r="F451" s="34"/>
      <c r="G451" s="34"/>
      <c r="H451" s="34"/>
      <c r="I451" s="34"/>
      <c r="J451" s="34"/>
      <c r="K451" s="34"/>
      <c r="L451" s="34"/>
      <c r="M451" s="34"/>
      <c r="N451" s="34"/>
      <c r="O451" s="34"/>
      <c r="P451" s="34"/>
      <c r="Q451" s="3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54"/>
    </row>
    <row r="452">
      <c r="A452" s="53"/>
      <c r="B452" s="34"/>
      <c r="C452" s="34"/>
      <c r="D452" s="34"/>
      <c r="E452" s="34"/>
      <c r="F452" s="34"/>
      <c r="G452" s="34"/>
      <c r="H452" s="34"/>
      <c r="I452" s="34"/>
      <c r="J452" s="34"/>
      <c r="K452" s="34"/>
      <c r="L452" s="34"/>
      <c r="M452" s="34"/>
      <c r="N452" s="34"/>
      <c r="O452" s="34"/>
      <c r="P452" s="34"/>
      <c r="Q452" s="3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54"/>
    </row>
    <row r="453">
      <c r="A453" s="53"/>
      <c r="B453" s="34"/>
      <c r="C453" s="34"/>
      <c r="D453" s="34"/>
      <c r="E453" s="34"/>
      <c r="F453" s="34"/>
      <c r="G453" s="34"/>
      <c r="H453" s="34"/>
      <c r="I453" s="34"/>
      <c r="J453" s="34"/>
      <c r="K453" s="34"/>
      <c r="L453" s="34"/>
      <c r="M453" s="34"/>
      <c r="N453" s="34"/>
      <c r="O453" s="34"/>
      <c r="P453" s="34"/>
      <c r="Q453" s="3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54"/>
    </row>
    <row r="454">
      <c r="A454" s="53"/>
      <c r="B454" s="34"/>
      <c r="C454" s="34"/>
      <c r="D454" s="34"/>
      <c r="E454" s="34"/>
      <c r="F454" s="34"/>
      <c r="G454" s="34"/>
      <c r="H454" s="34"/>
      <c r="I454" s="34"/>
      <c r="J454" s="34"/>
      <c r="K454" s="34"/>
      <c r="L454" s="34"/>
      <c r="M454" s="34"/>
      <c r="N454" s="34"/>
      <c r="O454" s="34"/>
      <c r="P454" s="34"/>
      <c r="Q454" s="3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54"/>
    </row>
    <row r="455">
      <c r="A455" s="53"/>
      <c r="B455" s="34"/>
      <c r="C455" s="34"/>
      <c r="D455" s="34"/>
      <c r="E455" s="34"/>
      <c r="F455" s="34"/>
      <c r="G455" s="34"/>
      <c r="H455" s="34"/>
      <c r="I455" s="34"/>
      <c r="J455" s="34"/>
      <c r="K455" s="34"/>
      <c r="L455" s="34"/>
      <c r="M455" s="34"/>
      <c r="N455" s="34"/>
      <c r="O455" s="34"/>
      <c r="P455" s="34"/>
      <c r="Q455" s="3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54"/>
    </row>
    <row r="456">
      <c r="A456" s="53"/>
      <c r="B456" s="34"/>
      <c r="C456" s="34"/>
      <c r="D456" s="34"/>
      <c r="E456" s="34"/>
      <c r="F456" s="34"/>
      <c r="G456" s="34"/>
      <c r="H456" s="34"/>
      <c r="I456" s="34"/>
      <c r="J456" s="34"/>
      <c r="K456" s="34"/>
      <c r="L456" s="34"/>
      <c r="M456" s="34"/>
      <c r="N456" s="34"/>
      <c r="O456" s="34"/>
      <c r="P456" s="34"/>
      <c r="Q456" s="3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54"/>
    </row>
    <row r="457">
      <c r="A457" s="53"/>
      <c r="B457" s="34"/>
      <c r="C457" s="34"/>
      <c r="D457" s="34"/>
      <c r="E457" s="34"/>
      <c r="F457" s="34"/>
      <c r="G457" s="34"/>
      <c r="H457" s="34"/>
      <c r="I457" s="34"/>
      <c r="J457" s="34"/>
      <c r="K457" s="34"/>
      <c r="L457" s="34"/>
      <c r="M457" s="34"/>
      <c r="N457" s="34"/>
      <c r="O457" s="34"/>
      <c r="P457" s="34"/>
      <c r="Q457" s="3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54"/>
    </row>
    <row r="458">
      <c r="A458" s="53"/>
      <c r="B458" s="34"/>
      <c r="C458" s="34"/>
      <c r="D458" s="34"/>
      <c r="E458" s="34"/>
      <c r="F458" s="34"/>
      <c r="G458" s="34"/>
      <c r="H458" s="34"/>
      <c r="I458" s="34"/>
      <c r="J458" s="34"/>
      <c r="K458" s="34"/>
      <c r="L458" s="34"/>
      <c r="M458" s="34"/>
      <c r="N458" s="34"/>
      <c r="O458" s="34"/>
      <c r="P458" s="34"/>
      <c r="Q458" s="3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54"/>
    </row>
    <row r="459">
      <c r="A459" s="53"/>
      <c r="B459" s="34"/>
      <c r="C459" s="34"/>
      <c r="D459" s="34"/>
      <c r="E459" s="34"/>
      <c r="F459" s="34"/>
      <c r="G459" s="34"/>
      <c r="H459" s="34"/>
      <c r="I459" s="34"/>
      <c r="J459" s="34"/>
      <c r="K459" s="34"/>
      <c r="L459" s="34"/>
      <c r="M459" s="34"/>
      <c r="N459" s="34"/>
      <c r="O459" s="34"/>
      <c r="P459" s="34"/>
      <c r="Q459" s="3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54"/>
    </row>
    <row r="460">
      <c r="A460" s="53"/>
      <c r="B460" s="34"/>
      <c r="C460" s="34"/>
      <c r="D460" s="34"/>
      <c r="E460" s="34"/>
      <c r="F460" s="34"/>
      <c r="G460" s="34"/>
      <c r="H460" s="34"/>
      <c r="I460" s="34"/>
      <c r="J460" s="34"/>
      <c r="K460" s="34"/>
      <c r="L460" s="34"/>
      <c r="M460" s="34"/>
      <c r="N460" s="34"/>
      <c r="O460" s="34"/>
      <c r="P460" s="34"/>
      <c r="Q460" s="3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54"/>
    </row>
    <row r="461">
      <c r="A461" s="53"/>
      <c r="B461" s="34"/>
      <c r="C461" s="34"/>
      <c r="D461" s="34"/>
      <c r="E461" s="34"/>
      <c r="F461" s="34"/>
      <c r="G461" s="34"/>
      <c r="H461" s="34"/>
      <c r="I461" s="34"/>
      <c r="J461" s="34"/>
      <c r="K461" s="34"/>
      <c r="L461" s="34"/>
      <c r="M461" s="34"/>
      <c r="N461" s="34"/>
      <c r="O461" s="34"/>
      <c r="P461" s="34"/>
      <c r="Q461" s="3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54"/>
    </row>
    <row r="462">
      <c r="A462" s="53"/>
      <c r="B462" s="34"/>
      <c r="C462" s="34"/>
      <c r="D462" s="34"/>
      <c r="E462" s="34"/>
      <c r="F462" s="34"/>
      <c r="G462" s="34"/>
      <c r="H462" s="34"/>
      <c r="I462" s="34"/>
      <c r="J462" s="34"/>
      <c r="K462" s="34"/>
      <c r="L462" s="34"/>
      <c r="M462" s="34"/>
      <c r="N462" s="34"/>
      <c r="O462" s="34"/>
      <c r="P462" s="34"/>
      <c r="Q462" s="3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54"/>
    </row>
    <row r="463">
      <c r="A463" s="53"/>
      <c r="B463" s="34"/>
      <c r="C463" s="34"/>
      <c r="D463" s="34"/>
      <c r="E463" s="34"/>
      <c r="F463" s="34"/>
      <c r="G463" s="34"/>
      <c r="H463" s="34"/>
      <c r="I463" s="34"/>
      <c r="J463" s="34"/>
      <c r="K463" s="34"/>
      <c r="L463" s="34"/>
      <c r="M463" s="34"/>
      <c r="N463" s="34"/>
      <c r="O463" s="34"/>
      <c r="P463" s="34"/>
      <c r="Q463" s="3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54"/>
    </row>
    <row r="464">
      <c r="A464" s="53"/>
      <c r="B464" s="34"/>
      <c r="C464" s="34"/>
      <c r="D464" s="34"/>
      <c r="E464" s="34"/>
      <c r="F464" s="34"/>
      <c r="G464" s="34"/>
      <c r="H464" s="34"/>
      <c r="I464" s="34"/>
      <c r="J464" s="34"/>
      <c r="K464" s="34"/>
      <c r="L464" s="34"/>
      <c r="M464" s="34"/>
      <c r="N464" s="34"/>
      <c r="O464" s="34"/>
      <c r="P464" s="34"/>
      <c r="Q464" s="3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54"/>
    </row>
    <row r="465">
      <c r="A465" s="53"/>
      <c r="B465" s="34"/>
      <c r="C465" s="34"/>
      <c r="D465" s="34"/>
      <c r="E465" s="34"/>
      <c r="F465" s="34"/>
      <c r="G465" s="34"/>
      <c r="H465" s="34"/>
      <c r="I465" s="34"/>
      <c r="J465" s="34"/>
      <c r="K465" s="34"/>
      <c r="L465" s="34"/>
      <c r="M465" s="34"/>
      <c r="N465" s="34"/>
      <c r="O465" s="34"/>
      <c r="P465" s="34"/>
      <c r="Q465" s="3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54"/>
    </row>
    <row r="466">
      <c r="A466" s="53"/>
      <c r="B466" s="34"/>
      <c r="C466" s="34"/>
      <c r="D466" s="34"/>
      <c r="E466" s="34"/>
      <c r="F466" s="34"/>
      <c r="G466" s="34"/>
      <c r="H466" s="34"/>
      <c r="I466" s="34"/>
      <c r="J466" s="34"/>
      <c r="K466" s="34"/>
      <c r="L466" s="34"/>
      <c r="M466" s="34"/>
      <c r="N466" s="34"/>
      <c r="O466" s="34"/>
      <c r="P466" s="34"/>
      <c r="Q466" s="3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54"/>
    </row>
    <row r="467">
      <c r="A467" s="53"/>
      <c r="B467" s="34"/>
      <c r="C467" s="34"/>
      <c r="D467" s="34"/>
      <c r="E467" s="34"/>
      <c r="F467" s="34"/>
      <c r="G467" s="34"/>
      <c r="H467" s="34"/>
      <c r="I467" s="34"/>
      <c r="J467" s="34"/>
      <c r="K467" s="34"/>
      <c r="L467" s="34"/>
      <c r="M467" s="34"/>
      <c r="N467" s="34"/>
      <c r="O467" s="34"/>
      <c r="P467" s="34"/>
      <c r="Q467" s="3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54"/>
    </row>
    <row r="468">
      <c r="A468" s="53"/>
      <c r="B468" s="34"/>
      <c r="C468" s="34"/>
      <c r="D468" s="34"/>
      <c r="E468" s="34"/>
      <c r="F468" s="34"/>
      <c r="G468" s="34"/>
      <c r="H468" s="34"/>
      <c r="I468" s="34"/>
      <c r="J468" s="34"/>
      <c r="K468" s="34"/>
      <c r="L468" s="34"/>
      <c r="M468" s="34"/>
      <c r="N468" s="34"/>
      <c r="O468" s="34"/>
      <c r="P468" s="34"/>
      <c r="Q468" s="3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54"/>
    </row>
    <row r="469">
      <c r="A469" s="53"/>
      <c r="B469" s="34"/>
      <c r="C469" s="34"/>
      <c r="D469" s="34"/>
      <c r="E469" s="34"/>
      <c r="F469" s="34"/>
      <c r="G469" s="34"/>
      <c r="H469" s="34"/>
      <c r="I469" s="34"/>
      <c r="J469" s="34"/>
      <c r="K469" s="34"/>
      <c r="L469" s="34"/>
      <c r="M469" s="34"/>
      <c r="N469" s="34"/>
      <c r="O469" s="34"/>
      <c r="P469" s="34"/>
      <c r="Q469" s="3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54"/>
    </row>
    <row r="470">
      <c r="A470" s="53"/>
      <c r="B470" s="34"/>
      <c r="C470" s="34"/>
      <c r="D470" s="34"/>
      <c r="E470" s="34"/>
      <c r="F470" s="34"/>
      <c r="G470" s="34"/>
      <c r="H470" s="34"/>
      <c r="I470" s="34"/>
      <c r="J470" s="34"/>
      <c r="K470" s="34"/>
      <c r="L470" s="34"/>
      <c r="M470" s="34"/>
      <c r="N470" s="34"/>
      <c r="O470" s="34"/>
      <c r="P470" s="34"/>
      <c r="Q470" s="3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54"/>
    </row>
    <row r="471">
      <c r="A471" s="53"/>
      <c r="B471" s="34"/>
      <c r="C471" s="34"/>
      <c r="D471" s="34"/>
      <c r="E471" s="34"/>
      <c r="F471" s="34"/>
      <c r="G471" s="34"/>
      <c r="H471" s="34"/>
      <c r="I471" s="34"/>
      <c r="J471" s="34"/>
      <c r="K471" s="34"/>
      <c r="L471" s="34"/>
      <c r="M471" s="34"/>
      <c r="N471" s="34"/>
      <c r="O471" s="34"/>
      <c r="P471" s="34"/>
      <c r="Q471" s="3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54"/>
    </row>
    <row r="472">
      <c r="A472" s="53"/>
      <c r="B472" s="34"/>
      <c r="C472" s="34"/>
      <c r="D472" s="34"/>
      <c r="E472" s="34"/>
      <c r="F472" s="34"/>
      <c r="G472" s="34"/>
      <c r="H472" s="34"/>
      <c r="I472" s="34"/>
      <c r="J472" s="34"/>
      <c r="K472" s="34"/>
      <c r="L472" s="34"/>
      <c r="M472" s="34"/>
      <c r="N472" s="34"/>
      <c r="O472" s="34"/>
      <c r="P472" s="34"/>
      <c r="Q472" s="3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54"/>
    </row>
    <row r="473">
      <c r="A473" s="53"/>
      <c r="B473" s="34"/>
      <c r="C473" s="34"/>
      <c r="D473" s="34"/>
      <c r="E473" s="34"/>
      <c r="F473" s="34"/>
      <c r="G473" s="34"/>
      <c r="H473" s="34"/>
      <c r="I473" s="34"/>
      <c r="J473" s="34"/>
      <c r="K473" s="34"/>
      <c r="L473" s="34"/>
      <c r="M473" s="34"/>
      <c r="N473" s="34"/>
      <c r="O473" s="34"/>
      <c r="P473" s="34"/>
      <c r="Q473" s="3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54"/>
    </row>
    <row r="474">
      <c r="A474" s="53"/>
      <c r="B474" s="34"/>
      <c r="C474" s="34"/>
      <c r="D474" s="34"/>
      <c r="E474" s="34"/>
      <c r="F474" s="34"/>
      <c r="G474" s="34"/>
      <c r="H474" s="34"/>
      <c r="I474" s="34"/>
      <c r="J474" s="34"/>
      <c r="K474" s="34"/>
      <c r="L474" s="34"/>
      <c r="M474" s="34"/>
      <c r="N474" s="34"/>
      <c r="O474" s="34"/>
      <c r="P474" s="34"/>
      <c r="Q474" s="3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54"/>
    </row>
    <row r="475">
      <c r="A475" s="53"/>
      <c r="B475" s="34"/>
      <c r="C475" s="34"/>
      <c r="D475" s="34"/>
      <c r="E475" s="34"/>
      <c r="F475" s="34"/>
      <c r="G475" s="34"/>
      <c r="H475" s="34"/>
      <c r="I475" s="34"/>
      <c r="J475" s="34"/>
      <c r="K475" s="34"/>
      <c r="L475" s="34"/>
      <c r="M475" s="34"/>
      <c r="N475" s="34"/>
      <c r="O475" s="34"/>
      <c r="P475" s="34"/>
      <c r="Q475" s="3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54"/>
    </row>
    <row r="476">
      <c r="A476" s="53"/>
      <c r="B476" s="34"/>
      <c r="C476" s="34"/>
      <c r="D476" s="34"/>
      <c r="E476" s="34"/>
      <c r="F476" s="34"/>
      <c r="G476" s="34"/>
      <c r="H476" s="34"/>
      <c r="I476" s="34"/>
      <c r="J476" s="34"/>
      <c r="K476" s="34"/>
      <c r="L476" s="34"/>
      <c r="M476" s="34"/>
      <c r="N476" s="34"/>
      <c r="O476" s="34"/>
      <c r="P476" s="34"/>
      <c r="Q476" s="3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54"/>
    </row>
    <row r="477">
      <c r="A477" s="53"/>
      <c r="B477" s="34"/>
      <c r="C477" s="34"/>
      <c r="D477" s="34"/>
      <c r="E477" s="34"/>
      <c r="F477" s="34"/>
      <c r="G477" s="34"/>
      <c r="H477" s="34"/>
      <c r="I477" s="34"/>
      <c r="J477" s="34"/>
      <c r="K477" s="34"/>
      <c r="L477" s="34"/>
      <c r="M477" s="34"/>
      <c r="N477" s="34"/>
      <c r="O477" s="34"/>
      <c r="P477" s="34"/>
      <c r="Q477" s="3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54"/>
    </row>
    <row r="478">
      <c r="A478" s="53"/>
      <c r="B478" s="34"/>
      <c r="C478" s="34"/>
      <c r="D478" s="34"/>
      <c r="E478" s="34"/>
      <c r="F478" s="34"/>
      <c r="G478" s="34"/>
      <c r="H478" s="34"/>
      <c r="I478" s="34"/>
      <c r="J478" s="34"/>
      <c r="K478" s="34"/>
      <c r="L478" s="34"/>
      <c r="M478" s="34"/>
      <c r="N478" s="34"/>
      <c r="O478" s="34"/>
      <c r="P478" s="34"/>
      <c r="Q478" s="3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54"/>
    </row>
    <row r="479">
      <c r="A479" s="53"/>
      <c r="B479" s="34"/>
      <c r="C479" s="34"/>
      <c r="D479" s="34"/>
      <c r="E479" s="34"/>
      <c r="F479" s="34"/>
      <c r="G479" s="34"/>
      <c r="H479" s="34"/>
      <c r="I479" s="34"/>
      <c r="J479" s="34"/>
      <c r="K479" s="34"/>
      <c r="L479" s="34"/>
      <c r="M479" s="34"/>
      <c r="N479" s="34"/>
      <c r="O479" s="34"/>
      <c r="P479" s="34"/>
      <c r="Q479" s="3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54"/>
    </row>
    <row r="480">
      <c r="A480" s="53"/>
      <c r="B480" s="34"/>
      <c r="C480" s="34"/>
      <c r="D480" s="34"/>
      <c r="E480" s="34"/>
      <c r="F480" s="34"/>
      <c r="G480" s="34"/>
      <c r="H480" s="34"/>
      <c r="I480" s="34"/>
      <c r="J480" s="34"/>
      <c r="K480" s="34"/>
      <c r="L480" s="34"/>
      <c r="M480" s="34"/>
      <c r="N480" s="34"/>
      <c r="O480" s="34"/>
      <c r="P480" s="34"/>
      <c r="Q480" s="3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54"/>
    </row>
    <row r="481">
      <c r="A481" s="53"/>
      <c r="B481" s="34"/>
      <c r="C481" s="34"/>
      <c r="D481" s="34"/>
      <c r="E481" s="34"/>
      <c r="F481" s="34"/>
      <c r="G481" s="34"/>
      <c r="H481" s="34"/>
      <c r="I481" s="34"/>
      <c r="J481" s="34"/>
      <c r="K481" s="34"/>
      <c r="L481" s="34"/>
      <c r="M481" s="34"/>
      <c r="N481" s="34"/>
      <c r="O481" s="34"/>
      <c r="P481" s="34"/>
      <c r="Q481" s="3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54"/>
    </row>
    <row r="482">
      <c r="A482" s="53"/>
      <c r="B482" s="34"/>
      <c r="C482" s="34"/>
      <c r="D482" s="34"/>
      <c r="E482" s="34"/>
      <c r="F482" s="34"/>
      <c r="G482" s="34"/>
      <c r="H482" s="34"/>
      <c r="I482" s="34"/>
      <c r="J482" s="34"/>
      <c r="K482" s="34"/>
      <c r="L482" s="34"/>
      <c r="M482" s="34"/>
      <c r="N482" s="34"/>
      <c r="O482" s="34"/>
      <c r="P482" s="34"/>
      <c r="Q482" s="3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54"/>
    </row>
    <row r="483">
      <c r="A483" s="53"/>
      <c r="B483" s="34"/>
      <c r="C483" s="34"/>
      <c r="D483" s="34"/>
      <c r="E483" s="34"/>
      <c r="F483" s="34"/>
      <c r="G483" s="34"/>
      <c r="H483" s="34"/>
      <c r="I483" s="34"/>
      <c r="J483" s="34"/>
      <c r="K483" s="34"/>
      <c r="L483" s="34"/>
      <c r="M483" s="34"/>
      <c r="N483" s="34"/>
      <c r="O483" s="34"/>
      <c r="P483" s="34"/>
      <c r="Q483" s="3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54"/>
    </row>
    <row r="484">
      <c r="A484" s="53"/>
      <c r="B484" s="34"/>
      <c r="C484" s="34"/>
      <c r="D484" s="34"/>
      <c r="E484" s="34"/>
      <c r="F484" s="34"/>
      <c r="G484" s="34"/>
      <c r="H484" s="34"/>
      <c r="I484" s="34"/>
      <c r="J484" s="34"/>
      <c r="K484" s="34"/>
      <c r="L484" s="34"/>
      <c r="M484" s="34"/>
      <c r="N484" s="34"/>
      <c r="O484" s="34"/>
      <c r="P484" s="34"/>
      <c r="Q484" s="3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54"/>
    </row>
    <row r="485">
      <c r="A485" s="53"/>
      <c r="B485" s="34"/>
      <c r="C485" s="34"/>
      <c r="D485" s="34"/>
      <c r="E485" s="34"/>
      <c r="F485" s="34"/>
      <c r="G485" s="34"/>
      <c r="H485" s="34"/>
      <c r="I485" s="34"/>
      <c r="J485" s="34"/>
      <c r="K485" s="34"/>
      <c r="L485" s="34"/>
      <c r="M485" s="34"/>
      <c r="N485" s="34"/>
      <c r="O485" s="34"/>
      <c r="P485" s="34"/>
      <c r="Q485" s="3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54"/>
    </row>
    <row r="486">
      <c r="A486" s="53"/>
      <c r="B486" s="34"/>
      <c r="C486" s="34"/>
      <c r="D486" s="34"/>
      <c r="E486" s="34"/>
      <c r="F486" s="34"/>
      <c r="G486" s="34"/>
      <c r="H486" s="34"/>
      <c r="I486" s="34"/>
      <c r="J486" s="34"/>
      <c r="K486" s="34"/>
      <c r="L486" s="34"/>
      <c r="M486" s="34"/>
      <c r="N486" s="34"/>
      <c r="O486" s="34"/>
      <c r="P486" s="34"/>
      <c r="Q486" s="3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54"/>
    </row>
    <row r="487">
      <c r="A487" s="53"/>
      <c r="B487" s="34"/>
      <c r="C487" s="34"/>
      <c r="D487" s="34"/>
      <c r="E487" s="34"/>
      <c r="F487" s="34"/>
      <c r="G487" s="34"/>
      <c r="H487" s="34"/>
      <c r="I487" s="34"/>
      <c r="J487" s="34"/>
      <c r="K487" s="34"/>
      <c r="L487" s="34"/>
      <c r="M487" s="34"/>
      <c r="N487" s="34"/>
      <c r="O487" s="34"/>
      <c r="P487" s="34"/>
      <c r="Q487" s="3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54"/>
    </row>
    <row r="488">
      <c r="A488" s="53"/>
      <c r="B488" s="34"/>
      <c r="C488" s="34"/>
      <c r="D488" s="34"/>
      <c r="E488" s="34"/>
      <c r="F488" s="34"/>
      <c r="G488" s="34"/>
      <c r="H488" s="34"/>
      <c r="I488" s="34"/>
      <c r="J488" s="34"/>
      <c r="K488" s="34"/>
      <c r="L488" s="34"/>
      <c r="M488" s="34"/>
      <c r="N488" s="34"/>
      <c r="O488" s="34"/>
      <c r="P488" s="34"/>
      <c r="Q488" s="3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54"/>
    </row>
    <row r="489">
      <c r="A489" s="53"/>
      <c r="B489" s="34"/>
      <c r="C489" s="34"/>
      <c r="D489" s="34"/>
      <c r="E489" s="34"/>
      <c r="F489" s="34"/>
      <c r="G489" s="34"/>
      <c r="H489" s="34"/>
      <c r="I489" s="34"/>
      <c r="J489" s="34"/>
      <c r="K489" s="34"/>
      <c r="L489" s="34"/>
      <c r="M489" s="34"/>
      <c r="N489" s="34"/>
      <c r="O489" s="34"/>
      <c r="P489" s="34"/>
      <c r="Q489" s="3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54"/>
    </row>
    <row r="490">
      <c r="A490" s="53"/>
      <c r="B490" s="34"/>
      <c r="C490" s="34"/>
      <c r="D490" s="34"/>
      <c r="E490" s="34"/>
      <c r="F490" s="34"/>
      <c r="G490" s="34"/>
      <c r="H490" s="34"/>
      <c r="I490" s="34"/>
      <c r="J490" s="34"/>
      <c r="K490" s="34"/>
      <c r="L490" s="34"/>
      <c r="M490" s="34"/>
      <c r="N490" s="34"/>
      <c r="O490" s="34"/>
      <c r="P490" s="34"/>
      <c r="Q490" s="3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54"/>
    </row>
    <row r="491">
      <c r="A491" s="53"/>
      <c r="B491" s="34"/>
      <c r="C491" s="34"/>
      <c r="D491" s="34"/>
      <c r="E491" s="34"/>
      <c r="F491" s="34"/>
      <c r="G491" s="34"/>
      <c r="H491" s="34"/>
      <c r="I491" s="34"/>
      <c r="J491" s="34"/>
      <c r="K491" s="34"/>
      <c r="L491" s="34"/>
      <c r="M491" s="34"/>
      <c r="N491" s="34"/>
      <c r="O491" s="34"/>
      <c r="P491" s="34"/>
      <c r="Q491" s="3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54"/>
    </row>
    <row r="492">
      <c r="A492" s="53"/>
      <c r="B492" s="34"/>
      <c r="C492" s="34"/>
      <c r="D492" s="34"/>
      <c r="E492" s="34"/>
      <c r="F492" s="34"/>
      <c r="G492" s="34"/>
      <c r="H492" s="34"/>
      <c r="I492" s="34"/>
      <c r="J492" s="34"/>
      <c r="K492" s="34"/>
      <c r="L492" s="34"/>
      <c r="M492" s="34"/>
      <c r="N492" s="34"/>
      <c r="O492" s="34"/>
      <c r="P492" s="34"/>
      <c r="Q492" s="3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54"/>
    </row>
    <row r="493">
      <c r="A493" s="53"/>
      <c r="B493" s="34"/>
      <c r="C493" s="34"/>
      <c r="D493" s="34"/>
      <c r="E493" s="34"/>
      <c r="F493" s="34"/>
      <c r="G493" s="34"/>
      <c r="H493" s="34"/>
      <c r="I493" s="34"/>
      <c r="J493" s="34"/>
      <c r="K493" s="34"/>
      <c r="L493" s="34"/>
      <c r="M493" s="34"/>
      <c r="N493" s="34"/>
      <c r="O493" s="34"/>
      <c r="P493" s="34"/>
      <c r="Q493" s="3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54"/>
    </row>
    <row r="494">
      <c r="A494" s="53"/>
      <c r="B494" s="34"/>
      <c r="C494" s="34"/>
      <c r="D494" s="34"/>
      <c r="E494" s="34"/>
      <c r="F494" s="34"/>
      <c r="G494" s="34"/>
      <c r="H494" s="34"/>
      <c r="I494" s="34"/>
      <c r="J494" s="34"/>
      <c r="K494" s="34"/>
      <c r="L494" s="34"/>
      <c r="M494" s="34"/>
      <c r="N494" s="34"/>
      <c r="O494" s="34"/>
      <c r="P494" s="34"/>
      <c r="Q494" s="3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54"/>
    </row>
    <row r="495">
      <c r="A495" s="53"/>
      <c r="B495" s="34"/>
      <c r="C495" s="34"/>
      <c r="D495" s="34"/>
      <c r="E495" s="34"/>
      <c r="F495" s="34"/>
      <c r="G495" s="34"/>
      <c r="H495" s="34"/>
      <c r="I495" s="34"/>
      <c r="J495" s="34"/>
      <c r="K495" s="34"/>
      <c r="L495" s="34"/>
      <c r="M495" s="34"/>
      <c r="N495" s="34"/>
      <c r="O495" s="34"/>
      <c r="P495" s="34"/>
      <c r="Q495" s="3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54"/>
    </row>
    <row r="496">
      <c r="A496" s="53"/>
      <c r="B496" s="34"/>
      <c r="C496" s="34"/>
      <c r="D496" s="34"/>
      <c r="E496" s="34"/>
      <c r="F496" s="34"/>
      <c r="G496" s="34"/>
      <c r="H496" s="34"/>
      <c r="I496" s="34"/>
      <c r="J496" s="34"/>
      <c r="K496" s="34"/>
      <c r="L496" s="34"/>
      <c r="M496" s="34"/>
      <c r="N496" s="34"/>
      <c r="O496" s="34"/>
      <c r="P496" s="34"/>
      <c r="Q496" s="3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54"/>
    </row>
    <row r="497">
      <c r="A497" s="53"/>
      <c r="B497" s="34"/>
      <c r="C497" s="34"/>
      <c r="D497" s="34"/>
      <c r="E497" s="34"/>
      <c r="F497" s="34"/>
      <c r="G497" s="34"/>
      <c r="H497" s="34"/>
      <c r="I497" s="34"/>
      <c r="J497" s="34"/>
      <c r="K497" s="34"/>
      <c r="L497" s="34"/>
      <c r="M497" s="34"/>
      <c r="N497" s="34"/>
      <c r="O497" s="34"/>
      <c r="P497" s="34"/>
      <c r="Q497" s="3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54"/>
    </row>
    <row r="498">
      <c r="A498" s="53"/>
      <c r="B498" s="34"/>
      <c r="C498" s="34"/>
      <c r="D498" s="34"/>
      <c r="E498" s="34"/>
      <c r="F498" s="34"/>
      <c r="G498" s="34"/>
      <c r="H498" s="34"/>
      <c r="I498" s="34"/>
      <c r="J498" s="34"/>
      <c r="K498" s="34"/>
      <c r="L498" s="34"/>
      <c r="M498" s="34"/>
      <c r="N498" s="34"/>
      <c r="O498" s="34"/>
      <c r="P498" s="34"/>
      <c r="Q498" s="3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54"/>
    </row>
    <row r="499">
      <c r="A499" s="53"/>
      <c r="B499" s="34"/>
      <c r="C499" s="34"/>
      <c r="D499" s="34"/>
      <c r="E499" s="34"/>
      <c r="F499" s="34"/>
      <c r="G499" s="34"/>
      <c r="H499" s="34"/>
      <c r="I499" s="34"/>
      <c r="J499" s="34"/>
      <c r="K499" s="34"/>
      <c r="L499" s="34"/>
      <c r="M499" s="34"/>
      <c r="N499" s="34"/>
      <c r="O499" s="34"/>
      <c r="P499" s="34"/>
      <c r="Q499" s="3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54"/>
    </row>
    <row r="500">
      <c r="A500" s="53"/>
      <c r="B500" s="34"/>
      <c r="C500" s="34"/>
      <c r="D500" s="34"/>
      <c r="E500" s="34"/>
      <c r="F500" s="34"/>
      <c r="G500" s="34"/>
      <c r="H500" s="34"/>
      <c r="I500" s="34"/>
      <c r="J500" s="34"/>
      <c r="K500" s="34"/>
      <c r="L500" s="34"/>
      <c r="M500" s="34"/>
      <c r="N500" s="34"/>
      <c r="O500" s="34"/>
      <c r="P500" s="34"/>
      <c r="Q500" s="3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54"/>
    </row>
    <row r="501">
      <c r="A501" s="53"/>
      <c r="B501" s="34"/>
      <c r="C501" s="34"/>
      <c r="D501" s="34"/>
      <c r="E501" s="34"/>
      <c r="F501" s="34"/>
      <c r="G501" s="34"/>
      <c r="H501" s="34"/>
      <c r="I501" s="34"/>
      <c r="J501" s="34"/>
      <c r="K501" s="34"/>
      <c r="L501" s="34"/>
      <c r="M501" s="34"/>
      <c r="N501" s="34"/>
      <c r="O501" s="34"/>
      <c r="P501" s="34"/>
      <c r="Q501" s="3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54"/>
    </row>
    <row r="502">
      <c r="A502" s="53"/>
      <c r="B502" s="34"/>
      <c r="C502" s="34"/>
      <c r="D502" s="34"/>
      <c r="E502" s="34"/>
      <c r="F502" s="34"/>
      <c r="G502" s="34"/>
      <c r="H502" s="34"/>
      <c r="I502" s="34"/>
      <c r="J502" s="34"/>
      <c r="K502" s="34"/>
      <c r="L502" s="34"/>
      <c r="M502" s="34"/>
      <c r="N502" s="34"/>
      <c r="O502" s="34"/>
      <c r="P502" s="34"/>
      <c r="Q502" s="3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54"/>
    </row>
    <row r="503">
      <c r="A503" s="53"/>
      <c r="B503" s="34"/>
      <c r="C503" s="34"/>
      <c r="D503" s="34"/>
      <c r="E503" s="34"/>
      <c r="F503" s="34"/>
      <c r="G503" s="34"/>
      <c r="H503" s="34"/>
      <c r="I503" s="34"/>
      <c r="J503" s="34"/>
      <c r="K503" s="34"/>
      <c r="L503" s="34"/>
      <c r="M503" s="34"/>
      <c r="N503" s="34"/>
      <c r="O503" s="34"/>
      <c r="P503" s="34"/>
      <c r="Q503" s="3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54"/>
    </row>
    <row r="504">
      <c r="A504" s="53"/>
      <c r="B504" s="34"/>
      <c r="C504" s="34"/>
      <c r="D504" s="34"/>
      <c r="E504" s="34"/>
      <c r="F504" s="34"/>
      <c r="G504" s="34"/>
      <c r="H504" s="34"/>
      <c r="I504" s="34"/>
      <c r="J504" s="34"/>
      <c r="K504" s="34"/>
      <c r="L504" s="34"/>
      <c r="M504" s="34"/>
      <c r="N504" s="34"/>
      <c r="O504" s="34"/>
      <c r="P504" s="34"/>
      <c r="Q504" s="3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54"/>
    </row>
    <row r="505">
      <c r="A505" s="53"/>
      <c r="B505" s="34"/>
      <c r="C505" s="34"/>
      <c r="D505" s="34"/>
      <c r="E505" s="34"/>
      <c r="F505" s="34"/>
      <c r="G505" s="34"/>
      <c r="H505" s="34"/>
      <c r="I505" s="34"/>
      <c r="J505" s="34"/>
      <c r="K505" s="34"/>
      <c r="L505" s="34"/>
      <c r="M505" s="34"/>
      <c r="N505" s="34"/>
      <c r="O505" s="34"/>
      <c r="P505" s="34"/>
      <c r="Q505" s="3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54"/>
    </row>
    <row r="506">
      <c r="A506" s="53"/>
      <c r="B506" s="34"/>
      <c r="C506" s="34"/>
      <c r="D506" s="34"/>
      <c r="E506" s="34"/>
      <c r="F506" s="34"/>
      <c r="G506" s="34"/>
      <c r="H506" s="34"/>
      <c r="I506" s="34"/>
      <c r="J506" s="34"/>
      <c r="K506" s="34"/>
      <c r="L506" s="34"/>
      <c r="M506" s="34"/>
      <c r="N506" s="34"/>
      <c r="O506" s="34"/>
      <c r="P506" s="34"/>
      <c r="Q506" s="3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54"/>
    </row>
    <row r="507">
      <c r="A507" s="53"/>
      <c r="B507" s="34"/>
      <c r="C507" s="34"/>
      <c r="D507" s="34"/>
      <c r="E507" s="34"/>
      <c r="F507" s="34"/>
      <c r="G507" s="34"/>
      <c r="H507" s="34"/>
      <c r="I507" s="34"/>
      <c r="J507" s="34"/>
      <c r="K507" s="34"/>
      <c r="L507" s="34"/>
      <c r="M507" s="34"/>
      <c r="N507" s="34"/>
      <c r="O507" s="34"/>
      <c r="P507" s="34"/>
      <c r="Q507" s="3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54"/>
    </row>
    <row r="508">
      <c r="A508" s="53"/>
      <c r="B508" s="34"/>
      <c r="C508" s="34"/>
      <c r="D508" s="34"/>
      <c r="E508" s="34"/>
      <c r="F508" s="34"/>
      <c r="G508" s="34"/>
      <c r="H508" s="34"/>
      <c r="I508" s="34"/>
      <c r="J508" s="34"/>
      <c r="K508" s="34"/>
      <c r="L508" s="34"/>
      <c r="M508" s="34"/>
      <c r="N508" s="34"/>
      <c r="O508" s="34"/>
      <c r="P508" s="34"/>
      <c r="Q508" s="3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54"/>
    </row>
    <row r="509">
      <c r="A509" s="53"/>
      <c r="B509" s="34"/>
      <c r="C509" s="34"/>
      <c r="D509" s="34"/>
      <c r="E509" s="34"/>
      <c r="F509" s="34"/>
      <c r="G509" s="34"/>
      <c r="H509" s="34"/>
      <c r="I509" s="34"/>
      <c r="J509" s="34"/>
      <c r="K509" s="34"/>
      <c r="L509" s="34"/>
      <c r="M509" s="34"/>
      <c r="N509" s="34"/>
      <c r="O509" s="34"/>
      <c r="P509" s="34"/>
      <c r="Q509" s="3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54"/>
    </row>
    <row r="510">
      <c r="A510" s="53"/>
      <c r="B510" s="34"/>
      <c r="C510" s="34"/>
      <c r="D510" s="34"/>
      <c r="E510" s="34"/>
      <c r="F510" s="34"/>
      <c r="G510" s="34"/>
      <c r="H510" s="34"/>
      <c r="I510" s="34"/>
      <c r="J510" s="34"/>
      <c r="K510" s="34"/>
      <c r="L510" s="34"/>
      <c r="M510" s="34"/>
      <c r="N510" s="34"/>
      <c r="O510" s="34"/>
      <c r="P510" s="34"/>
      <c r="Q510" s="3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54"/>
    </row>
    <row r="511">
      <c r="A511" s="53"/>
      <c r="B511" s="34"/>
      <c r="C511" s="34"/>
      <c r="D511" s="34"/>
      <c r="E511" s="34"/>
      <c r="F511" s="34"/>
      <c r="G511" s="34"/>
      <c r="H511" s="34"/>
      <c r="I511" s="34"/>
      <c r="J511" s="34"/>
      <c r="K511" s="34"/>
      <c r="L511" s="34"/>
      <c r="M511" s="34"/>
      <c r="N511" s="34"/>
      <c r="O511" s="34"/>
      <c r="P511" s="34"/>
      <c r="Q511" s="3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54"/>
    </row>
    <row r="512">
      <c r="A512" s="53"/>
      <c r="B512" s="34"/>
      <c r="C512" s="34"/>
      <c r="D512" s="34"/>
      <c r="E512" s="34"/>
      <c r="F512" s="34"/>
      <c r="G512" s="34"/>
      <c r="H512" s="34"/>
      <c r="I512" s="34"/>
      <c r="J512" s="34"/>
      <c r="K512" s="34"/>
      <c r="L512" s="34"/>
      <c r="M512" s="34"/>
      <c r="N512" s="34"/>
      <c r="O512" s="34"/>
      <c r="P512" s="34"/>
      <c r="Q512" s="3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54"/>
    </row>
    <row r="513">
      <c r="A513" s="53"/>
      <c r="B513" s="34"/>
      <c r="C513" s="34"/>
      <c r="D513" s="34"/>
      <c r="E513" s="34"/>
      <c r="F513" s="34"/>
      <c r="G513" s="34"/>
      <c r="H513" s="34"/>
      <c r="I513" s="34"/>
      <c r="J513" s="34"/>
      <c r="K513" s="34"/>
      <c r="L513" s="34"/>
      <c r="M513" s="34"/>
      <c r="N513" s="34"/>
      <c r="O513" s="34"/>
      <c r="P513" s="34"/>
      <c r="Q513" s="3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54"/>
    </row>
    <row r="514">
      <c r="A514" s="53"/>
      <c r="B514" s="34"/>
      <c r="C514" s="34"/>
      <c r="D514" s="34"/>
      <c r="E514" s="34"/>
      <c r="F514" s="34"/>
      <c r="G514" s="34"/>
      <c r="H514" s="34"/>
      <c r="I514" s="34"/>
      <c r="J514" s="34"/>
      <c r="K514" s="34"/>
      <c r="L514" s="34"/>
      <c r="M514" s="34"/>
      <c r="N514" s="34"/>
      <c r="O514" s="34"/>
      <c r="P514" s="34"/>
      <c r="Q514" s="3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54"/>
    </row>
    <row r="515">
      <c r="A515" s="53"/>
      <c r="B515" s="34"/>
      <c r="C515" s="34"/>
      <c r="D515" s="34"/>
      <c r="E515" s="34"/>
      <c r="F515" s="34"/>
      <c r="G515" s="34"/>
      <c r="H515" s="34"/>
      <c r="I515" s="34"/>
      <c r="J515" s="34"/>
      <c r="K515" s="34"/>
      <c r="L515" s="34"/>
      <c r="M515" s="34"/>
      <c r="N515" s="34"/>
      <c r="O515" s="34"/>
      <c r="P515" s="34"/>
      <c r="Q515" s="3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54"/>
    </row>
    <row r="516">
      <c r="A516" s="53"/>
      <c r="B516" s="34"/>
      <c r="C516" s="34"/>
      <c r="D516" s="34"/>
      <c r="E516" s="34"/>
      <c r="F516" s="34"/>
      <c r="G516" s="34"/>
      <c r="H516" s="34"/>
      <c r="I516" s="34"/>
      <c r="J516" s="34"/>
      <c r="K516" s="34"/>
      <c r="L516" s="34"/>
      <c r="M516" s="34"/>
      <c r="N516" s="34"/>
      <c r="O516" s="34"/>
      <c r="P516" s="34"/>
      <c r="Q516" s="3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54"/>
    </row>
    <row r="517">
      <c r="A517" s="53"/>
      <c r="B517" s="34"/>
      <c r="C517" s="34"/>
      <c r="D517" s="34"/>
      <c r="E517" s="34"/>
      <c r="F517" s="34"/>
      <c r="G517" s="34"/>
      <c r="H517" s="34"/>
      <c r="I517" s="34"/>
      <c r="J517" s="34"/>
      <c r="K517" s="34"/>
      <c r="L517" s="34"/>
      <c r="M517" s="34"/>
      <c r="N517" s="34"/>
      <c r="O517" s="34"/>
      <c r="P517" s="34"/>
      <c r="Q517" s="3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54"/>
    </row>
    <row r="518">
      <c r="A518" s="53"/>
      <c r="B518" s="34"/>
      <c r="C518" s="34"/>
      <c r="D518" s="34"/>
      <c r="E518" s="34"/>
      <c r="F518" s="34"/>
      <c r="G518" s="34"/>
      <c r="H518" s="34"/>
      <c r="I518" s="34"/>
      <c r="J518" s="34"/>
      <c r="K518" s="34"/>
      <c r="L518" s="34"/>
      <c r="M518" s="34"/>
      <c r="N518" s="34"/>
      <c r="O518" s="34"/>
      <c r="P518" s="34"/>
      <c r="Q518" s="3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54"/>
    </row>
    <row r="519">
      <c r="A519" s="53"/>
      <c r="B519" s="34"/>
      <c r="C519" s="34"/>
      <c r="D519" s="34"/>
      <c r="E519" s="34"/>
      <c r="F519" s="34"/>
      <c r="G519" s="34"/>
      <c r="H519" s="34"/>
      <c r="I519" s="34"/>
      <c r="J519" s="34"/>
      <c r="K519" s="34"/>
      <c r="L519" s="34"/>
      <c r="M519" s="34"/>
      <c r="N519" s="34"/>
      <c r="O519" s="34"/>
      <c r="P519" s="34"/>
      <c r="Q519" s="3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54"/>
    </row>
    <row r="520">
      <c r="A520" s="53"/>
      <c r="B520" s="34"/>
      <c r="C520" s="34"/>
      <c r="D520" s="34"/>
      <c r="E520" s="34"/>
      <c r="F520" s="34"/>
      <c r="G520" s="34"/>
      <c r="H520" s="34"/>
      <c r="I520" s="34"/>
      <c r="J520" s="34"/>
      <c r="K520" s="34"/>
      <c r="L520" s="34"/>
      <c r="M520" s="34"/>
      <c r="N520" s="34"/>
      <c r="O520" s="34"/>
      <c r="P520" s="34"/>
      <c r="Q520" s="3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54"/>
    </row>
    <row r="521">
      <c r="A521" s="53"/>
      <c r="B521" s="34"/>
      <c r="C521" s="34"/>
      <c r="D521" s="34"/>
      <c r="E521" s="34"/>
      <c r="F521" s="34"/>
      <c r="G521" s="34"/>
      <c r="H521" s="34"/>
      <c r="I521" s="34"/>
      <c r="J521" s="34"/>
      <c r="K521" s="34"/>
      <c r="L521" s="34"/>
      <c r="M521" s="34"/>
      <c r="N521" s="34"/>
      <c r="O521" s="34"/>
      <c r="P521" s="34"/>
      <c r="Q521" s="3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54"/>
    </row>
    <row r="522">
      <c r="A522" s="53"/>
      <c r="B522" s="34"/>
      <c r="C522" s="34"/>
      <c r="D522" s="34"/>
      <c r="E522" s="34"/>
      <c r="F522" s="34"/>
      <c r="G522" s="34"/>
      <c r="H522" s="34"/>
      <c r="I522" s="34"/>
      <c r="J522" s="34"/>
      <c r="K522" s="34"/>
      <c r="L522" s="34"/>
      <c r="M522" s="34"/>
      <c r="N522" s="34"/>
      <c r="O522" s="34"/>
      <c r="P522" s="34"/>
      <c r="Q522" s="3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54"/>
    </row>
    <row r="523">
      <c r="A523" s="53"/>
      <c r="B523" s="34"/>
      <c r="C523" s="34"/>
      <c r="D523" s="34"/>
      <c r="E523" s="34"/>
      <c r="F523" s="34"/>
      <c r="G523" s="34"/>
      <c r="H523" s="34"/>
      <c r="I523" s="34"/>
      <c r="J523" s="34"/>
      <c r="K523" s="34"/>
      <c r="L523" s="34"/>
      <c r="M523" s="34"/>
      <c r="N523" s="34"/>
      <c r="O523" s="34"/>
      <c r="P523" s="34"/>
      <c r="Q523" s="3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54"/>
    </row>
    <row r="524">
      <c r="A524" s="53"/>
      <c r="B524" s="34"/>
      <c r="C524" s="34"/>
      <c r="D524" s="34"/>
      <c r="E524" s="34"/>
      <c r="F524" s="34"/>
      <c r="G524" s="34"/>
      <c r="H524" s="34"/>
      <c r="I524" s="34"/>
      <c r="J524" s="34"/>
      <c r="K524" s="34"/>
      <c r="L524" s="34"/>
      <c r="M524" s="34"/>
      <c r="N524" s="34"/>
      <c r="O524" s="34"/>
      <c r="P524" s="34"/>
      <c r="Q524" s="3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54"/>
    </row>
    <row r="525">
      <c r="A525" s="53"/>
      <c r="B525" s="34"/>
      <c r="C525" s="34"/>
      <c r="D525" s="34"/>
      <c r="E525" s="34"/>
      <c r="F525" s="34"/>
      <c r="G525" s="34"/>
      <c r="H525" s="34"/>
      <c r="I525" s="34"/>
      <c r="J525" s="34"/>
      <c r="K525" s="34"/>
      <c r="L525" s="34"/>
      <c r="M525" s="34"/>
      <c r="N525" s="34"/>
      <c r="O525" s="34"/>
      <c r="P525" s="34"/>
      <c r="Q525" s="3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54"/>
    </row>
    <row r="526">
      <c r="A526" s="53"/>
      <c r="B526" s="34"/>
      <c r="C526" s="34"/>
      <c r="D526" s="34"/>
      <c r="E526" s="34"/>
      <c r="F526" s="34"/>
      <c r="G526" s="34"/>
      <c r="H526" s="34"/>
      <c r="I526" s="34"/>
      <c r="J526" s="34"/>
      <c r="K526" s="34"/>
      <c r="L526" s="34"/>
      <c r="M526" s="34"/>
      <c r="N526" s="34"/>
      <c r="O526" s="34"/>
      <c r="P526" s="34"/>
      <c r="Q526" s="3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54"/>
    </row>
    <row r="527">
      <c r="A527" s="53"/>
      <c r="B527" s="34"/>
      <c r="C527" s="34"/>
      <c r="D527" s="34"/>
      <c r="E527" s="34"/>
      <c r="F527" s="34"/>
      <c r="G527" s="34"/>
      <c r="H527" s="34"/>
      <c r="I527" s="34"/>
      <c r="J527" s="34"/>
      <c r="K527" s="34"/>
      <c r="L527" s="34"/>
      <c r="M527" s="34"/>
      <c r="N527" s="34"/>
      <c r="O527" s="34"/>
      <c r="P527" s="34"/>
      <c r="Q527" s="3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54"/>
    </row>
    <row r="528">
      <c r="A528" s="53"/>
      <c r="B528" s="34"/>
      <c r="C528" s="34"/>
      <c r="D528" s="34"/>
      <c r="E528" s="34"/>
      <c r="F528" s="34"/>
      <c r="G528" s="34"/>
      <c r="H528" s="34"/>
      <c r="I528" s="34"/>
      <c r="J528" s="34"/>
      <c r="K528" s="34"/>
      <c r="L528" s="34"/>
      <c r="M528" s="34"/>
      <c r="N528" s="34"/>
      <c r="O528" s="34"/>
      <c r="P528" s="34"/>
      <c r="Q528" s="3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54"/>
    </row>
    <row r="529">
      <c r="A529" s="53"/>
      <c r="B529" s="34"/>
      <c r="C529" s="34"/>
      <c r="D529" s="34"/>
      <c r="E529" s="34"/>
      <c r="F529" s="34"/>
      <c r="G529" s="34"/>
      <c r="H529" s="34"/>
      <c r="I529" s="34"/>
      <c r="J529" s="34"/>
      <c r="K529" s="34"/>
      <c r="L529" s="34"/>
      <c r="M529" s="34"/>
      <c r="N529" s="34"/>
      <c r="O529" s="34"/>
      <c r="P529" s="34"/>
      <c r="Q529" s="3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54"/>
    </row>
    <row r="530">
      <c r="A530" s="53"/>
      <c r="B530" s="34"/>
      <c r="C530" s="34"/>
      <c r="D530" s="34"/>
      <c r="E530" s="34"/>
      <c r="F530" s="34"/>
      <c r="G530" s="34"/>
      <c r="H530" s="34"/>
      <c r="I530" s="34"/>
      <c r="J530" s="34"/>
      <c r="K530" s="34"/>
      <c r="L530" s="34"/>
      <c r="M530" s="34"/>
      <c r="N530" s="34"/>
      <c r="O530" s="34"/>
      <c r="P530" s="34"/>
      <c r="Q530" s="3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54"/>
    </row>
    <row r="531">
      <c r="A531" s="53"/>
      <c r="B531" s="34"/>
      <c r="C531" s="34"/>
      <c r="D531" s="34"/>
      <c r="E531" s="34"/>
      <c r="F531" s="34"/>
      <c r="G531" s="34"/>
      <c r="H531" s="34"/>
      <c r="I531" s="34"/>
      <c r="J531" s="34"/>
      <c r="K531" s="34"/>
      <c r="L531" s="34"/>
      <c r="M531" s="34"/>
      <c r="N531" s="34"/>
      <c r="O531" s="34"/>
      <c r="P531" s="34"/>
      <c r="Q531" s="3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54"/>
    </row>
    <row r="532">
      <c r="A532" s="53"/>
      <c r="B532" s="34"/>
      <c r="C532" s="34"/>
      <c r="D532" s="34"/>
      <c r="E532" s="34"/>
      <c r="F532" s="34"/>
      <c r="G532" s="34"/>
      <c r="H532" s="34"/>
      <c r="I532" s="34"/>
      <c r="J532" s="34"/>
      <c r="K532" s="34"/>
      <c r="L532" s="34"/>
      <c r="M532" s="34"/>
      <c r="N532" s="34"/>
      <c r="O532" s="34"/>
      <c r="P532" s="34"/>
      <c r="Q532" s="3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54"/>
    </row>
    <row r="533">
      <c r="A533" s="53"/>
      <c r="B533" s="34"/>
      <c r="C533" s="34"/>
      <c r="D533" s="34"/>
      <c r="E533" s="34"/>
      <c r="F533" s="34"/>
      <c r="G533" s="34"/>
      <c r="H533" s="34"/>
      <c r="I533" s="34"/>
      <c r="J533" s="34"/>
      <c r="K533" s="34"/>
      <c r="L533" s="34"/>
      <c r="M533" s="34"/>
      <c r="N533" s="34"/>
      <c r="O533" s="34"/>
      <c r="P533" s="34"/>
      <c r="Q533" s="3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54"/>
    </row>
    <row r="534">
      <c r="A534" s="53"/>
      <c r="B534" s="34"/>
      <c r="C534" s="34"/>
      <c r="D534" s="34"/>
      <c r="E534" s="34"/>
      <c r="F534" s="34"/>
      <c r="G534" s="34"/>
      <c r="H534" s="34"/>
      <c r="I534" s="34"/>
      <c r="J534" s="34"/>
      <c r="K534" s="34"/>
      <c r="L534" s="34"/>
      <c r="M534" s="34"/>
      <c r="N534" s="34"/>
      <c r="O534" s="34"/>
      <c r="P534" s="34"/>
      <c r="Q534" s="3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54"/>
    </row>
    <row r="535">
      <c r="A535" s="53"/>
      <c r="B535" s="34"/>
      <c r="C535" s="34"/>
      <c r="D535" s="34"/>
      <c r="E535" s="34"/>
      <c r="F535" s="34"/>
      <c r="G535" s="34"/>
      <c r="H535" s="34"/>
      <c r="I535" s="34"/>
      <c r="J535" s="34"/>
      <c r="K535" s="34"/>
      <c r="L535" s="34"/>
      <c r="M535" s="34"/>
      <c r="N535" s="34"/>
      <c r="O535" s="34"/>
      <c r="P535" s="34"/>
      <c r="Q535" s="3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54"/>
    </row>
    <row r="536">
      <c r="A536" s="53"/>
      <c r="B536" s="34"/>
      <c r="C536" s="34"/>
      <c r="D536" s="34"/>
      <c r="E536" s="34"/>
      <c r="F536" s="34"/>
      <c r="G536" s="34"/>
      <c r="H536" s="34"/>
      <c r="I536" s="34"/>
      <c r="J536" s="34"/>
      <c r="K536" s="34"/>
      <c r="L536" s="34"/>
      <c r="M536" s="34"/>
      <c r="N536" s="34"/>
      <c r="O536" s="34"/>
      <c r="P536" s="34"/>
      <c r="Q536" s="3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54"/>
    </row>
    <row r="537">
      <c r="A537" s="53"/>
      <c r="B537" s="34"/>
      <c r="C537" s="34"/>
      <c r="D537" s="34"/>
      <c r="E537" s="34"/>
      <c r="F537" s="34"/>
      <c r="G537" s="34"/>
      <c r="H537" s="34"/>
      <c r="I537" s="34"/>
      <c r="J537" s="34"/>
      <c r="K537" s="34"/>
      <c r="L537" s="34"/>
      <c r="M537" s="34"/>
      <c r="N537" s="34"/>
      <c r="O537" s="34"/>
      <c r="P537" s="34"/>
      <c r="Q537" s="3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54"/>
    </row>
    <row r="538">
      <c r="A538" s="53"/>
      <c r="B538" s="34"/>
      <c r="C538" s="34"/>
      <c r="D538" s="34"/>
      <c r="E538" s="34"/>
      <c r="F538" s="34"/>
      <c r="G538" s="34"/>
      <c r="H538" s="34"/>
      <c r="I538" s="34"/>
      <c r="J538" s="34"/>
      <c r="K538" s="34"/>
      <c r="L538" s="34"/>
      <c r="M538" s="34"/>
      <c r="N538" s="34"/>
      <c r="O538" s="34"/>
      <c r="P538" s="34"/>
      <c r="Q538" s="3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54"/>
    </row>
    <row r="539">
      <c r="A539" s="53"/>
      <c r="B539" s="34"/>
      <c r="C539" s="34"/>
      <c r="D539" s="34"/>
      <c r="E539" s="34"/>
      <c r="F539" s="34"/>
      <c r="G539" s="34"/>
      <c r="H539" s="34"/>
      <c r="I539" s="34"/>
      <c r="J539" s="34"/>
      <c r="K539" s="34"/>
      <c r="L539" s="34"/>
      <c r="M539" s="34"/>
      <c r="N539" s="34"/>
      <c r="O539" s="34"/>
      <c r="P539" s="34"/>
      <c r="Q539" s="3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54"/>
    </row>
    <row r="540">
      <c r="A540" s="53"/>
      <c r="B540" s="34"/>
      <c r="C540" s="34"/>
      <c r="D540" s="34"/>
      <c r="E540" s="34"/>
      <c r="F540" s="34"/>
      <c r="G540" s="34"/>
      <c r="H540" s="34"/>
      <c r="I540" s="34"/>
      <c r="J540" s="34"/>
      <c r="K540" s="34"/>
      <c r="L540" s="34"/>
      <c r="M540" s="34"/>
      <c r="N540" s="34"/>
      <c r="O540" s="34"/>
      <c r="P540" s="34"/>
      <c r="Q540" s="3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54"/>
    </row>
    <row r="541">
      <c r="A541" s="53"/>
      <c r="B541" s="34"/>
      <c r="C541" s="34"/>
      <c r="D541" s="34"/>
      <c r="E541" s="34"/>
      <c r="F541" s="34"/>
      <c r="G541" s="34"/>
      <c r="H541" s="34"/>
      <c r="I541" s="34"/>
      <c r="J541" s="34"/>
      <c r="K541" s="34"/>
      <c r="L541" s="34"/>
      <c r="M541" s="34"/>
      <c r="N541" s="34"/>
      <c r="O541" s="34"/>
      <c r="P541" s="34"/>
      <c r="Q541" s="3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54"/>
    </row>
    <row r="542">
      <c r="A542" s="53"/>
      <c r="B542" s="34"/>
      <c r="C542" s="34"/>
      <c r="D542" s="34"/>
      <c r="E542" s="34"/>
      <c r="F542" s="34"/>
      <c r="G542" s="34"/>
      <c r="H542" s="34"/>
      <c r="I542" s="34"/>
      <c r="J542" s="34"/>
      <c r="K542" s="34"/>
      <c r="L542" s="34"/>
      <c r="M542" s="34"/>
      <c r="N542" s="34"/>
      <c r="O542" s="34"/>
      <c r="P542" s="34"/>
      <c r="Q542" s="3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54"/>
    </row>
    <row r="543">
      <c r="A543" s="53"/>
      <c r="B543" s="34"/>
      <c r="C543" s="34"/>
      <c r="D543" s="34"/>
      <c r="E543" s="34"/>
      <c r="F543" s="34"/>
      <c r="G543" s="34"/>
      <c r="H543" s="34"/>
      <c r="I543" s="34"/>
      <c r="J543" s="34"/>
      <c r="K543" s="34"/>
      <c r="L543" s="34"/>
      <c r="M543" s="34"/>
      <c r="N543" s="34"/>
      <c r="O543" s="34"/>
      <c r="P543" s="34"/>
      <c r="Q543" s="3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54"/>
    </row>
    <row r="544">
      <c r="A544" s="53"/>
      <c r="B544" s="34"/>
      <c r="C544" s="34"/>
      <c r="D544" s="34"/>
      <c r="E544" s="34"/>
      <c r="F544" s="34"/>
      <c r="G544" s="34"/>
      <c r="H544" s="34"/>
      <c r="I544" s="34"/>
      <c r="J544" s="34"/>
      <c r="K544" s="34"/>
      <c r="L544" s="34"/>
      <c r="M544" s="34"/>
      <c r="N544" s="34"/>
      <c r="O544" s="34"/>
      <c r="P544" s="34"/>
      <c r="Q544" s="3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54"/>
    </row>
    <row r="545">
      <c r="A545" s="53"/>
      <c r="B545" s="34"/>
      <c r="C545" s="34"/>
      <c r="D545" s="34"/>
      <c r="E545" s="34"/>
      <c r="F545" s="34"/>
      <c r="G545" s="34"/>
      <c r="H545" s="34"/>
      <c r="I545" s="34"/>
      <c r="J545" s="34"/>
      <c r="K545" s="34"/>
      <c r="L545" s="34"/>
      <c r="M545" s="34"/>
      <c r="N545" s="34"/>
      <c r="O545" s="34"/>
      <c r="P545" s="34"/>
      <c r="Q545" s="3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54"/>
    </row>
    <row r="546">
      <c r="A546" s="53"/>
      <c r="B546" s="34"/>
      <c r="C546" s="34"/>
      <c r="D546" s="34"/>
      <c r="E546" s="34"/>
      <c r="F546" s="34"/>
      <c r="G546" s="34"/>
      <c r="H546" s="34"/>
      <c r="I546" s="34"/>
      <c r="J546" s="34"/>
      <c r="K546" s="34"/>
      <c r="L546" s="34"/>
      <c r="M546" s="34"/>
      <c r="N546" s="34"/>
      <c r="O546" s="34"/>
      <c r="P546" s="34"/>
      <c r="Q546" s="3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54"/>
    </row>
    <row r="547">
      <c r="A547" s="53"/>
      <c r="B547" s="34"/>
      <c r="C547" s="34"/>
      <c r="D547" s="34"/>
      <c r="E547" s="34"/>
      <c r="F547" s="34"/>
      <c r="G547" s="34"/>
      <c r="H547" s="34"/>
      <c r="I547" s="34"/>
      <c r="J547" s="34"/>
      <c r="K547" s="34"/>
      <c r="L547" s="34"/>
      <c r="M547" s="34"/>
      <c r="N547" s="34"/>
      <c r="O547" s="34"/>
      <c r="P547" s="34"/>
      <c r="Q547" s="3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54"/>
    </row>
    <row r="548">
      <c r="A548" s="53"/>
      <c r="B548" s="34"/>
      <c r="C548" s="34"/>
      <c r="D548" s="34"/>
      <c r="E548" s="34"/>
      <c r="F548" s="34"/>
      <c r="G548" s="34"/>
      <c r="H548" s="34"/>
      <c r="I548" s="34"/>
      <c r="J548" s="34"/>
      <c r="K548" s="34"/>
      <c r="L548" s="34"/>
      <c r="M548" s="34"/>
      <c r="N548" s="34"/>
      <c r="O548" s="34"/>
      <c r="P548" s="34"/>
      <c r="Q548" s="3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54"/>
    </row>
    <row r="549">
      <c r="A549" s="53"/>
      <c r="B549" s="34"/>
      <c r="C549" s="34"/>
      <c r="D549" s="34"/>
      <c r="E549" s="34"/>
      <c r="F549" s="34"/>
      <c r="G549" s="34"/>
      <c r="H549" s="34"/>
      <c r="I549" s="34"/>
      <c r="J549" s="34"/>
      <c r="K549" s="34"/>
      <c r="L549" s="34"/>
      <c r="M549" s="34"/>
      <c r="N549" s="34"/>
      <c r="O549" s="34"/>
      <c r="P549" s="34"/>
      <c r="Q549" s="3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54"/>
    </row>
    <row r="550">
      <c r="A550" s="53"/>
      <c r="B550" s="34"/>
      <c r="C550" s="34"/>
      <c r="D550" s="34"/>
      <c r="E550" s="34"/>
      <c r="F550" s="34"/>
      <c r="G550" s="34"/>
      <c r="H550" s="34"/>
      <c r="I550" s="34"/>
      <c r="J550" s="34"/>
      <c r="K550" s="34"/>
      <c r="L550" s="34"/>
      <c r="M550" s="34"/>
      <c r="N550" s="34"/>
      <c r="O550" s="34"/>
      <c r="P550" s="34"/>
      <c r="Q550" s="3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54"/>
    </row>
    <row r="551">
      <c r="A551" s="53"/>
      <c r="B551" s="34"/>
      <c r="C551" s="34"/>
      <c r="D551" s="34"/>
      <c r="E551" s="34"/>
      <c r="F551" s="34"/>
      <c r="G551" s="34"/>
      <c r="H551" s="34"/>
      <c r="I551" s="34"/>
      <c r="J551" s="34"/>
      <c r="K551" s="34"/>
      <c r="L551" s="34"/>
      <c r="M551" s="34"/>
      <c r="N551" s="34"/>
      <c r="O551" s="34"/>
      <c r="P551" s="34"/>
      <c r="Q551" s="3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54"/>
    </row>
    <row r="552">
      <c r="A552" s="53"/>
      <c r="B552" s="34"/>
      <c r="C552" s="34"/>
      <c r="D552" s="34"/>
      <c r="E552" s="34"/>
      <c r="F552" s="34"/>
      <c r="G552" s="34"/>
      <c r="H552" s="34"/>
      <c r="I552" s="34"/>
      <c r="J552" s="34"/>
      <c r="K552" s="34"/>
      <c r="L552" s="34"/>
      <c r="M552" s="34"/>
      <c r="N552" s="34"/>
      <c r="O552" s="34"/>
      <c r="P552" s="34"/>
      <c r="Q552" s="3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54"/>
    </row>
    <row r="553">
      <c r="A553" s="53"/>
      <c r="B553" s="34"/>
      <c r="C553" s="34"/>
      <c r="D553" s="34"/>
      <c r="E553" s="34"/>
      <c r="F553" s="34"/>
      <c r="G553" s="34"/>
      <c r="H553" s="34"/>
      <c r="I553" s="34"/>
      <c r="J553" s="34"/>
      <c r="K553" s="34"/>
      <c r="L553" s="34"/>
      <c r="M553" s="34"/>
      <c r="N553" s="34"/>
      <c r="O553" s="34"/>
      <c r="P553" s="34"/>
      <c r="Q553" s="3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54"/>
    </row>
    <row r="554">
      <c r="A554" s="53"/>
      <c r="B554" s="34"/>
      <c r="C554" s="34"/>
      <c r="D554" s="34"/>
      <c r="E554" s="34"/>
      <c r="F554" s="34"/>
      <c r="G554" s="34"/>
      <c r="H554" s="34"/>
      <c r="I554" s="34"/>
      <c r="J554" s="34"/>
      <c r="K554" s="34"/>
      <c r="L554" s="34"/>
      <c r="M554" s="34"/>
      <c r="N554" s="34"/>
      <c r="O554" s="34"/>
      <c r="P554" s="34"/>
      <c r="Q554" s="3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54"/>
    </row>
    <row r="555">
      <c r="A555" s="53"/>
      <c r="B555" s="34"/>
      <c r="C555" s="34"/>
      <c r="D555" s="34"/>
      <c r="E555" s="34"/>
      <c r="F555" s="34"/>
      <c r="G555" s="34"/>
      <c r="H555" s="34"/>
      <c r="I555" s="34"/>
      <c r="J555" s="34"/>
      <c r="K555" s="34"/>
      <c r="L555" s="34"/>
      <c r="M555" s="34"/>
      <c r="N555" s="34"/>
      <c r="O555" s="34"/>
      <c r="P555" s="34"/>
      <c r="Q555" s="3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54"/>
    </row>
    <row r="556">
      <c r="A556" s="53"/>
      <c r="B556" s="34"/>
      <c r="C556" s="34"/>
      <c r="D556" s="34"/>
      <c r="E556" s="34"/>
      <c r="F556" s="34"/>
      <c r="G556" s="34"/>
      <c r="H556" s="34"/>
      <c r="I556" s="34"/>
      <c r="J556" s="34"/>
      <c r="K556" s="34"/>
      <c r="L556" s="34"/>
      <c r="M556" s="34"/>
      <c r="N556" s="34"/>
      <c r="O556" s="34"/>
      <c r="P556" s="34"/>
      <c r="Q556" s="3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54"/>
    </row>
    <row r="557">
      <c r="A557" s="53"/>
      <c r="B557" s="34"/>
      <c r="C557" s="34"/>
      <c r="D557" s="34"/>
      <c r="E557" s="34"/>
      <c r="F557" s="34"/>
      <c r="G557" s="34"/>
      <c r="H557" s="34"/>
      <c r="I557" s="34"/>
      <c r="J557" s="34"/>
      <c r="K557" s="34"/>
      <c r="L557" s="34"/>
      <c r="M557" s="34"/>
      <c r="N557" s="34"/>
      <c r="O557" s="34"/>
      <c r="P557" s="34"/>
      <c r="Q557" s="3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54"/>
    </row>
    <row r="558">
      <c r="A558" s="53"/>
      <c r="B558" s="34"/>
      <c r="C558" s="34"/>
      <c r="D558" s="34"/>
      <c r="E558" s="34"/>
      <c r="F558" s="34"/>
      <c r="G558" s="34"/>
      <c r="H558" s="34"/>
      <c r="I558" s="34"/>
      <c r="J558" s="34"/>
      <c r="K558" s="34"/>
      <c r="L558" s="34"/>
      <c r="M558" s="34"/>
      <c r="N558" s="34"/>
      <c r="O558" s="34"/>
      <c r="P558" s="34"/>
      <c r="Q558" s="3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54"/>
    </row>
    <row r="559">
      <c r="A559" s="53"/>
      <c r="B559" s="34"/>
      <c r="C559" s="34"/>
      <c r="D559" s="34"/>
      <c r="E559" s="34"/>
      <c r="F559" s="34"/>
      <c r="G559" s="34"/>
      <c r="H559" s="34"/>
      <c r="I559" s="34"/>
      <c r="J559" s="34"/>
      <c r="K559" s="34"/>
      <c r="L559" s="34"/>
      <c r="M559" s="34"/>
      <c r="N559" s="34"/>
      <c r="O559" s="34"/>
      <c r="P559" s="34"/>
      <c r="Q559" s="3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54"/>
    </row>
    <row r="560">
      <c r="A560" s="53"/>
      <c r="B560" s="34"/>
      <c r="C560" s="34"/>
      <c r="D560" s="34"/>
      <c r="E560" s="34"/>
      <c r="F560" s="34"/>
      <c r="G560" s="34"/>
      <c r="H560" s="34"/>
      <c r="I560" s="34"/>
      <c r="J560" s="34"/>
      <c r="K560" s="34"/>
      <c r="L560" s="34"/>
      <c r="M560" s="34"/>
      <c r="N560" s="34"/>
      <c r="O560" s="34"/>
      <c r="P560" s="34"/>
      <c r="Q560" s="3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54"/>
    </row>
    <row r="561">
      <c r="A561" s="53"/>
      <c r="B561" s="34"/>
      <c r="C561" s="34"/>
      <c r="D561" s="34"/>
      <c r="E561" s="34"/>
      <c r="F561" s="34"/>
      <c r="G561" s="34"/>
      <c r="H561" s="34"/>
      <c r="I561" s="34"/>
      <c r="J561" s="34"/>
      <c r="K561" s="34"/>
      <c r="L561" s="34"/>
      <c r="M561" s="34"/>
      <c r="N561" s="34"/>
      <c r="O561" s="34"/>
      <c r="P561" s="34"/>
      <c r="Q561" s="3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54"/>
    </row>
    <row r="562">
      <c r="A562" s="53"/>
      <c r="B562" s="34"/>
      <c r="C562" s="34"/>
      <c r="D562" s="34"/>
      <c r="E562" s="34"/>
      <c r="F562" s="34"/>
      <c r="G562" s="34"/>
      <c r="H562" s="34"/>
      <c r="I562" s="34"/>
      <c r="J562" s="34"/>
      <c r="K562" s="34"/>
      <c r="L562" s="34"/>
      <c r="M562" s="34"/>
      <c r="N562" s="34"/>
      <c r="O562" s="34"/>
      <c r="P562" s="34"/>
      <c r="Q562" s="3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54"/>
    </row>
    <row r="563">
      <c r="A563" s="53"/>
      <c r="B563" s="34"/>
      <c r="C563" s="34"/>
      <c r="D563" s="34"/>
      <c r="E563" s="34"/>
      <c r="F563" s="34"/>
      <c r="G563" s="34"/>
      <c r="H563" s="34"/>
      <c r="I563" s="34"/>
      <c r="J563" s="34"/>
      <c r="K563" s="34"/>
      <c r="L563" s="34"/>
      <c r="M563" s="34"/>
      <c r="N563" s="34"/>
      <c r="O563" s="34"/>
      <c r="P563" s="34"/>
      <c r="Q563" s="3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54"/>
    </row>
    <row r="564">
      <c r="A564" s="53"/>
      <c r="B564" s="34"/>
      <c r="C564" s="34"/>
      <c r="D564" s="34"/>
      <c r="E564" s="34"/>
      <c r="F564" s="34"/>
      <c r="G564" s="34"/>
      <c r="H564" s="34"/>
      <c r="I564" s="34"/>
      <c r="J564" s="34"/>
      <c r="K564" s="34"/>
      <c r="L564" s="34"/>
      <c r="M564" s="34"/>
      <c r="N564" s="34"/>
      <c r="O564" s="34"/>
      <c r="P564" s="34"/>
      <c r="Q564" s="3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54"/>
    </row>
    <row r="565">
      <c r="A565" s="53"/>
      <c r="B565" s="34"/>
      <c r="C565" s="34"/>
      <c r="D565" s="34"/>
      <c r="E565" s="34"/>
      <c r="F565" s="34"/>
      <c r="G565" s="34"/>
      <c r="H565" s="34"/>
      <c r="I565" s="34"/>
      <c r="J565" s="34"/>
      <c r="K565" s="34"/>
      <c r="L565" s="34"/>
      <c r="M565" s="34"/>
      <c r="N565" s="34"/>
      <c r="O565" s="34"/>
      <c r="P565" s="34"/>
      <c r="Q565" s="3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54"/>
    </row>
    <row r="566">
      <c r="A566" s="53"/>
      <c r="B566" s="34"/>
      <c r="C566" s="34"/>
      <c r="D566" s="34"/>
      <c r="E566" s="34"/>
      <c r="F566" s="34"/>
      <c r="G566" s="34"/>
      <c r="H566" s="34"/>
      <c r="I566" s="34"/>
      <c r="J566" s="34"/>
      <c r="K566" s="34"/>
      <c r="L566" s="34"/>
      <c r="M566" s="34"/>
      <c r="N566" s="34"/>
      <c r="O566" s="34"/>
      <c r="P566" s="34"/>
      <c r="Q566" s="3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54"/>
    </row>
    <row r="567">
      <c r="A567" s="53"/>
      <c r="B567" s="34"/>
      <c r="C567" s="34"/>
      <c r="D567" s="34"/>
      <c r="E567" s="34"/>
      <c r="F567" s="34"/>
      <c r="G567" s="34"/>
      <c r="H567" s="34"/>
      <c r="I567" s="34"/>
      <c r="J567" s="34"/>
      <c r="K567" s="34"/>
      <c r="L567" s="34"/>
      <c r="M567" s="34"/>
      <c r="N567" s="34"/>
      <c r="O567" s="34"/>
      <c r="P567" s="34"/>
      <c r="Q567" s="3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54"/>
    </row>
    <row r="568">
      <c r="A568" s="53"/>
      <c r="B568" s="34"/>
      <c r="C568" s="34"/>
      <c r="D568" s="34"/>
      <c r="E568" s="34"/>
      <c r="F568" s="34"/>
      <c r="G568" s="34"/>
      <c r="H568" s="34"/>
      <c r="I568" s="34"/>
      <c r="J568" s="34"/>
      <c r="K568" s="34"/>
      <c r="L568" s="34"/>
      <c r="M568" s="34"/>
      <c r="N568" s="34"/>
      <c r="O568" s="34"/>
      <c r="P568" s="34"/>
      <c r="Q568" s="3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54"/>
    </row>
    <row r="569">
      <c r="A569" s="53"/>
      <c r="B569" s="34"/>
      <c r="C569" s="34"/>
      <c r="D569" s="34"/>
      <c r="E569" s="34"/>
      <c r="F569" s="34"/>
      <c r="G569" s="34"/>
      <c r="H569" s="34"/>
      <c r="I569" s="34"/>
      <c r="J569" s="34"/>
      <c r="K569" s="34"/>
      <c r="L569" s="34"/>
      <c r="M569" s="34"/>
      <c r="N569" s="34"/>
      <c r="O569" s="34"/>
      <c r="P569" s="34"/>
      <c r="Q569" s="3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54"/>
    </row>
    <row r="570">
      <c r="A570" s="53"/>
      <c r="B570" s="34"/>
      <c r="C570" s="34"/>
      <c r="D570" s="34"/>
      <c r="E570" s="34"/>
      <c r="F570" s="34"/>
      <c r="G570" s="34"/>
      <c r="H570" s="34"/>
      <c r="I570" s="34"/>
      <c r="J570" s="34"/>
      <c r="K570" s="34"/>
      <c r="L570" s="34"/>
      <c r="M570" s="34"/>
      <c r="N570" s="34"/>
      <c r="O570" s="34"/>
      <c r="P570" s="34"/>
      <c r="Q570" s="3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54"/>
    </row>
    <row r="571">
      <c r="A571" s="53"/>
      <c r="B571" s="34"/>
      <c r="C571" s="34"/>
      <c r="D571" s="34"/>
      <c r="E571" s="34"/>
      <c r="F571" s="34"/>
      <c r="G571" s="34"/>
      <c r="H571" s="34"/>
      <c r="I571" s="34"/>
      <c r="J571" s="34"/>
      <c r="K571" s="34"/>
      <c r="L571" s="34"/>
      <c r="M571" s="34"/>
      <c r="N571" s="34"/>
      <c r="O571" s="34"/>
      <c r="P571" s="34"/>
      <c r="Q571" s="3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54"/>
    </row>
    <row r="572">
      <c r="A572" s="53"/>
      <c r="B572" s="34"/>
      <c r="C572" s="34"/>
      <c r="D572" s="34"/>
      <c r="E572" s="34"/>
      <c r="F572" s="34"/>
      <c r="G572" s="34"/>
      <c r="H572" s="34"/>
      <c r="I572" s="34"/>
      <c r="J572" s="34"/>
      <c r="K572" s="34"/>
      <c r="L572" s="34"/>
      <c r="M572" s="34"/>
      <c r="N572" s="34"/>
      <c r="O572" s="34"/>
      <c r="P572" s="34"/>
      <c r="Q572" s="3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54"/>
    </row>
    <row r="573">
      <c r="A573" s="53"/>
      <c r="B573" s="34"/>
      <c r="C573" s="34"/>
      <c r="D573" s="34"/>
      <c r="E573" s="34"/>
      <c r="F573" s="34"/>
      <c r="G573" s="34"/>
      <c r="H573" s="34"/>
      <c r="I573" s="34"/>
      <c r="J573" s="34"/>
      <c r="K573" s="34"/>
      <c r="L573" s="34"/>
      <c r="M573" s="34"/>
      <c r="N573" s="34"/>
      <c r="O573" s="34"/>
      <c r="P573" s="34"/>
      <c r="Q573" s="3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54"/>
    </row>
    <row r="574">
      <c r="A574" s="53"/>
      <c r="B574" s="34"/>
      <c r="C574" s="34"/>
      <c r="D574" s="34"/>
      <c r="E574" s="34"/>
      <c r="F574" s="34"/>
      <c r="G574" s="34"/>
      <c r="H574" s="34"/>
      <c r="I574" s="34"/>
      <c r="J574" s="34"/>
      <c r="K574" s="34"/>
      <c r="L574" s="34"/>
      <c r="M574" s="34"/>
      <c r="N574" s="34"/>
      <c r="O574" s="34"/>
      <c r="P574" s="34"/>
      <c r="Q574" s="3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54"/>
    </row>
    <row r="575">
      <c r="A575" s="53"/>
      <c r="B575" s="34"/>
      <c r="C575" s="34"/>
      <c r="D575" s="34"/>
      <c r="E575" s="34"/>
      <c r="F575" s="34"/>
      <c r="G575" s="34"/>
      <c r="H575" s="34"/>
      <c r="I575" s="34"/>
      <c r="J575" s="34"/>
      <c r="K575" s="34"/>
      <c r="L575" s="34"/>
      <c r="M575" s="34"/>
      <c r="N575" s="34"/>
      <c r="O575" s="34"/>
      <c r="P575" s="34"/>
      <c r="Q575" s="3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54"/>
    </row>
    <row r="576">
      <c r="A576" s="53"/>
      <c r="B576" s="34"/>
      <c r="C576" s="34"/>
      <c r="D576" s="34"/>
      <c r="E576" s="34"/>
      <c r="F576" s="34"/>
      <c r="G576" s="34"/>
      <c r="H576" s="34"/>
      <c r="I576" s="34"/>
      <c r="J576" s="34"/>
      <c r="K576" s="34"/>
      <c r="L576" s="34"/>
      <c r="M576" s="34"/>
      <c r="N576" s="34"/>
      <c r="O576" s="34"/>
      <c r="P576" s="34"/>
      <c r="Q576" s="3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54"/>
    </row>
    <row r="577">
      <c r="A577" s="53"/>
      <c r="B577" s="34"/>
      <c r="C577" s="34"/>
      <c r="D577" s="34"/>
      <c r="E577" s="34"/>
      <c r="F577" s="34"/>
      <c r="G577" s="34"/>
      <c r="H577" s="34"/>
      <c r="I577" s="34"/>
      <c r="J577" s="34"/>
      <c r="K577" s="34"/>
      <c r="L577" s="34"/>
      <c r="M577" s="34"/>
      <c r="N577" s="34"/>
      <c r="O577" s="34"/>
      <c r="P577" s="34"/>
      <c r="Q577" s="3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54"/>
    </row>
    <row r="578">
      <c r="A578" s="53"/>
      <c r="B578" s="34"/>
      <c r="C578" s="34"/>
      <c r="D578" s="34"/>
      <c r="E578" s="34"/>
      <c r="F578" s="34"/>
      <c r="G578" s="34"/>
      <c r="H578" s="34"/>
      <c r="I578" s="34"/>
      <c r="J578" s="34"/>
      <c r="K578" s="34"/>
      <c r="L578" s="34"/>
      <c r="M578" s="34"/>
      <c r="N578" s="34"/>
      <c r="O578" s="34"/>
      <c r="P578" s="34"/>
      <c r="Q578" s="3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54"/>
    </row>
    <row r="579">
      <c r="A579" s="53"/>
      <c r="B579" s="34"/>
      <c r="C579" s="34"/>
      <c r="D579" s="34"/>
      <c r="E579" s="34"/>
      <c r="F579" s="34"/>
      <c r="G579" s="34"/>
      <c r="H579" s="34"/>
      <c r="I579" s="34"/>
      <c r="J579" s="34"/>
      <c r="K579" s="34"/>
      <c r="L579" s="34"/>
      <c r="M579" s="34"/>
      <c r="N579" s="34"/>
      <c r="O579" s="34"/>
      <c r="P579" s="34"/>
      <c r="Q579" s="3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54"/>
    </row>
    <row r="580">
      <c r="A580" s="53"/>
      <c r="B580" s="34"/>
      <c r="C580" s="34"/>
      <c r="D580" s="34"/>
      <c r="E580" s="34"/>
      <c r="F580" s="34"/>
      <c r="G580" s="34"/>
      <c r="H580" s="34"/>
      <c r="I580" s="34"/>
      <c r="J580" s="34"/>
      <c r="K580" s="34"/>
      <c r="L580" s="34"/>
      <c r="M580" s="34"/>
      <c r="N580" s="34"/>
      <c r="O580" s="34"/>
      <c r="P580" s="34"/>
      <c r="Q580" s="3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54"/>
    </row>
    <row r="581">
      <c r="A581" s="53"/>
      <c r="B581" s="34"/>
      <c r="C581" s="34"/>
      <c r="D581" s="34"/>
      <c r="E581" s="34"/>
      <c r="F581" s="34"/>
      <c r="G581" s="34"/>
      <c r="H581" s="34"/>
      <c r="I581" s="34"/>
      <c r="J581" s="34"/>
      <c r="K581" s="34"/>
      <c r="L581" s="34"/>
      <c r="M581" s="34"/>
      <c r="N581" s="34"/>
      <c r="O581" s="34"/>
      <c r="P581" s="34"/>
      <c r="Q581" s="3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54"/>
    </row>
    <row r="582">
      <c r="A582" s="53"/>
      <c r="B582" s="34"/>
      <c r="C582" s="34"/>
      <c r="D582" s="34"/>
      <c r="E582" s="34"/>
      <c r="F582" s="34"/>
      <c r="G582" s="34"/>
      <c r="H582" s="34"/>
      <c r="I582" s="34"/>
      <c r="J582" s="34"/>
      <c r="K582" s="34"/>
      <c r="L582" s="34"/>
      <c r="M582" s="34"/>
      <c r="N582" s="34"/>
      <c r="O582" s="34"/>
      <c r="P582" s="34"/>
      <c r="Q582" s="3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54"/>
    </row>
    <row r="583">
      <c r="A583" s="53"/>
      <c r="B583" s="34"/>
      <c r="C583" s="34"/>
      <c r="D583" s="34"/>
      <c r="E583" s="34"/>
      <c r="F583" s="34"/>
      <c r="G583" s="34"/>
      <c r="H583" s="34"/>
      <c r="I583" s="34"/>
      <c r="J583" s="34"/>
      <c r="K583" s="34"/>
      <c r="L583" s="34"/>
      <c r="M583" s="34"/>
      <c r="N583" s="34"/>
      <c r="O583" s="34"/>
      <c r="P583" s="34"/>
      <c r="Q583" s="3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54"/>
    </row>
    <row r="584">
      <c r="A584" s="53"/>
      <c r="B584" s="34"/>
      <c r="C584" s="34"/>
      <c r="D584" s="34"/>
      <c r="E584" s="34"/>
      <c r="F584" s="34"/>
      <c r="G584" s="34"/>
      <c r="H584" s="34"/>
      <c r="I584" s="34"/>
      <c r="J584" s="34"/>
      <c r="K584" s="34"/>
      <c r="L584" s="34"/>
      <c r="M584" s="34"/>
      <c r="N584" s="34"/>
      <c r="O584" s="34"/>
      <c r="P584" s="34"/>
      <c r="Q584" s="3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54"/>
    </row>
    <row r="585">
      <c r="A585" s="53"/>
      <c r="B585" s="34"/>
      <c r="C585" s="34"/>
      <c r="D585" s="34"/>
      <c r="E585" s="34"/>
      <c r="F585" s="34"/>
      <c r="G585" s="34"/>
      <c r="H585" s="34"/>
      <c r="I585" s="34"/>
      <c r="J585" s="34"/>
      <c r="K585" s="34"/>
      <c r="L585" s="34"/>
      <c r="M585" s="34"/>
      <c r="N585" s="34"/>
      <c r="O585" s="34"/>
      <c r="P585" s="34"/>
      <c r="Q585" s="3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54"/>
    </row>
    <row r="586">
      <c r="A586" s="53"/>
      <c r="B586" s="34"/>
      <c r="C586" s="34"/>
      <c r="D586" s="34"/>
      <c r="E586" s="34"/>
      <c r="F586" s="34"/>
      <c r="G586" s="34"/>
      <c r="H586" s="34"/>
      <c r="I586" s="34"/>
      <c r="J586" s="34"/>
      <c r="K586" s="34"/>
      <c r="L586" s="34"/>
      <c r="M586" s="34"/>
      <c r="N586" s="34"/>
      <c r="O586" s="34"/>
      <c r="P586" s="34"/>
      <c r="Q586" s="3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54"/>
    </row>
    <row r="587">
      <c r="A587" s="53"/>
      <c r="B587" s="34"/>
      <c r="C587" s="34"/>
      <c r="D587" s="34"/>
      <c r="E587" s="34"/>
      <c r="F587" s="34"/>
      <c r="G587" s="34"/>
      <c r="H587" s="34"/>
      <c r="I587" s="34"/>
      <c r="J587" s="34"/>
      <c r="K587" s="34"/>
      <c r="L587" s="34"/>
      <c r="M587" s="34"/>
      <c r="N587" s="34"/>
      <c r="O587" s="34"/>
      <c r="P587" s="34"/>
      <c r="Q587" s="3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54"/>
    </row>
    <row r="588">
      <c r="A588" s="53"/>
      <c r="B588" s="34"/>
      <c r="C588" s="34"/>
      <c r="D588" s="34"/>
      <c r="E588" s="34"/>
      <c r="F588" s="34"/>
      <c r="G588" s="34"/>
      <c r="H588" s="34"/>
      <c r="I588" s="34"/>
      <c r="J588" s="34"/>
      <c r="K588" s="34"/>
      <c r="L588" s="34"/>
      <c r="M588" s="34"/>
      <c r="N588" s="34"/>
      <c r="O588" s="34"/>
      <c r="P588" s="34"/>
      <c r="Q588" s="3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54"/>
    </row>
    <row r="589">
      <c r="A589" s="53"/>
      <c r="B589" s="34"/>
      <c r="C589" s="34"/>
      <c r="D589" s="34"/>
      <c r="E589" s="34"/>
      <c r="F589" s="34"/>
      <c r="G589" s="34"/>
      <c r="H589" s="34"/>
      <c r="I589" s="34"/>
      <c r="J589" s="34"/>
      <c r="K589" s="34"/>
      <c r="L589" s="34"/>
      <c r="M589" s="34"/>
      <c r="N589" s="34"/>
      <c r="O589" s="34"/>
      <c r="P589" s="34"/>
      <c r="Q589" s="3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54"/>
    </row>
    <row r="590">
      <c r="A590" s="53"/>
      <c r="B590" s="34"/>
      <c r="C590" s="34"/>
      <c r="D590" s="34"/>
      <c r="E590" s="34"/>
      <c r="F590" s="34"/>
      <c r="G590" s="34"/>
      <c r="H590" s="34"/>
      <c r="I590" s="34"/>
      <c r="J590" s="34"/>
      <c r="K590" s="34"/>
      <c r="L590" s="34"/>
      <c r="M590" s="34"/>
      <c r="N590" s="34"/>
      <c r="O590" s="34"/>
      <c r="P590" s="34"/>
      <c r="Q590" s="3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54"/>
    </row>
    <row r="591">
      <c r="A591" s="53"/>
      <c r="B591" s="34"/>
      <c r="C591" s="34"/>
      <c r="D591" s="34"/>
      <c r="E591" s="34"/>
      <c r="F591" s="34"/>
      <c r="G591" s="34"/>
      <c r="H591" s="34"/>
      <c r="I591" s="34"/>
      <c r="J591" s="34"/>
      <c r="K591" s="34"/>
      <c r="L591" s="34"/>
      <c r="M591" s="34"/>
      <c r="N591" s="34"/>
      <c r="O591" s="34"/>
      <c r="P591" s="34"/>
      <c r="Q591" s="3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54"/>
    </row>
    <row r="592">
      <c r="A592" s="53"/>
      <c r="B592" s="34"/>
      <c r="C592" s="34"/>
      <c r="D592" s="34"/>
      <c r="E592" s="34"/>
      <c r="F592" s="34"/>
      <c r="G592" s="34"/>
      <c r="H592" s="34"/>
      <c r="I592" s="34"/>
      <c r="J592" s="34"/>
      <c r="K592" s="34"/>
      <c r="L592" s="34"/>
      <c r="M592" s="34"/>
      <c r="N592" s="34"/>
      <c r="O592" s="34"/>
      <c r="P592" s="34"/>
      <c r="Q592" s="3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54"/>
    </row>
    <row r="593">
      <c r="A593" s="53"/>
      <c r="B593" s="34"/>
      <c r="C593" s="34"/>
      <c r="D593" s="34"/>
      <c r="E593" s="34"/>
      <c r="F593" s="34"/>
      <c r="G593" s="34"/>
      <c r="H593" s="34"/>
      <c r="I593" s="34"/>
      <c r="J593" s="34"/>
      <c r="K593" s="34"/>
      <c r="L593" s="34"/>
      <c r="M593" s="34"/>
      <c r="N593" s="34"/>
      <c r="O593" s="34"/>
      <c r="P593" s="34"/>
      <c r="Q593" s="3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54"/>
    </row>
    <row r="594">
      <c r="A594" s="53"/>
      <c r="B594" s="34"/>
      <c r="C594" s="34"/>
      <c r="D594" s="34"/>
      <c r="E594" s="34"/>
      <c r="F594" s="34"/>
      <c r="G594" s="34"/>
      <c r="H594" s="34"/>
      <c r="I594" s="34"/>
      <c r="J594" s="34"/>
      <c r="K594" s="34"/>
      <c r="L594" s="34"/>
      <c r="M594" s="34"/>
      <c r="N594" s="34"/>
      <c r="O594" s="34"/>
      <c r="P594" s="34"/>
      <c r="Q594" s="3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54"/>
    </row>
    <row r="595">
      <c r="A595" s="53"/>
      <c r="B595" s="34"/>
      <c r="C595" s="34"/>
      <c r="D595" s="34"/>
      <c r="E595" s="34"/>
      <c r="F595" s="34"/>
      <c r="G595" s="34"/>
      <c r="H595" s="34"/>
      <c r="I595" s="34"/>
      <c r="J595" s="34"/>
      <c r="K595" s="34"/>
      <c r="L595" s="34"/>
      <c r="M595" s="34"/>
      <c r="N595" s="34"/>
      <c r="O595" s="34"/>
      <c r="P595" s="34"/>
      <c r="Q595" s="3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54"/>
    </row>
    <row r="596">
      <c r="A596" s="53"/>
      <c r="B596" s="34"/>
      <c r="C596" s="34"/>
      <c r="D596" s="34"/>
      <c r="E596" s="34"/>
      <c r="F596" s="34"/>
      <c r="G596" s="34"/>
      <c r="H596" s="34"/>
      <c r="I596" s="34"/>
      <c r="J596" s="34"/>
      <c r="K596" s="34"/>
      <c r="L596" s="34"/>
      <c r="M596" s="34"/>
      <c r="N596" s="34"/>
      <c r="O596" s="34"/>
      <c r="P596" s="34"/>
      <c r="Q596" s="3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54"/>
    </row>
    <row r="597">
      <c r="A597" s="53"/>
      <c r="B597" s="34"/>
      <c r="C597" s="34"/>
      <c r="D597" s="34"/>
      <c r="E597" s="34"/>
      <c r="F597" s="34"/>
      <c r="G597" s="34"/>
      <c r="H597" s="34"/>
      <c r="I597" s="34"/>
      <c r="J597" s="34"/>
      <c r="K597" s="34"/>
      <c r="L597" s="34"/>
      <c r="M597" s="34"/>
      <c r="N597" s="34"/>
      <c r="O597" s="34"/>
      <c r="P597" s="34"/>
      <c r="Q597" s="3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54"/>
    </row>
    <row r="598">
      <c r="A598" s="53"/>
      <c r="B598" s="34"/>
      <c r="C598" s="34"/>
      <c r="D598" s="34"/>
      <c r="E598" s="34"/>
      <c r="F598" s="34"/>
      <c r="G598" s="34"/>
      <c r="H598" s="34"/>
      <c r="I598" s="34"/>
      <c r="J598" s="34"/>
      <c r="K598" s="34"/>
      <c r="L598" s="34"/>
      <c r="M598" s="34"/>
      <c r="N598" s="34"/>
      <c r="O598" s="34"/>
      <c r="P598" s="34"/>
      <c r="Q598" s="3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54"/>
    </row>
    <row r="599">
      <c r="A599" s="53"/>
      <c r="B599" s="34"/>
      <c r="C599" s="34"/>
      <c r="D599" s="34"/>
      <c r="E599" s="34"/>
      <c r="F599" s="34"/>
      <c r="G599" s="34"/>
      <c r="H599" s="34"/>
      <c r="I599" s="34"/>
      <c r="J599" s="34"/>
      <c r="K599" s="34"/>
      <c r="L599" s="34"/>
      <c r="M599" s="34"/>
      <c r="N599" s="34"/>
      <c r="O599" s="34"/>
      <c r="P599" s="34"/>
      <c r="Q599" s="3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54"/>
    </row>
    <row r="600">
      <c r="A600" s="53"/>
      <c r="B600" s="34"/>
      <c r="C600" s="34"/>
      <c r="D600" s="34"/>
      <c r="E600" s="34"/>
      <c r="F600" s="34"/>
      <c r="G600" s="34"/>
      <c r="H600" s="34"/>
      <c r="I600" s="34"/>
      <c r="J600" s="34"/>
      <c r="K600" s="34"/>
      <c r="L600" s="34"/>
      <c r="M600" s="34"/>
      <c r="N600" s="34"/>
      <c r="O600" s="34"/>
      <c r="P600" s="34"/>
      <c r="Q600" s="3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54"/>
    </row>
    <row r="601">
      <c r="A601" s="53"/>
      <c r="B601" s="34"/>
      <c r="C601" s="34"/>
      <c r="D601" s="34"/>
      <c r="E601" s="34"/>
      <c r="F601" s="34"/>
      <c r="G601" s="34"/>
      <c r="H601" s="34"/>
      <c r="I601" s="34"/>
      <c r="J601" s="34"/>
      <c r="K601" s="34"/>
      <c r="L601" s="34"/>
      <c r="M601" s="34"/>
      <c r="N601" s="34"/>
      <c r="O601" s="34"/>
      <c r="P601" s="34"/>
      <c r="Q601" s="3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54"/>
    </row>
    <row r="602">
      <c r="A602" s="53"/>
      <c r="B602" s="34"/>
      <c r="C602" s="34"/>
      <c r="D602" s="34"/>
      <c r="E602" s="34"/>
      <c r="F602" s="34"/>
      <c r="G602" s="34"/>
      <c r="H602" s="34"/>
      <c r="I602" s="34"/>
      <c r="J602" s="34"/>
      <c r="K602" s="34"/>
      <c r="L602" s="34"/>
      <c r="M602" s="34"/>
      <c r="N602" s="34"/>
      <c r="O602" s="34"/>
      <c r="P602" s="34"/>
      <c r="Q602" s="3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54"/>
    </row>
    <row r="603">
      <c r="A603" s="53"/>
      <c r="B603" s="34"/>
      <c r="C603" s="34"/>
      <c r="D603" s="34"/>
      <c r="E603" s="34"/>
      <c r="F603" s="34"/>
      <c r="G603" s="34"/>
      <c r="H603" s="34"/>
      <c r="I603" s="34"/>
      <c r="J603" s="34"/>
      <c r="K603" s="34"/>
      <c r="L603" s="34"/>
      <c r="M603" s="34"/>
      <c r="N603" s="34"/>
      <c r="O603" s="34"/>
      <c r="P603" s="34"/>
      <c r="Q603" s="3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54"/>
    </row>
    <row r="604">
      <c r="A604" s="53"/>
      <c r="B604" s="34"/>
      <c r="C604" s="34"/>
      <c r="D604" s="34"/>
      <c r="E604" s="34"/>
      <c r="F604" s="34"/>
      <c r="G604" s="34"/>
      <c r="H604" s="34"/>
      <c r="I604" s="34"/>
      <c r="J604" s="34"/>
      <c r="K604" s="34"/>
      <c r="L604" s="34"/>
      <c r="M604" s="34"/>
      <c r="N604" s="34"/>
      <c r="O604" s="34"/>
      <c r="P604" s="34"/>
      <c r="Q604" s="3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54"/>
    </row>
    <row r="605">
      <c r="A605" s="53"/>
      <c r="B605" s="34"/>
      <c r="C605" s="34"/>
      <c r="D605" s="34"/>
      <c r="E605" s="34"/>
      <c r="F605" s="34"/>
      <c r="G605" s="34"/>
      <c r="H605" s="34"/>
      <c r="I605" s="34"/>
      <c r="J605" s="34"/>
      <c r="K605" s="34"/>
      <c r="L605" s="34"/>
      <c r="M605" s="34"/>
      <c r="N605" s="34"/>
      <c r="O605" s="34"/>
      <c r="P605" s="34"/>
      <c r="Q605" s="3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54"/>
    </row>
    <row r="606">
      <c r="A606" s="53"/>
      <c r="B606" s="34"/>
      <c r="C606" s="34"/>
      <c r="D606" s="34"/>
      <c r="E606" s="34"/>
      <c r="F606" s="34"/>
      <c r="G606" s="34"/>
      <c r="H606" s="34"/>
      <c r="I606" s="34"/>
      <c r="J606" s="34"/>
      <c r="K606" s="34"/>
      <c r="L606" s="34"/>
      <c r="M606" s="34"/>
      <c r="N606" s="34"/>
      <c r="O606" s="34"/>
      <c r="P606" s="34"/>
      <c r="Q606" s="3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54"/>
    </row>
    <row r="607">
      <c r="A607" s="53"/>
      <c r="B607" s="34"/>
      <c r="C607" s="34"/>
      <c r="D607" s="34"/>
      <c r="E607" s="34"/>
      <c r="F607" s="34"/>
      <c r="G607" s="34"/>
      <c r="H607" s="34"/>
      <c r="I607" s="34"/>
      <c r="J607" s="34"/>
      <c r="K607" s="34"/>
      <c r="L607" s="34"/>
      <c r="M607" s="34"/>
      <c r="N607" s="34"/>
      <c r="O607" s="34"/>
      <c r="P607" s="34"/>
      <c r="Q607" s="3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54"/>
    </row>
    <row r="608">
      <c r="A608" s="53"/>
      <c r="B608" s="34"/>
      <c r="C608" s="34"/>
      <c r="D608" s="34"/>
      <c r="E608" s="34"/>
      <c r="F608" s="34"/>
      <c r="G608" s="34"/>
      <c r="H608" s="34"/>
      <c r="I608" s="34"/>
      <c r="J608" s="34"/>
      <c r="K608" s="34"/>
      <c r="L608" s="34"/>
      <c r="M608" s="34"/>
      <c r="N608" s="34"/>
      <c r="O608" s="34"/>
      <c r="P608" s="34"/>
      <c r="Q608" s="3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54"/>
    </row>
    <row r="609">
      <c r="A609" s="53"/>
      <c r="B609" s="34"/>
      <c r="C609" s="34"/>
      <c r="D609" s="34"/>
      <c r="E609" s="34"/>
      <c r="F609" s="34"/>
      <c r="G609" s="34"/>
      <c r="H609" s="34"/>
      <c r="I609" s="34"/>
      <c r="J609" s="34"/>
      <c r="K609" s="34"/>
      <c r="L609" s="34"/>
      <c r="M609" s="34"/>
      <c r="N609" s="34"/>
      <c r="O609" s="34"/>
      <c r="P609" s="34"/>
      <c r="Q609" s="3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54"/>
    </row>
    <row r="610">
      <c r="A610" s="53"/>
      <c r="B610" s="34"/>
      <c r="C610" s="34"/>
      <c r="D610" s="34"/>
      <c r="E610" s="34"/>
      <c r="F610" s="34"/>
      <c r="G610" s="34"/>
      <c r="H610" s="34"/>
      <c r="I610" s="34"/>
      <c r="J610" s="34"/>
      <c r="K610" s="34"/>
      <c r="L610" s="34"/>
      <c r="M610" s="34"/>
      <c r="N610" s="34"/>
      <c r="O610" s="34"/>
      <c r="P610" s="34"/>
      <c r="Q610" s="3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54"/>
    </row>
    <row r="611">
      <c r="A611" s="53"/>
      <c r="B611" s="34"/>
      <c r="C611" s="34"/>
      <c r="D611" s="34"/>
      <c r="E611" s="34"/>
      <c r="F611" s="34"/>
      <c r="G611" s="34"/>
      <c r="H611" s="34"/>
      <c r="I611" s="34"/>
      <c r="J611" s="34"/>
      <c r="K611" s="34"/>
      <c r="L611" s="34"/>
      <c r="M611" s="34"/>
      <c r="N611" s="34"/>
      <c r="O611" s="34"/>
      <c r="P611" s="34"/>
      <c r="Q611" s="3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54"/>
    </row>
    <row r="612">
      <c r="A612" s="53"/>
      <c r="B612" s="34"/>
      <c r="C612" s="34"/>
      <c r="D612" s="34"/>
      <c r="E612" s="34"/>
      <c r="F612" s="34"/>
      <c r="G612" s="34"/>
      <c r="H612" s="34"/>
      <c r="I612" s="34"/>
      <c r="J612" s="34"/>
      <c r="K612" s="34"/>
      <c r="L612" s="34"/>
      <c r="M612" s="34"/>
      <c r="N612" s="34"/>
      <c r="O612" s="34"/>
      <c r="P612" s="34"/>
      <c r="Q612" s="3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54"/>
    </row>
    <row r="613">
      <c r="A613" s="53"/>
      <c r="B613" s="34"/>
      <c r="C613" s="34"/>
      <c r="D613" s="34"/>
      <c r="E613" s="34"/>
      <c r="F613" s="34"/>
      <c r="G613" s="34"/>
      <c r="H613" s="34"/>
      <c r="I613" s="34"/>
      <c r="J613" s="34"/>
      <c r="K613" s="34"/>
      <c r="L613" s="34"/>
      <c r="M613" s="34"/>
      <c r="N613" s="34"/>
      <c r="O613" s="34"/>
      <c r="P613" s="34"/>
      <c r="Q613" s="3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54"/>
    </row>
    <row r="614">
      <c r="A614" s="53"/>
      <c r="B614" s="34"/>
      <c r="C614" s="34"/>
      <c r="D614" s="34"/>
      <c r="E614" s="34"/>
      <c r="F614" s="34"/>
      <c r="G614" s="34"/>
      <c r="H614" s="34"/>
      <c r="I614" s="34"/>
      <c r="J614" s="34"/>
      <c r="K614" s="34"/>
      <c r="L614" s="34"/>
      <c r="M614" s="34"/>
      <c r="N614" s="34"/>
      <c r="O614" s="34"/>
      <c r="P614" s="34"/>
      <c r="Q614" s="3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54"/>
    </row>
    <row r="615">
      <c r="A615" s="53"/>
      <c r="B615" s="34"/>
      <c r="C615" s="34"/>
      <c r="D615" s="34"/>
      <c r="E615" s="34"/>
      <c r="F615" s="34"/>
      <c r="G615" s="34"/>
      <c r="H615" s="34"/>
      <c r="I615" s="34"/>
      <c r="J615" s="34"/>
      <c r="K615" s="34"/>
      <c r="L615" s="34"/>
      <c r="M615" s="34"/>
      <c r="N615" s="34"/>
      <c r="O615" s="34"/>
      <c r="P615" s="34"/>
      <c r="Q615" s="3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54"/>
    </row>
    <row r="616">
      <c r="A616" s="53"/>
      <c r="B616" s="34"/>
      <c r="C616" s="34"/>
      <c r="D616" s="34"/>
      <c r="E616" s="34"/>
      <c r="F616" s="34"/>
      <c r="G616" s="34"/>
      <c r="H616" s="34"/>
      <c r="I616" s="34"/>
      <c r="J616" s="34"/>
      <c r="K616" s="34"/>
      <c r="L616" s="34"/>
      <c r="M616" s="34"/>
      <c r="N616" s="34"/>
      <c r="O616" s="34"/>
      <c r="P616" s="34"/>
      <c r="Q616" s="3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54"/>
    </row>
    <row r="617">
      <c r="A617" s="53"/>
      <c r="B617" s="34"/>
      <c r="C617" s="34"/>
      <c r="D617" s="34"/>
      <c r="E617" s="34"/>
      <c r="F617" s="34"/>
      <c r="G617" s="34"/>
      <c r="H617" s="34"/>
      <c r="I617" s="34"/>
      <c r="J617" s="34"/>
      <c r="K617" s="34"/>
      <c r="L617" s="34"/>
      <c r="M617" s="34"/>
      <c r="N617" s="34"/>
      <c r="O617" s="34"/>
      <c r="P617" s="34"/>
      <c r="Q617" s="3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54"/>
    </row>
    <row r="618">
      <c r="A618" s="53"/>
      <c r="B618" s="34"/>
      <c r="C618" s="34"/>
      <c r="D618" s="34"/>
      <c r="E618" s="34"/>
      <c r="F618" s="34"/>
      <c r="G618" s="34"/>
      <c r="H618" s="34"/>
      <c r="I618" s="34"/>
      <c r="J618" s="34"/>
      <c r="K618" s="34"/>
      <c r="L618" s="34"/>
      <c r="M618" s="34"/>
      <c r="N618" s="34"/>
      <c r="O618" s="34"/>
      <c r="P618" s="34"/>
      <c r="Q618" s="3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54"/>
    </row>
    <row r="619">
      <c r="A619" s="53"/>
      <c r="B619" s="34"/>
      <c r="C619" s="34"/>
      <c r="D619" s="34"/>
      <c r="E619" s="34"/>
      <c r="F619" s="34"/>
      <c r="G619" s="34"/>
      <c r="H619" s="34"/>
      <c r="I619" s="34"/>
      <c r="J619" s="34"/>
      <c r="K619" s="34"/>
      <c r="L619" s="34"/>
      <c r="M619" s="34"/>
      <c r="N619" s="34"/>
      <c r="O619" s="34"/>
      <c r="P619" s="34"/>
      <c r="Q619" s="3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54"/>
    </row>
    <row r="620">
      <c r="A620" s="53"/>
      <c r="B620" s="34"/>
      <c r="C620" s="34"/>
      <c r="D620" s="34"/>
      <c r="E620" s="34"/>
      <c r="F620" s="34"/>
      <c r="G620" s="34"/>
      <c r="H620" s="34"/>
      <c r="I620" s="34"/>
      <c r="J620" s="34"/>
      <c r="K620" s="34"/>
      <c r="L620" s="34"/>
      <c r="M620" s="34"/>
      <c r="N620" s="34"/>
      <c r="O620" s="34"/>
      <c r="P620" s="34"/>
      <c r="Q620" s="3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54"/>
    </row>
    <row r="621">
      <c r="A621" s="53"/>
      <c r="B621" s="34"/>
      <c r="C621" s="34"/>
      <c r="D621" s="34"/>
      <c r="E621" s="34"/>
      <c r="F621" s="34"/>
      <c r="G621" s="34"/>
      <c r="H621" s="34"/>
      <c r="I621" s="34"/>
      <c r="J621" s="34"/>
      <c r="K621" s="34"/>
      <c r="L621" s="34"/>
      <c r="M621" s="34"/>
      <c r="N621" s="34"/>
      <c r="O621" s="34"/>
      <c r="P621" s="34"/>
      <c r="Q621" s="3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54"/>
    </row>
    <row r="622">
      <c r="A622" s="53"/>
      <c r="B622" s="34"/>
      <c r="C622" s="34"/>
      <c r="D622" s="34"/>
      <c r="E622" s="34"/>
      <c r="F622" s="34"/>
      <c r="G622" s="34"/>
      <c r="H622" s="34"/>
      <c r="I622" s="34"/>
      <c r="J622" s="34"/>
      <c r="K622" s="34"/>
      <c r="L622" s="34"/>
      <c r="M622" s="34"/>
      <c r="N622" s="34"/>
      <c r="O622" s="34"/>
      <c r="P622" s="34"/>
      <c r="Q622" s="3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54"/>
    </row>
    <row r="623">
      <c r="A623" s="53"/>
      <c r="B623" s="34"/>
      <c r="C623" s="34"/>
      <c r="D623" s="34"/>
      <c r="E623" s="34"/>
      <c r="F623" s="34"/>
      <c r="G623" s="34"/>
      <c r="H623" s="34"/>
      <c r="I623" s="34"/>
      <c r="J623" s="34"/>
      <c r="K623" s="34"/>
      <c r="L623" s="34"/>
      <c r="M623" s="34"/>
      <c r="N623" s="34"/>
      <c r="O623" s="34"/>
      <c r="P623" s="34"/>
      <c r="Q623" s="3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54"/>
    </row>
    <row r="624">
      <c r="A624" s="53"/>
      <c r="B624" s="34"/>
      <c r="C624" s="34"/>
      <c r="D624" s="34"/>
      <c r="E624" s="34"/>
      <c r="F624" s="34"/>
      <c r="G624" s="34"/>
      <c r="H624" s="34"/>
      <c r="I624" s="34"/>
      <c r="J624" s="34"/>
      <c r="K624" s="34"/>
      <c r="L624" s="34"/>
      <c r="M624" s="34"/>
      <c r="N624" s="34"/>
      <c r="O624" s="34"/>
      <c r="P624" s="34"/>
      <c r="Q624" s="3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54"/>
    </row>
    <row r="625">
      <c r="A625" s="53"/>
      <c r="B625" s="34"/>
      <c r="C625" s="34"/>
      <c r="D625" s="34"/>
      <c r="E625" s="34"/>
      <c r="F625" s="34"/>
      <c r="G625" s="34"/>
      <c r="H625" s="34"/>
      <c r="I625" s="34"/>
      <c r="J625" s="34"/>
      <c r="K625" s="34"/>
      <c r="L625" s="34"/>
      <c r="M625" s="34"/>
      <c r="N625" s="34"/>
      <c r="O625" s="34"/>
      <c r="P625" s="34"/>
      <c r="Q625" s="3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54"/>
    </row>
    <row r="626">
      <c r="A626" s="53"/>
      <c r="B626" s="34"/>
      <c r="C626" s="34"/>
      <c r="D626" s="34"/>
      <c r="E626" s="34"/>
      <c r="F626" s="34"/>
      <c r="G626" s="34"/>
      <c r="H626" s="34"/>
      <c r="I626" s="34"/>
      <c r="J626" s="34"/>
      <c r="K626" s="34"/>
      <c r="L626" s="34"/>
      <c r="M626" s="34"/>
      <c r="N626" s="34"/>
      <c r="O626" s="34"/>
      <c r="P626" s="34"/>
      <c r="Q626" s="3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54"/>
    </row>
    <row r="627">
      <c r="A627" s="53"/>
      <c r="B627" s="34"/>
      <c r="C627" s="34"/>
      <c r="D627" s="34"/>
      <c r="E627" s="34"/>
      <c r="F627" s="34"/>
      <c r="G627" s="34"/>
      <c r="H627" s="34"/>
      <c r="I627" s="34"/>
      <c r="J627" s="34"/>
      <c r="K627" s="34"/>
      <c r="L627" s="34"/>
      <c r="M627" s="34"/>
      <c r="N627" s="34"/>
      <c r="O627" s="34"/>
      <c r="P627" s="34"/>
      <c r="Q627" s="3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54"/>
    </row>
    <row r="628">
      <c r="A628" s="53"/>
      <c r="B628" s="34"/>
      <c r="C628" s="34"/>
      <c r="D628" s="34"/>
      <c r="E628" s="34"/>
      <c r="F628" s="34"/>
      <c r="G628" s="34"/>
      <c r="H628" s="34"/>
      <c r="I628" s="34"/>
      <c r="J628" s="34"/>
      <c r="K628" s="34"/>
      <c r="L628" s="34"/>
      <c r="M628" s="34"/>
      <c r="N628" s="34"/>
      <c r="O628" s="34"/>
      <c r="P628" s="34"/>
      <c r="Q628" s="3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54"/>
    </row>
    <row r="629">
      <c r="A629" s="53"/>
      <c r="B629" s="34"/>
      <c r="C629" s="34"/>
      <c r="D629" s="34"/>
      <c r="E629" s="34"/>
      <c r="F629" s="34"/>
      <c r="G629" s="34"/>
      <c r="H629" s="34"/>
      <c r="I629" s="34"/>
      <c r="J629" s="34"/>
      <c r="K629" s="34"/>
      <c r="L629" s="34"/>
      <c r="M629" s="34"/>
      <c r="N629" s="34"/>
      <c r="O629" s="34"/>
      <c r="P629" s="34"/>
      <c r="Q629" s="3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54"/>
    </row>
    <row r="630">
      <c r="A630" s="53"/>
      <c r="B630" s="34"/>
      <c r="C630" s="34"/>
      <c r="D630" s="34"/>
      <c r="E630" s="34"/>
      <c r="F630" s="34"/>
      <c r="G630" s="34"/>
      <c r="H630" s="34"/>
      <c r="I630" s="34"/>
      <c r="J630" s="34"/>
      <c r="K630" s="34"/>
      <c r="L630" s="34"/>
      <c r="M630" s="34"/>
      <c r="N630" s="34"/>
      <c r="O630" s="34"/>
      <c r="P630" s="34"/>
      <c r="Q630" s="3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54"/>
    </row>
    <row r="631">
      <c r="A631" s="53"/>
      <c r="B631" s="34"/>
      <c r="C631" s="34"/>
      <c r="D631" s="34"/>
      <c r="E631" s="34"/>
      <c r="F631" s="34"/>
      <c r="G631" s="34"/>
      <c r="H631" s="34"/>
      <c r="I631" s="34"/>
      <c r="J631" s="34"/>
      <c r="K631" s="34"/>
      <c r="L631" s="34"/>
      <c r="M631" s="34"/>
      <c r="N631" s="34"/>
      <c r="O631" s="34"/>
      <c r="P631" s="34"/>
      <c r="Q631" s="3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54"/>
    </row>
    <row r="632">
      <c r="A632" s="53"/>
      <c r="B632" s="34"/>
      <c r="C632" s="34"/>
      <c r="D632" s="34"/>
      <c r="E632" s="34"/>
      <c r="F632" s="34"/>
      <c r="G632" s="34"/>
      <c r="H632" s="34"/>
      <c r="I632" s="34"/>
      <c r="J632" s="34"/>
      <c r="K632" s="34"/>
      <c r="L632" s="34"/>
      <c r="M632" s="34"/>
      <c r="N632" s="34"/>
      <c r="O632" s="34"/>
      <c r="P632" s="34"/>
      <c r="Q632" s="3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54"/>
    </row>
    <row r="633">
      <c r="A633" s="53"/>
      <c r="B633" s="34"/>
      <c r="C633" s="34"/>
      <c r="D633" s="34"/>
      <c r="E633" s="34"/>
      <c r="F633" s="34"/>
      <c r="G633" s="34"/>
      <c r="H633" s="34"/>
      <c r="I633" s="34"/>
      <c r="J633" s="34"/>
      <c r="K633" s="34"/>
      <c r="L633" s="34"/>
      <c r="M633" s="34"/>
      <c r="N633" s="34"/>
      <c r="O633" s="34"/>
      <c r="P633" s="34"/>
      <c r="Q633" s="3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54"/>
    </row>
    <row r="634">
      <c r="A634" s="53"/>
      <c r="B634" s="34"/>
      <c r="C634" s="34"/>
      <c r="D634" s="34"/>
      <c r="E634" s="34"/>
      <c r="F634" s="34"/>
      <c r="G634" s="34"/>
      <c r="H634" s="34"/>
      <c r="I634" s="34"/>
      <c r="J634" s="34"/>
      <c r="K634" s="34"/>
      <c r="L634" s="34"/>
      <c r="M634" s="34"/>
      <c r="N634" s="34"/>
      <c r="O634" s="34"/>
      <c r="P634" s="34"/>
      <c r="Q634" s="3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54"/>
    </row>
    <row r="635">
      <c r="A635" s="53"/>
      <c r="B635" s="34"/>
      <c r="C635" s="34"/>
      <c r="D635" s="34"/>
      <c r="E635" s="34"/>
      <c r="F635" s="34"/>
      <c r="G635" s="34"/>
      <c r="H635" s="34"/>
      <c r="I635" s="34"/>
      <c r="J635" s="34"/>
      <c r="K635" s="34"/>
      <c r="L635" s="34"/>
      <c r="M635" s="34"/>
      <c r="N635" s="34"/>
      <c r="O635" s="34"/>
      <c r="P635" s="34"/>
      <c r="Q635" s="3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54"/>
    </row>
    <row r="636">
      <c r="A636" s="53"/>
      <c r="B636" s="34"/>
      <c r="C636" s="34"/>
      <c r="D636" s="34"/>
      <c r="E636" s="34"/>
      <c r="F636" s="34"/>
      <c r="G636" s="34"/>
      <c r="H636" s="34"/>
      <c r="I636" s="34"/>
      <c r="J636" s="34"/>
      <c r="K636" s="34"/>
      <c r="L636" s="34"/>
      <c r="M636" s="34"/>
      <c r="N636" s="34"/>
      <c r="O636" s="34"/>
      <c r="P636" s="34"/>
      <c r="Q636" s="3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54"/>
    </row>
    <row r="637">
      <c r="A637" s="53"/>
      <c r="B637" s="34"/>
      <c r="C637" s="34"/>
      <c r="D637" s="34"/>
      <c r="E637" s="34"/>
      <c r="F637" s="34"/>
      <c r="G637" s="34"/>
      <c r="H637" s="34"/>
      <c r="I637" s="34"/>
      <c r="J637" s="34"/>
      <c r="K637" s="34"/>
      <c r="L637" s="34"/>
      <c r="M637" s="34"/>
      <c r="N637" s="34"/>
      <c r="O637" s="34"/>
      <c r="P637" s="34"/>
      <c r="Q637" s="3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54"/>
    </row>
    <row r="638">
      <c r="A638" s="53"/>
      <c r="B638" s="34"/>
      <c r="C638" s="34"/>
      <c r="D638" s="34"/>
      <c r="E638" s="34"/>
      <c r="F638" s="34"/>
      <c r="G638" s="34"/>
      <c r="H638" s="34"/>
      <c r="I638" s="34"/>
      <c r="J638" s="34"/>
      <c r="K638" s="34"/>
      <c r="L638" s="34"/>
      <c r="M638" s="34"/>
      <c r="N638" s="34"/>
      <c r="O638" s="34"/>
      <c r="P638" s="34"/>
      <c r="Q638" s="3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54"/>
    </row>
    <row r="639">
      <c r="A639" s="53"/>
      <c r="B639" s="34"/>
      <c r="C639" s="34"/>
      <c r="D639" s="34"/>
      <c r="E639" s="34"/>
      <c r="F639" s="34"/>
      <c r="G639" s="34"/>
      <c r="H639" s="34"/>
      <c r="I639" s="34"/>
      <c r="J639" s="34"/>
      <c r="K639" s="34"/>
      <c r="L639" s="34"/>
      <c r="M639" s="34"/>
      <c r="N639" s="34"/>
      <c r="O639" s="34"/>
      <c r="P639" s="34"/>
      <c r="Q639" s="3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54"/>
    </row>
    <row r="640">
      <c r="A640" s="53"/>
      <c r="B640" s="34"/>
      <c r="C640" s="34"/>
      <c r="D640" s="34"/>
      <c r="E640" s="34"/>
      <c r="F640" s="34"/>
      <c r="G640" s="34"/>
      <c r="H640" s="34"/>
      <c r="I640" s="34"/>
      <c r="J640" s="34"/>
      <c r="K640" s="34"/>
      <c r="L640" s="34"/>
      <c r="M640" s="34"/>
      <c r="N640" s="34"/>
      <c r="O640" s="34"/>
      <c r="P640" s="34"/>
      <c r="Q640" s="3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54"/>
    </row>
    <row r="641">
      <c r="A641" s="53"/>
      <c r="B641" s="34"/>
      <c r="C641" s="34"/>
      <c r="D641" s="34"/>
      <c r="E641" s="34"/>
      <c r="F641" s="34"/>
      <c r="G641" s="34"/>
      <c r="H641" s="34"/>
      <c r="I641" s="34"/>
      <c r="J641" s="34"/>
      <c r="K641" s="34"/>
      <c r="L641" s="34"/>
      <c r="M641" s="34"/>
      <c r="N641" s="34"/>
      <c r="O641" s="34"/>
      <c r="P641" s="34"/>
      <c r="Q641" s="3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54"/>
    </row>
    <row r="642">
      <c r="A642" s="53"/>
      <c r="B642" s="34"/>
      <c r="C642" s="34"/>
      <c r="D642" s="34"/>
      <c r="E642" s="34"/>
      <c r="F642" s="34"/>
      <c r="G642" s="34"/>
      <c r="H642" s="34"/>
      <c r="I642" s="34"/>
      <c r="J642" s="34"/>
      <c r="K642" s="34"/>
      <c r="L642" s="34"/>
      <c r="M642" s="34"/>
      <c r="N642" s="34"/>
      <c r="O642" s="34"/>
      <c r="P642" s="34"/>
      <c r="Q642" s="3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54"/>
    </row>
    <row r="643">
      <c r="A643" s="53"/>
      <c r="B643" s="34"/>
      <c r="C643" s="34"/>
      <c r="D643" s="34"/>
      <c r="E643" s="34"/>
      <c r="F643" s="34"/>
      <c r="G643" s="34"/>
      <c r="H643" s="34"/>
      <c r="I643" s="34"/>
      <c r="J643" s="34"/>
      <c r="K643" s="34"/>
      <c r="L643" s="34"/>
      <c r="M643" s="34"/>
      <c r="N643" s="34"/>
      <c r="O643" s="34"/>
      <c r="P643" s="34"/>
      <c r="Q643" s="3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54"/>
    </row>
    <row r="644">
      <c r="A644" s="53"/>
      <c r="B644" s="34"/>
      <c r="C644" s="34"/>
      <c r="D644" s="34"/>
      <c r="E644" s="34"/>
      <c r="F644" s="34"/>
      <c r="G644" s="34"/>
      <c r="H644" s="34"/>
      <c r="I644" s="34"/>
      <c r="J644" s="34"/>
      <c r="K644" s="34"/>
      <c r="L644" s="34"/>
      <c r="M644" s="34"/>
      <c r="N644" s="34"/>
      <c r="O644" s="34"/>
      <c r="P644" s="34"/>
      <c r="Q644" s="3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54"/>
    </row>
    <row r="645">
      <c r="A645" s="53"/>
      <c r="B645" s="34"/>
      <c r="C645" s="34"/>
      <c r="D645" s="34"/>
      <c r="E645" s="34"/>
      <c r="F645" s="34"/>
      <c r="G645" s="34"/>
      <c r="H645" s="34"/>
      <c r="I645" s="34"/>
      <c r="J645" s="34"/>
      <c r="K645" s="34"/>
      <c r="L645" s="34"/>
      <c r="M645" s="34"/>
      <c r="N645" s="34"/>
      <c r="O645" s="34"/>
      <c r="P645" s="34"/>
      <c r="Q645" s="3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54"/>
    </row>
    <row r="646">
      <c r="A646" s="53"/>
      <c r="B646" s="34"/>
      <c r="C646" s="34"/>
      <c r="D646" s="34"/>
      <c r="E646" s="34"/>
      <c r="F646" s="34"/>
      <c r="G646" s="34"/>
      <c r="H646" s="34"/>
      <c r="I646" s="34"/>
      <c r="J646" s="34"/>
      <c r="K646" s="34"/>
      <c r="L646" s="34"/>
      <c r="M646" s="34"/>
      <c r="N646" s="34"/>
      <c r="O646" s="34"/>
      <c r="P646" s="34"/>
      <c r="Q646" s="3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54"/>
    </row>
    <row r="647">
      <c r="A647" s="53"/>
      <c r="B647" s="34"/>
      <c r="C647" s="34"/>
      <c r="D647" s="34"/>
      <c r="E647" s="34"/>
      <c r="F647" s="34"/>
      <c r="G647" s="34"/>
      <c r="H647" s="34"/>
      <c r="I647" s="34"/>
      <c r="J647" s="34"/>
      <c r="K647" s="34"/>
      <c r="L647" s="34"/>
      <c r="M647" s="34"/>
      <c r="N647" s="34"/>
      <c r="O647" s="34"/>
      <c r="P647" s="34"/>
      <c r="Q647" s="3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54"/>
    </row>
    <row r="648">
      <c r="A648" s="53"/>
      <c r="B648" s="34"/>
      <c r="C648" s="34"/>
      <c r="D648" s="34"/>
      <c r="E648" s="34"/>
      <c r="F648" s="34"/>
      <c r="G648" s="34"/>
      <c r="H648" s="34"/>
      <c r="I648" s="34"/>
      <c r="J648" s="34"/>
      <c r="K648" s="34"/>
      <c r="L648" s="34"/>
      <c r="M648" s="34"/>
      <c r="N648" s="34"/>
      <c r="O648" s="34"/>
      <c r="P648" s="34"/>
      <c r="Q648" s="3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54"/>
    </row>
    <row r="649">
      <c r="A649" s="53"/>
      <c r="B649" s="34"/>
      <c r="C649" s="34"/>
      <c r="D649" s="34"/>
      <c r="E649" s="34"/>
      <c r="F649" s="34"/>
      <c r="G649" s="34"/>
      <c r="H649" s="34"/>
      <c r="I649" s="34"/>
      <c r="J649" s="34"/>
      <c r="K649" s="34"/>
      <c r="L649" s="34"/>
      <c r="M649" s="34"/>
      <c r="N649" s="34"/>
      <c r="O649" s="34"/>
      <c r="P649" s="34"/>
      <c r="Q649" s="3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54"/>
    </row>
    <row r="650">
      <c r="A650" s="53"/>
      <c r="B650" s="34"/>
      <c r="C650" s="34"/>
      <c r="D650" s="34"/>
      <c r="E650" s="34"/>
      <c r="F650" s="34"/>
      <c r="G650" s="34"/>
      <c r="H650" s="34"/>
      <c r="I650" s="34"/>
      <c r="J650" s="34"/>
      <c r="K650" s="34"/>
      <c r="L650" s="34"/>
      <c r="M650" s="34"/>
      <c r="N650" s="34"/>
      <c r="O650" s="34"/>
      <c r="P650" s="34"/>
      <c r="Q650" s="3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54"/>
    </row>
    <row r="651">
      <c r="A651" s="53"/>
      <c r="B651" s="34"/>
      <c r="C651" s="34"/>
      <c r="D651" s="34"/>
      <c r="E651" s="34"/>
      <c r="F651" s="34"/>
      <c r="G651" s="34"/>
      <c r="H651" s="34"/>
      <c r="I651" s="34"/>
      <c r="J651" s="34"/>
      <c r="K651" s="34"/>
      <c r="L651" s="34"/>
      <c r="M651" s="34"/>
      <c r="N651" s="34"/>
      <c r="O651" s="34"/>
      <c r="P651" s="34"/>
      <c r="Q651" s="3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54"/>
    </row>
    <row r="652">
      <c r="A652" s="53"/>
      <c r="B652" s="34"/>
      <c r="C652" s="34"/>
      <c r="D652" s="34"/>
      <c r="E652" s="34"/>
      <c r="F652" s="34"/>
      <c r="G652" s="34"/>
      <c r="H652" s="34"/>
      <c r="I652" s="34"/>
      <c r="J652" s="34"/>
      <c r="K652" s="34"/>
      <c r="L652" s="34"/>
      <c r="M652" s="34"/>
      <c r="N652" s="34"/>
      <c r="O652" s="34"/>
      <c r="P652" s="34"/>
      <c r="Q652" s="3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54"/>
    </row>
    <row r="653">
      <c r="A653" s="53"/>
      <c r="B653" s="34"/>
      <c r="C653" s="34"/>
      <c r="D653" s="34"/>
      <c r="E653" s="34"/>
      <c r="F653" s="34"/>
      <c r="G653" s="34"/>
      <c r="H653" s="34"/>
      <c r="I653" s="34"/>
      <c r="J653" s="34"/>
      <c r="K653" s="34"/>
      <c r="L653" s="34"/>
      <c r="M653" s="34"/>
      <c r="N653" s="34"/>
      <c r="O653" s="34"/>
      <c r="P653" s="34"/>
      <c r="Q653" s="3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54"/>
    </row>
    <row r="654">
      <c r="A654" s="53"/>
      <c r="B654" s="34"/>
      <c r="C654" s="34"/>
      <c r="D654" s="34"/>
      <c r="E654" s="34"/>
      <c r="F654" s="34"/>
      <c r="G654" s="34"/>
      <c r="H654" s="34"/>
      <c r="I654" s="34"/>
      <c r="J654" s="34"/>
      <c r="K654" s="34"/>
      <c r="L654" s="34"/>
      <c r="M654" s="34"/>
      <c r="N654" s="34"/>
      <c r="O654" s="34"/>
      <c r="P654" s="34"/>
      <c r="Q654" s="3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54"/>
    </row>
    <row r="655">
      <c r="A655" s="53"/>
      <c r="B655" s="34"/>
      <c r="C655" s="34"/>
      <c r="D655" s="34"/>
      <c r="E655" s="34"/>
      <c r="F655" s="34"/>
      <c r="G655" s="34"/>
      <c r="H655" s="34"/>
      <c r="I655" s="34"/>
      <c r="J655" s="34"/>
      <c r="K655" s="34"/>
      <c r="L655" s="34"/>
      <c r="M655" s="34"/>
      <c r="N655" s="34"/>
      <c r="O655" s="34"/>
      <c r="P655" s="34"/>
      <c r="Q655" s="3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54"/>
    </row>
    <row r="656">
      <c r="A656" s="53"/>
      <c r="B656" s="34"/>
      <c r="C656" s="34"/>
      <c r="D656" s="34"/>
      <c r="E656" s="34"/>
      <c r="F656" s="34"/>
      <c r="G656" s="34"/>
      <c r="H656" s="34"/>
      <c r="I656" s="34"/>
      <c r="J656" s="34"/>
      <c r="K656" s="34"/>
      <c r="L656" s="34"/>
      <c r="M656" s="34"/>
      <c r="N656" s="34"/>
      <c r="O656" s="34"/>
      <c r="P656" s="34"/>
      <c r="Q656" s="3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54"/>
    </row>
    <row r="657">
      <c r="A657" s="53"/>
      <c r="B657" s="34"/>
      <c r="C657" s="34"/>
      <c r="D657" s="34"/>
      <c r="E657" s="34"/>
      <c r="F657" s="34"/>
      <c r="G657" s="34"/>
      <c r="H657" s="34"/>
      <c r="I657" s="34"/>
      <c r="J657" s="34"/>
      <c r="K657" s="34"/>
      <c r="L657" s="34"/>
      <c r="M657" s="34"/>
      <c r="N657" s="34"/>
      <c r="O657" s="34"/>
      <c r="P657" s="34"/>
      <c r="Q657" s="3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54"/>
    </row>
    <row r="658">
      <c r="A658" s="53"/>
      <c r="B658" s="34"/>
      <c r="C658" s="34"/>
      <c r="D658" s="34"/>
      <c r="E658" s="34"/>
      <c r="F658" s="34"/>
      <c r="G658" s="34"/>
      <c r="H658" s="34"/>
      <c r="I658" s="34"/>
      <c r="J658" s="34"/>
      <c r="K658" s="34"/>
      <c r="L658" s="34"/>
      <c r="M658" s="34"/>
      <c r="N658" s="34"/>
      <c r="O658" s="34"/>
      <c r="P658" s="34"/>
      <c r="Q658" s="3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54"/>
    </row>
    <row r="659">
      <c r="A659" s="53"/>
      <c r="B659" s="34"/>
      <c r="C659" s="34"/>
      <c r="D659" s="34"/>
      <c r="E659" s="34"/>
      <c r="F659" s="34"/>
      <c r="G659" s="34"/>
      <c r="H659" s="34"/>
      <c r="I659" s="34"/>
      <c r="J659" s="34"/>
      <c r="K659" s="34"/>
      <c r="L659" s="34"/>
      <c r="M659" s="34"/>
      <c r="N659" s="34"/>
      <c r="O659" s="34"/>
      <c r="P659" s="34"/>
      <c r="Q659" s="3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54"/>
    </row>
    <row r="660">
      <c r="A660" s="53"/>
      <c r="B660" s="34"/>
      <c r="C660" s="34"/>
      <c r="D660" s="34"/>
      <c r="E660" s="34"/>
      <c r="F660" s="34"/>
      <c r="G660" s="34"/>
      <c r="H660" s="34"/>
      <c r="I660" s="34"/>
      <c r="J660" s="34"/>
      <c r="K660" s="34"/>
      <c r="L660" s="34"/>
      <c r="M660" s="34"/>
      <c r="N660" s="34"/>
      <c r="O660" s="34"/>
      <c r="P660" s="34"/>
      <c r="Q660" s="3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54"/>
    </row>
    <row r="661">
      <c r="A661" s="53"/>
      <c r="B661" s="34"/>
      <c r="C661" s="34"/>
      <c r="D661" s="34"/>
      <c r="E661" s="34"/>
      <c r="F661" s="34"/>
      <c r="G661" s="34"/>
      <c r="H661" s="34"/>
      <c r="I661" s="34"/>
      <c r="J661" s="34"/>
      <c r="K661" s="34"/>
      <c r="L661" s="34"/>
      <c r="M661" s="34"/>
      <c r="N661" s="34"/>
      <c r="O661" s="34"/>
      <c r="P661" s="34"/>
      <c r="Q661" s="3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54"/>
    </row>
    <row r="662">
      <c r="A662" s="53"/>
      <c r="B662" s="34"/>
      <c r="C662" s="34"/>
      <c r="D662" s="34"/>
      <c r="E662" s="34"/>
      <c r="F662" s="34"/>
      <c r="G662" s="34"/>
      <c r="H662" s="34"/>
      <c r="I662" s="34"/>
      <c r="J662" s="34"/>
      <c r="K662" s="34"/>
      <c r="L662" s="34"/>
      <c r="M662" s="34"/>
      <c r="N662" s="34"/>
      <c r="O662" s="34"/>
      <c r="P662" s="34"/>
      <c r="Q662" s="3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54"/>
    </row>
    <row r="663">
      <c r="A663" s="53"/>
      <c r="B663" s="34"/>
      <c r="C663" s="34"/>
      <c r="D663" s="34"/>
      <c r="E663" s="34"/>
      <c r="F663" s="34"/>
      <c r="G663" s="34"/>
      <c r="H663" s="34"/>
      <c r="I663" s="34"/>
      <c r="J663" s="34"/>
      <c r="K663" s="34"/>
      <c r="L663" s="34"/>
      <c r="M663" s="34"/>
      <c r="N663" s="34"/>
      <c r="O663" s="34"/>
      <c r="P663" s="34"/>
      <c r="Q663" s="3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54"/>
    </row>
    <row r="664">
      <c r="A664" s="53"/>
      <c r="B664" s="34"/>
      <c r="C664" s="34"/>
      <c r="D664" s="34"/>
      <c r="E664" s="34"/>
      <c r="F664" s="34"/>
      <c r="G664" s="34"/>
      <c r="H664" s="34"/>
      <c r="I664" s="34"/>
      <c r="J664" s="34"/>
      <c r="K664" s="34"/>
      <c r="L664" s="34"/>
      <c r="M664" s="34"/>
      <c r="N664" s="34"/>
      <c r="O664" s="34"/>
      <c r="P664" s="34"/>
      <c r="Q664" s="3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54"/>
    </row>
    <row r="665">
      <c r="A665" s="53"/>
      <c r="B665" s="34"/>
      <c r="C665" s="34"/>
      <c r="D665" s="34"/>
      <c r="E665" s="34"/>
      <c r="F665" s="34"/>
      <c r="G665" s="34"/>
      <c r="H665" s="34"/>
      <c r="I665" s="34"/>
      <c r="J665" s="34"/>
      <c r="K665" s="34"/>
      <c r="L665" s="34"/>
      <c r="M665" s="34"/>
      <c r="N665" s="34"/>
      <c r="O665" s="34"/>
      <c r="P665" s="34"/>
      <c r="Q665" s="3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54"/>
    </row>
    <row r="666">
      <c r="A666" s="53"/>
      <c r="B666" s="34"/>
      <c r="C666" s="34"/>
      <c r="D666" s="34"/>
      <c r="E666" s="34"/>
      <c r="F666" s="34"/>
      <c r="G666" s="34"/>
      <c r="H666" s="34"/>
      <c r="I666" s="34"/>
      <c r="J666" s="34"/>
      <c r="K666" s="34"/>
      <c r="L666" s="34"/>
      <c r="M666" s="34"/>
      <c r="N666" s="34"/>
      <c r="O666" s="34"/>
      <c r="P666" s="34"/>
      <c r="Q666" s="3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54"/>
    </row>
    <row r="667">
      <c r="A667" s="53"/>
      <c r="B667" s="34"/>
      <c r="C667" s="34"/>
      <c r="D667" s="34"/>
      <c r="E667" s="34"/>
      <c r="F667" s="34"/>
      <c r="G667" s="34"/>
      <c r="H667" s="34"/>
      <c r="I667" s="34"/>
      <c r="J667" s="34"/>
      <c r="K667" s="34"/>
      <c r="L667" s="34"/>
      <c r="M667" s="34"/>
      <c r="N667" s="34"/>
      <c r="O667" s="34"/>
      <c r="P667" s="34"/>
      <c r="Q667" s="3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54"/>
    </row>
    <row r="668">
      <c r="A668" s="53"/>
      <c r="B668" s="34"/>
      <c r="C668" s="34"/>
      <c r="D668" s="34"/>
      <c r="E668" s="34"/>
      <c r="F668" s="34"/>
      <c r="G668" s="34"/>
      <c r="H668" s="34"/>
      <c r="I668" s="34"/>
      <c r="J668" s="34"/>
      <c r="K668" s="34"/>
      <c r="L668" s="34"/>
      <c r="M668" s="34"/>
      <c r="N668" s="34"/>
      <c r="O668" s="34"/>
      <c r="P668" s="34"/>
      <c r="Q668" s="3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54"/>
    </row>
    <row r="669">
      <c r="A669" s="53"/>
      <c r="B669" s="34"/>
      <c r="C669" s="34"/>
      <c r="D669" s="34"/>
      <c r="E669" s="34"/>
      <c r="F669" s="34"/>
      <c r="G669" s="34"/>
      <c r="H669" s="34"/>
      <c r="I669" s="34"/>
      <c r="J669" s="34"/>
      <c r="K669" s="34"/>
      <c r="L669" s="34"/>
      <c r="M669" s="34"/>
      <c r="N669" s="34"/>
      <c r="O669" s="34"/>
      <c r="P669" s="34"/>
      <c r="Q669" s="3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54"/>
    </row>
    <row r="670">
      <c r="A670" s="53"/>
      <c r="B670" s="34"/>
      <c r="C670" s="34"/>
      <c r="D670" s="34"/>
      <c r="E670" s="34"/>
      <c r="F670" s="34"/>
      <c r="G670" s="34"/>
      <c r="H670" s="34"/>
      <c r="I670" s="34"/>
      <c r="J670" s="34"/>
      <c r="K670" s="34"/>
      <c r="L670" s="34"/>
      <c r="M670" s="34"/>
      <c r="N670" s="34"/>
      <c r="O670" s="34"/>
      <c r="P670" s="34"/>
      <c r="Q670" s="3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54"/>
    </row>
    <row r="671">
      <c r="A671" s="53"/>
      <c r="B671" s="34"/>
      <c r="C671" s="34"/>
      <c r="D671" s="34"/>
      <c r="E671" s="34"/>
      <c r="F671" s="34"/>
      <c r="G671" s="34"/>
      <c r="H671" s="34"/>
      <c r="I671" s="34"/>
      <c r="J671" s="34"/>
      <c r="K671" s="34"/>
      <c r="L671" s="34"/>
      <c r="M671" s="34"/>
      <c r="N671" s="34"/>
      <c r="O671" s="34"/>
      <c r="P671" s="34"/>
      <c r="Q671" s="3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54"/>
    </row>
    <row r="672">
      <c r="A672" s="53"/>
      <c r="B672" s="34"/>
      <c r="C672" s="34"/>
      <c r="D672" s="34"/>
      <c r="E672" s="34"/>
      <c r="F672" s="34"/>
      <c r="G672" s="34"/>
      <c r="H672" s="34"/>
      <c r="I672" s="34"/>
      <c r="J672" s="34"/>
      <c r="K672" s="34"/>
      <c r="L672" s="34"/>
      <c r="M672" s="34"/>
      <c r="N672" s="34"/>
      <c r="O672" s="34"/>
      <c r="P672" s="34"/>
      <c r="Q672" s="3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54"/>
    </row>
    <row r="673">
      <c r="A673" s="53"/>
      <c r="B673" s="34"/>
      <c r="C673" s="34"/>
      <c r="D673" s="34"/>
      <c r="E673" s="34"/>
      <c r="F673" s="34"/>
      <c r="G673" s="34"/>
      <c r="H673" s="34"/>
      <c r="I673" s="34"/>
      <c r="J673" s="34"/>
      <c r="K673" s="34"/>
      <c r="L673" s="34"/>
      <c r="M673" s="34"/>
      <c r="N673" s="34"/>
      <c r="O673" s="34"/>
      <c r="P673" s="34"/>
      <c r="Q673" s="3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54"/>
    </row>
    <row r="674">
      <c r="A674" s="53"/>
      <c r="B674" s="34"/>
      <c r="C674" s="34"/>
      <c r="D674" s="34"/>
      <c r="E674" s="34"/>
      <c r="F674" s="34"/>
      <c r="G674" s="34"/>
      <c r="H674" s="34"/>
      <c r="I674" s="34"/>
      <c r="J674" s="34"/>
      <c r="K674" s="34"/>
      <c r="L674" s="34"/>
      <c r="M674" s="34"/>
      <c r="N674" s="34"/>
      <c r="O674" s="34"/>
      <c r="P674" s="34"/>
      <c r="Q674" s="3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54"/>
    </row>
    <row r="675">
      <c r="A675" s="53"/>
      <c r="B675" s="34"/>
      <c r="C675" s="34"/>
      <c r="D675" s="34"/>
      <c r="E675" s="34"/>
      <c r="F675" s="34"/>
      <c r="G675" s="34"/>
      <c r="H675" s="34"/>
      <c r="I675" s="34"/>
      <c r="J675" s="34"/>
      <c r="K675" s="34"/>
      <c r="L675" s="34"/>
      <c r="M675" s="34"/>
      <c r="N675" s="34"/>
      <c r="O675" s="34"/>
      <c r="P675" s="34"/>
      <c r="Q675" s="3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54"/>
    </row>
    <row r="676">
      <c r="A676" s="53"/>
      <c r="B676" s="34"/>
      <c r="C676" s="34"/>
      <c r="D676" s="34"/>
      <c r="E676" s="34"/>
      <c r="F676" s="34"/>
      <c r="G676" s="34"/>
      <c r="H676" s="34"/>
      <c r="I676" s="34"/>
      <c r="J676" s="34"/>
      <c r="K676" s="34"/>
      <c r="L676" s="34"/>
      <c r="M676" s="34"/>
      <c r="N676" s="34"/>
      <c r="O676" s="34"/>
      <c r="P676" s="34"/>
      <c r="Q676" s="3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54"/>
    </row>
    <row r="677">
      <c r="A677" s="53"/>
      <c r="B677" s="34"/>
      <c r="C677" s="34"/>
      <c r="D677" s="34"/>
      <c r="E677" s="34"/>
      <c r="F677" s="34"/>
      <c r="G677" s="34"/>
      <c r="H677" s="34"/>
      <c r="I677" s="34"/>
      <c r="J677" s="34"/>
      <c r="K677" s="34"/>
      <c r="L677" s="34"/>
      <c r="M677" s="34"/>
      <c r="N677" s="34"/>
      <c r="O677" s="34"/>
      <c r="P677" s="34"/>
      <c r="Q677" s="3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54"/>
    </row>
    <row r="678">
      <c r="A678" s="53"/>
      <c r="B678" s="34"/>
      <c r="C678" s="34"/>
      <c r="D678" s="34"/>
      <c r="E678" s="34"/>
      <c r="F678" s="34"/>
      <c r="G678" s="34"/>
      <c r="H678" s="34"/>
      <c r="I678" s="34"/>
      <c r="J678" s="34"/>
      <c r="K678" s="34"/>
      <c r="L678" s="34"/>
      <c r="M678" s="34"/>
      <c r="N678" s="34"/>
      <c r="O678" s="34"/>
      <c r="P678" s="34"/>
      <c r="Q678" s="3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54"/>
    </row>
    <row r="679">
      <c r="A679" s="53"/>
      <c r="B679" s="34"/>
      <c r="C679" s="34"/>
      <c r="D679" s="34"/>
      <c r="E679" s="34"/>
      <c r="F679" s="34"/>
      <c r="G679" s="34"/>
      <c r="H679" s="34"/>
      <c r="I679" s="34"/>
      <c r="J679" s="34"/>
      <c r="K679" s="34"/>
      <c r="L679" s="34"/>
      <c r="M679" s="34"/>
      <c r="N679" s="34"/>
      <c r="O679" s="34"/>
      <c r="P679" s="34"/>
      <c r="Q679" s="3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54"/>
    </row>
    <row r="680">
      <c r="A680" s="53"/>
      <c r="B680" s="34"/>
      <c r="C680" s="34"/>
      <c r="D680" s="34"/>
      <c r="E680" s="34"/>
      <c r="F680" s="34"/>
      <c r="G680" s="34"/>
      <c r="H680" s="34"/>
      <c r="I680" s="34"/>
      <c r="J680" s="34"/>
      <c r="K680" s="34"/>
      <c r="L680" s="34"/>
      <c r="M680" s="34"/>
      <c r="N680" s="34"/>
      <c r="O680" s="34"/>
      <c r="P680" s="34"/>
      <c r="Q680" s="3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54"/>
    </row>
    <row r="681">
      <c r="A681" s="53"/>
      <c r="B681" s="34"/>
      <c r="C681" s="34"/>
      <c r="D681" s="34"/>
      <c r="E681" s="34"/>
      <c r="F681" s="34"/>
      <c r="G681" s="34"/>
      <c r="H681" s="34"/>
      <c r="I681" s="34"/>
      <c r="J681" s="34"/>
      <c r="K681" s="34"/>
      <c r="L681" s="34"/>
      <c r="M681" s="34"/>
      <c r="N681" s="34"/>
      <c r="O681" s="34"/>
      <c r="P681" s="34"/>
      <c r="Q681" s="3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54"/>
    </row>
    <row r="682">
      <c r="A682" s="53"/>
      <c r="B682" s="34"/>
      <c r="C682" s="34"/>
      <c r="D682" s="34"/>
      <c r="E682" s="34"/>
      <c r="F682" s="34"/>
      <c r="G682" s="34"/>
      <c r="H682" s="34"/>
      <c r="I682" s="34"/>
      <c r="J682" s="34"/>
      <c r="K682" s="34"/>
      <c r="L682" s="34"/>
      <c r="M682" s="34"/>
      <c r="N682" s="34"/>
      <c r="O682" s="34"/>
      <c r="P682" s="34"/>
      <c r="Q682" s="3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54"/>
    </row>
    <row r="683">
      <c r="A683" s="53"/>
      <c r="B683" s="34"/>
      <c r="C683" s="34"/>
      <c r="D683" s="34"/>
      <c r="E683" s="34"/>
      <c r="F683" s="34"/>
      <c r="G683" s="34"/>
      <c r="H683" s="34"/>
      <c r="I683" s="34"/>
      <c r="J683" s="34"/>
      <c r="K683" s="34"/>
      <c r="L683" s="34"/>
      <c r="M683" s="34"/>
      <c r="N683" s="34"/>
      <c r="O683" s="34"/>
      <c r="P683" s="34"/>
      <c r="Q683" s="3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54"/>
    </row>
    <row r="684">
      <c r="A684" s="53"/>
      <c r="B684" s="34"/>
      <c r="C684" s="34"/>
      <c r="D684" s="34"/>
      <c r="E684" s="34"/>
      <c r="F684" s="34"/>
      <c r="G684" s="34"/>
      <c r="H684" s="34"/>
      <c r="I684" s="34"/>
      <c r="J684" s="34"/>
      <c r="K684" s="34"/>
      <c r="L684" s="34"/>
      <c r="M684" s="34"/>
      <c r="N684" s="34"/>
      <c r="O684" s="34"/>
      <c r="P684" s="34"/>
      <c r="Q684" s="3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54"/>
    </row>
    <row r="685">
      <c r="A685" s="53"/>
      <c r="B685" s="34"/>
      <c r="C685" s="34"/>
      <c r="D685" s="34"/>
      <c r="E685" s="34"/>
      <c r="F685" s="34"/>
      <c r="G685" s="34"/>
      <c r="H685" s="34"/>
      <c r="I685" s="34"/>
      <c r="J685" s="34"/>
      <c r="K685" s="34"/>
      <c r="L685" s="34"/>
      <c r="M685" s="34"/>
      <c r="N685" s="34"/>
      <c r="O685" s="34"/>
      <c r="P685" s="34"/>
      <c r="Q685" s="3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54"/>
    </row>
    <row r="686">
      <c r="A686" s="53"/>
      <c r="B686" s="34"/>
      <c r="C686" s="34"/>
      <c r="D686" s="34"/>
      <c r="E686" s="34"/>
      <c r="F686" s="34"/>
      <c r="G686" s="34"/>
      <c r="H686" s="34"/>
      <c r="I686" s="34"/>
      <c r="J686" s="34"/>
      <c r="K686" s="34"/>
      <c r="L686" s="34"/>
      <c r="M686" s="34"/>
      <c r="N686" s="34"/>
      <c r="O686" s="34"/>
      <c r="P686" s="34"/>
      <c r="Q686" s="3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54"/>
    </row>
    <row r="687">
      <c r="A687" s="53"/>
      <c r="B687" s="34"/>
      <c r="C687" s="34"/>
      <c r="D687" s="34"/>
      <c r="E687" s="34"/>
      <c r="F687" s="34"/>
      <c r="G687" s="34"/>
      <c r="H687" s="34"/>
      <c r="I687" s="34"/>
      <c r="J687" s="34"/>
      <c r="K687" s="34"/>
      <c r="L687" s="34"/>
      <c r="M687" s="34"/>
      <c r="N687" s="34"/>
      <c r="O687" s="34"/>
      <c r="P687" s="34"/>
      <c r="Q687" s="3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54"/>
    </row>
    <row r="688">
      <c r="A688" s="53"/>
      <c r="B688" s="34"/>
      <c r="C688" s="34"/>
      <c r="D688" s="34"/>
      <c r="E688" s="34"/>
      <c r="F688" s="34"/>
      <c r="G688" s="34"/>
      <c r="H688" s="34"/>
      <c r="I688" s="34"/>
      <c r="J688" s="34"/>
      <c r="K688" s="34"/>
      <c r="L688" s="34"/>
      <c r="M688" s="34"/>
      <c r="N688" s="34"/>
      <c r="O688" s="34"/>
      <c r="P688" s="34"/>
      <c r="Q688" s="3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54"/>
    </row>
    <row r="689">
      <c r="A689" s="53"/>
      <c r="B689" s="34"/>
      <c r="C689" s="34"/>
      <c r="D689" s="34"/>
      <c r="E689" s="34"/>
      <c r="F689" s="34"/>
      <c r="G689" s="34"/>
      <c r="H689" s="34"/>
      <c r="I689" s="34"/>
      <c r="J689" s="34"/>
      <c r="K689" s="34"/>
      <c r="L689" s="34"/>
      <c r="M689" s="34"/>
      <c r="N689" s="34"/>
      <c r="O689" s="34"/>
      <c r="P689" s="34"/>
      <c r="Q689" s="3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54"/>
    </row>
    <row r="690">
      <c r="A690" s="53"/>
      <c r="B690" s="34"/>
      <c r="C690" s="34"/>
      <c r="D690" s="34"/>
      <c r="E690" s="34"/>
      <c r="F690" s="34"/>
      <c r="G690" s="34"/>
      <c r="H690" s="34"/>
      <c r="I690" s="34"/>
      <c r="J690" s="34"/>
      <c r="K690" s="34"/>
      <c r="L690" s="34"/>
      <c r="M690" s="34"/>
      <c r="N690" s="34"/>
      <c r="O690" s="34"/>
      <c r="P690" s="34"/>
      <c r="Q690" s="3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54"/>
    </row>
    <row r="691">
      <c r="A691" s="53"/>
      <c r="B691" s="34"/>
      <c r="C691" s="34"/>
      <c r="D691" s="34"/>
      <c r="E691" s="34"/>
      <c r="F691" s="34"/>
      <c r="G691" s="34"/>
      <c r="H691" s="34"/>
      <c r="I691" s="34"/>
      <c r="J691" s="34"/>
      <c r="K691" s="34"/>
      <c r="L691" s="34"/>
      <c r="M691" s="34"/>
      <c r="N691" s="34"/>
      <c r="O691" s="34"/>
      <c r="P691" s="34"/>
      <c r="Q691" s="3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54"/>
    </row>
    <row r="692">
      <c r="A692" s="53"/>
      <c r="B692" s="34"/>
      <c r="C692" s="34"/>
      <c r="D692" s="34"/>
      <c r="E692" s="34"/>
      <c r="F692" s="34"/>
      <c r="G692" s="34"/>
      <c r="H692" s="34"/>
      <c r="I692" s="34"/>
      <c r="J692" s="34"/>
      <c r="K692" s="34"/>
      <c r="L692" s="34"/>
      <c r="M692" s="34"/>
      <c r="N692" s="34"/>
      <c r="O692" s="34"/>
      <c r="P692" s="34"/>
      <c r="Q692" s="3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54"/>
    </row>
    <row r="693">
      <c r="A693" s="53"/>
      <c r="B693" s="34"/>
      <c r="C693" s="34"/>
      <c r="D693" s="34"/>
      <c r="E693" s="34"/>
      <c r="F693" s="34"/>
      <c r="G693" s="34"/>
      <c r="H693" s="34"/>
      <c r="I693" s="34"/>
      <c r="J693" s="34"/>
      <c r="K693" s="34"/>
      <c r="L693" s="34"/>
      <c r="M693" s="34"/>
      <c r="N693" s="34"/>
      <c r="O693" s="34"/>
      <c r="P693" s="34"/>
      <c r="Q693" s="3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54"/>
    </row>
    <row r="694">
      <c r="A694" s="53"/>
      <c r="B694" s="34"/>
      <c r="C694" s="34"/>
      <c r="D694" s="34"/>
      <c r="E694" s="34"/>
      <c r="F694" s="34"/>
      <c r="G694" s="34"/>
      <c r="H694" s="34"/>
      <c r="I694" s="34"/>
      <c r="J694" s="34"/>
      <c r="K694" s="34"/>
      <c r="L694" s="34"/>
      <c r="M694" s="34"/>
      <c r="N694" s="34"/>
      <c r="O694" s="34"/>
      <c r="P694" s="34"/>
      <c r="Q694" s="3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54"/>
    </row>
    <row r="695">
      <c r="A695" s="53"/>
      <c r="B695" s="34"/>
      <c r="C695" s="34"/>
      <c r="D695" s="34"/>
      <c r="E695" s="34"/>
      <c r="F695" s="34"/>
      <c r="G695" s="34"/>
      <c r="H695" s="34"/>
      <c r="I695" s="34"/>
      <c r="J695" s="34"/>
      <c r="K695" s="34"/>
      <c r="L695" s="34"/>
      <c r="M695" s="34"/>
      <c r="N695" s="34"/>
      <c r="O695" s="34"/>
      <c r="P695" s="34"/>
      <c r="Q695" s="3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54"/>
    </row>
    <row r="696">
      <c r="A696" s="53"/>
      <c r="B696" s="34"/>
      <c r="C696" s="34"/>
      <c r="D696" s="34"/>
      <c r="E696" s="34"/>
      <c r="F696" s="34"/>
      <c r="G696" s="34"/>
      <c r="H696" s="34"/>
      <c r="I696" s="34"/>
      <c r="J696" s="34"/>
      <c r="K696" s="34"/>
      <c r="L696" s="34"/>
      <c r="M696" s="34"/>
      <c r="N696" s="34"/>
      <c r="O696" s="34"/>
      <c r="P696" s="34"/>
      <c r="Q696" s="3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54"/>
    </row>
    <row r="697">
      <c r="A697" s="53"/>
      <c r="B697" s="34"/>
      <c r="C697" s="34"/>
      <c r="D697" s="34"/>
      <c r="E697" s="34"/>
      <c r="F697" s="34"/>
      <c r="G697" s="34"/>
      <c r="H697" s="34"/>
      <c r="I697" s="34"/>
      <c r="J697" s="34"/>
      <c r="K697" s="34"/>
      <c r="L697" s="34"/>
      <c r="M697" s="34"/>
      <c r="N697" s="34"/>
      <c r="O697" s="34"/>
      <c r="P697" s="34"/>
      <c r="Q697" s="3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54"/>
    </row>
    <row r="698">
      <c r="A698" s="53"/>
      <c r="B698" s="34"/>
      <c r="C698" s="34"/>
      <c r="D698" s="34"/>
      <c r="E698" s="34"/>
      <c r="F698" s="34"/>
      <c r="G698" s="34"/>
      <c r="H698" s="34"/>
      <c r="I698" s="34"/>
      <c r="J698" s="34"/>
      <c r="K698" s="34"/>
      <c r="L698" s="34"/>
      <c r="M698" s="34"/>
      <c r="N698" s="34"/>
      <c r="O698" s="34"/>
      <c r="P698" s="34"/>
      <c r="Q698" s="3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54"/>
    </row>
    <row r="699">
      <c r="A699" s="53"/>
      <c r="B699" s="34"/>
      <c r="C699" s="34"/>
      <c r="D699" s="34"/>
      <c r="E699" s="34"/>
      <c r="F699" s="34"/>
      <c r="G699" s="34"/>
      <c r="H699" s="34"/>
      <c r="I699" s="34"/>
      <c r="J699" s="34"/>
      <c r="K699" s="34"/>
      <c r="L699" s="34"/>
      <c r="M699" s="34"/>
      <c r="N699" s="34"/>
      <c r="O699" s="34"/>
      <c r="P699" s="34"/>
      <c r="Q699" s="3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54"/>
    </row>
    <row r="700">
      <c r="A700" s="53"/>
      <c r="B700" s="34"/>
      <c r="C700" s="34"/>
      <c r="D700" s="34"/>
      <c r="E700" s="34"/>
      <c r="F700" s="34"/>
      <c r="G700" s="34"/>
      <c r="H700" s="34"/>
      <c r="I700" s="34"/>
      <c r="J700" s="34"/>
      <c r="K700" s="34"/>
      <c r="L700" s="34"/>
      <c r="M700" s="34"/>
      <c r="N700" s="34"/>
      <c r="O700" s="34"/>
      <c r="P700" s="34"/>
      <c r="Q700" s="3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54"/>
    </row>
    <row r="701">
      <c r="A701" s="53"/>
      <c r="B701" s="34"/>
      <c r="C701" s="34"/>
      <c r="D701" s="34"/>
      <c r="E701" s="34"/>
      <c r="F701" s="34"/>
      <c r="G701" s="34"/>
      <c r="H701" s="34"/>
      <c r="I701" s="34"/>
      <c r="J701" s="34"/>
      <c r="K701" s="34"/>
      <c r="L701" s="34"/>
      <c r="M701" s="34"/>
      <c r="N701" s="34"/>
      <c r="O701" s="34"/>
      <c r="P701" s="34"/>
      <c r="Q701" s="3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54"/>
    </row>
    <row r="702">
      <c r="A702" s="53"/>
      <c r="B702" s="34"/>
      <c r="C702" s="34"/>
      <c r="D702" s="34"/>
      <c r="E702" s="34"/>
      <c r="F702" s="34"/>
      <c r="G702" s="34"/>
      <c r="H702" s="34"/>
      <c r="I702" s="34"/>
      <c r="J702" s="34"/>
      <c r="K702" s="34"/>
      <c r="L702" s="34"/>
      <c r="M702" s="34"/>
      <c r="N702" s="34"/>
      <c r="O702" s="34"/>
      <c r="P702" s="34"/>
      <c r="Q702" s="3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54"/>
    </row>
    <row r="703">
      <c r="A703" s="53"/>
      <c r="B703" s="34"/>
      <c r="C703" s="34"/>
      <c r="D703" s="34"/>
      <c r="E703" s="34"/>
      <c r="F703" s="34"/>
      <c r="G703" s="34"/>
      <c r="H703" s="34"/>
      <c r="I703" s="34"/>
      <c r="J703" s="34"/>
      <c r="K703" s="34"/>
      <c r="L703" s="34"/>
      <c r="M703" s="34"/>
      <c r="N703" s="34"/>
      <c r="O703" s="34"/>
      <c r="P703" s="34"/>
      <c r="Q703" s="3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54"/>
    </row>
    <row r="704">
      <c r="A704" s="53"/>
      <c r="B704" s="34"/>
      <c r="C704" s="34"/>
      <c r="D704" s="34"/>
      <c r="E704" s="34"/>
      <c r="F704" s="34"/>
      <c r="G704" s="34"/>
      <c r="H704" s="34"/>
      <c r="I704" s="34"/>
      <c r="J704" s="34"/>
      <c r="K704" s="34"/>
      <c r="L704" s="34"/>
      <c r="M704" s="34"/>
      <c r="N704" s="34"/>
      <c r="O704" s="34"/>
      <c r="P704" s="34"/>
      <c r="Q704" s="3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54"/>
    </row>
    <row r="705">
      <c r="A705" s="53"/>
      <c r="B705" s="34"/>
      <c r="C705" s="34"/>
      <c r="D705" s="34"/>
      <c r="E705" s="34"/>
      <c r="F705" s="34"/>
      <c r="G705" s="34"/>
      <c r="H705" s="34"/>
      <c r="I705" s="34"/>
      <c r="J705" s="34"/>
      <c r="K705" s="34"/>
      <c r="L705" s="34"/>
      <c r="M705" s="34"/>
      <c r="N705" s="34"/>
      <c r="O705" s="34"/>
      <c r="P705" s="34"/>
      <c r="Q705" s="3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54"/>
    </row>
    <row r="706">
      <c r="A706" s="53"/>
      <c r="B706" s="34"/>
      <c r="C706" s="34"/>
      <c r="D706" s="34"/>
      <c r="E706" s="34"/>
      <c r="F706" s="34"/>
      <c r="G706" s="34"/>
      <c r="H706" s="34"/>
      <c r="I706" s="34"/>
      <c r="J706" s="34"/>
      <c r="K706" s="34"/>
      <c r="L706" s="34"/>
      <c r="M706" s="34"/>
      <c r="N706" s="34"/>
      <c r="O706" s="34"/>
      <c r="P706" s="34"/>
      <c r="Q706" s="3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54"/>
    </row>
    <row r="707">
      <c r="A707" s="53"/>
      <c r="B707" s="34"/>
      <c r="C707" s="34"/>
      <c r="D707" s="34"/>
      <c r="E707" s="34"/>
      <c r="F707" s="34"/>
      <c r="G707" s="34"/>
      <c r="H707" s="34"/>
      <c r="I707" s="34"/>
      <c r="J707" s="34"/>
      <c r="K707" s="34"/>
      <c r="L707" s="34"/>
      <c r="M707" s="34"/>
      <c r="N707" s="34"/>
      <c r="O707" s="34"/>
      <c r="P707" s="34"/>
      <c r="Q707" s="3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54"/>
    </row>
    <row r="708">
      <c r="A708" s="53"/>
      <c r="B708" s="34"/>
      <c r="C708" s="34"/>
      <c r="D708" s="34"/>
      <c r="E708" s="34"/>
      <c r="F708" s="34"/>
      <c r="G708" s="34"/>
      <c r="H708" s="34"/>
      <c r="I708" s="34"/>
      <c r="J708" s="34"/>
      <c r="K708" s="34"/>
      <c r="L708" s="34"/>
      <c r="M708" s="34"/>
      <c r="N708" s="34"/>
      <c r="O708" s="34"/>
      <c r="P708" s="34"/>
      <c r="Q708" s="3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54"/>
    </row>
    <row r="709">
      <c r="A709" s="53"/>
      <c r="B709" s="34"/>
      <c r="C709" s="34"/>
      <c r="D709" s="34"/>
      <c r="E709" s="34"/>
      <c r="F709" s="34"/>
      <c r="G709" s="34"/>
      <c r="H709" s="34"/>
      <c r="I709" s="34"/>
      <c r="J709" s="34"/>
      <c r="K709" s="34"/>
      <c r="L709" s="34"/>
      <c r="M709" s="34"/>
      <c r="N709" s="34"/>
      <c r="O709" s="34"/>
      <c r="P709" s="34"/>
      <c r="Q709" s="3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54"/>
    </row>
    <row r="710">
      <c r="A710" s="53"/>
      <c r="B710" s="34"/>
      <c r="C710" s="34"/>
      <c r="D710" s="34"/>
      <c r="E710" s="34"/>
      <c r="F710" s="34"/>
      <c r="G710" s="34"/>
      <c r="H710" s="34"/>
      <c r="I710" s="34"/>
      <c r="J710" s="34"/>
      <c r="K710" s="34"/>
      <c r="L710" s="34"/>
      <c r="M710" s="34"/>
      <c r="N710" s="34"/>
      <c r="O710" s="34"/>
      <c r="P710" s="34"/>
      <c r="Q710" s="3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54"/>
    </row>
    <row r="711">
      <c r="A711" s="53"/>
      <c r="B711" s="34"/>
      <c r="C711" s="34"/>
      <c r="D711" s="34"/>
      <c r="E711" s="34"/>
      <c r="F711" s="34"/>
      <c r="G711" s="34"/>
      <c r="H711" s="34"/>
      <c r="I711" s="34"/>
      <c r="J711" s="34"/>
      <c r="K711" s="34"/>
      <c r="L711" s="34"/>
      <c r="M711" s="34"/>
      <c r="N711" s="34"/>
      <c r="O711" s="34"/>
      <c r="P711" s="34"/>
      <c r="Q711" s="3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54"/>
    </row>
    <row r="712">
      <c r="A712" s="53"/>
      <c r="B712" s="34"/>
      <c r="C712" s="34"/>
      <c r="D712" s="34"/>
      <c r="E712" s="34"/>
      <c r="F712" s="34"/>
      <c r="G712" s="34"/>
      <c r="H712" s="34"/>
      <c r="I712" s="34"/>
      <c r="J712" s="34"/>
      <c r="K712" s="34"/>
      <c r="L712" s="34"/>
      <c r="M712" s="34"/>
      <c r="N712" s="34"/>
      <c r="O712" s="34"/>
      <c r="P712" s="34"/>
      <c r="Q712" s="3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54"/>
    </row>
    <row r="713">
      <c r="A713" s="53"/>
      <c r="B713" s="34"/>
      <c r="C713" s="34"/>
      <c r="D713" s="34"/>
      <c r="E713" s="34"/>
      <c r="F713" s="34"/>
      <c r="G713" s="34"/>
      <c r="H713" s="34"/>
      <c r="I713" s="34"/>
      <c r="J713" s="34"/>
      <c r="K713" s="34"/>
      <c r="L713" s="34"/>
      <c r="M713" s="34"/>
      <c r="N713" s="34"/>
      <c r="O713" s="34"/>
      <c r="P713" s="34"/>
      <c r="Q713" s="3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54"/>
    </row>
    <row r="714">
      <c r="A714" s="53"/>
      <c r="B714" s="34"/>
      <c r="C714" s="34"/>
      <c r="D714" s="34"/>
      <c r="E714" s="34"/>
      <c r="F714" s="34"/>
      <c r="G714" s="34"/>
      <c r="H714" s="34"/>
      <c r="I714" s="34"/>
      <c r="J714" s="34"/>
      <c r="K714" s="34"/>
      <c r="L714" s="34"/>
      <c r="M714" s="34"/>
      <c r="N714" s="34"/>
      <c r="O714" s="34"/>
      <c r="P714" s="34"/>
      <c r="Q714" s="3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54"/>
    </row>
    <row r="715">
      <c r="A715" s="53"/>
      <c r="B715" s="34"/>
      <c r="C715" s="34"/>
      <c r="D715" s="34"/>
      <c r="E715" s="34"/>
      <c r="F715" s="34"/>
      <c r="G715" s="34"/>
      <c r="H715" s="34"/>
      <c r="I715" s="34"/>
      <c r="J715" s="34"/>
      <c r="K715" s="34"/>
      <c r="L715" s="34"/>
      <c r="M715" s="34"/>
      <c r="N715" s="34"/>
      <c r="O715" s="34"/>
      <c r="P715" s="34"/>
      <c r="Q715" s="3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54"/>
    </row>
    <row r="716">
      <c r="A716" s="53"/>
      <c r="B716" s="34"/>
      <c r="C716" s="34"/>
      <c r="D716" s="34"/>
      <c r="E716" s="34"/>
      <c r="F716" s="34"/>
      <c r="G716" s="34"/>
      <c r="H716" s="34"/>
      <c r="I716" s="34"/>
      <c r="J716" s="34"/>
      <c r="K716" s="34"/>
      <c r="L716" s="34"/>
      <c r="M716" s="34"/>
      <c r="N716" s="34"/>
      <c r="O716" s="34"/>
      <c r="P716" s="34"/>
      <c r="Q716" s="3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54"/>
    </row>
    <row r="717">
      <c r="A717" s="53"/>
      <c r="B717" s="34"/>
      <c r="C717" s="34"/>
      <c r="D717" s="34"/>
      <c r="E717" s="34"/>
      <c r="F717" s="34"/>
      <c r="G717" s="34"/>
      <c r="H717" s="34"/>
      <c r="I717" s="34"/>
      <c r="J717" s="34"/>
      <c r="K717" s="34"/>
      <c r="L717" s="34"/>
      <c r="M717" s="34"/>
      <c r="N717" s="34"/>
      <c r="O717" s="34"/>
      <c r="P717" s="34"/>
      <c r="Q717" s="3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54"/>
    </row>
    <row r="718">
      <c r="A718" s="53"/>
      <c r="B718" s="34"/>
      <c r="C718" s="34"/>
      <c r="D718" s="34"/>
      <c r="E718" s="34"/>
      <c r="F718" s="34"/>
      <c r="G718" s="34"/>
      <c r="H718" s="34"/>
      <c r="I718" s="34"/>
      <c r="J718" s="34"/>
      <c r="K718" s="34"/>
      <c r="L718" s="34"/>
      <c r="M718" s="34"/>
      <c r="N718" s="34"/>
      <c r="O718" s="34"/>
      <c r="P718" s="34"/>
      <c r="Q718" s="3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54"/>
    </row>
    <row r="719">
      <c r="A719" s="53"/>
      <c r="B719" s="34"/>
      <c r="C719" s="34"/>
      <c r="D719" s="34"/>
      <c r="E719" s="34"/>
      <c r="F719" s="34"/>
      <c r="G719" s="34"/>
      <c r="H719" s="34"/>
      <c r="I719" s="34"/>
      <c r="J719" s="34"/>
      <c r="K719" s="34"/>
      <c r="L719" s="34"/>
      <c r="M719" s="34"/>
      <c r="N719" s="34"/>
      <c r="O719" s="34"/>
      <c r="P719" s="34"/>
      <c r="Q719" s="3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54"/>
    </row>
    <row r="720">
      <c r="A720" s="53"/>
      <c r="B720" s="34"/>
      <c r="C720" s="34"/>
      <c r="D720" s="34"/>
      <c r="E720" s="34"/>
      <c r="F720" s="34"/>
      <c r="G720" s="34"/>
      <c r="H720" s="34"/>
      <c r="I720" s="34"/>
      <c r="J720" s="34"/>
      <c r="K720" s="34"/>
      <c r="L720" s="34"/>
      <c r="M720" s="34"/>
      <c r="N720" s="34"/>
      <c r="O720" s="34"/>
      <c r="P720" s="34"/>
      <c r="Q720" s="3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54"/>
    </row>
    <row r="721">
      <c r="A721" s="53"/>
      <c r="B721" s="34"/>
      <c r="C721" s="34"/>
      <c r="D721" s="34"/>
      <c r="E721" s="34"/>
      <c r="F721" s="34"/>
      <c r="G721" s="34"/>
      <c r="H721" s="34"/>
      <c r="I721" s="34"/>
      <c r="J721" s="34"/>
      <c r="K721" s="34"/>
      <c r="L721" s="34"/>
      <c r="M721" s="34"/>
      <c r="N721" s="34"/>
      <c r="O721" s="34"/>
      <c r="P721" s="34"/>
      <c r="Q721" s="3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54"/>
    </row>
    <row r="722">
      <c r="A722" s="53"/>
      <c r="B722" s="34"/>
      <c r="C722" s="34"/>
      <c r="D722" s="34"/>
      <c r="E722" s="34"/>
      <c r="F722" s="34"/>
      <c r="G722" s="34"/>
      <c r="H722" s="34"/>
      <c r="I722" s="34"/>
      <c r="J722" s="34"/>
      <c r="K722" s="34"/>
      <c r="L722" s="34"/>
      <c r="M722" s="34"/>
      <c r="N722" s="34"/>
      <c r="O722" s="34"/>
      <c r="P722" s="34"/>
      <c r="Q722" s="3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54"/>
    </row>
    <row r="723">
      <c r="A723" s="53"/>
      <c r="B723" s="34"/>
      <c r="C723" s="34"/>
      <c r="D723" s="34"/>
      <c r="E723" s="34"/>
      <c r="F723" s="34"/>
      <c r="G723" s="34"/>
      <c r="H723" s="34"/>
      <c r="I723" s="34"/>
      <c r="J723" s="34"/>
      <c r="K723" s="34"/>
      <c r="L723" s="34"/>
      <c r="M723" s="34"/>
      <c r="N723" s="34"/>
      <c r="O723" s="34"/>
      <c r="P723" s="34"/>
      <c r="Q723" s="3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54"/>
    </row>
    <row r="724">
      <c r="A724" s="53"/>
      <c r="B724" s="34"/>
      <c r="C724" s="34"/>
      <c r="D724" s="34"/>
      <c r="E724" s="34"/>
      <c r="F724" s="34"/>
      <c r="G724" s="34"/>
      <c r="H724" s="34"/>
      <c r="I724" s="34"/>
      <c r="J724" s="34"/>
      <c r="K724" s="34"/>
      <c r="L724" s="34"/>
      <c r="M724" s="34"/>
      <c r="N724" s="34"/>
      <c r="O724" s="34"/>
      <c r="P724" s="34"/>
      <c r="Q724" s="3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54"/>
    </row>
    <row r="725">
      <c r="A725" s="53"/>
      <c r="B725" s="34"/>
      <c r="C725" s="34"/>
      <c r="D725" s="34"/>
      <c r="E725" s="34"/>
      <c r="F725" s="34"/>
      <c r="G725" s="34"/>
      <c r="H725" s="34"/>
      <c r="I725" s="34"/>
      <c r="J725" s="34"/>
      <c r="K725" s="34"/>
      <c r="L725" s="34"/>
      <c r="M725" s="34"/>
      <c r="N725" s="34"/>
      <c r="O725" s="34"/>
      <c r="P725" s="34"/>
      <c r="Q725" s="3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54"/>
    </row>
    <row r="726">
      <c r="A726" s="53"/>
      <c r="B726" s="34"/>
      <c r="C726" s="34"/>
      <c r="D726" s="34"/>
      <c r="E726" s="34"/>
      <c r="F726" s="34"/>
      <c r="G726" s="34"/>
      <c r="H726" s="34"/>
      <c r="I726" s="34"/>
      <c r="J726" s="34"/>
      <c r="K726" s="34"/>
      <c r="L726" s="34"/>
      <c r="M726" s="34"/>
      <c r="N726" s="34"/>
      <c r="O726" s="34"/>
      <c r="P726" s="34"/>
      <c r="Q726" s="3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54"/>
    </row>
    <row r="727">
      <c r="A727" s="53"/>
      <c r="B727" s="34"/>
      <c r="C727" s="34"/>
      <c r="D727" s="34"/>
      <c r="E727" s="34"/>
      <c r="F727" s="34"/>
      <c r="G727" s="34"/>
      <c r="H727" s="34"/>
      <c r="I727" s="34"/>
      <c r="J727" s="34"/>
      <c r="K727" s="34"/>
      <c r="L727" s="34"/>
      <c r="M727" s="34"/>
      <c r="N727" s="34"/>
      <c r="O727" s="34"/>
      <c r="P727" s="34"/>
      <c r="Q727" s="3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54"/>
    </row>
    <row r="728">
      <c r="A728" s="53"/>
      <c r="B728" s="34"/>
      <c r="C728" s="34"/>
      <c r="D728" s="34"/>
      <c r="E728" s="34"/>
      <c r="F728" s="34"/>
      <c r="G728" s="34"/>
      <c r="H728" s="34"/>
      <c r="I728" s="34"/>
      <c r="J728" s="34"/>
      <c r="K728" s="34"/>
      <c r="L728" s="34"/>
      <c r="M728" s="34"/>
      <c r="N728" s="34"/>
      <c r="O728" s="34"/>
      <c r="P728" s="34"/>
      <c r="Q728" s="3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54"/>
    </row>
    <row r="729">
      <c r="A729" s="53"/>
      <c r="B729" s="34"/>
      <c r="C729" s="34"/>
      <c r="D729" s="34"/>
      <c r="E729" s="34"/>
      <c r="F729" s="34"/>
      <c r="G729" s="34"/>
      <c r="H729" s="34"/>
      <c r="I729" s="34"/>
      <c r="J729" s="34"/>
      <c r="K729" s="34"/>
      <c r="L729" s="34"/>
      <c r="M729" s="34"/>
      <c r="N729" s="34"/>
      <c r="O729" s="34"/>
      <c r="P729" s="34"/>
      <c r="Q729" s="3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54"/>
    </row>
    <row r="730">
      <c r="A730" s="53"/>
      <c r="B730" s="34"/>
      <c r="C730" s="34"/>
      <c r="D730" s="34"/>
      <c r="E730" s="34"/>
      <c r="F730" s="34"/>
      <c r="G730" s="34"/>
      <c r="H730" s="34"/>
      <c r="I730" s="34"/>
      <c r="J730" s="34"/>
      <c r="K730" s="34"/>
      <c r="L730" s="34"/>
      <c r="M730" s="34"/>
      <c r="N730" s="34"/>
      <c r="O730" s="34"/>
      <c r="P730" s="34"/>
      <c r="Q730" s="3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54"/>
    </row>
    <row r="731">
      <c r="A731" s="53"/>
      <c r="B731" s="34"/>
      <c r="C731" s="34"/>
      <c r="D731" s="34"/>
      <c r="E731" s="34"/>
      <c r="F731" s="34"/>
      <c r="G731" s="34"/>
      <c r="H731" s="34"/>
      <c r="I731" s="34"/>
      <c r="J731" s="34"/>
      <c r="K731" s="34"/>
      <c r="L731" s="34"/>
      <c r="M731" s="34"/>
      <c r="N731" s="34"/>
      <c r="O731" s="34"/>
      <c r="P731" s="34"/>
      <c r="Q731" s="3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54"/>
    </row>
    <row r="732">
      <c r="A732" s="53"/>
      <c r="B732" s="34"/>
      <c r="C732" s="34"/>
      <c r="D732" s="34"/>
      <c r="E732" s="34"/>
      <c r="F732" s="34"/>
      <c r="G732" s="34"/>
      <c r="H732" s="34"/>
      <c r="I732" s="34"/>
      <c r="J732" s="34"/>
      <c r="K732" s="34"/>
      <c r="L732" s="34"/>
      <c r="M732" s="34"/>
      <c r="N732" s="34"/>
      <c r="O732" s="34"/>
      <c r="P732" s="34"/>
      <c r="Q732" s="3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54"/>
    </row>
    <row r="733">
      <c r="A733" s="53"/>
      <c r="B733" s="34"/>
      <c r="C733" s="34"/>
      <c r="D733" s="34"/>
      <c r="E733" s="34"/>
      <c r="F733" s="34"/>
      <c r="G733" s="34"/>
      <c r="H733" s="34"/>
      <c r="I733" s="34"/>
      <c r="J733" s="34"/>
      <c r="K733" s="34"/>
      <c r="L733" s="34"/>
      <c r="M733" s="34"/>
      <c r="N733" s="34"/>
      <c r="O733" s="34"/>
      <c r="P733" s="34"/>
      <c r="Q733" s="3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54"/>
    </row>
    <row r="734">
      <c r="A734" s="53"/>
      <c r="B734" s="34"/>
      <c r="C734" s="34"/>
      <c r="D734" s="34"/>
      <c r="E734" s="34"/>
      <c r="F734" s="34"/>
      <c r="G734" s="34"/>
      <c r="H734" s="34"/>
      <c r="I734" s="34"/>
      <c r="J734" s="34"/>
      <c r="K734" s="34"/>
      <c r="L734" s="34"/>
      <c r="M734" s="34"/>
      <c r="N734" s="34"/>
      <c r="O734" s="34"/>
      <c r="P734" s="34"/>
      <c r="Q734" s="3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54"/>
    </row>
    <row r="735">
      <c r="A735" s="53"/>
      <c r="B735" s="34"/>
      <c r="C735" s="34"/>
      <c r="D735" s="34"/>
      <c r="E735" s="34"/>
      <c r="F735" s="34"/>
      <c r="G735" s="34"/>
      <c r="H735" s="34"/>
      <c r="I735" s="34"/>
      <c r="J735" s="34"/>
      <c r="K735" s="34"/>
      <c r="L735" s="34"/>
      <c r="M735" s="34"/>
      <c r="N735" s="34"/>
      <c r="O735" s="34"/>
      <c r="P735" s="34"/>
      <c r="Q735" s="3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54"/>
    </row>
    <row r="736">
      <c r="A736" s="53"/>
      <c r="B736" s="34"/>
      <c r="C736" s="34"/>
      <c r="D736" s="34"/>
      <c r="E736" s="34"/>
      <c r="F736" s="34"/>
      <c r="G736" s="34"/>
      <c r="H736" s="34"/>
      <c r="I736" s="34"/>
      <c r="J736" s="34"/>
      <c r="K736" s="34"/>
      <c r="L736" s="34"/>
      <c r="M736" s="34"/>
      <c r="N736" s="34"/>
      <c r="O736" s="34"/>
      <c r="P736" s="34"/>
      <c r="Q736" s="3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54"/>
    </row>
    <row r="737">
      <c r="A737" s="53"/>
      <c r="B737" s="34"/>
      <c r="C737" s="34"/>
      <c r="D737" s="34"/>
      <c r="E737" s="34"/>
      <c r="F737" s="34"/>
      <c r="G737" s="34"/>
      <c r="H737" s="34"/>
      <c r="I737" s="34"/>
      <c r="J737" s="34"/>
      <c r="K737" s="34"/>
      <c r="L737" s="34"/>
      <c r="M737" s="34"/>
      <c r="N737" s="34"/>
      <c r="O737" s="34"/>
      <c r="P737" s="34"/>
      <c r="Q737" s="3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54"/>
    </row>
    <row r="738">
      <c r="A738" s="53"/>
      <c r="B738" s="34"/>
      <c r="C738" s="34"/>
      <c r="D738" s="34"/>
      <c r="E738" s="34"/>
      <c r="F738" s="34"/>
      <c r="G738" s="34"/>
      <c r="H738" s="34"/>
      <c r="I738" s="34"/>
      <c r="J738" s="34"/>
      <c r="K738" s="34"/>
      <c r="L738" s="34"/>
      <c r="M738" s="34"/>
      <c r="N738" s="34"/>
      <c r="O738" s="34"/>
      <c r="P738" s="34"/>
      <c r="Q738" s="3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54"/>
    </row>
    <row r="739">
      <c r="A739" s="53"/>
      <c r="B739" s="34"/>
      <c r="C739" s="34"/>
      <c r="D739" s="34"/>
      <c r="E739" s="34"/>
      <c r="F739" s="34"/>
      <c r="G739" s="34"/>
      <c r="H739" s="34"/>
      <c r="I739" s="34"/>
      <c r="J739" s="34"/>
      <c r="K739" s="34"/>
      <c r="L739" s="34"/>
      <c r="M739" s="34"/>
      <c r="N739" s="34"/>
      <c r="O739" s="34"/>
      <c r="P739" s="34"/>
      <c r="Q739" s="3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54"/>
    </row>
    <row r="740">
      <c r="A740" s="53"/>
      <c r="B740" s="34"/>
      <c r="C740" s="34"/>
      <c r="D740" s="34"/>
      <c r="E740" s="34"/>
      <c r="F740" s="34"/>
      <c r="G740" s="34"/>
      <c r="H740" s="34"/>
      <c r="I740" s="34"/>
      <c r="J740" s="34"/>
      <c r="K740" s="34"/>
      <c r="L740" s="34"/>
      <c r="M740" s="34"/>
      <c r="N740" s="34"/>
      <c r="O740" s="34"/>
      <c r="P740" s="34"/>
      <c r="Q740" s="3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54"/>
    </row>
    <row r="741">
      <c r="A741" s="53"/>
      <c r="B741" s="34"/>
      <c r="C741" s="34"/>
      <c r="D741" s="34"/>
      <c r="E741" s="34"/>
      <c r="F741" s="34"/>
      <c r="G741" s="34"/>
      <c r="H741" s="34"/>
      <c r="I741" s="34"/>
      <c r="J741" s="34"/>
      <c r="K741" s="34"/>
      <c r="L741" s="34"/>
      <c r="M741" s="34"/>
      <c r="N741" s="34"/>
      <c r="O741" s="34"/>
      <c r="P741" s="34"/>
      <c r="Q741" s="3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54"/>
    </row>
    <row r="742">
      <c r="A742" s="53"/>
      <c r="B742" s="34"/>
      <c r="C742" s="34"/>
      <c r="D742" s="34"/>
      <c r="E742" s="34"/>
      <c r="F742" s="34"/>
      <c r="G742" s="34"/>
      <c r="H742" s="34"/>
      <c r="I742" s="34"/>
      <c r="J742" s="34"/>
      <c r="K742" s="34"/>
      <c r="L742" s="34"/>
      <c r="M742" s="34"/>
      <c r="N742" s="34"/>
      <c r="O742" s="34"/>
      <c r="P742" s="34"/>
      <c r="Q742" s="3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54"/>
    </row>
    <row r="743">
      <c r="A743" s="53"/>
      <c r="B743" s="34"/>
      <c r="C743" s="34"/>
      <c r="D743" s="34"/>
      <c r="E743" s="34"/>
      <c r="F743" s="34"/>
      <c r="G743" s="34"/>
      <c r="H743" s="34"/>
      <c r="I743" s="34"/>
      <c r="J743" s="34"/>
      <c r="K743" s="34"/>
      <c r="L743" s="34"/>
      <c r="M743" s="34"/>
      <c r="N743" s="34"/>
      <c r="O743" s="34"/>
      <c r="P743" s="34"/>
      <c r="Q743" s="3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54"/>
    </row>
    <row r="744">
      <c r="A744" s="53"/>
      <c r="B744" s="34"/>
      <c r="C744" s="34"/>
      <c r="D744" s="34"/>
      <c r="E744" s="34"/>
      <c r="F744" s="34"/>
      <c r="G744" s="34"/>
      <c r="H744" s="34"/>
      <c r="I744" s="34"/>
      <c r="J744" s="34"/>
      <c r="K744" s="34"/>
      <c r="L744" s="34"/>
      <c r="M744" s="34"/>
      <c r="N744" s="34"/>
      <c r="O744" s="34"/>
      <c r="P744" s="34"/>
      <c r="Q744" s="3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54"/>
    </row>
    <row r="745">
      <c r="A745" s="53"/>
      <c r="B745" s="34"/>
      <c r="C745" s="34"/>
      <c r="D745" s="34"/>
      <c r="E745" s="34"/>
      <c r="F745" s="34"/>
      <c r="G745" s="34"/>
      <c r="H745" s="34"/>
      <c r="I745" s="34"/>
      <c r="J745" s="34"/>
      <c r="K745" s="34"/>
      <c r="L745" s="34"/>
      <c r="M745" s="34"/>
      <c r="N745" s="34"/>
      <c r="O745" s="34"/>
      <c r="P745" s="34"/>
      <c r="Q745" s="3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54"/>
    </row>
    <row r="746">
      <c r="A746" s="53"/>
      <c r="B746" s="34"/>
      <c r="C746" s="34"/>
      <c r="D746" s="34"/>
      <c r="E746" s="34"/>
      <c r="F746" s="34"/>
      <c r="G746" s="34"/>
      <c r="H746" s="34"/>
      <c r="I746" s="34"/>
      <c r="J746" s="34"/>
      <c r="K746" s="34"/>
      <c r="L746" s="34"/>
      <c r="M746" s="34"/>
      <c r="N746" s="34"/>
      <c r="O746" s="34"/>
      <c r="P746" s="34"/>
      <c r="Q746" s="3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54"/>
    </row>
    <row r="747">
      <c r="A747" s="53"/>
      <c r="B747" s="34"/>
      <c r="C747" s="34"/>
      <c r="D747" s="34"/>
      <c r="E747" s="34"/>
      <c r="F747" s="34"/>
      <c r="G747" s="34"/>
      <c r="H747" s="34"/>
      <c r="I747" s="34"/>
      <c r="J747" s="34"/>
      <c r="K747" s="34"/>
      <c r="L747" s="34"/>
      <c r="M747" s="34"/>
      <c r="N747" s="34"/>
      <c r="O747" s="34"/>
      <c r="P747" s="34"/>
      <c r="Q747" s="3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54"/>
    </row>
    <row r="748">
      <c r="A748" s="53"/>
      <c r="B748" s="34"/>
      <c r="C748" s="34"/>
      <c r="D748" s="34"/>
      <c r="E748" s="34"/>
      <c r="F748" s="34"/>
      <c r="G748" s="34"/>
      <c r="H748" s="34"/>
      <c r="I748" s="34"/>
      <c r="J748" s="34"/>
      <c r="K748" s="34"/>
      <c r="L748" s="34"/>
      <c r="M748" s="34"/>
      <c r="N748" s="34"/>
      <c r="O748" s="34"/>
      <c r="P748" s="34"/>
      <c r="Q748" s="3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54"/>
    </row>
    <row r="749">
      <c r="A749" s="53"/>
      <c r="B749" s="34"/>
      <c r="C749" s="34"/>
      <c r="D749" s="34"/>
      <c r="E749" s="34"/>
      <c r="F749" s="34"/>
      <c r="G749" s="34"/>
      <c r="H749" s="34"/>
      <c r="I749" s="34"/>
      <c r="J749" s="34"/>
      <c r="K749" s="34"/>
      <c r="L749" s="34"/>
      <c r="M749" s="34"/>
      <c r="N749" s="34"/>
      <c r="O749" s="34"/>
      <c r="P749" s="34"/>
      <c r="Q749" s="3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54"/>
    </row>
    <row r="750">
      <c r="A750" s="53"/>
      <c r="B750" s="34"/>
      <c r="C750" s="34"/>
      <c r="D750" s="34"/>
      <c r="E750" s="34"/>
      <c r="F750" s="34"/>
      <c r="G750" s="34"/>
      <c r="H750" s="34"/>
      <c r="I750" s="34"/>
      <c r="J750" s="34"/>
      <c r="K750" s="34"/>
      <c r="L750" s="34"/>
      <c r="M750" s="34"/>
      <c r="N750" s="34"/>
      <c r="O750" s="34"/>
      <c r="P750" s="34"/>
      <c r="Q750" s="3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54"/>
    </row>
    <row r="751">
      <c r="A751" s="53"/>
      <c r="B751" s="34"/>
      <c r="C751" s="34"/>
      <c r="D751" s="34"/>
      <c r="E751" s="34"/>
      <c r="F751" s="34"/>
      <c r="G751" s="34"/>
      <c r="H751" s="34"/>
      <c r="I751" s="34"/>
      <c r="J751" s="34"/>
      <c r="K751" s="34"/>
      <c r="L751" s="34"/>
      <c r="M751" s="34"/>
      <c r="N751" s="34"/>
      <c r="O751" s="34"/>
      <c r="P751" s="34"/>
      <c r="Q751" s="3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54"/>
    </row>
    <row r="752">
      <c r="A752" s="53"/>
      <c r="B752" s="34"/>
      <c r="C752" s="34"/>
      <c r="D752" s="34"/>
      <c r="E752" s="34"/>
      <c r="F752" s="34"/>
      <c r="G752" s="34"/>
      <c r="H752" s="34"/>
      <c r="I752" s="34"/>
      <c r="J752" s="34"/>
      <c r="K752" s="34"/>
      <c r="L752" s="34"/>
      <c r="M752" s="34"/>
      <c r="N752" s="34"/>
      <c r="O752" s="34"/>
      <c r="P752" s="34"/>
      <c r="Q752" s="3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54"/>
    </row>
    <row r="753">
      <c r="A753" s="53"/>
      <c r="B753" s="34"/>
      <c r="C753" s="34"/>
      <c r="D753" s="34"/>
      <c r="E753" s="34"/>
      <c r="F753" s="34"/>
      <c r="G753" s="34"/>
      <c r="H753" s="34"/>
      <c r="I753" s="34"/>
      <c r="J753" s="34"/>
      <c r="K753" s="34"/>
      <c r="L753" s="34"/>
      <c r="M753" s="34"/>
      <c r="N753" s="34"/>
      <c r="O753" s="34"/>
      <c r="P753" s="34"/>
      <c r="Q753" s="3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54"/>
    </row>
    <row r="754">
      <c r="A754" s="53"/>
      <c r="B754" s="34"/>
      <c r="C754" s="34"/>
      <c r="D754" s="34"/>
      <c r="E754" s="34"/>
      <c r="F754" s="34"/>
      <c r="G754" s="34"/>
      <c r="H754" s="34"/>
      <c r="I754" s="34"/>
      <c r="J754" s="34"/>
      <c r="K754" s="34"/>
      <c r="L754" s="34"/>
      <c r="M754" s="34"/>
      <c r="N754" s="34"/>
      <c r="O754" s="34"/>
      <c r="P754" s="34"/>
      <c r="Q754" s="3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54"/>
    </row>
    <row r="755">
      <c r="A755" s="53"/>
      <c r="B755" s="34"/>
      <c r="C755" s="34"/>
      <c r="D755" s="34"/>
      <c r="E755" s="34"/>
      <c r="F755" s="34"/>
      <c r="G755" s="34"/>
      <c r="H755" s="34"/>
      <c r="I755" s="34"/>
      <c r="J755" s="34"/>
      <c r="K755" s="34"/>
      <c r="L755" s="34"/>
      <c r="M755" s="34"/>
      <c r="N755" s="34"/>
      <c r="O755" s="34"/>
      <c r="P755" s="34"/>
      <c r="Q755" s="3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54"/>
    </row>
    <row r="756">
      <c r="A756" s="53"/>
      <c r="B756" s="34"/>
      <c r="C756" s="34"/>
      <c r="D756" s="34"/>
      <c r="E756" s="34"/>
      <c r="F756" s="34"/>
      <c r="G756" s="34"/>
      <c r="H756" s="34"/>
      <c r="I756" s="34"/>
      <c r="J756" s="34"/>
      <c r="K756" s="34"/>
      <c r="L756" s="34"/>
      <c r="M756" s="34"/>
      <c r="N756" s="34"/>
      <c r="O756" s="34"/>
      <c r="P756" s="34"/>
      <c r="Q756" s="3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54"/>
    </row>
    <row r="757">
      <c r="A757" s="53"/>
      <c r="B757" s="34"/>
      <c r="C757" s="34"/>
      <c r="D757" s="34"/>
      <c r="E757" s="34"/>
      <c r="F757" s="34"/>
      <c r="G757" s="34"/>
      <c r="H757" s="34"/>
      <c r="I757" s="34"/>
      <c r="J757" s="34"/>
      <c r="K757" s="34"/>
      <c r="L757" s="34"/>
      <c r="M757" s="34"/>
      <c r="N757" s="34"/>
      <c r="O757" s="34"/>
      <c r="P757" s="34"/>
      <c r="Q757" s="3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54"/>
    </row>
    <row r="758">
      <c r="A758" s="53"/>
      <c r="B758" s="34"/>
      <c r="C758" s="34"/>
      <c r="D758" s="34"/>
      <c r="E758" s="34"/>
      <c r="F758" s="34"/>
      <c r="G758" s="34"/>
      <c r="H758" s="34"/>
      <c r="I758" s="34"/>
      <c r="J758" s="34"/>
      <c r="K758" s="34"/>
      <c r="L758" s="34"/>
      <c r="M758" s="34"/>
      <c r="N758" s="34"/>
      <c r="O758" s="34"/>
      <c r="P758" s="34"/>
      <c r="Q758" s="3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54"/>
    </row>
    <row r="759">
      <c r="A759" s="53"/>
      <c r="B759" s="34"/>
      <c r="C759" s="34"/>
      <c r="D759" s="34"/>
      <c r="E759" s="34"/>
      <c r="F759" s="34"/>
      <c r="G759" s="34"/>
      <c r="H759" s="34"/>
      <c r="I759" s="34"/>
      <c r="J759" s="34"/>
      <c r="K759" s="34"/>
      <c r="L759" s="34"/>
      <c r="M759" s="34"/>
      <c r="N759" s="34"/>
      <c r="O759" s="34"/>
      <c r="P759" s="34"/>
      <c r="Q759" s="3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54"/>
    </row>
    <row r="760">
      <c r="A760" s="53"/>
      <c r="B760" s="34"/>
      <c r="C760" s="34"/>
      <c r="D760" s="34"/>
      <c r="E760" s="34"/>
      <c r="F760" s="34"/>
      <c r="G760" s="34"/>
      <c r="H760" s="34"/>
      <c r="I760" s="34"/>
      <c r="J760" s="34"/>
      <c r="K760" s="34"/>
      <c r="L760" s="34"/>
      <c r="M760" s="34"/>
      <c r="N760" s="34"/>
      <c r="O760" s="34"/>
      <c r="P760" s="34"/>
      <c r="Q760" s="3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54"/>
    </row>
    <row r="761">
      <c r="A761" s="53"/>
      <c r="B761" s="34"/>
      <c r="C761" s="34"/>
      <c r="D761" s="34"/>
      <c r="E761" s="34"/>
      <c r="F761" s="34"/>
      <c r="G761" s="34"/>
      <c r="H761" s="34"/>
      <c r="I761" s="34"/>
      <c r="J761" s="34"/>
      <c r="K761" s="34"/>
      <c r="L761" s="34"/>
      <c r="M761" s="34"/>
      <c r="N761" s="34"/>
      <c r="O761" s="34"/>
      <c r="P761" s="34"/>
      <c r="Q761" s="3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54"/>
    </row>
    <row r="762">
      <c r="A762" s="53"/>
      <c r="B762" s="34"/>
      <c r="C762" s="34"/>
      <c r="D762" s="34"/>
      <c r="E762" s="34"/>
      <c r="F762" s="34"/>
      <c r="G762" s="34"/>
      <c r="H762" s="34"/>
      <c r="I762" s="34"/>
      <c r="J762" s="34"/>
      <c r="K762" s="34"/>
      <c r="L762" s="34"/>
      <c r="M762" s="34"/>
      <c r="N762" s="34"/>
      <c r="O762" s="34"/>
      <c r="P762" s="34"/>
      <c r="Q762" s="3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54"/>
    </row>
    <row r="763">
      <c r="A763" s="53"/>
      <c r="B763" s="34"/>
      <c r="C763" s="34"/>
      <c r="D763" s="34"/>
      <c r="E763" s="34"/>
      <c r="F763" s="34"/>
      <c r="G763" s="34"/>
      <c r="H763" s="34"/>
      <c r="I763" s="34"/>
      <c r="J763" s="34"/>
      <c r="K763" s="34"/>
      <c r="L763" s="34"/>
      <c r="M763" s="34"/>
      <c r="N763" s="34"/>
      <c r="O763" s="34"/>
      <c r="P763" s="34"/>
      <c r="Q763" s="3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54"/>
    </row>
    <row r="764">
      <c r="A764" s="53"/>
      <c r="B764" s="34"/>
      <c r="C764" s="34"/>
      <c r="D764" s="34"/>
      <c r="E764" s="34"/>
      <c r="F764" s="34"/>
      <c r="G764" s="34"/>
      <c r="H764" s="34"/>
      <c r="I764" s="34"/>
      <c r="J764" s="34"/>
      <c r="K764" s="34"/>
      <c r="L764" s="34"/>
      <c r="M764" s="34"/>
      <c r="N764" s="34"/>
      <c r="O764" s="34"/>
      <c r="P764" s="34"/>
      <c r="Q764" s="3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54"/>
    </row>
    <row r="765">
      <c r="A765" s="53"/>
      <c r="B765" s="34"/>
      <c r="C765" s="34"/>
      <c r="D765" s="34"/>
      <c r="E765" s="34"/>
      <c r="F765" s="34"/>
      <c r="G765" s="34"/>
      <c r="H765" s="34"/>
      <c r="I765" s="34"/>
      <c r="J765" s="34"/>
      <c r="K765" s="34"/>
      <c r="L765" s="34"/>
      <c r="M765" s="34"/>
      <c r="N765" s="34"/>
      <c r="O765" s="34"/>
      <c r="P765" s="34"/>
      <c r="Q765" s="3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54"/>
    </row>
    <row r="766">
      <c r="A766" s="53"/>
      <c r="B766" s="34"/>
      <c r="C766" s="34"/>
      <c r="D766" s="34"/>
      <c r="E766" s="34"/>
      <c r="F766" s="34"/>
      <c r="G766" s="34"/>
      <c r="H766" s="34"/>
      <c r="I766" s="34"/>
      <c r="J766" s="34"/>
      <c r="K766" s="34"/>
      <c r="L766" s="34"/>
      <c r="M766" s="34"/>
      <c r="N766" s="34"/>
      <c r="O766" s="34"/>
      <c r="P766" s="34"/>
      <c r="Q766" s="3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54"/>
    </row>
    <row r="767">
      <c r="A767" s="53"/>
      <c r="B767" s="34"/>
      <c r="C767" s="34"/>
      <c r="D767" s="34"/>
      <c r="E767" s="34"/>
      <c r="F767" s="34"/>
      <c r="G767" s="34"/>
      <c r="H767" s="34"/>
      <c r="I767" s="34"/>
      <c r="J767" s="34"/>
      <c r="K767" s="34"/>
      <c r="L767" s="34"/>
      <c r="M767" s="34"/>
      <c r="N767" s="34"/>
      <c r="O767" s="34"/>
      <c r="P767" s="34"/>
      <c r="Q767" s="3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54"/>
    </row>
    <row r="768">
      <c r="A768" s="53"/>
      <c r="B768" s="34"/>
      <c r="C768" s="34"/>
      <c r="D768" s="34"/>
      <c r="E768" s="34"/>
      <c r="F768" s="34"/>
      <c r="G768" s="34"/>
      <c r="H768" s="34"/>
      <c r="I768" s="34"/>
      <c r="J768" s="34"/>
      <c r="K768" s="34"/>
      <c r="L768" s="34"/>
      <c r="M768" s="34"/>
      <c r="N768" s="34"/>
      <c r="O768" s="34"/>
      <c r="P768" s="34"/>
      <c r="Q768" s="3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54"/>
    </row>
    <row r="769">
      <c r="A769" s="53"/>
      <c r="B769" s="34"/>
      <c r="C769" s="34"/>
      <c r="D769" s="34"/>
      <c r="E769" s="34"/>
      <c r="F769" s="34"/>
      <c r="G769" s="34"/>
      <c r="H769" s="34"/>
      <c r="I769" s="34"/>
      <c r="J769" s="34"/>
      <c r="K769" s="34"/>
      <c r="L769" s="34"/>
      <c r="M769" s="34"/>
      <c r="N769" s="34"/>
      <c r="O769" s="34"/>
      <c r="P769" s="34"/>
      <c r="Q769" s="3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54"/>
    </row>
    <row r="770">
      <c r="A770" s="53"/>
      <c r="B770" s="34"/>
      <c r="C770" s="34"/>
      <c r="D770" s="34"/>
      <c r="E770" s="34"/>
      <c r="F770" s="34"/>
      <c r="G770" s="34"/>
      <c r="H770" s="34"/>
      <c r="I770" s="34"/>
      <c r="J770" s="34"/>
      <c r="K770" s="34"/>
      <c r="L770" s="34"/>
      <c r="M770" s="34"/>
      <c r="N770" s="34"/>
      <c r="O770" s="34"/>
      <c r="P770" s="34"/>
      <c r="Q770" s="3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54"/>
    </row>
    <row r="771">
      <c r="A771" s="53"/>
      <c r="B771" s="34"/>
      <c r="C771" s="34"/>
      <c r="D771" s="34"/>
      <c r="E771" s="34"/>
      <c r="F771" s="34"/>
      <c r="G771" s="34"/>
      <c r="H771" s="34"/>
      <c r="I771" s="34"/>
      <c r="J771" s="34"/>
      <c r="K771" s="34"/>
      <c r="L771" s="34"/>
      <c r="M771" s="34"/>
      <c r="N771" s="34"/>
      <c r="O771" s="34"/>
      <c r="P771" s="34"/>
      <c r="Q771" s="3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54"/>
    </row>
    <row r="772">
      <c r="A772" s="53"/>
      <c r="B772" s="34"/>
      <c r="C772" s="34"/>
      <c r="D772" s="34"/>
      <c r="E772" s="34"/>
      <c r="F772" s="34"/>
      <c r="G772" s="34"/>
      <c r="H772" s="34"/>
      <c r="I772" s="34"/>
      <c r="J772" s="34"/>
      <c r="K772" s="34"/>
      <c r="L772" s="34"/>
      <c r="M772" s="34"/>
      <c r="N772" s="34"/>
      <c r="O772" s="34"/>
      <c r="P772" s="34"/>
      <c r="Q772" s="3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54"/>
    </row>
    <row r="773">
      <c r="A773" s="53"/>
      <c r="B773" s="34"/>
      <c r="C773" s="34"/>
      <c r="D773" s="34"/>
      <c r="E773" s="34"/>
      <c r="F773" s="34"/>
      <c r="G773" s="34"/>
      <c r="H773" s="34"/>
      <c r="I773" s="34"/>
      <c r="J773" s="34"/>
      <c r="K773" s="34"/>
      <c r="L773" s="34"/>
      <c r="M773" s="34"/>
      <c r="N773" s="34"/>
      <c r="O773" s="34"/>
      <c r="P773" s="34"/>
      <c r="Q773" s="3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54"/>
    </row>
    <row r="774">
      <c r="A774" s="53"/>
      <c r="B774" s="34"/>
      <c r="C774" s="34"/>
      <c r="D774" s="34"/>
      <c r="E774" s="34"/>
      <c r="F774" s="34"/>
      <c r="G774" s="34"/>
      <c r="H774" s="34"/>
      <c r="I774" s="34"/>
      <c r="J774" s="34"/>
      <c r="K774" s="34"/>
      <c r="L774" s="34"/>
      <c r="M774" s="34"/>
      <c r="N774" s="34"/>
      <c r="O774" s="34"/>
      <c r="P774" s="34"/>
      <c r="Q774" s="3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54"/>
    </row>
    <row r="775">
      <c r="A775" s="53"/>
      <c r="B775" s="34"/>
      <c r="C775" s="34"/>
      <c r="D775" s="34"/>
      <c r="E775" s="34"/>
      <c r="F775" s="34"/>
      <c r="G775" s="34"/>
      <c r="H775" s="34"/>
      <c r="I775" s="34"/>
      <c r="J775" s="34"/>
      <c r="K775" s="34"/>
      <c r="L775" s="34"/>
      <c r="M775" s="34"/>
      <c r="N775" s="34"/>
      <c r="O775" s="34"/>
      <c r="P775" s="34"/>
      <c r="Q775" s="3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54"/>
    </row>
    <row r="776">
      <c r="A776" s="53"/>
      <c r="B776" s="34"/>
      <c r="C776" s="34"/>
      <c r="D776" s="34"/>
      <c r="E776" s="34"/>
      <c r="F776" s="34"/>
      <c r="G776" s="34"/>
      <c r="H776" s="34"/>
      <c r="I776" s="34"/>
      <c r="J776" s="34"/>
      <c r="K776" s="34"/>
      <c r="L776" s="34"/>
      <c r="M776" s="34"/>
      <c r="N776" s="34"/>
      <c r="O776" s="34"/>
      <c r="P776" s="34"/>
      <c r="Q776" s="3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54"/>
    </row>
    <row r="777">
      <c r="A777" s="53"/>
      <c r="B777" s="34"/>
      <c r="C777" s="34"/>
      <c r="D777" s="34"/>
      <c r="E777" s="34"/>
      <c r="F777" s="34"/>
      <c r="G777" s="34"/>
      <c r="H777" s="34"/>
      <c r="I777" s="34"/>
      <c r="J777" s="34"/>
      <c r="K777" s="34"/>
      <c r="L777" s="34"/>
      <c r="M777" s="34"/>
      <c r="N777" s="34"/>
      <c r="O777" s="34"/>
      <c r="P777" s="34"/>
      <c r="Q777" s="3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54"/>
    </row>
    <row r="778">
      <c r="A778" s="53"/>
      <c r="B778" s="34"/>
      <c r="C778" s="34"/>
      <c r="D778" s="34"/>
      <c r="E778" s="34"/>
      <c r="F778" s="34"/>
      <c r="G778" s="34"/>
      <c r="H778" s="34"/>
      <c r="I778" s="34"/>
      <c r="J778" s="34"/>
      <c r="K778" s="34"/>
      <c r="L778" s="34"/>
      <c r="M778" s="34"/>
      <c r="N778" s="34"/>
      <c r="O778" s="34"/>
      <c r="P778" s="34"/>
      <c r="Q778" s="3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54"/>
    </row>
    <row r="779">
      <c r="A779" s="53"/>
      <c r="B779" s="34"/>
      <c r="C779" s="34"/>
      <c r="D779" s="34"/>
      <c r="E779" s="34"/>
      <c r="F779" s="34"/>
      <c r="G779" s="34"/>
      <c r="H779" s="34"/>
      <c r="I779" s="34"/>
      <c r="J779" s="34"/>
      <c r="K779" s="34"/>
      <c r="L779" s="34"/>
      <c r="M779" s="34"/>
      <c r="N779" s="34"/>
      <c r="O779" s="34"/>
      <c r="P779" s="34"/>
      <c r="Q779" s="3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54"/>
    </row>
    <row r="780">
      <c r="A780" s="53"/>
      <c r="B780" s="34"/>
      <c r="C780" s="34"/>
      <c r="D780" s="34"/>
      <c r="E780" s="34"/>
      <c r="F780" s="34"/>
      <c r="G780" s="34"/>
      <c r="H780" s="34"/>
      <c r="I780" s="34"/>
      <c r="J780" s="34"/>
      <c r="K780" s="34"/>
      <c r="L780" s="34"/>
      <c r="M780" s="34"/>
      <c r="N780" s="34"/>
      <c r="O780" s="34"/>
      <c r="P780" s="34"/>
      <c r="Q780" s="3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54"/>
    </row>
    <row r="781">
      <c r="A781" s="53"/>
      <c r="B781" s="34"/>
      <c r="C781" s="34"/>
      <c r="D781" s="34"/>
      <c r="E781" s="34"/>
      <c r="F781" s="34"/>
      <c r="G781" s="34"/>
      <c r="H781" s="34"/>
      <c r="I781" s="34"/>
      <c r="J781" s="34"/>
      <c r="K781" s="34"/>
      <c r="L781" s="34"/>
      <c r="M781" s="34"/>
      <c r="N781" s="34"/>
      <c r="O781" s="34"/>
      <c r="P781" s="34"/>
      <c r="Q781" s="3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54"/>
    </row>
    <row r="782">
      <c r="A782" s="53"/>
      <c r="B782" s="34"/>
      <c r="C782" s="34"/>
      <c r="D782" s="34"/>
      <c r="E782" s="34"/>
      <c r="F782" s="34"/>
      <c r="G782" s="34"/>
      <c r="H782" s="34"/>
      <c r="I782" s="34"/>
      <c r="J782" s="34"/>
      <c r="K782" s="34"/>
      <c r="L782" s="34"/>
      <c r="M782" s="34"/>
      <c r="N782" s="34"/>
      <c r="O782" s="34"/>
      <c r="P782" s="34"/>
      <c r="Q782" s="3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54"/>
    </row>
    <row r="783">
      <c r="A783" s="53"/>
      <c r="B783" s="34"/>
      <c r="C783" s="34"/>
      <c r="D783" s="34"/>
      <c r="E783" s="34"/>
      <c r="F783" s="34"/>
      <c r="G783" s="34"/>
      <c r="H783" s="34"/>
      <c r="I783" s="34"/>
      <c r="J783" s="34"/>
      <c r="K783" s="34"/>
      <c r="L783" s="34"/>
      <c r="M783" s="34"/>
      <c r="N783" s="34"/>
      <c r="O783" s="34"/>
      <c r="P783" s="34"/>
      <c r="Q783" s="3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54"/>
    </row>
    <row r="784">
      <c r="A784" s="53"/>
      <c r="B784" s="34"/>
      <c r="C784" s="34"/>
      <c r="D784" s="34"/>
      <c r="E784" s="34"/>
      <c r="F784" s="34"/>
      <c r="G784" s="34"/>
      <c r="H784" s="34"/>
      <c r="I784" s="34"/>
      <c r="J784" s="34"/>
      <c r="K784" s="34"/>
      <c r="L784" s="34"/>
      <c r="M784" s="34"/>
      <c r="N784" s="34"/>
      <c r="O784" s="34"/>
      <c r="P784" s="34"/>
      <c r="Q784" s="3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54"/>
    </row>
    <row r="785">
      <c r="A785" s="53"/>
      <c r="B785" s="34"/>
      <c r="C785" s="34"/>
      <c r="D785" s="34"/>
      <c r="E785" s="34"/>
      <c r="F785" s="34"/>
      <c r="G785" s="34"/>
      <c r="H785" s="34"/>
      <c r="I785" s="34"/>
      <c r="J785" s="34"/>
      <c r="K785" s="34"/>
      <c r="L785" s="34"/>
      <c r="M785" s="34"/>
      <c r="N785" s="34"/>
      <c r="O785" s="34"/>
      <c r="P785" s="34"/>
      <c r="Q785" s="3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54"/>
    </row>
    <row r="786">
      <c r="A786" s="53"/>
      <c r="B786" s="34"/>
      <c r="C786" s="34"/>
      <c r="D786" s="34"/>
      <c r="E786" s="34"/>
      <c r="F786" s="34"/>
      <c r="G786" s="34"/>
      <c r="H786" s="34"/>
      <c r="I786" s="34"/>
      <c r="J786" s="34"/>
      <c r="K786" s="34"/>
      <c r="L786" s="34"/>
      <c r="M786" s="34"/>
      <c r="N786" s="34"/>
      <c r="O786" s="34"/>
      <c r="P786" s="34"/>
      <c r="Q786" s="3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54"/>
    </row>
    <row r="787">
      <c r="A787" s="53"/>
      <c r="B787" s="34"/>
      <c r="C787" s="34"/>
      <c r="D787" s="34"/>
      <c r="E787" s="34"/>
      <c r="F787" s="34"/>
      <c r="G787" s="34"/>
      <c r="H787" s="34"/>
      <c r="I787" s="34"/>
      <c r="J787" s="34"/>
      <c r="K787" s="34"/>
      <c r="L787" s="34"/>
      <c r="M787" s="34"/>
      <c r="N787" s="34"/>
      <c r="O787" s="34"/>
      <c r="P787" s="34"/>
      <c r="Q787" s="3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54"/>
    </row>
    <row r="788">
      <c r="A788" s="53"/>
      <c r="B788" s="34"/>
      <c r="C788" s="34"/>
      <c r="D788" s="34"/>
      <c r="E788" s="34"/>
      <c r="F788" s="34"/>
      <c r="G788" s="34"/>
      <c r="H788" s="34"/>
      <c r="I788" s="34"/>
      <c r="J788" s="34"/>
      <c r="K788" s="34"/>
      <c r="L788" s="34"/>
      <c r="M788" s="34"/>
      <c r="N788" s="34"/>
      <c r="O788" s="34"/>
      <c r="P788" s="34"/>
      <c r="Q788" s="3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54"/>
    </row>
    <row r="789">
      <c r="A789" s="53"/>
      <c r="B789" s="34"/>
      <c r="C789" s="34"/>
      <c r="D789" s="34"/>
      <c r="E789" s="34"/>
      <c r="F789" s="34"/>
      <c r="G789" s="34"/>
      <c r="H789" s="34"/>
      <c r="I789" s="34"/>
      <c r="J789" s="34"/>
      <c r="K789" s="34"/>
      <c r="L789" s="34"/>
      <c r="M789" s="34"/>
      <c r="N789" s="34"/>
      <c r="O789" s="34"/>
      <c r="P789" s="34"/>
      <c r="Q789" s="3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54"/>
    </row>
    <row r="790">
      <c r="A790" s="53"/>
      <c r="B790" s="34"/>
      <c r="C790" s="34"/>
      <c r="D790" s="34"/>
      <c r="E790" s="34"/>
      <c r="F790" s="34"/>
      <c r="G790" s="34"/>
      <c r="H790" s="34"/>
      <c r="I790" s="34"/>
      <c r="J790" s="34"/>
      <c r="K790" s="34"/>
      <c r="L790" s="34"/>
      <c r="M790" s="34"/>
      <c r="N790" s="34"/>
      <c r="O790" s="34"/>
      <c r="P790" s="34"/>
      <c r="Q790" s="3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54"/>
    </row>
    <row r="791">
      <c r="A791" s="53"/>
      <c r="B791" s="34"/>
      <c r="C791" s="34"/>
      <c r="D791" s="34"/>
      <c r="E791" s="34"/>
      <c r="F791" s="34"/>
      <c r="G791" s="34"/>
      <c r="H791" s="34"/>
      <c r="I791" s="34"/>
      <c r="J791" s="34"/>
      <c r="K791" s="34"/>
      <c r="L791" s="34"/>
      <c r="M791" s="34"/>
      <c r="N791" s="34"/>
      <c r="O791" s="34"/>
      <c r="P791" s="34"/>
      <c r="Q791" s="3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54"/>
    </row>
    <row r="792">
      <c r="A792" s="53"/>
      <c r="B792" s="34"/>
      <c r="C792" s="34"/>
      <c r="D792" s="34"/>
      <c r="E792" s="34"/>
      <c r="F792" s="34"/>
      <c r="G792" s="34"/>
      <c r="H792" s="34"/>
      <c r="I792" s="34"/>
      <c r="J792" s="34"/>
      <c r="K792" s="34"/>
      <c r="L792" s="34"/>
      <c r="M792" s="34"/>
      <c r="N792" s="34"/>
      <c r="O792" s="34"/>
      <c r="P792" s="34"/>
      <c r="Q792" s="3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54"/>
    </row>
    <row r="793">
      <c r="A793" s="53"/>
      <c r="B793" s="34"/>
      <c r="C793" s="34"/>
      <c r="D793" s="34"/>
      <c r="E793" s="34"/>
      <c r="F793" s="34"/>
      <c r="G793" s="34"/>
      <c r="H793" s="34"/>
      <c r="I793" s="34"/>
      <c r="J793" s="34"/>
      <c r="K793" s="34"/>
      <c r="L793" s="34"/>
      <c r="M793" s="34"/>
      <c r="N793" s="34"/>
      <c r="O793" s="34"/>
      <c r="P793" s="34"/>
      <c r="Q793" s="3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54"/>
    </row>
    <row r="794">
      <c r="A794" s="53"/>
      <c r="B794" s="34"/>
      <c r="C794" s="34"/>
      <c r="D794" s="34"/>
      <c r="E794" s="34"/>
      <c r="F794" s="34"/>
      <c r="G794" s="34"/>
      <c r="H794" s="34"/>
      <c r="I794" s="34"/>
      <c r="J794" s="34"/>
      <c r="K794" s="34"/>
      <c r="L794" s="34"/>
      <c r="M794" s="34"/>
      <c r="N794" s="34"/>
      <c r="O794" s="34"/>
      <c r="P794" s="34"/>
      <c r="Q794" s="3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54"/>
    </row>
    <row r="795">
      <c r="A795" s="53"/>
      <c r="B795" s="34"/>
      <c r="C795" s="34"/>
      <c r="D795" s="34"/>
      <c r="E795" s="34"/>
      <c r="F795" s="34"/>
      <c r="G795" s="34"/>
      <c r="H795" s="34"/>
      <c r="I795" s="34"/>
      <c r="J795" s="34"/>
      <c r="K795" s="34"/>
      <c r="L795" s="34"/>
      <c r="M795" s="34"/>
      <c r="N795" s="34"/>
      <c r="O795" s="34"/>
      <c r="P795" s="34"/>
      <c r="Q795" s="3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54"/>
    </row>
    <row r="796">
      <c r="A796" s="53"/>
      <c r="B796" s="34"/>
      <c r="C796" s="34"/>
      <c r="D796" s="34"/>
      <c r="E796" s="34"/>
      <c r="F796" s="34"/>
      <c r="G796" s="34"/>
      <c r="H796" s="34"/>
      <c r="I796" s="34"/>
      <c r="J796" s="34"/>
      <c r="K796" s="34"/>
      <c r="L796" s="34"/>
      <c r="M796" s="34"/>
      <c r="N796" s="34"/>
      <c r="O796" s="34"/>
      <c r="P796" s="34"/>
      <c r="Q796" s="3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54"/>
    </row>
    <row r="797">
      <c r="A797" s="53"/>
      <c r="B797" s="34"/>
      <c r="C797" s="34"/>
      <c r="D797" s="34"/>
      <c r="E797" s="34"/>
      <c r="F797" s="34"/>
      <c r="G797" s="34"/>
      <c r="H797" s="34"/>
      <c r="I797" s="34"/>
      <c r="J797" s="34"/>
      <c r="K797" s="34"/>
      <c r="L797" s="34"/>
      <c r="M797" s="34"/>
      <c r="N797" s="34"/>
      <c r="O797" s="34"/>
      <c r="P797" s="34"/>
      <c r="Q797" s="3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54"/>
    </row>
    <row r="798">
      <c r="A798" s="53"/>
      <c r="B798" s="34"/>
      <c r="C798" s="34"/>
      <c r="D798" s="34"/>
      <c r="E798" s="34"/>
      <c r="F798" s="34"/>
      <c r="G798" s="34"/>
      <c r="H798" s="34"/>
      <c r="I798" s="34"/>
      <c r="J798" s="34"/>
      <c r="K798" s="34"/>
      <c r="L798" s="34"/>
      <c r="M798" s="34"/>
      <c r="N798" s="34"/>
      <c r="O798" s="34"/>
      <c r="P798" s="34"/>
      <c r="Q798" s="3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54"/>
    </row>
    <row r="799">
      <c r="A799" s="53"/>
      <c r="B799" s="34"/>
      <c r="C799" s="34"/>
      <c r="D799" s="34"/>
      <c r="E799" s="34"/>
      <c r="F799" s="34"/>
      <c r="G799" s="34"/>
      <c r="H799" s="34"/>
      <c r="I799" s="34"/>
      <c r="J799" s="34"/>
      <c r="K799" s="34"/>
      <c r="L799" s="34"/>
      <c r="M799" s="34"/>
      <c r="N799" s="34"/>
      <c r="O799" s="34"/>
      <c r="P799" s="34"/>
      <c r="Q799" s="3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54"/>
    </row>
    <row r="800">
      <c r="A800" s="53"/>
      <c r="B800" s="34"/>
      <c r="C800" s="34"/>
      <c r="D800" s="34"/>
      <c r="E800" s="34"/>
      <c r="F800" s="34"/>
      <c r="G800" s="34"/>
      <c r="H800" s="34"/>
      <c r="I800" s="34"/>
      <c r="J800" s="34"/>
      <c r="K800" s="34"/>
      <c r="L800" s="34"/>
      <c r="M800" s="34"/>
      <c r="N800" s="34"/>
      <c r="O800" s="34"/>
      <c r="P800" s="34"/>
      <c r="Q800" s="3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54"/>
    </row>
    <row r="801">
      <c r="A801" s="53"/>
      <c r="B801" s="34"/>
      <c r="C801" s="34"/>
      <c r="D801" s="34"/>
      <c r="E801" s="34"/>
      <c r="F801" s="34"/>
      <c r="G801" s="34"/>
      <c r="H801" s="34"/>
      <c r="I801" s="34"/>
      <c r="J801" s="34"/>
      <c r="K801" s="34"/>
      <c r="L801" s="34"/>
      <c r="M801" s="34"/>
      <c r="N801" s="34"/>
      <c r="O801" s="34"/>
      <c r="P801" s="34"/>
      <c r="Q801" s="3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54"/>
    </row>
    <row r="802">
      <c r="A802" s="53"/>
      <c r="B802" s="34"/>
      <c r="C802" s="34"/>
      <c r="D802" s="34"/>
      <c r="E802" s="34"/>
      <c r="F802" s="34"/>
      <c r="G802" s="34"/>
      <c r="H802" s="34"/>
      <c r="I802" s="34"/>
      <c r="J802" s="34"/>
      <c r="K802" s="34"/>
      <c r="L802" s="34"/>
      <c r="M802" s="34"/>
      <c r="N802" s="34"/>
      <c r="O802" s="34"/>
      <c r="P802" s="34"/>
      <c r="Q802" s="3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54"/>
    </row>
    <row r="803">
      <c r="A803" s="53"/>
      <c r="B803" s="34"/>
      <c r="C803" s="34"/>
      <c r="D803" s="34"/>
      <c r="E803" s="34"/>
      <c r="F803" s="34"/>
      <c r="G803" s="34"/>
      <c r="H803" s="34"/>
      <c r="I803" s="34"/>
      <c r="J803" s="34"/>
      <c r="K803" s="34"/>
      <c r="L803" s="34"/>
      <c r="M803" s="34"/>
      <c r="N803" s="34"/>
      <c r="O803" s="34"/>
      <c r="P803" s="34"/>
      <c r="Q803" s="3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54"/>
    </row>
    <row r="804">
      <c r="A804" s="53"/>
      <c r="B804" s="34"/>
      <c r="C804" s="34"/>
      <c r="D804" s="34"/>
      <c r="E804" s="34"/>
      <c r="F804" s="34"/>
      <c r="G804" s="34"/>
      <c r="H804" s="34"/>
      <c r="I804" s="34"/>
      <c r="J804" s="34"/>
      <c r="K804" s="34"/>
      <c r="L804" s="34"/>
      <c r="M804" s="34"/>
      <c r="N804" s="34"/>
      <c r="O804" s="34"/>
      <c r="P804" s="34"/>
      <c r="Q804" s="3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54"/>
    </row>
    <row r="805">
      <c r="A805" s="53"/>
      <c r="B805" s="34"/>
      <c r="C805" s="34"/>
      <c r="D805" s="34"/>
      <c r="E805" s="34"/>
      <c r="F805" s="34"/>
      <c r="G805" s="34"/>
      <c r="H805" s="34"/>
      <c r="I805" s="34"/>
      <c r="J805" s="34"/>
      <c r="K805" s="34"/>
      <c r="L805" s="34"/>
      <c r="M805" s="34"/>
      <c r="N805" s="34"/>
      <c r="O805" s="34"/>
      <c r="P805" s="34"/>
      <c r="Q805" s="3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54"/>
    </row>
    <row r="806">
      <c r="A806" s="53"/>
      <c r="B806" s="34"/>
      <c r="C806" s="34"/>
      <c r="D806" s="34"/>
      <c r="E806" s="34"/>
      <c r="F806" s="34"/>
      <c r="G806" s="34"/>
      <c r="H806" s="34"/>
      <c r="I806" s="34"/>
      <c r="J806" s="34"/>
      <c r="K806" s="34"/>
      <c r="L806" s="34"/>
      <c r="M806" s="34"/>
      <c r="N806" s="34"/>
      <c r="O806" s="34"/>
      <c r="P806" s="34"/>
      <c r="Q806" s="3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54"/>
    </row>
    <row r="807">
      <c r="A807" s="53"/>
      <c r="B807" s="34"/>
      <c r="C807" s="34"/>
      <c r="D807" s="34"/>
      <c r="E807" s="34"/>
      <c r="F807" s="34"/>
      <c r="G807" s="34"/>
      <c r="H807" s="34"/>
      <c r="I807" s="34"/>
      <c r="J807" s="34"/>
      <c r="K807" s="34"/>
      <c r="L807" s="34"/>
      <c r="M807" s="34"/>
      <c r="N807" s="34"/>
      <c r="O807" s="34"/>
      <c r="P807" s="34"/>
      <c r="Q807" s="3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54"/>
    </row>
    <row r="808">
      <c r="A808" s="53"/>
      <c r="B808" s="34"/>
      <c r="C808" s="34"/>
      <c r="D808" s="34"/>
      <c r="E808" s="34"/>
      <c r="F808" s="34"/>
      <c r="G808" s="34"/>
      <c r="H808" s="34"/>
      <c r="I808" s="34"/>
      <c r="J808" s="34"/>
      <c r="K808" s="34"/>
      <c r="L808" s="34"/>
      <c r="M808" s="34"/>
      <c r="N808" s="34"/>
      <c r="O808" s="34"/>
      <c r="P808" s="34"/>
      <c r="Q808" s="3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54"/>
    </row>
    <row r="809">
      <c r="A809" s="53"/>
      <c r="B809" s="34"/>
      <c r="C809" s="34"/>
      <c r="D809" s="34"/>
      <c r="E809" s="34"/>
      <c r="F809" s="34"/>
      <c r="G809" s="34"/>
      <c r="H809" s="34"/>
      <c r="I809" s="34"/>
      <c r="J809" s="34"/>
      <c r="K809" s="34"/>
      <c r="L809" s="34"/>
      <c r="M809" s="34"/>
      <c r="N809" s="34"/>
      <c r="O809" s="34"/>
      <c r="P809" s="34"/>
      <c r="Q809" s="3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54"/>
    </row>
    <row r="810">
      <c r="A810" s="53"/>
      <c r="B810" s="34"/>
      <c r="C810" s="34"/>
      <c r="D810" s="34"/>
      <c r="E810" s="34"/>
      <c r="F810" s="34"/>
      <c r="G810" s="34"/>
      <c r="H810" s="34"/>
      <c r="I810" s="34"/>
      <c r="J810" s="34"/>
      <c r="K810" s="34"/>
      <c r="L810" s="34"/>
      <c r="M810" s="34"/>
      <c r="N810" s="34"/>
      <c r="O810" s="34"/>
      <c r="P810" s="34"/>
      <c r="Q810" s="3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54"/>
    </row>
    <row r="811">
      <c r="A811" s="53"/>
      <c r="B811" s="34"/>
      <c r="C811" s="34"/>
      <c r="D811" s="34"/>
      <c r="E811" s="34"/>
      <c r="F811" s="34"/>
      <c r="G811" s="34"/>
      <c r="H811" s="34"/>
      <c r="I811" s="34"/>
      <c r="J811" s="34"/>
      <c r="K811" s="34"/>
      <c r="L811" s="34"/>
      <c r="M811" s="34"/>
      <c r="N811" s="34"/>
      <c r="O811" s="34"/>
      <c r="P811" s="34"/>
      <c r="Q811" s="3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54"/>
    </row>
    <row r="812">
      <c r="A812" s="53"/>
      <c r="B812" s="34"/>
      <c r="C812" s="34"/>
      <c r="D812" s="34"/>
      <c r="E812" s="34"/>
      <c r="F812" s="34"/>
      <c r="G812" s="34"/>
      <c r="H812" s="34"/>
      <c r="I812" s="34"/>
      <c r="J812" s="34"/>
      <c r="K812" s="34"/>
      <c r="L812" s="34"/>
      <c r="M812" s="34"/>
      <c r="N812" s="34"/>
      <c r="O812" s="34"/>
      <c r="P812" s="34"/>
      <c r="Q812" s="3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54"/>
    </row>
    <row r="813">
      <c r="A813" s="53"/>
      <c r="B813" s="34"/>
      <c r="C813" s="34"/>
      <c r="D813" s="34"/>
      <c r="E813" s="34"/>
      <c r="F813" s="34"/>
      <c r="G813" s="34"/>
      <c r="H813" s="34"/>
      <c r="I813" s="34"/>
      <c r="J813" s="34"/>
      <c r="K813" s="34"/>
      <c r="L813" s="34"/>
      <c r="M813" s="34"/>
      <c r="N813" s="34"/>
      <c r="O813" s="34"/>
      <c r="P813" s="34"/>
      <c r="Q813" s="3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54"/>
    </row>
    <row r="814">
      <c r="A814" s="53"/>
      <c r="B814" s="34"/>
      <c r="C814" s="34"/>
      <c r="D814" s="34"/>
      <c r="E814" s="34"/>
      <c r="F814" s="34"/>
      <c r="G814" s="34"/>
      <c r="H814" s="34"/>
      <c r="I814" s="34"/>
      <c r="J814" s="34"/>
      <c r="K814" s="34"/>
      <c r="L814" s="34"/>
      <c r="M814" s="34"/>
      <c r="N814" s="34"/>
      <c r="O814" s="34"/>
      <c r="P814" s="34"/>
      <c r="Q814" s="3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54"/>
    </row>
    <row r="815">
      <c r="A815" s="53"/>
      <c r="B815" s="34"/>
      <c r="C815" s="34"/>
      <c r="D815" s="34"/>
      <c r="E815" s="34"/>
      <c r="F815" s="34"/>
      <c r="G815" s="34"/>
      <c r="H815" s="34"/>
      <c r="I815" s="34"/>
      <c r="J815" s="34"/>
      <c r="K815" s="34"/>
      <c r="L815" s="34"/>
      <c r="M815" s="34"/>
      <c r="N815" s="34"/>
      <c r="O815" s="34"/>
      <c r="P815" s="34"/>
      <c r="Q815" s="3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54"/>
    </row>
    <row r="816">
      <c r="A816" s="53"/>
      <c r="B816" s="34"/>
      <c r="C816" s="34"/>
      <c r="D816" s="34"/>
      <c r="E816" s="34"/>
      <c r="F816" s="34"/>
      <c r="G816" s="34"/>
      <c r="H816" s="34"/>
      <c r="I816" s="34"/>
      <c r="J816" s="34"/>
      <c r="K816" s="34"/>
      <c r="L816" s="34"/>
      <c r="M816" s="34"/>
      <c r="N816" s="34"/>
      <c r="O816" s="34"/>
      <c r="P816" s="34"/>
      <c r="Q816" s="3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54"/>
    </row>
    <row r="817">
      <c r="A817" s="53"/>
      <c r="B817" s="34"/>
      <c r="C817" s="34"/>
      <c r="D817" s="34"/>
      <c r="E817" s="34"/>
      <c r="F817" s="34"/>
      <c r="G817" s="34"/>
      <c r="H817" s="34"/>
      <c r="I817" s="34"/>
      <c r="J817" s="34"/>
      <c r="K817" s="34"/>
      <c r="L817" s="34"/>
      <c r="M817" s="34"/>
      <c r="N817" s="34"/>
      <c r="O817" s="34"/>
      <c r="P817" s="34"/>
      <c r="Q817" s="3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54"/>
    </row>
    <row r="818">
      <c r="A818" s="53"/>
      <c r="B818" s="34"/>
      <c r="C818" s="34"/>
      <c r="D818" s="34"/>
      <c r="E818" s="34"/>
      <c r="F818" s="34"/>
      <c r="G818" s="34"/>
      <c r="H818" s="34"/>
      <c r="I818" s="34"/>
      <c r="J818" s="34"/>
      <c r="K818" s="34"/>
      <c r="L818" s="34"/>
      <c r="M818" s="34"/>
      <c r="N818" s="34"/>
      <c r="O818" s="34"/>
      <c r="P818" s="34"/>
      <c r="Q818" s="3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54"/>
    </row>
    <row r="819">
      <c r="A819" s="53"/>
      <c r="B819" s="34"/>
      <c r="C819" s="34"/>
      <c r="D819" s="34"/>
      <c r="E819" s="34"/>
      <c r="F819" s="34"/>
      <c r="G819" s="34"/>
      <c r="H819" s="34"/>
      <c r="I819" s="34"/>
      <c r="J819" s="34"/>
      <c r="K819" s="34"/>
      <c r="L819" s="34"/>
      <c r="M819" s="34"/>
      <c r="N819" s="34"/>
      <c r="O819" s="34"/>
      <c r="P819" s="34"/>
      <c r="Q819" s="3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54"/>
    </row>
    <row r="820">
      <c r="A820" s="53"/>
      <c r="B820" s="34"/>
      <c r="C820" s="34"/>
      <c r="D820" s="34"/>
      <c r="E820" s="34"/>
      <c r="F820" s="34"/>
      <c r="G820" s="34"/>
      <c r="H820" s="34"/>
      <c r="I820" s="34"/>
      <c r="J820" s="34"/>
      <c r="K820" s="34"/>
      <c r="L820" s="34"/>
      <c r="M820" s="34"/>
      <c r="N820" s="34"/>
      <c r="O820" s="34"/>
      <c r="P820" s="34"/>
      <c r="Q820" s="3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54"/>
    </row>
    <row r="821">
      <c r="A821" s="53"/>
      <c r="B821" s="34"/>
      <c r="C821" s="34"/>
      <c r="D821" s="34"/>
      <c r="E821" s="34"/>
      <c r="F821" s="34"/>
      <c r="G821" s="34"/>
      <c r="H821" s="34"/>
      <c r="I821" s="34"/>
      <c r="J821" s="34"/>
      <c r="K821" s="34"/>
      <c r="L821" s="34"/>
      <c r="M821" s="34"/>
      <c r="N821" s="34"/>
      <c r="O821" s="34"/>
      <c r="P821" s="34"/>
      <c r="Q821" s="3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54"/>
    </row>
    <row r="822">
      <c r="A822" s="53"/>
      <c r="B822" s="34"/>
      <c r="C822" s="34"/>
      <c r="D822" s="34"/>
      <c r="E822" s="34"/>
      <c r="F822" s="34"/>
      <c r="G822" s="34"/>
      <c r="H822" s="34"/>
      <c r="I822" s="34"/>
      <c r="J822" s="34"/>
      <c r="K822" s="34"/>
      <c r="L822" s="34"/>
      <c r="M822" s="34"/>
      <c r="N822" s="34"/>
      <c r="O822" s="34"/>
      <c r="P822" s="34"/>
      <c r="Q822" s="3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54"/>
    </row>
    <row r="823">
      <c r="A823" s="53"/>
      <c r="B823" s="34"/>
      <c r="C823" s="34"/>
      <c r="D823" s="34"/>
      <c r="E823" s="34"/>
      <c r="F823" s="34"/>
      <c r="G823" s="34"/>
      <c r="H823" s="34"/>
      <c r="I823" s="34"/>
      <c r="J823" s="34"/>
      <c r="K823" s="34"/>
      <c r="L823" s="34"/>
      <c r="M823" s="34"/>
      <c r="N823" s="34"/>
      <c r="O823" s="34"/>
      <c r="P823" s="34"/>
      <c r="Q823" s="3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54"/>
    </row>
    <row r="824">
      <c r="A824" s="53"/>
      <c r="B824" s="34"/>
      <c r="C824" s="34"/>
      <c r="D824" s="34"/>
      <c r="E824" s="34"/>
      <c r="F824" s="34"/>
      <c r="G824" s="34"/>
      <c r="H824" s="34"/>
      <c r="I824" s="34"/>
      <c r="J824" s="34"/>
      <c r="K824" s="34"/>
      <c r="L824" s="34"/>
      <c r="M824" s="34"/>
      <c r="N824" s="34"/>
      <c r="O824" s="34"/>
      <c r="P824" s="34"/>
      <c r="Q824" s="3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54"/>
    </row>
    <row r="825">
      <c r="A825" s="53"/>
      <c r="B825" s="34"/>
      <c r="C825" s="34"/>
      <c r="D825" s="34"/>
      <c r="E825" s="34"/>
      <c r="F825" s="34"/>
      <c r="G825" s="34"/>
      <c r="H825" s="34"/>
      <c r="I825" s="34"/>
      <c r="J825" s="34"/>
      <c r="K825" s="34"/>
      <c r="L825" s="34"/>
      <c r="M825" s="34"/>
      <c r="N825" s="34"/>
      <c r="O825" s="34"/>
      <c r="P825" s="34"/>
      <c r="Q825" s="3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54"/>
    </row>
    <row r="826">
      <c r="A826" s="53"/>
      <c r="B826" s="34"/>
      <c r="C826" s="34"/>
      <c r="D826" s="34"/>
      <c r="E826" s="34"/>
      <c r="F826" s="34"/>
      <c r="G826" s="34"/>
      <c r="H826" s="34"/>
      <c r="I826" s="34"/>
      <c r="J826" s="34"/>
      <c r="K826" s="34"/>
      <c r="L826" s="34"/>
      <c r="M826" s="34"/>
      <c r="N826" s="34"/>
      <c r="O826" s="34"/>
      <c r="P826" s="34"/>
      <c r="Q826" s="3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54"/>
    </row>
    <row r="827">
      <c r="A827" s="53"/>
      <c r="B827" s="34"/>
      <c r="C827" s="34"/>
      <c r="D827" s="34"/>
      <c r="E827" s="34"/>
      <c r="F827" s="34"/>
      <c r="G827" s="34"/>
      <c r="H827" s="34"/>
      <c r="I827" s="34"/>
      <c r="J827" s="34"/>
      <c r="K827" s="34"/>
      <c r="L827" s="34"/>
      <c r="M827" s="34"/>
      <c r="N827" s="34"/>
      <c r="O827" s="34"/>
      <c r="P827" s="34"/>
      <c r="Q827" s="3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54"/>
    </row>
    <row r="828">
      <c r="A828" s="53"/>
      <c r="B828" s="34"/>
      <c r="C828" s="34"/>
      <c r="D828" s="34"/>
      <c r="E828" s="34"/>
      <c r="F828" s="34"/>
      <c r="G828" s="34"/>
      <c r="H828" s="34"/>
      <c r="I828" s="34"/>
      <c r="J828" s="34"/>
      <c r="K828" s="34"/>
      <c r="L828" s="34"/>
      <c r="M828" s="34"/>
      <c r="N828" s="34"/>
      <c r="O828" s="34"/>
      <c r="P828" s="34"/>
      <c r="Q828" s="3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54"/>
    </row>
    <row r="829">
      <c r="A829" s="53"/>
      <c r="B829" s="34"/>
      <c r="C829" s="34"/>
      <c r="D829" s="34"/>
      <c r="E829" s="34"/>
      <c r="F829" s="34"/>
      <c r="G829" s="34"/>
      <c r="H829" s="34"/>
      <c r="I829" s="34"/>
      <c r="J829" s="34"/>
      <c r="K829" s="34"/>
      <c r="L829" s="34"/>
      <c r="M829" s="34"/>
      <c r="N829" s="34"/>
      <c r="O829" s="34"/>
      <c r="P829" s="34"/>
      <c r="Q829" s="3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54"/>
    </row>
    <row r="830">
      <c r="A830" s="53"/>
      <c r="B830" s="34"/>
      <c r="C830" s="34"/>
      <c r="D830" s="34"/>
      <c r="E830" s="34"/>
      <c r="F830" s="34"/>
      <c r="G830" s="34"/>
      <c r="H830" s="34"/>
      <c r="I830" s="34"/>
      <c r="J830" s="34"/>
      <c r="K830" s="34"/>
      <c r="L830" s="34"/>
      <c r="M830" s="34"/>
      <c r="N830" s="34"/>
      <c r="O830" s="34"/>
      <c r="P830" s="34"/>
      <c r="Q830" s="3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54"/>
    </row>
    <row r="831">
      <c r="A831" s="53"/>
      <c r="B831" s="34"/>
      <c r="C831" s="34"/>
      <c r="D831" s="34"/>
      <c r="E831" s="34"/>
      <c r="F831" s="34"/>
      <c r="G831" s="34"/>
      <c r="H831" s="34"/>
      <c r="I831" s="34"/>
      <c r="J831" s="34"/>
      <c r="K831" s="34"/>
      <c r="L831" s="34"/>
      <c r="M831" s="34"/>
      <c r="N831" s="34"/>
      <c r="O831" s="34"/>
      <c r="P831" s="34"/>
      <c r="Q831" s="3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54"/>
    </row>
    <row r="832">
      <c r="A832" s="53"/>
      <c r="B832" s="34"/>
      <c r="C832" s="34"/>
      <c r="D832" s="34"/>
      <c r="E832" s="34"/>
      <c r="F832" s="34"/>
      <c r="G832" s="34"/>
      <c r="H832" s="34"/>
      <c r="I832" s="34"/>
      <c r="J832" s="34"/>
      <c r="K832" s="34"/>
      <c r="L832" s="34"/>
      <c r="M832" s="34"/>
      <c r="N832" s="34"/>
      <c r="O832" s="34"/>
      <c r="P832" s="34"/>
      <c r="Q832" s="3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54"/>
    </row>
    <row r="833">
      <c r="A833" s="53"/>
      <c r="B833" s="34"/>
      <c r="C833" s="34"/>
      <c r="D833" s="34"/>
      <c r="E833" s="34"/>
      <c r="F833" s="34"/>
      <c r="G833" s="34"/>
      <c r="H833" s="34"/>
      <c r="I833" s="34"/>
      <c r="J833" s="34"/>
      <c r="K833" s="34"/>
      <c r="L833" s="34"/>
      <c r="M833" s="34"/>
      <c r="N833" s="34"/>
      <c r="O833" s="34"/>
      <c r="P833" s="34"/>
      <c r="Q833" s="3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54"/>
    </row>
    <row r="834">
      <c r="A834" s="53"/>
      <c r="B834" s="34"/>
      <c r="C834" s="34"/>
      <c r="D834" s="34"/>
      <c r="E834" s="34"/>
      <c r="F834" s="34"/>
      <c r="G834" s="34"/>
      <c r="H834" s="34"/>
      <c r="I834" s="34"/>
      <c r="J834" s="34"/>
      <c r="K834" s="34"/>
      <c r="L834" s="34"/>
      <c r="M834" s="34"/>
      <c r="N834" s="34"/>
      <c r="O834" s="34"/>
      <c r="P834" s="34"/>
      <c r="Q834" s="3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54"/>
    </row>
    <row r="835">
      <c r="A835" s="53"/>
      <c r="B835" s="34"/>
      <c r="C835" s="34"/>
      <c r="D835" s="34"/>
      <c r="E835" s="34"/>
      <c r="F835" s="34"/>
      <c r="G835" s="34"/>
      <c r="H835" s="34"/>
      <c r="I835" s="34"/>
      <c r="J835" s="34"/>
      <c r="K835" s="34"/>
      <c r="L835" s="34"/>
      <c r="M835" s="34"/>
      <c r="N835" s="34"/>
      <c r="O835" s="34"/>
      <c r="P835" s="34"/>
      <c r="Q835" s="3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54"/>
    </row>
    <row r="836">
      <c r="A836" s="53"/>
      <c r="B836" s="34"/>
      <c r="C836" s="34"/>
      <c r="D836" s="34"/>
      <c r="E836" s="34"/>
      <c r="F836" s="34"/>
      <c r="G836" s="34"/>
      <c r="H836" s="34"/>
      <c r="I836" s="34"/>
      <c r="J836" s="34"/>
      <c r="K836" s="34"/>
      <c r="L836" s="34"/>
      <c r="M836" s="34"/>
      <c r="N836" s="34"/>
      <c r="O836" s="34"/>
      <c r="P836" s="34"/>
      <c r="Q836" s="3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54"/>
    </row>
    <row r="837">
      <c r="A837" s="53"/>
      <c r="B837" s="34"/>
      <c r="C837" s="34"/>
      <c r="D837" s="34"/>
      <c r="E837" s="34"/>
      <c r="F837" s="34"/>
      <c r="G837" s="34"/>
      <c r="H837" s="34"/>
      <c r="I837" s="34"/>
      <c r="J837" s="34"/>
      <c r="K837" s="34"/>
      <c r="L837" s="34"/>
      <c r="M837" s="34"/>
      <c r="N837" s="34"/>
      <c r="O837" s="34"/>
      <c r="P837" s="34"/>
      <c r="Q837" s="3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54"/>
    </row>
    <row r="838">
      <c r="A838" s="53"/>
      <c r="B838" s="34"/>
      <c r="C838" s="34"/>
      <c r="D838" s="34"/>
      <c r="E838" s="34"/>
      <c r="F838" s="34"/>
      <c r="G838" s="34"/>
      <c r="H838" s="34"/>
      <c r="I838" s="34"/>
      <c r="J838" s="34"/>
      <c r="K838" s="34"/>
      <c r="L838" s="34"/>
      <c r="M838" s="34"/>
      <c r="N838" s="34"/>
      <c r="O838" s="34"/>
      <c r="P838" s="34"/>
      <c r="Q838" s="3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54"/>
    </row>
    <row r="839">
      <c r="A839" s="53"/>
      <c r="B839" s="34"/>
      <c r="C839" s="34"/>
      <c r="D839" s="34"/>
      <c r="E839" s="34"/>
      <c r="F839" s="34"/>
      <c r="G839" s="34"/>
      <c r="H839" s="34"/>
      <c r="I839" s="34"/>
      <c r="J839" s="34"/>
      <c r="K839" s="34"/>
      <c r="L839" s="34"/>
      <c r="M839" s="34"/>
      <c r="N839" s="34"/>
      <c r="O839" s="34"/>
      <c r="P839" s="34"/>
      <c r="Q839" s="3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54"/>
    </row>
    <row r="840">
      <c r="A840" s="53"/>
      <c r="B840" s="34"/>
      <c r="C840" s="34"/>
      <c r="D840" s="34"/>
      <c r="E840" s="34"/>
      <c r="F840" s="34"/>
      <c r="G840" s="34"/>
      <c r="H840" s="34"/>
      <c r="I840" s="34"/>
      <c r="J840" s="34"/>
      <c r="K840" s="34"/>
      <c r="L840" s="34"/>
      <c r="M840" s="34"/>
      <c r="N840" s="34"/>
      <c r="O840" s="34"/>
      <c r="P840" s="34"/>
      <c r="Q840" s="3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54"/>
    </row>
    <row r="841">
      <c r="A841" s="53"/>
      <c r="B841" s="34"/>
      <c r="C841" s="34"/>
      <c r="D841" s="34"/>
      <c r="E841" s="34"/>
      <c r="F841" s="34"/>
      <c r="G841" s="34"/>
      <c r="H841" s="34"/>
      <c r="I841" s="34"/>
      <c r="J841" s="34"/>
      <c r="K841" s="34"/>
      <c r="L841" s="34"/>
      <c r="M841" s="34"/>
      <c r="N841" s="34"/>
      <c r="O841" s="34"/>
      <c r="P841" s="34"/>
      <c r="Q841" s="3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54"/>
    </row>
    <row r="842">
      <c r="A842" s="53"/>
      <c r="B842" s="34"/>
      <c r="C842" s="34"/>
      <c r="D842" s="34"/>
      <c r="E842" s="34"/>
      <c r="F842" s="34"/>
      <c r="G842" s="34"/>
      <c r="H842" s="34"/>
      <c r="I842" s="34"/>
      <c r="J842" s="34"/>
      <c r="K842" s="34"/>
      <c r="L842" s="34"/>
      <c r="M842" s="34"/>
      <c r="N842" s="34"/>
      <c r="O842" s="34"/>
      <c r="P842" s="34"/>
      <c r="Q842" s="3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54"/>
    </row>
    <row r="843">
      <c r="A843" s="53"/>
      <c r="B843" s="34"/>
      <c r="C843" s="34"/>
      <c r="D843" s="34"/>
      <c r="E843" s="34"/>
      <c r="F843" s="34"/>
      <c r="G843" s="34"/>
      <c r="H843" s="34"/>
      <c r="I843" s="34"/>
      <c r="J843" s="34"/>
      <c r="K843" s="34"/>
      <c r="L843" s="34"/>
      <c r="M843" s="34"/>
      <c r="N843" s="34"/>
      <c r="O843" s="34"/>
      <c r="P843" s="34"/>
      <c r="Q843" s="3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54"/>
    </row>
    <row r="844">
      <c r="A844" s="53"/>
      <c r="B844" s="34"/>
      <c r="C844" s="34"/>
      <c r="D844" s="34"/>
      <c r="E844" s="34"/>
      <c r="F844" s="34"/>
      <c r="G844" s="34"/>
      <c r="H844" s="34"/>
      <c r="I844" s="34"/>
      <c r="J844" s="34"/>
      <c r="K844" s="34"/>
      <c r="L844" s="34"/>
      <c r="M844" s="34"/>
      <c r="N844" s="34"/>
      <c r="O844" s="34"/>
      <c r="P844" s="34"/>
      <c r="Q844" s="3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54"/>
    </row>
    <row r="845">
      <c r="A845" s="53"/>
      <c r="B845" s="34"/>
      <c r="C845" s="34"/>
      <c r="D845" s="34"/>
      <c r="E845" s="34"/>
      <c r="F845" s="34"/>
      <c r="G845" s="34"/>
      <c r="H845" s="34"/>
      <c r="I845" s="34"/>
      <c r="J845" s="34"/>
      <c r="K845" s="34"/>
      <c r="L845" s="34"/>
      <c r="M845" s="34"/>
      <c r="N845" s="34"/>
      <c r="O845" s="34"/>
      <c r="P845" s="34"/>
      <c r="Q845" s="3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54"/>
    </row>
    <row r="846">
      <c r="A846" s="53"/>
      <c r="B846" s="34"/>
      <c r="C846" s="34"/>
      <c r="D846" s="34"/>
      <c r="E846" s="34"/>
      <c r="F846" s="34"/>
      <c r="G846" s="34"/>
      <c r="H846" s="34"/>
      <c r="I846" s="34"/>
      <c r="J846" s="34"/>
      <c r="K846" s="34"/>
      <c r="L846" s="34"/>
      <c r="M846" s="34"/>
      <c r="N846" s="34"/>
      <c r="O846" s="34"/>
      <c r="P846" s="34"/>
      <c r="Q846" s="3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54"/>
    </row>
    <row r="847">
      <c r="A847" s="53"/>
      <c r="B847" s="34"/>
      <c r="C847" s="34"/>
      <c r="D847" s="34"/>
      <c r="E847" s="34"/>
      <c r="F847" s="34"/>
      <c r="G847" s="34"/>
      <c r="H847" s="34"/>
      <c r="I847" s="34"/>
      <c r="J847" s="34"/>
      <c r="K847" s="34"/>
      <c r="L847" s="34"/>
      <c r="M847" s="34"/>
      <c r="N847" s="34"/>
      <c r="O847" s="34"/>
      <c r="P847" s="34"/>
      <c r="Q847" s="3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54"/>
    </row>
    <row r="848">
      <c r="A848" s="53"/>
      <c r="B848" s="34"/>
      <c r="C848" s="34"/>
      <c r="D848" s="34"/>
      <c r="E848" s="34"/>
      <c r="F848" s="34"/>
      <c r="G848" s="34"/>
      <c r="H848" s="34"/>
      <c r="I848" s="34"/>
      <c r="J848" s="34"/>
      <c r="K848" s="34"/>
      <c r="L848" s="34"/>
      <c r="M848" s="34"/>
      <c r="N848" s="34"/>
      <c r="O848" s="34"/>
      <c r="P848" s="34"/>
      <c r="Q848" s="3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54"/>
    </row>
    <row r="849">
      <c r="A849" s="53"/>
      <c r="B849" s="34"/>
      <c r="C849" s="34"/>
      <c r="D849" s="34"/>
      <c r="E849" s="34"/>
      <c r="F849" s="34"/>
      <c r="G849" s="34"/>
      <c r="H849" s="34"/>
      <c r="I849" s="34"/>
      <c r="J849" s="34"/>
      <c r="K849" s="34"/>
      <c r="L849" s="34"/>
      <c r="M849" s="34"/>
      <c r="N849" s="34"/>
      <c r="O849" s="34"/>
      <c r="P849" s="34"/>
      <c r="Q849" s="3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54"/>
    </row>
    <row r="850">
      <c r="A850" s="53"/>
      <c r="B850" s="34"/>
      <c r="C850" s="34"/>
      <c r="D850" s="34"/>
      <c r="E850" s="34"/>
      <c r="F850" s="34"/>
      <c r="G850" s="34"/>
      <c r="H850" s="34"/>
      <c r="I850" s="34"/>
      <c r="J850" s="34"/>
      <c r="K850" s="34"/>
      <c r="L850" s="34"/>
      <c r="M850" s="34"/>
      <c r="N850" s="34"/>
      <c r="O850" s="34"/>
      <c r="P850" s="34"/>
      <c r="Q850" s="3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54"/>
    </row>
    <row r="851">
      <c r="A851" s="53"/>
      <c r="B851" s="34"/>
      <c r="C851" s="34"/>
      <c r="D851" s="34"/>
      <c r="E851" s="34"/>
      <c r="F851" s="34"/>
      <c r="G851" s="34"/>
      <c r="H851" s="34"/>
      <c r="I851" s="34"/>
      <c r="J851" s="34"/>
      <c r="K851" s="34"/>
      <c r="L851" s="34"/>
      <c r="M851" s="34"/>
      <c r="N851" s="34"/>
      <c r="O851" s="34"/>
      <c r="P851" s="34"/>
      <c r="Q851" s="3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54"/>
    </row>
    <row r="852">
      <c r="A852" s="53"/>
      <c r="B852" s="34"/>
      <c r="C852" s="34"/>
      <c r="D852" s="34"/>
      <c r="E852" s="34"/>
      <c r="F852" s="34"/>
      <c r="G852" s="34"/>
      <c r="H852" s="34"/>
      <c r="I852" s="34"/>
      <c r="J852" s="34"/>
      <c r="K852" s="34"/>
      <c r="L852" s="34"/>
      <c r="M852" s="34"/>
      <c r="N852" s="34"/>
      <c r="O852" s="34"/>
      <c r="P852" s="34"/>
      <c r="Q852" s="3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54"/>
    </row>
    <row r="853">
      <c r="A853" s="53"/>
      <c r="B853" s="34"/>
      <c r="C853" s="34"/>
      <c r="D853" s="34"/>
      <c r="E853" s="34"/>
      <c r="F853" s="34"/>
      <c r="G853" s="34"/>
      <c r="H853" s="34"/>
      <c r="I853" s="34"/>
      <c r="J853" s="34"/>
      <c r="K853" s="34"/>
      <c r="L853" s="34"/>
      <c r="M853" s="34"/>
      <c r="N853" s="34"/>
      <c r="O853" s="34"/>
      <c r="P853" s="34"/>
      <c r="Q853" s="3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54"/>
    </row>
    <row r="854">
      <c r="A854" s="53"/>
      <c r="B854" s="34"/>
      <c r="C854" s="34"/>
      <c r="D854" s="34"/>
      <c r="E854" s="34"/>
      <c r="F854" s="34"/>
      <c r="G854" s="34"/>
      <c r="H854" s="34"/>
      <c r="I854" s="34"/>
      <c r="J854" s="34"/>
      <c r="K854" s="34"/>
      <c r="L854" s="34"/>
      <c r="M854" s="34"/>
      <c r="N854" s="34"/>
      <c r="O854" s="34"/>
      <c r="P854" s="34"/>
      <c r="Q854" s="3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54"/>
    </row>
    <row r="855">
      <c r="A855" s="53"/>
      <c r="B855" s="34"/>
      <c r="C855" s="34"/>
      <c r="D855" s="34"/>
      <c r="E855" s="34"/>
      <c r="F855" s="34"/>
      <c r="G855" s="34"/>
      <c r="H855" s="34"/>
      <c r="I855" s="34"/>
      <c r="J855" s="34"/>
      <c r="K855" s="34"/>
      <c r="L855" s="34"/>
      <c r="M855" s="34"/>
      <c r="N855" s="34"/>
      <c r="O855" s="34"/>
      <c r="P855" s="34"/>
      <c r="Q855" s="3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54"/>
    </row>
    <row r="856">
      <c r="A856" s="53"/>
      <c r="B856" s="34"/>
      <c r="C856" s="34"/>
      <c r="D856" s="34"/>
      <c r="E856" s="34"/>
      <c r="F856" s="34"/>
      <c r="G856" s="34"/>
      <c r="H856" s="34"/>
      <c r="I856" s="34"/>
      <c r="J856" s="34"/>
      <c r="K856" s="34"/>
      <c r="L856" s="34"/>
      <c r="M856" s="34"/>
      <c r="N856" s="34"/>
      <c r="O856" s="34"/>
      <c r="P856" s="34"/>
      <c r="Q856" s="3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54"/>
    </row>
    <row r="857">
      <c r="A857" s="53"/>
      <c r="B857" s="34"/>
      <c r="C857" s="34"/>
      <c r="D857" s="34"/>
      <c r="E857" s="34"/>
      <c r="F857" s="34"/>
      <c r="G857" s="34"/>
      <c r="H857" s="34"/>
      <c r="I857" s="34"/>
      <c r="J857" s="34"/>
      <c r="K857" s="34"/>
      <c r="L857" s="34"/>
      <c r="M857" s="34"/>
      <c r="N857" s="34"/>
      <c r="O857" s="34"/>
      <c r="P857" s="34"/>
      <c r="Q857" s="3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54"/>
    </row>
    <row r="858">
      <c r="A858" s="53"/>
      <c r="B858" s="34"/>
      <c r="C858" s="34"/>
      <c r="D858" s="34"/>
      <c r="E858" s="34"/>
      <c r="F858" s="34"/>
      <c r="G858" s="34"/>
      <c r="H858" s="34"/>
      <c r="I858" s="34"/>
      <c r="J858" s="34"/>
      <c r="K858" s="34"/>
      <c r="L858" s="34"/>
      <c r="M858" s="34"/>
      <c r="N858" s="34"/>
      <c r="O858" s="34"/>
      <c r="P858" s="34"/>
      <c r="Q858" s="3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54"/>
    </row>
    <row r="859">
      <c r="A859" s="53"/>
      <c r="B859" s="34"/>
      <c r="C859" s="34"/>
      <c r="D859" s="34"/>
      <c r="E859" s="34"/>
      <c r="F859" s="34"/>
      <c r="G859" s="34"/>
      <c r="H859" s="34"/>
      <c r="I859" s="34"/>
      <c r="J859" s="34"/>
      <c r="K859" s="34"/>
      <c r="L859" s="34"/>
      <c r="M859" s="34"/>
      <c r="N859" s="34"/>
      <c r="O859" s="34"/>
      <c r="P859" s="34"/>
      <c r="Q859" s="3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54"/>
    </row>
    <row r="860">
      <c r="A860" s="53"/>
      <c r="B860" s="34"/>
      <c r="C860" s="34"/>
      <c r="D860" s="34"/>
      <c r="E860" s="34"/>
      <c r="F860" s="34"/>
      <c r="G860" s="34"/>
      <c r="H860" s="34"/>
      <c r="I860" s="34"/>
      <c r="J860" s="34"/>
      <c r="K860" s="34"/>
      <c r="L860" s="34"/>
      <c r="M860" s="34"/>
      <c r="N860" s="34"/>
      <c r="O860" s="34"/>
      <c r="P860" s="34"/>
      <c r="Q860" s="3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54"/>
    </row>
    <row r="861">
      <c r="A861" s="53"/>
      <c r="B861" s="34"/>
      <c r="C861" s="34"/>
      <c r="D861" s="34"/>
      <c r="E861" s="34"/>
      <c r="F861" s="34"/>
      <c r="G861" s="34"/>
      <c r="H861" s="34"/>
      <c r="I861" s="34"/>
      <c r="J861" s="34"/>
      <c r="K861" s="34"/>
      <c r="L861" s="34"/>
      <c r="M861" s="34"/>
      <c r="N861" s="34"/>
      <c r="O861" s="34"/>
      <c r="P861" s="34"/>
      <c r="Q861" s="3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54"/>
    </row>
    <row r="862">
      <c r="A862" s="53"/>
      <c r="B862" s="34"/>
      <c r="C862" s="34"/>
      <c r="D862" s="34"/>
      <c r="E862" s="34"/>
      <c r="F862" s="34"/>
      <c r="G862" s="34"/>
      <c r="H862" s="34"/>
      <c r="I862" s="34"/>
      <c r="J862" s="34"/>
      <c r="K862" s="34"/>
      <c r="L862" s="34"/>
      <c r="M862" s="34"/>
      <c r="N862" s="34"/>
      <c r="O862" s="34"/>
      <c r="P862" s="34"/>
      <c r="Q862" s="3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54"/>
    </row>
    <row r="863">
      <c r="A863" s="53"/>
      <c r="B863" s="34"/>
      <c r="C863" s="34"/>
      <c r="D863" s="34"/>
      <c r="E863" s="34"/>
      <c r="F863" s="34"/>
      <c r="G863" s="34"/>
      <c r="H863" s="34"/>
      <c r="I863" s="34"/>
      <c r="J863" s="34"/>
      <c r="K863" s="34"/>
      <c r="L863" s="34"/>
      <c r="M863" s="34"/>
      <c r="N863" s="34"/>
      <c r="O863" s="34"/>
      <c r="P863" s="34"/>
      <c r="Q863" s="3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54"/>
    </row>
    <row r="864">
      <c r="A864" s="53"/>
      <c r="B864" s="34"/>
      <c r="C864" s="34"/>
      <c r="D864" s="34"/>
      <c r="E864" s="34"/>
      <c r="F864" s="34"/>
      <c r="G864" s="34"/>
      <c r="H864" s="34"/>
      <c r="I864" s="34"/>
      <c r="J864" s="34"/>
      <c r="K864" s="34"/>
      <c r="L864" s="34"/>
      <c r="M864" s="34"/>
      <c r="N864" s="34"/>
      <c r="O864" s="34"/>
      <c r="P864" s="34"/>
      <c r="Q864" s="3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54"/>
    </row>
    <row r="865">
      <c r="A865" s="53"/>
      <c r="B865" s="34"/>
      <c r="C865" s="34"/>
      <c r="D865" s="34"/>
      <c r="E865" s="34"/>
      <c r="F865" s="34"/>
      <c r="G865" s="34"/>
      <c r="H865" s="34"/>
      <c r="I865" s="34"/>
      <c r="J865" s="34"/>
      <c r="K865" s="34"/>
      <c r="L865" s="34"/>
      <c r="M865" s="34"/>
      <c r="N865" s="34"/>
      <c r="O865" s="34"/>
      <c r="P865" s="34"/>
      <c r="Q865" s="3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54"/>
    </row>
    <row r="866">
      <c r="A866" s="53"/>
      <c r="B866" s="34"/>
      <c r="C866" s="34"/>
      <c r="D866" s="34"/>
      <c r="E866" s="34"/>
      <c r="F866" s="34"/>
      <c r="G866" s="34"/>
      <c r="H866" s="34"/>
      <c r="I866" s="34"/>
      <c r="J866" s="34"/>
      <c r="K866" s="34"/>
      <c r="L866" s="34"/>
      <c r="M866" s="34"/>
      <c r="N866" s="34"/>
      <c r="O866" s="34"/>
      <c r="P866" s="34"/>
      <c r="Q866" s="3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54"/>
    </row>
    <row r="867">
      <c r="A867" s="53"/>
      <c r="B867" s="34"/>
      <c r="C867" s="34"/>
      <c r="D867" s="34"/>
      <c r="E867" s="34"/>
      <c r="F867" s="34"/>
      <c r="G867" s="34"/>
      <c r="H867" s="34"/>
      <c r="I867" s="34"/>
      <c r="J867" s="34"/>
      <c r="K867" s="34"/>
      <c r="L867" s="34"/>
      <c r="M867" s="34"/>
      <c r="N867" s="34"/>
      <c r="O867" s="34"/>
      <c r="P867" s="34"/>
      <c r="Q867" s="3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54"/>
    </row>
    <row r="868">
      <c r="A868" s="53"/>
      <c r="B868" s="34"/>
      <c r="C868" s="34"/>
      <c r="D868" s="34"/>
      <c r="E868" s="34"/>
      <c r="F868" s="34"/>
      <c r="G868" s="34"/>
      <c r="H868" s="34"/>
      <c r="I868" s="34"/>
      <c r="J868" s="34"/>
      <c r="K868" s="34"/>
      <c r="L868" s="34"/>
      <c r="M868" s="34"/>
      <c r="N868" s="34"/>
      <c r="O868" s="34"/>
      <c r="P868" s="34"/>
      <c r="Q868" s="3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54"/>
    </row>
    <row r="869">
      <c r="A869" s="53"/>
      <c r="B869" s="34"/>
      <c r="C869" s="34"/>
      <c r="D869" s="34"/>
      <c r="E869" s="34"/>
      <c r="F869" s="34"/>
      <c r="G869" s="34"/>
      <c r="H869" s="34"/>
      <c r="I869" s="34"/>
      <c r="J869" s="34"/>
      <c r="K869" s="34"/>
      <c r="L869" s="34"/>
      <c r="M869" s="34"/>
      <c r="N869" s="34"/>
      <c r="O869" s="34"/>
      <c r="P869" s="34"/>
      <c r="Q869" s="3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54"/>
    </row>
    <row r="870">
      <c r="A870" s="53"/>
      <c r="B870" s="34"/>
      <c r="C870" s="34"/>
      <c r="D870" s="34"/>
      <c r="E870" s="34"/>
      <c r="F870" s="34"/>
      <c r="G870" s="34"/>
      <c r="H870" s="34"/>
      <c r="I870" s="34"/>
      <c r="J870" s="34"/>
      <c r="K870" s="34"/>
      <c r="L870" s="34"/>
      <c r="M870" s="34"/>
      <c r="N870" s="34"/>
      <c r="O870" s="34"/>
      <c r="P870" s="34"/>
      <c r="Q870" s="3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54"/>
    </row>
    <row r="871">
      <c r="A871" s="53"/>
      <c r="B871" s="34"/>
      <c r="C871" s="34"/>
      <c r="D871" s="34"/>
      <c r="E871" s="34"/>
      <c r="F871" s="34"/>
      <c r="G871" s="34"/>
      <c r="H871" s="34"/>
      <c r="I871" s="34"/>
      <c r="J871" s="34"/>
      <c r="K871" s="34"/>
      <c r="L871" s="34"/>
      <c r="M871" s="34"/>
      <c r="N871" s="34"/>
      <c r="O871" s="34"/>
      <c r="P871" s="34"/>
      <c r="Q871" s="3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54"/>
    </row>
    <row r="872">
      <c r="A872" s="53"/>
      <c r="B872" s="34"/>
      <c r="C872" s="34"/>
      <c r="D872" s="34"/>
      <c r="E872" s="34"/>
      <c r="F872" s="34"/>
      <c r="G872" s="34"/>
      <c r="H872" s="34"/>
      <c r="I872" s="34"/>
      <c r="J872" s="34"/>
      <c r="K872" s="34"/>
      <c r="L872" s="34"/>
      <c r="M872" s="34"/>
      <c r="N872" s="34"/>
      <c r="O872" s="34"/>
      <c r="P872" s="34"/>
      <c r="Q872" s="3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54"/>
    </row>
    <row r="873">
      <c r="A873" s="53"/>
      <c r="B873" s="34"/>
      <c r="C873" s="34"/>
      <c r="D873" s="34"/>
      <c r="E873" s="34"/>
      <c r="F873" s="34"/>
      <c r="G873" s="34"/>
      <c r="H873" s="34"/>
      <c r="I873" s="34"/>
      <c r="J873" s="34"/>
      <c r="K873" s="34"/>
      <c r="L873" s="34"/>
      <c r="M873" s="34"/>
      <c r="N873" s="34"/>
      <c r="O873" s="34"/>
      <c r="P873" s="34"/>
      <c r="Q873" s="3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54"/>
    </row>
    <row r="874">
      <c r="A874" s="53"/>
      <c r="B874" s="34"/>
      <c r="C874" s="34"/>
      <c r="D874" s="34"/>
      <c r="E874" s="34"/>
      <c r="F874" s="34"/>
      <c r="G874" s="34"/>
      <c r="H874" s="34"/>
      <c r="I874" s="34"/>
      <c r="J874" s="34"/>
      <c r="K874" s="34"/>
      <c r="L874" s="34"/>
      <c r="M874" s="34"/>
      <c r="N874" s="34"/>
      <c r="O874" s="34"/>
      <c r="P874" s="34"/>
      <c r="Q874" s="3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54"/>
    </row>
    <row r="875">
      <c r="A875" s="53"/>
      <c r="B875" s="34"/>
      <c r="C875" s="34"/>
      <c r="D875" s="34"/>
      <c r="E875" s="34"/>
      <c r="F875" s="34"/>
      <c r="G875" s="34"/>
      <c r="H875" s="34"/>
      <c r="I875" s="34"/>
      <c r="J875" s="34"/>
      <c r="K875" s="34"/>
      <c r="L875" s="34"/>
      <c r="M875" s="34"/>
      <c r="N875" s="34"/>
      <c r="O875" s="34"/>
      <c r="P875" s="34"/>
      <c r="Q875" s="3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54"/>
    </row>
    <row r="876">
      <c r="A876" s="53"/>
      <c r="B876" s="34"/>
      <c r="C876" s="34"/>
      <c r="D876" s="34"/>
      <c r="E876" s="34"/>
      <c r="F876" s="34"/>
      <c r="G876" s="34"/>
      <c r="H876" s="34"/>
      <c r="I876" s="34"/>
      <c r="J876" s="34"/>
      <c r="K876" s="34"/>
      <c r="L876" s="34"/>
      <c r="M876" s="34"/>
      <c r="N876" s="34"/>
      <c r="O876" s="34"/>
      <c r="P876" s="34"/>
      <c r="Q876" s="3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54"/>
    </row>
    <row r="877">
      <c r="A877" s="53"/>
      <c r="B877" s="34"/>
      <c r="C877" s="34"/>
      <c r="D877" s="34"/>
      <c r="E877" s="34"/>
      <c r="F877" s="34"/>
      <c r="G877" s="34"/>
      <c r="H877" s="34"/>
      <c r="I877" s="34"/>
      <c r="J877" s="34"/>
      <c r="K877" s="34"/>
      <c r="L877" s="34"/>
      <c r="M877" s="34"/>
      <c r="N877" s="34"/>
      <c r="O877" s="34"/>
      <c r="P877" s="34"/>
      <c r="Q877" s="3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54"/>
    </row>
    <row r="878">
      <c r="A878" s="53"/>
      <c r="B878" s="34"/>
      <c r="C878" s="34"/>
      <c r="D878" s="34"/>
      <c r="E878" s="34"/>
      <c r="F878" s="34"/>
      <c r="G878" s="34"/>
      <c r="H878" s="34"/>
      <c r="I878" s="34"/>
      <c r="J878" s="34"/>
      <c r="K878" s="34"/>
      <c r="L878" s="34"/>
      <c r="M878" s="34"/>
      <c r="N878" s="34"/>
      <c r="O878" s="34"/>
      <c r="P878" s="34"/>
      <c r="Q878" s="3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54"/>
    </row>
    <row r="879">
      <c r="A879" s="53"/>
      <c r="B879" s="34"/>
      <c r="C879" s="34"/>
      <c r="D879" s="34"/>
      <c r="E879" s="34"/>
      <c r="F879" s="34"/>
      <c r="G879" s="34"/>
      <c r="H879" s="34"/>
      <c r="I879" s="34"/>
      <c r="J879" s="34"/>
      <c r="K879" s="34"/>
      <c r="L879" s="34"/>
      <c r="M879" s="34"/>
      <c r="N879" s="34"/>
      <c r="O879" s="34"/>
      <c r="P879" s="34"/>
      <c r="Q879" s="3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54"/>
    </row>
    <row r="880">
      <c r="A880" s="53"/>
      <c r="B880" s="34"/>
      <c r="C880" s="34"/>
      <c r="D880" s="34"/>
      <c r="E880" s="34"/>
      <c r="F880" s="34"/>
      <c r="G880" s="34"/>
      <c r="H880" s="34"/>
      <c r="I880" s="34"/>
      <c r="J880" s="34"/>
      <c r="K880" s="34"/>
      <c r="L880" s="34"/>
      <c r="M880" s="34"/>
      <c r="N880" s="34"/>
      <c r="O880" s="34"/>
      <c r="P880" s="34"/>
      <c r="Q880" s="3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54"/>
    </row>
    <row r="881">
      <c r="A881" s="53"/>
      <c r="B881" s="34"/>
      <c r="C881" s="34"/>
      <c r="D881" s="34"/>
      <c r="E881" s="34"/>
      <c r="F881" s="34"/>
      <c r="G881" s="34"/>
      <c r="H881" s="34"/>
      <c r="I881" s="34"/>
      <c r="J881" s="34"/>
      <c r="K881" s="34"/>
      <c r="L881" s="34"/>
      <c r="M881" s="34"/>
      <c r="N881" s="34"/>
      <c r="O881" s="34"/>
      <c r="P881" s="34"/>
      <c r="Q881" s="3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54"/>
    </row>
    <row r="882">
      <c r="A882" s="53"/>
      <c r="B882" s="34"/>
      <c r="C882" s="34"/>
      <c r="D882" s="34"/>
      <c r="E882" s="34"/>
      <c r="F882" s="34"/>
      <c r="G882" s="34"/>
      <c r="H882" s="34"/>
      <c r="I882" s="34"/>
      <c r="J882" s="34"/>
      <c r="K882" s="34"/>
      <c r="L882" s="34"/>
      <c r="M882" s="34"/>
      <c r="N882" s="34"/>
      <c r="O882" s="34"/>
      <c r="P882" s="34"/>
      <c r="Q882" s="3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54"/>
    </row>
    <row r="883">
      <c r="A883" s="53"/>
      <c r="B883" s="34"/>
      <c r="C883" s="34"/>
      <c r="D883" s="34"/>
      <c r="E883" s="34"/>
      <c r="F883" s="34"/>
      <c r="G883" s="34"/>
      <c r="H883" s="34"/>
      <c r="I883" s="34"/>
      <c r="J883" s="34"/>
      <c r="K883" s="34"/>
      <c r="L883" s="34"/>
      <c r="M883" s="34"/>
      <c r="N883" s="34"/>
      <c r="O883" s="34"/>
      <c r="P883" s="34"/>
      <c r="Q883" s="3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54"/>
    </row>
    <row r="884">
      <c r="A884" s="53"/>
      <c r="B884" s="34"/>
      <c r="C884" s="34"/>
      <c r="D884" s="34"/>
      <c r="E884" s="34"/>
      <c r="F884" s="34"/>
      <c r="G884" s="34"/>
      <c r="H884" s="34"/>
      <c r="I884" s="34"/>
      <c r="J884" s="34"/>
      <c r="K884" s="34"/>
      <c r="L884" s="34"/>
      <c r="M884" s="34"/>
      <c r="N884" s="34"/>
      <c r="O884" s="34"/>
      <c r="P884" s="34"/>
      <c r="Q884" s="3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54"/>
    </row>
    <row r="885">
      <c r="A885" s="53"/>
      <c r="B885" s="34"/>
      <c r="C885" s="34"/>
      <c r="D885" s="34"/>
      <c r="E885" s="34"/>
      <c r="F885" s="34"/>
      <c r="G885" s="34"/>
      <c r="H885" s="34"/>
      <c r="I885" s="34"/>
      <c r="J885" s="34"/>
      <c r="K885" s="34"/>
      <c r="L885" s="34"/>
      <c r="M885" s="34"/>
      <c r="N885" s="34"/>
      <c r="O885" s="34"/>
      <c r="P885" s="34"/>
      <c r="Q885" s="3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54"/>
    </row>
    <row r="886">
      <c r="A886" s="53"/>
      <c r="B886" s="34"/>
      <c r="C886" s="34"/>
      <c r="D886" s="34"/>
      <c r="E886" s="34"/>
      <c r="F886" s="34"/>
      <c r="G886" s="34"/>
      <c r="H886" s="34"/>
      <c r="I886" s="34"/>
      <c r="J886" s="34"/>
      <c r="K886" s="34"/>
      <c r="L886" s="34"/>
      <c r="M886" s="34"/>
      <c r="N886" s="34"/>
      <c r="O886" s="34"/>
      <c r="P886" s="34"/>
      <c r="Q886" s="3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54"/>
    </row>
    <row r="887">
      <c r="A887" s="53"/>
      <c r="B887" s="34"/>
      <c r="C887" s="34"/>
      <c r="D887" s="34"/>
      <c r="E887" s="34"/>
      <c r="F887" s="34"/>
      <c r="G887" s="34"/>
      <c r="H887" s="34"/>
      <c r="I887" s="34"/>
      <c r="J887" s="34"/>
      <c r="K887" s="34"/>
      <c r="L887" s="34"/>
      <c r="M887" s="34"/>
      <c r="N887" s="34"/>
      <c r="O887" s="34"/>
      <c r="P887" s="34"/>
      <c r="Q887" s="3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54"/>
    </row>
    <row r="888">
      <c r="A888" s="53"/>
      <c r="B888" s="34"/>
      <c r="C888" s="34"/>
      <c r="D888" s="34"/>
      <c r="E888" s="34"/>
      <c r="F888" s="34"/>
      <c r="G888" s="34"/>
      <c r="H888" s="34"/>
      <c r="I888" s="34"/>
      <c r="J888" s="34"/>
      <c r="K888" s="34"/>
      <c r="L888" s="34"/>
      <c r="M888" s="34"/>
      <c r="N888" s="34"/>
      <c r="O888" s="34"/>
      <c r="P888" s="34"/>
      <c r="Q888" s="3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54"/>
    </row>
    <row r="889">
      <c r="A889" s="53"/>
      <c r="B889" s="34"/>
      <c r="C889" s="34"/>
      <c r="D889" s="34"/>
      <c r="E889" s="34"/>
      <c r="F889" s="34"/>
      <c r="G889" s="34"/>
      <c r="H889" s="34"/>
      <c r="I889" s="34"/>
      <c r="J889" s="34"/>
      <c r="K889" s="34"/>
      <c r="L889" s="34"/>
      <c r="M889" s="34"/>
      <c r="N889" s="34"/>
      <c r="O889" s="34"/>
      <c r="P889" s="34"/>
      <c r="Q889" s="3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54"/>
    </row>
    <row r="890">
      <c r="A890" s="53"/>
      <c r="B890" s="34"/>
      <c r="C890" s="34"/>
      <c r="D890" s="34"/>
      <c r="E890" s="34"/>
      <c r="F890" s="34"/>
      <c r="G890" s="34"/>
      <c r="H890" s="34"/>
      <c r="I890" s="34"/>
      <c r="J890" s="34"/>
      <c r="K890" s="34"/>
      <c r="L890" s="34"/>
      <c r="M890" s="34"/>
      <c r="N890" s="34"/>
      <c r="O890" s="34"/>
      <c r="P890" s="34"/>
      <c r="Q890" s="3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54"/>
    </row>
    <row r="891">
      <c r="A891" s="53"/>
      <c r="B891" s="34"/>
      <c r="C891" s="34"/>
      <c r="D891" s="34"/>
      <c r="E891" s="34"/>
      <c r="F891" s="34"/>
      <c r="G891" s="34"/>
      <c r="H891" s="34"/>
      <c r="I891" s="34"/>
      <c r="J891" s="34"/>
      <c r="K891" s="34"/>
      <c r="L891" s="34"/>
      <c r="M891" s="34"/>
      <c r="N891" s="34"/>
      <c r="O891" s="34"/>
      <c r="P891" s="34"/>
      <c r="Q891" s="3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54"/>
    </row>
    <row r="892">
      <c r="A892" s="53"/>
      <c r="B892" s="34"/>
      <c r="C892" s="34"/>
      <c r="D892" s="34"/>
      <c r="E892" s="34"/>
      <c r="F892" s="34"/>
      <c r="G892" s="34"/>
      <c r="H892" s="34"/>
      <c r="I892" s="34"/>
      <c r="J892" s="34"/>
      <c r="K892" s="34"/>
      <c r="L892" s="34"/>
      <c r="M892" s="34"/>
      <c r="N892" s="34"/>
      <c r="O892" s="34"/>
      <c r="P892" s="34"/>
      <c r="Q892" s="3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54"/>
    </row>
    <row r="893">
      <c r="A893" s="53"/>
      <c r="B893" s="34"/>
      <c r="C893" s="34"/>
      <c r="D893" s="34"/>
      <c r="E893" s="34"/>
      <c r="F893" s="34"/>
      <c r="G893" s="34"/>
      <c r="H893" s="34"/>
      <c r="I893" s="34"/>
      <c r="J893" s="34"/>
      <c r="K893" s="34"/>
      <c r="L893" s="34"/>
      <c r="M893" s="34"/>
      <c r="N893" s="34"/>
      <c r="O893" s="34"/>
      <c r="P893" s="34"/>
      <c r="Q893" s="3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54"/>
    </row>
    <row r="894">
      <c r="A894" s="53"/>
      <c r="B894" s="34"/>
      <c r="C894" s="34"/>
      <c r="D894" s="34"/>
      <c r="E894" s="34"/>
      <c r="F894" s="34"/>
      <c r="G894" s="34"/>
      <c r="H894" s="34"/>
      <c r="I894" s="34"/>
      <c r="J894" s="34"/>
      <c r="K894" s="34"/>
      <c r="L894" s="34"/>
      <c r="M894" s="34"/>
      <c r="N894" s="34"/>
      <c r="O894" s="34"/>
      <c r="P894" s="34"/>
      <c r="Q894" s="3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54"/>
    </row>
    <row r="895">
      <c r="A895" s="53"/>
      <c r="B895" s="34"/>
      <c r="C895" s="34"/>
      <c r="D895" s="34"/>
      <c r="E895" s="34"/>
      <c r="F895" s="34"/>
      <c r="G895" s="34"/>
      <c r="H895" s="34"/>
      <c r="I895" s="34"/>
      <c r="J895" s="34"/>
      <c r="K895" s="34"/>
      <c r="L895" s="34"/>
      <c r="M895" s="34"/>
      <c r="N895" s="34"/>
      <c r="O895" s="34"/>
      <c r="P895" s="34"/>
      <c r="Q895" s="3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54"/>
    </row>
    <row r="896">
      <c r="A896" s="53"/>
      <c r="B896" s="34"/>
      <c r="C896" s="34"/>
      <c r="D896" s="34"/>
      <c r="E896" s="34"/>
      <c r="F896" s="34"/>
      <c r="G896" s="34"/>
      <c r="H896" s="34"/>
      <c r="I896" s="34"/>
      <c r="J896" s="34"/>
      <c r="K896" s="34"/>
      <c r="L896" s="34"/>
      <c r="M896" s="34"/>
      <c r="N896" s="34"/>
      <c r="O896" s="34"/>
      <c r="P896" s="34"/>
      <c r="Q896" s="3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54"/>
    </row>
    <row r="897">
      <c r="A897" s="53"/>
      <c r="B897" s="34"/>
      <c r="C897" s="34"/>
      <c r="D897" s="34"/>
      <c r="E897" s="34"/>
      <c r="F897" s="34"/>
      <c r="G897" s="34"/>
      <c r="H897" s="34"/>
      <c r="I897" s="34"/>
      <c r="J897" s="34"/>
      <c r="K897" s="34"/>
      <c r="L897" s="34"/>
      <c r="M897" s="34"/>
      <c r="N897" s="34"/>
      <c r="O897" s="34"/>
      <c r="P897" s="34"/>
      <c r="Q897" s="3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54"/>
    </row>
    <row r="898">
      <c r="A898" s="53"/>
      <c r="B898" s="34"/>
      <c r="C898" s="34"/>
      <c r="D898" s="34"/>
      <c r="E898" s="34"/>
      <c r="F898" s="34"/>
      <c r="G898" s="34"/>
      <c r="H898" s="34"/>
      <c r="I898" s="34"/>
      <c r="J898" s="34"/>
      <c r="K898" s="34"/>
      <c r="L898" s="34"/>
      <c r="M898" s="34"/>
      <c r="N898" s="34"/>
      <c r="O898" s="34"/>
      <c r="P898" s="34"/>
      <c r="Q898" s="3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54"/>
    </row>
    <row r="899">
      <c r="A899" s="53"/>
      <c r="B899" s="34"/>
      <c r="C899" s="34"/>
      <c r="D899" s="34"/>
      <c r="E899" s="34"/>
      <c r="F899" s="34"/>
      <c r="G899" s="34"/>
      <c r="H899" s="34"/>
      <c r="I899" s="34"/>
      <c r="J899" s="34"/>
      <c r="K899" s="34"/>
      <c r="L899" s="34"/>
      <c r="M899" s="34"/>
      <c r="N899" s="34"/>
      <c r="O899" s="34"/>
      <c r="P899" s="34"/>
      <c r="Q899" s="3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54"/>
    </row>
    <row r="900">
      <c r="A900" s="53"/>
      <c r="B900" s="34"/>
      <c r="C900" s="34"/>
      <c r="D900" s="34"/>
      <c r="E900" s="34"/>
      <c r="F900" s="34"/>
      <c r="G900" s="34"/>
      <c r="H900" s="34"/>
      <c r="I900" s="34"/>
      <c r="J900" s="34"/>
      <c r="K900" s="34"/>
      <c r="L900" s="34"/>
      <c r="M900" s="34"/>
      <c r="N900" s="34"/>
      <c r="O900" s="34"/>
      <c r="P900" s="34"/>
      <c r="Q900" s="3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54"/>
    </row>
    <row r="901">
      <c r="A901" s="53"/>
      <c r="B901" s="34"/>
      <c r="C901" s="34"/>
      <c r="D901" s="34"/>
      <c r="E901" s="34"/>
      <c r="F901" s="34"/>
      <c r="G901" s="34"/>
      <c r="H901" s="34"/>
      <c r="I901" s="34"/>
      <c r="J901" s="34"/>
      <c r="K901" s="34"/>
      <c r="L901" s="34"/>
      <c r="M901" s="34"/>
      <c r="N901" s="34"/>
      <c r="O901" s="34"/>
      <c r="P901" s="34"/>
      <c r="Q901" s="3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54"/>
    </row>
    <row r="902">
      <c r="A902" s="53"/>
      <c r="B902" s="34"/>
      <c r="C902" s="34"/>
      <c r="D902" s="34"/>
      <c r="E902" s="34"/>
      <c r="F902" s="34"/>
      <c r="G902" s="34"/>
      <c r="H902" s="34"/>
      <c r="I902" s="34"/>
      <c r="J902" s="34"/>
      <c r="K902" s="34"/>
      <c r="L902" s="34"/>
      <c r="M902" s="34"/>
      <c r="N902" s="34"/>
      <c r="O902" s="34"/>
      <c r="P902" s="34"/>
      <c r="Q902" s="3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54"/>
    </row>
    <row r="903">
      <c r="A903" s="53"/>
      <c r="B903" s="34"/>
      <c r="C903" s="34"/>
      <c r="D903" s="34"/>
      <c r="E903" s="34"/>
      <c r="F903" s="34"/>
      <c r="G903" s="34"/>
      <c r="H903" s="34"/>
      <c r="I903" s="34"/>
      <c r="J903" s="34"/>
      <c r="K903" s="34"/>
      <c r="L903" s="34"/>
      <c r="M903" s="34"/>
      <c r="N903" s="34"/>
      <c r="O903" s="34"/>
      <c r="P903" s="34"/>
      <c r="Q903" s="3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54"/>
    </row>
    <row r="904">
      <c r="A904" s="53"/>
      <c r="B904" s="34"/>
      <c r="C904" s="34"/>
      <c r="D904" s="34"/>
      <c r="E904" s="34"/>
      <c r="F904" s="34"/>
      <c r="G904" s="34"/>
      <c r="H904" s="34"/>
      <c r="I904" s="34"/>
      <c r="J904" s="34"/>
      <c r="K904" s="34"/>
      <c r="L904" s="34"/>
      <c r="M904" s="34"/>
      <c r="N904" s="34"/>
      <c r="O904" s="34"/>
      <c r="P904" s="34"/>
      <c r="Q904" s="3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54"/>
    </row>
    <row r="905">
      <c r="A905" s="53"/>
      <c r="B905" s="34"/>
      <c r="C905" s="34"/>
      <c r="D905" s="34"/>
      <c r="E905" s="34"/>
      <c r="F905" s="34"/>
      <c r="G905" s="34"/>
      <c r="H905" s="34"/>
      <c r="I905" s="34"/>
      <c r="J905" s="34"/>
      <c r="K905" s="34"/>
      <c r="L905" s="34"/>
      <c r="M905" s="34"/>
      <c r="N905" s="34"/>
      <c r="O905" s="34"/>
      <c r="P905" s="34"/>
      <c r="Q905" s="3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54"/>
    </row>
    <row r="906">
      <c r="A906" s="53"/>
      <c r="B906" s="34"/>
      <c r="C906" s="34"/>
      <c r="D906" s="34"/>
      <c r="E906" s="34"/>
      <c r="F906" s="34"/>
      <c r="G906" s="34"/>
      <c r="H906" s="34"/>
      <c r="I906" s="34"/>
      <c r="J906" s="34"/>
      <c r="K906" s="34"/>
      <c r="L906" s="34"/>
      <c r="M906" s="34"/>
      <c r="N906" s="34"/>
      <c r="O906" s="34"/>
      <c r="P906" s="34"/>
      <c r="Q906" s="3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54"/>
    </row>
    <row r="907">
      <c r="A907" s="53"/>
      <c r="B907" s="34"/>
      <c r="C907" s="34"/>
      <c r="D907" s="34"/>
      <c r="E907" s="34"/>
      <c r="F907" s="34"/>
      <c r="G907" s="34"/>
      <c r="H907" s="34"/>
      <c r="I907" s="34"/>
      <c r="J907" s="34"/>
      <c r="K907" s="34"/>
      <c r="L907" s="34"/>
      <c r="M907" s="34"/>
      <c r="N907" s="34"/>
      <c r="O907" s="34"/>
      <c r="P907" s="34"/>
      <c r="Q907" s="3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54"/>
    </row>
    <row r="908">
      <c r="A908" s="53"/>
      <c r="B908" s="34"/>
      <c r="C908" s="34"/>
      <c r="D908" s="34"/>
      <c r="E908" s="34"/>
      <c r="F908" s="34"/>
      <c r="G908" s="34"/>
      <c r="H908" s="34"/>
      <c r="I908" s="34"/>
      <c r="J908" s="34"/>
      <c r="K908" s="34"/>
      <c r="L908" s="34"/>
      <c r="M908" s="34"/>
      <c r="N908" s="34"/>
      <c r="O908" s="34"/>
      <c r="P908" s="34"/>
      <c r="Q908" s="3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54"/>
    </row>
    <row r="909">
      <c r="A909" s="53"/>
      <c r="B909" s="34"/>
      <c r="C909" s="34"/>
      <c r="D909" s="34"/>
      <c r="E909" s="34"/>
      <c r="F909" s="34"/>
      <c r="G909" s="34"/>
      <c r="H909" s="34"/>
      <c r="I909" s="34"/>
      <c r="J909" s="34"/>
      <c r="K909" s="34"/>
      <c r="L909" s="34"/>
      <c r="M909" s="34"/>
      <c r="N909" s="34"/>
      <c r="O909" s="34"/>
      <c r="P909" s="34"/>
      <c r="Q909" s="3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54"/>
    </row>
    <row r="910">
      <c r="A910" s="53"/>
      <c r="B910" s="34"/>
      <c r="C910" s="34"/>
      <c r="D910" s="34"/>
      <c r="E910" s="34"/>
      <c r="F910" s="34"/>
      <c r="G910" s="34"/>
      <c r="H910" s="34"/>
      <c r="I910" s="34"/>
      <c r="J910" s="34"/>
      <c r="K910" s="34"/>
      <c r="L910" s="34"/>
      <c r="M910" s="34"/>
      <c r="N910" s="34"/>
      <c r="O910" s="34"/>
      <c r="P910" s="34"/>
      <c r="Q910" s="3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54"/>
    </row>
    <row r="911">
      <c r="A911" s="53"/>
      <c r="B911" s="34"/>
      <c r="C911" s="34"/>
      <c r="D911" s="34"/>
      <c r="E911" s="34"/>
      <c r="F911" s="34"/>
      <c r="G911" s="34"/>
      <c r="H911" s="34"/>
      <c r="I911" s="34"/>
      <c r="J911" s="34"/>
      <c r="K911" s="34"/>
      <c r="L911" s="34"/>
      <c r="M911" s="34"/>
      <c r="N911" s="34"/>
      <c r="O911" s="34"/>
      <c r="P911" s="34"/>
      <c r="Q911" s="3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54"/>
    </row>
    <row r="912">
      <c r="A912" s="53"/>
      <c r="B912" s="34"/>
      <c r="C912" s="34"/>
      <c r="D912" s="34"/>
      <c r="E912" s="34"/>
      <c r="F912" s="34"/>
      <c r="G912" s="34"/>
      <c r="H912" s="34"/>
      <c r="I912" s="34"/>
      <c r="J912" s="34"/>
      <c r="K912" s="34"/>
      <c r="L912" s="34"/>
      <c r="M912" s="34"/>
      <c r="N912" s="34"/>
      <c r="O912" s="34"/>
      <c r="P912" s="34"/>
      <c r="Q912" s="3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54"/>
    </row>
    <row r="913">
      <c r="A913" s="53"/>
      <c r="B913" s="34"/>
      <c r="C913" s="34"/>
      <c r="D913" s="34"/>
      <c r="E913" s="34"/>
      <c r="F913" s="34"/>
      <c r="G913" s="34"/>
      <c r="H913" s="34"/>
      <c r="I913" s="34"/>
      <c r="J913" s="34"/>
      <c r="K913" s="34"/>
      <c r="L913" s="34"/>
      <c r="M913" s="34"/>
      <c r="N913" s="34"/>
      <c r="O913" s="34"/>
      <c r="P913" s="34"/>
      <c r="Q913" s="3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54"/>
    </row>
    <row r="914">
      <c r="A914" s="53"/>
      <c r="B914" s="34"/>
      <c r="C914" s="34"/>
      <c r="D914" s="34"/>
      <c r="E914" s="34"/>
      <c r="F914" s="34"/>
      <c r="G914" s="34"/>
      <c r="H914" s="34"/>
      <c r="I914" s="34"/>
      <c r="J914" s="34"/>
      <c r="K914" s="34"/>
      <c r="L914" s="34"/>
      <c r="M914" s="34"/>
      <c r="N914" s="34"/>
      <c r="O914" s="34"/>
      <c r="P914" s="34"/>
      <c r="Q914" s="3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54"/>
    </row>
    <row r="915">
      <c r="A915" s="53"/>
      <c r="B915" s="34"/>
      <c r="C915" s="34"/>
      <c r="D915" s="34"/>
      <c r="E915" s="34"/>
      <c r="F915" s="34"/>
      <c r="G915" s="34"/>
      <c r="H915" s="34"/>
      <c r="I915" s="34"/>
      <c r="J915" s="34"/>
      <c r="K915" s="34"/>
      <c r="L915" s="34"/>
      <c r="M915" s="34"/>
      <c r="N915" s="34"/>
      <c r="O915" s="34"/>
      <c r="P915" s="34"/>
      <c r="Q915" s="3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54"/>
    </row>
    <row r="916">
      <c r="A916" s="53"/>
      <c r="B916" s="34"/>
      <c r="C916" s="34"/>
      <c r="D916" s="34"/>
      <c r="E916" s="34"/>
      <c r="F916" s="34"/>
      <c r="G916" s="34"/>
      <c r="H916" s="34"/>
      <c r="I916" s="34"/>
      <c r="J916" s="34"/>
      <c r="K916" s="34"/>
      <c r="L916" s="34"/>
      <c r="M916" s="34"/>
      <c r="N916" s="34"/>
      <c r="O916" s="34"/>
      <c r="P916" s="34"/>
      <c r="Q916" s="3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54"/>
    </row>
    <row r="917">
      <c r="A917" s="53"/>
      <c r="B917" s="34"/>
      <c r="C917" s="34"/>
      <c r="D917" s="34"/>
      <c r="E917" s="34"/>
      <c r="F917" s="34"/>
      <c r="G917" s="34"/>
      <c r="H917" s="34"/>
      <c r="I917" s="34"/>
      <c r="J917" s="34"/>
      <c r="K917" s="34"/>
      <c r="L917" s="34"/>
      <c r="M917" s="34"/>
      <c r="N917" s="34"/>
      <c r="O917" s="34"/>
      <c r="P917" s="34"/>
      <c r="Q917" s="3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54"/>
    </row>
    <row r="918">
      <c r="A918" s="53"/>
      <c r="B918" s="34"/>
      <c r="C918" s="34"/>
      <c r="D918" s="34"/>
      <c r="E918" s="34"/>
      <c r="F918" s="34"/>
      <c r="G918" s="34"/>
      <c r="H918" s="34"/>
      <c r="I918" s="34"/>
      <c r="J918" s="34"/>
      <c r="K918" s="34"/>
      <c r="L918" s="34"/>
      <c r="M918" s="34"/>
      <c r="N918" s="34"/>
      <c r="O918" s="34"/>
      <c r="P918" s="34"/>
      <c r="Q918" s="3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54"/>
    </row>
    <row r="919">
      <c r="A919" s="53"/>
      <c r="B919" s="34"/>
      <c r="C919" s="34"/>
      <c r="D919" s="34"/>
      <c r="E919" s="34"/>
      <c r="F919" s="34"/>
      <c r="G919" s="34"/>
      <c r="H919" s="34"/>
      <c r="I919" s="34"/>
      <c r="J919" s="34"/>
      <c r="K919" s="34"/>
      <c r="L919" s="34"/>
      <c r="M919" s="34"/>
      <c r="N919" s="34"/>
      <c r="O919" s="34"/>
      <c r="P919" s="34"/>
      <c r="Q919" s="3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54"/>
    </row>
    <row r="920">
      <c r="A920" s="53"/>
      <c r="B920" s="34"/>
      <c r="C920" s="34"/>
      <c r="D920" s="34"/>
      <c r="E920" s="34"/>
      <c r="F920" s="34"/>
      <c r="G920" s="34"/>
      <c r="H920" s="34"/>
      <c r="I920" s="34"/>
      <c r="J920" s="34"/>
      <c r="K920" s="34"/>
      <c r="L920" s="34"/>
      <c r="M920" s="34"/>
      <c r="N920" s="34"/>
      <c r="O920" s="34"/>
      <c r="P920" s="34"/>
      <c r="Q920" s="3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54"/>
    </row>
    <row r="921">
      <c r="A921" s="53"/>
      <c r="B921" s="34"/>
      <c r="C921" s="34"/>
      <c r="D921" s="34"/>
      <c r="E921" s="34"/>
      <c r="F921" s="34"/>
      <c r="G921" s="34"/>
      <c r="H921" s="34"/>
      <c r="I921" s="34"/>
      <c r="J921" s="34"/>
      <c r="K921" s="34"/>
      <c r="L921" s="34"/>
      <c r="M921" s="34"/>
      <c r="N921" s="34"/>
      <c r="O921" s="34"/>
      <c r="P921" s="34"/>
      <c r="Q921" s="3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54"/>
    </row>
    <row r="922">
      <c r="A922" s="53"/>
      <c r="B922" s="34"/>
      <c r="C922" s="34"/>
      <c r="D922" s="34"/>
      <c r="E922" s="34"/>
      <c r="F922" s="34"/>
      <c r="G922" s="34"/>
      <c r="H922" s="34"/>
      <c r="I922" s="34"/>
      <c r="J922" s="34"/>
      <c r="K922" s="34"/>
      <c r="L922" s="34"/>
      <c r="M922" s="34"/>
      <c r="N922" s="34"/>
      <c r="O922" s="34"/>
      <c r="P922" s="34"/>
      <c r="Q922" s="3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54"/>
    </row>
    <row r="923">
      <c r="A923" s="53"/>
      <c r="B923" s="34"/>
      <c r="C923" s="34"/>
      <c r="D923" s="34"/>
      <c r="E923" s="34"/>
      <c r="F923" s="34"/>
      <c r="G923" s="34"/>
      <c r="H923" s="34"/>
      <c r="I923" s="34"/>
      <c r="J923" s="34"/>
      <c r="K923" s="34"/>
      <c r="L923" s="34"/>
      <c r="M923" s="34"/>
      <c r="N923" s="34"/>
      <c r="O923" s="34"/>
      <c r="P923" s="34"/>
      <c r="Q923" s="3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54"/>
    </row>
    <row r="924">
      <c r="A924" s="53"/>
      <c r="B924" s="34"/>
      <c r="C924" s="34"/>
      <c r="D924" s="34"/>
      <c r="E924" s="34"/>
      <c r="F924" s="34"/>
      <c r="G924" s="34"/>
      <c r="H924" s="34"/>
      <c r="I924" s="34"/>
      <c r="J924" s="34"/>
      <c r="K924" s="34"/>
      <c r="L924" s="34"/>
      <c r="M924" s="34"/>
      <c r="N924" s="34"/>
      <c r="O924" s="34"/>
      <c r="P924" s="34"/>
      <c r="Q924" s="3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54"/>
    </row>
    <row r="925">
      <c r="A925" s="53"/>
      <c r="B925" s="34"/>
      <c r="C925" s="34"/>
      <c r="D925" s="34"/>
      <c r="E925" s="34"/>
      <c r="F925" s="34"/>
      <c r="G925" s="34"/>
      <c r="H925" s="34"/>
      <c r="I925" s="34"/>
      <c r="J925" s="34"/>
      <c r="K925" s="34"/>
      <c r="L925" s="34"/>
      <c r="M925" s="34"/>
      <c r="N925" s="34"/>
      <c r="O925" s="34"/>
      <c r="P925" s="34"/>
      <c r="Q925" s="3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54"/>
    </row>
    <row r="926">
      <c r="A926" s="53"/>
      <c r="B926" s="34"/>
      <c r="C926" s="34"/>
      <c r="D926" s="34"/>
      <c r="E926" s="34"/>
      <c r="F926" s="34"/>
      <c r="G926" s="34"/>
      <c r="H926" s="34"/>
      <c r="I926" s="34"/>
      <c r="J926" s="34"/>
      <c r="K926" s="34"/>
      <c r="L926" s="34"/>
      <c r="M926" s="34"/>
      <c r="N926" s="34"/>
      <c r="O926" s="34"/>
      <c r="P926" s="34"/>
      <c r="Q926" s="3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54"/>
    </row>
    <row r="927">
      <c r="A927" s="53"/>
      <c r="B927" s="34"/>
      <c r="C927" s="34"/>
      <c r="D927" s="34"/>
      <c r="E927" s="34"/>
      <c r="F927" s="34"/>
      <c r="G927" s="34"/>
      <c r="H927" s="34"/>
      <c r="I927" s="34"/>
      <c r="J927" s="34"/>
      <c r="K927" s="34"/>
      <c r="L927" s="34"/>
      <c r="M927" s="34"/>
      <c r="N927" s="34"/>
      <c r="O927" s="34"/>
      <c r="P927" s="34"/>
      <c r="Q927" s="3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54"/>
    </row>
    <row r="928">
      <c r="A928" s="53"/>
      <c r="B928" s="34"/>
      <c r="C928" s="34"/>
      <c r="D928" s="34"/>
      <c r="E928" s="34"/>
      <c r="F928" s="34"/>
      <c r="G928" s="34"/>
      <c r="H928" s="34"/>
      <c r="I928" s="34"/>
      <c r="J928" s="34"/>
      <c r="K928" s="34"/>
      <c r="L928" s="34"/>
      <c r="M928" s="34"/>
      <c r="N928" s="34"/>
      <c r="O928" s="34"/>
      <c r="P928" s="34"/>
      <c r="Q928" s="3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54"/>
    </row>
    <row r="929">
      <c r="A929" s="53"/>
      <c r="B929" s="34"/>
      <c r="C929" s="34"/>
      <c r="D929" s="34"/>
      <c r="E929" s="34"/>
      <c r="F929" s="34"/>
      <c r="G929" s="34"/>
      <c r="H929" s="34"/>
      <c r="I929" s="34"/>
      <c r="J929" s="34"/>
      <c r="K929" s="34"/>
      <c r="L929" s="34"/>
      <c r="M929" s="34"/>
      <c r="N929" s="34"/>
      <c r="O929" s="34"/>
      <c r="P929" s="34"/>
      <c r="Q929" s="3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54"/>
    </row>
    <row r="930">
      <c r="A930" s="53"/>
      <c r="B930" s="34"/>
      <c r="C930" s="34"/>
      <c r="D930" s="34"/>
      <c r="E930" s="34"/>
      <c r="F930" s="34"/>
      <c r="G930" s="34"/>
      <c r="H930" s="34"/>
      <c r="I930" s="34"/>
      <c r="J930" s="34"/>
      <c r="K930" s="34"/>
      <c r="L930" s="34"/>
      <c r="M930" s="34"/>
      <c r="N930" s="34"/>
      <c r="O930" s="34"/>
      <c r="P930" s="34"/>
      <c r="Q930" s="3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54"/>
    </row>
    <row r="931">
      <c r="A931" s="53"/>
      <c r="B931" s="34"/>
      <c r="C931" s="34"/>
      <c r="D931" s="34"/>
      <c r="E931" s="34"/>
      <c r="F931" s="34"/>
      <c r="G931" s="34"/>
      <c r="H931" s="34"/>
      <c r="I931" s="34"/>
      <c r="J931" s="34"/>
      <c r="K931" s="34"/>
      <c r="L931" s="34"/>
      <c r="M931" s="34"/>
      <c r="N931" s="34"/>
      <c r="O931" s="34"/>
      <c r="P931" s="34"/>
      <c r="Q931" s="3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54"/>
    </row>
    <row r="932">
      <c r="A932" s="53"/>
      <c r="B932" s="34"/>
      <c r="C932" s="34"/>
      <c r="D932" s="34"/>
      <c r="E932" s="34"/>
      <c r="F932" s="34"/>
      <c r="G932" s="34"/>
      <c r="H932" s="34"/>
      <c r="I932" s="34"/>
      <c r="J932" s="34"/>
      <c r="K932" s="34"/>
      <c r="L932" s="34"/>
      <c r="M932" s="34"/>
      <c r="N932" s="34"/>
      <c r="O932" s="34"/>
      <c r="P932" s="34"/>
      <c r="Q932" s="3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54"/>
    </row>
    <row r="933">
      <c r="A933" s="53"/>
      <c r="B933" s="34"/>
      <c r="C933" s="34"/>
      <c r="D933" s="34"/>
      <c r="E933" s="34"/>
      <c r="F933" s="34"/>
      <c r="G933" s="34"/>
      <c r="H933" s="34"/>
      <c r="I933" s="34"/>
      <c r="J933" s="34"/>
      <c r="K933" s="34"/>
      <c r="L933" s="34"/>
      <c r="M933" s="34"/>
      <c r="N933" s="34"/>
      <c r="O933" s="34"/>
      <c r="P933" s="34"/>
      <c r="Q933" s="3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54"/>
    </row>
    <row r="934">
      <c r="A934" s="53"/>
      <c r="B934" s="34"/>
      <c r="C934" s="34"/>
      <c r="D934" s="34"/>
      <c r="E934" s="34"/>
      <c r="F934" s="34"/>
      <c r="G934" s="34"/>
      <c r="H934" s="34"/>
      <c r="I934" s="34"/>
      <c r="J934" s="34"/>
      <c r="K934" s="34"/>
      <c r="L934" s="34"/>
      <c r="M934" s="34"/>
      <c r="N934" s="34"/>
      <c r="O934" s="34"/>
      <c r="P934" s="34"/>
      <c r="Q934" s="3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54"/>
    </row>
    <row r="935">
      <c r="A935" s="53"/>
      <c r="B935" s="34"/>
      <c r="C935" s="34"/>
      <c r="D935" s="34"/>
      <c r="E935" s="34"/>
      <c r="F935" s="34"/>
      <c r="G935" s="34"/>
      <c r="H935" s="34"/>
      <c r="I935" s="34"/>
      <c r="J935" s="34"/>
      <c r="K935" s="34"/>
      <c r="L935" s="34"/>
      <c r="M935" s="34"/>
      <c r="N935" s="34"/>
      <c r="O935" s="34"/>
      <c r="P935" s="34"/>
      <c r="Q935" s="3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54"/>
    </row>
    <row r="936">
      <c r="A936" s="53"/>
      <c r="B936" s="34"/>
      <c r="C936" s="34"/>
      <c r="D936" s="34"/>
      <c r="E936" s="34"/>
      <c r="F936" s="34"/>
      <c r="G936" s="34"/>
      <c r="H936" s="34"/>
      <c r="I936" s="34"/>
      <c r="J936" s="34"/>
      <c r="K936" s="34"/>
      <c r="L936" s="34"/>
      <c r="M936" s="34"/>
      <c r="N936" s="34"/>
      <c r="O936" s="34"/>
      <c r="P936" s="34"/>
      <c r="Q936" s="3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54"/>
    </row>
    <row r="937">
      <c r="A937" s="53"/>
      <c r="B937" s="34"/>
      <c r="C937" s="34"/>
      <c r="D937" s="34"/>
      <c r="E937" s="34"/>
      <c r="F937" s="34"/>
      <c r="G937" s="34"/>
      <c r="H937" s="34"/>
      <c r="I937" s="34"/>
      <c r="J937" s="34"/>
      <c r="K937" s="34"/>
      <c r="L937" s="34"/>
      <c r="M937" s="34"/>
      <c r="N937" s="34"/>
      <c r="O937" s="34"/>
      <c r="P937" s="34"/>
      <c r="Q937" s="3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54"/>
    </row>
    <row r="938">
      <c r="A938" s="53"/>
      <c r="B938" s="34"/>
      <c r="C938" s="34"/>
      <c r="D938" s="34"/>
      <c r="E938" s="34"/>
      <c r="F938" s="34"/>
      <c r="G938" s="34"/>
      <c r="H938" s="34"/>
      <c r="I938" s="34"/>
      <c r="J938" s="34"/>
      <c r="K938" s="34"/>
      <c r="L938" s="34"/>
      <c r="M938" s="34"/>
      <c r="N938" s="34"/>
      <c r="O938" s="34"/>
      <c r="P938" s="34"/>
      <c r="Q938" s="3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54"/>
    </row>
    <row r="939">
      <c r="A939" s="53"/>
      <c r="B939" s="34"/>
      <c r="C939" s="34"/>
      <c r="D939" s="34"/>
      <c r="E939" s="34"/>
      <c r="F939" s="34"/>
      <c r="G939" s="34"/>
      <c r="H939" s="34"/>
      <c r="I939" s="34"/>
      <c r="J939" s="34"/>
      <c r="K939" s="34"/>
      <c r="L939" s="34"/>
      <c r="M939" s="34"/>
      <c r="N939" s="34"/>
      <c r="O939" s="34"/>
      <c r="P939" s="34"/>
      <c r="Q939" s="3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54"/>
    </row>
    <row r="940">
      <c r="A940" s="53"/>
      <c r="B940" s="34"/>
      <c r="C940" s="34"/>
      <c r="D940" s="34"/>
      <c r="E940" s="34"/>
      <c r="F940" s="34"/>
      <c r="G940" s="34"/>
      <c r="H940" s="34"/>
      <c r="I940" s="34"/>
      <c r="J940" s="34"/>
      <c r="K940" s="34"/>
      <c r="L940" s="34"/>
      <c r="M940" s="34"/>
      <c r="N940" s="34"/>
      <c r="O940" s="34"/>
      <c r="P940" s="34"/>
      <c r="Q940" s="3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54"/>
    </row>
    <row r="941">
      <c r="A941" s="53"/>
      <c r="B941" s="34"/>
      <c r="C941" s="34"/>
      <c r="D941" s="34"/>
      <c r="E941" s="34"/>
      <c r="F941" s="34"/>
      <c r="G941" s="34"/>
      <c r="H941" s="34"/>
      <c r="I941" s="34"/>
      <c r="J941" s="34"/>
      <c r="K941" s="34"/>
      <c r="L941" s="34"/>
      <c r="M941" s="34"/>
      <c r="N941" s="34"/>
      <c r="O941" s="34"/>
      <c r="P941" s="34"/>
      <c r="Q941" s="3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54"/>
    </row>
    <row r="942">
      <c r="A942" s="53"/>
      <c r="B942" s="34"/>
      <c r="C942" s="34"/>
      <c r="D942" s="34"/>
      <c r="E942" s="34"/>
      <c r="F942" s="34"/>
      <c r="G942" s="34"/>
      <c r="H942" s="34"/>
      <c r="I942" s="34"/>
      <c r="J942" s="34"/>
      <c r="K942" s="34"/>
      <c r="L942" s="34"/>
      <c r="M942" s="34"/>
      <c r="N942" s="34"/>
      <c r="O942" s="34"/>
      <c r="P942" s="34"/>
      <c r="Q942" s="3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54"/>
    </row>
    <row r="943">
      <c r="A943" s="53"/>
      <c r="B943" s="34"/>
      <c r="C943" s="34"/>
      <c r="D943" s="34"/>
      <c r="E943" s="34"/>
      <c r="F943" s="34"/>
      <c r="G943" s="34"/>
      <c r="H943" s="34"/>
      <c r="I943" s="34"/>
      <c r="J943" s="34"/>
      <c r="K943" s="34"/>
      <c r="L943" s="34"/>
      <c r="M943" s="34"/>
      <c r="N943" s="34"/>
      <c r="O943" s="34"/>
      <c r="P943" s="34"/>
      <c r="Q943" s="3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54"/>
    </row>
    <row r="944">
      <c r="A944" s="53"/>
      <c r="B944" s="34"/>
      <c r="C944" s="34"/>
      <c r="D944" s="34"/>
      <c r="E944" s="34"/>
      <c r="F944" s="34"/>
      <c r="G944" s="34"/>
      <c r="H944" s="34"/>
      <c r="I944" s="34"/>
      <c r="J944" s="34"/>
      <c r="K944" s="34"/>
      <c r="L944" s="34"/>
      <c r="M944" s="34"/>
      <c r="N944" s="34"/>
      <c r="O944" s="34"/>
      <c r="P944" s="34"/>
      <c r="Q944" s="3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54"/>
    </row>
    <row r="945">
      <c r="A945" s="53"/>
      <c r="B945" s="34"/>
      <c r="C945" s="34"/>
      <c r="D945" s="34"/>
      <c r="E945" s="34"/>
      <c r="F945" s="34"/>
      <c r="G945" s="34"/>
      <c r="H945" s="34"/>
      <c r="I945" s="34"/>
      <c r="J945" s="34"/>
      <c r="K945" s="34"/>
      <c r="L945" s="34"/>
      <c r="M945" s="34"/>
      <c r="N945" s="34"/>
      <c r="O945" s="34"/>
      <c r="P945" s="34"/>
      <c r="Q945" s="3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54"/>
    </row>
    <row r="946">
      <c r="A946" s="53"/>
      <c r="B946" s="34"/>
      <c r="C946" s="34"/>
      <c r="D946" s="34"/>
      <c r="E946" s="34"/>
      <c r="F946" s="34"/>
      <c r="G946" s="34"/>
      <c r="H946" s="34"/>
      <c r="I946" s="34"/>
      <c r="J946" s="34"/>
      <c r="K946" s="34"/>
      <c r="L946" s="34"/>
      <c r="M946" s="34"/>
      <c r="N946" s="34"/>
      <c r="O946" s="34"/>
      <c r="P946" s="34"/>
      <c r="Q946" s="3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54"/>
    </row>
    <row r="947">
      <c r="A947" s="53"/>
      <c r="B947" s="34"/>
      <c r="C947" s="34"/>
      <c r="D947" s="34"/>
      <c r="E947" s="34"/>
      <c r="F947" s="34"/>
      <c r="G947" s="34"/>
      <c r="H947" s="34"/>
      <c r="I947" s="34"/>
      <c r="J947" s="34"/>
      <c r="K947" s="34"/>
      <c r="L947" s="34"/>
      <c r="M947" s="34"/>
      <c r="N947" s="34"/>
      <c r="O947" s="34"/>
      <c r="P947" s="34"/>
      <c r="Q947" s="3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54"/>
    </row>
    <row r="948">
      <c r="A948" s="53"/>
      <c r="B948" s="34"/>
      <c r="C948" s="34"/>
      <c r="D948" s="34"/>
      <c r="E948" s="34"/>
      <c r="F948" s="34"/>
      <c r="G948" s="34"/>
      <c r="H948" s="34"/>
      <c r="I948" s="34"/>
      <c r="J948" s="34"/>
      <c r="K948" s="34"/>
      <c r="L948" s="34"/>
      <c r="M948" s="34"/>
      <c r="N948" s="34"/>
      <c r="O948" s="34"/>
      <c r="P948" s="34"/>
      <c r="Q948" s="3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54"/>
    </row>
    <row r="949">
      <c r="A949" s="53"/>
      <c r="B949" s="34"/>
      <c r="C949" s="34"/>
      <c r="D949" s="34"/>
      <c r="E949" s="34"/>
      <c r="F949" s="34"/>
      <c r="G949" s="34"/>
      <c r="H949" s="34"/>
      <c r="I949" s="34"/>
      <c r="J949" s="34"/>
      <c r="K949" s="34"/>
      <c r="L949" s="34"/>
      <c r="M949" s="34"/>
      <c r="N949" s="34"/>
      <c r="O949" s="34"/>
      <c r="P949" s="34"/>
      <c r="Q949" s="3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54"/>
    </row>
    <row r="950">
      <c r="A950" s="53"/>
      <c r="B950" s="34"/>
      <c r="C950" s="34"/>
      <c r="D950" s="34"/>
      <c r="E950" s="34"/>
      <c r="F950" s="34"/>
      <c r="G950" s="34"/>
      <c r="H950" s="34"/>
      <c r="I950" s="34"/>
      <c r="J950" s="34"/>
      <c r="K950" s="34"/>
      <c r="L950" s="34"/>
      <c r="M950" s="34"/>
      <c r="N950" s="34"/>
      <c r="O950" s="34"/>
      <c r="P950" s="34"/>
      <c r="Q950" s="3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54"/>
    </row>
    <row r="951">
      <c r="A951" s="53"/>
      <c r="B951" s="34"/>
      <c r="C951" s="34"/>
      <c r="D951" s="34"/>
      <c r="E951" s="34"/>
      <c r="F951" s="34"/>
      <c r="G951" s="34"/>
      <c r="H951" s="34"/>
      <c r="I951" s="34"/>
      <c r="J951" s="34"/>
      <c r="K951" s="34"/>
      <c r="L951" s="34"/>
      <c r="M951" s="34"/>
      <c r="N951" s="34"/>
      <c r="O951" s="34"/>
      <c r="P951" s="34"/>
      <c r="Q951" s="3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54"/>
    </row>
    <row r="952">
      <c r="A952" s="53"/>
      <c r="B952" s="34"/>
      <c r="C952" s="34"/>
      <c r="D952" s="34"/>
      <c r="E952" s="34"/>
      <c r="F952" s="34"/>
      <c r="G952" s="34"/>
      <c r="H952" s="34"/>
      <c r="I952" s="34"/>
      <c r="J952" s="34"/>
      <c r="K952" s="34"/>
      <c r="L952" s="34"/>
      <c r="M952" s="34"/>
      <c r="N952" s="34"/>
      <c r="O952" s="34"/>
      <c r="P952" s="34"/>
      <c r="Q952" s="3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54"/>
    </row>
    <row r="953">
      <c r="A953" s="53"/>
      <c r="B953" s="34"/>
      <c r="C953" s="34"/>
      <c r="D953" s="34"/>
      <c r="E953" s="34"/>
      <c r="F953" s="34"/>
      <c r="G953" s="34"/>
      <c r="H953" s="34"/>
      <c r="I953" s="34"/>
      <c r="J953" s="34"/>
      <c r="K953" s="34"/>
      <c r="L953" s="34"/>
      <c r="M953" s="34"/>
      <c r="N953" s="34"/>
      <c r="O953" s="34"/>
      <c r="P953" s="34"/>
      <c r="Q953" s="3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54"/>
    </row>
    <row r="954">
      <c r="A954" s="53"/>
      <c r="B954" s="34"/>
      <c r="C954" s="34"/>
      <c r="D954" s="34"/>
      <c r="E954" s="34"/>
      <c r="F954" s="34"/>
      <c r="G954" s="34"/>
      <c r="H954" s="34"/>
      <c r="I954" s="34"/>
      <c r="J954" s="34"/>
      <c r="K954" s="34"/>
      <c r="L954" s="34"/>
      <c r="M954" s="34"/>
      <c r="N954" s="34"/>
      <c r="O954" s="34"/>
      <c r="P954" s="34"/>
      <c r="Q954" s="3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54"/>
    </row>
    <row r="955">
      <c r="A955" s="53"/>
      <c r="B955" s="34"/>
      <c r="C955" s="34"/>
      <c r="D955" s="34"/>
      <c r="E955" s="34"/>
      <c r="F955" s="34"/>
      <c r="G955" s="34"/>
      <c r="H955" s="34"/>
      <c r="I955" s="34"/>
      <c r="J955" s="34"/>
      <c r="K955" s="34"/>
      <c r="L955" s="34"/>
      <c r="M955" s="34"/>
      <c r="N955" s="34"/>
      <c r="O955" s="34"/>
      <c r="P955" s="34"/>
      <c r="Q955" s="3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54"/>
    </row>
    <row r="956">
      <c r="A956" s="53"/>
      <c r="B956" s="34"/>
      <c r="C956" s="34"/>
      <c r="D956" s="34"/>
      <c r="E956" s="34"/>
      <c r="F956" s="34"/>
      <c r="G956" s="34"/>
      <c r="H956" s="34"/>
      <c r="I956" s="34"/>
      <c r="J956" s="34"/>
      <c r="K956" s="34"/>
      <c r="L956" s="34"/>
      <c r="M956" s="34"/>
      <c r="N956" s="34"/>
      <c r="O956" s="34"/>
      <c r="P956" s="34"/>
      <c r="Q956" s="3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54"/>
    </row>
    <row r="957">
      <c r="A957" s="53"/>
      <c r="B957" s="34"/>
      <c r="C957" s="34"/>
      <c r="D957" s="34"/>
      <c r="E957" s="34"/>
      <c r="F957" s="34"/>
      <c r="G957" s="34"/>
      <c r="H957" s="34"/>
      <c r="I957" s="34"/>
      <c r="J957" s="34"/>
      <c r="K957" s="34"/>
      <c r="L957" s="34"/>
      <c r="M957" s="34"/>
      <c r="N957" s="34"/>
      <c r="O957" s="34"/>
      <c r="P957" s="34"/>
      <c r="Q957" s="3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54"/>
    </row>
    <row r="958">
      <c r="A958" s="53"/>
      <c r="B958" s="34"/>
      <c r="C958" s="34"/>
      <c r="D958" s="34"/>
      <c r="E958" s="34"/>
      <c r="F958" s="34"/>
      <c r="G958" s="34"/>
      <c r="H958" s="34"/>
      <c r="I958" s="34"/>
      <c r="J958" s="34"/>
      <c r="K958" s="34"/>
      <c r="L958" s="34"/>
      <c r="M958" s="34"/>
      <c r="N958" s="34"/>
      <c r="O958" s="34"/>
      <c r="P958" s="34"/>
      <c r="Q958" s="3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54"/>
    </row>
    <row r="959">
      <c r="A959" s="53"/>
      <c r="B959" s="34"/>
      <c r="C959" s="34"/>
      <c r="D959" s="34"/>
      <c r="E959" s="34"/>
      <c r="F959" s="34"/>
      <c r="G959" s="34"/>
      <c r="H959" s="34"/>
      <c r="I959" s="34"/>
      <c r="J959" s="34"/>
      <c r="K959" s="34"/>
      <c r="L959" s="34"/>
      <c r="M959" s="34"/>
      <c r="N959" s="34"/>
      <c r="O959" s="34"/>
      <c r="P959" s="34"/>
      <c r="Q959" s="3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54"/>
    </row>
    <row r="960">
      <c r="A960" s="53"/>
      <c r="B960" s="34"/>
      <c r="C960" s="34"/>
      <c r="D960" s="34"/>
      <c r="E960" s="34"/>
      <c r="F960" s="34"/>
      <c r="G960" s="34"/>
      <c r="H960" s="34"/>
      <c r="I960" s="34"/>
      <c r="J960" s="34"/>
      <c r="K960" s="34"/>
      <c r="L960" s="34"/>
      <c r="M960" s="34"/>
      <c r="N960" s="34"/>
      <c r="O960" s="34"/>
      <c r="P960" s="34"/>
      <c r="Q960" s="3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54"/>
    </row>
    <row r="961">
      <c r="A961" s="53"/>
      <c r="B961" s="34"/>
      <c r="C961" s="34"/>
      <c r="D961" s="34"/>
      <c r="E961" s="34"/>
      <c r="F961" s="34"/>
      <c r="G961" s="34"/>
      <c r="H961" s="34"/>
      <c r="I961" s="34"/>
      <c r="J961" s="34"/>
      <c r="K961" s="34"/>
      <c r="L961" s="34"/>
      <c r="M961" s="34"/>
      <c r="N961" s="34"/>
      <c r="O961" s="34"/>
      <c r="P961" s="34"/>
      <c r="Q961" s="3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54"/>
    </row>
    <row r="962">
      <c r="A962" s="53"/>
      <c r="B962" s="34"/>
      <c r="C962" s="34"/>
      <c r="D962" s="34"/>
      <c r="E962" s="34"/>
      <c r="F962" s="34"/>
      <c r="G962" s="34"/>
      <c r="H962" s="34"/>
      <c r="I962" s="34"/>
      <c r="J962" s="34"/>
      <c r="K962" s="34"/>
      <c r="L962" s="34"/>
      <c r="M962" s="34"/>
      <c r="N962" s="34"/>
      <c r="O962" s="34"/>
      <c r="P962" s="34"/>
      <c r="Q962" s="3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54"/>
    </row>
    <row r="963">
      <c r="A963" s="53"/>
      <c r="B963" s="34"/>
      <c r="C963" s="34"/>
      <c r="D963" s="34"/>
      <c r="E963" s="34"/>
      <c r="F963" s="34"/>
      <c r="G963" s="34"/>
      <c r="H963" s="34"/>
      <c r="I963" s="34"/>
      <c r="J963" s="34"/>
      <c r="K963" s="34"/>
      <c r="L963" s="34"/>
      <c r="M963" s="34"/>
      <c r="N963" s="34"/>
      <c r="O963" s="34"/>
      <c r="P963" s="34"/>
      <c r="Q963" s="3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54"/>
    </row>
    <row r="964">
      <c r="A964" s="53"/>
      <c r="B964" s="34"/>
      <c r="C964" s="34"/>
      <c r="D964" s="34"/>
      <c r="E964" s="34"/>
      <c r="F964" s="34"/>
      <c r="G964" s="34"/>
      <c r="H964" s="34"/>
      <c r="I964" s="34"/>
      <c r="J964" s="34"/>
      <c r="K964" s="34"/>
      <c r="L964" s="34"/>
      <c r="M964" s="34"/>
      <c r="N964" s="34"/>
      <c r="O964" s="34"/>
      <c r="P964" s="34"/>
      <c r="Q964" s="3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54"/>
    </row>
    <row r="965">
      <c r="A965" s="53"/>
      <c r="B965" s="34"/>
      <c r="C965" s="34"/>
      <c r="D965" s="34"/>
      <c r="E965" s="34"/>
      <c r="F965" s="34"/>
      <c r="G965" s="34"/>
      <c r="H965" s="34"/>
      <c r="I965" s="34"/>
      <c r="J965" s="34"/>
      <c r="K965" s="34"/>
      <c r="L965" s="34"/>
      <c r="M965" s="34"/>
      <c r="N965" s="34"/>
      <c r="O965" s="34"/>
      <c r="P965" s="34"/>
      <c r="Q965" s="3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54"/>
    </row>
    <row r="966">
      <c r="A966" s="53"/>
      <c r="B966" s="34"/>
      <c r="C966" s="34"/>
      <c r="D966" s="34"/>
      <c r="E966" s="34"/>
      <c r="F966" s="34"/>
      <c r="G966" s="34"/>
      <c r="H966" s="34"/>
      <c r="I966" s="34"/>
      <c r="J966" s="34"/>
      <c r="K966" s="34"/>
      <c r="L966" s="34"/>
      <c r="M966" s="34"/>
      <c r="N966" s="34"/>
      <c r="O966" s="34"/>
      <c r="P966" s="34"/>
      <c r="Q966" s="3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54"/>
    </row>
    <row r="967">
      <c r="A967" s="53"/>
      <c r="B967" s="34"/>
      <c r="C967" s="34"/>
      <c r="D967" s="34"/>
      <c r="E967" s="34"/>
      <c r="F967" s="34"/>
      <c r="G967" s="34"/>
      <c r="H967" s="34"/>
      <c r="I967" s="34"/>
      <c r="J967" s="34"/>
      <c r="K967" s="34"/>
      <c r="L967" s="34"/>
      <c r="M967" s="34"/>
      <c r="N967" s="34"/>
      <c r="O967" s="34"/>
      <c r="P967" s="34"/>
      <c r="Q967" s="3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54"/>
    </row>
    <row r="968">
      <c r="A968" s="53"/>
      <c r="B968" s="34"/>
      <c r="C968" s="34"/>
      <c r="D968" s="34"/>
      <c r="E968" s="34"/>
      <c r="F968" s="34"/>
      <c r="G968" s="34"/>
      <c r="H968" s="34"/>
      <c r="I968" s="34"/>
      <c r="J968" s="34"/>
      <c r="K968" s="34"/>
      <c r="L968" s="34"/>
      <c r="M968" s="34"/>
      <c r="N968" s="34"/>
      <c r="O968" s="34"/>
      <c r="P968" s="34"/>
      <c r="Q968" s="3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54"/>
    </row>
    <row r="969">
      <c r="A969" s="53"/>
      <c r="B969" s="34"/>
      <c r="C969" s="34"/>
      <c r="D969" s="34"/>
      <c r="E969" s="34"/>
      <c r="F969" s="34"/>
      <c r="G969" s="34"/>
      <c r="H969" s="34"/>
      <c r="I969" s="34"/>
      <c r="J969" s="34"/>
      <c r="K969" s="34"/>
      <c r="L969" s="34"/>
      <c r="M969" s="34"/>
      <c r="N969" s="34"/>
      <c r="O969" s="34"/>
      <c r="P969" s="34"/>
      <c r="Q969" s="3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54"/>
    </row>
    <row r="970">
      <c r="A970" s="53"/>
      <c r="B970" s="34"/>
      <c r="C970" s="34"/>
      <c r="D970" s="34"/>
      <c r="E970" s="34"/>
      <c r="F970" s="34"/>
      <c r="G970" s="34"/>
      <c r="H970" s="34"/>
      <c r="I970" s="34"/>
      <c r="J970" s="34"/>
      <c r="K970" s="34"/>
      <c r="L970" s="34"/>
      <c r="M970" s="34"/>
      <c r="N970" s="34"/>
      <c r="O970" s="34"/>
      <c r="P970" s="34"/>
      <c r="Q970" s="3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54"/>
    </row>
    <row r="971">
      <c r="A971" s="53"/>
      <c r="B971" s="34"/>
      <c r="C971" s="34"/>
      <c r="D971" s="34"/>
      <c r="E971" s="34"/>
      <c r="F971" s="34"/>
      <c r="G971" s="34"/>
      <c r="H971" s="34"/>
      <c r="I971" s="34"/>
      <c r="J971" s="34"/>
      <c r="K971" s="34"/>
      <c r="L971" s="34"/>
      <c r="M971" s="34"/>
      <c r="N971" s="34"/>
      <c r="O971" s="34"/>
      <c r="P971" s="34"/>
      <c r="Q971" s="3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54"/>
    </row>
    <row r="972">
      <c r="A972" s="53"/>
      <c r="B972" s="34"/>
      <c r="C972" s="34"/>
      <c r="D972" s="34"/>
      <c r="E972" s="34"/>
      <c r="F972" s="34"/>
      <c r="G972" s="34"/>
      <c r="H972" s="34"/>
      <c r="I972" s="34"/>
      <c r="J972" s="34"/>
      <c r="K972" s="34"/>
      <c r="L972" s="34"/>
      <c r="M972" s="34"/>
      <c r="N972" s="34"/>
      <c r="O972" s="34"/>
      <c r="P972" s="34"/>
      <c r="Q972" s="3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54"/>
    </row>
    <row r="973">
      <c r="A973" s="53"/>
      <c r="B973" s="34"/>
      <c r="C973" s="34"/>
      <c r="D973" s="34"/>
      <c r="E973" s="34"/>
      <c r="F973" s="34"/>
      <c r="G973" s="34"/>
      <c r="H973" s="34"/>
      <c r="I973" s="34"/>
      <c r="J973" s="34"/>
      <c r="K973" s="34"/>
      <c r="L973" s="34"/>
      <c r="M973" s="34"/>
      <c r="N973" s="34"/>
      <c r="O973" s="34"/>
      <c r="P973" s="34"/>
      <c r="Q973" s="3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54"/>
    </row>
    <row r="974">
      <c r="A974" s="53"/>
      <c r="B974" s="34"/>
      <c r="C974" s="34"/>
      <c r="D974" s="34"/>
      <c r="E974" s="34"/>
      <c r="F974" s="34"/>
      <c r="G974" s="34"/>
      <c r="H974" s="34"/>
      <c r="I974" s="34"/>
      <c r="J974" s="34"/>
      <c r="K974" s="34"/>
      <c r="L974" s="34"/>
      <c r="M974" s="34"/>
      <c r="N974" s="34"/>
      <c r="O974" s="34"/>
      <c r="P974" s="34"/>
      <c r="Q974" s="3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54"/>
    </row>
    <row r="975">
      <c r="A975" s="53"/>
      <c r="B975" s="34"/>
      <c r="C975" s="34"/>
      <c r="D975" s="34"/>
      <c r="E975" s="34"/>
      <c r="F975" s="34"/>
      <c r="G975" s="34"/>
      <c r="H975" s="34"/>
      <c r="I975" s="34"/>
      <c r="J975" s="34"/>
      <c r="K975" s="34"/>
      <c r="L975" s="34"/>
      <c r="M975" s="34"/>
      <c r="N975" s="34"/>
      <c r="O975" s="34"/>
      <c r="P975" s="34"/>
      <c r="Q975" s="3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54"/>
    </row>
    <row r="976">
      <c r="A976" s="53"/>
      <c r="B976" s="34"/>
      <c r="C976" s="34"/>
      <c r="D976" s="34"/>
      <c r="E976" s="34"/>
      <c r="F976" s="34"/>
      <c r="G976" s="34"/>
      <c r="H976" s="34"/>
      <c r="I976" s="34"/>
      <c r="J976" s="34"/>
      <c r="K976" s="34"/>
      <c r="L976" s="34"/>
      <c r="M976" s="34"/>
      <c r="N976" s="34"/>
      <c r="O976" s="34"/>
      <c r="P976" s="34"/>
      <c r="Q976" s="3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54"/>
    </row>
    <row r="977">
      <c r="A977" s="53"/>
      <c r="B977" s="34"/>
      <c r="C977" s="34"/>
      <c r="D977" s="34"/>
      <c r="E977" s="34"/>
      <c r="F977" s="34"/>
      <c r="G977" s="34"/>
      <c r="H977" s="34"/>
      <c r="I977" s="34"/>
      <c r="J977" s="34"/>
      <c r="K977" s="34"/>
      <c r="L977" s="34"/>
      <c r="M977" s="34"/>
      <c r="N977" s="34"/>
      <c r="O977" s="34"/>
      <c r="P977" s="34"/>
      <c r="Q977" s="3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54"/>
    </row>
    <row r="978">
      <c r="A978" s="53"/>
      <c r="B978" s="34"/>
      <c r="C978" s="34"/>
      <c r="D978" s="34"/>
      <c r="E978" s="34"/>
      <c r="F978" s="34"/>
      <c r="G978" s="34"/>
      <c r="H978" s="34"/>
      <c r="I978" s="34"/>
      <c r="J978" s="34"/>
      <c r="K978" s="34"/>
      <c r="L978" s="34"/>
      <c r="M978" s="34"/>
      <c r="N978" s="34"/>
      <c r="O978" s="34"/>
      <c r="P978" s="34"/>
      <c r="Q978" s="3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54"/>
    </row>
    <row r="979">
      <c r="A979" s="53"/>
      <c r="B979" s="34"/>
      <c r="C979" s="34"/>
      <c r="D979" s="34"/>
      <c r="E979" s="34"/>
      <c r="F979" s="34"/>
      <c r="G979" s="34"/>
      <c r="H979" s="34"/>
      <c r="I979" s="34"/>
      <c r="J979" s="34"/>
      <c r="K979" s="34"/>
      <c r="L979" s="34"/>
      <c r="M979" s="34"/>
      <c r="N979" s="34"/>
      <c r="O979" s="34"/>
      <c r="P979" s="34"/>
      <c r="Q979" s="3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54"/>
    </row>
    <row r="980">
      <c r="A980" s="53"/>
      <c r="B980" s="34"/>
      <c r="C980" s="34"/>
      <c r="D980" s="34"/>
      <c r="E980" s="34"/>
      <c r="F980" s="34"/>
      <c r="G980" s="34"/>
      <c r="H980" s="34"/>
      <c r="I980" s="34"/>
      <c r="J980" s="34"/>
      <c r="K980" s="34"/>
      <c r="L980" s="34"/>
      <c r="M980" s="34"/>
      <c r="N980" s="34"/>
      <c r="O980" s="34"/>
      <c r="P980" s="34"/>
      <c r="Q980" s="3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54"/>
    </row>
    <row r="981">
      <c r="A981" s="53"/>
      <c r="B981" s="34"/>
      <c r="C981" s="34"/>
      <c r="D981" s="34"/>
      <c r="E981" s="34"/>
      <c r="F981" s="34"/>
      <c r="G981" s="34"/>
      <c r="H981" s="34"/>
      <c r="I981" s="34"/>
      <c r="J981" s="34"/>
      <c r="K981" s="34"/>
      <c r="L981" s="34"/>
      <c r="M981" s="34"/>
      <c r="N981" s="34"/>
      <c r="O981" s="34"/>
      <c r="P981" s="34"/>
      <c r="Q981" s="3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54"/>
    </row>
    <row r="982">
      <c r="A982" s="53"/>
      <c r="B982" s="34"/>
      <c r="C982" s="34"/>
      <c r="D982" s="34"/>
      <c r="E982" s="34"/>
      <c r="F982" s="34"/>
      <c r="G982" s="34"/>
      <c r="H982" s="34"/>
      <c r="I982" s="34"/>
      <c r="J982" s="34"/>
      <c r="K982" s="34"/>
      <c r="L982" s="34"/>
      <c r="M982" s="34"/>
      <c r="N982" s="34"/>
      <c r="O982" s="34"/>
      <c r="P982" s="34"/>
      <c r="Q982" s="3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54"/>
    </row>
    <row r="983">
      <c r="A983" s="53"/>
      <c r="B983" s="34"/>
      <c r="C983" s="34"/>
      <c r="D983" s="34"/>
      <c r="E983" s="34"/>
      <c r="F983" s="34"/>
      <c r="G983" s="34"/>
      <c r="H983" s="34"/>
      <c r="I983" s="34"/>
      <c r="J983" s="34"/>
      <c r="K983" s="34"/>
      <c r="L983" s="34"/>
      <c r="M983" s="34"/>
      <c r="N983" s="34"/>
      <c r="O983" s="34"/>
      <c r="P983" s="34"/>
      <c r="Q983" s="3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54"/>
    </row>
    <row r="984">
      <c r="A984" s="53"/>
      <c r="B984" s="34"/>
      <c r="C984" s="34"/>
      <c r="D984" s="34"/>
      <c r="E984" s="34"/>
      <c r="F984" s="34"/>
      <c r="G984" s="34"/>
      <c r="H984" s="34"/>
      <c r="I984" s="34"/>
      <c r="J984" s="34"/>
      <c r="K984" s="34"/>
      <c r="L984" s="34"/>
      <c r="M984" s="34"/>
      <c r="N984" s="34"/>
      <c r="O984" s="34"/>
      <c r="P984" s="34"/>
      <c r="Q984" s="3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54"/>
    </row>
    <row r="985">
      <c r="A985" s="53"/>
      <c r="B985" s="34"/>
      <c r="C985" s="34"/>
      <c r="D985" s="34"/>
      <c r="E985" s="34"/>
      <c r="F985" s="34"/>
      <c r="G985" s="34"/>
      <c r="H985" s="34"/>
      <c r="I985" s="34"/>
      <c r="J985" s="34"/>
      <c r="K985" s="34"/>
      <c r="L985" s="34"/>
      <c r="M985" s="34"/>
      <c r="N985" s="34"/>
      <c r="O985" s="34"/>
      <c r="P985" s="34"/>
      <c r="Q985" s="3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54"/>
    </row>
    <row r="986">
      <c r="A986" s="53"/>
      <c r="B986" s="34"/>
      <c r="C986" s="34"/>
      <c r="D986" s="34"/>
      <c r="E986" s="34"/>
      <c r="F986" s="34"/>
      <c r="G986" s="34"/>
      <c r="H986" s="34"/>
      <c r="I986" s="34"/>
      <c r="J986" s="34"/>
      <c r="K986" s="34"/>
      <c r="L986" s="34"/>
      <c r="M986" s="34"/>
      <c r="N986" s="34"/>
      <c r="O986" s="34"/>
      <c r="P986" s="34"/>
      <c r="Q986" s="3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54"/>
    </row>
    <row r="987">
      <c r="A987" s="53"/>
      <c r="B987" s="34"/>
      <c r="C987" s="34"/>
      <c r="D987" s="34"/>
      <c r="E987" s="34"/>
      <c r="F987" s="34"/>
      <c r="G987" s="34"/>
      <c r="H987" s="34"/>
      <c r="I987" s="34"/>
      <c r="J987" s="34"/>
      <c r="K987" s="34"/>
      <c r="L987" s="34"/>
      <c r="M987" s="34"/>
      <c r="N987" s="34"/>
      <c r="O987" s="34"/>
      <c r="P987" s="34"/>
      <c r="Q987" s="3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54"/>
    </row>
    <row r="988">
      <c r="A988" s="53"/>
      <c r="B988" s="34"/>
      <c r="C988" s="34"/>
      <c r="D988" s="34"/>
      <c r="E988" s="34"/>
      <c r="F988" s="34"/>
      <c r="G988" s="34"/>
      <c r="H988" s="34"/>
      <c r="I988" s="34"/>
      <c r="J988" s="34"/>
      <c r="K988" s="34"/>
      <c r="L988" s="34"/>
      <c r="M988" s="34"/>
      <c r="N988" s="34"/>
      <c r="O988" s="34"/>
      <c r="P988" s="34"/>
      <c r="Q988" s="3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54"/>
    </row>
    <row r="989">
      <c r="A989" s="53"/>
      <c r="B989" s="34"/>
      <c r="C989" s="34"/>
      <c r="D989" s="34"/>
      <c r="E989" s="34"/>
      <c r="F989" s="34"/>
      <c r="G989" s="34"/>
      <c r="H989" s="34"/>
      <c r="I989" s="34"/>
      <c r="J989" s="34"/>
      <c r="K989" s="34"/>
      <c r="L989" s="34"/>
      <c r="M989" s="34"/>
      <c r="N989" s="34"/>
      <c r="O989" s="34"/>
      <c r="P989" s="34"/>
      <c r="Q989" s="3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54"/>
    </row>
    <row r="990">
      <c r="A990" s="53"/>
      <c r="B990" s="34"/>
      <c r="C990" s="34"/>
      <c r="D990" s="34"/>
      <c r="E990" s="34"/>
      <c r="F990" s="34"/>
      <c r="G990" s="34"/>
      <c r="H990" s="34"/>
      <c r="I990" s="34"/>
      <c r="J990" s="34"/>
      <c r="K990" s="34"/>
      <c r="L990" s="34"/>
      <c r="M990" s="34"/>
      <c r="N990" s="34"/>
      <c r="O990" s="34"/>
      <c r="P990" s="34"/>
      <c r="Q990" s="3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54"/>
    </row>
    <row r="991">
      <c r="A991" s="53"/>
      <c r="B991" s="34"/>
      <c r="C991" s="34"/>
      <c r="D991" s="34"/>
      <c r="E991" s="34"/>
      <c r="F991" s="34"/>
      <c r="G991" s="34"/>
      <c r="H991" s="34"/>
      <c r="I991" s="34"/>
      <c r="J991" s="34"/>
      <c r="K991" s="34"/>
      <c r="L991" s="34"/>
      <c r="M991" s="34"/>
      <c r="N991" s="34"/>
      <c r="O991" s="34"/>
      <c r="P991" s="34"/>
      <c r="Q991" s="3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54"/>
    </row>
    <row r="992">
      <c r="A992" s="53"/>
      <c r="B992" s="34"/>
      <c r="C992" s="34"/>
      <c r="D992" s="34"/>
      <c r="E992" s="34"/>
      <c r="F992" s="34"/>
      <c r="G992" s="34"/>
      <c r="H992" s="34"/>
      <c r="I992" s="34"/>
      <c r="J992" s="34"/>
      <c r="K992" s="34"/>
      <c r="L992" s="34"/>
      <c r="M992" s="34"/>
      <c r="N992" s="34"/>
      <c r="O992" s="34"/>
      <c r="P992" s="34"/>
      <c r="Q992" s="3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54"/>
    </row>
    <row r="993">
      <c r="A993" s="53"/>
      <c r="B993" s="34"/>
      <c r="C993" s="34"/>
      <c r="D993" s="34"/>
      <c r="E993" s="34"/>
      <c r="F993" s="34"/>
      <c r="G993" s="34"/>
      <c r="H993" s="34"/>
      <c r="I993" s="34"/>
      <c r="J993" s="34"/>
      <c r="K993" s="34"/>
      <c r="L993" s="34"/>
      <c r="M993" s="34"/>
      <c r="N993" s="34"/>
      <c r="O993" s="34"/>
      <c r="P993" s="34"/>
      <c r="Q993" s="3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54"/>
    </row>
    <row r="994">
      <c r="A994" s="53"/>
      <c r="B994" s="34"/>
      <c r="C994" s="34"/>
      <c r="D994" s="34"/>
      <c r="E994" s="34"/>
      <c r="F994" s="34"/>
      <c r="G994" s="34"/>
      <c r="H994" s="34"/>
      <c r="I994" s="34"/>
      <c r="J994" s="34"/>
      <c r="K994" s="34"/>
      <c r="L994" s="34"/>
      <c r="M994" s="34"/>
      <c r="N994" s="34"/>
      <c r="O994" s="34"/>
      <c r="P994" s="34"/>
      <c r="Q994" s="3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54"/>
    </row>
    <row r="995">
      <c r="A995" s="53"/>
      <c r="B995" s="34"/>
      <c r="C995" s="34"/>
      <c r="D995" s="34"/>
      <c r="E995" s="34"/>
      <c r="F995" s="34"/>
      <c r="G995" s="34"/>
      <c r="H995" s="34"/>
      <c r="I995" s="34"/>
      <c r="J995" s="34"/>
      <c r="K995" s="34"/>
      <c r="L995" s="34"/>
      <c r="M995" s="34"/>
      <c r="N995" s="34"/>
      <c r="O995" s="34"/>
      <c r="P995" s="34"/>
      <c r="Q995" s="3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54"/>
    </row>
    <row r="996">
      <c r="A996" s="53"/>
      <c r="B996" s="34"/>
      <c r="C996" s="34"/>
      <c r="D996" s="34"/>
      <c r="E996" s="34"/>
      <c r="F996" s="34"/>
      <c r="G996" s="34"/>
      <c r="H996" s="34"/>
      <c r="I996" s="34"/>
      <c r="J996" s="34"/>
      <c r="K996" s="34"/>
      <c r="L996" s="34"/>
      <c r="M996" s="34"/>
      <c r="N996" s="34"/>
      <c r="O996" s="34"/>
      <c r="P996" s="34"/>
      <c r="Q996" s="3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54"/>
    </row>
    <row r="997">
      <c r="A997" s="53"/>
      <c r="B997" s="34"/>
      <c r="C997" s="34"/>
      <c r="D997" s="34"/>
      <c r="E997" s="34"/>
      <c r="F997" s="34"/>
      <c r="G997" s="34"/>
      <c r="H997" s="34"/>
      <c r="I997" s="34"/>
      <c r="J997" s="34"/>
      <c r="K997" s="34"/>
      <c r="L997" s="34"/>
      <c r="M997" s="34"/>
      <c r="N997" s="34"/>
      <c r="O997" s="34"/>
      <c r="P997" s="34"/>
      <c r="Q997" s="3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54"/>
    </row>
    <row r="998">
      <c r="A998" s="53"/>
      <c r="B998" s="34"/>
      <c r="C998" s="34"/>
      <c r="D998" s="34"/>
      <c r="E998" s="34"/>
      <c r="F998" s="34"/>
      <c r="G998" s="34"/>
      <c r="H998" s="34"/>
      <c r="I998" s="34"/>
      <c r="J998" s="34"/>
      <c r="K998" s="34"/>
      <c r="L998" s="34"/>
      <c r="M998" s="34"/>
      <c r="N998" s="34"/>
      <c r="O998" s="34"/>
      <c r="P998" s="34"/>
      <c r="Q998" s="3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54"/>
    </row>
    <row r="999">
      <c r="A999" s="53"/>
      <c r="B999" s="34"/>
      <c r="C999" s="34"/>
      <c r="D999" s="34"/>
      <c r="E999" s="34"/>
      <c r="F999" s="34"/>
      <c r="G999" s="34"/>
      <c r="H999" s="34"/>
      <c r="I999" s="34"/>
      <c r="J999" s="34"/>
      <c r="K999" s="34"/>
      <c r="L999" s="34"/>
      <c r="M999" s="34"/>
      <c r="N999" s="34"/>
      <c r="O999" s="34"/>
      <c r="P999" s="34"/>
      <c r="Q999" s="3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54"/>
    </row>
    <row r="1000">
      <c r="A1000" s="53"/>
      <c r="B1000" s="34"/>
      <c r="C1000" s="34"/>
      <c r="D1000" s="34"/>
      <c r="E1000" s="34"/>
      <c r="F1000" s="34"/>
      <c r="G1000" s="34"/>
      <c r="H1000" s="34"/>
      <c r="I1000" s="34"/>
      <c r="J1000" s="34"/>
      <c r="K1000" s="34"/>
      <c r="L1000" s="34"/>
      <c r="M1000" s="34"/>
      <c r="N1000" s="34"/>
      <c r="O1000" s="34"/>
      <c r="P1000" s="34"/>
      <c r="Q1000" s="34"/>
      <c r="R1000" s="24"/>
      <c r="S1000" s="24"/>
      <c r="T1000" s="24"/>
      <c r="U1000" s="24"/>
      <c r="V1000" s="24"/>
      <c r="W1000" s="24"/>
      <c r="X1000" s="24"/>
      <c r="Y1000" s="24"/>
      <c r="Z1000" s="24"/>
      <c r="AA1000" s="24"/>
      <c r="AB1000" s="24"/>
      <c r="AC1000" s="24"/>
      <c r="AD1000" s="24"/>
      <c r="AE1000" s="24"/>
      <c r="AF1000" s="24"/>
      <c r="AG1000" s="24"/>
      <c r="AH1000" s="24"/>
      <c r="AI1000" s="24"/>
      <c r="AJ1000" s="24"/>
      <c r="AK1000" s="24"/>
      <c r="AL1000" s="24"/>
      <c r="AM1000" s="24"/>
      <c r="AN1000" s="24"/>
      <c r="AO1000" s="24"/>
      <c r="AP1000" s="24"/>
      <c r="AQ1000" s="24"/>
      <c r="AR1000" s="54"/>
    </row>
    <row r="1001">
      <c r="A1001" s="53"/>
      <c r="B1001" s="34"/>
      <c r="C1001" s="34"/>
      <c r="D1001" s="34"/>
      <c r="E1001" s="34"/>
      <c r="F1001" s="34"/>
      <c r="G1001" s="34"/>
      <c r="H1001" s="34"/>
      <c r="I1001" s="34"/>
      <c r="J1001" s="34"/>
      <c r="K1001" s="34"/>
      <c r="L1001" s="34"/>
      <c r="M1001" s="34"/>
      <c r="N1001" s="34"/>
      <c r="O1001" s="34"/>
      <c r="P1001" s="34"/>
      <c r="Q1001" s="34"/>
      <c r="R1001" s="24"/>
      <c r="S1001" s="24"/>
      <c r="T1001" s="24"/>
      <c r="U1001" s="24"/>
      <c r="V1001" s="24"/>
      <c r="W1001" s="24"/>
      <c r="X1001" s="24"/>
      <c r="Y1001" s="24"/>
      <c r="Z1001" s="24"/>
      <c r="AA1001" s="24"/>
      <c r="AB1001" s="24"/>
      <c r="AC1001" s="24"/>
      <c r="AD1001" s="24"/>
      <c r="AE1001" s="24"/>
      <c r="AF1001" s="24"/>
      <c r="AG1001" s="24"/>
      <c r="AH1001" s="24"/>
      <c r="AI1001" s="24"/>
      <c r="AJ1001" s="24"/>
      <c r="AK1001" s="24"/>
      <c r="AL1001" s="24"/>
      <c r="AM1001" s="24"/>
      <c r="AN1001" s="24"/>
      <c r="AO1001" s="24"/>
      <c r="AP1001" s="24"/>
      <c r="AQ1001" s="24"/>
      <c r="AR1001" s="54"/>
    </row>
    <row r="1002">
      <c r="A1002" s="53"/>
      <c r="B1002" s="34"/>
      <c r="C1002" s="34"/>
      <c r="D1002" s="34"/>
      <c r="E1002" s="34"/>
      <c r="F1002" s="34"/>
      <c r="G1002" s="34"/>
      <c r="H1002" s="34"/>
      <c r="I1002" s="34"/>
      <c r="J1002" s="34"/>
      <c r="K1002" s="34"/>
      <c r="L1002" s="34"/>
      <c r="M1002" s="34"/>
      <c r="N1002" s="34"/>
      <c r="O1002" s="34"/>
      <c r="P1002" s="34"/>
      <c r="Q1002" s="34"/>
      <c r="R1002" s="24"/>
      <c r="S1002" s="24"/>
      <c r="T1002" s="24"/>
      <c r="U1002" s="24"/>
      <c r="V1002" s="24"/>
      <c r="W1002" s="24"/>
      <c r="X1002" s="24"/>
      <c r="Y1002" s="24"/>
      <c r="Z1002" s="24"/>
      <c r="AA1002" s="24"/>
      <c r="AB1002" s="24"/>
      <c r="AC1002" s="24"/>
      <c r="AD1002" s="24"/>
      <c r="AE1002" s="24"/>
      <c r="AF1002" s="24"/>
      <c r="AG1002" s="24"/>
      <c r="AH1002" s="24"/>
      <c r="AI1002" s="24"/>
      <c r="AJ1002" s="24"/>
      <c r="AK1002" s="24"/>
      <c r="AL1002" s="24"/>
      <c r="AM1002" s="24"/>
      <c r="AN1002" s="24"/>
      <c r="AO1002" s="24"/>
      <c r="AP1002" s="24"/>
      <c r="AQ1002" s="24"/>
      <c r="AR1002" s="54"/>
    </row>
    <row r="1003">
      <c r="A1003" s="53"/>
      <c r="B1003" s="34"/>
      <c r="C1003" s="34"/>
      <c r="D1003" s="34"/>
      <c r="E1003" s="34"/>
      <c r="F1003" s="34"/>
      <c r="G1003" s="34"/>
      <c r="H1003" s="34"/>
      <c r="I1003" s="34"/>
      <c r="J1003" s="34"/>
      <c r="K1003" s="34"/>
      <c r="L1003" s="34"/>
      <c r="M1003" s="34"/>
      <c r="N1003" s="34"/>
      <c r="O1003" s="34"/>
      <c r="P1003" s="34"/>
      <c r="Q1003" s="34"/>
      <c r="R1003" s="24"/>
      <c r="S1003" s="24"/>
      <c r="T1003" s="24"/>
      <c r="U1003" s="24"/>
      <c r="V1003" s="24"/>
      <c r="W1003" s="24"/>
      <c r="X1003" s="24"/>
      <c r="Y1003" s="24"/>
      <c r="Z1003" s="24"/>
      <c r="AA1003" s="24"/>
      <c r="AB1003" s="24"/>
      <c r="AC1003" s="24"/>
      <c r="AD1003" s="24"/>
      <c r="AE1003" s="24"/>
      <c r="AF1003" s="24"/>
      <c r="AG1003" s="24"/>
      <c r="AH1003" s="24"/>
      <c r="AI1003" s="24"/>
      <c r="AJ1003" s="24"/>
      <c r="AK1003" s="24"/>
      <c r="AL1003" s="24"/>
      <c r="AM1003" s="24"/>
      <c r="AN1003" s="24"/>
      <c r="AO1003" s="24"/>
      <c r="AP1003" s="24"/>
      <c r="AQ1003" s="24"/>
      <c r="AR1003" s="54"/>
    </row>
    <row r="1004">
      <c r="A1004" s="53"/>
      <c r="B1004" s="34"/>
      <c r="C1004" s="34"/>
      <c r="D1004" s="34"/>
      <c r="E1004" s="34"/>
      <c r="F1004" s="34"/>
      <c r="G1004" s="34"/>
      <c r="H1004" s="34"/>
      <c r="I1004" s="34"/>
      <c r="J1004" s="34"/>
      <c r="K1004" s="34"/>
      <c r="L1004" s="34"/>
      <c r="M1004" s="34"/>
      <c r="N1004" s="34"/>
      <c r="O1004" s="34"/>
      <c r="P1004" s="34"/>
      <c r="Q1004" s="34"/>
      <c r="R1004" s="24"/>
      <c r="S1004" s="24"/>
      <c r="T1004" s="24"/>
      <c r="U1004" s="24"/>
      <c r="V1004" s="24"/>
      <c r="W1004" s="24"/>
      <c r="X1004" s="24"/>
      <c r="Y1004" s="24"/>
      <c r="Z1004" s="24"/>
      <c r="AA1004" s="24"/>
      <c r="AB1004" s="24"/>
      <c r="AC1004" s="24"/>
      <c r="AD1004" s="24"/>
      <c r="AE1004" s="24"/>
      <c r="AF1004" s="24"/>
      <c r="AG1004" s="24"/>
      <c r="AH1004" s="24"/>
      <c r="AI1004" s="24"/>
      <c r="AJ1004" s="24"/>
      <c r="AK1004" s="24"/>
      <c r="AL1004" s="24"/>
      <c r="AM1004" s="24"/>
      <c r="AN1004" s="24"/>
      <c r="AO1004" s="24"/>
      <c r="AP1004" s="24"/>
      <c r="AQ1004" s="24"/>
      <c r="AR1004" s="54"/>
    </row>
    <row r="1005">
      <c r="A1005" s="53"/>
      <c r="B1005" s="34"/>
      <c r="C1005" s="34"/>
      <c r="D1005" s="34"/>
      <c r="E1005" s="34"/>
      <c r="F1005" s="34"/>
      <c r="G1005" s="34"/>
      <c r="H1005" s="34"/>
      <c r="I1005" s="34"/>
      <c r="J1005" s="34"/>
      <c r="K1005" s="34"/>
      <c r="L1005" s="34"/>
      <c r="M1005" s="34"/>
      <c r="N1005" s="34"/>
      <c r="O1005" s="34"/>
      <c r="P1005" s="34"/>
      <c r="Q1005" s="34"/>
      <c r="R1005" s="24"/>
      <c r="S1005" s="24"/>
      <c r="T1005" s="24"/>
      <c r="U1005" s="24"/>
      <c r="V1005" s="24"/>
      <c r="W1005" s="24"/>
      <c r="X1005" s="24"/>
      <c r="Y1005" s="24"/>
      <c r="Z1005" s="24"/>
      <c r="AA1005" s="24"/>
      <c r="AB1005" s="24"/>
      <c r="AC1005" s="24"/>
      <c r="AD1005" s="24"/>
      <c r="AE1005" s="24"/>
      <c r="AF1005" s="24"/>
      <c r="AG1005" s="24"/>
      <c r="AH1005" s="24"/>
      <c r="AI1005" s="24"/>
      <c r="AJ1005" s="24"/>
      <c r="AK1005" s="24"/>
      <c r="AL1005" s="24"/>
      <c r="AM1005" s="24"/>
      <c r="AN1005" s="24"/>
      <c r="AO1005" s="24"/>
      <c r="AP1005" s="24"/>
      <c r="AQ1005" s="24"/>
      <c r="AR1005" s="54"/>
    </row>
    <row r="1006">
      <c r="A1006" s="53"/>
      <c r="B1006" s="34"/>
      <c r="C1006" s="34"/>
      <c r="D1006" s="34"/>
      <c r="E1006" s="34"/>
      <c r="F1006" s="34"/>
      <c r="G1006" s="34"/>
      <c r="H1006" s="34"/>
      <c r="I1006" s="34"/>
      <c r="J1006" s="34"/>
      <c r="K1006" s="34"/>
      <c r="L1006" s="34"/>
      <c r="M1006" s="34"/>
      <c r="N1006" s="34"/>
      <c r="O1006" s="34"/>
      <c r="P1006" s="34"/>
      <c r="Q1006" s="34"/>
      <c r="R1006" s="24"/>
      <c r="S1006" s="24"/>
      <c r="T1006" s="24"/>
      <c r="U1006" s="24"/>
      <c r="V1006" s="24"/>
      <c r="W1006" s="24"/>
      <c r="X1006" s="24"/>
      <c r="Y1006" s="24"/>
      <c r="Z1006" s="24"/>
      <c r="AA1006" s="24"/>
      <c r="AB1006" s="24"/>
      <c r="AC1006" s="24"/>
      <c r="AD1006" s="24"/>
      <c r="AE1006" s="24"/>
      <c r="AF1006" s="24"/>
      <c r="AG1006" s="24"/>
      <c r="AH1006" s="24"/>
      <c r="AI1006" s="24"/>
      <c r="AJ1006" s="24"/>
      <c r="AK1006" s="24"/>
      <c r="AL1006" s="24"/>
      <c r="AM1006" s="24"/>
      <c r="AN1006" s="24"/>
      <c r="AO1006" s="24"/>
      <c r="AP1006" s="24"/>
      <c r="AQ1006" s="24"/>
      <c r="AR1006" s="54"/>
    </row>
    <row r="1007">
      <c r="A1007" s="53"/>
      <c r="B1007" s="34"/>
      <c r="C1007" s="34"/>
      <c r="D1007" s="34"/>
      <c r="E1007" s="34"/>
      <c r="F1007" s="34"/>
      <c r="G1007" s="34"/>
      <c r="H1007" s="34"/>
      <c r="I1007" s="34"/>
      <c r="J1007" s="34"/>
      <c r="K1007" s="34"/>
      <c r="L1007" s="34"/>
      <c r="M1007" s="34"/>
      <c r="N1007" s="34"/>
      <c r="O1007" s="34"/>
      <c r="P1007" s="34"/>
      <c r="Q1007" s="34"/>
      <c r="R1007" s="24"/>
      <c r="S1007" s="24"/>
      <c r="T1007" s="24"/>
      <c r="U1007" s="24"/>
      <c r="V1007" s="24"/>
      <c r="W1007" s="24"/>
      <c r="X1007" s="24"/>
      <c r="Y1007" s="24"/>
      <c r="Z1007" s="24"/>
      <c r="AA1007" s="24"/>
      <c r="AB1007" s="24"/>
      <c r="AC1007" s="24"/>
      <c r="AD1007" s="24"/>
      <c r="AE1007" s="24"/>
      <c r="AF1007" s="24"/>
      <c r="AG1007" s="24"/>
      <c r="AH1007" s="24"/>
      <c r="AI1007" s="24"/>
      <c r="AJ1007" s="24"/>
      <c r="AK1007" s="24"/>
      <c r="AL1007" s="24"/>
      <c r="AM1007" s="24"/>
      <c r="AN1007" s="24"/>
      <c r="AO1007" s="24"/>
      <c r="AP1007" s="24"/>
      <c r="AQ1007" s="24"/>
      <c r="AR1007" s="54"/>
    </row>
    <row r="1008">
      <c r="A1008" s="53"/>
      <c r="B1008" s="34"/>
      <c r="C1008" s="34"/>
      <c r="D1008" s="34"/>
      <c r="E1008" s="34"/>
      <c r="F1008" s="34"/>
      <c r="G1008" s="34"/>
      <c r="H1008" s="34"/>
      <c r="I1008" s="34"/>
      <c r="J1008" s="34"/>
      <c r="K1008" s="34"/>
      <c r="L1008" s="34"/>
      <c r="M1008" s="34"/>
      <c r="N1008" s="34"/>
      <c r="O1008" s="34"/>
      <c r="P1008" s="34"/>
      <c r="Q1008" s="34"/>
      <c r="R1008" s="24"/>
      <c r="S1008" s="24"/>
      <c r="T1008" s="24"/>
      <c r="U1008" s="24"/>
      <c r="V1008" s="24"/>
      <c r="W1008" s="24"/>
      <c r="X1008" s="24"/>
      <c r="Y1008" s="24"/>
      <c r="Z1008" s="24"/>
      <c r="AA1008" s="24"/>
      <c r="AB1008" s="24"/>
      <c r="AC1008" s="24"/>
      <c r="AD1008" s="24"/>
      <c r="AE1008" s="24"/>
      <c r="AF1008" s="24"/>
      <c r="AG1008" s="24"/>
      <c r="AH1008" s="24"/>
      <c r="AI1008" s="24"/>
      <c r="AJ1008" s="24"/>
      <c r="AK1008" s="24"/>
      <c r="AL1008" s="24"/>
      <c r="AM1008" s="24"/>
      <c r="AN1008" s="24"/>
      <c r="AO1008" s="24"/>
      <c r="AP1008" s="24"/>
      <c r="AQ1008" s="24"/>
      <c r="AR1008" s="54"/>
    </row>
    <row r="1009">
      <c r="A1009" s="53"/>
      <c r="B1009" s="34"/>
      <c r="C1009" s="34"/>
      <c r="D1009" s="34"/>
      <c r="E1009" s="34"/>
      <c r="F1009" s="34"/>
      <c r="G1009" s="34"/>
      <c r="H1009" s="34"/>
      <c r="I1009" s="34"/>
      <c r="J1009" s="34"/>
      <c r="K1009" s="34"/>
      <c r="L1009" s="34"/>
      <c r="M1009" s="34"/>
      <c r="N1009" s="34"/>
      <c r="O1009" s="34"/>
      <c r="P1009" s="34"/>
      <c r="Q1009" s="34"/>
      <c r="R1009" s="24"/>
      <c r="S1009" s="24"/>
      <c r="T1009" s="24"/>
      <c r="U1009" s="24"/>
      <c r="V1009" s="24"/>
      <c r="W1009" s="24"/>
      <c r="X1009" s="24"/>
      <c r="Y1009" s="24"/>
      <c r="Z1009" s="24"/>
      <c r="AA1009" s="24"/>
      <c r="AB1009" s="24"/>
      <c r="AC1009" s="24"/>
      <c r="AD1009" s="24"/>
      <c r="AE1009" s="24"/>
      <c r="AF1009" s="24"/>
      <c r="AG1009" s="24"/>
      <c r="AH1009" s="24"/>
      <c r="AI1009" s="24"/>
      <c r="AJ1009" s="24"/>
      <c r="AK1009" s="24"/>
      <c r="AL1009" s="24"/>
      <c r="AM1009" s="24"/>
      <c r="AN1009" s="24"/>
      <c r="AO1009" s="24"/>
      <c r="AP1009" s="24"/>
      <c r="AQ1009" s="24"/>
      <c r="AR1009" s="54"/>
    </row>
    <row r="1010">
      <c r="A1010" s="53"/>
      <c r="B1010" s="34"/>
      <c r="C1010" s="34"/>
      <c r="D1010" s="34"/>
      <c r="E1010" s="34"/>
      <c r="F1010" s="34"/>
      <c r="G1010" s="34"/>
      <c r="H1010" s="34"/>
      <c r="I1010" s="34"/>
      <c r="J1010" s="34"/>
      <c r="K1010" s="34"/>
      <c r="L1010" s="34"/>
      <c r="M1010" s="34"/>
      <c r="N1010" s="34"/>
      <c r="O1010" s="34"/>
      <c r="P1010" s="34"/>
      <c r="Q1010" s="34"/>
      <c r="R1010" s="24"/>
      <c r="S1010" s="24"/>
      <c r="T1010" s="24"/>
      <c r="U1010" s="24"/>
      <c r="V1010" s="24"/>
      <c r="W1010" s="24"/>
      <c r="X1010" s="24"/>
      <c r="Y1010" s="24"/>
      <c r="Z1010" s="24"/>
      <c r="AA1010" s="24"/>
      <c r="AB1010" s="24"/>
      <c r="AC1010" s="24"/>
      <c r="AD1010" s="24"/>
      <c r="AE1010" s="24"/>
      <c r="AF1010" s="24"/>
      <c r="AG1010" s="24"/>
      <c r="AH1010" s="24"/>
      <c r="AI1010" s="24"/>
      <c r="AJ1010" s="24"/>
      <c r="AK1010" s="24"/>
      <c r="AL1010" s="24"/>
      <c r="AM1010" s="24"/>
      <c r="AN1010" s="24"/>
      <c r="AO1010" s="24"/>
      <c r="AP1010" s="24"/>
      <c r="AQ1010" s="24"/>
      <c r="AR1010" s="54"/>
    </row>
    <row r="1011">
      <c r="A1011" s="53"/>
      <c r="B1011" s="34"/>
      <c r="C1011" s="34"/>
      <c r="D1011" s="34"/>
      <c r="E1011" s="34"/>
      <c r="F1011" s="34"/>
      <c r="G1011" s="34"/>
      <c r="H1011" s="34"/>
      <c r="I1011" s="34"/>
      <c r="J1011" s="34"/>
      <c r="K1011" s="34"/>
      <c r="L1011" s="34"/>
      <c r="M1011" s="34"/>
      <c r="N1011" s="34"/>
      <c r="O1011" s="34"/>
      <c r="P1011" s="34"/>
      <c r="Q1011" s="34"/>
      <c r="R1011" s="24"/>
      <c r="S1011" s="24"/>
      <c r="T1011" s="24"/>
      <c r="U1011" s="24"/>
      <c r="V1011" s="24"/>
      <c r="W1011" s="24"/>
      <c r="X1011" s="24"/>
      <c r="Y1011" s="24"/>
      <c r="Z1011" s="24"/>
      <c r="AA1011" s="24"/>
      <c r="AB1011" s="24"/>
      <c r="AC1011" s="24"/>
      <c r="AD1011" s="24"/>
      <c r="AE1011" s="24"/>
      <c r="AF1011" s="24"/>
      <c r="AG1011" s="24"/>
      <c r="AH1011" s="24"/>
      <c r="AI1011" s="24"/>
      <c r="AJ1011" s="24"/>
      <c r="AK1011" s="24"/>
      <c r="AL1011" s="24"/>
      <c r="AM1011" s="24"/>
      <c r="AN1011" s="24"/>
      <c r="AO1011" s="24"/>
      <c r="AP1011" s="24"/>
      <c r="AQ1011" s="24"/>
      <c r="AR1011" s="54"/>
    </row>
    <row r="1012">
      <c r="A1012" s="53"/>
      <c r="B1012" s="34"/>
      <c r="C1012" s="34"/>
      <c r="D1012" s="34"/>
      <c r="E1012" s="34"/>
      <c r="F1012" s="34"/>
      <c r="G1012" s="34"/>
      <c r="H1012" s="34"/>
      <c r="I1012" s="34"/>
      <c r="J1012" s="34"/>
      <c r="K1012" s="34"/>
      <c r="L1012" s="34"/>
      <c r="M1012" s="34"/>
      <c r="N1012" s="34"/>
      <c r="O1012" s="34"/>
      <c r="P1012" s="34"/>
      <c r="Q1012" s="34"/>
      <c r="R1012" s="24"/>
      <c r="S1012" s="24"/>
      <c r="T1012" s="24"/>
      <c r="U1012" s="24"/>
      <c r="V1012" s="24"/>
      <c r="W1012" s="24"/>
      <c r="X1012" s="24"/>
      <c r="Y1012" s="24"/>
      <c r="Z1012" s="24"/>
      <c r="AA1012" s="24"/>
      <c r="AB1012" s="24"/>
      <c r="AC1012" s="24"/>
      <c r="AD1012" s="24"/>
      <c r="AE1012" s="24"/>
      <c r="AF1012" s="24"/>
      <c r="AG1012" s="24"/>
      <c r="AH1012" s="24"/>
      <c r="AI1012" s="24"/>
      <c r="AJ1012" s="24"/>
      <c r="AK1012" s="24"/>
      <c r="AL1012" s="24"/>
      <c r="AM1012" s="24"/>
      <c r="AN1012" s="24"/>
      <c r="AO1012" s="24"/>
      <c r="AP1012" s="24"/>
      <c r="AQ1012" s="24"/>
      <c r="AR1012" s="54"/>
    </row>
    <row r="1013">
      <c r="A1013" s="53"/>
      <c r="B1013" s="34"/>
      <c r="C1013" s="34"/>
      <c r="D1013" s="34"/>
      <c r="E1013" s="34"/>
      <c r="F1013" s="34"/>
      <c r="G1013" s="34"/>
      <c r="H1013" s="34"/>
      <c r="I1013" s="34"/>
      <c r="J1013" s="34"/>
      <c r="K1013" s="34"/>
      <c r="L1013" s="34"/>
      <c r="M1013" s="34"/>
      <c r="N1013" s="34"/>
      <c r="O1013" s="34"/>
      <c r="P1013" s="34"/>
      <c r="Q1013" s="34"/>
      <c r="R1013" s="24"/>
      <c r="S1013" s="24"/>
      <c r="T1013" s="24"/>
      <c r="U1013" s="24"/>
      <c r="V1013" s="24"/>
      <c r="W1013" s="24"/>
      <c r="X1013" s="24"/>
      <c r="Y1013" s="24"/>
      <c r="Z1013" s="24"/>
      <c r="AA1013" s="24"/>
      <c r="AB1013" s="24"/>
      <c r="AC1013" s="24"/>
      <c r="AD1013" s="24"/>
      <c r="AE1013" s="24"/>
      <c r="AF1013" s="24"/>
      <c r="AG1013" s="24"/>
      <c r="AH1013" s="24"/>
      <c r="AI1013" s="24"/>
      <c r="AJ1013" s="24"/>
      <c r="AK1013" s="24"/>
      <c r="AL1013" s="24"/>
      <c r="AM1013" s="24"/>
      <c r="AN1013" s="24"/>
      <c r="AO1013" s="24"/>
      <c r="AP1013" s="24"/>
      <c r="AQ1013" s="24"/>
      <c r="AR1013" s="54"/>
    </row>
    <row r="1014">
      <c r="A1014" s="53"/>
      <c r="B1014" s="34"/>
      <c r="C1014" s="34"/>
      <c r="D1014" s="34"/>
      <c r="E1014" s="34"/>
      <c r="F1014" s="34"/>
      <c r="G1014" s="34"/>
      <c r="H1014" s="34"/>
      <c r="I1014" s="34"/>
      <c r="J1014" s="34"/>
      <c r="K1014" s="34"/>
      <c r="L1014" s="34"/>
      <c r="M1014" s="34"/>
      <c r="N1014" s="34"/>
      <c r="O1014" s="34"/>
      <c r="P1014" s="34"/>
      <c r="Q1014" s="34"/>
      <c r="R1014" s="24"/>
      <c r="S1014" s="24"/>
      <c r="T1014" s="24"/>
      <c r="U1014" s="24"/>
      <c r="V1014" s="24"/>
      <c r="W1014" s="24"/>
      <c r="X1014" s="24"/>
      <c r="Y1014" s="24"/>
      <c r="Z1014" s="24"/>
      <c r="AA1014" s="24"/>
      <c r="AB1014" s="24"/>
      <c r="AC1014" s="24"/>
      <c r="AD1014" s="24"/>
      <c r="AE1014" s="24"/>
      <c r="AF1014" s="24"/>
      <c r="AG1014" s="24"/>
      <c r="AH1014" s="24"/>
      <c r="AI1014" s="24"/>
      <c r="AJ1014" s="24"/>
      <c r="AK1014" s="24"/>
      <c r="AL1014" s="24"/>
      <c r="AM1014" s="24"/>
      <c r="AN1014" s="24"/>
      <c r="AO1014" s="24"/>
      <c r="AP1014" s="24"/>
      <c r="AQ1014" s="24"/>
      <c r="AR1014" s="54"/>
    </row>
    <row r="1015">
      <c r="A1015" s="53"/>
      <c r="B1015" s="34"/>
      <c r="C1015" s="34"/>
      <c r="D1015" s="34"/>
      <c r="E1015" s="34"/>
      <c r="F1015" s="34"/>
      <c r="G1015" s="34"/>
      <c r="H1015" s="34"/>
      <c r="I1015" s="34"/>
      <c r="J1015" s="34"/>
      <c r="K1015" s="34"/>
      <c r="L1015" s="34"/>
      <c r="M1015" s="34"/>
      <c r="N1015" s="34"/>
      <c r="O1015" s="34"/>
      <c r="P1015" s="34"/>
      <c r="Q1015" s="34"/>
      <c r="R1015" s="24"/>
      <c r="S1015" s="24"/>
      <c r="T1015" s="24"/>
      <c r="U1015" s="24"/>
      <c r="V1015" s="24"/>
      <c r="W1015" s="24"/>
      <c r="X1015" s="24"/>
      <c r="Y1015" s="24"/>
      <c r="Z1015" s="24"/>
      <c r="AA1015" s="24"/>
      <c r="AB1015" s="24"/>
      <c r="AC1015" s="24"/>
      <c r="AD1015" s="24"/>
      <c r="AE1015" s="24"/>
      <c r="AF1015" s="24"/>
      <c r="AG1015" s="24"/>
      <c r="AH1015" s="24"/>
      <c r="AI1015" s="24"/>
      <c r="AJ1015" s="24"/>
      <c r="AK1015" s="24"/>
      <c r="AL1015" s="24"/>
      <c r="AM1015" s="24"/>
      <c r="AN1015" s="24"/>
      <c r="AO1015" s="24"/>
      <c r="AP1015" s="24"/>
      <c r="AQ1015" s="24"/>
      <c r="AR1015" s="54"/>
    </row>
    <row r="1016">
      <c r="A1016" s="53"/>
      <c r="B1016" s="34"/>
      <c r="C1016" s="34"/>
      <c r="D1016" s="34"/>
      <c r="E1016" s="34"/>
      <c r="F1016" s="34"/>
      <c r="G1016" s="34"/>
      <c r="H1016" s="34"/>
      <c r="I1016" s="34"/>
      <c r="J1016" s="34"/>
      <c r="K1016" s="34"/>
      <c r="L1016" s="34"/>
      <c r="M1016" s="34"/>
      <c r="N1016" s="34"/>
      <c r="O1016" s="34"/>
      <c r="P1016" s="34"/>
      <c r="Q1016" s="34"/>
      <c r="R1016" s="24"/>
      <c r="S1016" s="24"/>
      <c r="T1016" s="24"/>
      <c r="U1016" s="24"/>
      <c r="V1016" s="24"/>
      <c r="W1016" s="24"/>
      <c r="X1016" s="24"/>
      <c r="Y1016" s="24"/>
      <c r="Z1016" s="24"/>
      <c r="AA1016" s="24"/>
      <c r="AB1016" s="24"/>
      <c r="AC1016" s="24"/>
      <c r="AD1016" s="24"/>
      <c r="AE1016" s="24"/>
      <c r="AF1016" s="24"/>
      <c r="AG1016" s="24"/>
      <c r="AH1016" s="24"/>
      <c r="AI1016" s="24"/>
      <c r="AJ1016" s="24"/>
      <c r="AK1016" s="24"/>
      <c r="AL1016" s="24"/>
      <c r="AM1016" s="24"/>
      <c r="AN1016" s="24"/>
      <c r="AO1016" s="24"/>
      <c r="AP1016" s="24"/>
      <c r="AQ1016" s="24"/>
      <c r="AR1016" s="54"/>
    </row>
    <row r="1017">
      <c r="A1017" s="53"/>
      <c r="B1017" s="34"/>
      <c r="C1017" s="34"/>
      <c r="D1017" s="34"/>
      <c r="E1017" s="34"/>
      <c r="F1017" s="34"/>
      <c r="G1017" s="34"/>
      <c r="H1017" s="34"/>
      <c r="I1017" s="34"/>
      <c r="J1017" s="34"/>
      <c r="K1017" s="34"/>
      <c r="L1017" s="34"/>
      <c r="M1017" s="34"/>
      <c r="N1017" s="34"/>
      <c r="O1017" s="34"/>
      <c r="P1017" s="34"/>
      <c r="Q1017" s="34"/>
      <c r="R1017" s="24"/>
      <c r="S1017" s="24"/>
      <c r="T1017" s="24"/>
      <c r="U1017" s="24"/>
      <c r="V1017" s="24"/>
      <c r="W1017" s="24"/>
      <c r="X1017" s="24"/>
      <c r="Y1017" s="24"/>
      <c r="Z1017" s="24"/>
      <c r="AA1017" s="24"/>
      <c r="AB1017" s="24"/>
      <c r="AC1017" s="24"/>
      <c r="AD1017" s="24"/>
      <c r="AE1017" s="24"/>
      <c r="AF1017" s="24"/>
      <c r="AG1017" s="24"/>
      <c r="AH1017" s="24"/>
      <c r="AI1017" s="24"/>
      <c r="AJ1017" s="24"/>
      <c r="AK1017" s="24"/>
      <c r="AL1017" s="24"/>
      <c r="AM1017" s="24"/>
      <c r="AN1017" s="24"/>
      <c r="AO1017" s="24"/>
      <c r="AP1017" s="24"/>
      <c r="AQ1017" s="24"/>
      <c r="AR1017" s="54"/>
    </row>
    <row r="1018">
      <c r="A1018" s="53"/>
      <c r="B1018" s="34"/>
      <c r="C1018" s="34"/>
      <c r="D1018" s="34"/>
      <c r="E1018" s="34"/>
      <c r="F1018" s="34"/>
      <c r="G1018" s="34"/>
      <c r="H1018" s="34"/>
      <c r="I1018" s="34"/>
      <c r="J1018" s="34"/>
      <c r="K1018" s="34"/>
      <c r="L1018" s="34"/>
      <c r="M1018" s="34"/>
      <c r="N1018" s="34"/>
      <c r="O1018" s="34"/>
      <c r="P1018" s="34"/>
      <c r="Q1018" s="34"/>
      <c r="R1018" s="24"/>
      <c r="S1018" s="24"/>
      <c r="T1018" s="24"/>
      <c r="U1018" s="24"/>
      <c r="V1018" s="24"/>
      <c r="W1018" s="24"/>
      <c r="X1018" s="24"/>
      <c r="Y1018" s="24"/>
      <c r="Z1018" s="24"/>
      <c r="AA1018" s="24"/>
      <c r="AB1018" s="24"/>
      <c r="AC1018" s="24"/>
      <c r="AD1018" s="24"/>
      <c r="AE1018" s="24"/>
      <c r="AF1018" s="24"/>
      <c r="AG1018" s="24"/>
      <c r="AH1018" s="24"/>
      <c r="AI1018" s="24"/>
      <c r="AJ1018" s="24"/>
      <c r="AK1018" s="24"/>
      <c r="AL1018" s="24"/>
      <c r="AM1018" s="24"/>
      <c r="AN1018" s="24"/>
      <c r="AO1018" s="24"/>
      <c r="AP1018" s="24"/>
      <c r="AQ1018" s="24"/>
      <c r="AR1018" s="54"/>
    </row>
    <row r="1019">
      <c r="A1019" s="53"/>
      <c r="B1019" s="34"/>
      <c r="C1019" s="34"/>
      <c r="D1019" s="34"/>
      <c r="E1019" s="34"/>
      <c r="F1019" s="34"/>
      <c r="G1019" s="34"/>
      <c r="H1019" s="34"/>
      <c r="I1019" s="34"/>
      <c r="J1019" s="34"/>
      <c r="K1019" s="34"/>
      <c r="L1019" s="34"/>
      <c r="M1019" s="34"/>
      <c r="N1019" s="34"/>
      <c r="O1019" s="34"/>
      <c r="P1019" s="34"/>
      <c r="Q1019" s="34"/>
      <c r="R1019" s="24"/>
      <c r="S1019" s="24"/>
      <c r="T1019" s="24"/>
      <c r="U1019" s="24"/>
      <c r="V1019" s="24"/>
      <c r="W1019" s="24"/>
      <c r="X1019" s="24"/>
      <c r="Y1019" s="24"/>
      <c r="Z1019" s="24"/>
      <c r="AA1019" s="24"/>
      <c r="AB1019" s="24"/>
      <c r="AC1019" s="24"/>
      <c r="AD1019" s="24"/>
      <c r="AE1019" s="24"/>
      <c r="AF1019" s="24"/>
      <c r="AG1019" s="24"/>
      <c r="AH1019" s="24"/>
      <c r="AI1019" s="24"/>
      <c r="AJ1019" s="24"/>
      <c r="AK1019" s="24"/>
      <c r="AL1019" s="24"/>
      <c r="AM1019" s="24"/>
      <c r="AN1019" s="24"/>
      <c r="AO1019" s="24"/>
      <c r="AP1019" s="24"/>
      <c r="AQ1019" s="24"/>
      <c r="AR1019" s="54"/>
    </row>
    <row r="1020">
      <c r="A1020" s="53"/>
      <c r="B1020" s="34"/>
      <c r="C1020" s="34"/>
      <c r="D1020" s="34"/>
      <c r="E1020" s="34"/>
      <c r="F1020" s="34"/>
      <c r="G1020" s="34"/>
      <c r="H1020" s="34"/>
      <c r="I1020" s="34"/>
      <c r="J1020" s="34"/>
      <c r="K1020" s="34"/>
      <c r="L1020" s="34"/>
      <c r="M1020" s="34"/>
      <c r="N1020" s="34"/>
      <c r="O1020" s="34"/>
      <c r="P1020" s="34"/>
      <c r="Q1020" s="34"/>
      <c r="R1020" s="24"/>
      <c r="S1020" s="24"/>
      <c r="T1020" s="24"/>
      <c r="U1020" s="24"/>
      <c r="V1020" s="24"/>
      <c r="W1020" s="24"/>
      <c r="X1020" s="24"/>
      <c r="Y1020" s="24"/>
      <c r="Z1020" s="24"/>
      <c r="AA1020" s="24"/>
      <c r="AB1020" s="24"/>
      <c r="AC1020" s="24"/>
      <c r="AD1020" s="24"/>
      <c r="AE1020" s="24"/>
      <c r="AF1020" s="24"/>
      <c r="AG1020" s="24"/>
      <c r="AH1020" s="24"/>
      <c r="AI1020" s="24"/>
      <c r="AJ1020" s="24"/>
      <c r="AK1020" s="24"/>
      <c r="AL1020" s="24"/>
      <c r="AM1020" s="24"/>
      <c r="AN1020" s="24"/>
      <c r="AO1020" s="24"/>
      <c r="AP1020" s="24"/>
      <c r="AQ1020" s="24"/>
      <c r="AR1020" s="54"/>
    </row>
    <row r="1021">
      <c r="A1021" s="53"/>
      <c r="B1021" s="34"/>
      <c r="C1021" s="34"/>
      <c r="D1021" s="34"/>
      <c r="E1021" s="34"/>
      <c r="F1021" s="34"/>
      <c r="G1021" s="34"/>
      <c r="H1021" s="34"/>
      <c r="I1021" s="34"/>
      <c r="J1021" s="34"/>
      <c r="K1021" s="34"/>
      <c r="L1021" s="34"/>
      <c r="M1021" s="34"/>
      <c r="N1021" s="34"/>
      <c r="O1021" s="34"/>
      <c r="P1021" s="34"/>
      <c r="Q1021" s="34"/>
      <c r="R1021" s="24"/>
      <c r="S1021" s="24"/>
      <c r="T1021" s="24"/>
      <c r="U1021" s="24"/>
      <c r="V1021" s="24"/>
      <c r="W1021" s="24"/>
      <c r="X1021" s="24"/>
      <c r="Y1021" s="24"/>
      <c r="Z1021" s="24"/>
      <c r="AA1021" s="24"/>
      <c r="AB1021" s="24"/>
      <c r="AC1021" s="24"/>
      <c r="AD1021" s="24"/>
      <c r="AE1021" s="24"/>
      <c r="AF1021" s="24"/>
      <c r="AG1021" s="24"/>
      <c r="AH1021" s="24"/>
      <c r="AI1021" s="24"/>
      <c r="AJ1021" s="24"/>
      <c r="AK1021" s="24"/>
      <c r="AL1021" s="24"/>
      <c r="AM1021" s="24"/>
      <c r="AN1021" s="24"/>
      <c r="AO1021" s="24"/>
      <c r="AP1021" s="24"/>
      <c r="AQ1021" s="24"/>
      <c r="AR1021" s="54"/>
    </row>
    <row r="1022">
      <c r="A1022" s="53"/>
      <c r="B1022" s="34"/>
      <c r="C1022" s="34"/>
      <c r="D1022" s="34"/>
      <c r="E1022" s="34"/>
      <c r="F1022" s="34"/>
      <c r="G1022" s="34"/>
      <c r="H1022" s="34"/>
      <c r="I1022" s="34"/>
      <c r="J1022" s="34"/>
      <c r="K1022" s="34"/>
      <c r="L1022" s="34"/>
      <c r="M1022" s="34"/>
      <c r="N1022" s="34"/>
      <c r="O1022" s="34"/>
      <c r="P1022" s="34"/>
      <c r="Q1022" s="34"/>
      <c r="R1022" s="24"/>
      <c r="S1022" s="24"/>
      <c r="T1022" s="24"/>
      <c r="U1022" s="24"/>
      <c r="V1022" s="24"/>
      <c r="W1022" s="24"/>
      <c r="X1022" s="24"/>
      <c r="Y1022" s="24"/>
      <c r="Z1022" s="24"/>
      <c r="AA1022" s="24"/>
      <c r="AB1022" s="24"/>
      <c r="AC1022" s="24"/>
      <c r="AD1022" s="24"/>
      <c r="AE1022" s="24"/>
      <c r="AF1022" s="24"/>
      <c r="AG1022" s="24"/>
      <c r="AH1022" s="24"/>
      <c r="AI1022" s="24"/>
      <c r="AJ1022" s="24"/>
      <c r="AK1022" s="24"/>
      <c r="AL1022" s="24"/>
      <c r="AM1022" s="24"/>
      <c r="AN1022" s="24"/>
      <c r="AO1022" s="24"/>
      <c r="AP1022" s="24"/>
      <c r="AQ1022" s="24"/>
      <c r="AR1022" s="54"/>
    </row>
    <row r="1023">
      <c r="A1023" s="53"/>
      <c r="B1023" s="34"/>
      <c r="C1023" s="34"/>
      <c r="D1023" s="34"/>
      <c r="E1023" s="34"/>
      <c r="F1023" s="34"/>
      <c r="G1023" s="34"/>
      <c r="H1023" s="34"/>
      <c r="I1023" s="34"/>
      <c r="J1023" s="34"/>
      <c r="K1023" s="34"/>
      <c r="L1023" s="34"/>
      <c r="M1023" s="34"/>
      <c r="N1023" s="34"/>
      <c r="O1023" s="34"/>
      <c r="P1023" s="34"/>
      <c r="Q1023" s="34"/>
      <c r="R1023" s="24"/>
      <c r="S1023" s="24"/>
      <c r="T1023" s="24"/>
      <c r="U1023" s="24"/>
      <c r="V1023" s="24"/>
      <c r="W1023" s="24"/>
      <c r="X1023" s="24"/>
      <c r="Y1023" s="24"/>
      <c r="Z1023" s="24"/>
      <c r="AA1023" s="24"/>
      <c r="AB1023" s="24"/>
      <c r="AC1023" s="24"/>
      <c r="AD1023" s="24"/>
      <c r="AE1023" s="24"/>
      <c r="AF1023" s="24"/>
      <c r="AG1023" s="24"/>
      <c r="AH1023" s="24"/>
      <c r="AI1023" s="24"/>
      <c r="AJ1023" s="24"/>
      <c r="AK1023" s="24"/>
      <c r="AL1023" s="24"/>
      <c r="AM1023" s="24"/>
      <c r="AN1023" s="24"/>
      <c r="AO1023" s="24"/>
      <c r="AP1023" s="24"/>
      <c r="AQ1023" s="24"/>
      <c r="AR1023" s="54"/>
    </row>
    <row r="1024">
      <c r="A1024" s="53"/>
      <c r="B1024" s="34"/>
      <c r="C1024" s="34"/>
      <c r="D1024" s="34"/>
      <c r="E1024" s="34"/>
      <c r="F1024" s="34"/>
      <c r="G1024" s="34"/>
      <c r="H1024" s="34"/>
      <c r="I1024" s="34"/>
      <c r="J1024" s="34"/>
      <c r="K1024" s="34"/>
      <c r="L1024" s="34"/>
      <c r="M1024" s="34"/>
      <c r="N1024" s="34"/>
      <c r="O1024" s="34"/>
      <c r="P1024" s="34"/>
      <c r="Q1024" s="34"/>
      <c r="R1024" s="24"/>
      <c r="S1024" s="24"/>
      <c r="T1024" s="24"/>
      <c r="U1024" s="24"/>
      <c r="V1024" s="24"/>
      <c r="W1024" s="24"/>
      <c r="X1024" s="24"/>
      <c r="Y1024" s="24"/>
      <c r="Z1024" s="24"/>
      <c r="AA1024" s="24"/>
      <c r="AB1024" s="24"/>
      <c r="AC1024" s="24"/>
      <c r="AD1024" s="24"/>
      <c r="AE1024" s="24"/>
      <c r="AF1024" s="24"/>
      <c r="AG1024" s="24"/>
      <c r="AH1024" s="24"/>
      <c r="AI1024" s="24"/>
      <c r="AJ1024" s="24"/>
      <c r="AK1024" s="24"/>
      <c r="AL1024" s="24"/>
      <c r="AM1024" s="24"/>
      <c r="AN1024" s="24"/>
      <c r="AO1024" s="24"/>
      <c r="AP1024" s="24"/>
      <c r="AQ1024" s="24"/>
      <c r="AR1024" s="54"/>
    </row>
    <row r="1025">
      <c r="A1025" s="53"/>
      <c r="B1025" s="34"/>
      <c r="C1025" s="34"/>
      <c r="D1025" s="34"/>
      <c r="E1025" s="34"/>
      <c r="F1025" s="34"/>
      <c r="G1025" s="34"/>
      <c r="H1025" s="34"/>
      <c r="I1025" s="34"/>
      <c r="J1025" s="34"/>
      <c r="K1025" s="34"/>
      <c r="L1025" s="34"/>
      <c r="M1025" s="34"/>
      <c r="N1025" s="34"/>
      <c r="O1025" s="34"/>
      <c r="P1025" s="34"/>
      <c r="Q1025" s="34"/>
      <c r="R1025" s="24"/>
      <c r="S1025" s="24"/>
      <c r="T1025" s="24"/>
      <c r="U1025" s="24"/>
      <c r="V1025" s="24"/>
      <c r="W1025" s="24"/>
      <c r="X1025" s="24"/>
      <c r="Y1025" s="24"/>
      <c r="Z1025" s="24"/>
      <c r="AA1025" s="24"/>
      <c r="AB1025" s="24"/>
      <c r="AC1025" s="24"/>
      <c r="AD1025" s="24"/>
      <c r="AE1025" s="24"/>
      <c r="AF1025" s="24"/>
      <c r="AG1025" s="24"/>
      <c r="AH1025" s="24"/>
      <c r="AI1025" s="24"/>
      <c r="AJ1025" s="24"/>
      <c r="AK1025" s="24"/>
      <c r="AL1025" s="24"/>
      <c r="AM1025" s="24"/>
      <c r="AN1025" s="24"/>
      <c r="AO1025" s="24"/>
      <c r="AP1025" s="24"/>
      <c r="AQ1025" s="24"/>
      <c r="AR1025" s="54"/>
    </row>
    <row r="1026">
      <c r="A1026" s="53"/>
      <c r="B1026" s="34"/>
      <c r="C1026" s="34"/>
      <c r="D1026" s="34"/>
      <c r="E1026" s="34"/>
      <c r="F1026" s="34"/>
      <c r="G1026" s="34"/>
      <c r="H1026" s="34"/>
      <c r="I1026" s="34"/>
      <c r="J1026" s="34"/>
      <c r="K1026" s="34"/>
      <c r="L1026" s="34"/>
      <c r="M1026" s="34"/>
      <c r="N1026" s="34"/>
      <c r="O1026" s="34"/>
      <c r="P1026" s="34"/>
      <c r="Q1026" s="34"/>
      <c r="R1026" s="24"/>
      <c r="S1026" s="24"/>
      <c r="T1026" s="24"/>
      <c r="U1026" s="24"/>
      <c r="V1026" s="24"/>
      <c r="W1026" s="24"/>
      <c r="X1026" s="24"/>
      <c r="Y1026" s="24"/>
      <c r="Z1026" s="24"/>
      <c r="AA1026" s="24"/>
      <c r="AB1026" s="24"/>
      <c r="AC1026" s="24"/>
      <c r="AD1026" s="24"/>
      <c r="AE1026" s="24"/>
      <c r="AF1026" s="24"/>
      <c r="AG1026" s="24"/>
      <c r="AH1026" s="24"/>
      <c r="AI1026" s="24"/>
      <c r="AJ1026" s="24"/>
      <c r="AK1026" s="24"/>
      <c r="AL1026" s="24"/>
      <c r="AM1026" s="24"/>
      <c r="AN1026" s="24"/>
      <c r="AO1026" s="24"/>
      <c r="AP1026" s="24"/>
      <c r="AQ1026" s="24"/>
      <c r="AR1026" s="54"/>
    </row>
    <row r="1027">
      <c r="A1027" s="53"/>
      <c r="B1027" s="34"/>
      <c r="C1027" s="34"/>
      <c r="D1027" s="34"/>
      <c r="E1027" s="34"/>
      <c r="F1027" s="34"/>
      <c r="G1027" s="34"/>
      <c r="H1027" s="34"/>
      <c r="I1027" s="34"/>
      <c r="J1027" s="34"/>
      <c r="K1027" s="34"/>
      <c r="L1027" s="34"/>
      <c r="M1027" s="34"/>
      <c r="N1027" s="34"/>
      <c r="O1027" s="34"/>
      <c r="P1027" s="34"/>
      <c r="Q1027" s="34"/>
      <c r="R1027" s="24"/>
      <c r="S1027" s="24"/>
      <c r="T1027" s="24"/>
      <c r="U1027" s="24"/>
      <c r="V1027" s="24"/>
      <c r="W1027" s="24"/>
      <c r="X1027" s="24"/>
      <c r="Y1027" s="24"/>
      <c r="Z1027" s="24"/>
      <c r="AA1027" s="24"/>
      <c r="AB1027" s="24"/>
      <c r="AC1027" s="24"/>
      <c r="AD1027" s="24"/>
      <c r="AE1027" s="24"/>
      <c r="AF1027" s="24"/>
      <c r="AG1027" s="24"/>
      <c r="AH1027" s="24"/>
      <c r="AI1027" s="24"/>
      <c r="AJ1027" s="24"/>
      <c r="AK1027" s="24"/>
      <c r="AL1027" s="24"/>
      <c r="AM1027" s="24"/>
      <c r="AN1027" s="24"/>
      <c r="AO1027" s="24"/>
      <c r="AP1027" s="24"/>
      <c r="AQ1027" s="24"/>
      <c r="AR1027" s="54"/>
    </row>
    <row r="1028">
      <c r="A1028" s="53"/>
      <c r="B1028" s="34"/>
      <c r="C1028" s="34"/>
      <c r="D1028" s="34"/>
      <c r="E1028" s="34"/>
      <c r="F1028" s="34"/>
      <c r="G1028" s="34"/>
      <c r="H1028" s="34"/>
      <c r="I1028" s="34"/>
      <c r="J1028" s="34"/>
      <c r="K1028" s="34"/>
      <c r="L1028" s="34"/>
      <c r="M1028" s="34"/>
      <c r="N1028" s="34"/>
      <c r="O1028" s="34"/>
      <c r="P1028" s="34"/>
      <c r="Q1028" s="34"/>
      <c r="R1028" s="24"/>
      <c r="S1028" s="24"/>
      <c r="T1028" s="24"/>
      <c r="U1028" s="24"/>
      <c r="V1028" s="24"/>
      <c r="W1028" s="24"/>
      <c r="X1028" s="24"/>
      <c r="Y1028" s="24"/>
      <c r="Z1028" s="24"/>
      <c r="AA1028" s="24"/>
      <c r="AB1028" s="24"/>
      <c r="AC1028" s="24"/>
      <c r="AD1028" s="24"/>
      <c r="AE1028" s="24"/>
      <c r="AF1028" s="24"/>
      <c r="AG1028" s="24"/>
      <c r="AH1028" s="24"/>
      <c r="AI1028" s="24"/>
      <c r="AJ1028" s="24"/>
      <c r="AK1028" s="24"/>
      <c r="AL1028" s="24"/>
      <c r="AM1028" s="24"/>
      <c r="AN1028" s="24"/>
      <c r="AO1028" s="24"/>
      <c r="AP1028" s="24"/>
      <c r="AQ1028" s="24"/>
      <c r="AR1028" s="54"/>
    </row>
    <row r="1029">
      <c r="A1029" s="53"/>
      <c r="B1029" s="34"/>
      <c r="C1029" s="34"/>
      <c r="D1029" s="34"/>
      <c r="E1029" s="34"/>
      <c r="F1029" s="34"/>
      <c r="G1029" s="34"/>
      <c r="H1029" s="34"/>
      <c r="I1029" s="34"/>
      <c r="J1029" s="34"/>
      <c r="K1029" s="34"/>
      <c r="L1029" s="34"/>
      <c r="M1029" s="34"/>
      <c r="N1029" s="34"/>
      <c r="O1029" s="34"/>
      <c r="P1029" s="34"/>
      <c r="Q1029" s="34"/>
      <c r="R1029" s="24"/>
      <c r="S1029" s="24"/>
      <c r="T1029" s="24"/>
      <c r="U1029" s="24"/>
      <c r="V1029" s="24"/>
      <c r="W1029" s="24"/>
      <c r="X1029" s="24"/>
      <c r="Y1029" s="24"/>
      <c r="Z1029" s="24"/>
      <c r="AA1029" s="24"/>
      <c r="AB1029" s="24"/>
      <c r="AC1029" s="24"/>
      <c r="AD1029" s="24"/>
      <c r="AE1029" s="24"/>
      <c r="AF1029" s="24"/>
      <c r="AG1029" s="24"/>
      <c r="AH1029" s="24"/>
      <c r="AI1029" s="24"/>
      <c r="AJ1029" s="24"/>
      <c r="AK1029" s="24"/>
      <c r="AL1029" s="24"/>
      <c r="AM1029" s="24"/>
      <c r="AN1029" s="24"/>
      <c r="AO1029" s="24"/>
      <c r="AP1029" s="24"/>
      <c r="AQ1029" s="24"/>
      <c r="AR1029" s="54"/>
    </row>
    <row r="1030">
      <c r="A1030" s="53"/>
      <c r="B1030" s="34"/>
      <c r="C1030" s="34"/>
      <c r="D1030" s="34"/>
      <c r="E1030" s="34"/>
      <c r="F1030" s="34"/>
      <c r="G1030" s="34"/>
      <c r="H1030" s="34"/>
      <c r="I1030" s="34"/>
      <c r="J1030" s="34"/>
      <c r="K1030" s="34"/>
      <c r="L1030" s="34"/>
      <c r="M1030" s="34"/>
      <c r="N1030" s="34"/>
      <c r="O1030" s="34"/>
      <c r="P1030" s="34"/>
      <c r="Q1030" s="34"/>
      <c r="R1030" s="24"/>
      <c r="S1030" s="24"/>
      <c r="T1030" s="24"/>
      <c r="U1030" s="24"/>
      <c r="V1030" s="24"/>
      <c r="W1030" s="24"/>
      <c r="X1030" s="24"/>
      <c r="Y1030" s="24"/>
      <c r="Z1030" s="24"/>
      <c r="AA1030" s="24"/>
      <c r="AB1030" s="24"/>
      <c r="AC1030" s="24"/>
      <c r="AD1030" s="24"/>
      <c r="AE1030" s="24"/>
      <c r="AF1030" s="24"/>
      <c r="AG1030" s="24"/>
      <c r="AH1030" s="24"/>
      <c r="AI1030" s="24"/>
      <c r="AJ1030" s="24"/>
      <c r="AK1030" s="24"/>
      <c r="AL1030" s="24"/>
      <c r="AM1030" s="24"/>
      <c r="AN1030" s="24"/>
      <c r="AO1030" s="24"/>
      <c r="AP1030" s="24"/>
      <c r="AQ1030" s="24"/>
      <c r="AR1030" s="54"/>
    </row>
    <row r="1031">
      <c r="A1031" s="53"/>
      <c r="B1031" s="34"/>
      <c r="C1031" s="34"/>
      <c r="D1031" s="34"/>
      <c r="E1031" s="34"/>
      <c r="F1031" s="34"/>
      <c r="G1031" s="34"/>
      <c r="H1031" s="34"/>
      <c r="I1031" s="34"/>
      <c r="J1031" s="34"/>
      <c r="K1031" s="34"/>
      <c r="L1031" s="34"/>
      <c r="M1031" s="34"/>
      <c r="N1031" s="34"/>
      <c r="O1031" s="34"/>
      <c r="P1031" s="34"/>
      <c r="Q1031" s="34"/>
      <c r="R1031" s="24"/>
      <c r="S1031" s="24"/>
      <c r="T1031" s="24"/>
      <c r="U1031" s="24"/>
      <c r="V1031" s="24"/>
      <c r="W1031" s="24"/>
      <c r="X1031" s="24"/>
      <c r="Y1031" s="24"/>
      <c r="Z1031" s="24"/>
      <c r="AA1031" s="24"/>
      <c r="AB1031" s="24"/>
      <c r="AC1031" s="24"/>
      <c r="AD1031" s="24"/>
      <c r="AE1031" s="24"/>
      <c r="AF1031" s="24"/>
      <c r="AG1031" s="24"/>
      <c r="AH1031" s="24"/>
      <c r="AI1031" s="24"/>
      <c r="AJ1031" s="24"/>
      <c r="AK1031" s="24"/>
      <c r="AL1031" s="24"/>
      <c r="AM1031" s="24"/>
      <c r="AN1031" s="24"/>
      <c r="AO1031" s="24"/>
      <c r="AP1031" s="24"/>
      <c r="AQ1031" s="24"/>
      <c r="AR1031" s="54"/>
    </row>
    <row r="1032">
      <c r="A1032" s="53"/>
      <c r="B1032" s="34"/>
      <c r="C1032" s="34"/>
      <c r="D1032" s="34"/>
      <c r="E1032" s="34"/>
      <c r="F1032" s="34"/>
      <c r="G1032" s="34"/>
      <c r="H1032" s="34"/>
      <c r="I1032" s="34"/>
      <c r="J1032" s="34"/>
      <c r="K1032" s="34"/>
      <c r="L1032" s="34"/>
      <c r="M1032" s="34"/>
      <c r="N1032" s="34"/>
      <c r="O1032" s="34"/>
      <c r="P1032" s="34"/>
      <c r="Q1032" s="34"/>
      <c r="R1032" s="24"/>
      <c r="S1032" s="24"/>
      <c r="T1032" s="24"/>
      <c r="U1032" s="24"/>
      <c r="V1032" s="24"/>
      <c r="W1032" s="24"/>
      <c r="X1032" s="24"/>
      <c r="Y1032" s="24"/>
      <c r="Z1032" s="24"/>
      <c r="AA1032" s="24"/>
      <c r="AB1032" s="24"/>
      <c r="AC1032" s="24"/>
      <c r="AD1032" s="24"/>
      <c r="AE1032" s="24"/>
      <c r="AF1032" s="24"/>
      <c r="AG1032" s="24"/>
      <c r="AH1032" s="24"/>
      <c r="AI1032" s="24"/>
      <c r="AJ1032" s="24"/>
      <c r="AK1032" s="24"/>
      <c r="AL1032" s="24"/>
      <c r="AM1032" s="24"/>
      <c r="AN1032" s="24"/>
      <c r="AO1032" s="24"/>
      <c r="AP1032" s="24"/>
      <c r="AQ1032" s="24"/>
      <c r="AR1032" s="54"/>
    </row>
    <row r="1033">
      <c r="A1033" s="53"/>
      <c r="B1033" s="34"/>
      <c r="C1033" s="34"/>
      <c r="D1033" s="34"/>
      <c r="E1033" s="34"/>
      <c r="F1033" s="34"/>
      <c r="G1033" s="34"/>
      <c r="H1033" s="34"/>
      <c r="I1033" s="34"/>
      <c r="J1033" s="34"/>
      <c r="K1033" s="34"/>
      <c r="L1033" s="34"/>
      <c r="M1033" s="34"/>
      <c r="N1033" s="34"/>
      <c r="O1033" s="34"/>
      <c r="P1033" s="34"/>
      <c r="Q1033" s="34"/>
      <c r="R1033" s="24"/>
      <c r="S1033" s="24"/>
      <c r="T1033" s="24"/>
      <c r="U1033" s="24"/>
      <c r="V1033" s="24"/>
      <c r="W1033" s="24"/>
      <c r="X1033" s="24"/>
      <c r="Y1033" s="24"/>
      <c r="Z1033" s="24"/>
      <c r="AA1033" s="24"/>
      <c r="AB1033" s="24"/>
      <c r="AC1033" s="24"/>
      <c r="AD1033" s="24"/>
      <c r="AE1033" s="24"/>
      <c r="AF1033" s="24"/>
      <c r="AG1033" s="24"/>
      <c r="AH1033" s="24"/>
      <c r="AI1033" s="24"/>
      <c r="AJ1033" s="24"/>
      <c r="AK1033" s="24"/>
      <c r="AL1033" s="24"/>
      <c r="AM1033" s="24"/>
      <c r="AN1033" s="24"/>
      <c r="AO1033" s="24"/>
      <c r="AP1033" s="24"/>
      <c r="AQ1033" s="24"/>
      <c r="AR1033" s="54"/>
    </row>
    <row r="1034">
      <c r="A1034" s="53"/>
      <c r="B1034" s="34"/>
      <c r="C1034" s="34"/>
      <c r="D1034" s="34"/>
      <c r="E1034" s="34"/>
      <c r="F1034" s="34"/>
      <c r="G1034" s="34"/>
      <c r="H1034" s="34"/>
      <c r="I1034" s="34"/>
      <c r="J1034" s="34"/>
      <c r="K1034" s="34"/>
      <c r="L1034" s="34"/>
      <c r="M1034" s="34"/>
      <c r="N1034" s="34"/>
      <c r="O1034" s="34"/>
      <c r="P1034" s="34"/>
      <c r="Q1034" s="34"/>
      <c r="R1034" s="24"/>
      <c r="S1034" s="24"/>
      <c r="T1034" s="24"/>
      <c r="U1034" s="24"/>
      <c r="V1034" s="24"/>
      <c r="W1034" s="24"/>
      <c r="X1034" s="24"/>
      <c r="Y1034" s="24"/>
      <c r="Z1034" s="24"/>
      <c r="AA1034" s="24"/>
      <c r="AB1034" s="24"/>
      <c r="AC1034" s="24"/>
      <c r="AD1034" s="24"/>
      <c r="AE1034" s="24"/>
      <c r="AF1034" s="24"/>
      <c r="AG1034" s="24"/>
      <c r="AH1034" s="24"/>
      <c r="AI1034" s="24"/>
      <c r="AJ1034" s="24"/>
      <c r="AK1034" s="24"/>
      <c r="AL1034" s="24"/>
      <c r="AM1034" s="24"/>
      <c r="AN1034" s="24"/>
      <c r="AO1034" s="24"/>
      <c r="AP1034" s="24"/>
      <c r="AQ1034" s="24"/>
      <c r="AR1034" s="54"/>
    </row>
    <row r="1035">
      <c r="A1035" s="57"/>
      <c r="B1035" s="24"/>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c r="AA1035" s="24"/>
      <c r="AB1035" s="24"/>
      <c r="AC1035" s="24"/>
      <c r="AD1035" s="24"/>
      <c r="AE1035" s="24"/>
      <c r="AF1035" s="24"/>
      <c r="AG1035" s="24"/>
      <c r="AH1035" s="24"/>
      <c r="AI1035" s="24"/>
      <c r="AJ1035" s="24"/>
      <c r="AK1035" s="24"/>
      <c r="AL1035" s="24"/>
      <c r="AM1035" s="24"/>
      <c r="AN1035" s="24"/>
      <c r="AO1035" s="24"/>
      <c r="AP1035" s="24"/>
      <c r="AQ1035" s="24"/>
      <c r="AR1035" s="54"/>
    </row>
    <row r="1036">
      <c r="A1036" s="57"/>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c r="AA1036" s="24"/>
      <c r="AB1036" s="24"/>
      <c r="AC1036" s="24"/>
      <c r="AD1036" s="24"/>
      <c r="AE1036" s="24"/>
      <c r="AF1036" s="24"/>
      <c r="AG1036" s="24"/>
      <c r="AH1036" s="24"/>
      <c r="AI1036" s="24"/>
      <c r="AJ1036" s="24"/>
      <c r="AK1036" s="24"/>
      <c r="AL1036" s="24"/>
      <c r="AM1036" s="24"/>
      <c r="AN1036" s="24"/>
      <c r="AO1036" s="24"/>
      <c r="AP1036" s="24"/>
      <c r="AQ1036" s="24"/>
      <c r="AR1036" s="54"/>
    </row>
    <row r="1037">
      <c r="A1037" s="57"/>
      <c r="B1037" s="24"/>
      <c r="C1037" s="24"/>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c r="AA1037" s="24"/>
      <c r="AB1037" s="24"/>
      <c r="AC1037" s="24"/>
      <c r="AD1037" s="24"/>
      <c r="AE1037" s="24"/>
      <c r="AF1037" s="24"/>
      <c r="AG1037" s="24"/>
      <c r="AH1037" s="24"/>
      <c r="AI1037" s="24"/>
      <c r="AJ1037" s="24"/>
      <c r="AK1037" s="24"/>
      <c r="AL1037" s="24"/>
      <c r="AM1037" s="24"/>
      <c r="AN1037" s="24"/>
      <c r="AO1037" s="24"/>
      <c r="AP1037" s="24"/>
      <c r="AQ1037" s="24"/>
      <c r="AR1037" s="54"/>
    </row>
    <row r="1038">
      <c r="A1038" s="57"/>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4"/>
      <c r="AF1038" s="24"/>
      <c r="AG1038" s="24"/>
      <c r="AH1038" s="24"/>
      <c r="AI1038" s="24"/>
      <c r="AJ1038" s="24"/>
      <c r="AK1038" s="24"/>
      <c r="AL1038" s="24"/>
      <c r="AM1038" s="24"/>
      <c r="AN1038" s="24"/>
      <c r="AO1038" s="24"/>
      <c r="AP1038" s="24"/>
      <c r="AQ1038" s="24"/>
      <c r="AR1038" s="54"/>
    </row>
    <row r="1039">
      <c r="A1039" s="57"/>
      <c r="B1039" s="24"/>
      <c r="C1039" s="24"/>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c r="AA1039" s="24"/>
      <c r="AB1039" s="24"/>
      <c r="AC1039" s="24"/>
      <c r="AD1039" s="24"/>
      <c r="AE1039" s="24"/>
      <c r="AF1039" s="24"/>
      <c r="AG1039" s="24"/>
      <c r="AH1039" s="24"/>
      <c r="AI1039" s="24"/>
      <c r="AJ1039" s="24"/>
      <c r="AK1039" s="24"/>
      <c r="AL1039" s="24"/>
      <c r="AM1039" s="24"/>
      <c r="AN1039" s="24"/>
      <c r="AO1039" s="24"/>
      <c r="AP1039" s="24"/>
      <c r="AQ1039" s="24"/>
      <c r="AR1039" s="54"/>
    </row>
    <row r="1040">
      <c r="A1040" s="57"/>
      <c r="B1040" s="24"/>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c r="AA1040" s="24"/>
      <c r="AB1040" s="24"/>
      <c r="AC1040" s="24"/>
      <c r="AD1040" s="24"/>
      <c r="AE1040" s="24"/>
      <c r="AF1040" s="24"/>
      <c r="AG1040" s="24"/>
      <c r="AH1040" s="24"/>
      <c r="AI1040" s="24"/>
      <c r="AJ1040" s="24"/>
      <c r="AK1040" s="24"/>
      <c r="AL1040" s="24"/>
      <c r="AM1040" s="24"/>
      <c r="AN1040" s="24"/>
      <c r="AO1040" s="24"/>
      <c r="AP1040" s="24"/>
      <c r="AQ1040" s="24"/>
      <c r="AR1040" s="54"/>
    </row>
    <row r="1041">
      <c r="A1041" s="57"/>
      <c r="B1041" s="24"/>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4"/>
      <c r="AF1041" s="24"/>
      <c r="AG1041" s="24"/>
      <c r="AH1041" s="24"/>
      <c r="AI1041" s="24"/>
      <c r="AJ1041" s="24"/>
      <c r="AK1041" s="24"/>
      <c r="AL1041" s="24"/>
      <c r="AM1041" s="24"/>
      <c r="AN1041" s="24"/>
      <c r="AO1041" s="24"/>
      <c r="AP1041" s="24"/>
      <c r="AQ1041" s="24"/>
      <c r="AR1041" s="54"/>
    </row>
    <row r="1042">
      <c r="A1042" s="57"/>
      <c r="B1042" s="24"/>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c r="AA1042" s="24"/>
      <c r="AB1042" s="24"/>
      <c r="AC1042" s="24"/>
      <c r="AD1042" s="24"/>
      <c r="AE1042" s="24"/>
      <c r="AF1042" s="24"/>
      <c r="AG1042" s="24"/>
      <c r="AH1042" s="24"/>
      <c r="AI1042" s="24"/>
      <c r="AJ1042" s="24"/>
      <c r="AK1042" s="24"/>
      <c r="AL1042" s="24"/>
      <c r="AM1042" s="24"/>
      <c r="AN1042" s="24"/>
      <c r="AO1042" s="24"/>
      <c r="AP1042" s="24"/>
      <c r="AQ1042" s="24"/>
      <c r="AR1042" s="54"/>
    </row>
    <row r="1043">
      <c r="A1043" s="57"/>
      <c r="B1043" s="24"/>
      <c r="C1043" s="24"/>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c r="AA1043" s="24"/>
      <c r="AB1043" s="24"/>
      <c r="AC1043" s="24"/>
      <c r="AD1043" s="24"/>
      <c r="AE1043" s="24"/>
      <c r="AF1043" s="24"/>
      <c r="AG1043" s="24"/>
      <c r="AH1043" s="24"/>
      <c r="AI1043" s="24"/>
      <c r="AJ1043" s="24"/>
      <c r="AK1043" s="24"/>
      <c r="AL1043" s="24"/>
      <c r="AM1043" s="24"/>
      <c r="AN1043" s="24"/>
      <c r="AO1043" s="24"/>
      <c r="AP1043" s="24"/>
      <c r="AQ1043" s="24"/>
      <c r="AR1043" s="54"/>
    </row>
    <row r="1044">
      <c r="A1044" s="57"/>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c r="AA1044" s="24"/>
      <c r="AB1044" s="24"/>
      <c r="AC1044" s="24"/>
      <c r="AD1044" s="24"/>
      <c r="AE1044" s="24"/>
      <c r="AF1044" s="24"/>
      <c r="AG1044" s="24"/>
      <c r="AH1044" s="24"/>
      <c r="AI1044" s="24"/>
      <c r="AJ1044" s="24"/>
      <c r="AK1044" s="24"/>
      <c r="AL1044" s="24"/>
      <c r="AM1044" s="24"/>
      <c r="AN1044" s="24"/>
      <c r="AO1044" s="24"/>
      <c r="AP1044" s="24"/>
      <c r="AQ1044" s="24"/>
      <c r="AR1044" s="54"/>
    </row>
    <row r="1045">
      <c r="A1045" s="57"/>
      <c r="B1045" s="24"/>
      <c r="C1045" s="24"/>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c r="AA1045" s="24"/>
      <c r="AB1045" s="24"/>
      <c r="AC1045" s="24"/>
      <c r="AD1045" s="24"/>
      <c r="AE1045" s="24"/>
      <c r="AF1045" s="24"/>
      <c r="AG1045" s="24"/>
      <c r="AH1045" s="24"/>
      <c r="AI1045" s="24"/>
      <c r="AJ1045" s="24"/>
      <c r="AK1045" s="24"/>
      <c r="AL1045" s="24"/>
      <c r="AM1045" s="24"/>
      <c r="AN1045" s="24"/>
      <c r="AO1045" s="24"/>
      <c r="AP1045" s="24"/>
      <c r="AQ1045" s="24"/>
      <c r="AR1045" s="54"/>
    </row>
    <row r="1046">
      <c r="A1046" s="57"/>
      <c r="B1046" s="24"/>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4"/>
      <c r="AF1046" s="24"/>
      <c r="AG1046" s="24"/>
      <c r="AH1046" s="24"/>
      <c r="AI1046" s="24"/>
      <c r="AJ1046" s="24"/>
      <c r="AK1046" s="24"/>
      <c r="AL1046" s="24"/>
      <c r="AM1046" s="24"/>
      <c r="AN1046" s="24"/>
      <c r="AO1046" s="24"/>
      <c r="AP1046" s="24"/>
      <c r="AQ1046" s="24"/>
      <c r="AR1046" s="54"/>
    </row>
    <row r="1047">
      <c r="A1047" s="57"/>
      <c r="B1047" s="24"/>
      <c r="C1047" s="24"/>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c r="AA1047" s="24"/>
      <c r="AB1047" s="24"/>
      <c r="AC1047" s="24"/>
      <c r="AD1047" s="24"/>
      <c r="AE1047" s="24"/>
      <c r="AF1047" s="24"/>
      <c r="AG1047" s="24"/>
      <c r="AH1047" s="24"/>
      <c r="AI1047" s="24"/>
      <c r="AJ1047" s="24"/>
      <c r="AK1047" s="24"/>
      <c r="AL1047" s="24"/>
      <c r="AM1047" s="24"/>
      <c r="AN1047" s="24"/>
      <c r="AO1047" s="24"/>
      <c r="AP1047" s="24"/>
      <c r="AQ1047" s="24"/>
      <c r="AR1047" s="54"/>
    </row>
    <row r="1048">
      <c r="A1048" s="57"/>
      <c r="B1048" s="24"/>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c r="AA1048" s="24"/>
      <c r="AB1048" s="24"/>
      <c r="AC1048" s="24"/>
      <c r="AD1048" s="24"/>
      <c r="AE1048" s="24"/>
      <c r="AF1048" s="24"/>
      <c r="AG1048" s="24"/>
      <c r="AH1048" s="24"/>
      <c r="AI1048" s="24"/>
      <c r="AJ1048" s="24"/>
      <c r="AK1048" s="24"/>
      <c r="AL1048" s="24"/>
      <c r="AM1048" s="24"/>
      <c r="AN1048" s="24"/>
      <c r="AO1048" s="24"/>
      <c r="AP1048" s="24"/>
      <c r="AQ1048" s="24"/>
      <c r="AR1048" s="54"/>
    </row>
    <row r="1049">
      <c r="A1049" s="57"/>
      <c r="B1049" s="24"/>
      <c r="C1049" s="24"/>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c r="AA1049" s="24"/>
      <c r="AB1049" s="24"/>
      <c r="AC1049" s="24"/>
      <c r="AD1049" s="24"/>
      <c r="AE1049" s="24"/>
      <c r="AF1049" s="24"/>
      <c r="AG1049" s="24"/>
      <c r="AH1049" s="24"/>
      <c r="AI1049" s="24"/>
      <c r="AJ1049" s="24"/>
      <c r="AK1049" s="24"/>
      <c r="AL1049" s="24"/>
      <c r="AM1049" s="24"/>
      <c r="AN1049" s="24"/>
      <c r="AO1049" s="24"/>
      <c r="AP1049" s="24"/>
      <c r="AQ1049" s="24"/>
      <c r="AR1049" s="54"/>
    </row>
    <row r="1050">
      <c r="A1050" s="57"/>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4"/>
      <c r="AF1050" s="24"/>
      <c r="AG1050" s="24"/>
      <c r="AH1050" s="24"/>
      <c r="AI1050" s="24"/>
      <c r="AJ1050" s="24"/>
      <c r="AK1050" s="24"/>
      <c r="AL1050" s="24"/>
      <c r="AM1050" s="24"/>
      <c r="AN1050" s="24"/>
      <c r="AO1050" s="24"/>
      <c r="AP1050" s="24"/>
      <c r="AQ1050" s="24"/>
      <c r="AR1050" s="54"/>
    </row>
    <row r="1051">
      <c r="A1051" s="57"/>
      <c r="B1051" s="24"/>
      <c r="C1051" s="24"/>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c r="AA1051" s="24"/>
      <c r="AB1051" s="24"/>
      <c r="AC1051" s="24"/>
      <c r="AD1051" s="24"/>
      <c r="AE1051" s="24"/>
      <c r="AF1051" s="24"/>
      <c r="AG1051" s="24"/>
      <c r="AH1051" s="24"/>
      <c r="AI1051" s="24"/>
      <c r="AJ1051" s="24"/>
      <c r="AK1051" s="24"/>
      <c r="AL1051" s="24"/>
      <c r="AM1051" s="24"/>
      <c r="AN1051" s="24"/>
      <c r="AO1051" s="24"/>
      <c r="AP1051" s="24"/>
      <c r="AQ1051" s="24"/>
      <c r="AR1051" s="54"/>
    </row>
    <row r="1052">
      <c r="A1052" s="57"/>
      <c r="B1052" s="24"/>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c r="AA1052" s="24"/>
      <c r="AB1052" s="24"/>
      <c r="AC1052" s="24"/>
      <c r="AD1052" s="24"/>
      <c r="AE1052" s="24"/>
      <c r="AF1052" s="24"/>
      <c r="AG1052" s="24"/>
      <c r="AH1052" s="24"/>
      <c r="AI1052" s="24"/>
      <c r="AJ1052" s="24"/>
      <c r="AK1052" s="24"/>
      <c r="AL1052" s="24"/>
      <c r="AM1052" s="24"/>
      <c r="AN1052" s="24"/>
      <c r="AO1052" s="24"/>
      <c r="AP1052" s="24"/>
      <c r="AQ1052" s="24"/>
      <c r="AR1052" s="54"/>
    </row>
    <row r="1053">
      <c r="A1053" s="57"/>
      <c r="B1053" s="24"/>
      <c r="C1053" s="24"/>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c r="AA1053" s="24"/>
      <c r="AB1053" s="24"/>
      <c r="AC1053" s="24"/>
      <c r="AD1053" s="24"/>
      <c r="AE1053" s="24"/>
      <c r="AF1053" s="24"/>
      <c r="AG1053" s="24"/>
      <c r="AH1053" s="24"/>
      <c r="AI1053" s="24"/>
      <c r="AJ1053" s="24"/>
      <c r="AK1053" s="24"/>
      <c r="AL1053" s="24"/>
      <c r="AM1053" s="24"/>
      <c r="AN1053" s="24"/>
      <c r="AO1053" s="24"/>
      <c r="AP1053" s="24"/>
      <c r="AQ1053" s="24"/>
      <c r="AR1053" s="54"/>
    </row>
    <row r="1054">
      <c r="A1054" s="57"/>
      <c r="B1054" s="24"/>
      <c r="C1054" s="24"/>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c r="AA1054" s="24"/>
      <c r="AB1054" s="24"/>
      <c r="AC1054" s="24"/>
      <c r="AD1054" s="24"/>
      <c r="AE1054" s="24"/>
      <c r="AF1054" s="24"/>
      <c r="AG1054" s="24"/>
      <c r="AH1054" s="24"/>
      <c r="AI1054" s="24"/>
      <c r="AJ1054" s="24"/>
      <c r="AK1054" s="24"/>
      <c r="AL1054" s="24"/>
      <c r="AM1054" s="24"/>
      <c r="AN1054" s="24"/>
      <c r="AO1054" s="24"/>
      <c r="AP1054" s="24"/>
      <c r="AQ1054" s="24"/>
      <c r="AR1054" s="54"/>
    </row>
    <row r="1055">
      <c r="A1055" s="57"/>
      <c r="B1055" s="24"/>
      <c r="C1055" s="24"/>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c r="AA1055" s="24"/>
      <c r="AB1055" s="24"/>
      <c r="AC1055" s="24"/>
      <c r="AD1055" s="24"/>
      <c r="AE1055" s="24"/>
      <c r="AF1055" s="24"/>
      <c r="AG1055" s="24"/>
      <c r="AH1055" s="24"/>
      <c r="AI1055" s="24"/>
      <c r="AJ1055" s="24"/>
      <c r="AK1055" s="24"/>
      <c r="AL1055" s="24"/>
      <c r="AM1055" s="24"/>
      <c r="AN1055" s="24"/>
      <c r="AO1055" s="24"/>
      <c r="AP1055" s="24"/>
      <c r="AQ1055" s="24"/>
      <c r="AR1055" s="54"/>
    </row>
    <row r="1056">
      <c r="A1056" s="57"/>
      <c r="B1056" s="24"/>
      <c r="C1056" s="24"/>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c r="AA1056" s="24"/>
      <c r="AB1056" s="24"/>
      <c r="AC1056" s="24"/>
      <c r="AD1056" s="24"/>
      <c r="AE1056" s="24"/>
      <c r="AF1056" s="24"/>
      <c r="AG1056" s="24"/>
      <c r="AH1056" s="24"/>
      <c r="AI1056" s="24"/>
      <c r="AJ1056" s="24"/>
      <c r="AK1056" s="24"/>
      <c r="AL1056" s="24"/>
      <c r="AM1056" s="24"/>
      <c r="AN1056" s="24"/>
      <c r="AO1056" s="24"/>
      <c r="AP1056" s="24"/>
      <c r="AQ1056" s="24"/>
      <c r="AR1056" s="54"/>
    </row>
    <row r="1057">
      <c r="A1057" s="57"/>
      <c r="B1057" s="24"/>
      <c r="C1057" s="24"/>
      <c r="D1057" s="24"/>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c r="AA1057" s="24"/>
      <c r="AB1057" s="24"/>
      <c r="AC1057" s="24"/>
      <c r="AD1057" s="24"/>
      <c r="AE1057" s="24"/>
      <c r="AF1057" s="24"/>
      <c r="AG1057" s="24"/>
      <c r="AH1057" s="24"/>
      <c r="AI1057" s="24"/>
      <c r="AJ1057" s="24"/>
      <c r="AK1057" s="24"/>
      <c r="AL1057" s="24"/>
      <c r="AM1057" s="24"/>
      <c r="AN1057" s="24"/>
      <c r="AO1057" s="24"/>
      <c r="AP1057" s="24"/>
      <c r="AQ1057" s="24"/>
      <c r="AR1057" s="54"/>
    </row>
    <row r="1058">
      <c r="A1058" s="57"/>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c r="AA1058" s="24"/>
      <c r="AB1058" s="24"/>
      <c r="AC1058" s="24"/>
      <c r="AD1058" s="24"/>
      <c r="AE1058" s="24"/>
      <c r="AF1058" s="24"/>
      <c r="AG1058" s="24"/>
      <c r="AH1058" s="24"/>
      <c r="AI1058" s="24"/>
      <c r="AJ1058" s="24"/>
      <c r="AK1058" s="24"/>
      <c r="AL1058" s="24"/>
      <c r="AM1058" s="24"/>
      <c r="AN1058" s="24"/>
      <c r="AO1058" s="24"/>
      <c r="AP1058" s="24"/>
      <c r="AQ1058" s="24"/>
      <c r="AR1058" s="54"/>
    </row>
    <row r="1059">
      <c r="A1059" s="57"/>
      <c r="B1059" s="24"/>
      <c r="C1059" s="24"/>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c r="AA1059" s="24"/>
      <c r="AB1059" s="24"/>
      <c r="AC1059" s="24"/>
      <c r="AD1059" s="24"/>
      <c r="AE1059" s="24"/>
      <c r="AF1059" s="24"/>
      <c r="AG1059" s="24"/>
      <c r="AH1059" s="24"/>
      <c r="AI1059" s="24"/>
      <c r="AJ1059" s="24"/>
      <c r="AK1059" s="24"/>
      <c r="AL1059" s="24"/>
      <c r="AM1059" s="24"/>
      <c r="AN1059" s="24"/>
      <c r="AO1059" s="24"/>
      <c r="AP1059" s="24"/>
      <c r="AQ1059" s="24"/>
      <c r="AR1059" s="54"/>
    </row>
    <row r="1060">
      <c r="A1060" s="57"/>
      <c r="B1060" s="24"/>
      <c r="C1060" s="24"/>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c r="AA1060" s="24"/>
      <c r="AB1060" s="24"/>
      <c r="AC1060" s="24"/>
      <c r="AD1060" s="24"/>
      <c r="AE1060" s="24"/>
      <c r="AF1060" s="24"/>
      <c r="AG1060" s="24"/>
      <c r="AH1060" s="24"/>
      <c r="AI1060" s="24"/>
      <c r="AJ1060" s="24"/>
      <c r="AK1060" s="24"/>
      <c r="AL1060" s="24"/>
      <c r="AM1060" s="24"/>
      <c r="AN1060" s="24"/>
      <c r="AO1060" s="24"/>
      <c r="AP1060" s="24"/>
      <c r="AQ1060" s="24"/>
      <c r="AR1060" s="54"/>
    </row>
    <row r="1061">
      <c r="A1061" s="57"/>
      <c r="B1061" s="24"/>
      <c r="C1061" s="24"/>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c r="AA1061" s="24"/>
      <c r="AB1061" s="24"/>
      <c r="AC1061" s="24"/>
      <c r="AD1061" s="24"/>
      <c r="AE1061" s="24"/>
      <c r="AF1061" s="24"/>
      <c r="AG1061" s="24"/>
      <c r="AH1061" s="24"/>
      <c r="AI1061" s="24"/>
      <c r="AJ1061" s="24"/>
      <c r="AK1061" s="24"/>
      <c r="AL1061" s="24"/>
      <c r="AM1061" s="24"/>
      <c r="AN1061" s="24"/>
      <c r="AO1061" s="24"/>
      <c r="AP1061" s="24"/>
      <c r="AQ1061" s="24"/>
      <c r="AR1061" s="54"/>
    </row>
    <row r="1062">
      <c r="A1062" s="57"/>
      <c r="B1062" s="24"/>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c r="AA1062" s="24"/>
      <c r="AB1062" s="24"/>
      <c r="AC1062" s="24"/>
      <c r="AD1062" s="24"/>
      <c r="AE1062" s="24"/>
      <c r="AF1062" s="24"/>
      <c r="AG1062" s="24"/>
      <c r="AH1062" s="24"/>
      <c r="AI1062" s="24"/>
      <c r="AJ1062" s="24"/>
      <c r="AK1062" s="24"/>
      <c r="AL1062" s="24"/>
      <c r="AM1062" s="24"/>
      <c r="AN1062" s="24"/>
      <c r="AO1062" s="24"/>
      <c r="AP1062" s="24"/>
      <c r="AQ1062" s="24"/>
      <c r="AR1062" s="54"/>
    </row>
    <row r="1063">
      <c r="A1063" s="57"/>
      <c r="B1063" s="24"/>
      <c r="C1063" s="24"/>
      <c r="D1063" s="24"/>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c r="AA1063" s="24"/>
      <c r="AB1063" s="24"/>
      <c r="AC1063" s="24"/>
      <c r="AD1063" s="24"/>
      <c r="AE1063" s="24"/>
      <c r="AF1063" s="24"/>
      <c r="AG1063" s="24"/>
      <c r="AH1063" s="24"/>
      <c r="AI1063" s="24"/>
      <c r="AJ1063" s="24"/>
      <c r="AK1063" s="24"/>
      <c r="AL1063" s="24"/>
      <c r="AM1063" s="24"/>
      <c r="AN1063" s="24"/>
      <c r="AO1063" s="24"/>
      <c r="AP1063" s="24"/>
      <c r="AQ1063" s="24"/>
      <c r="AR1063" s="54"/>
    </row>
    <row r="1064">
      <c r="A1064" s="57"/>
      <c r="B1064" s="24"/>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c r="AA1064" s="24"/>
      <c r="AB1064" s="24"/>
      <c r="AC1064" s="24"/>
      <c r="AD1064" s="24"/>
      <c r="AE1064" s="24"/>
      <c r="AF1064" s="24"/>
      <c r="AG1064" s="24"/>
      <c r="AH1064" s="24"/>
      <c r="AI1064" s="24"/>
      <c r="AJ1064" s="24"/>
      <c r="AK1064" s="24"/>
      <c r="AL1064" s="24"/>
      <c r="AM1064" s="24"/>
      <c r="AN1064" s="24"/>
      <c r="AO1064" s="24"/>
      <c r="AP1064" s="24"/>
      <c r="AQ1064" s="24"/>
      <c r="AR1064" s="54"/>
    </row>
    <row r="1065">
      <c r="A1065" s="57"/>
      <c r="B1065" s="24"/>
      <c r="C1065" s="24"/>
      <c r="D1065" s="24"/>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c r="AA1065" s="24"/>
      <c r="AB1065" s="24"/>
      <c r="AC1065" s="24"/>
      <c r="AD1065" s="24"/>
      <c r="AE1065" s="24"/>
      <c r="AF1065" s="24"/>
      <c r="AG1065" s="24"/>
      <c r="AH1065" s="24"/>
      <c r="AI1065" s="24"/>
      <c r="AJ1065" s="24"/>
      <c r="AK1065" s="24"/>
      <c r="AL1065" s="24"/>
      <c r="AM1065" s="24"/>
      <c r="AN1065" s="24"/>
      <c r="AO1065" s="24"/>
      <c r="AP1065" s="24"/>
      <c r="AQ1065" s="24"/>
      <c r="AR1065" s="54"/>
    </row>
    <row r="1066">
      <c r="A1066" s="57"/>
      <c r="B1066" s="24"/>
      <c r="C1066" s="24"/>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c r="AA1066" s="24"/>
      <c r="AB1066" s="24"/>
      <c r="AC1066" s="24"/>
      <c r="AD1066" s="24"/>
      <c r="AE1066" s="24"/>
      <c r="AF1066" s="24"/>
      <c r="AG1066" s="24"/>
      <c r="AH1066" s="24"/>
      <c r="AI1066" s="24"/>
      <c r="AJ1066" s="24"/>
      <c r="AK1066" s="24"/>
      <c r="AL1066" s="24"/>
      <c r="AM1066" s="24"/>
      <c r="AN1066" s="24"/>
      <c r="AO1066" s="24"/>
      <c r="AP1066" s="24"/>
      <c r="AQ1066" s="24"/>
      <c r="AR1066" s="54"/>
    </row>
    <row r="1067">
      <c r="A1067" s="57"/>
      <c r="B1067" s="24"/>
      <c r="C1067" s="24"/>
      <c r="D1067" s="24"/>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c r="AA1067" s="24"/>
      <c r="AB1067" s="24"/>
      <c r="AC1067" s="24"/>
      <c r="AD1067" s="24"/>
      <c r="AE1067" s="24"/>
      <c r="AF1067" s="24"/>
      <c r="AG1067" s="24"/>
      <c r="AH1067" s="24"/>
      <c r="AI1067" s="24"/>
      <c r="AJ1067" s="24"/>
      <c r="AK1067" s="24"/>
      <c r="AL1067" s="24"/>
      <c r="AM1067" s="24"/>
      <c r="AN1067" s="24"/>
      <c r="AO1067" s="24"/>
      <c r="AP1067" s="24"/>
      <c r="AQ1067" s="24"/>
      <c r="AR1067" s="54"/>
    </row>
    <row r="1068">
      <c r="A1068" s="57"/>
      <c r="B1068" s="24"/>
      <c r="C1068" s="24"/>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c r="AA1068" s="24"/>
      <c r="AB1068" s="24"/>
      <c r="AC1068" s="24"/>
      <c r="AD1068" s="24"/>
      <c r="AE1068" s="24"/>
      <c r="AF1068" s="24"/>
      <c r="AG1068" s="24"/>
      <c r="AH1068" s="24"/>
      <c r="AI1068" s="24"/>
      <c r="AJ1068" s="24"/>
      <c r="AK1068" s="24"/>
      <c r="AL1068" s="24"/>
      <c r="AM1068" s="24"/>
      <c r="AN1068" s="24"/>
      <c r="AO1068" s="24"/>
      <c r="AP1068" s="24"/>
      <c r="AQ1068" s="24"/>
      <c r="AR1068" s="54"/>
    </row>
    <row r="1069">
      <c r="A1069" s="57"/>
      <c r="B1069" s="24"/>
      <c r="C1069" s="24"/>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c r="AA1069" s="24"/>
      <c r="AB1069" s="24"/>
      <c r="AC1069" s="24"/>
      <c r="AD1069" s="24"/>
      <c r="AE1069" s="24"/>
      <c r="AF1069" s="24"/>
      <c r="AG1069" s="24"/>
      <c r="AH1069" s="24"/>
      <c r="AI1069" s="24"/>
      <c r="AJ1069" s="24"/>
      <c r="AK1069" s="24"/>
      <c r="AL1069" s="24"/>
      <c r="AM1069" s="24"/>
      <c r="AN1069" s="24"/>
      <c r="AO1069" s="24"/>
      <c r="AP1069" s="24"/>
      <c r="AQ1069" s="24"/>
      <c r="AR1069" s="54"/>
    </row>
    <row r="1070">
      <c r="A1070" s="57"/>
      <c r="B1070" s="24"/>
      <c r="C1070" s="24"/>
      <c r="D1070" s="24"/>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c r="AA1070" s="24"/>
      <c r="AB1070" s="24"/>
      <c r="AC1070" s="24"/>
      <c r="AD1070" s="24"/>
      <c r="AE1070" s="24"/>
      <c r="AF1070" s="24"/>
      <c r="AG1070" s="24"/>
      <c r="AH1070" s="24"/>
      <c r="AI1070" s="24"/>
      <c r="AJ1070" s="24"/>
      <c r="AK1070" s="24"/>
      <c r="AL1070" s="24"/>
      <c r="AM1070" s="24"/>
      <c r="AN1070" s="24"/>
      <c r="AO1070" s="24"/>
      <c r="AP1070" s="24"/>
      <c r="AQ1070" s="24"/>
      <c r="AR1070" s="54"/>
    </row>
    <row r="1071">
      <c r="A1071" s="57"/>
      <c r="B1071" s="24"/>
      <c r="C1071" s="24"/>
      <c r="D1071" s="24"/>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c r="AA1071" s="24"/>
      <c r="AB1071" s="24"/>
      <c r="AC1071" s="24"/>
      <c r="AD1071" s="24"/>
      <c r="AE1071" s="24"/>
      <c r="AF1071" s="24"/>
      <c r="AG1071" s="24"/>
      <c r="AH1071" s="24"/>
      <c r="AI1071" s="24"/>
      <c r="AJ1071" s="24"/>
      <c r="AK1071" s="24"/>
      <c r="AL1071" s="24"/>
      <c r="AM1071" s="24"/>
      <c r="AN1071" s="24"/>
      <c r="AO1071" s="24"/>
      <c r="AP1071" s="24"/>
      <c r="AQ1071" s="24"/>
      <c r="AR1071" s="54"/>
    </row>
    <row r="1072">
      <c r="A1072" s="57"/>
      <c r="B1072" s="24"/>
      <c r="C1072" s="24"/>
      <c r="D1072" s="24"/>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c r="AA1072" s="24"/>
      <c r="AB1072" s="24"/>
      <c r="AC1072" s="24"/>
      <c r="AD1072" s="24"/>
      <c r="AE1072" s="24"/>
      <c r="AF1072" s="24"/>
      <c r="AG1072" s="24"/>
      <c r="AH1072" s="24"/>
      <c r="AI1072" s="24"/>
      <c r="AJ1072" s="24"/>
      <c r="AK1072" s="24"/>
      <c r="AL1072" s="24"/>
      <c r="AM1072" s="24"/>
      <c r="AN1072" s="24"/>
      <c r="AO1072" s="24"/>
      <c r="AP1072" s="24"/>
      <c r="AQ1072" s="24"/>
      <c r="AR1072" s="54"/>
    </row>
    <row r="1073">
      <c r="A1073" s="57"/>
      <c r="B1073" s="24"/>
      <c r="C1073" s="24"/>
      <c r="D1073" s="24"/>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c r="AA1073" s="24"/>
      <c r="AB1073" s="24"/>
      <c r="AC1073" s="24"/>
      <c r="AD1073" s="24"/>
      <c r="AE1073" s="24"/>
      <c r="AF1073" s="24"/>
      <c r="AG1073" s="24"/>
      <c r="AH1073" s="24"/>
      <c r="AI1073" s="24"/>
      <c r="AJ1073" s="24"/>
      <c r="AK1073" s="24"/>
      <c r="AL1073" s="24"/>
      <c r="AM1073" s="24"/>
      <c r="AN1073" s="24"/>
      <c r="AO1073" s="24"/>
      <c r="AP1073" s="24"/>
      <c r="AQ1073" s="24"/>
      <c r="AR1073" s="54"/>
    </row>
    <row r="1074">
      <c r="A1074" s="57"/>
      <c r="B1074" s="24"/>
      <c r="C1074" s="24"/>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c r="AA1074" s="24"/>
      <c r="AB1074" s="24"/>
      <c r="AC1074" s="24"/>
      <c r="AD1074" s="24"/>
      <c r="AE1074" s="24"/>
      <c r="AF1074" s="24"/>
      <c r="AG1074" s="24"/>
      <c r="AH1074" s="24"/>
      <c r="AI1074" s="24"/>
      <c r="AJ1074" s="24"/>
      <c r="AK1074" s="24"/>
      <c r="AL1074" s="24"/>
      <c r="AM1074" s="24"/>
      <c r="AN1074" s="24"/>
      <c r="AO1074" s="24"/>
      <c r="AP1074" s="24"/>
      <c r="AQ1074" s="24"/>
      <c r="AR1074" s="54"/>
    </row>
    <row r="1075">
      <c r="A1075" s="57"/>
      <c r="B1075" s="24"/>
      <c r="C1075" s="24"/>
      <c r="D1075" s="24"/>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c r="AA1075" s="24"/>
      <c r="AB1075" s="24"/>
      <c r="AC1075" s="24"/>
      <c r="AD1075" s="24"/>
      <c r="AE1075" s="24"/>
      <c r="AF1075" s="24"/>
      <c r="AG1075" s="24"/>
      <c r="AH1075" s="24"/>
      <c r="AI1075" s="24"/>
      <c r="AJ1075" s="24"/>
      <c r="AK1075" s="24"/>
      <c r="AL1075" s="24"/>
      <c r="AM1075" s="24"/>
      <c r="AN1075" s="24"/>
      <c r="AO1075" s="24"/>
      <c r="AP1075" s="24"/>
      <c r="AQ1075" s="24"/>
      <c r="AR1075" s="54"/>
    </row>
    <row r="1076">
      <c r="A1076" s="57"/>
      <c r="B1076" s="24"/>
      <c r="C1076" s="24"/>
      <c r="D1076" s="24"/>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c r="AA1076" s="24"/>
      <c r="AB1076" s="24"/>
      <c r="AC1076" s="24"/>
      <c r="AD1076" s="24"/>
      <c r="AE1076" s="24"/>
      <c r="AF1076" s="24"/>
      <c r="AG1076" s="24"/>
      <c r="AH1076" s="24"/>
      <c r="AI1076" s="24"/>
      <c r="AJ1076" s="24"/>
      <c r="AK1076" s="24"/>
      <c r="AL1076" s="24"/>
      <c r="AM1076" s="24"/>
      <c r="AN1076" s="24"/>
      <c r="AO1076" s="24"/>
      <c r="AP1076" s="24"/>
      <c r="AQ1076" s="24"/>
      <c r="AR1076" s="54"/>
    </row>
    <row r="1077">
      <c r="A1077" s="57"/>
      <c r="B1077" s="24"/>
      <c r="C1077" s="24"/>
      <c r="D1077" s="24"/>
      <c r="E1077" s="24"/>
      <c r="F1077" s="24"/>
      <c r="G1077" s="24"/>
      <c r="H1077" s="24"/>
      <c r="I1077" s="24"/>
      <c r="J1077" s="24"/>
      <c r="K1077" s="24"/>
      <c r="L1077" s="24"/>
      <c r="M1077" s="24"/>
      <c r="N1077" s="24"/>
      <c r="O1077" s="24"/>
      <c r="P1077" s="24"/>
      <c r="Q1077" s="24"/>
      <c r="R1077" s="24"/>
      <c r="S1077" s="24"/>
      <c r="T1077" s="24"/>
      <c r="U1077" s="24"/>
      <c r="V1077" s="24"/>
      <c r="W1077" s="24"/>
      <c r="X1077" s="24"/>
      <c r="Y1077" s="24"/>
      <c r="Z1077" s="24"/>
      <c r="AA1077" s="24"/>
      <c r="AB1077" s="24"/>
      <c r="AC1077" s="24"/>
      <c r="AD1077" s="24"/>
      <c r="AE1077" s="24"/>
      <c r="AF1077" s="24"/>
      <c r="AG1077" s="24"/>
      <c r="AH1077" s="24"/>
      <c r="AI1077" s="24"/>
      <c r="AJ1077" s="24"/>
      <c r="AK1077" s="24"/>
      <c r="AL1077" s="24"/>
      <c r="AM1077" s="24"/>
      <c r="AN1077" s="24"/>
      <c r="AO1077" s="24"/>
      <c r="AP1077" s="24"/>
      <c r="AQ1077" s="24"/>
      <c r="AR1077" s="54"/>
    </row>
    <row r="1078">
      <c r="A1078" s="57"/>
      <c r="B1078" s="24"/>
      <c r="C1078" s="24"/>
      <c r="D1078" s="24"/>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c r="AA1078" s="24"/>
      <c r="AB1078" s="24"/>
      <c r="AC1078" s="24"/>
      <c r="AD1078" s="24"/>
      <c r="AE1078" s="24"/>
      <c r="AF1078" s="24"/>
      <c r="AG1078" s="24"/>
      <c r="AH1078" s="24"/>
      <c r="AI1078" s="24"/>
      <c r="AJ1078" s="24"/>
      <c r="AK1078" s="24"/>
      <c r="AL1078" s="24"/>
      <c r="AM1078" s="24"/>
      <c r="AN1078" s="24"/>
      <c r="AO1078" s="24"/>
      <c r="AP1078" s="24"/>
      <c r="AQ1078" s="24"/>
      <c r="AR1078" s="54"/>
    </row>
    <row r="1079">
      <c r="A1079" s="57"/>
      <c r="B1079" s="24"/>
      <c r="C1079" s="24"/>
      <c r="D1079" s="24"/>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c r="AA1079" s="24"/>
      <c r="AB1079" s="24"/>
      <c r="AC1079" s="24"/>
      <c r="AD1079" s="24"/>
      <c r="AE1079" s="24"/>
      <c r="AF1079" s="24"/>
      <c r="AG1079" s="24"/>
      <c r="AH1079" s="24"/>
      <c r="AI1079" s="24"/>
      <c r="AJ1079" s="24"/>
      <c r="AK1079" s="24"/>
      <c r="AL1079" s="24"/>
      <c r="AM1079" s="24"/>
      <c r="AN1079" s="24"/>
      <c r="AO1079" s="24"/>
      <c r="AP1079" s="24"/>
      <c r="AQ1079" s="24"/>
      <c r="AR1079" s="54"/>
    </row>
    <row r="1080">
      <c r="A1080" s="57"/>
      <c r="B1080" s="24"/>
      <c r="C1080" s="24"/>
      <c r="D1080" s="24"/>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c r="AA1080" s="24"/>
      <c r="AB1080" s="24"/>
      <c r="AC1080" s="24"/>
      <c r="AD1080" s="24"/>
      <c r="AE1080" s="24"/>
      <c r="AF1080" s="24"/>
      <c r="AG1080" s="24"/>
      <c r="AH1080" s="24"/>
      <c r="AI1080" s="24"/>
      <c r="AJ1080" s="24"/>
      <c r="AK1080" s="24"/>
      <c r="AL1080" s="24"/>
      <c r="AM1080" s="24"/>
      <c r="AN1080" s="24"/>
      <c r="AO1080" s="24"/>
      <c r="AP1080" s="24"/>
      <c r="AQ1080" s="24"/>
      <c r="AR1080" s="54"/>
    </row>
    <row r="1081">
      <c r="A1081" s="57"/>
      <c r="B1081" s="24"/>
      <c r="C1081" s="24"/>
      <c r="D1081" s="24"/>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c r="AA1081" s="24"/>
      <c r="AB1081" s="24"/>
      <c r="AC1081" s="24"/>
      <c r="AD1081" s="24"/>
      <c r="AE1081" s="24"/>
      <c r="AF1081" s="24"/>
      <c r="AG1081" s="24"/>
      <c r="AH1081" s="24"/>
      <c r="AI1081" s="24"/>
      <c r="AJ1081" s="24"/>
      <c r="AK1081" s="24"/>
      <c r="AL1081" s="24"/>
      <c r="AM1081" s="24"/>
      <c r="AN1081" s="24"/>
      <c r="AO1081" s="24"/>
      <c r="AP1081" s="24"/>
      <c r="AQ1081" s="24"/>
      <c r="AR1081" s="54"/>
    </row>
    <row r="1082">
      <c r="A1082" s="57"/>
      <c r="B1082" s="24"/>
      <c r="C1082" s="24"/>
      <c r="D1082" s="24"/>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c r="AA1082" s="24"/>
      <c r="AB1082" s="24"/>
      <c r="AC1082" s="24"/>
      <c r="AD1082" s="24"/>
      <c r="AE1082" s="24"/>
      <c r="AF1082" s="24"/>
      <c r="AG1082" s="24"/>
      <c r="AH1082" s="24"/>
      <c r="AI1082" s="24"/>
      <c r="AJ1082" s="24"/>
      <c r="AK1082" s="24"/>
      <c r="AL1082" s="24"/>
      <c r="AM1082" s="24"/>
      <c r="AN1082" s="24"/>
      <c r="AO1082" s="24"/>
      <c r="AP1082" s="24"/>
      <c r="AQ1082" s="24"/>
      <c r="AR1082" s="54"/>
    </row>
    <row r="1083">
      <c r="A1083" s="57"/>
      <c r="B1083" s="24"/>
      <c r="C1083" s="24"/>
      <c r="D1083" s="24"/>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c r="AA1083" s="24"/>
      <c r="AB1083" s="24"/>
      <c r="AC1083" s="24"/>
      <c r="AD1083" s="24"/>
      <c r="AE1083" s="24"/>
      <c r="AF1083" s="24"/>
      <c r="AG1083" s="24"/>
      <c r="AH1083" s="24"/>
      <c r="AI1083" s="24"/>
      <c r="AJ1083" s="24"/>
      <c r="AK1083" s="24"/>
      <c r="AL1083" s="24"/>
      <c r="AM1083" s="24"/>
      <c r="AN1083" s="24"/>
      <c r="AO1083" s="24"/>
      <c r="AP1083" s="24"/>
      <c r="AQ1083" s="24"/>
      <c r="AR1083" s="54"/>
    </row>
    <row r="1084">
      <c r="A1084" s="57"/>
      <c r="B1084" s="24"/>
      <c r="C1084" s="24"/>
      <c r="D1084" s="24"/>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c r="AA1084" s="24"/>
      <c r="AB1084" s="24"/>
      <c r="AC1084" s="24"/>
      <c r="AD1084" s="24"/>
      <c r="AE1084" s="24"/>
      <c r="AF1084" s="24"/>
      <c r="AG1084" s="24"/>
      <c r="AH1084" s="24"/>
      <c r="AI1084" s="24"/>
      <c r="AJ1084" s="24"/>
      <c r="AK1084" s="24"/>
      <c r="AL1084" s="24"/>
      <c r="AM1084" s="24"/>
      <c r="AN1084" s="24"/>
      <c r="AO1084" s="24"/>
      <c r="AP1084" s="24"/>
      <c r="AQ1084" s="24"/>
      <c r="AR1084" s="54"/>
    </row>
    <row r="1085">
      <c r="A1085" s="57"/>
      <c r="B1085" s="24"/>
      <c r="C1085" s="24"/>
      <c r="D1085" s="24"/>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c r="AA1085" s="24"/>
      <c r="AB1085" s="24"/>
      <c r="AC1085" s="24"/>
      <c r="AD1085" s="24"/>
      <c r="AE1085" s="24"/>
      <c r="AF1085" s="24"/>
      <c r="AG1085" s="24"/>
      <c r="AH1085" s="24"/>
      <c r="AI1085" s="24"/>
      <c r="AJ1085" s="24"/>
      <c r="AK1085" s="24"/>
      <c r="AL1085" s="24"/>
      <c r="AM1085" s="24"/>
      <c r="AN1085" s="24"/>
      <c r="AO1085" s="24"/>
      <c r="AP1085" s="24"/>
      <c r="AQ1085" s="24"/>
      <c r="AR1085" s="54"/>
    </row>
    <row r="1086">
      <c r="A1086" s="57"/>
      <c r="B1086" s="24"/>
      <c r="C1086" s="24"/>
      <c r="D1086" s="24"/>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c r="AA1086" s="24"/>
      <c r="AB1086" s="24"/>
      <c r="AC1086" s="24"/>
      <c r="AD1086" s="24"/>
      <c r="AE1086" s="24"/>
      <c r="AF1086" s="24"/>
      <c r="AG1086" s="24"/>
      <c r="AH1086" s="24"/>
      <c r="AI1086" s="24"/>
      <c r="AJ1086" s="24"/>
      <c r="AK1086" s="24"/>
      <c r="AL1086" s="24"/>
      <c r="AM1086" s="24"/>
      <c r="AN1086" s="24"/>
      <c r="AO1086" s="24"/>
      <c r="AP1086" s="24"/>
      <c r="AQ1086" s="24"/>
      <c r="AR1086" s="54"/>
    </row>
    <row r="1087">
      <c r="A1087" s="57"/>
      <c r="B1087" s="24"/>
      <c r="C1087" s="24"/>
      <c r="D1087" s="24"/>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c r="AA1087" s="24"/>
      <c r="AB1087" s="24"/>
      <c r="AC1087" s="24"/>
      <c r="AD1087" s="24"/>
      <c r="AE1087" s="24"/>
      <c r="AF1087" s="24"/>
      <c r="AG1087" s="24"/>
      <c r="AH1087" s="24"/>
      <c r="AI1087" s="24"/>
      <c r="AJ1087" s="24"/>
      <c r="AK1087" s="24"/>
      <c r="AL1087" s="24"/>
      <c r="AM1087" s="24"/>
      <c r="AN1087" s="24"/>
      <c r="AO1087" s="24"/>
      <c r="AP1087" s="24"/>
      <c r="AQ1087" s="24"/>
      <c r="AR1087" s="54"/>
    </row>
    <row r="1088">
      <c r="A1088" s="57"/>
      <c r="B1088" s="24"/>
      <c r="C1088" s="24"/>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c r="AA1088" s="24"/>
      <c r="AB1088" s="24"/>
      <c r="AC1088" s="24"/>
      <c r="AD1088" s="24"/>
      <c r="AE1088" s="24"/>
      <c r="AF1088" s="24"/>
      <c r="AG1088" s="24"/>
      <c r="AH1088" s="24"/>
      <c r="AI1088" s="24"/>
      <c r="AJ1088" s="24"/>
      <c r="AK1088" s="24"/>
      <c r="AL1088" s="24"/>
      <c r="AM1088" s="24"/>
      <c r="AN1088" s="24"/>
      <c r="AO1088" s="24"/>
      <c r="AP1088" s="24"/>
      <c r="AQ1088" s="24"/>
      <c r="AR1088" s="54"/>
    </row>
    <row r="1089">
      <c r="A1089" s="57"/>
      <c r="B1089" s="24"/>
      <c r="C1089" s="24"/>
      <c r="D1089" s="24"/>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c r="AA1089" s="24"/>
      <c r="AB1089" s="24"/>
      <c r="AC1089" s="24"/>
      <c r="AD1089" s="24"/>
      <c r="AE1089" s="24"/>
      <c r="AF1089" s="24"/>
      <c r="AG1089" s="24"/>
      <c r="AH1089" s="24"/>
      <c r="AI1089" s="24"/>
      <c r="AJ1089" s="24"/>
      <c r="AK1089" s="24"/>
      <c r="AL1089" s="24"/>
      <c r="AM1089" s="24"/>
      <c r="AN1089" s="24"/>
      <c r="AO1089" s="24"/>
      <c r="AP1089" s="24"/>
      <c r="AQ1089" s="24"/>
      <c r="AR1089" s="54"/>
    </row>
    <row r="1090">
      <c r="A1090" s="57"/>
      <c r="B1090" s="24"/>
      <c r="C1090" s="24"/>
      <c r="D1090" s="24"/>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c r="AA1090" s="24"/>
      <c r="AB1090" s="24"/>
      <c r="AC1090" s="24"/>
      <c r="AD1090" s="24"/>
      <c r="AE1090" s="24"/>
      <c r="AF1090" s="24"/>
      <c r="AG1090" s="24"/>
      <c r="AH1090" s="24"/>
      <c r="AI1090" s="24"/>
      <c r="AJ1090" s="24"/>
      <c r="AK1090" s="24"/>
      <c r="AL1090" s="24"/>
      <c r="AM1090" s="24"/>
      <c r="AN1090" s="24"/>
      <c r="AO1090" s="24"/>
      <c r="AP1090" s="24"/>
      <c r="AQ1090" s="24"/>
      <c r="AR1090" s="54"/>
    </row>
    <row r="1091">
      <c r="A1091" s="57"/>
      <c r="B1091" s="24"/>
      <c r="C1091" s="24"/>
      <c r="D1091" s="24"/>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c r="AA1091" s="24"/>
      <c r="AB1091" s="24"/>
      <c r="AC1091" s="24"/>
      <c r="AD1091" s="24"/>
      <c r="AE1091" s="24"/>
      <c r="AF1091" s="24"/>
      <c r="AG1091" s="24"/>
      <c r="AH1091" s="24"/>
      <c r="AI1091" s="24"/>
      <c r="AJ1091" s="24"/>
      <c r="AK1091" s="24"/>
      <c r="AL1091" s="24"/>
      <c r="AM1091" s="24"/>
      <c r="AN1091" s="24"/>
      <c r="AO1091" s="24"/>
      <c r="AP1091" s="24"/>
      <c r="AQ1091" s="24"/>
      <c r="AR1091" s="54"/>
    </row>
    <row r="1092">
      <c r="A1092" s="57"/>
      <c r="B1092" s="24"/>
      <c r="C1092" s="24"/>
      <c r="D1092" s="24"/>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c r="AA1092" s="24"/>
      <c r="AB1092" s="24"/>
      <c r="AC1092" s="24"/>
      <c r="AD1092" s="24"/>
      <c r="AE1092" s="24"/>
      <c r="AF1092" s="24"/>
      <c r="AG1092" s="24"/>
      <c r="AH1092" s="24"/>
      <c r="AI1092" s="24"/>
      <c r="AJ1092" s="24"/>
      <c r="AK1092" s="24"/>
      <c r="AL1092" s="24"/>
      <c r="AM1092" s="24"/>
      <c r="AN1092" s="24"/>
      <c r="AO1092" s="24"/>
      <c r="AP1092" s="24"/>
      <c r="AQ1092" s="24"/>
      <c r="AR1092" s="54"/>
    </row>
    <row r="1093">
      <c r="A1093" s="57"/>
      <c r="B1093" s="24"/>
      <c r="C1093" s="24"/>
      <c r="D1093" s="24"/>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c r="AA1093" s="24"/>
      <c r="AB1093" s="24"/>
      <c r="AC1093" s="24"/>
      <c r="AD1093" s="24"/>
      <c r="AE1093" s="24"/>
      <c r="AF1093" s="24"/>
      <c r="AG1093" s="24"/>
      <c r="AH1093" s="24"/>
      <c r="AI1093" s="24"/>
      <c r="AJ1093" s="24"/>
      <c r="AK1093" s="24"/>
      <c r="AL1093" s="24"/>
      <c r="AM1093" s="24"/>
      <c r="AN1093" s="24"/>
      <c r="AO1093" s="24"/>
      <c r="AP1093" s="24"/>
      <c r="AQ1093" s="24"/>
      <c r="AR1093" s="54"/>
    </row>
    <row r="1094">
      <c r="A1094" s="57"/>
      <c r="B1094" s="24"/>
      <c r="C1094" s="24"/>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c r="AA1094" s="24"/>
      <c r="AB1094" s="24"/>
      <c r="AC1094" s="24"/>
      <c r="AD1094" s="24"/>
      <c r="AE1094" s="24"/>
      <c r="AF1094" s="24"/>
      <c r="AG1094" s="24"/>
      <c r="AH1094" s="24"/>
      <c r="AI1094" s="24"/>
      <c r="AJ1094" s="24"/>
      <c r="AK1094" s="24"/>
      <c r="AL1094" s="24"/>
      <c r="AM1094" s="24"/>
      <c r="AN1094" s="24"/>
      <c r="AO1094" s="24"/>
      <c r="AP1094" s="24"/>
      <c r="AQ1094" s="24"/>
      <c r="AR1094" s="54"/>
    </row>
    <row r="1095">
      <c r="A1095" s="57"/>
      <c r="B1095" s="24"/>
      <c r="C1095" s="24"/>
      <c r="D1095" s="24"/>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c r="AA1095" s="24"/>
      <c r="AB1095" s="24"/>
      <c r="AC1095" s="24"/>
      <c r="AD1095" s="24"/>
      <c r="AE1095" s="24"/>
      <c r="AF1095" s="24"/>
      <c r="AG1095" s="24"/>
      <c r="AH1095" s="24"/>
      <c r="AI1095" s="24"/>
      <c r="AJ1095" s="24"/>
      <c r="AK1095" s="24"/>
      <c r="AL1095" s="24"/>
      <c r="AM1095" s="24"/>
      <c r="AN1095" s="24"/>
      <c r="AO1095" s="24"/>
      <c r="AP1095" s="24"/>
      <c r="AQ1095" s="24"/>
      <c r="AR1095" s="54"/>
    </row>
    <row r="1096">
      <c r="A1096" s="57"/>
      <c r="B1096" s="24"/>
      <c r="C1096" s="24"/>
      <c r="D1096" s="24"/>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c r="AA1096" s="24"/>
      <c r="AB1096" s="24"/>
      <c r="AC1096" s="24"/>
      <c r="AD1096" s="24"/>
      <c r="AE1096" s="24"/>
      <c r="AF1096" s="24"/>
      <c r="AG1096" s="24"/>
      <c r="AH1096" s="24"/>
      <c r="AI1096" s="24"/>
      <c r="AJ1096" s="24"/>
      <c r="AK1096" s="24"/>
      <c r="AL1096" s="24"/>
      <c r="AM1096" s="24"/>
      <c r="AN1096" s="24"/>
      <c r="AO1096" s="24"/>
      <c r="AP1096" s="24"/>
      <c r="AQ1096" s="24"/>
      <c r="AR1096" s="54"/>
    </row>
    <row r="1097">
      <c r="A1097" s="57"/>
      <c r="B1097" s="24"/>
      <c r="C1097" s="24"/>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c r="AA1097" s="24"/>
      <c r="AB1097" s="24"/>
      <c r="AC1097" s="24"/>
      <c r="AD1097" s="24"/>
      <c r="AE1097" s="24"/>
      <c r="AF1097" s="24"/>
      <c r="AG1097" s="24"/>
      <c r="AH1097" s="24"/>
      <c r="AI1097" s="24"/>
      <c r="AJ1097" s="24"/>
      <c r="AK1097" s="24"/>
      <c r="AL1097" s="24"/>
      <c r="AM1097" s="24"/>
      <c r="AN1097" s="24"/>
      <c r="AO1097" s="24"/>
      <c r="AP1097" s="24"/>
      <c r="AQ1097" s="24"/>
      <c r="AR1097" s="54"/>
    </row>
    <row r="1098">
      <c r="A1098" s="57"/>
      <c r="B1098" s="24"/>
      <c r="C1098" s="24"/>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c r="AA1098" s="24"/>
      <c r="AB1098" s="24"/>
      <c r="AC1098" s="24"/>
      <c r="AD1098" s="24"/>
      <c r="AE1098" s="24"/>
      <c r="AF1098" s="24"/>
      <c r="AG1098" s="24"/>
      <c r="AH1098" s="24"/>
      <c r="AI1098" s="24"/>
      <c r="AJ1098" s="24"/>
      <c r="AK1098" s="24"/>
      <c r="AL1098" s="24"/>
      <c r="AM1098" s="24"/>
      <c r="AN1098" s="24"/>
      <c r="AO1098" s="24"/>
      <c r="AP1098" s="24"/>
      <c r="AQ1098" s="24"/>
      <c r="AR1098" s="54"/>
    </row>
    <row r="1099">
      <c r="A1099" s="57"/>
      <c r="B1099" s="24"/>
      <c r="C1099" s="24"/>
      <c r="D1099" s="24"/>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c r="AA1099" s="24"/>
      <c r="AB1099" s="24"/>
      <c r="AC1099" s="24"/>
      <c r="AD1099" s="24"/>
      <c r="AE1099" s="24"/>
      <c r="AF1099" s="24"/>
      <c r="AG1099" s="24"/>
      <c r="AH1099" s="24"/>
      <c r="AI1099" s="24"/>
      <c r="AJ1099" s="24"/>
      <c r="AK1099" s="24"/>
      <c r="AL1099" s="24"/>
      <c r="AM1099" s="24"/>
      <c r="AN1099" s="24"/>
      <c r="AO1099" s="24"/>
      <c r="AP1099" s="24"/>
      <c r="AQ1099" s="24"/>
      <c r="AR1099" s="54"/>
    </row>
    <row r="1100">
      <c r="A1100" s="57"/>
      <c r="B1100" s="24"/>
      <c r="C1100" s="24"/>
      <c r="D1100" s="24"/>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c r="AA1100" s="24"/>
      <c r="AB1100" s="24"/>
      <c r="AC1100" s="24"/>
      <c r="AD1100" s="24"/>
      <c r="AE1100" s="24"/>
      <c r="AF1100" s="24"/>
      <c r="AG1100" s="24"/>
      <c r="AH1100" s="24"/>
      <c r="AI1100" s="24"/>
      <c r="AJ1100" s="24"/>
      <c r="AK1100" s="24"/>
      <c r="AL1100" s="24"/>
      <c r="AM1100" s="24"/>
      <c r="AN1100" s="24"/>
      <c r="AO1100" s="24"/>
      <c r="AP1100" s="24"/>
      <c r="AQ1100" s="24"/>
      <c r="AR1100" s="54"/>
    </row>
    <row r="1101">
      <c r="A1101" s="57"/>
      <c r="B1101" s="24"/>
      <c r="C1101" s="24"/>
      <c r="D1101" s="24"/>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c r="AA1101" s="24"/>
      <c r="AB1101" s="24"/>
      <c r="AC1101" s="24"/>
      <c r="AD1101" s="24"/>
      <c r="AE1101" s="24"/>
      <c r="AF1101" s="24"/>
      <c r="AG1101" s="24"/>
      <c r="AH1101" s="24"/>
      <c r="AI1101" s="24"/>
      <c r="AJ1101" s="24"/>
      <c r="AK1101" s="24"/>
      <c r="AL1101" s="24"/>
      <c r="AM1101" s="24"/>
      <c r="AN1101" s="24"/>
      <c r="AO1101" s="24"/>
      <c r="AP1101" s="24"/>
      <c r="AQ1101" s="24"/>
      <c r="AR1101" s="54"/>
    </row>
    <row r="1102">
      <c r="A1102" s="57"/>
      <c r="B1102" s="24"/>
      <c r="C1102" s="24"/>
      <c r="D1102" s="24"/>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c r="AA1102" s="24"/>
      <c r="AB1102" s="24"/>
      <c r="AC1102" s="24"/>
      <c r="AD1102" s="24"/>
      <c r="AE1102" s="24"/>
      <c r="AF1102" s="24"/>
      <c r="AG1102" s="24"/>
      <c r="AH1102" s="24"/>
      <c r="AI1102" s="24"/>
      <c r="AJ1102" s="24"/>
      <c r="AK1102" s="24"/>
      <c r="AL1102" s="24"/>
      <c r="AM1102" s="24"/>
      <c r="AN1102" s="24"/>
      <c r="AO1102" s="24"/>
      <c r="AP1102" s="24"/>
      <c r="AQ1102" s="24"/>
      <c r="AR1102" s="54"/>
    </row>
    <row r="1103">
      <c r="A1103" s="57"/>
      <c r="B1103" s="24"/>
      <c r="C1103" s="24"/>
      <c r="D1103" s="24"/>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c r="AA1103" s="24"/>
      <c r="AB1103" s="24"/>
      <c r="AC1103" s="24"/>
      <c r="AD1103" s="24"/>
      <c r="AE1103" s="24"/>
      <c r="AF1103" s="24"/>
      <c r="AG1103" s="24"/>
      <c r="AH1103" s="24"/>
      <c r="AI1103" s="24"/>
      <c r="AJ1103" s="24"/>
      <c r="AK1103" s="24"/>
      <c r="AL1103" s="24"/>
      <c r="AM1103" s="24"/>
      <c r="AN1103" s="24"/>
      <c r="AO1103" s="24"/>
      <c r="AP1103" s="24"/>
      <c r="AQ1103" s="24"/>
      <c r="AR1103" s="54"/>
    </row>
    <row r="1104">
      <c r="A1104" s="57"/>
      <c r="B1104" s="24"/>
      <c r="C1104" s="24"/>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c r="AA1104" s="24"/>
      <c r="AB1104" s="24"/>
      <c r="AC1104" s="24"/>
      <c r="AD1104" s="24"/>
      <c r="AE1104" s="24"/>
      <c r="AF1104" s="24"/>
      <c r="AG1104" s="24"/>
      <c r="AH1104" s="24"/>
      <c r="AI1104" s="24"/>
      <c r="AJ1104" s="24"/>
      <c r="AK1104" s="24"/>
      <c r="AL1104" s="24"/>
      <c r="AM1104" s="24"/>
      <c r="AN1104" s="24"/>
      <c r="AO1104" s="24"/>
      <c r="AP1104" s="24"/>
      <c r="AQ1104" s="24"/>
      <c r="AR1104" s="54"/>
    </row>
    <row r="1105">
      <c r="A1105" s="57"/>
      <c r="B1105" s="24"/>
      <c r="C1105" s="24"/>
      <c r="D1105" s="24"/>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c r="AA1105" s="24"/>
      <c r="AB1105" s="24"/>
      <c r="AC1105" s="24"/>
      <c r="AD1105" s="24"/>
      <c r="AE1105" s="24"/>
      <c r="AF1105" s="24"/>
      <c r="AG1105" s="24"/>
      <c r="AH1105" s="24"/>
      <c r="AI1105" s="24"/>
      <c r="AJ1105" s="24"/>
      <c r="AK1105" s="24"/>
      <c r="AL1105" s="24"/>
      <c r="AM1105" s="24"/>
      <c r="AN1105" s="24"/>
      <c r="AO1105" s="24"/>
      <c r="AP1105" s="24"/>
      <c r="AQ1105" s="24"/>
      <c r="AR1105" s="54"/>
    </row>
    <row r="1106">
      <c r="A1106" s="57"/>
      <c r="B1106" s="24"/>
      <c r="C1106" s="24"/>
      <c r="D1106" s="24"/>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c r="AA1106" s="24"/>
      <c r="AB1106" s="24"/>
      <c r="AC1106" s="24"/>
      <c r="AD1106" s="24"/>
      <c r="AE1106" s="24"/>
      <c r="AF1106" s="24"/>
      <c r="AG1106" s="24"/>
      <c r="AH1106" s="24"/>
      <c r="AI1106" s="24"/>
      <c r="AJ1106" s="24"/>
      <c r="AK1106" s="24"/>
      <c r="AL1106" s="24"/>
      <c r="AM1106" s="24"/>
      <c r="AN1106" s="24"/>
      <c r="AO1106" s="24"/>
      <c r="AP1106" s="24"/>
      <c r="AQ1106" s="24"/>
      <c r="AR1106" s="54"/>
    </row>
    <row r="1107">
      <c r="A1107" s="57"/>
      <c r="B1107" s="24"/>
      <c r="C1107" s="24"/>
      <c r="D1107" s="24"/>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c r="AA1107" s="24"/>
      <c r="AB1107" s="24"/>
      <c r="AC1107" s="24"/>
      <c r="AD1107" s="24"/>
      <c r="AE1107" s="24"/>
      <c r="AF1107" s="24"/>
      <c r="AG1107" s="24"/>
      <c r="AH1107" s="24"/>
      <c r="AI1107" s="24"/>
      <c r="AJ1107" s="24"/>
      <c r="AK1107" s="24"/>
      <c r="AL1107" s="24"/>
      <c r="AM1107" s="24"/>
      <c r="AN1107" s="24"/>
      <c r="AO1107" s="24"/>
      <c r="AP1107" s="24"/>
      <c r="AQ1107" s="24"/>
      <c r="AR1107" s="54"/>
    </row>
    <row r="1108">
      <c r="A1108" s="57"/>
      <c r="B1108" s="24"/>
      <c r="C1108" s="24"/>
      <c r="D1108" s="24"/>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c r="AA1108" s="24"/>
      <c r="AB1108" s="24"/>
      <c r="AC1108" s="24"/>
      <c r="AD1108" s="24"/>
      <c r="AE1108" s="24"/>
      <c r="AF1108" s="24"/>
      <c r="AG1108" s="24"/>
      <c r="AH1108" s="24"/>
      <c r="AI1108" s="24"/>
      <c r="AJ1108" s="24"/>
      <c r="AK1108" s="24"/>
      <c r="AL1108" s="24"/>
      <c r="AM1108" s="24"/>
      <c r="AN1108" s="24"/>
      <c r="AO1108" s="24"/>
      <c r="AP1108" s="24"/>
      <c r="AQ1108" s="24"/>
      <c r="AR1108" s="54"/>
    </row>
    <row r="1109">
      <c r="A1109" s="57"/>
      <c r="B1109" s="24"/>
      <c r="C1109" s="24"/>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c r="AA1109" s="24"/>
      <c r="AB1109" s="24"/>
      <c r="AC1109" s="24"/>
      <c r="AD1109" s="24"/>
      <c r="AE1109" s="24"/>
      <c r="AF1109" s="24"/>
      <c r="AG1109" s="24"/>
      <c r="AH1109" s="24"/>
      <c r="AI1109" s="24"/>
      <c r="AJ1109" s="24"/>
      <c r="AK1109" s="24"/>
      <c r="AL1109" s="24"/>
      <c r="AM1109" s="24"/>
      <c r="AN1109" s="24"/>
      <c r="AO1109" s="24"/>
      <c r="AP1109" s="24"/>
      <c r="AQ1109" s="24"/>
      <c r="AR1109" s="54"/>
    </row>
    <row r="1110">
      <c r="A1110" s="57"/>
      <c r="B1110" s="24"/>
      <c r="C1110" s="24"/>
      <c r="D1110" s="24"/>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c r="AA1110" s="24"/>
      <c r="AB1110" s="24"/>
      <c r="AC1110" s="24"/>
      <c r="AD1110" s="24"/>
      <c r="AE1110" s="24"/>
      <c r="AF1110" s="24"/>
      <c r="AG1110" s="24"/>
      <c r="AH1110" s="24"/>
      <c r="AI1110" s="24"/>
      <c r="AJ1110" s="24"/>
      <c r="AK1110" s="24"/>
      <c r="AL1110" s="24"/>
      <c r="AM1110" s="24"/>
      <c r="AN1110" s="24"/>
      <c r="AO1110" s="24"/>
      <c r="AP1110" s="24"/>
      <c r="AQ1110" s="24"/>
      <c r="AR1110" s="54"/>
    </row>
    <row r="1111">
      <c r="A1111" s="57"/>
      <c r="B1111" s="24"/>
      <c r="C1111" s="24"/>
      <c r="D1111" s="24"/>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c r="AA1111" s="24"/>
      <c r="AB1111" s="24"/>
      <c r="AC1111" s="24"/>
      <c r="AD1111" s="24"/>
      <c r="AE1111" s="24"/>
      <c r="AF1111" s="24"/>
      <c r="AG1111" s="24"/>
      <c r="AH1111" s="24"/>
      <c r="AI1111" s="24"/>
      <c r="AJ1111" s="24"/>
      <c r="AK1111" s="24"/>
      <c r="AL1111" s="24"/>
      <c r="AM1111" s="24"/>
      <c r="AN1111" s="24"/>
      <c r="AO1111" s="24"/>
      <c r="AP1111" s="24"/>
      <c r="AQ1111" s="24"/>
      <c r="AR1111" s="54"/>
    </row>
    <row r="1112">
      <c r="A1112" s="57"/>
      <c r="B1112" s="24"/>
      <c r="C1112" s="24"/>
      <c r="D1112" s="24"/>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c r="AA1112" s="24"/>
      <c r="AB1112" s="24"/>
      <c r="AC1112" s="24"/>
      <c r="AD1112" s="24"/>
      <c r="AE1112" s="24"/>
      <c r="AF1112" s="24"/>
      <c r="AG1112" s="24"/>
      <c r="AH1112" s="24"/>
      <c r="AI1112" s="24"/>
      <c r="AJ1112" s="24"/>
      <c r="AK1112" s="24"/>
      <c r="AL1112" s="24"/>
      <c r="AM1112" s="24"/>
      <c r="AN1112" s="24"/>
      <c r="AO1112" s="24"/>
      <c r="AP1112" s="24"/>
      <c r="AQ1112" s="24"/>
      <c r="AR1112" s="54"/>
    </row>
    <row r="1113">
      <c r="A1113" s="57"/>
      <c r="B1113" s="24"/>
      <c r="C1113" s="24"/>
      <c r="D1113" s="24"/>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c r="AA1113" s="24"/>
      <c r="AB1113" s="24"/>
      <c r="AC1113" s="24"/>
      <c r="AD1113" s="24"/>
      <c r="AE1113" s="24"/>
      <c r="AF1113" s="24"/>
      <c r="AG1113" s="24"/>
      <c r="AH1113" s="24"/>
      <c r="AI1113" s="24"/>
      <c r="AJ1113" s="24"/>
      <c r="AK1113" s="24"/>
      <c r="AL1113" s="24"/>
      <c r="AM1113" s="24"/>
      <c r="AN1113" s="24"/>
      <c r="AO1113" s="24"/>
      <c r="AP1113" s="24"/>
      <c r="AQ1113" s="24"/>
      <c r="AR1113" s="54"/>
    </row>
    <row r="1114">
      <c r="A1114" s="57"/>
      <c r="B1114" s="24"/>
      <c r="C1114" s="24"/>
      <c r="D1114" s="24"/>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c r="AA1114" s="24"/>
      <c r="AB1114" s="24"/>
      <c r="AC1114" s="24"/>
      <c r="AD1114" s="24"/>
      <c r="AE1114" s="24"/>
      <c r="AF1114" s="24"/>
      <c r="AG1114" s="24"/>
      <c r="AH1114" s="24"/>
      <c r="AI1114" s="24"/>
      <c r="AJ1114" s="24"/>
      <c r="AK1114" s="24"/>
      <c r="AL1114" s="24"/>
      <c r="AM1114" s="24"/>
      <c r="AN1114" s="24"/>
      <c r="AO1114" s="24"/>
      <c r="AP1114" s="24"/>
      <c r="AQ1114" s="24"/>
      <c r="AR1114" s="54"/>
    </row>
    <row r="1115">
      <c r="A1115" s="57"/>
      <c r="B1115" s="24"/>
      <c r="C1115" s="24"/>
      <c r="D1115" s="24"/>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c r="AA1115" s="24"/>
      <c r="AB1115" s="24"/>
      <c r="AC1115" s="24"/>
      <c r="AD1115" s="24"/>
      <c r="AE1115" s="24"/>
      <c r="AF1115" s="24"/>
      <c r="AG1115" s="24"/>
      <c r="AH1115" s="24"/>
      <c r="AI1115" s="24"/>
      <c r="AJ1115" s="24"/>
      <c r="AK1115" s="24"/>
      <c r="AL1115" s="24"/>
      <c r="AM1115" s="24"/>
      <c r="AN1115" s="24"/>
      <c r="AO1115" s="24"/>
      <c r="AP1115" s="24"/>
      <c r="AQ1115" s="24"/>
      <c r="AR1115" s="54"/>
    </row>
    <row r="1116">
      <c r="A1116" s="57"/>
      <c r="B1116" s="24"/>
      <c r="C1116" s="24"/>
      <c r="D1116" s="24"/>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c r="AA1116" s="24"/>
      <c r="AB1116" s="24"/>
      <c r="AC1116" s="24"/>
      <c r="AD1116" s="24"/>
      <c r="AE1116" s="24"/>
      <c r="AF1116" s="24"/>
      <c r="AG1116" s="24"/>
      <c r="AH1116" s="24"/>
      <c r="AI1116" s="24"/>
      <c r="AJ1116" s="24"/>
      <c r="AK1116" s="24"/>
      <c r="AL1116" s="24"/>
      <c r="AM1116" s="24"/>
      <c r="AN1116" s="24"/>
      <c r="AO1116" s="24"/>
      <c r="AP1116" s="24"/>
      <c r="AQ1116" s="24"/>
      <c r="AR1116" s="54"/>
    </row>
    <row r="1117">
      <c r="A1117" s="57"/>
      <c r="B1117" s="24"/>
      <c r="C1117" s="24"/>
      <c r="D1117" s="24"/>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c r="AA1117" s="24"/>
      <c r="AB1117" s="24"/>
      <c r="AC1117" s="24"/>
      <c r="AD1117" s="24"/>
      <c r="AE1117" s="24"/>
      <c r="AF1117" s="24"/>
      <c r="AG1117" s="24"/>
      <c r="AH1117" s="24"/>
      <c r="AI1117" s="24"/>
      <c r="AJ1117" s="24"/>
      <c r="AK1117" s="24"/>
      <c r="AL1117" s="24"/>
      <c r="AM1117" s="24"/>
      <c r="AN1117" s="24"/>
      <c r="AO1117" s="24"/>
      <c r="AP1117" s="24"/>
      <c r="AQ1117" s="24"/>
      <c r="AR1117" s="54"/>
    </row>
    <row r="1118">
      <c r="A1118" s="57"/>
      <c r="B1118" s="24"/>
      <c r="C1118" s="24"/>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c r="AA1118" s="24"/>
      <c r="AB1118" s="24"/>
      <c r="AC1118" s="24"/>
      <c r="AD1118" s="24"/>
      <c r="AE1118" s="24"/>
      <c r="AF1118" s="24"/>
      <c r="AG1118" s="24"/>
      <c r="AH1118" s="24"/>
      <c r="AI1118" s="24"/>
      <c r="AJ1118" s="24"/>
      <c r="AK1118" s="24"/>
      <c r="AL1118" s="24"/>
      <c r="AM1118" s="24"/>
      <c r="AN1118" s="24"/>
      <c r="AO1118" s="24"/>
      <c r="AP1118" s="24"/>
      <c r="AQ1118" s="24"/>
      <c r="AR1118" s="54"/>
    </row>
    <row r="1119">
      <c r="A1119" s="57"/>
      <c r="B1119" s="24"/>
      <c r="C1119" s="24"/>
      <c r="D1119" s="24"/>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c r="AA1119" s="24"/>
      <c r="AB1119" s="24"/>
      <c r="AC1119" s="24"/>
      <c r="AD1119" s="24"/>
      <c r="AE1119" s="24"/>
      <c r="AF1119" s="24"/>
      <c r="AG1119" s="24"/>
      <c r="AH1119" s="24"/>
      <c r="AI1119" s="24"/>
      <c r="AJ1119" s="24"/>
      <c r="AK1119" s="24"/>
      <c r="AL1119" s="24"/>
      <c r="AM1119" s="24"/>
      <c r="AN1119" s="24"/>
      <c r="AO1119" s="24"/>
      <c r="AP1119" s="24"/>
      <c r="AQ1119" s="24"/>
      <c r="AR1119" s="54"/>
    </row>
    <row r="1120">
      <c r="A1120" s="57"/>
      <c r="B1120" s="24"/>
      <c r="C1120" s="24"/>
      <c r="D1120" s="24"/>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c r="AA1120" s="24"/>
      <c r="AB1120" s="24"/>
      <c r="AC1120" s="24"/>
      <c r="AD1120" s="24"/>
      <c r="AE1120" s="24"/>
      <c r="AF1120" s="24"/>
      <c r="AG1120" s="24"/>
      <c r="AH1120" s="24"/>
      <c r="AI1120" s="24"/>
      <c r="AJ1120" s="24"/>
      <c r="AK1120" s="24"/>
      <c r="AL1120" s="24"/>
      <c r="AM1120" s="24"/>
      <c r="AN1120" s="24"/>
      <c r="AO1120" s="24"/>
      <c r="AP1120" s="24"/>
      <c r="AQ1120" s="24"/>
      <c r="AR1120" s="54"/>
    </row>
    <row r="1121">
      <c r="A1121" s="57"/>
      <c r="B1121" s="24"/>
      <c r="C1121" s="24"/>
      <c r="D1121" s="24"/>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c r="AA1121" s="24"/>
      <c r="AB1121" s="24"/>
      <c r="AC1121" s="24"/>
      <c r="AD1121" s="24"/>
      <c r="AE1121" s="24"/>
      <c r="AF1121" s="24"/>
      <c r="AG1121" s="24"/>
      <c r="AH1121" s="24"/>
      <c r="AI1121" s="24"/>
      <c r="AJ1121" s="24"/>
      <c r="AK1121" s="24"/>
      <c r="AL1121" s="24"/>
      <c r="AM1121" s="24"/>
      <c r="AN1121" s="24"/>
      <c r="AO1121" s="24"/>
      <c r="AP1121" s="24"/>
      <c r="AQ1121" s="24"/>
      <c r="AR1121" s="54"/>
    </row>
    <row r="1122">
      <c r="A1122" s="57"/>
      <c r="B1122" s="24"/>
      <c r="C1122" s="24"/>
      <c r="D1122" s="24"/>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c r="AA1122" s="24"/>
      <c r="AB1122" s="24"/>
      <c r="AC1122" s="24"/>
      <c r="AD1122" s="24"/>
      <c r="AE1122" s="24"/>
      <c r="AF1122" s="24"/>
      <c r="AG1122" s="24"/>
      <c r="AH1122" s="24"/>
      <c r="AI1122" s="24"/>
      <c r="AJ1122" s="24"/>
      <c r="AK1122" s="24"/>
      <c r="AL1122" s="24"/>
      <c r="AM1122" s="24"/>
      <c r="AN1122" s="24"/>
      <c r="AO1122" s="24"/>
      <c r="AP1122" s="24"/>
      <c r="AQ1122" s="24"/>
      <c r="AR1122" s="54"/>
    </row>
    <row r="1123">
      <c r="A1123" s="57"/>
      <c r="B1123" s="24"/>
      <c r="C1123" s="24"/>
      <c r="D1123" s="24"/>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c r="AA1123" s="24"/>
      <c r="AB1123" s="24"/>
      <c r="AC1123" s="24"/>
      <c r="AD1123" s="24"/>
      <c r="AE1123" s="24"/>
      <c r="AF1123" s="24"/>
      <c r="AG1123" s="24"/>
      <c r="AH1123" s="24"/>
      <c r="AI1123" s="24"/>
      <c r="AJ1123" s="24"/>
      <c r="AK1123" s="24"/>
      <c r="AL1123" s="24"/>
      <c r="AM1123" s="24"/>
      <c r="AN1123" s="24"/>
      <c r="AO1123" s="24"/>
      <c r="AP1123" s="24"/>
      <c r="AQ1123" s="24"/>
      <c r="AR1123" s="54"/>
    </row>
    <row r="1124">
      <c r="A1124" s="57"/>
      <c r="B1124" s="24"/>
      <c r="C1124" s="24"/>
      <c r="D1124" s="24"/>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c r="AA1124" s="24"/>
      <c r="AB1124" s="24"/>
      <c r="AC1124" s="24"/>
      <c r="AD1124" s="24"/>
      <c r="AE1124" s="24"/>
      <c r="AF1124" s="24"/>
      <c r="AG1124" s="24"/>
      <c r="AH1124" s="24"/>
      <c r="AI1124" s="24"/>
      <c r="AJ1124" s="24"/>
      <c r="AK1124" s="24"/>
      <c r="AL1124" s="24"/>
      <c r="AM1124" s="24"/>
      <c r="AN1124" s="24"/>
      <c r="AO1124" s="24"/>
      <c r="AP1124" s="24"/>
      <c r="AQ1124" s="24"/>
      <c r="AR1124" s="54"/>
    </row>
    <row r="1125">
      <c r="A1125" s="57"/>
      <c r="B1125" s="24"/>
      <c r="C1125" s="24"/>
      <c r="D1125" s="24"/>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c r="AA1125" s="24"/>
      <c r="AB1125" s="24"/>
      <c r="AC1125" s="24"/>
      <c r="AD1125" s="24"/>
      <c r="AE1125" s="24"/>
      <c r="AF1125" s="24"/>
      <c r="AG1125" s="24"/>
      <c r="AH1125" s="24"/>
      <c r="AI1125" s="24"/>
      <c r="AJ1125" s="24"/>
      <c r="AK1125" s="24"/>
      <c r="AL1125" s="24"/>
      <c r="AM1125" s="24"/>
      <c r="AN1125" s="24"/>
      <c r="AO1125" s="24"/>
      <c r="AP1125" s="24"/>
      <c r="AQ1125" s="24"/>
      <c r="AR1125" s="54"/>
    </row>
    <row r="1126">
      <c r="A1126" s="57"/>
      <c r="B1126" s="24"/>
      <c r="C1126" s="24"/>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c r="AA1126" s="24"/>
      <c r="AB1126" s="24"/>
      <c r="AC1126" s="24"/>
      <c r="AD1126" s="24"/>
      <c r="AE1126" s="24"/>
      <c r="AF1126" s="24"/>
      <c r="AG1126" s="24"/>
      <c r="AH1126" s="24"/>
      <c r="AI1126" s="24"/>
      <c r="AJ1126" s="24"/>
      <c r="AK1126" s="24"/>
      <c r="AL1126" s="24"/>
      <c r="AM1126" s="24"/>
      <c r="AN1126" s="24"/>
      <c r="AO1126" s="24"/>
      <c r="AP1126" s="24"/>
      <c r="AQ1126" s="24"/>
      <c r="AR1126" s="54"/>
    </row>
    <row r="1127">
      <c r="A1127" s="57"/>
      <c r="B1127" s="24"/>
      <c r="C1127" s="24"/>
      <c r="D1127" s="24"/>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c r="AA1127" s="24"/>
      <c r="AB1127" s="24"/>
      <c r="AC1127" s="24"/>
      <c r="AD1127" s="24"/>
      <c r="AE1127" s="24"/>
      <c r="AF1127" s="24"/>
      <c r="AG1127" s="24"/>
      <c r="AH1127" s="24"/>
      <c r="AI1127" s="24"/>
      <c r="AJ1127" s="24"/>
      <c r="AK1127" s="24"/>
      <c r="AL1127" s="24"/>
      <c r="AM1127" s="24"/>
      <c r="AN1127" s="24"/>
      <c r="AO1127" s="24"/>
      <c r="AP1127" s="24"/>
      <c r="AQ1127" s="24"/>
      <c r="AR1127" s="54"/>
    </row>
    <row r="1128">
      <c r="A1128" s="57"/>
      <c r="B1128" s="24"/>
      <c r="C1128" s="24"/>
      <c r="D1128" s="24"/>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c r="AA1128" s="24"/>
      <c r="AB1128" s="24"/>
      <c r="AC1128" s="24"/>
      <c r="AD1128" s="24"/>
      <c r="AE1128" s="24"/>
      <c r="AF1128" s="24"/>
      <c r="AG1128" s="24"/>
      <c r="AH1128" s="24"/>
      <c r="AI1128" s="24"/>
      <c r="AJ1128" s="24"/>
      <c r="AK1128" s="24"/>
      <c r="AL1128" s="24"/>
      <c r="AM1128" s="24"/>
      <c r="AN1128" s="24"/>
      <c r="AO1128" s="24"/>
      <c r="AP1128" s="24"/>
      <c r="AQ1128" s="24"/>
      <c r="AR1128" s="54"/>
    </row>
    <row r="1129">
      <c r="A1129" s="57"/>
      <c r="B1129" s="24"/>
      <c r="C1129" s="24"/>
      <c r="D1129" s="24"/>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c r="AA1129" s="24"/>
      <c r="AB1129" s="24"/>
      <c r="AC1129" s="24"/>
      <c r="AD1129" s="24"/>
      <c r="AE1129" s="24"/>
      <c r="AF1129" s="24"/>
      <c r="AG1129" s="24"/>
      <c r="AH1129" s="24"/>
      <c r="AI1129" s="24"/>
      <c r="AJ1129" s="24"/>
      <c r="AK1129" s="24"/>
      <c r="AL1129" s="24"/>
      <c r="AM1129" s="24"/>
      <c r="AN1129" s="24"/>
      <c r="AO1129" s="24"/>
      <c r="AP1129" s="24"/>
      <c r="AQ1129" s="24"/>
      <c r="AR1129" s="54"/>
    </row>
    <row r="1130">
      <c r="A1130" s="57"/>
      <c r="B1130" s="24"/>
      <c r="C1130" s="24"/>
      <c r="D1130" s="24"/>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c r="AA1130" s="24"/>
      <c r="AB1130" s="24"/>
      <c r="AC1130" s="24"/>
      <c r="AD1130" s="24"/>
      <c r="AE1130" s="24"/>
      <c r="AF1130" s="24"/>
      <c r="AG1130" s="24"/>
      <c r="AH1130" s="24"/>
      <c r="AI1130" s="24"/>
      <c r="AJ1130" s="24"/>
      <c r="AK1130" s="24"/>
      <c r="AL1130" s="24"/>
      <c r="AM1130" s="24"/>
      <c r="AN1130" s="24"/>
      <c r="AO1130" s="24"/>
      <c r="AP1130" s="24"/>
      <c r="AQ1130" s="24"/>
      <c r="AR1130" s="54"/>
    </row>
    <row r="1131">
      <c r="A1131" s="57"/>
      <c r="B1131" s="24"/>
      <c r="C1131" s="24"/>
      <c r="D1131" s="24"/>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c r="AA1131" s="24"/>
      <c r="AB1131" s="24"/>
      <c r="AC1131" s="24"/>
      <c r="AD1131" s="24"/>
      <c r="AE1131" s="24"/>
      <c r="AF1131" s="24"/>
      <c r="AG1131" s="24"/>
      <c r="AH1131" s="24"/>
      <c r="AI1131" s="24"/>
      <c r="AJ1131" s="24"/>
      <c r="AK1131" s="24"/>
      <c r="AL1131" s="24"/>
      <c r="AM1131" s="24"/>
      <c r="AN1131" s="24"/>
      <c r="AO1131" s="24"/>
      <c r="AP1131" s="24"/>
      <c r="AQ1131" s="24"/>
      <c r="AR1131" s="54"/>
    </row>
    <row r="1132">
      <c r="A1132" s="57"/>
      <c r="B1132" s="24"/>
      <c r="C1132" s="24"/>
      <c r="D1132" s="24"/>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c r="AA1132" s="24"/>
      <c r="AB1132" s="24"/>
      <c r="AC1132" s="24"/>
      <c r="AD1132" s="24"/>
      <c r="AE1132" s="24"/>
      <c r="AF1132" s="24"/>
      <c r="AG1132" s="24"/>
      <c r="AH1132" s="24"/>
      <c r="AI1132" s="24"/>
      <c r="AJ1132" s="24"/>
      <c r="AK1132" s="24"/>
      <c r="AL1132" s="24"/>
      <c r="AM1132" s="24"/>
      <c r="AN1132" s="24"/>
      <c r="AO1132" s="24"/>
      <c r="AP1132" s="24"/>
      <c r="AQ1132" s="24"/>
      <c r="AR1132" s="54"/>
    </row>
    <row r="1133">
      <c r="A1133" s="57"/>
      <c r="B1133" s="24"/>
      <c r="C1133" s="24"/>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c r="AA1133" s="24"/>
      <c r="AB1133" s="24"/>
      <c r="AC1133" s="24"/>
      <c r="AD1133" s="24"/>
      <c r="AE1133" s="24"/>
      <c r="AF1133" s="24"/>
      <c r="AG1133" s="24"/>
      <c r="AH1133" s="24"/>
      <c r="AI1133" s="24"/>
      <c r="AJ1133" s="24"/>
      <c r="AK1133" s="24"/>
      <c r="AL1133" s="24"/>
      <c r="AM1133" s="24"/>
      <c r="AN1133" s="24"/>
      <c r="AO1133" s="24"/>
      <c r="AP1133" s="24"/>
      <c r="AQ1133" s="24"/>
      <c r="AR1133" s="54"/>
    </row>
    <row r="1134">
      <c r="A1134" s="57"/>
      <c r="B1134" s="24"/>
      <c r="C1134" s="24"/>
      <c r="D1134" s="24"/>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c r="AA1134" s="24"/>
      <c r="AB1134" s="24"/>
      <c r="AC1134" s="24"/>
      <c r="AD1134" s="24"/>
      <c r="AE1134" s="24"/>
      <c r="AF1134" s="24"/>
      <c r="AG1134" s="24"/>
      <c r="AH1134" s="24"/>
      <c r="AI1134" s="24"/>
      <c r="AJ1134" s="24"/>
      <c r="AK1134" s="24"/>
      <c r="AL1134" s="24"/>
      <c r="AM1134" s="24"/>
      <c r="AN1134" s="24"/>
      <c r="AO1134" s="24"/>
      <c r="AP1134" s="24"/>
      <c r="AQ1134" s="24"/>
      <c r="AR1134" s="54"/>
    </row>
    <row r="1135">
      <c r="A1135" s="57"/>
      <c r="B1135" s="24"/>
      <c r="C1135" s="24"/>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c r="AA1135" s="24"/>
      <c r="AB1135" s="24"/>
      <c r="AC1135" s="24"/>
      <c r="AD1135" s="24"/>
      <c r="AE1135" s="24"/>
      <c r="AF1135" s="24"/>
      <c r="AG1135" s="24"/>
      <c r="AH1135" s="24"/>
      <c r="AI1135" s="24"/>
      <c r="AJ1135" s="24"/>
      <c r="AK1135" s="24"/>
      <c r="AL1135" s="24"/>
      <c r="AM1135" s="24"/>
      <c r="AN1135" s="24"/>
      <c r="AO1135" s="24"/>
      <c r="AP1135" s="24"/>
      <c r="AQ1135" s="24"/>
      <c r="AR1135" s="54"/>
    </row>
    <row r="1136">
      <c r="A1136" s="57"/>
      <c r="B1136" s="24"/>
      <c r="C1136" s="24"/>
      <c r="D1136" s="24"/>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c r="AA1136" s="24"/>
      <c r="AB1136" s="24"/>
      <c r="AC1136" s="24"/>
      <c r="AD1136" s="24"/>
      <c r="AE1136" s="24"/>
      <c r="AF1136" s="24"/>
      <c r="AG1136" s="24"/>
      <c r="AH1136" s="24"/>
      <c r="AI1136" s="24"/>
      <c r="AJ1136" s="24"/>
      <c r="AK1136" s="24"/>
      <c r="AL1136" s="24"/>
      <c r="AM1136" s="24"/>
      <c r="AN1136" s="24"/>
      <c r="AO1136" s="24"/>
      <c r="AP1136" s="24"/>
      <c r="AQ1136" s="24"/>
      <c r="AR1136" s="54"/>
    </row>
    <row r="1137">
      <c r="A1137" s="57"/>
      <c r="B1137" s="24"/>
      <c r="C1137" s="24"/>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c r="AA1137" s="24"/>
      <c r="AB1137" s="24"/>
      <c r="AC1137" s="24"/>
      <c r="AD1137" s="24"/>
      <c r="AE1137" s="24"/>
      <c r="AF1137" s="24"/>
      <c r="AG1137" s="24"/>
      <c r="AH1137" s="24"/>
      <c r="AI1137" s="24"/>
      <c r="AJ1137" s="24"/>
      <c r="AK1137" s="24"/>
      <c r="AL1137" s="24"/>
      <c r="AM1137" s="24"/>
      <c r="AN1137" s="24"/>
      <c r="AO1137" s="24"/>
      <c r="AP1137" s="24"/>
      <c r="AQ1137" s="24"/>
      <c r="AR1137" s="54"/>
    </row>
    <row r="1138">
      <c r="A1138" s="57"/>
      <c r="B1138" s="24"/>
      <c r="C1138" s="24"/>
      <c r="D1138" s="24"/>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c r="AA1138" s="24"/>
      <c r="AB1138" s="24"/>
      <c r="AC1138" s="24"/>
      <c r="AD1138" s="24"/>
      <c r="AE1138" s="24"/>
      <c r="AF1138" s="24"/>
      <c r="AG1138" s="24"/>
      <c r="AH1138" s="24"/>
      <c r="AI1138" s="24"/>
      <c r="AJ1138" s="24"/>
      <c r="AK1138" s="24"/>
      <c r="AL1138" s="24"/>
      <c r="AM1138" s="24"/>
      <c r="AN1138" s="24"/>
      <c r="AO1138" s="24"/>
      <c r="AP1138" s="24"/>
      <c r="AQ1138" s="24"/>
      <c r="AR1138" s="54"/>
    </row>
    <row r="1139">
      <c r="A1139" s="57"/>
      <c r="B1139" s="24"/>
      <c r="C1139" s="24"/>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c r="AA1139" s="24"/>
      <c r="AB1139" s="24"/>
      <c r="AC1139" s="24"/>
      <c r="AD1139" s="24"/>
      <c r="AE1139" s="24"/>
      <c r="AF1139" s="24"/>
      <c r="AG1139" s="24"/>
      <c r="AH1139" s="24"/>
      <c r="AI1139" s="24"/>
      <c r="AJ1139" s="24"/>
      <c r="AK1139" s="24"/>
      <c r="AL1139" s="24"/>
      <c r="AM1139" s="24"/>
      <c r="AN1139" s="24"/>
      <c r="AO1139" s="24"/>
      <c r="AP1139" s="24"/>
      <c r="AQ1139" s="24"/>
      <c r="AR1139" s="54"/>
    </row>
    <row r="1140">
      <c r="A1140" s="57"/>
      <c r="B1140" s="24"/>
      <c r="C1140" s="24"/>
      <c r="D1140" s="24"/>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c r="AA1140" s="24"/>
      <c r="AB1140" s="24"/>
      <c r="AC1140" s="24"/>
      <c r="AD1140" s="24"/>
      <c r="AE1140" s="24"/>
      <c r="AF1140" s="24"/>
      <c r="AG1140" s="24"/>
      <c r="AH1140" s="24"/>
      <c r="AI1140" s="24"/>
      <c r="AJ1140" s="24"/>
      <c r="AK1140" s="24"/>
      <c r="AL1140" s="24"/>
      <c r="AM1140" s="24"/>
      <c r="AN1140" s="24"/>
      <c r="AO1140" s="24"/>
      <c r="AP1140" s="24"/>
      <c r="AQ1140" s="24"/>
      <c r="AR1140" s="54"/>
    </row>
    <row r="1141">
      <c r="A1141" s="57"/>
      <c r="B1141" s="24"/>
      <c r="C1141" s="24"/>
      <c r="D1141" s="24"/>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c r="AA1141" s="24"/>
      <c r="AB1141" s="24"/>
      <c r="AC1141" s="24"/>
      <c r="AD1141" s="24"/>
      <c r="AE1141" s="24"/>
      <c r="AF1141" s="24"/>
      <c r="AG1141" s="24"/>
      <c r="AH1141" s="24"/>
      <c r="AI1141" s="24"/>
      <c r="AJ1141" s="24"/>
      <c r="AK1141" s="24"/>
      <c r="AL1141" s="24"/>
      <c r="AM1141" s="24"/>
      <c r="AN1141" s="24"/>
      <c r="AO1141" s="24"/>
      <c r="AP1141" s="24"/>
      <c r="AQ1141" s="24"/>
      <c r="AR1141" s="54"/>
    </row>
    <row r="1142">
      <c r="A1142" s="57"/>
      <c r="B1142" s="24"/>
      <c r="C1142" s="24"/>
      <c r="D1142" s="24"/>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c r="AA1142" s="24"/>
      <c r="AB1142" s="24"/>
      <c r="AC1142" s="24"/>
      <c r="AD1142" s="24"/>
      <c r="AE1142" s="24"/>
      <c r="AF1142" s="24"/>
      <c r="AG1142" s="24"/>
      <c r="AH1142" s="24"/>
      <c r="AI1142" s="24"/>
      <c r="AJ1142" s="24"/>
      <c r="AK1142" s="24"/>
      <c r="AL1142" s="24"/>
      <c r="AM1142" s="24"/>
      <c r="AN1142" s="24"/>
      <c r="AO1142" s="24"/>
      <c r="AP1142" s="24"/>
      <c r="AQ1142" s="24"/>
      <c r="AR1142" s="54"/>
    </row>
    <row r="1143">
      <c r="A1143" s="57"/>
      <c r="B1143" s="24"/>
      <c r="C1143" s="24"/>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c r="AA1143" s="24"/>
      <c r="AB1143" s="24"/>
      <c r="AC1143" s="24"/>
      <c r="AD1143" s="24"/>
      <c r="AE1143" s="24"/>
      <c r="AF1143" s="24"/>
      <c r="AG1143" s="24"/>
      <c r="AH1143" s="24"/>
      <c r="AI1143" s="24"/>
      <c r="AJ1143" s="24"/>
      <c r="AK1143" s="24"/>
      <c r="AL1143" s="24"/>
      <c r="AM1143" s="24"/>
      <c r="AN1143" s="24"/>
      <c r="AO1143" s="24"/>
      <c r="AP1143" s="24"/>
      <c r="AQ1143" s="24"/>
      <c r="AR1143" s="54"/>
    </row>
    <row r="1144">
      <c r="A1144" s="57"/>
      <c r="B1144" s="24"/>
      <c r="C1144" s="24"/>
      <c r="D1144" s="24"/>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c r="AA1144" s="24"/>
      <c r="AB1144" s="24"/>
      <c r="AC1144" s="24"/>
      <c r="AD1144" s="24"/>
      <c r="AE1144" s="24"/>
      <c r="AF1144" s="24"/>
      <c r="AG1144" s="24"/>
      <c r="AH1144" s="24"/>
      <c r="AI1144" s="24"/>
      <c r="AJ1144" s="24"/>
      <c r="AK1144" s="24"/>
      <c r="AL1144" s="24"/>
      <c r="AM1144" s="24"/>
      <c r="AN1144" s="24"/>
      <c r="AO1144" s="24"/>
      <c r="AP1144" s="24"/>
      <c r="AQ1144" s="24"/>
      <c r="AR1144" s="54"/>
    </row>
    <row r="1145">
      <c r="A1145" s="57"/>
      <c r="B1145" s="24"/>
      <c r="C1145" s="24"/>
      <c r="D1145" s="24"/>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c r="AA1145" s="24"/>
      <c r="AB1145" s="24"/>
      <c r="AC1145" s="24"/>
      <c r="AD1145" s="24"/>
      <c r="AE1145" s="24"/>
      <c r="AF1145" s="24"/>
      <c r="AG1145" s="24"/>
      <c r="AH1145" s="24"/>
      <c r="AI1145" s="24"/>
      <c r="AJ1145" s="24"/>
      <c r="AK1145" s="24"/>
      <c r="AL1145" s="24"/>
      <c r="AM1145" s="24"/>
      <c r="AN1145" s="24"/>
      <c r="AO1145" s="24"/>
      <c r="AP1145" s="24"/>
      <c r="AQ1145" s="24"/>
      <c r="AR1145" s="54"/>
    </row>
    <row r="1146">
      <c r="A1146" s="57"/>
      <c r="B1146" s="24"/>
      <c r="C1146" s="24"/>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c r="AA1146" s="24"/>
      <c r="AB1146" s="24"/>
      <c r="AC1146" s="24"/>
      <c r="AD1146" s="24"/>
      <c r="AE1146" s="24"/>
      <c r="AF1146" s="24"/>
      <c r="AG1146" s="24"/>
      <c r="AH1146" s="24"/>
      <c r="AI1146" s="24"/>
      <c r="AJ1146" s="24"/>
      <c r="AK1146" s="24"/>
      <c r="AL1146" s="24"/>
      <c r="AM1146" s="24"/>
      <c r="AN1146" s="24"/>
      <c r="AO1146" s="24"/>
      <c r="AP1146" s="24"/>
      <c r="AQ1146" s="24"/>
      <c r="AR1146" s="54"/>
    </row>
    <row r="1147">
      <c r="A1147" s="57"/>
      <c r="B1147" s="24"/>
      <c r="C1147" s="24"/>
      <c r="D1147" s="24"/>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c r="AA1147" s="24"/>
      <c r="AB1147" s="24"/>
      <c r="AC1147" s="24"/>
      <c r="AD1147" s="24"/>
      <c r="AE1147" s="24"/>
      <c r="AF1147" s="24"/>
      <c r="AG1147" s="24"/>
      <c r="AH1147" s="24"/>
      <c r="AI1147" s="24"/>
      <c r="AJ1147" s="24"/>
      <c r="AK1147" s="24"/>
      <c r="AL1147" s="24"/>
      <c r="AM1147" s="24"/>
      <c r="AN1147" s="24"/>
      <c r="AO1147" s="24"/>
      <c r="AP1147" s="24"/>
      <c r="AQ1147" s="24"/>
      <c r="AR1147" s="54"/>
    </row>
    <row r="1148">
      <c r="A1148" s="57"/>
      <c r="B1148" s="24"/>
      <c r="C1148" s="24"/>
      <c r="D1148" s="24"/>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c r="AA1148" s="24"/>
      <c r="AB1148" s="24"/>
      <c r="AC1148" s="24"/>
      <c r="AD1148" s="24"/>
      <c r="AE1148" s="24"/>
      <c r="AF1148" s="24"/>
      <c r="AG1148" s="24"/>
      <c r="AH1148" s="24"/>
      <c r="AI1148" s="24"/>
      <c r="AJ1148" s="24"/>
      <c r="AK1148" s="24"/>
      <c r="AL1148" s="24"/>
      <c r="AM1148" s="24"/>
      <c r="AN1148" s="24"/>
      <c r="AO1148" s="24"/>
      <c r="AP1148" s="24"/>
      <c r="AQ1148" s="24"/>
      <c r="AR1148" s="54"/>
    </row>
    <row r="1149">
      <c r="A1149" s="57"/>
      <c r="B1149" s="24"/>
      <c r="C1149" s="24"/>
      <c r="D1149" s="24"/>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c r="AA1149" s="24"/>
      <c r="AB1149" s="24"/>
      <c r="AC1149" s="24"/>
      <c r="AD1149" s="24"/>
      <c r="AE1149" s="24"/>
      <c r="AF1149" s="24"/>
      <c r="AG1149" s="24"/>
      <c r="AH1149" s="24"/>
      <c r="AI1149" s="24"/>
      <c r="AJ1149" s="24"/>
      <c r="AK1149" s="24"/>
      <c r="AL1149" s="24"/>
      <c r="AM1149" s="24"/>
      <c r="AN1149" s="24"/>
      <c r="AO1149" s="24"/>
      <c r="AP1149" s="24"/>
      <c r="AQ1149" s="24"/>
      <c r="AR1149" s="54"/>
    </row>
    <row r="1150">
      <c r="A1150" s="57"/>
      <c r="B1150" s="24"/>
      <c r="C1150" s="24"/>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c r="AA1150" s="24"/>
      <c r="AB1150" s="24"/>
      <c r="AC1150" s="24"/>
      <c r="AD1150" s="24"/>
      <c r="AE1150" s="24"/>
      <c r="AF1150" s="24"/>
      <c r="AG1150" s="24"/>
      <c r="AH1150" s="24"/>
      <c r="AI1150" s="24"/>
      <c r="AJ1150" s="24"/>
      <c r="AK1150" s="24"/>
      <c r="AL1150" s="24"/>
      <c r="AM1150" s="24"/>
      <c r="AN1150" s="24"/>
      <c r="AO1150" s="24"/>
      <c r="AP1150" s="24"/>
      <c r="AQ1150" s="24"/>
      <c r="AR1150" s="54"/>
    </row>
    <row r="1151">
      <c r="A1151" s="57"/>
      <c r="B1151" s="24"/>
      <c r="C1151" s="24"/>
      <c r="D1151" s="24"/>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c r="AA1151" s="24"/>
      <c r="AB1151" s="24"/>
      <c r="AC1151" s="24"/>
      <c r="AD1151" s="24"/>
      <c r="AE1151" s="24"/>
      <c r="AF1151" s="24"/>
      <c r="AG1151" s="24"/>
      <c r="AH1151" s="24"/>
      <c r="AI1151" s="24"/>
      <c r="AJ1151" s="24"/>
      <c r="AK1151" s="24"/>
      <c r="AL1151" s="24"/>
      <c r="AM1151" s="24"/>
      <c r="AN1151" s="24"/>
      <c r="AO1151" s="24"/>
      <c r="AP1151" s="24"/>
      <c r="AQ1151" s="24"/>
      <c r="AR1151" s="54"/>
    </row>
    <row r="1152">
      <c r="A1152" s="57"/>
      <c r="B1152" s="24"/>
      <c r="C1152" s="24"/>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c r="AA1152" s="24"/>
      <c r="AB1152" s="24"/>
      <c r="AC1152" s="24"/>
      <c r="AD1152" s="24"/>
      <c r="AE1152" s="24"/>
      <c r="AF1152" s="24"/>
      <c r="AG1152" s="24"/>
      <c r="AH1152" s="24"/>
      <c r="AI1152" s="24"/>
      <c r="AJ1152" s="24"/>
      <c r="AK1152" s="24"/>
      <c r="AL1152" s="24"/>
      <c r="AM1152" s="24"/>
      <c r="AN1152" s="24"/>
      <c r="AO1152" s="24"/>
      <c r="AP1152" s="24"/>
      <c r="AQ1152" s="24"/>
      <c r="AR1152" s="54"/>
    </row>
    <row r="1153">
      <c r="A1153" s="57"/>
      <c r="B1153" s="24"/>
      <c r="C1153" s="24"/>
      <c r="D1153" s="24"/>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c r="AA1153" s="24"/>
      <c r="AB1153" s="24"/>
      <c r="AC1153" s="24"/>
      <c r="AD1153" s="24"/>
      <c r="AE1153" s="24"/>
      <c r="AF1153" s="24"/>
      <c r="AG1153" s="24"/>
      <c r="AH1153" s="24"/>
      <c r="AI1153" s="24"/>
      <c r="AJ1153" s="24"/>
      <c r="AK1153" s="24"/>
      <c r="AL1153" s="24"/>
      <c r="AM1153" s="24"/>
      <c r="AN1153" s="24"/>
      <c r="AO1153" s="24"/>
      <c r="AP1153" s="24"/>
      <c r="AQ1153" s="24"/>
      <c r="AR1153" s="54"/>
    </row>
    <row r="1154">
      <c r="A1154" s="57"/>
      <c r="B1154" s="24"/>
      <c r="C1154" s="24"/>
      <c r="D1154" s="24"/>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c r="AA1154" s="24"/>
      <c r="AB1154" s="24"/>
      <c r="AC1154" s="24"/>
      <c r="AD1154" s="24"/>
      <c r="AE1154" s="24"/>
      <c r="AF1154" s="24"/>
      <c r="AG1154" s="24"/>
      <c r="AH1154" s="24"/>
      <c r="AI1154" s="24"/>
      <c r="AJ1154" s="24"/>
      <c r="AK1154" s="24"/>
      <c r="AL1154" s="24"/>
      <c r="AM1154" s="24"/>
      <c r="AN1154" s="24"/>
      <c r="AO1154" s="24"/>
      <c r="AP1154" s="24"/>
      <c r="AQ1154" s="24"/>
      <c r="AR1154" s="54"/>
    </row>
    <row r="1155">
      <c r="A1155" s="57"/>
      <c r="B1155" s="24"/>
      <c r="C1155" s="24"/>
      <c r="D1155" s="24"/>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c r="AA1155" s="24"/>
      <c r="AB1155" s="24"/>
      <c r="AC1155" s="24"/>
      <c r="AD1155" s="24"/>
      <c r="AE1155" s="24"/>
      <c r="AF1155" s="24"/>
      <c r="AG1155" s="24"/>
      <c r="AH1155" s="24"/>
      <c r="AI1155" s="24"/>
      <c r="AJ1155" s="24"/>
      <c r="AK1155" s="24"/>
      <c r="AL1155" s="24"/>
      <c r="AM1155" s="24"/>
      <c r="AN1155" s="24"/>
      <c r="AO1155" s="24"/>
      <c r="AP1155" s="24"/>
      <c r="AQ1155" s="24"/>
      <c r="AR1155" s="54"/>
    </row>
    <row r="1156">
      <c r="A1156" s="57"/>
      <c r="B1156" s="24"/>
      <c r="C1156" s="24"/>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c r="AA1156" s="24"/>
      <c r="AB1156" s="24"/>
      <c r="AC1156" s="24"/>
      <c r="AD1156" s="24"/>
      <c r="AE1156" s="24"/>
      <c r="AF1156" s="24"/>
      <c r="AG1156" s="24"/>
      <c r="AH1156" s="24"/>
      <c r="AI1156" s="24"/>
      <c r="AJ1156" s="24"/>
      <c r="AK1156" s="24"/>
      <c r="AL1156" s="24"/>
      <c r="AM1156" s="24"/>
      <c r="AN1156" s="24"/>
      <c r="AO1156" s="24"/>
      <c r="AP1156" s="24"/>
      <c r="AQ1156" s="24"/>
      <c r="AR1156" s="54"/>
    </row>
    <row r="1157">
      <c r="A1157" s="57"/>
      <c r="B1157" s="24"/>
      <c r="C1157" s="24"/>
      <c r="D1157" s="24"/>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c r="AA1157" s="24"/>
      <c r="AB1157" s="24"/>
      <c r="AC1157" s="24"/>
      <c r="AD1157" s="24"/>
      <c r="AE1157" s="24"/>
      <c r="AF1157" s="24"/>
      <c r="AG1157" s="24"/>
      <c r="AH1157" s="24"/>
      <c r="AI1157" s="24"/>
      <c r="AJ1157" s="24"/>
      <c r="AK1157" s="24"/>
      <c r="AL1157" s="24"/>
      <c r="AM1157" s="24"/>
      <c r="AN1157" s="24"/>
      <c r="AO1157" s="24"/>
      <c r="AP1157" s="24"/>
      <c r="AQ1157" s="24"/>
      <c r="AR1157" s="54"/>
    </row>
    <row r="1158">
      <c r="A1158" s="57"/>
      <c r="B1158" s="24"/>
      <c r="C1158" s="24"/>
      <c r="D1158" s="24"/>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c r="AA1158" s="24"/>
      <c r="AB1158" s="24"/>
      <c r="AC1158" s="24"/>
      <c r="AD1158" s="24"/>
      <c r="AE1158" s="24"/>
      <c r="AF1158" s="24"/>
      <c r="AG1158" s="24"/>
      <c r="AH1158" s="24"/>
      <c r="AI1158" s="24"/>
      <c r="AJ1158" s="24"/>
      <c r="AK1158" s="24"/>
      <c r="AL1158" s="24"/>
      <c r="AM1158" s="24"/>
      <c r="AN1158" s="24"/>
      <c r="AO1158" s="24"/>
      <c r="AP1158" s="24"/>
      <c r="AQ1158" s="24"/>
      <c r="AR1158" s="54"/>
    </row>
    <row r="1159">
      <c r="A1159" s="57"/>
      <c r="B1159" s="24"/>
      <c r="C1159" s="24"/>
      <c r="D1159" s="24"/>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c r="AA1159" s="24"/>
      <c r="AB1159" s="24"/>
      <c r="AC1159" s="24"/>
      <c r="AD1159" s="24"/>
      <c r="AE1159" s="24"/>
      <c r="AF1159" s="24"/>
      <c r="AG1159" s="24"/>
      <c r="AH1159" s="24"/>
      <c r="AI1159" s="24"/>
      <c r="AJ1159" s="24"/>
      <c r="AK1159" s="24"/>
      <c r="AL1159" s="24"/>
      <c r="AM1159" s="24"/>
      <c r="AN1159" s="24"/>
      <c r="AO1159" s="24"/>
      <c r="AP1159" s="24"/>
      <c r="AQ1159" s="24"/>
      <c r="AR1159" s="54"/>
    </row>
    <row r="1160">
      <c r="A1160" s="57"/>
      <c r="B1160" s="24"/>
      <c r="C1160" s="24"/>
      <c r="D1160" s="24"/>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c r="AA1160" s="24"/>
      <c r="AB1160" s="24"/>
      <c r="AC1160" s="24"/>
      <c r="AD1160" s="24"/>
      <c r="AE1160" s="24"/>
      <c r="AF1160" s="24"/>
      <c r="AG1160" s="24"/>
      <c r="AH1160" s="24"/>
      <c r="AI1160" s="24"/>
      <c r="AJ1160" s="24"/>
      <c r="AK1160" s="24"/>
      <c r="AL1160" s="24"/>
      <c r="AM1160" s="24"/>
      <c r="AN1160" s="24"/>
      <c r="AO1160" s="24"/>
      <c r="AP1160" s="24"/>
      <c r="AQ1160" s="24"/>
      <c r="AR1160" s="54"/>
    </row>
    <row r="1161">
      <c r="A1161" s="57"/>
      <c r="B1161" s="24"/>
      <c r="C1161" s="24"/>
      <c r="D1161" s="24"/>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c r="AA1161" s="24"/>
      <c r="AB1161" s="24"/>
      <c r="AC1161" s="24"/>
      <c r="AD1161" s="24"/>
      <c r="AE1161" s="24"/>
      <c r="AF1161" s="24"/>
      <c r="AG1161" s="24"/>
      <c r="AH1161" s="24"/>
      <c r="AI1161" s="24"/>
      <c r="AJ1161" s="24"/>
      <c r="AK1161" s="24"/>
      <c r="AL1161" s="24"/>
      <c r="AM1161" s="24"/>
      <c r="AN1161" s="24"/>
      <c r="AO1161" s="24"/>
      <c r="AP1161" s="24"/>
      <c r="AQ1161" s="24"/>
      <c r="AR1161" s="54"/>
    </row>
    <row r="1162">
      <c r="A1162" s="57"/>
      <c r="B1162" s="24"/>
      <c r="C1162" s="24"/>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c r="AA1162" s="24"/>
      <c r="AB1162" s="24"/>
      <c r="AC1162" s="24"/>
      <c r="AD1162" s="24"/>
      <c r="AE1162" s="24"/>
      <c r="AF1162" s="24"/>
      <c r="AG1162" s="24"/>
      <c r="AH1162" s="24"/>
      <c r="AI1162" s="24"/>
      <c r="AJ1162" s="24"/>
      <c r="AK1162" s="24"/>
      <c r="AL1162" s="24"/>
      <c r="AM1162" s="24"/>
      <c r="AN1162" s="24"/>
      <c r="AO1162" s="24"/>
      <c r="AP1162" s="24"/>
      <c r="AQ1162" s="24"/>
      <c r="AR1162" s="54"/>
    </row>
    <row r="1163">
      <c r="A1163" s="57"/>
      <c r="B1163" s="24"/>
      <c r="C1163" s="24"/>
      <c r="D1163" s="24"/>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c r="AA1163" s="24"/>
      <c r="AB1163" s="24"/>
      <c r="AC1163" s="24"/>
      <c r="AD1163" s="24"/>
      <c r="AE1163" s="24"/>
      <c r="AF1163" s="24"/>
      <c r="AG1163" s="24"/>
      <c r="AH1163" s="24"/>
      <c r="AI1163" s="24"/>
      <c r="AJ1163" s="24"/>
      <c r="AK1163" s="24"/>
      <c r="AL1163" s="24"/>
      <c r="AM1163" s="24"/>
      <c r="AN1163" s="24"/>
      <c r="AO1163" s="24"/>
      <c r="AP1163" s="24"/>
      <c r="AQ1163" s="24"/>
      <c r="AR1163" s="54"/>
    </row>
    <row r="1164">
      <c r="A1164" s="57"/>
      <c r="B1164" s="24"/>
      <c r="C1164" s="24"/>
      <c r="D1164" s="24"/>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c r="AA1164" s="24"/>
      <c r="AB1164" s="24"/>
      <c r="AC1164" s="24"/>
      <c r="AD1164" s="24"/>
      <c r="AE1164" s="24"/>
      <c r="AF1164" s="24"/>
      <c r="AG1164" s="24"/>
      <c r="AH1164" s="24"/>
      <c r="AI1164" s="24"/>
      <c r="AJ1164" s="24"/>
      <c r="AK1164" s="24"/>
      <c r="AL1164" s="24"/>
      <c r="AM1164" s="24"/>
      <c r="AN1164" s="24"/>
      <c r="AO1164" s="24"/>
      <c r="AP1164" s="24"/>
      <c r="AQ1164" s="24"/>
      <c r="AR1164" s="54"/>
    </row>
    <row r="1165">
      <c r="A1165" s="57"/>
      <c r="B1165" s="24"/>
      <c r="C1165" s="24"/>
      <c r="D1165" s="24"/>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c r="AA1165" s="24"/>
      <c r="AB1165" s="24"/>
      <c r="AC1165" s="24"/>
      <c r="AD1165" s="24"/>
      <c r="AE1165" s="24"/>
      <c r="AF1165" s="24"/>
      <c r="AG1165" s="24"/>
      <c r="AH1165" s="24"/>
      <c r="AI1165" s="24"/>
      <c r="AJ1165" s="24"/>
      <c r="AK1165" s="24"/>
      <c r="AL1165" s="24"/>
      <c r="AM1165" s="24"/>
      <c r="AN1165" s="24"/>
      <c r="AO1165" s="24"/>
      <c r="AP1165" s="24"/>
      <c r="AQ1165" s="24"/>
      <c r="AR1165" s="54"/>
    </row>
    <row r="1166">
      <c r="A1166" s="57"/>
      <c r="B1166" s="24"/>
      <c r="C1166" s="24"/>
      <c r="D1166" s="24"/>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c r="AA1166" s="24"/>
      <c r="AB1166" s="24"/>
      <c r="AC1166" s="24"/>
      <c r="AD1166" s="24"/>
      <c r="AE1166" s="24"/>
      <c r="AF1166" s="24"/>
      <c r="AG1166" s="24"/>
      <c r="AH1166" s="24"/>
      <c r="AI1166" s="24"/>
      <c r="AJ1166" s="24"/>
      <c r="AK1166" s="24"/>
      <c r="AL1166" s="24"/>
      <c r="AM1166" s="24"/>
      <c r="AN1166" s="24"/>
      <c r="AO1166" s="24"/>
      <c r="AP1166" s="24"/>
      <c r="AQ1166" s="24"/>
      <c r="AR1166" s="54"/>
    </row>
    <row r="1167">
      <c r="A1167" s="57"/>
      <c r="B1167" s="24"/>
      <c r="C1167" s="24"/>
      <c r="D1167" s="24"/>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c r="AA1167" s="24"/>
      <c r="AB1167" s="24"/>
      <c r="AC1167" s="24"/>
      <c r="AD1167" s="24"/>
      <c r="AE1167" s="24"/>
      <c r="AF1167" s="24"/>
      <c r="AG1167" s="24"/>
      <c r="AH1167" s="24"/>
      <c r="AI1167" s="24"/>
      <c r="AJ1167" s="24"/>
      <c r="AK1167" s="24"/>
      <c r="AL1167" s="24"/>
      <c r="AM1167" s="24"/>
      <c r="AN1167" s="24"/>
      <c r="AO1167" s="24"/>
      <c r="AP1167" s="24"/>
      <c r="AQ1167" s="24"/>
      <c r="AR1167" s="54"/>
    </row>
    <row r="1168">
      <c r="A1168" s="57"/>
      <c r="B1168" s="24"/>
      <c r="C1168" s="24"/>
      <c r="D1168" s="24"/>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c r="AA1168" s="24"/>
      <c r="AB1168" s="24"/>
      <c r="AC1168" s="24"/>
      <c r="AD1168" s="24"/>
      <c r="AE1168" s="24"/>
      <c r="AF1168" s="24"/>
      <c r="AG1168" s="24"/>
      <c r="AH1168" s="24"/>
      <c r="AI1168" s="24"/>
      <c r="AJ1168" s="24"/>
      <c r="AK1168" s="24"/>
      <c r="AL1168" s="24"/>
      <c r="AM1168" s="24"/>
      <c r="AN1168" s="24"/>
      <c r="AO1168" s="24"/>
      <c r="AP1168" s="24"/>
      <c r="AQ1168" s="24"/>
      <c r="AR1168" s="54"/>
    </row>
    <row r="1169">
      <c r="A1169" s="57"/>
      <c r="B1169" s="24"/>
      <c r="C1169" s="24"/>
      <c r="D1169" s="24"/>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c r="AA1169" s="24"/>
      <c r="AB1169" s="24"/>
      <c r="AC1169" s="24"/>
      <c r="AD1169" s="24"/>
      <c r="AE1169" s="24"/>
      <c r="AF1169" s="24"/>
      <c r="AG1169" s="24"/>
      <c r="AH1169" s="24"/>
      <c r="AI1169" s="24"/>
      <c r="AJ1169" s="24"/>
      <c r="AK1169" s="24"/>
      <c r="AL1169" s="24"/>
      <c r="AM1169" s="24"/>
      <c r="AN1169" s="24"/>
      <c r="AO1169" s="24"/>
      <c r="AP1169" s="24"/>
      <c r="AQ1169" s="24"/>
      <c r="AR1169" s="54"/>
    </row>
    <row r="1170">
      <c r="A1170" s="57"/>
      <c r="B1170" s="24"/>
      <c r="C1170" s="24"/>
      <c r="D1170" s="24"/>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c r="AA1170" s="24"/>
      <c r="AB1170" s="24"/>
      <c r="AC1170" s="24"/>
      <c r="AD1170" s="24"/>
      <c r="AE1170" s="24"/>
      <c r="AF1170" s="24"/>
      <c r="AG1170" s="24"/>
      <c r="AH1170" s="24"/>
      <c r="AI1170" s="24"/>
      <c r="AJ1170" s="24"/>
      <c r="AK1170" s="24"/>
      <c r="AL1170" s="24"/>
      <c r="AM1170" s="24"/>
      <c r="AN1170" s="24"/>
      <c r="AO1170" s="24"/>
      <c r="AP1170" s="24"/>
      <c r="AQ1170" s="24"/>
      <c r="AR1170" s="54"/>
    </row>
    <row r="1171">
      <c r="A1171" s="57"/>
      <c r="B1171" s="24"/>
      <c r="C1171" s="24"/>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c r="AA1171" s="24"/>
      <c r="AB1171" s="24"/>
      <c r="AC1171" s="24"/>
      <c r="AD1171" s="24"/>
      <c r="AE1171" s="24"/>
      <c r="AF1171" s="24"/>
      <c r="AG1171" s="24"/>
      <c r="AH1171" s="24"/>
      <c r="AI1171" s="24"/>
      <c r="AJ1171" s="24"/>
      <c r="AK1171" s="24"/>
      <c r="AL1171" s="24"/>
      <c r="AM1171" s="24"/>
      <c r="AN1171" s="24"/>
      <c r="AO1171" s="24"/>
      <c r="AP1171" s="24"/>
      <c r="AQ1171" s="24"/>
      <c r="AR1171" s="54"/>
    </row>
    <row r="1172">
      <c r="A1172" s="57"/>
      <c r="B1172" s="24"/>
      <c r="C1172" s="24"/>
      <c r="D1172" s="24"/>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c r="AA1172" s="24"/>
      <c r="AB1172" s="24"/>
      <c r="AC1172" s="24"/>
      <c r="AD1172" s="24"/>
      <c r="AE1172" s="24"/>
      <c r="AF1172" s="24"/>
      <c r="AG1172" s="24"/>
      <c r="AH1172" s="24"/>
      <c r="AI1172" s="24"/>
      <c r="AJ1172" s="24"/>
      <c r="AK1172" s="24"/>
      <c r="AL1172" s="24"/>
      <c r="AM1172" s="24"/>
      <c r="AN1172" s="24"/>
      <c r="AO1172" s="24"/>
      <c r="AP1172" s="24"/>
      <c r="AQ1172" s="24"/>
      <c r="AR1172" s="54"/>
    </row>
    <row r="1173">
      <c r="A1173" s="57"/>
      <c r="B1173" s="24"/>
      <c r="C1173" s="24"/>
      <c r="D1173" s="24"/>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c r="AA1173" s="24"/>
      <c r="AB1173" s="24"/>
      <c r="AC1173" s="24"/>
      <c r="AD1173" s="24"/>
      <c r="AE1173" s="24"/>
      <c r="AF1173" s="24"/>
      <c r="AG1173" s="24"/>
      <c r="AH1173" s="24"/>
      <c r="AI1173" s="24"/>
      <c r="AJ1173" s="24"/>
      <c r="AK1173" s="24"/>
      <c r="AL1173" s="24"/>
      <c r="AM1173" s="24"/>
      <c r="AN1173" s="24"/>
      <c r="AO1173" s="24"/>
      <c r="AP1173" s="24"/>
      <c r="AQ1173" s="24"/>
      <c r="AR1173" s="54"/>
    </row>
    <row r="1174">
      <c r="A1174" s="57"/>
      <c r="B1174" s="24"/>
      <c r="C1174" s="24"/>
      <c r="D1174" s="24"/>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c r="AA1174" s="24"/>
      <c r="AB1174" s="24"/>
      <c r="AC1174" s="24"/>
      <c r="AD1174" s="24"/>
      <c r="AE1174" s="24"/>
      <c r="AF1174" s="24"/>
      <c r="AG1174" s="24"/>
      <c r="AH1174" s="24"/>
      <c r="AI1174" s="24"/>
      <c r="AJ1174" s="24"/>
      <c r="AK1174" s="24"/>
      <c r="AL1174" s="24"/>
      <c r="AM1174" s="24"/>
      <c r="AN1174" s="24"/>
      <c r="AO1174" s="24"/>
      <c r="AP1174" s="24"/>
      <c r="AQ1174" s="24"/>
      <c r="AR1174" s="54"/>
    </row>
    <row r="1175">
      <c r="A1175" s="57"/>
      <c r="B1175" s="24"/>
      <c r="C1175" s="24"/>
      <c r="D1175" s="24"/>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c r="AA1175" s="24"/>
      <c r="AB1175" s="24"/>
      <c r="AC1175" s="24"/>
      <c r="AD1175" s="24"/>
      <c r="AE1175" s="24"/>
      <c r="AF1175" s="24"/>
      <c r="AG1175" s="24"/>
      <c r="AH1175" s="24"/>
      <c r="AI1175" s="24"/>
      <c r="AJ1175" s="24"/>
      <c r="AK1175" s="24"/>
      <c r="AL1175" s="24"/>
      <c r="AM1175" s="24"/>
      <c r="AN1175" s="24"/>
      <c r="AO1175" s="24"/>
      <c r="AP1175" s="24"/>
      <c r="AQ1175" s="24"/>
      <c r="AR1175" s="54"/>
    </row>
    <row r="1176">
      <c r="A1176" s="57"/>
      <c r="B1176" s="24"/>
      <c r="C1176" s="24"/>
      <c r="D1176" s="24"/>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c r="AA1176" s="24"/>
      <c r="AB1176" s="24"/>
      <c r="AC1176" s="24"/>
      <c r="AD1176" s="24"/>
      <c r="AE1176" s="24"/>
      <c r="AF1176" s="24"/>
      <c r="AG1176" s="24"/>
      <c r="AH1176" s="24"/>
      <c r="AI1176" s="24"/>
      <c r="AJ1176" s="24"/>
      <c r="AK1176" s="24"/>
      <c r="AL1176" s="24"/>
      <c r="AM1176" s="24"/>
      <c r="AN1176" s="24"/>
      <c r="AO1176" s="24"/>
      <c r="AP1176" s="24"/>
      <c r="AQ1176" s="24"/>
      <c r="AR1176" s="54"/>
    </row>
    <row r="1177">
      <c r="A1177" s="57"/>
      <c r="B1177" s="24"/>
      <c r="C1177" s="24"/>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c r="AA1177" s="24"/>
      <c r="AB1177" s="24"/>
      <c r="AC1177" s="24"/>
      <c r="AD1177" s="24"/>
      <c r="AE1177" s="24"/>
      <c r="AF1177" s="24"/>
      <c r="AG1177" s="24"/>
      <c r="AH1177" s="24"/>
      <c r="AI1177" s="24"/>
      <c r="AJ1177" s="24"/>
      <c r="AK1177" s="24"/>
      <c r="AL1177" s="24"/>
      <c r="AM1177" s="24"/>
      <c r="AN1177" s="24"/>
      <c r="AO1177" s="24"/>
      <c r="AP1177" s="24"/>
      <c r="AQ1177" s="24"/>
      <c r="AR1177" s="54"/>
    </row>
    <row r="1178">
      <c r="A1178" s="57"/>
      <c r="B1178" s="24"/>
      <c r="C1178" s="24"/>
      <c r="D1178" s="24"/>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c r="AA1178" s="24"/>
      <c r="AB1178" s="24"/>
      <c r="AC1178" s="24"/>
      <c r="AD1178" s="24"/>
      <c r="AE1178" s="24"/>
      <c r="AF1178" s="24"/>
      <c r="AG1178" s="24"/>
      <c r="AH1178" s="24"/>
      <c r="AI1178" s="24"/>
      <c r="AJ1178" s="24"/>
      <c r="AK1178" s="24"/>
      <c r="AL1178" s="24"/>
      <c r="AM1178" s="24"/>
      <c r="AN1178" s="24"/>
      <c r="AO1178" s="24"/>
      <c r="AP1178" s="24"/>
      <c r="AQ1178" s="24"/>
      <c r="AR1178" s="54"/>
    </row>
    <row r="1179">
      <c r="A1179" s="57"/>
      <c r="B1179" s="24"/>
      <c r="C1179" s="24"/>
      <c r="D1179" s="24"/>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c r="AA1179" s="24"/>
      <c r="AB1179" s="24"/>
      <c r="AC1179" s="24"/>
      <c r="AD1179" s="24"/>
      <c r="AE1179" s="24"/>
      <c r="AF1179" s="24"/>
      <c r="AG1179" s="24"/>
      <c r="AH1179" s="24"/>
      <c r="AI1179" s="24"/>
      <c r="AJ1179" s="24"/>
      <c r="AK1179" s="24"/>
      <c r="AL1179" s="24"/>
      <c r="AM1179" s="24"/>
      <c r="AN1179" s="24"/>
      <c r="AO1179" s="24"/>
      <c r="AP1179" s="24"/>
      <c r="AQ1179" s="24"/>
      <c r="AR1179" s="54"/>
    </row>
    <row r="1180">
      <c r="A1180" s="57"/>
      <c r="B1180" s="24"/>
      <c r="C1180" s="24"/>
      <c r="D1180" s="24"/>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c r="AA1180" s="24"/>
      <c r="AB1180" s="24"/>
      <c r="AC1180" s="24"/>
      <c r="AD1180" s="24"/>
      <c r="AE1180" s="24"/>
      <c r="AF1180" s="24"/>
      <c r="AG1180" s="24"/>
      <c r="AH1180" s="24"/>
      <c r="AI1180" s="24"/>
      <c r="AJ1180" s="24"/>
      <c r="AK1180" s="24"/>
      <c r="AL1180" s="24"/>
      <c r="AM1180" s="24"/>
      <c r="AN1180" s="24"/>
      <c r="AO1180" s="24"/>
      <c r="AP1180" s="24"/>
      <c r="AQ1180" s="24"/>
      <c r="AR1180" s="54"/>
    </row>
    <row r="1181">
      <c r="A1181" s="57"/>
      <c r="B1181" s="24"/>
      <c r="C1181" s="24"/>
      <c r="D1181" s="24"/>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c r="AA1181" s="24"/>
      <c r="AB1181" s="24"/>
      <c r="AC1181" s="24"/>
      <c r="AD1181" s="24"/>
      <c r="AE1181" s="24"/>
      <c r="AF1181" s="24"/>
      <c r="AG1181" s="24"/>
      <c r="AH1181" s="24"/>
      <c r="AI1181" s="24"/>
      <c r="AJ1181" s="24"/>
      <c r="AK1181" s="24"/>
      <c r="AL1181" s="24"/>
      <c r="AM1181" s="24"/>
      <c r="AN1181" s="24"/>
      <c r="AO1181" s="24"/>
      <c r="AP1181" s="24"/>
      <c r="AQ1181" s="24"/>
      <c r="AR1181" s="54"/>
    </row>
    <row r="1182">
      <c r="A1182" s="57"/>
      <c r="B1182" s="24"/>
      <c r="C1182" s="24"/>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c r="AA1182" s="24"/>
      <c r="AB1182" s="24"/>
      <c r="AC1182" s="24"/>
      <c r="AD1182" s="24"/>
      <c r="AE1182" s="24"/>
      <c r="AF1182" s="24"/>
      <c r="AG1182" s="24"/>
      <c r="AH1182" s="24"/>
      <c r="AI1182" s="24"/>
      <c r="AJ1182" s="24"/>
      <c r="AK1182" s="24"/>
      <c r="AL1182" s="24"/>
      <c r="AM1182" s="24"/>
      <c r="AN1182" s="24"/>
      <c r="AO1182" s="24"/>
      <c r="AP1182" s="24"/>
      <c r="AQ1182" s="24"/>
      <c r="AR1182" s="54"/>
    </row>
    <row r="1183">
      <c r="A1183" s="57"/>
      <c r="B1183" s="24"/>
      <c r="C1183" s="24"/>
      <c r="D1183" s="24"/>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c r="AA1183" s="24"/>
      <c r="AB1183" s="24"/>
      <c r="AC1183" s="24"/>
      <c r="AD1183" s="24"/>
      <c r="AE1183" s="24"/>
      <c r="AF1183" s="24"/>
      <c r="AG1183" s="24"/>
      <c r="AH1183" s="24"/>
      <c r="AI1183" s="24"/>
      <c r="AJ1183" s="24"/>
      <c r="AK1183" s="24"/>
      <c r="AL1183" s="24"/>
      <c r="AM1183" s="24"/>
      <c r="AN1183" s="24"/>
      <c r="AO1183" s="24"/>
      <c r="AP1183" s="24"/>
      <c r="AQ1183" s="24"/>
      <c r="AR1183" s="54"/>
    </row>
    <row r="1184">
      <c r="A1184" s="57"/>
      <c r="B1184" s="24"/>
      <c r="C1184" s="24"/>
      <c r="D1184" s="24"/>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c r="AA1184" s="24"/>
      <c r="AB1184" s="24"/>
      <c r="AC1184" s="24"/>
      <c r="AD1184" s="24"/>
      <c r="AE1184" s="24"/>
      <c r="AF1184" s="24"/>
      <c r="AG1184" s="24"/>
      <c r="AH1184" s="24"/>
      <c r="AI1184" s="24"/>
      <c r="AJ1184" s="24"/>
      <c r="AK1184" s="24"/>
      <c r="AL1184" s="24"/>
      <c r="AM1184" s="24"/>
      <c r="AN1184" s="24"/>
      <c r="AO1184" s="24"/>
      <c r="AP1184" s="24"/>
      <c r="AQ1184" s="24"/>
      <c r="AR1184" s="54"/>
    </row>
    <row r="1185">
      <c r="A1185" s="57"/>
      <c r="B1185" s="24"/>
      <c r="C1185" s="24"/>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c r="AA1185" s="24"/>
      <c r="AB1185" s="24"/>
      <c r="AC1185" s="24"/>
      <c r="AD1185" s="24"/>
      <c r="AE1185" s="24"/>
      <c r="AF1185" s="24"/>
      <c r="AG1185" s="24"/>
      <c r="AH1185" s="24"/>
      <c r="AI1185" s="24"/>
      <c r="AJ1185" s="24"/>
      <c r="AK1185" s="24"/>
      <c r="AL1185" s="24"/>
      <c r="AM1185" s="24"/>
      <c r="AN1185" s="24"/>
      <c r="AO1185" s="24"/>
      <c r="AP1185" s="24"/>
      <c r="AQ1185" s="24"/>
      <c r="AR1185" s="54"/>
    </row>
    <row r="1186">
      <c r="A1186" s="57"/>
      <c r="B1186" s="24"/>
      <c r="C1186" s="24"/>
      <c r="D1186" s="24"/>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c r="AA1186" s="24"/>
      <c r="AB1186" s="24"/>
      <c r="AC1186" s="24"/>
      <c r="AD1186" s="24"/>
      <c r="AE1186" s="24"/>
      <c r="AF1186" s="24"/>
      <c r="AG1186" s="24"/>
      <c r="AH1186" s="24"/>
      <c r="AI1186" s="24"/>
      <c r="AJ1186" s="24"/>
      <c r="AK1186" s="24"/>
      <c r="AL1186" s="24"/>
      <c r="AM1186" s="24"/>
      <c r="AN1186" s="24"/>
      <c r="AO1186" s="24"/>
      <c r="AP1186" s="24"/>
      <c r="AQ1186" s="24"/>
      <c r="AR1186" s="54"/>
    </row>
    <row r="1187">
      <c r="A1187" s="57"/>
      <c r="B1187" s="24"/>
      <c r="C1187" s="24"/>
      <c r="D1187" s="24"/>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c r="AA1187" s="24"/>
      <c r="AB1187" s="24"/>
      <c r="AC1187" s="24"/>
      <c r="AD1187" s="24"/>
      <c r="AE1187" s="24"/>
      <c r="AF1187" s="24"/>
      <c r="AG1187" s="24"/>
      <c r="AH1187" s="24"/>
      <c r="AI1187" s="24"/>
      <c r="AJ1187" s="24"/>
      <c r="AK1187" s="24"/>
      <c r="AL1187" s="24"/>
      <c r="AM1187" s="24"/>
      <c r="AN1187" s="24"/>
      <c r="AO1187" s="24"/>
      <c r="AP1187" s="24"/>
      <c r="AQ1187" s="24"/>
      <c r="AR1187" s="54"/>
    </row>
    <row r="1188">
      <c r="A1188" s="57"/>
      <c r="B1188" s="24"/>
      <c r="C1188" s="24"/>
      <c r="D1188" s="24"/>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c r="AA1188" s="24"/>
      <c r="AB1188" s="24"/>
      <c r="AC1188" s="24"/>
      <c r="AD1188" s="24"/>
      <c r="AE1188" s="24"/>
      <c r="AF1188" s="24"/>
      <c r="AG1188" s="24"/>
      <c r="AH1188" s="24"/>
      <c r="AI1188" s="24"/>
      <c r="AJ1188" s="24"/>
      <c r="AK1188" s="24"/>
      <c r="AL1188" s="24"/>
      <c r="AM1188" s="24"/>
      <c r="AN1188" s="24"/>
      <c r="AO1188" s="24"/>
      <c r="AP1188" s="24"/>
      <c r="AQ1188" s="24"/>
      <c r="AR1188" s="54"/>
    </row>
    <row r="1189">
      <c r="A1189" s="57"/>
      <c r="B1189" s="24"/>
      <c r="C1189" s="24"/>
      <c r="D1189" s="24"/>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c r="AA1189" s="24"/>
      <c r="AB1189" s="24"/>
      <c r="AC1189" s="24"/>
      <c r="AD1189" s="24"/>
      <c r="AE1189" s="24"/>
      <c r="AF1189" s="24"/>
      <c r="AG1189" s="24"/>
      <c r="AH1189" s="24"/>
      <c r="AI1189" s="24"/>
      <c r="AJ1189" s="24"/>
      <c r="AK1189" s="24"/>
      <c r="AL1189" s="24"/>
      <c r="AM1189" s="24"/>
      <c r="AN1189" s="24"/>
      <c r="AO1189" s="24"/>
      <c r="AP1189" s="24"/>
      <c r="AQ1189" s="24"/>
      <c r="AR1189" s="54"/>
    </row>
    <row r="1190">
      <c r="A1190" s="57"/>
      <c r="B1190" s="24"/>
      <c r="C1190" s="24"/>
      <c r="D1190" s="24"/>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c r="AA1190" s="24"/>
      <c r="AB1190" s="24"/>
      <c r="AC1190" s="24"/>
      <c r="AD1190" s="24"/>
      <c r="AE1190" s="24"/>
      <c r="AF1190" s="24"/>
      <c r="AG1190" s="24"/>
      <c r="AH1190" s="24"/>
      <c r="AI1190" s="24"/>
      <c r="AJ1190" s="24"/>
      <c r="AK1190" s="24"/>
      <c r="AL1190" s="24"/>
      <c r="AM1190" s="24"/>
      <c r="AN1190" s="24"/>
      <c r="AO1190" s="24"/>
      <c r="AP1190" s="24"/>
      <c r="AQ1190" s="24"/>
      <c r="AR1190" s="54"/>
    </row>
    <row r="1191">
      <c r="A1191" s="57"/>
      <c r="B1191" s="24"/>
      <c r="C1191" s="24"/>
      <c r="D1191" s="24"/>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c r="AA1191" s="24"/>
      <c r="AB1191" s="24"/>
      <c r="AC1191" s="24"/>
      <c r="AD1191" s="24"/>
      <c r="AE1191" s="24"/>
      <c r="AF1191" s="24"/>
      <c r="AG1191" s="24"/>
      <c r="AH1191" s="24"/>
      <c r="AI1191" s="24"/>
      <c r="AJ1191" s="24"/>
      <c r="AK1191" s="24"/>
      <c r="AL1191" s="24"/>
      <c r="AM1191" s="24"/>
      <c r="AN1191" s="24"/>
      <c r="AO1191" s="24"/>
      <c r="AP1191" s="24"/>
      <c r="AQ1191" s="24"/>
      <c r="AR1191" s="54"/>
    </row>
    <row r="1192">
      <c r="A1192" s="57"/>
      <c r="B1192" s="24"/>
      <c r="C1192" s="24"/>
      <c r="D1192" s="24"/>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c r="AA1192" s="24"/>
      <c r="AB1192" s="24"/>
      <c r="AC1192" s="24"/>
      <c r="AD1192" s="24"/>
      <c r="AE1192" s="24"/>
      <c r="AF1192" s="24"/>
      <c r="AG1192" s="24"/>
      <c r="AH1192" s="24"/>
      <c r="AI1192" s="24"/>
      <c r="AJ1192" s="24"/>
      <c r="AK1192" s="24"/>
      <c r="AL1192" s="24"/>
      <c r="AM1192" s="24"/>
      <c r="AN1192" s="24"/>
      <c r="AO1192" s="24"/>
      <c r="AP1192" s="24"/>
      <c r="AQ1192" s="24"/>
      <c r="AR1192" s="54"/>
    </row>
    <row r="1193">
      <c r="A1193" s="57"/>
      <c r="B1193" s="24"/>
      <c r="C1193" s="24"/>
      <c r="D1193" s="24"/>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c r="AA1193" s="24"/>
      <c r="AB1193" s="24"/>
      <c r="AC1193" s="24"/>
      <c r="AD1193" s="24"/>
      <c r="AE1193" s="24"/>
      <c r="AF1193" s="24"/>
      <c r="AG1193" s="24"/>
      <c r="AH1193" s="24"/>
      <c r="AI1193" s="24"/>
      <c r="AJ1193" s="24"/>
      <c r="AK1193" s="24"/>
      <c r="AL1193" s="24"/>
      <c r="AM1193" s="24"/>
      <c r="AN1193" s="24"/>
      <c r="AO1193" s="24"/>
      <c r="AP1193" s="24"/>
      <c r="AQ1193" s="24"/>
      <c r="AR1193" s="54"/>
    </row>
    <row r="1194">
      <c r="A1194" s="57"/>
      <c r="B1194" s="24"/>
      <c r="C1194" s="24"/>
      <c r="D1194" s="24"/>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c r="AA1194" s="24"/>
      <c r="AB1194" s="24"/>
      <c r="AC1194" s="24"/>
      <c r="AD1194" s="24"/>
      <c r="AE1194" s="24"/>
      <c r="AF1194" s="24"/>
      <c r="AG1194" s="24"/>
      <c r="AH1194" s="24"/>
      <c r="AI1194" s="24"/>
      <c r="AJ1194" s="24"/>
      <c r="AK1194" s="24"/>
      <c r="AL1194" s="24"/>
      <c r="AM1194" s="24"/>
      <c r="AN1194" s="24"/>
      <c r="AO1194" s="24"/>
      <c r="AP1194" s="24"/>
      <c r="AQ1194" s="24"/>
      <c r="AR1194" s="54"/>
    </row>
    <row r="1195">
      <c r="A1195" s="57"/>
      <c r="B1195" s="24"/>
      <c r="C1195" s="24"/>
      <c r="D1195" s="24"/>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c r="AA1195" s="24"/>
      <c r="AB1195" s="24"/>
      <c r="AC1195" s="24"/>
      <c r="AD1195" s="24"/>
      <c r="AE1195" s="24"/>
      <c r="AF1195" s="24"/>
      <c r="AG1195" s="24"/>
      <c r="AH1195" s="24"/>
      <c r="AI1195" s="24"/>
      <c r="AJ1195" s="24"/>
      <c r="AK1195" s="24"/>
      <c r="AL1195" s="24"/>
      <c r="AM1195" s="24"/>
      <c r="AN1195" s="24"/>
      <c r="AO1195" s="24"/>
      <c r="AP1195" s="24"/>
      <c r="AQ1195" s="24"/>
      <c r="AR1195" s="54"/>
    </row>
    <row r="1196">
      <c r="A1196" s="57"/>
      <c r="B1196" s="24"/>
      <c r="C1196" s="24"/>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c r="AA1196" s="24"/>
      <c r="AB1196" s="24"/>
      <c r="AC1196" s="24"/>
      <c r="AD1196" s="24"/>
      <c r="AE1196" s="24"/>
      <c r="AF1196" s="24"/>
      <c r="AG1196" s="24"/>
      <c r="AH1196" s="24"/>
      <c r="AI1196" s="24"/>
      <c r="AJ1196" s="24"/>
      <c r="AK1196" s="24"/>
      <c r="AL1196" s="24"/>
      <c r="AM1196" s="24"/>
      <c r="AN1196" s="24"/>
      <c r="AO1196" s="24"/>
      <c r="AP1196" s="24"/>
      <c r="AQ1196" s="24"/>
      <c r="AR1196" s="54"/>
    </row>
    <row r="1197">
      <c r="A1197" s="57"/>
      <c r="B1197" s="24"/>
      <c r="C1197" s="24"/>
      <c r="D1197" s="24"/>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c r="AA1197" s="24"/>
      <c r="AB1197" s="24"/>
      <c r="AC1197" s="24"/>
      <c r="AD1197" s="24"/>
      <c r="AE1197" s="24"/>
      <c r="AF1197" s="24"/>
      <c r="AG1197" s="24"/>
      <c r="AH1197" s="24"/>
      <c r="AI1197" s="24"/>
      <c r="AJ1197" s="24"/>
      <c r="AK1197" s="24"/>
      <c r="AL1197" s="24"/>
      <c r="AM1197" s="24"/>
      <c r="AN1197" s="24"/>
      <c r="AO1197" s="24"/>
      <c r="AP1197" s="24"/>
      <c r="AQ1197" s="24"/>
      <c r="AR1197" s="54"/>
    </row>
    <row r="1198">
      <c r="A1198" s="57"/>
      <c r="B1198" s="24"/>
      <c r="C1198" s="24"/>
      <c r="D1198" s="24"/>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c r="AA1198" s="24"/>
      <c r="AB1198" s="24"/>
      <c r="AC1198" s="24"/>
      <c r="AD1198" s="24"/>
      <c r="AE1198" s="24"/>
      <c r="AF1198" s="24"/>
      <c r="AG1198" s="24"/>
      <c r="AH1198" s="24"/>
      <c r="AI1198" s="24"/>
      <c r="AJ1198" s="24"/>
      <c r="AK1198" s="24"/>
      <c r="AL1198" s="24"/>
      <c r="AM1198" s="24"/>
      <c r="AN1198" s="24"/>
      <c r="AO1198" s="24"/>
      <c r="AP1198" s="24"/>
      <c r="AQ1198" s="24"/>
      <c r="AR1198" s="54"/>
    </row>
    <row r="1199">
      <c r="A1199" s="57"/>
      <c r="B1199" s="24"/>
      <c r="C1199" s="24"/>
      <c r="D1199" s="24"/>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c r="AA1199" s="24"/>
      <c r="AB1199" s="24"/>
      <c r="AC1199" s="24"/>
      <c r="AD1199" s="24"/>
      <c r="AE1199" s="24"/>
      <c r="AF1199" s="24"/>
      <c r="AG1199" s="24"/>
      <c r="AH1199" s="24"/>
      <c r="AI1199" s="24"/>
      <c r="AJ1199" s="24"/>
      <c r="AK1199" s="24"/>
      <c r="AL1199" s="24"/>
      <c r="AM1199" s="24"/>
      <c r="AN1199" s="24"/>
      <c r="AO1199" s="24"/>
      <c r="AP1199" s="24"/>
      <c r="AQ1199" s="24"/>
      <c r="AR1199" s="54"/>
    </row>
    <row r="1200">
      <c r="A1200" s="57"/>
      <c r="B1200" s="24"/>
      <c r="C1200" s="24"/>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c r="AA1200" s="24"/>
      <c r="AB1200" s="24"/>
      <c r="AC1200" s="24"/>
      <c r="AD1200" s="24"/>
      <c r="AE1200" s="24"/>
      <c r="AF1200" s="24"/>
      <c r="AG1200" s="24"/>
      <c r="AH1200" s="24"/>
      <c r="AI1200" s="24"/>
      <c r="AJ1200" s="24"/>
      <c r="AK1200" s="24"/>
      <c r="AL1200" s="24"/>
      <c r="AM1200" s="24"/>
      <c r="AN1200" s="24"/>
      <c r="AO1200" s="24"/>
      <c r="AP1200" s="24"/>
      <c r="AQ1200" s="24"/>
      <c r="AR1200" s="54"/>
    </row>
    <row r="1201">
      <c r="A1201" s="57"/>
      <c r="B1201" s="24"/>
      <c r="C1201" s="24"/>
      <c r="D1201" s="24"/>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c r="AA1201" s="24"/>
      <c r="AB1201" s="24"/>
      <c r="AC1201" s="24"/>
      <c r="AD1201" s="24"/>
      <c r="AE1201" s="24"/>
      <c r="AF1201" s="24"/>
      <c r="AG1201" s="24"/>
      <c r="AH1201" s="24"/>
      <c r="AI1201" s="24"/>
      <c r="AJ1201" s="24"/>
      <c r="AK1201" s="24"/>
      <c r="AL1201" s="24"/>
      <c r="AM1201" s="24"/>
      <c r="AN1201" s="24"/>
      <c r="AO1201" s="24"/>
      <c r="AP1201" s="24"/>
      <c r="AQ1201" s="24"/>
      <c r="AR1201" s="54"/>
    </row>
    <row r="1202">
      <c r="A1202" s="57"/>
      <c r="B1202" s="24"/>
      <c r="C1202" s="24"/>
      <c r="D1202" s="24"/>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c r="AA1202" s="24"/>
      <c r="AB1202" s="24"/>
      <c r="AC1202" s="24"/>
      <c r="AD1202" s="24"/>
      <c r="AE1202" s="24"/>
      <c r="AF1202" s="24"/>
      <c r="AG1202" s="24"/>
      <c r="AH1202" s="24"/>
      <c r="AI1202" s="24"/>
      <c r="AJ1202" s="24"/>
      <c r="AK1202" s="24"/>
      <c r="AL1202" s="24"/>
      <c r="AM1202" s="24"/>
      <c r="AN1202" s="24"/>
      <c r="AO1202" s="24"/>
      <c r="AP1202" s="24"/>
      <c r="AQ1202" s="24"/>
      <c r="AR1202" s="54"/>
    </row>
    <row r="1203">
      <c r="A1203" s="57"/>
      <c r="B1203" s="24"/>
      <c r="C1203" s="24"/>
      <c r="D1203" s="24"/>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c r="AA1203" s="24"/>
      <c r="AB1203" s="24"/>
      <c r="AC1203" s="24"/>
      <c r="AD1203" s="24"/>
      <c r="AE1203" s="24"/>
      <c r="AF1203" s="24"/>
      <c r="AG1203" s="24"/>
      <c r="AH1203" s="24"/>
      <c r="AI1203" s="24"/>
      <c r="AJ1203" s="24"/>
      <c r="AK1203" s="24"/>
      <c r="AL1203" s="24"/>
      <c r="AM1203" s="24"/>
      <c r="AN1203" s="24"/>
      <c r="AO1203" s="24"/>
      <c r="AP1203" s="24"/>
      <c r="AQ1203" s="24"/>
      <c r="AR1203" s="54"/>
    </row>
    <row r="1204">
      <c r="A1204" s="57"/>
      <c r="B1204" s="24"/>
      <c r="C1204" s="24"/>
      <c r="D1204" s="24"/>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c r="AA1204" s="24"/>
      <c r="AB1204" s="24"/>
      <c r="AC1204" s="24"/>
      <c r="AD1204" s="24"/>
      <c r="AE1204" s="24"/>
      <c r="AF1204" s="24"/>
      <c r="AG1204" s="24"/>
      <c r="AH1204" s="24"/>
      <c r="AI1204" s="24"/>
      <c r="AJ1204" s="24"/>
      <c r="AK1204" s="24"/>
      <c r="AL1204" s="24"/>
      <c r="AM1204" s="24"/>
      <c r="AN1204" s="24"/>
      <c r="AO1204" s="24"/>
      <c r="AP1204" s="24"/>
      <c r="AQ1204" s="24"/>
      <c r="AR1204" s="54"/>
    </row>
    <row r="1205">
      <c r="A1205" s="57"/>
      <c r="B1205" s="24"/>
      <c r="C1205" s="24"/>
      <c r="D1205" s="24"/>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c r="AA1205" s="24"/>
      <c r="AB1205" s="24"/>
      <c r="AC1205" s="24"/>
      <c r="AD1205" s="24"/>
      <c r="AE1205" s="24"/>
      <c r="AF1205" s="24"/>
      <c r="AG1205" s="24"/>
      <c r="AH1205" s="24"/>
      <c r="AI1205" s="24"/>
      <c r="AJ1205" s="24"/>
      <c r="AK1205" s="24"/>
      <c r="AL1205" s="24"/>
      <c r="AM1205" s="24"/>
      <c r="AN1205" s="24"/>
      <c r="AO1205" s="24"/>
      <c r="AP1205" s="24"/>
      <c r="AQ1205" s="24"/>
      <c r="AR1205" s="54"/>
    </row>
    <row r="1206">
      <c r="A1206" s="57"/>
      <c r="B1206" s="24"/>
      <c r="C1206" s="24"/>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c r="AA1206" s="24"/>
      <c r="AB1206" s="24"/>
      <c r="AC1206" s="24"/>
      <c r="AD1206" s="24"/>
      <c r="AE1206" s="24"/>
      <c r="AF1206" s="24"/>
      <c r="AG1206" s="24"/>
      <c r="AH1206" s="24"/>
      <c r="AI1206" s="24"/>
      <c r="AJ1206" s="24"/>
      <c r="AK1206" s="24"/>
      <c r="AL1206" s="24"/>
      <c r="AM1206" s="24"/>
      <c r="AN1206" s="24"/>
      <c r="AO1206" s="24"/>
      <c r="AP1206" s="24"/>
      <c r="AQ1206" s="24"/>
      <c r="AR1206" s="54"/>
    </row>
    <row r="1207">
      <c r="A1207" s="57"/>
      <c r="B1207" s="24"/>
      <c r="C1207" s="24"/>
      <c r="D1207" s="24"/>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c r="AA1207" s="24"/>
      <c r="AB1207" s="24"/>
      <c r="AC1207" s="24"/>
      <c r="AD1207" s="24"/>
      <c r="AE1207" s="24"/>
      <c r="AF1207" s="24"/>
      <c r="AG1207" s="24"/>
      <c r="AH1207" s="24"/>
      <c r="AI1207" s="24"/>
      <c r="AJ1207" s="24"/>
      <c r="AK1207" s="24"/>
      <c r="AL1207" s="24"/>
      <c r="AM1207" s="24"/>
      <c r="AN1207" s="24"/>
      <c r="AO1207" s="24"/>
      <c r="AP1207" s="24"/>
      <c r="AQ1207" s="24"/>
      <c r="AR1207" s="54"/>
    </row>
    <row r="1208">
      <c r="A1208" s="57"/>
      <c r="B1208" s="24"/>
      <c r="C1208" s="24"/>
      <c r="D1208" s="24"/>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c r="AA1208" s="24"/>
      <c r="AB1208" s="24"/>
      <c r="AC1208" s="24"/>
      <c r="AD1208" s="24"/>
      <c r="AE1208" s="24"/>
      <c r="AF1208" s="24"/>
      <c r="AG1208" s="24"/>
      <c r="AH1208" s="24"/>
      <c r="AI1208" s="24"/>
      <c r="AJ1208" s="24"/>
      <c r="AK1208" s="24"/>
      <c r="AL1208" s="24"/>
      <c r="AM1208" s="24"/>
      <c r="AN1208" s="24"/>
      <c r="AO1208" s="24"/>
      <c r="AP1208" s="24"/>
      <c r="AQ1208" s="24"/>
      <c r="AR1208" s="54"/>
    </row>
    <row r="1209">
      <c r="A1209" s="57"/>
      <c r="B1209" s="24"/>
      <c r="C1209" s="24"/>
      <c r="D1209" s="24"/>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c r="AA1209" s="24"/>
      <c r="AB1209" s="24"/>
      <c r="AC1209" s="24"/>
      <c r="AD1209" s="24"/>
      <c r="AE1209" s="24"/>
      <c r="AF1209" s="24"/>
      <c r="AG1209" s="24"/>
      <c r="AH1209" s="24"/>
      <c r="AI1209" s="24"/>
      <c r="AJ1209" s="24"/>
      <c r="AK1209" s="24"/>
      <c r="AL1209" s="24"/>
      <c r="AM1209" s="24"/>
      <c r="AN1209" s="24"/>
      <c r="AO1209" s="24"/>
      <c r="AP1209" s="24"/>
      <c r="AQ1209" s="24"/>
      <c r="AR1209" s="54"/>
    </row>
    <row r="1210">
      <c r="A1210" s="57"/>
      <c r="B1210" s="24"/>
      <c r="C1210" s="24"/>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c r="AA1210" s="24"/>
      <c r="AB1210" s="24"/>
      <c r="AC1210" s="24"/>
      <c r="AD1210" s="24"/>
      <c r="AE1210" s="24"/>
      <c r="AF1210" s="24"/>
      <c r="AG1210" s="24"/>
      <c r="AH1210" s="24"/>
      <c r="AI1210" s="24"/>
      <c r="AJ1210" s="24"/>
      <c r="AK1210" s="24"/>
      <c r="AL1210" s="24"/>
      <c r="AM1210" s="24"/>
      <c r="AN1210" s="24"/>
      <c r="AO1210" s="24"/>
      <c r="AP1210" s="24"/>
      <c r="AQ1210" s="24"/>
      <c r="AR1210" s="54"/>
    </row>
    <row r="1211">
      <c r="A1211" s="57"/>
      <c r="B1211" s="24"/>
      <c r="C1211" s="24"/>
      <c r="D1211" s="24"/>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c r="AA1211" s="24"/>
      <c r="AB1211" s="24"/>
      <c r="AC1211" s="24"/>
      <c r="AD1211" s="24"/>
      <c r="AE1211" s="24"/>
      <c r="AF1211" s="24"/>
      <c r="AG1211" s="24"/>
      <c r="AH1211" s="24"/>
      <c r="AI1211" s="24"/>
      <c r="AJ1211" s="24"/>
      <c r="AK1211" s="24"/>
      <c r="AL1211" s="24"/>
      <c r="AM1211" s="24"/>
      <c r="AN1211" s="24"/>
      <c r="AO1211" s="24"/>
      <c r="AP1211" s="24"/>
      <c r="AQ1211" s="24"/>
      <c r="AR1211" s="54"/>
    </row>
    <row r="1212">
      <c r="A1212" s="57"/>
      <c r="B1212" s="24"/>
      <c r="C1212" s="24"/>
      <c r="D1212" s="24"/>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c r="AA1212" s="24"/>
      <c r="AB1212" s="24"/>
      <c r="AC1212" s="24"/>
      <c r="AD1212" s="24"/>
      <c r="AE1212" s="24"/>
      <c r="AF1212" s="24"/>
      <c r="AG1212" s="24"/>
      <c r="AH1212" s="24"/>
      <c r="AI1212" s="24"/>
      <c r="AJ1212" s="24"/>
      <c r="AK1212" s="24"/>
      <c r="AL1212" s="24"/>
      <c r="AM1212" s="24"/>
      <c r="AN1212" s="24"/>
      <c r="AO1212" s="24"/>
      <c r="AP1212" s="24"/>
      <c r="AQ1212" s="24"/>
      <c r="AR1212" s="54"/>
    </row>
    <row r="1213">
      <c r="A1213" s="57"/>
      <c r="B1213" s="24"/>
      <c r="C1213" s="24"/>
      <c r="D1213" s="24"/>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c r="AA1213" s="24"/>
      <c r="AB1213" s="24"/>
      <c r="AC1213" s="24"/>
      <c r="AD1213" s="24"/>
      <c r="AE1213" s="24"/>
      <c r="AF1213" s="24"/>
      <c r="AG1213" s="24"/>
      <c r="AH1213" s="24"/>
      <c r="AI1213" s="24"/>
      <c r="AJ1213" s="24"/>
      <c r="AK1213" s="24"/>
      <c r="AL1213" s="24"/>
      <c r="AM1213" s="24"/>
      <c r="AN1213" s="24"/>
      <c r="AO1213" s="24"/>
      <c r="AP1213" s="24"/>
      <c r="AQ1213" s="24"/>
      <c r="AR1213" s="54"/>
    </row>
    <row r="1214">
      <c r="A1214" s="57"/>
      <c r="B1214" s="24"/>
      <c r="C1214" s="24"/>
      <c r="D1214" s="24"/>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c r="AA1214" s="24"/>
      <c r="AB1214" s="24"/>
      <c r="AC1214" s="24"/>
      <c r="AD1214" s="24"/>
      <c r="AE1214" s="24"/>
      <c r="AF1214" s="24"/>
      <c r="AG1214" s="24"/>
      <c r="AH1214" s="24"/>
      <c r="AI1214" s="24"/>
      <c r="AJ1214" s="24"/>
      <c r="AK1214" s="24"/>
      <c r="AL1214" s="24"/>
      <c r="AM1214" s="24"/>
      <c r="AN1214" s="24"/>
      <c r="AO1214" s="24"/>
      <c r="AP1214" s="24"/>
      <c r="AQ1214" s="24"/>
      <c r="AR1214" s="54"/>
    </row>
    <row r="1215">
      <c r="A1215" s="57"/>
      <c r="B1215" s="24"/>
      <c r="C1215" s="24"/>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c r="AA1215" s="24"/>
      <c r="AB1215" s="24"/>
      <c r="AC1215" s="24"/>
      <c r="AD1215" s="24"/>
      <c r="AE1215" s="24"/>
      <c r="AF1215" s="24"/>
      <c r="AG1215" s="24"/>
      <c r="AH1215" s="24"/>
      <c r="AI1215" s="24"/>
      <c r="AJ1215" s="24"/>
      <c r="AK1215" s="24"/>
      <c r="AL1215" s="24"/>
      <c r="AM1215" s="24"/>
      <c r="AN1215" s="24"/>
      <c r="AO1215" s="24"/>
      <c r="AP1215" s="24"/>
      <c r="AQ1215" s="24"/>
      <c r="AR1215" s="54"/>
    </row>
    <row r="1216">
      <c r="A1216" s="57"/>
      <c r="B1216" s="24"/>
      <c r="C1216" s="24"/>
      <c r="D1216" s="24"/>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c r="AA1216" s="24"/>
      <c r="AB1216" s="24"/>
      <c r="AC1216" s="24"/>
      <c r="AD1216" s="24"/>
      <c r="AE1216" s="24"/>
      <c r="AF1216" s="24"/>
      <c r="AG1216" s="24"/>
      <c r="AH1216" s="24"/>
      <c r="AI1216" s="24"/>
      <c r="AJ1216" s="24"/>
      <c r="AK1216" s="24"/>
      <c r="AL1216" s="24"/>
      <c r="AM1216" s="24"/>
      <c r="AN1216" s="24"/>
      <c r="AO1216" s="24"/>
      <c r="AP1216" s="24"/>
      <c r="AQ1216" s="24"/>
      <c r="AR1216" s="54"/>
    </row>
    <row r="1217">
      <c r="A1217" s="57"/>
      <c r="B1217" s="24"/>
      <c r="C1217" s="24"/>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c r="AA1217" s="24"/>
      <c r="AB1217" s="24"/>
      <c r="AC1217" s="24"/>
      <c r="AD1217" s="24"/>
      <c r="AE1217" s="24"/>
      <c r="AF1217" s="24"/>
      <c r="AG1217" s="24"/>
      <c r="AH1217" s="24"/>
      <c r="AI1217" s="24"/>
      <c r="AJ1217" s="24"/>
      <c r="AK1217" s="24"/>
      <c r="AL1217" s="24"/>
      <c r="AM1217" s="24"/>
      <c r="AN1217" s="24"/>
      <c r="AO1217" s="24"/>
      <c r="AP1217" s="24"/>
      <c r="AQ1217" s="24"/>
      <c r="AR1217" s="54"/>
    </row>
    <row r="1218">
      <c r="A1218" s="57"/>
      <c r="B1218" s="24"/>
      <c r="C1218" s="24"/>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c r="AA1218" s="24"/>
      <c r="AB1218" s="24"/>
      <c r="AC1218" s="24"/>
      <c r="AD1218" s="24"/>
      <c r="AE1218" s="24"/>
      <c r="AF1218" s="24"/>
      <c r="AG1218" s="24"/>
      <c r="AH1218" s="24"/>
      <c r="AI1218" s="24"/>
      <c r="AJ1218" s="24"/>
      <c r="AK1218" s="24"/>
      <c r="AL1218" s="24"/>
      <c r="AM1218" s="24"/>
      <c r="AN1218" s="24"/>
      <c r="AO1218" s="24"/>
      <c r="AP1218" s="24"/>
      <c r="AQ1218" s="24"/>
      <c r="AR1218" s="54"/>
    </row>
    <row r="1219">
      <c r="A1219" s="57"/>
      <c r="B1219" s="24"/>
      <c r="C1219" s="24"/>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c r="AA1219" s="24"/>
      <c r="AB1219" s="24"/>
      <c r="AC1219" s="24"/>
      <c r="AD1219" s="24"/>
      <c r="AE1219" s="24"/>
      <c r="AF1219" s="24"/>
      <c r="AG1219" s="24"/>
      <c r="AH1219" s="24"/>
      <c r="AI1219" s="24"/>
      <c r="AJ1219" s="24"/>
      <c r="AK1219" s="24"/>
      <c r="AL1219" s="24"/>
      <c r="AM1219" s="24"/>
      <c r="AN1219" s="24"/>
      <c r="AO1219" s="24"/>
      <c r="AP1219" s="24"/>
      <c r="AQ1219" s="24"/>
      <c r="AR1219" s="54"/>
    </row>
    <row r="1220">
      <c r="A1220" s="57"/>
      <c r="B1220" s="24"/>
      <c r="C1220" s="24"/>
      <c r="D1220" s="24"/>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c r="AA1220" s="24"/>
      <c r="AB1220" s="24"/>
      <c r="AC1220" s="24"/>
      <c r="AD1220" s="24"/>
      <c r="AE1220" s="24"/>
      <c r="AF1220" s="24"/>
      <c r="AG1220" s="24"/>
      <c r="AH1220" s="24"/>
      <c r="AI1220" s="24"/>
      <c r="AJ1220" s="24"/>
      <c r="AK1220" s="24"/>
      <c r="AL1220" s="24"/>
      <c r="AM1220" s="24"/>
      <c r="AN1220" s="24"/>
      <c r="AO1220" s="24"/>
      <c r="AP1220" s="24"/>
      <c r="AQ1220" s="24"/>
      <c r="AR1220" s="54"/>
    </row>
    <row r="1221">
      <c r="A1221" s="57"/>
      <c r="B1221" s="24"/>
      <c r="C1221" s="24"/>
      <c r="D1221" s="24"/>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c r="AA1221" s="24"/>
      <c r="AB1221" s="24"/>
      <c r="AC1221" s="24"/>
      <c r="AD1221" s="24"/>
      <c r="AE1221" s="24"/>
      <c r="AF1221" s="24"/>
      <c r="AG1221" s="24"/>
      <c r="AH1221" s="24"/>
      <c r="AI1221" s="24"/>
      <c r="AJ1221" s="24"/>
      <c r="AK1221" s="24"/>
      <c r="AL1221" s="24"/>
      <c r="AM1221" s="24"/>
      <c r="AN1221" s="24"/>
      <c r="AO1221" s="24"/>
      <c r="AP1221" s="24"/>
      <c r="AQ1221" s="24"/>
      <c r="AR1221" s="54"/>
    </row>
    <row r="1222">
      <c r="A1222" s="57"/>
      <c r="B1222" s="24"/>
      <c r="C1222" s="24"/>
      <c r="D1222" s="24"/>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c r="AA1222" s="24"/>
      <c r="AB1222" s="24"/>
      <c r="AC1222" s="24"/>
      <c r="AD1222" s="24"/>
      <c r="AE1222" s="24"/>
      <c r="AF1222" s="24"/>
      <c r="AG1222" s="24"/>
      <c r="AH1222" s="24"/>
      <c r="AI1222" s="24"/>
      <c r="AJ1222" s="24"/>
      <c r="AK1222" s="24"/>
      <c r="AL1222" s="24"/>
      <c r="AM1222" s="24"/>
      <c r="AN1222" s="24"/>
      <c r="AO1222" s="24"/>
      <c r="AP1222" s="24"/>
      <c r="AQ1222" s="24"/>
      <c r="AR1222" s="54"/>
    </row>
    <row r="1223">
      <c r="A1223" s="57"/>
      <c r="B1223" s="24"/>
      <c r="C1223" s="24"/>
      <c r="D1223" s="24"/>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c r="AA1223" s="24"/>
      <c r="AB1223" s="24"/>
      <c r="AC1223" s="24"/>
      <c r="AD1223" s="24"/>
      <c r="AE1223" s="24"/>
      <c r="AF1223" s="24"/>
      <c r="AG1223" s="24"/>
      <c r="AH1223" s="24"/>
      <c r="AI1223" s="24"/>
      <c r="AJ1223" s="24"/>
      <c r="AK1223" s="24"/>
      <c r="AL1223" s="24"/>
      <c r="AM1223" s="24"/>
      <c r="AN1223" s="24"/>
      <c r="AO1223" s="24"/>
      <c r="AP1223" s="24"/>
      <c r="AQ1223" s="24"/>
      <c r="AR1223" s="54"/>
    </row>
    <row r="1224">
      <c r="A1224" s="57"/>
      <c r="B1224" s="24"/>
      <c r="C1224" s="24"/>
      <c r="D1224" s="24"/>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c r="AA1224" s="24"/>
      <c r="AB1224" s="24"/>
      <c r="AC1224" s="24"/>
      <c r="AD1224" s="24"/>
      <c r="AE1224" s="24"/>
      <c r="AF1224" s="24"/>
      <c r="AG1224" s="24"/>
      <c r="AH1224" s="24"/>
      <c r="AI1224" s="24"/>
      <c r="AJ1224" s="24"/>
      <c r="AK1224" s="24"/>
      <c r="AL1224" s="24"/>
      <c r="AM1224" s="24"/>
      <c r="AN1224" s="24"/>
      <c r="AO1224" s="24"/>
      <c r="AP1224" s="24"/>
      <c r="AQ1224" s="24"/>
      <c r="AR1224" s="54"/>
    </row>
    <row r="1225">
      <c r="A1225" s="57"/>
      <c r="B1225" s="24"/>
      <c r="C1225" s="24"/>
      <c r="D1225" s="24"/>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c r="AA1225" s="24"/>
      <c r="AB1225" s="24"/>
      <c r="AC1225" s="24"/>
      <c r="AD1225" s="24"/>
      <c r="AE1225" s="24"/>
      <c r="AF1225" s="24"/>
      <c r="AG1225" s="24"/>
      <c r="AH1225" s="24"/>
      <c r="AI1225" s="24"/>
      <c r="AJ1225" s="24"/>
      <c r="AK1225" s="24"/>
      <c r="AL1225" s="24"/>
      <c r="AM1225" s="24"/>
      <c r="AN1225" s="24"/>
      <c r="AO1225" s="24"/>
      <c r="AP1225" s="24"/>
      <c r="AQ1225" s="24"/>
      <c r="AR1225" s="54"/>
    </row>
    <row r="1226">
      <c r="A1226" s="57"/>
      <c r="B1226" s="24"/>
      <c r="C1226" s="24"/>
      <c r="D1226" s="24"/>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c r="AA1226" s="24"/>
      <c r="AB1226" s="24"/>
      <c r="AC1226" s="24"/>
      <c r="AD1226" s="24"/>
      <c r="AE1226" s="24"/>
      <c r="AF1226" s="24"/>
      <c r="AG1226" s="24"/>
      <c r="AH1226" s="24"/>
      <c r="AI1226" s="24"/>
      <c r="AJ1226" s="24"/>
      <c r="AK1226" s="24"/>
      <c r="AL1226" s="24"/>
      <c r="AM1226" s="24"/>
      <c r="AN1226" s="24"/>
      <c r="AO1226" s="24"/>
      <c r="AP1226" s="24"/>
      <c r="AQ1226" s="24"/>
      <c r="AR1226" s="54"/>
    </row>
    <row r="1227">
      <c r="A1227" s="57"/>
      <c r="B1227" s="24"/>
      <c r="C1227" s="24"/>
      <c r="D1227" s="24"/>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c r="AA1227" s="24"/>
      <c r="AB1227" s="24"/>
      <c r="AC1227" s="24"/>
      <c r="AD1227" s="24"/>
      <c r="AE1227" s="24"/>
      <c r="AF1227" s="24"/>
      <c r="AG1227" s="24"/>
      <c r="AH1227" s="24"/>
      <c r="AI1227" s="24"/>
      <c r="AJ1227" s="24"/>
      <c r="AK1227" s="24"/>
      <c r="AL1227" s="24"/>
      <c r="AM1227" s="24"/>
      <c r="AN1227" s="24"/>
      <c r="AO1227" s="24"/>
      <c r="AP1227" s="24"/>
      <c r="AQ1227" s="24"/>
      <c r="AR1227" s="54"/>
    </row>
    <row r="1228">
      <c r="A1228" s="57"/>
      <c r="B1228" s="24"/>
      <c r="C1228" s="24"/>
      <c r="D1228" s="24"/>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c r="AA1228" s="24"/>
      <c r="AB1228" s="24"/>
      <c r="AC1228" s="24"/>
      <c r="AD1228" s="24"/>
      <c r="AE1228" s="24"/>
      <c r="AF1228" s="24"/>
      <c r="AG1228" s="24"/>
      <c r="AH1228" s="24"/>
      <c r="AI1228" s="24"/>
      <c r="AJ1228" s="24"/>
      <c r="AK1228" s="24"/>
      <c r="AL1228" s="24"/>
      <c r="AM1228" s="24"/>
      <c r="AN1228" s="24"/>
      <c r="AO1228" s="24"/>
      <c r="AP1228" s="24"/>
      <c r="AQ1228" s="24"/>
      <c r="AR1228" s="54"/>
    </row>
    <row r="1229">
      <c r="A1229" s="57"/>
      <c r="B1229" s="24"/>
      <c r="C1229" s="24"/>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c r="AA1229" s="24"/>
      <c r="AB1229" s="24"/>
      <c r="AC1229" s="24"/>
      <c r="AD1229" s="24"/>
      <c r="AE1229" s="24"/>
      <c r="AF1229" s="24"/>
      <c r="AG1229" s="24"/>
      <c r="AH1229" s="24"/>
      <c r="AI1229" s="24"/>
      <c r="AJ1229" s="24"/>
      <c r="AK1229" s="24"/>
      <c r="AL1229" s="24"/>
      <c r="AM1229" s="24"/>
      <c r="AN1229" s="24"/>
      <c r="AO1229" s="24"/>
      <c r="AP1229" s="24"/>
      <c r="AQ1229" s="24"/>
      <c r="AR1229" s="54"/>
    </row>
    <row r="1230">
      <c r="A1230" s="57"/>
      <c r="B1230" s="24"/>
      <c r="C1230" s="24"/>
      <c r="D1230" s="24"/>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c r="AA1230" s="24"/>
      <c r="AB1230" s="24"/>
      <c r="AC1230" s="24"/>
      <c r="AD1230" s="24"/>
      <c r="AE1230" s="24"/>
      <c r="AF1230" s="24"/>
      <c r="AG1230" s="24"/>
      <c r="AH1230" s="24"/>
      <c r="AI1230" s="24"/>
      <c r="AJ1230" s="24"/>
      <c r="AK1230" s="24"/>
      <c r="AL1230" s="24"/>
      <c r="AM1230" s="24"/>
      <c r="AN1230" s="24"/>
      <c r="AO1230" s="24"/>
      <c r="AP1230" s="24"/>
      <c r="AQ1230" s="24"/>
      <c r="AR1230" s="54"/>
    </row>
    <row r="1231">
      <c r="A1231" s="57"/>
      <c r="B1231" s="24"/>
      <c r="C1231" s="24"/>
      <c r="D1231" s="24"/>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c r="AA1231" s="24"/>
      <c r="AB1231" s="24"/>
      <c r="AC1231" s="24"/>
      <c r="AD1231" s="24"/>
      <c r="AE1231" s="24"/>
      <c r="AF1231" s="24"/>
      <c r="AG1231" s="24"/>
      <c r="AH1231" s="24"/>
      <c r="AI1231" s="24"/>
      <c r="AJ1231" s="24"/>
      <c r="AK1231" s="24"/>
      <c r="AL1231" s="24"/>
      <c r="AM1231" s="24"/>
      <c r="AN1231" s="24"/>
      <c r="AO1231" s="24"/>
      <c r="AP1231" s="24"/>
      <c r="AQ1231" s="24"/>
      <c r="AR1231" s="54"/>
    </row>
    <row r="1232">
      <c r="A1232" s="57"/>
      <c r="B1232" s="24"/>
      <c r="C1232" s="24"/>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c r="AA1232" s="24"/>
      <c r="AB1232" s="24"/>
      <c r="AC1232" s="24"/>
      <c r="AD1232" s="24"/>
      <c r="AE1232" s="24"/>
      <c r="AF1232" s="24"/>
      <c r="AG1232" s="24"/>
      <c r="AH1232" s="24"/>
      <c r="AI1232" s="24"/>
      <c r="AJ1232" s="24"/>
      <c r="AK1232" s="24"/>
      <c r="AL1232" s="24"/>
      <c r="AM1232" s="24"/>
      <c r="AN1232" s="24"/>
      <c r="AO1232" s="24"/>
      <c r="AP1232" s="24"/>
      <c r="AQ1232" s="24"/>
      <c r="AR1232" s="54"/>
    </row>
    <row r="1233">
      <c r="A1233" s="57"/>
      <c r="B1233" s="24"/>
      <c r="C1233" s="24"/>
      <c r="D1233" s="24"/>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c r="AA1233" s="24"/>
      <c r="AB1233" s="24"/>
      <c r="AC1233" s="24"/>
      <c r="AD1233" s="24"/>
      <c r="AE1233" s="24"/>
      <c r="AF1233" s="24"/>
      <c r="AG1233" s="24"/>
      <c r="AH1233" s="24"/>
      <c r="AI1233" s="24"/>
      <c r="AJ1233" s="24"/>
      <c r="AK1233" s="24"/>
      <c r="AL1233" s="24"/>
      <c r="AM1233" s="24"/>
      <c r="AN1233" s="24"/>
      <c r="AO1233" s="24"/>
      <c r="AP1233" s="24"/>
      <c r="AQ1233" s="24"/>
      <c r="AR1233" s="54"/>
    </row>
    <row r="1234">
      <c r="A1234" s="57"/>
      <c r="B1234" s="24"/>
      <c r="C1234" s="24"/>
      <c r="D1234" s="24"/>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c r="AA1234" s="24"/>
      <c r="AB1234" s="24"/>
      <c r="AC1234" s="24"/>
      <c r="AD1234" s="24"/>
      <c r="AE1234" s="24"/>
      <c r="AF1234" s="24"/>
      <c r="AG1234" s="24"/>
      <c r="AH1234" s="24"/>
      <c r="AI1234" s="24"/>
      <c r="AJ1234" s="24"/>
      <c r="AK1234" s="24"/>
      <c r="AL1234" s="24"/>
      <c r="AM1234" s="24"/>
      <c r="AN1234" s="24"/>
      <c r="AO1234" s="24"/>
      <c r="AP1234" s="24"/>
      <c r="AQ1234" s="24"/>
      <c r="AR1234" s="54"/>
    </row>
    <row r="1235">
      <c r="A1235" s="57"/>
      <c r="B1235" s="24"/>
      <c r="C1235" s="24"/>
      <c r="D1235" s="24"/>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c r="AA1235" s="24"/>
      <c r="AB1235" s="24"/>
      <c r="AC1235" s="24"/>
      <c r="AD1235" s="24"/>
      <c r="AE1235" s="24"/>
      <c r="AF1235" s="24"/>
      <c r="AG1235" s="24"/>
      <c r="AH1235" s="24"/>
      <c r="AI1235" s="24"/>
      <c r="AJ1235" s="24"/>
      <c r="AK1235" s="24"/>
      <c r="AL1235" s="24"/>
      <c r="AM1235" s="24"/>
      <c r="AN1235" s="24"/>
      <c r="AO1235" s="24"/>
      <c r="AP1235" s="24"/>
      <c r="AQ1235" s="24"/>
      <c r="AR1235" s="54"/>
    </row>
    <row r="1236">
      <c r="A1236" s="57"/>
      <c r="B1236" s="24"/>
      <c r="C1236" s="24"/>
      <c r="D1236" s="24"/>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c r="AA1236" s="24"/>
      <c r="AB1236" s="24"/>
      <c r="AC1236" s="24"/>
      <c r="AD1236" s="24"/>
      <c r="AE1236" s="24"/>
      <c r="AF1236" s="24"/>
      <c r="AG1236" s="24"/>
      <c r="AH1236" s="24"/>
      <c r="AI1236" s="24"/>
      <c r="AJ1236" s="24"/>
      <c r="AK1236" s="24"/>
      <c r="AL1236" s="24"/>
      <c r="AM1236" s="24"/>
      <c r="AN1236" s="24"/>
      <c r="AO1236" s="24"/>
      <c r="AP1236" s="24"/>
      <c r="AQ1236" s="24"/>
      <c r="AR1236" s="54"/>
    </row>
    <row r="1237">
      <c r="A1237" s="57"/>
      <c r="B1237" s="24"/>
      <c r="C1237" s="24"/>
      <c r="D1237" s="24"/>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c r="AA1237" s="24"/>
      <c r="AB1237" s="24"/>
      <c r="AC1237" s="24"/>
      <c r="AD1237" s="24"/>
      <c r="AE1237" s="24"/>
      <c r="AF1237" s="24"/>
      <c r="AG1237" s="24"/>
      <c r="AH1237" s="24"/>
      <c r="AI1237" s="24"/>
      <c r="AJ1237" s="24"/>
      <c r="AK1237" s="24"/>
      <c r="AL1237" s="24"/>
      <c r="AM1237" s="24"/>
      <c r="AN1237" s="24"/>
      <c r="AO1237" s="24"/>
      <c r="AP1237" s="24"/>
      <c r="AQ1237" s="24"/>
      <c r="AR1237" s="54"/>
    </row>
    <row r="1238">
      <c r="A1238" s="57"/>
      <c r="B1238" s="24"/>
      <c r="C1238" s="24"/>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c r="AA1238" s="24"/>
      <c r="AB1238" s="24"/>
      <c r="AC1238" s="24"/>
      <c r="AD1238" s="24"/>
      <c r="AE1238" s="24"/>
      <c r="AF1238" s="24"/>
      <c r="AG1238" s="24"/>
      <c r="AH1238" s="24"/>
      <c r="AI1238" s="24"/>
      <c r="AJ1238" s="24"/>
      <c r="AK1238" s="24"/>
      <c r="AL1238" s="24"/>
      <c r="AM1238" s="24"/>
      <c r="AN1238" s="24"/>
      <c r="AO1238" s="24"/>
      <c r="AP1238" s="24"/>
      <c r="AQ1238" s="24"/>
      <c r="AR1238" s="54"/>
    </row>
    <row r="1239">
      <c r="A1239" s="57"/>
      <c r="B1239" s="24"/>
      <c r="C1239" s="24"/>
      <c r="D1239" s="24"/>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c r="AA1239" s="24"/>
      <c r="AB1239" s="24"/>
      <c r="AC1239" s="24"/>
      <c r="AD1239" s="24"/>
      <c r="AE1239" s="24"/>
      <c r="AF1239" s="24"/>
      <c r="AG1239" s="24"/>
      <c r="AH1239" s="24"/>
      <c r="AI1239" s="24"/>
      <c r="AJ1239" s="24"/>
      <c r="AK1239" s="24"/>
      <c r="AL1239" s="24"/>
      <c r="AM1239" s="24"/>
      <c r="AN1239" s="24"/>
      <c r="AO1239" s="24"/>
      <c r="AP1239" s="24"/>
      <c r="AQ1239" s="24"/>
      <c r="AR1239" s="54"/>
    </row>
    <row r="1240">
      <c r="A1240" s="57"/>
      <c r="B1240" s="24"/>
      <c r="C1240" s="24"/>
      <c r="D1240" s="24"/>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c r="AA1240" s="24"/>
      <c r="AB1240" s="24"/>
      <c r="AC1240" s="24"/>
      <c r="AD1240" s="24"/>
      <c r="AE1240" s="24"/>
      <c r="AF1240" s="24"/>
      <c r="AG1240" s="24"/>
      <c r="AH1240" s="24"/>
      <c r="AI1240" s="24"/>
      <c r="AJ1240" s="24"/>
      <c r="AK1240" s="24"/>
      <c r="AL1240" s="24"/>
      <c r="AM1240" s="24"/>
      <c r="AN1240" s="24"/>
      <c r="AO1240" s="24"/>
      <c r="AP1240" s="24"/>
      <c r="AQ1240" s="24"/>
      <c r="AR1240" s="54"/>
    </row>
    <row r="1241">
      <c r="A1241" s="57"/>
      <c r="B1241" s="24"/>
      <c r="C1241" s="24"/>
      <c r="D1241" s="24"/>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c r="AA1241" s="24"/>
      <c r="AB1241" s="24"/>
      <c r="AC1241" s="24"/>
      <c r="AD1241" s="24"/>
      <c r="AE1241" s="24"/>
      <c r="AF1241" s="24"/>
      <c r="AG1241" s="24"/>
      <c r="AH1241" s="24"/>
      <c r="AI1241" s="24"/>
      <c r="AJ1241" s="24"/>
      <c r="AK1241" s="24"/>
      <c r="AL1241" s="24"/>
      <c r="AM1241" s="24"/>
      <c r="AN1241" s="24"/>
      <c r="AO1241" s="24"/>
      <c r="AP1241" s="24"/>
      <c r="AQ1241" s="24"/>
      <c r="AR1241" s="54"/>
    </row>
    <row r="1242">
      <c r="A1242" s="57"/>
      <c r="B1242" s="24"/>
      <c r="C1242" s="24"/>
      <c r="D1242" s="24"/>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c r="AA1242" s="24"/>
      <c r="AB1242" s="24"/>
      <c r="AC1242" s="24"/>
      <c r="AD1242" s="24"/>
      <c r="AE1242" s="24"/>
      <c r="AF1242" s="24"/>
      <c r="AG1242" s="24"/>
      <c r="AH1242" s="24"/>
      <c r="AI1242" s="24"/>
      <c r="AJ1242" s="24"/>
      <c r="AK1242" s="24"/>
      <c r="AL1242" s="24"/>
      <c r="AM1242" s="24"/>
      <c r="AN1242" s="24"/>
      <c r="AO1242" s="24"/>
      <c r="AP1242" s="24"/>
      <c r="AQ1242" s="24"/>
      <c r="AR1242" s="54"/>
    </row>
    <row r="1243">
      <c r="A1243" s="57"/>
      <c r="B1243" s="24"/>
      <c r="C1243" s="24"/>
      <c r="D1243" s="24"/>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c r="AA1243" s="24"/>
      <c r="AB1243" s="24"/>
      <c r="AC1243" s="24"/>
      <c r="AD1243" s="24"/>
      <c r="AE1243" s="24"/>
      <c r="AF1243" s="24"/>
      <c r="AG1243" s="24"/>
      <c r="AH1243" s="24"/>
      <c r="AI1243" s="24"/>
      <c r="AJ1243" s="24"/>
      <c r="AK1243" s="24"/>
      <c r="AL1243" s="24"/>
      <c r="AM1243" s="24"/>
      <c r="AN1243" s="24"/>
      <c r="AO1243" s="24"/>
      <c r="AP1243" s="24"/>
      <c r="AQ1243" s="24"/>
      <c r="AR1243" s="54"/>
    </row>
    <row r="1244">
      <c r="A1244" s="57"/>
      <c r="B1244" s="24"/>
      <c r="C1244" s="24"/>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c r="AA1244" s="24"/>
      <c r="AB1244" s="24"/>
      <c r="AC1244" s="24"/>
      <c r="AD1244" s="24"/>
      <c r="AE1244" s="24"/>
      <c r="AF1244" s="24"/>
      <c r="AG1244" s="24"/>
      <c r="AH1244" s="24"/>
      <c r="AI1244" s="24"/>
      <c r="AJ1244" s="24"/>
      <c r="AK1244" s="24"/>
      <c r="AL1244" s="24"/>
      <c r="AM1244" s="24"/>
      <c r="AN1244" s="24"/>
      <c r="AO1244" s="24"/>
      <c r="AP1244" s="24"/>
      <c r="AQ1244" s="24"/>
      <c r="AR1244" s="54"/>
    </row>
    <row r="1245">
      <c r="A1245" s="57"/>
      <c r="B1245" s="24"/>
      <c r="C1245" s="24"/>
      <c r="D1245" s="24"/>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c r="AA1245" s="24"/>
      <c r="AB1245" s="24"/>
      <c r="AC1245" s="24"/>
      <c r="AD1245" s="24"/>
      <c r="AE1245" s="24"/>
      <c r="AF1245" s="24"/>
      <c r="AG1245" s="24"/>
      <c r="AH1245" s="24"/>
      <c r="AI1245" s="24"/>
      <c r="AJ1245" s="24"/>
      <c r="AK1245" s="24"/>
      <c r="AL1245" s="24"/>
      <c r="AM1245" s="24"/>
      <c r="AN1245" s="24"/>
      <c r="AO1245" s="24"/>
      <c r="AP1245" s="24"/>
      <c r="AQ1245" s="24"/>
      <c r="AR1245" s="54"/>
    </row>
    <row r="1246">
      <c r="A1246" s="57"/>
      <c r="B1246" s="24"/>
      <c r="C1246" s="24"/>
      <c r="D1246" s="24"/>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c r="AA1246" s="24"/>
      <c r="AB1246" s="24"/>
      <c r="AC1246" s="24"/>
      <c r="AD1246" s="24"/>
      <c r="AE1246" s="24"/>
      <c r="AF1246" s="24"/>
      <c r="AG1246" s="24"/>
      <c r="AH1246" s="24"/>
      <c r="AI1246" s="24"/>
      <c r="AJ1246" s="24"/>
      <c r="AK1246" s="24"/>
      <c r="AL1246" s="24"/>
      <c r="AM1246" s="24"/>
      <c r="AN1246" s="24"/>
      <c r="AO1246" s="24"/>
      <c r="AP1246" s="24"/>
      <c r="AQ1246" s="24"/>
      <c r="AR1246" s="54"/>
    </row>
    <row r="1247">
      <c r="A1247" s="57"/>
      <c r="B1247" s="24"/>
      <c r="C1247" s="24"/>
      <c r="D1247" s="24"/>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c r="AA1247" s="24"/>
      <c r="AB1247" s="24"/>
      <c r="AC1247" s="24"/>
      <c r="AD1247" s="24"/>
      <c r="AE1247" s="24"/>
      <c r="AF1247" s="24"/>
      <c r="AG1247" s="24"/>
      <c r="AH1247" s="24"/>
      <c r="AI1247" s="24"/>
      <c r="AJ1247" s="24"/>
      <c r="AK1247" s="24"/>
      <c r="AL1247" s="24"/>
      <c r="AM1247" s="24"/>
      <c r="AN1247" s="24"/>
      <c r="AO1247" s="24"/>
      <c r="AP1247" s="24"/>
      <c r="AQ1247" s="24"/>
      <c r="AR1247" s="54"/>
    </row>
    <row r="1248">
      <c r="A1248" s="57"/>
      <c r="B1248" s="24"/>
      <c r="C1248" s="24"/>
      <c r="D1248" s="24"/>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c r="AA1248" s="24"/>
      <c r="AB1248" s="24"/>
      <c r="AC1248" s="24"/>
      <c r="AD1248" s="24"/>
      <c r="AE1248" s="24"/>
      <c r="AF1248" s="24"/>
      <c r="AG1248" s="24"/>
      <c r="AH1248" s="24"/>
      <c r="AI1248" s="24"/>
      <c r="AJ1248" s="24"/>
      <c r="AK1248" s="24"/>
      <c r="AL1248" s="24"/>
      <c r="AM1248" s="24"/>
      <c r="AN1248" s="24"/>
      <c r="AO1248" s="24"/>
      <c r="AP1248" s="24"/>
      <c r="AQ1248" s="24"/>
      <c r="AR1248" s="54"/>
    </row>
    <row r="1249">
      <c r="A1249" s="57"/>
      <c r="B1249" s="24"/>
      <c r="C1249" s="24"/>
      <c r="D1249" s="24"/>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c r="AA1249" s="24"/>
      <c r="AB1249" s="24"/>
      <c r="AC1249" s="24"/>
      <c r="AD1249" s="24"/>
      <c r="AE1249" s="24"/>
      <c r="AF1249" s="24"/>
      <c r="AG1249" s="24"/>
      <c r="AH1249" s="24"/>
      <c r="AI1249" s="24"/>
      <c r="AJ1249" s="24"/>
      <c r="AK1249" s="24"/>
      <c r="AL1249" s="24"/>
      <c r="AM1249" s="24"/>
      <c r="AN1249" s="24"/>
      <c r="AO1249" s="24"/>
      <c r="AP1249" s="24"/>
      <c r="AQ1249" s="24"/>
      <c r="AR1249" s="54"/>
    </row>
    <row r="1250">
      <c r="A1250" s="57"/>
      <c r="B1250" s="24"/>
      <c r="C1250" s="24"/>
      <c r="D1250" s="24"/>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c r="AA1250" s="24"/>
      <c r="AB1250" s="24"/>
      <c r="AC1250" s="24"/>
      <c r="AD1250" s="24"/>
      <c r="AE1250" s="24"/>
      <c r="AF1250" s="24"/>
      <c r="AG1250" s="24"/>
      <c r="AH1250" s="24"/>
      <c r="AI1250" s="24"/>
      <c r="AJ1250" s="24"/>
      <c r="AK1250" s="24"/>
      <c r="AL1250" s="24"/>
      <c r="AM1250" s="24"/>
      <c r="AN1250" s="24"/>
      <c r="AO1250" s="24"/>
      <c r="AP1250" s="24"/>
      <c r="AQ1250" s="24"/>
      <c r="AR1250" s="54"/>
    </row>
    <row r="1251">
      <c r="A1251" s="57"/>
      <c r="B1251" s="24"/>
      <c r="C1251" s="24"/>
      <c r="D1251" s="24"/>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c r="AA1251" s="24"/>
      <c r="AB1251" s="24"/>
      <c r="AC1251" s="24"/>
      <c r="AD1251" s="24"/>
      <c r="AE1251" s="24"/>
      <c r="AF1251" s="24"/>
      <c r="AG1251" s="24"/>
      <c r="AH1251" s="24"/>
      <c r="AI1251" s="24"/>
      <c r="AJ1251" s="24"/>
      <c r="AK1251" s="24"/>
      <c r="AL1251" s="24"/>
      <c r="AM1251" s="24"/>
      <c r="AN1251" s="24"/>
      <c r="AO1251" s="24"/>
      <c r="AP1251" s="24"/>
      <c r="AQ1251" s="24"/>
      <c r="AR1251" s="54"/>
    </row>
    <row r="1252">
      <c r="A1252" s="57"/>
      <c r="B1252" s="24"/>
      <c r="C1252" s="24"/>
      <c r="D1252" s="24"/>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c r="AA1252" s="24"/>
      <c r="AB1252" s="24"/>
      <c r="AC1252" s="24"/>
      <c r="AD1252" s="24"/>
      <c r="AE1252" s="24"/>
      <c r="AF1252" s="24"/>
      <c r="AG1252" s="24"/>
      <c r="AH1252" s="24"/>
      <c r="AI1252" s="24"/>
      <c r="AJ1252" s="24"/>
      <c r="AK1252" s="24"/>
      <c r="AL1252" s="24"/>
      <c r="AM1252" s="24"/>
      <c r="AN1252" s="24"/>
      <c r="AO1252" s="24"/>
      <c r="AP1252" s="24"/>
      <c r="AQ1252" s="24"/>
      <c r="AR1252" s="54"/>
    </row>
    <row r="1253">
      <c r="A1253" s="57"/>
      <c r="B1253" s="24"/>
      <c r="C1253" s="24"/>
      <c r="D1253" s="24"/>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c r="AA1253" s="24"/>
      <c r="AB1253" s="24"/>
      <c r="AC1253" s="24"/>
      <c r="AD1253" s="24"/>
      <c r="AE1253" s="24"/>
      <c r="AF1253" s="24"/>
      <c r="AG1253" s="24"/>
      <c r="AH1253" s="24"/>
      <c r="AI1253" s="24"/>
      <c r="AJ1253" s="24"/>
      <c r="AK1253" s="24"/>
      <c r="AL1253" s="24"/>
      <c r="AM1253" s="24"/>
      <c r="AN1253" s="24"/>
      <c r="AO1253" s="24"/>
      <c r="AP1253" s="24"/>
      <c r="AQ1253" s="24"/>
      <c r="AR1253" s="54"/>
    </row>
    <row r="1254">
      <c r="A1254" s="57"/>
      <c r="B1254" s="24"/>
      <c r="C1254" s="24"/>
      <c r="D1254" s="24"/>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c r="AA1254" s="24"/>
      <c r="AB1254" s="24"/>
      <c r="AC1254" s="24"/>
      <c r="AD1254" s="24"/>
      <c r="AE1254" s="24"/>
      <c r="AF1254" s="24"/>
      <c r="AG1254" s="24"/>
      <c r="AH1254" s="24"/>
      <c r="AI1254" s="24"/>
      <c r="AJ1254" s="24"/>
      <c r="AK1254" s="24"/>
      <c r="AL1254" s="24"/>
      <c r="AM1254" s="24"/>
      <c r="AN1254" s="24"/>
      <c r="AO1254" s="24"/>
      <c r="AP1254" s="24"/>
      <c r="AQ1254" s="24"/>
      <c r="AR1254" s="54"/>
    </row>
    <row r="1255">
      <c r="A1255" s="57"/>
      <c r="B1255" s="24"/>
      <c r="C1255" s="24"/>
      <c r="D1255" s="24"/>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c r="AA1255" s="24"/>
      <c r="AB1255" s="24"/>
      <c r="AC1255" s="24"/>
      <c r="AD1255" s="24"/>
      <c r="AE1255" s="24"/>
      <c r="AF1255" s="24"/>
      <c r="AG1255" s="24"/>
      <c r="AH1255" s="24"/>
      <c r="AI1255" s="24"/>
      <c r="AJ1255" s="24"/>
      <c r="AK1255" s="24"/>
      <c r="AL1255" s="24"/>
      <c r="AM1255" s="24"/>
      <c r="AN1255" s="24"/>
      <c r="AO1255" s="24"/>
      <c r="AP1255" s="24"/>
      <c r="AQ1255" s="24"/>
      <c r="AR1255" s="54"/>
    </row>
    <row r="1256">
      <c r="A1256" s="57"/>
      <c r="B1256" s="24"/>
      <c r="C1256" s="24"/>
      <c r="D1256" s="24"/>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c r="AA1256" s="24"/>
      <c r="AB1256" s="24"/>
      <c r="AC1256" s="24"/>
      <c r="AD1256" s="24"/>
      <c r="AE1256" s="24"/>
      <c r="AF1256" s="24"/>
      <c r="AG1256" s="24"/>
      <c r="AH1256" s="24"/>
      <c r="AI1256" s="24"/>
      <c r="AJ1256" s="24"/>
      <c r="AK1256" s="24"/>
      <c r="AL1256" s="24"/>
      <c r="AM1256" s="24"/>
      <c r="AN1256" s="24"/>
      <c r="AO1256" s="24"/>
      <c r="AP1256" s="24"/>
      <c r="AQ1256" s="24"/>
      <c r="AR1256" s="54"/>
    </row>
    <row r="1257">
      <c r="A1257" s="57"/>
      <c r="B1257" s="24"/>
      <c r="C1257" s="24"/>
      <c r="D1257" s="24"/>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c r="AA1257" s="24"/>
      <c r="AB1257" s="24"/>
      <c r="AC1257" s="24"/>
      <c r="AD1257" s="24"/>
      <c r="AE1257" s="24"/>
      <c r="AF1257" s="24"/>
      <c r="AG1257" s="24"/>
      <c r="AH1257" s="24"/>
      <c r="AI1257" s="24"/>
      <c r="AJ1257" s="24"/>
      <c r="AK1257" s="24"/>
      <c r="AL1257" s="24"/>
      <c r="AM1257" s="24"/>
      <c r="AN1257" s="24"/>
      <c r="AO1257" s="24"/>
      <c r="AP1257" s="24"/>
      <c r="AQ1257" s="24"/>
      <c r="AR1257" s="54"/>
    </row>
    <row r="1258">
      <c r="A1258" s="57"/>
      <c r="B1258" s="24"/>
      <c r="C1258" s="24"/>
      <c r="D1258" s="24"/>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c r="AA1258" s="24"/>
      <c r="AB1258" s="24"/>
      <c r="AC1258" s="24"/>
      <c r="AD1258" s="24"/>
      <c r="AE1258" s="24"/>
      <c r="AF1258" s="24"/>
      <c r="AG1258" s="24"/>
      <c r="AH1258" s="24"/>
      <c r="AI1258" s="24"/>
      <c r="AJ1258" s="24"/>
      <c r="AK1258" s="24"/>
      <c r="AL1258" s="24"/>
      <c r="AM1258" s="24"/>
      <c r="AN1258" s="24"/>
      <c r="AO1258" s="24"/>
      <c r="AP1258" s="24"/>
      <c r="AQ1258" s="24"/>
      <c r="AR1258" s="54"/>
    </row>
    <row r="1259">
      <c r="A1259" s="57"/>
      <c r="B1259" s="24"/>
      <c r="C1259" s="24"/>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c r="AA1259" s="24"/>
      <c r="AB1259" s="24"/>
      <c r="AC1259" s="24"/>
      <c r="AD1259" s="24"/>
      <c r="AE1259" s="24"/>
      <c r="AF1259" s="24"/>
      <c r="AG1259" s="24"/>
      <c r="AH1259" s="24"/>
      <c r="AI1259" s="24"/>
      <c r="AJ1259" s="24"/>
      <c r="AK1259" s="24"/>
      <c r="AL1259" s="24"/>
      <c r="AM1259" s="24"/>
      <c r="AN1259" s="24"/>
      <c r="AO1259" s="24"/>
      <c r="AP1259" s="24"/>
      <c r="AQ1259" s="24"/>
      <c r="AR1259" s="54"/>
    </row>
    <row r="1260">
      <c r="A1260" s="57"/>
      <c r="B1260" s="24"/>
      <c r="C1260" s="24"/>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c r="AA1260" s="24"/>
      <c r="AB1260" s="24"/>
      <c r="AC1260" s="24"/>
      <c r="AD1260" s="24"/>
      <c r="AE1260" s="24"/>
      <c r="AF1260" s="24"/>
      <c r="AG1260" s="24"/>
      <c r="AH1260" s="24"/>
      <c r="AI1260" s="24"/>
      <c r="AJ1260" s="24"/>
      <c r="AK1260" s="24"/>
      <c r="AL1260" s="24"/>
      <c r="AM1260" s="24"/>
      <c r="AN1260" s="24"/>
      <c r="AO1260" s="24"/>
      <c r="AP1260" s="24"/>
      <c r="AQ1260" s="24"/>
      <c r="AR1260" s="54"/>
    </row>
    <row r="1261">
      <c r="A1261" s="57"/>
      <c r="B1261" s="24"/>
      <c r="C1261" s="24"/>
      <c r="D1261" s="24"/>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c r="AA1261" s="24"/>
      <c r="AB1261" s="24"/>
      <c r="AC1261" s="24"/>
      <c r="AD1261" s="24"/>
      <c r="AE1261" s="24"/>
      <c r="AF1261" s="24"/>
      <c r="AG1261" s="24"/>
      <c r="AH1261" s="24"/>
      <c r="AI1261" s="24"/>
      <c r="AJ1261" s="24"/>
      <c r="AK1261" s="24"/>
      <c r="AL1261" s="24"/>
      <c r="AM1261" s="24"/>
      <c r="AN1261" s="24"/>
      <c r="AO1261" s="24"/>
      <c r="AP1261" s="24"/>
      <c r="AQ1261" s="24"/>
      <c r="AR1261" s="54"/>
    </row>
    <row r="1262">
      <c r="A1262" s="57"/>
      <c r="B1262" s="24"/>
      <c r="C1262" s="24"/>
      <c r="D1262" s="24"/>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c r="AA1262" s="24"/>
      <c r="AB1262" s="24"/>
      <c r="AC1262" s="24"/>
      <c r="AD1262" s="24"/>
      <c r="AE1262" s="24"/>
      <c r="AF1262" s="24"/>
      <c r="AG1262" s="24"/>
      <c r="AH1262" s="24"/>
      <c r="AI1262" s="24"/>
      <c r="AJ1262" s="24"/>
      <c r="AK1262" s="24"/>
      <c r="AL1262" s="24"/>
      <c r="AM1262" s="24"/>
      <c r="AN1262" s="24"/>
      <c r="AO1262" s="24"/>
      <c r="AP1262" s="24"/>
      <c r="AQ1262" s="24"/>
      <c r="AR1262" s="54"/>
    </row>
    <row r="1263">
      <c r="A1263" s="57"/>
      <c r="B1263" s="24"/>
      <c r="C1263" s="24"/>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c r="AA1263" s="24"/>
      <c r="AB1263" s="24"/>
      <c r="AC1263" s="24"/>
      <c r="AD1263" s="24"/>
      <c r="AE1263" s="24"/>
      <c r="AF1263" s="24"/>
      <c r="AG1263" s="24"/>
      <c r="AH1263" s="24"/>
      <c r="AI1263" s="24"/>
      <c r="AJ1263" s="24"/>
      <c r="AK1263" s="24"/>
      <c r="AL1263" s="24"/>
      <c r="AM1263" s="24"/>
      <c r="AN1263" s="24"/>
      <c r="AO1263" s="24"/>
      <c r="AP1263" s="24"/>
      <c r="AQ1263" s="24"/>
      <c r="AR1263" s="54"/>
    </row>
    <row r="1264">
      <c r="A1264" s="57"/>
      <c r="B1264" s="24"/>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c r="AA1264" s="24"/>
      <c r="AB1264" s="24"/>
      <c r="AC1264" s="24"/>
      <c r="AD1264" s="24"/>
      <c r="AE1264" s="24"/>
      <c r="AF1264" s="24"/>
      <c r="AG1264" s="24"/>
      <c r="AH1264" s="24"/>
      <c r="AI1264" s="24"/>
      <c r="AJ1264" s="24"/>
      <c r="AK1264" s="24"/>
      <c r="AL1264" s="24"/>
      <c r="AM1264" s="24"/>
      <c r="AN1264" s="24"/>
      <c r="AO1264" s="24"/>
      <c r="AP1264" s="24"/>
      <c r="AQ1264" s="24"/>
      <c r="AR1264" s="54"/>
    </row>
    <row r="1265">
      <c r="A1265" s="57"/>
      <c r="B1265" s="24"/>
      <c r="C1265" s="24"/>
      <c r="D1265" s="24"/>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c r="AA1265" s="24"/>
      <c r="AB1265" s="24"/>
      <c r="AC1265" s="24"/>
      <c r="AD1265" s="24"/>
      <c r="AE1265" s="24"/>
      <c r="AF1265" s="24"/>
      <c r="AG1265" s="24"/>
      <c r="AH1265" s="24"/>
      <c r="AI1265" s="24"/>
      <c r="AJ1265" s="24"/>
      <c r="AK1265" s="24"/>
      <c r="AL1265" s="24"/>
      <c r="AM1265" s="24"/>
      <c r="AN1265" s="24"/>
      <c r="AO1265" s="24"/>
      <c r="AP1265" s="24"/>
      <c r="AQ1265" s="24"/>
      <c r="AR1265" s="54"/>
    </row>
    <row r="1266">
      <c r="A1266" s="57"/>
      <c r="B1266" s="24"/>
      <c r="C1266" s="24"/>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c r="AA1266" s="24"/>
      <c r="AB1266" s="24"/>
      <c r="AC1266" s="24"/>
      <c r="AD1266" s="24"/>
      <c r="AE1266" s="24"/>
      <c r="AF1266" s="24"/>
      <c r="AG1266" s="24"/>
      <c r="AH1266" s="24"/>
      <c r="AI1266" s="24"/>
      <c r="AJ1266" s="24"/>
      <c r="AK1266" s="24"/>
      <c r="AL1266" s="24"/>
      <c r="AM1266" s="24"/>
      <c r="AN1266" s="24"/>
      <c r="AO1266" s="24"/>
      <c r="AP1266" s="24"/>
      <c r="AQ1266" s="24"/>
      <c r="AR1266" s="54"/>
    </row>
    <row r="1267">
      <c r="A1267" s="57"/>
      <c r="B1267" s="24"/>
      <c r="C1267" s="24"/>
      <c r="D1267" s="24"/>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c r="AA1267" s="24"/>
      <c r="AB1267" s="24"/>
      <c r="AC1267" s="24"/>
      <c r="AD1267" s="24"/>
      <c r="AE1267" s="24"/>
      <c r="AF1267" s="24"/>
      <c r="AG1267" s="24"/>
      <c r="AH1267" s="24"/>
      <c r="AI1267" s="24"/>
      <c r="AJ1267" s="24"/>
      <c r="AK1267" s="24"/>
      <c r="AL1267" s="24"/>
      <c r="AM1267" s="24"/>
      <c r="AN1267" s="24"/>
      <c r="AO1267" s="24"/>
      <c r="AP1267" s="24"/>
      <c r="AQ1267" s="24"/>
      <c r="AR1267" s="54"/>
    </row>
    <row r="1268">
      <c r="A1268" s="57"/>
      <c r="B1268" s="24"/>
      <c r="C1268" s="24"/>
      <c r="D1268" s="24"/>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c r="AA1268" s="24"/>
      <c r="AB1268" s="24"/>
      <c r="AC1268" s="24"/>
      <c r="AD1268" s="24"/>
      <c r="AE1268" s="24"/>
      <c r="AF1268" s="24"/>
      <c r="AG1268" s="24"/>
      <c r="AH1268" s="24"/>
      <c r="AI1268" s="24"/>
      <c r="AJ1268" s="24"/>
      <c r="AK1268" s="24"/>
      <c r="AL1268" s="24"/>
      <c r="AM1268" s="24"/>
      <c r="AN1268" s="24"/>
      <c r="AO1268" s="24"/>
      <c r="AP1268" s="24"/>
      <c r="AQ1268" s="24"/>
      <c r="AR1268" s="54"/>
    </row>
    <row r="1269">
      <c r="A1269" s="57"/>
      <c r="B1269" s="24"/>
      <c r="C1269" s="24"/>
      <c r="D1269" s="24"/>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c r="AA1269" s="24"/>
      <c r="AB1269" s="24"/>
      <c r="AC1269" s="24"/>
      <c r="AD1269" s="24"/>
      <c r="AE1269" s="24"/>
      <c r="AF1269" s="24"/>
      <c r="AG1269" s="24"/>
      <c r="AH1269" s="24"/>
      <c r="AI1269" s="24"/>
      <c r="AJ1269" s="24"/>
      <c r="AK1269" s="24"/>
      <c r="AL1269" s="24"/>
      <c r="AM1269" s="24"/>
      <c r="AN1269" s="24"/>
      <c r="AO1269" s="24"/>
      <c r="AP1269" s="24"/>
      <c r="AQ1269" s="24"/>
      <c r="AR1269" s="54"/>
    </row>
    <row r="1270">
      <c r="A1270" s="57"/>
      <c r="B1270" s="24"/>
      <c r="C1270" s="24"/>
      <c r="D1270" s="24"/>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c r="AA1270" s="24"/>
      <c r="AB1270" s="24"/>
      <c r="AC1270" s="24"/>
      <c r="AD1270" s="24"/>
      <c r="AE1270" s="24"/>
      <c r="AF1270" s="24"/>
      <c r="AG1270" s="24"/>
      <c r="AH1270" s="24"/>
      <c r="AI1270" s="24"/>
      <c r="AJ1270" s="24"/>
      <c r="AK1270" s="24"/>
      <c r="AL1270" s="24"/>
      <c r="AM1270" s="24"/>
      <c r="AN1270" s="24"/>
      <c r="AO1270" s="24"/>
      <c r="AP1270" s="24"/>
      <c r="AQ1270" s="24"/>
      <c r="AR1270" s="54"/>
    </row>
    <row r="1271">
      <c r="A1271" s="57"/>
      <c r="B1271" s="24"/>
      <c r="C1271" s="24"/>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c r="AA1271" s="24"/>
      <c r="AB1271" s="24"/>
      <c r="AC1271" s="24"/>
      <c r="AD1271" s="24"/>
      <c r="AE1271" s="24"/>
      <c r="AF1271" s="24"/>
      <c r="AG1271" s="24"/>
      <c r="AH1271" s="24"/>
      <c r="AI1271" s="24"/>
      <c r="AJ1271" s="24"/>
      <c r="AK1271" s="24"/>
      <c r="AL1271" s="24"/>
      <c r="AM1271" s="24"/>
      <c r="AN1271" s="24"/>
      <c r="AO1271" s="24"/>
      <c r="AP1271" s="24"/>
      <c r="AQ1271" s="24"/>
      <c r="AR1271" s="54"/>
    </row>
    <row r="1272">
      <c r="A1272" s="57"/>
      <c r="B1272" s="24"/>
      <c r="C1272" s="24"/>
      <c r="D1272" s="24"/>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c r="AA1272" s="24"/>
      <c r="AB1272" s="24"/>
      <c r="AC1272" s="24"/>
      <c r="AD1272" s="24"/>
      <c r="AE1272" s="24"/>
      <c r="AF1272" s="24"/>
      <c r="AG1272" s="24"/>
      <c r="AH1272" s="24"/>
      <c r="AI1272" s="24"/>
      <c r="AJ1272" s="24"/>
      <c r="AK1272" s="24"/>
      <c r="AL1272" s="24"/>
      <c r="AM1272" s="24"/>
      <c r="AN1272" s="24"/>
      <c r="AO1272" s="24"/>
      <c r="AP1272" s="24"/>
      <c r="AQ1272" s="24"/>
      <c r="AR1272" s="54"/>
    </row>
    <row r="1273">
      <c r="A1273" s="57"/>
      <c r="B1273" s="24"/>
      <c r="C1273" s="24"/>
      <c r="D1273" s="24"/>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c r="AA1273" s="24"/>
      <c r="AB1273" s="24"/>
      <c r="AC1273" s="24"/>
      <c r="AD1273" s="24"/>
      <c r="AE1273" s="24"/>
      <c r="AF1273" s="24"/>
      <c r="AG1273" s="24"/>
      <c r="AH1273" s="24"/>
      <c r="AI1273" s="24"/>
      <c r="AJ1273" s="24"/>
      <c r="AK1273" s="24"/>
      <c r="AL1273" s="24"/>
      <c r="AM1273" s="24"/>
      <c r="AN1273" s="24"/>
      <c r="AO1273" s="24"/>
      <c r="AP1273" s="24"/>
      <c r="AQ1273" s="24"/>
      <c r="AR1273" s="54"/>
    </row>
    <row r="1274">
      <c r="A1274" s="57"/>
      <c r="B1274" s="24"/>
      <c r="C1274" s="24"/>
      <c r="D1274" s="24"/>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c r="AA1274" s="24"/>
      <c r="AB1274" s="24"/>
      <c r="AC1274" s="24"/>
      <c r="AD1274" s="24"/>
      <c r="AE1274" s="24"/>
      <c r="AF1274" s="24"/>
      <c r="AG1274" s="24"/>
      <c r="AH1274" s="24"/>
      <c r="AI1274" s="24"/>
      <c r="AJ1274" s="24"/>
      <c r="AK1274" s="24"/>
      <c r="AL1274" s="24"/>
      <c r="AM1274" s="24"/>
      <c r="AN1274" s="24"/>
      <c r="AO1274" s="24"/>
      <c r="AP1274" s="24"/>
      <c r="AQ1274" s="24"/>
      <c r="AR1274" s="54"/>
    </row>
    <row r="1275">
      <c r="A1275" s="57"/>
      <c r="B1275" s="24"/>
      <c r="C1275" s="24"/>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c r="AA1275" s="24"/>
      <c r="AB1275" s="24"/>
      <c r="AC1275" s="24"/>
      <c r="AD1275" s="24"/>
      <c r="AE1275" s="24"/>
      <c r="AF1275" s="24"/>
      <c r="AG1275" s="24"/>
      <c r="AH1275" s="24"/>
      <c r="AI1275" s="24"/>
      <c r="AJ1275" s="24"/>
      <c r="AK1275" s="24"/>
      <c r="AL1275" s="24"/>
      <c r="AM1275" s="24"/>
      <c r="AN1275" s="24"/>
      <c r="AO1275" s="24"/>
      <c r="AP1275" s="24"/>
      <c r="AQ1275" s="24"/>
      <c r="AR1275" s="54"/>
    </row>
    <row r="1276">
      <c r="A1276" s="57"/>
      <c r="B1276" s="24"/>
      <c r="C1276" s="24"/>
      <c r="D1276" s="24"/>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c r="AA1276" s="24"/>
      <c r="AB1276" s="24"/>
      <c r="AC1276" s="24"/>
      <c r="AD1276" s="24"/>
      <c r="AE1276" s="24"/>
      <c r="AF1276" s="24"/>
      <c r="AG1276" s="24"/>
      <c r="AH1276" s="24"/>
      <c r="AI1276" s="24"/>
      <c r="AJ1276" s="24"/>
      <c r="AK1276" s="24"/>
      <c r="AL1276" s="24"/>
      <c r="AM1276" s="24"/>
      <c r="AN1276" s="24"/>
      <c r="AO1276" s="24"/>
      <c r="AP1276" s="24"/>
      <c r="AQ1276" s="24"/>
      <c r="AR1276" s="54"/>
    </row>
    <row r="1277">
      <c r="A1277" s="57"/>
      <c r="B1277" s="24"/>
      <c r="C1277" s="24"/>
      <c r="D1277" s="24"/>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c r="AA1277" s="24"/>
      <c r="AB1277" s="24"/>
      <c r="AC1277" s="24"/>
      <c r="AD1277" s="24"/>
      <c r="AE1277" s="24"/>
      <c r="AF1277" s="24"/>
      <c r="AG1277" s="24"/>
      <c r="AH1277" s="24"/>
      <c r="AI1277" s="24"/>
      <c r="AJ1277" s="24"/>
      <c r="AK1277" s="24"/>
      <c r="AL1277" s="24"/>
      <c r="AM1277" s="24"/>
      <c r="AN1277" s="24"/>
      <c r="AO1277" s="24"/>
      <c r="AP1277" s="24"/>
      <c r="AQ1277" s="24"/>
      <c r="AR1277" s="54"/>
    </row>
    <row r="1278">
      <c r="A1278" s="57"/>
      <c r="B1278" s="24"/>
      <c r="C1278" s="24"/>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c r="AA1278" s="24"/>
      <c r="AB1278" s="24"/>
      <c r="AC1278" s="24"/>
      <c r="AD1278" s="24"/>
      <c r="AE1278" s="24"/>
      <c r="AF1278" s="24"/>
      <c r="AG1278" s="24"/>
      <c r="AH1278" s="24"/>
      <c r="AI1278" s="24"/>
      <c r="AJ1278" s="24"/>
      <c r="AK1278" s="24"/>
      <c r="AL1278" s="24"/>
      <c r="AM1278" s="24"/>
      <c r="AN1278" s="24"/>
      <c r="AO1278" s="24"/>
      <c r="AP1278" s="24"/>
      <c r="AQ1278" s="24"/>
      <c r="AR1278" s="54"/>
    </row>
    <row r="1279">
      <c r="A1279" s="57"/>
      <c r="B1279" s="24"/>
      <c r="C1279" s="24"/>
      <c r="D1279" s="24"/>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c r="AA1279" s="24"/>
      <c r="AB1279" s="24"/>
      <c r="AC1279" s="24"/>
      <c r="AD1279" s="24"/>
      <c r="AE1279" s="24"/>
      <c r="AF1279" s="24"/>
      <c r="AG1279" s="24"/>
      <c r="AH1279" s="24"/>
      <c r="AI1279" s="24"/>
      <c r="AJ1279" s="24"/>
      <c r="AK1279" s="24"/>
      <c r="AL1279" s="24"/>
      <c r="AM1279" s="24"/>
      <c r="AN1279" s="24"/>
      <c r="AO1279" s="24"/>
      <c r="AP1279" s="24"/>
      <c r="AQ1279" s="24"/>
      <c r="AR1279" s="54"/>
    </row>
    <row r="1280">
      <c r="A1280" s="57"/>
      <c r="B1280" s="24"/>
      <c r="C1280" s="24"/>
      <c r="D1280" s="24"/>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c r="AA1280" s="24"/>
      <c r="AB1280" s="24"/>
      <c r="AC1280" s="24"/>
      <c r="AD1280" s="24"/>
      <c r="AE1280" s="24"/>
      <c r="AF1280" s="24"/>
      <c r="AG1280" s="24"/>
      <c r="AH1280" s="24"/>
      <c r="AI1280" s="24"/>
      <c r="AJ1280" s="24"/>
      <c r="AK1280" s="24"/>
      <c r="AL1280" s="24"/>
      <c r="AM1280" s="24"/>
      <c r="AN1280" s="24"/>
      <c r="AO1280" s="24"/>
      <c r="AP1280" s="24"/>
      <c r="AQ1280" s="24"/>
      <c r="AR1280" s="54"/>
    </row>
    <row r="1281">
      <c r="A1281" s="57"/>
      <c r="B1281" s="24"/>
      <c r="C1281" s="24"/>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c r="AA1281" s="24"/>
      <c r="AB1281" s="24"/>
      <c r="AC1281" s="24"/>
      <c r="AD1281" s="24"/>
      <c r="AE1281" s="24"/>
      <c r="AF1281" s="24"/>
      <c r="AG1281" s="24"/>
      <c r="AH1281" s="24"/>
      <c r="AI1281" s="24"/>
      <c r="AJ1281" s="24"/>
      <c r="AK1281" s="24"/>
      <c r="AL1281" s="24"/>
      <c r="AM1281" s="24"/>
      <c r="AN1281" s="24"/>
      <c r="AO1281" s="24"/>
      <c r="AP1281" s="24"/>
      <c r="AQ1281" s="24"/>
      <c r="AR1281" s="54"/>
    </row>
    <row r="1282">
      <c r="A1282" s="57"/>
      <c r="B1282" s="24"/>
      <c r="C1282" s="24"/>
      <c r="D1282" s="24"/>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c r="AA1282" s="24"/>
      <c r="AB1282" s="24"/>
      <c r="AC1282" s="24"/>
      <c r="AD1282" s="24"/>
      <c r="AE1282" s="24"/>
      <c r="AF1282" s="24"/>
      <c r="AG1282" s="24"/>
      <c r="AH1282" s="24"/>
      <c r="AI1282" s="24"/>
      <c r="AJ1282" s="24"/>
      <c r="AK1282" s="24"/>
      <c r="AL1282" s="24"/>
      <c r="AM1282" s="24"/>
      <c r="AN1282" s="24"/>
      <c r="AO1282" s="24"/>
      <c r="AP1282" s="24"/>
      <c r="AQ1282" s="24"/>
      <c r="AR1282" s="54"/>
    </row>
    <row r="1283">
      <c r="A1283" s="57"/>
      <c r="B1283" s="24"/>
      <c r="C1283" s="24"/>
      <c r="D1283" s="24"/>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c r="AA1283" s="24"/>
      <c r="AB1283" s="24"/>
      <c r="AC1283" s="24"/>
      <c r="AD1283" s="24"/>
      <c r="AE1283" s="24"/>
      <c r="AF1283" s="24"/>
      <c r="AG1283" s="24"/>
      <c r="AH1283" s="24"/>
      <c r="AI1283" s="24"/>
      <c r="AJ1283" s="24"/>
      <c r="AK1283" s="24"/>
      <c r="AL1283" s="24"/>
      <c r="AM1283" s="24"/>
      <c r="AN1283" s="24"/>
      <c r="AO1283" s="24"/>
      <c r="AP1283" s="24"/>
      <c r="AQ1283" s="24"/>
      <c r="AR1283" s="54"/>
    </row>
    <row r="1284">
      <c r="A1284" s="57"/>
      <c r="B1284" s="24"/>
      <c r="C1284" s="24"/>
      <c r="D1284" s="24"/>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c r="AA1284" s="24"/>
      <c r="AB1284" s="24"/>
      <c r="AC1284" s="24"/>
      <c r="AD1284" s="24"/>
      <c r="AE1284" s="24"/>
      <c r="AF1284" s="24"/>
      <c r="AG1284" s="24"/>
      <c r="AH1284" s="24"/>
      <c r="AI1284" s="24"/>
      <c r="AJ1284" s="24"/>
      <c r="AK1284" s="24"/>
      <c r="AL1284" s="24"/>
      <c r="AM1284" s="24"/>
      <c r="AN1284" s="24"/>
      <c r="AO1284" s="24"/>
      <c r="AP1284" s="24"/>
      <c r="AQ1284" s="24"/>
      <c r="AR1284" s="54"/>
    </row>
    <row r="1285">
      <c r="A1285" s="57"/>
      <c r="B1285" s="24"/>
      <c r="C1285" s="24"/>
      <c r="D1285" s="24"/>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c r="AA1285" s="24"/>
      <c r="AB1285" s="24"/>
      <c r="AC1285" s="24"/>
      <c r="AD1285" s="24"/>
      <c r="AE1285" s="24"/>
      <c r="AF1285" s="24"/>
      <c r="AG1285" s="24"/>
      <c r="AH1285" s="24"/>
      <c r="AI1285" s="24"/>
      <c r="AJ1285" s="24"/>
      <c r="AK1285" s="24"/>
      <c r="AL1285" s="24"/>
      <c r="AM1285" s="24"/>
      <c r="AN1285" s="24"/>
      <c r="AO1285" s="24"/>
      <c r="AP1285" s="24"/>
      <c r="AQ1285" s="24"/>
      <c r="AR1285" s="54"/>
    </row>
    <row r="1286">
      <c r="A1286" s="57"/>
      <c r="B1286" s="24"/>
      <c r="C1286" s="24"/>
      <c r="D1286" s="24"/>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c r="AA1286" s="24"/>
      <c r="AB1286" s="24"/>
      <c r="AC1286" s="24"/>
      <c r="AD1286" s="24"/>
      <c r="AE1286" s="24"/>
      <c r="AF1286" s="24"/>
      <c r="AG1286" s="24"/>
      <c r="AH1286" s="24"/>
      <c r="AI1286" s="24"/>
      <c r="AJ1286" s="24"/>
      <c r="AK1286" s="24"/>
      <c r="AL1286" s="24"/>
      <c r="AM1286" s="24"/>
      <c r="AN1286" s="24"/>
      <c r="AO1286" s="24"/>
      <c r="AP1286" s="24"/>
      <c r="AQ1286" s="24"/>
      <c r="AR1286" s="54"/>
    </row>
    <row r="1287">
      <c r="A1287" s="57"/>
      <c r="B1287" s="24"/>
      <c r="C1287" s="24"/>
      <c r="D1287" s="24"/>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c r="AA1287" s="24"/>
      <c r="AB1287" s="24"/>
      <c r="AC1287" s="24"/>
      <c r="AD1287" s="24"/>
      <c r="AE1287" s="24"/>
      <c r="AF1287" s="24"/>
      <c r="AG1287" s="24"/>
      <c r="AH1287" s="24"/>
      <c r="AI1287" s="24"/>
      <c r="AJ1287" s="24"/>
      <c r="AK1287" s="24"/>
      <c r="AL1287" s="24"/>
      <c r="AM1287" s="24"/>
      <c r="AN1287" s="24"/>
      <c r="AO1287" s="24"/>
      <c r="AP1287" s="24"/>
      <c r="AQ1287" s="24"/>
      <c r="AR1287" s="54"/>
    </row>
    <row r="1288">
      <c r="A1288" s="57"/>
      <c r="B1288" s="24"/>
      <c r="C1288" s="24"/>
      <c r="D1288" s="24"/>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c r="AA1288" s="24"/>
      <c r="AB1288" s="24"/>
      <c r="AC1288" s="24"/>
      <c r="AD1288" s="24"/>
      <c r="AE1288" s="24"/>
      <c r="AF1288" s="24"/>
      <c r="AG1288" s="24"/>
      <c r="AH1288" s="24"/>
      <c r="AI1288" s="24"/>
      <c r="AJ1288" s="24"/>
      <c r="AK1288" s="24"/>
      <c r="AL1288" s="24"/>
      <c r="AM1288" s="24"/>
      <c r="AN1288" s="24"/>
      <c r="AO1288" s="24"/>
      <c r="AP1288" s="24"/>
      <c r="AQ1288" s="24"/>
      <c r="AR1288" s="54"/>
    </row>
    <row r="1289">
      <c r="A1289" s="57"/>
      <c r="B1289" s="24"/>
      <c r="C1289" s="24"/>
      <c r="D1289" s="24"/>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c r="AA1289" s="24"/>
      <c r="AB1289" s="24"/>
      <c r="AC1289" s="24"/>
      <c r="AD1289" s="24"/>
      <c r="AE1289" s="24"/>
      <c r="AF1289" s="24"/>
      <c r="AG1289" s="24"/>
      <c r="AH1289" s="24"/>
      <c r="AI1289" s="24"/>
      <c r="AJ1289" s="24"/>
      <c r="AK1289" s="24"/>
      <c r="AL1289" s="24"/>
      <c r="AM1289" s="24"/>
      <c r="AN1289" s="24"/>
      <c r="AO1289" s="24"/>
      <c r="AP1289" s="24"/>
      <c r="AQ1289" s="24"/>
      <c r="AR1289" s="54"/>
    </row>
    <row r="1290">
      <c r="A1290" s="57"/>
      <c r="B1290" s="24"/>
      <c r="C1290" s="24"/>
      <c r="D1290" s="24"/>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c r="AA1290" s="24"/>
      <c r="AB1290" s="24"/>
      <c r="AC1290" s="24"/>
      <c r="AD1290" s="24"/>
      <c r="AE1290" s="24"/>
      <c r="AF1290" s="24"/>
      <c r="AG1290" s="24"/>
      <c r="AH1290" s="24"/>
      <c r="AI1290" s="24"/>
      <c r="AJ1290" s="24"/>
      <c r="AK1290" s="24"/>
      <c r="AL1290" s="24"/>
      <c r="AM1290" s="24"/>
      <c r="AN1290" s="24"/>
      <c r="AO1290" s="24"/>
      <c r="AP1290" s="24"/>
      <c r="AQ1290" s="24"/>
      <c r="AR1290" s="54"/>
    </row>
    <row r="1291">
      <c r="A1291" s="57"/>
      <c r="B1291" s="24"/>
      <c r="C1291" s="24"/>
      <c r="D1291" s="24"/>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c r="AA1291" s="24"/>
      <c r="AB1291" s="24"/>
      <c r="AC1291" s="24"/>
      <c r="AD1291" s="24"/>
      <c r="AE1291" s="24"/>
      <c r="AF1291" s="24"/>
      <c r="AG1291" s="24"/>
      <c r="AH1291" s="24"/>
      <c r="AI1291" s="24"/>
      <c r="AJ1291" s="24"/>
      <c r="AK1291" s="24"/>
      <c r="AL1291" s="24"/>
      <c r="AM1291" s="24"/>
      <c r="AN1291" s="24"/>
      <c r="AO1291" s="24"/>
      <c r="AP1291" s="24"/>
      <c r="AQ1291" s="24"/>
      <c r="AR1291" s="54"/>
    </row>
    <row r="1292">
      <c r="A1292" s="57"/>
      <c r="B1292" s="24"/>
      <c r="C1292" s="24"/>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c r="AA1292" s="24"/>
      <c r="AB1292" s="24"/>
      <c r="AC1292" s="24"/>
      <c r="AD1292" s="24"/>
      <c r="AE1292" s="24"/>
      <c r="AF1292" s="24"/>
      <c r="AG1292" s="24"/>
      <c r="AH1292" s="24"/>
      <c r="AI1292" s="24"/>
      <c r="AJ1292" s="24"/>
      <c r="AK1292" s="24"/>
      <c r="AL1292" s="24"/>
      <c r="AM1292" s="24"/>
      <c r="AN1292" s="24"/>
      <c r="AO1292" s="24"/>
      <c r="AP1292" s="24"/>
      <c r="AQ1292" s="24"/>
      <c r="AR1292" s="54"/>
    </row>
    <row r="1293">
      <c r="A1293" s="57"/>
      <c r="B1293" s="24"/>
      <c r="C1293" s="24"/>
      <c r="D1293" s="24"/>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c r="AA1293" s="24"/>
      <c r="AB1293" s="24"/>
      <c r="AC1293" s="24"/>
      <c r="AD1293" s="24"/>
      <c r="AE1293" s="24"/>
      <c r="AF1293" s="24"/>
      <c r="AG1293" s="24"/>
      <c r="AH1293" s="24"/>
      <c r="AI1293" s="24"/>
      <c r="AJ1293" s="24"/>
      <c r="AK1293" s="24"/>
      <c r="AL1293" s="24"/>
      <c r="AM1293" s="24"/>
      <c r="AN1293" s="24"/>
      <c r="AO1293" s="24"/>
      <c r="AP1293" s="24"/>
      <c r="AQ1293" s="24"/>
      <c r="AR1293" s="54"/>
    </row>
    <row r="1294">
      <c r="A1294" s="57"/>
      <c r="B1294" s="24"/>
      <c r="C1294" s="24"/>
      <c r="D1294" s="24"/>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c r="AA1294" s="24"/>
      <c r="AB1294" s="24"/>
      <c r="AC1294" s="24"/>
      <c r="AD1294" s="24"/>
      <c r="AE1294" s="24"/>
      <c r="AF1294" s="24"/>
      <c r="AG1294" s="24"/>
      <c r="AH1294" s="24"/>
      <c r="AI1294" s="24"/>
      <c r="AJ1294" s="24"/>
      <c r="AK1294" s="24"/>
      <c r="AL1294" s="24"/>
      <c r="AM1294" s="24"/>
      <c r="AN1294" s="24"/>
      <c r="AO1294" s="24"/>
      <c r="AP1294" s="24"/>
      <c r="AQ1294" s="24"/>
      <c r="AR1294" s="54"/>
    </row>
    <row r="1295">
      <c r="A1295" s="57"/>
      <c r="B1295" s="24"/>
      <c r="C1295" s="24"/>
      <c r="D1295" s="24"/>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c r="AA1295" s="24"/>
      <c r="AB1295" s="24"/>
      <c r="AC1295" s="24"/>
      <c r="AD1295" s="24"/>
      <c r="AE1295" s="24"/>
      <c r="AF1295" s="24"/>
      <c r="AG1295" s="24"/>
      <c r="AH1295" s="24"/>
      <c r="AI1295" s="24"/>
      <c r="AJ1295" s="24"/>
      <c r="AK1295" s="24"/>
      <c r="AL1295" s="24"/>
      <c r="AM1295" s="24"/>
      <c r="AN1295" s="24"/>
      <c r="AO1295" s="24"/>
      <c r="AP1295" s="24"/>
      <c r="AQ1295" s="24"/>
      <c r="AR1295" s="54"/>
    </row>
    <row r="1296">
      <c r="A1296" s="57"/>
      <c r="B1296" s="24"/>
      <c r="C1296" s="24"/>
      <c r="D1296" s="24"/>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c r="AA1296" s="24"/>
      <c r="AB1296" s="24"/>
      <c r="AC1296" s="24"/>
      <c r="AD1296" s="24"/>
      <c r="AE1296" s="24"/>
      <c r="AF1296" s="24"/>
      <c r="AG1296" s="24"/>
      <c r="AH1296" s="24"/>
      <c r="AI1296" s="24"/>
      <c r="AJ1296" s="24"/>
      <c r="AK1296" s="24"/>
      <c r="AL1296" s="24"/>
      <c r="AM1296" s="24"/>
      <c r="AN1296" s="24"/>
      <c r="AO1296" s="24"/>
      <c r="AP1296" s="24"/>
      <c r="AQ1296" s="24"/>
      <c r="AR1296" s="54"/>
    </row>
    <row r="1297">
      <c r="A1297" s="57"/>
      <c r="B1297" s="24"/>
      <c r="C1297" s="24"/>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c r="AA1297" s="24"/>
      <c r="AB1297" s="24"/>
      <c r="AC1297" s="24"/>
      <c r="AD1297" s="24"/>
      <c r="AE1297" s="24"/>
      <c r="AF1297" s="24"/>
      <c r="AG1297" s="24"/>
      <c r="AH1297" s="24"/>
      <c r="AI1297" s="24"/>
      <c r="AJ1297" s="24"/>
      <c r="AK1297" s="24"/>
      <c r="AL1297" s="24"/>
      <c r="AM1297" s="24"/>
      <c r="AN1297" s="24"/>
      <c r="AO1297" s="24"/>
      <c r="AP1297" s="24"/>
      <c r="AQ1297" s="24"/>
      <c r="AR1297" s="54"/>
    </row>
    <row r="1298">
      <c r="A1298" s="57"/>
      <c r="B1298" s="24"/>
      <c r="C1298" s="24"/>
      <c r="D1298" s="24"/>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c r="AA1298" s="24"/>
      <c r="AB1298" s="24"/>
      <c r="AC1298" s="24"/>
      <c r="AD1298" s="24"/>
      <c r="AE1298" s="24"/>
      <c r="AF1298" s="24"/>
      <c r="AG1298" s="24"/>
      <c r="AH1298" s="24"/>
      <c r="AI1298" s="24"/>
      <c r="AJ1298" s="24"/>
      <c r="AK1298" s="24"/>
      <c r="AL1298" s="24"/>
      <c r="AM1298" s="24"/>
      <c r="AN1298" s="24"/>
      <c r="AO1298" s="24"/>
      <c r="AP1298" s="24"/>
      <c r="AQ1298" s="24"/>
      <c r="AR1298" s="54"/>
    </row>
    <row r="1299">
      <c r="A1299" s="57"/>
      <c r="B1299" s="24"/>
      <c r="C1299" s="24"/>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c r="AA1299" s="24"/>
      <c r="AB1299" s="24"/>
      <c r="AC1299" s="24"/>
      <c r="AD1299" s="24"/>
      <c r="AE1299" s="24"/>
      <c r="AF1299" s="24"/>
      <c r="AG1299" s="24"/>
      <c r="AH1299" s="24"/>
      <c r="AI1299" s="24"/>
      <c r="AJ1299" s="24"/>
      <c r="AK1299" s="24"/>
      <c r="AL1299" s="24"/>
      <c r="AM1299" s="24"/>
      <c r="AN1299" s="24"/>
      <c r="AO1299" s="24"/>
      <c r="AP1299" s="24"/>
      <c r="AQ1299" s="24"/>
      <c r="AR1299" s="54"/>
    </row>
    <row r="1300">
      <c r="A1300" s="57"/>
      <c r="B1300" s="24"/>
      <c r="C1300" s="24"/>
      <c r="D1300" s="24"/>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c r="AA1300" s="24"/>
      <c r="AB1300" s="24"/>
      <c r="AC1300" s="24"/>
      <c r="AD1300" s="24"/>
      <c r="AE1300" s="24"/>
      <c r="AF1300" s="24"/>
      <c r="AG1300" s="24"/>
      <c r="AH1300" s="24"/>
      <c r="AI1300" s="24"/>
      <c r="AJ1300" s="24"/>
      <c r="AK1300" s="24"/>
      <c r="AL1300" s="24"/>
      <c r="AM1300" s="24"/>
      <c r="AN1300" s="24"/>
      <c r="AO1300" s="24"/>
      <c r="AP1300" s="24"/>
      <c r="AQ1300" s="24"/>
      <c r="AR1300" s="54"/>
    </row>
    <row r="1301">
      <c r="A1301" s="57"/>
      <c r="B1301" s="24"/>
      <c r="C1301" s="24"/>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c r="AA1301" s="24"/>
      <c r="AB1301" s="24"/>
      <c r="AC1301" s="24"/>
      <c r="AD1301" s="24"/>
      <c r="AE1301" s="24"/>
      <c r="AF1301" s="24"/>
      <c r="AG1301" s="24"/>
      <c r="AH1301" s="24"/>
      <c r="AI1301" s="24"/>
      <c r="AJ1301" s="24"/>
      <c r="AK1301" s="24"/>
      <c r="AL1301" s="24"/>
      <c r="AM1301" s="24"/>
      <c r="AN1301" s="24"/>
      <c r="AO1301" s="24"/>
      <c r="AP1301" s="24"/>
      <c r="AQ1301" s="24"/>
      <c r="AR1301" s="54"/>
    </row>
    <row r="1302">
      <c r="A1302" s="57"/>
      <c r="B1302" s="24"/>
      <c r="C1302" s="24"/>
      <c r="D1302" s="24"/>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c r="AA1302" s="24"/>
      <c r="AB1302" s="24"/>
      <c r="AC1302" s="24"/>
      <c r="AD1302" s="24"/>
      <c r="AE1302" s="24"/>
      <c r="AF1302" s="24"/>
      <c r="AG1302" s="24"/>
      <c r="AH1302" s="24"/>
      <c r="AI1302" s="24"/>
      <c r="AJ1302" s="24"/>
      <c r="AK1302" s="24"/>
      <c r="AL1302" s="24"/>
      <c r="AM1302" s="24"/>
      <c r="AN1302" s="24"/>
      <c r="AO1302" s="24"/>
      <c r="AP1302" s="24"/>
      <c r="AQ1302" s="24"/>
      <c r="AR1302" s="54"/>
    </row>
    <row r="1303">
      <c r="A1303" s="57"/>
      <c r="B1303" s="24"/>
      <c r="C1303" s="24"/>
      <c r="D1303" s="24"/>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c r="AA1303" s="24"/>
      <c r="AB1303" s="24"/>
      <c r="AC1303" s="24"/>
      <c r="AD1303" s="24"/>
      <c r="AE1303" s="24"/>
      <c r="AF1303" s="24"/>
      <c r="AG1303" s="24"/>
      <c r="AH1303" s="24"/>
      <c r="AI1303" s="24"/>
      <c r="AJ1303" s="24"/>
      <c r="AK1303" s="24"/>
      <c r="AL1303" s="24"/>
      <c r="AM1303" s="24"/>
      <c r="AN1303" s="24"/>
      <c r="AO1303" s="24"/>
      <c r="AP1303" s="24"/>
      <c r="AQ1303" s="24"/>
      <c r="AR1303" s="54"/>
    </row>
    <row r="1304">
      <c r="A1304" s="57"/>
      <c r="B1304" s="24"/>
      <c r="C1304" s="24"/>
      <c r="D1304" s="24"/>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c r="AA1304" s="24"/>
      <c r="AB1304" s="24"/>
      <c r="AC1304" s="24"/>
      <c r="AD1304" s="24"/>
      <c r="AE1304" s="24"/>
      <c r="AF1304" s="24"/>
      <c r="AG1304" s="24"/>
      <c r="AH1304" s="24"/>
      <c r="AI1304" s="24"/>
      <c r="AJ1304" s="24"/>
      <c r="AK1304" s="24"/>
      <c r="AL1304" s="24"/>
      <c r="AM1304" s="24"/>
      <c r="AN1304" s="24"/>
      <c r="AO1304" s="24"/>
      <c r="AP1304" s="24"/>
      <c r="AQ1304" s="24"/>
      <c r="AR1304" s="54"/>
    </row>
    <row r="1305">
      <c r="A1305" s="57"/>
      <c r="B1305" s="24"/>
      <c r="C1305" s="24"/>
      <c r="D1305" s="24"/>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c r="AA1305" s="24"/>
      <c r="AB1305" s="24"/>
      <c r="AC1305" s="24"/>
      <c r="AD1305" s="24"/>
      <c r="AE1305" s="24"/>
      <c r="AF1305" s="24"/>
      <c r="AG1305" s="24"/>
      <c r="AH1305" s="24"/>
      <c r="AI1305" s="24"/>
      <c r="AJ1305" s="24"/>
      <c r="AK1305" s="24"/>
      <c r="AL1305" s="24"/>
      <c r="AM1305" s="24"/>
      <c r="AN1305" s="24"/>
      <c r="AO1305" s="24"/>
      <c r="AP1305" s="24"/>
      <c r="AQ1305" s="24"/>
      <c r="AR1305" s="54"/>
    </row>
    <row r="1306">
      <c r="A1306" s="57"/>
      <c r="B1306" s="24"/>
      <c r="C1306" s="24"/>
      <c r="D1306" s="24"/>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c r="AA1306" s="24"/>
      <c r="AB1306" s="24"/>
      <c r="AC1306" s="24"/>
      <c r="AD1306" s="24"/>
      <c r="AE1306" s="24"/>
      <c r="AF1306" s="24"/>
      <c r="AG1306" s="24"/>
      <c r="AH1306" s="24"/>
      <c r="AI1306" s="24"/>
      <c r="AJ1306" s="24"/>
      <c r="AK1306" s="24"/>
      <c r="AL1306" s="24"/>
      <c r="AM1306" s="24"/>
      <c r="AN1306" s="24"/>
      <c r="AO1306" s="24"/>
      <c r="AP1306" s="24"/>
      <c r="AQ1306" s="24"/>
      <c r="AR1306" s="54"/>
    </row>
    <row r="1307">
      <c r="A1307" s="57"/>
      <c r="B1307" s="24"/>
      <c r="C1307" s="24"/>
      <c r="D1307" s="24"/>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c r="AA1307" s="24"/>
      <c r="AB1307" s="24"/>
      <c r="AC1307" s="24"/>
      <c r="AD1307" s="24"/>
      <c r="AE1307" s="24"/>
      <c r="AF1307" s="24"/>
      <c r="AG1307" s="24"/>
      <c r="AH1307" s="24"/>
      <c r="AI1307" s="24"/>
      <c r="AJ1307" s="24"/>
      <c r="AK1307" s="24"/>
      <c r="AL1307" s="24"/>
      <c r="AM1307" s="24"/>
      <c r="AN1307" s="24"/>
      <c r="AO1307" s="24"/>
      <c r="AP1307" s="24"/>
      <c r="AQ1307" s="24"/>
      <c r="AR1307" s="54"/>
    </row>
    <row r="1308">
      <c r="A1308" s="57"/>
      <c r="B1308" s="24"/>
      <c r="C1308" s="24"/>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c r="AA1308" s="24"/>
      <c r="AB1308" s="24"/>
      <c r="AC1308" s="24"/>
      <c r="AD1308" s="24"/>
      <c r="AE1308" s="24"/>
      <c r="AF1308" s="24"/>
      <c r="AG1308" s="24"/>
      <c r="AH1308" s="24"/>
      <c r="AI1308" s="24"/>
      <c r="AJ1308" s="24"/>
      <c r="AK1308" s="24"/>
      <c r="AL1308" s="24"/>
      <c r="AM1308" s="24"/>
      <c r="AN1308" s="24"/>
      <c r="AO1308" s="24"/>
      <c r="AP1308" s="24"/>
      <c r="AQ1308" s="24"/>
      <c r="AR1308" s="54"/>
    </row>
    <row r="1309">
      <c r="A1309" s="57"/>
      <c r="B1309" s="24"/>
      <c r="C1309" s="24"/>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c r="AA1309" s="24"/>
      <c r="AB1309" s="24"/>
      <c r="AC1309" s="24"/>
      <c r="AD1309" s="24"/>
      <c r="AE1309" s="24"/>
      <c r="AF1309" s="24"/>
      <c r="AG1309" s="24"/>
      <c r="AH1309" s="24"/>
      <c r="AI1309" s="24"/>
      <c r="AJ1309" s="24"/>
      <c r="AK1309" s="24"/>
      <c r="AL1309" s="24"/>
      <c r="AM1309" s="24"/>
      <c r="AN1309" s="24"/>
      <c r="AO1309" s="24"/>
      <c r="AP1309" s="24"/>
      <c r="AQ1309" s="24"/>
      <c r="AR1309" s="54"/>
    </row>
    <row r="1310">
      <c r="A1310" s="57"/>
      <c r="B1310" s="24"/>
      <c r="C1310" s="24"/>
      <c r="D1310" s="24"/>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c r="AA1310" s="24"/>
      <c r="AB1310" s="24"/>
      <c r="AC1310" s="24"/>
      <c r="AD1310" s="24"/>
      <c r="AE1310" s="24"/>
      <c r="AF1310" s="24"/>
      <c r="AG1310" s="24"/>
      <c r="AH1310" s="24"/>
      <c r="AI1310" s="24"/>
      <c r="AJ1310" s="24"/>
      <c r="AK1310" s="24"/>
      <c r="AL1310" s="24"/>
      <c r="AM1310" s="24"/>
      <c r="AN1310" s="24"/>
      <c r="AO1310" s="24"/>
      <c r="AP1310" s="24"/>
      <c r="AQ1310" s="24"/>
      <c r="AR1310" s="54"/>
    </row>
    <row r="1311">
      <c r="A1311" s="57"/>
      <c r="B1311" s="24"/>
      <c r="C1311" s="24"/>
      <c r="D1311" s="24"/>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c r="AA1311" s="24"/>
      <c r="AB1311" s="24"/>
      <c r="AC1311" s="24"/>
      <c r="AD1311" s="24"/>
      <c r="AE1311" s="24"/>
      <c r="AF1311" s="24"/>
      <c r="AG1311" s="24"/>
      <c r="AH1311" s="24"/>
      <c r="AI1311" s="24"/>
      <c r="AJ1311" s="24"/>
      <c r="AK1311" s="24"/>
      <c r="AL1311" s="24"/>
      <c r="AM1311" s="24"/>
      <c r="AN1311" s="24"/>
      <c r="AO1311" s="24"/>
      <c r="AP1311" s="24"/>
      <c r="AQ1311" s="24"/>
      <c r="AR1311" s="54"/>
    </row>
    <row r="1312">
      <c r="A1312" s="57"/>
      <c r="B1312" s="24"/>
      <c r="C1312" s="24"/>
      <c r="D1312" s="24"/>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c r="AA1312" s="24"/>
      <c r="AB1312" s="24"/>
      <c r="AC1312" s="24"/>
      <c r="AD1312" s="24"/>
      <c r="AE1312" s="24"/>
      <c r="AF1312" s="24"/>
      <c r="AG1312" s="24"/>
      <c r="AH1312" s="24"/>
      <c r="AI1312" s="24"/>
      <c r="AJ1312" s="24"/>
      <c r="AK1312" s="24"/>
      <c r="AL1312" s="24"/>
      <c r="AM1312" s="24"/>
      <c r="AN1312" s="24"/>
      <c r="AO1312" s="24"/>
      <c r="AP1312" s="24"/>
      <c r="AQ1312" s="24"/>
      <c r="AR1312" s="54"/>
    </row>
    <row r="1313">
      <c r="A1313" s="57"/>
      <c r="B1313" s="24"/>
      <c r="C1313" s="24"/>
      <c r="D1313" s="24"/>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c r="AA1313" s="24"/>
      <c r="AB1313" s="24"/>
      <c r="AC1313" s="24"/>
      <c r="AD1313" s="24"/>
      <c r="AE1313" s="24"/>
      <c r="AF1313" s="24"/>
      <c r="AG1313" s="24"/>
      <c r="AH1313" s="24"/>
      <c r="AI1313" s="24"/>
      <c r="AJ1313" s="24"/>
      <c r="AK1313" s="24"/>
      <c r="AL1313" s="24"/>
      <c r="AM1313" s="24"/>
      <c r="AN1313" s="24"/>
      <c r="AO1313" s="24"/>
      <c r="AP1313" s="24"/>
      <c r="AQ1313" s="24"/>
      <c r="AR1313" s="54"/>
    </row>
    <row r="1314">
      <c r="A1314" s="57"/>
      <c r="B1314" s="24"/>
      <c r="C1314" s="24"/>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c r="AA1314" s="24"/>
      <c r="AB1314" s="24"/>
      <c r="AC1314" s="24"/>
      <c r="AD1314" s="24"/>
      <c r="AE1314" s="24"/>
      <c r="AF1314" s="24"/>
      <c r="AG1314" s="24"/>
      <c r="AH1314" s="24"/>
      <c r="AI1314" s="24"/>
      <c r="AJ1314" s="24"/>
      <c r="AK1314" s="24"/>
      <c r="AL1314" s="24"/>
      <c r="AM1314" s="24"/>
      <c r="AN1314" s="24"/>
      <c r="AO1314" s="24"/>
      <c r="AP1314" s="24"/>
      <c r="AQ1314" s="24"/>
      <c r="AR1314" s="54"/>
    </row>
    <row r="1315">
      <c r="A1315" s="57"/>
      <c r="B1315" s="24"/>
      <c r="C1315" s="24"/>
      <c r="D1315" s="24"/>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c r="AA1315" s="24"/>
      <c r="AB1315" s="24"/>
      <c r="AC1315" s="24"/>
      <c r="AD1315" s="24"/>
      <c r="AE1315" s="24"/>
      <c r="AF1315" s="24"/>
      <c r="AG1315" s="24"/>
      <c r="AH1315" s="24"/>
      <c r="AI1315" s="24"/>
      <c r="AJ1315" s="24"/>
      <c r="AK1315" s="24"/>
      <c r="AL1315" s="24"/>
      <c r="AM1315" s="24"/>
      <c r="AN1315" s="24"/>
      <c r="AO1315" s="24"/>
      <c r="AP1315" s="24"/>
      <c r="AQ1315" s="24"/>
      <c r="AR1315" s="54"/>
    </row>
    <row r="1316">
      <c r="A1316" s="57"/>
      <c r="B1316" s="24"/>
      <c r="C1316" s="24"/>
      <c r="D1316" s="24"/>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c r="AA1316" s="24"/>
      <c r="AB1316" s="24"/>
      <c r="AC1316" s="24"/>
      <c r="AD1316" s="24"/>
      <c r="AE1316" s="24"/>
      <c r="AF1316" s="24"/>
      <c r="AG1316" s="24"/>
      <c r="AH1316" s="24"/>
      <c r="AI1316" s="24"/>
      <c r="AJ1316" s="24"/>
      <c r="AK1316" s="24"/>
      <c r="AL1316" s="24"/>
      <c r="AM1316" s="24"/>
      <c r="AN1316" s="24"/>
      <c r="AO1316" s="24"/>
      <c r="AP1316" s="24"/>
      <c r="AQ1316" s="24"/>
      <c r="AR1316" s="54"/>
    </row>
    <row r="1317">
      <c r="A1317" s="57"/>
      <c r="B1317" s="24"/>
      <c r="C1317" s="24"/>
      <c r="D1317" s="24"/>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c r="AA1317" s="24"/>
      <c r="AB1317" s="24"/>
      <c r="AC1317" s="24"/>
      <c r="AD1317" s="24"/>
      <c r="AE1317" s="24"/>
      <c r="AF1317" s="24"/>
      <c r="AG1317" s="24"/>
      <c r="AH1317" s="24"/>
      <c r="AI1317" s="24"/>
      <c r="AJ1317" s="24"/>
      <c r="AK1317" s="24"/>
      <c r="AL1317" s="24"/>
      <c r="AM1317" s="24"/>
      <c r="AN1317" s="24"/>
      <c r="AO1317" s="24"/>
      <c r="AP1317" s="24"/>
      <c r="AQ1317" s="24"/>
      <c r="AR1317" s="54"/>
    </row>
    <row r="1318">
      <c r="A1318" s="57"/>
      <c r="B1318" s="24"/>
      <c r="C1318" s="24"/>
      <c r="D1318" s="24"/>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c r="AA1318" s="24"/>
      <c r="AB1318" s="24"/>
      <c r="AC1318" s="24"/>
      <c r="AD1318" s="24"/>
      <c r="AE1318" s="24"/>
      <c r="AF1318" s="24"/>
      <c r="AG1318" s="24"/>
      <c r="AH1318" s="24"/>
      <c r="AI1318" s="24"/>
      <c r="AJ1318" s="24"/>
      <c r="AK1318" s="24"/>
      <c r="AL1318" s="24"/>
      <c r="AM1318" s="24"/>
      <c r="AN1318" s="24"/>
      <c r="AO1318" s="24"/>
      <c r="AP1318" s="24"/>
      <c r="AQ1318" s="24"/>
      <c r="AR1318" s="54"/>
    </row>
    <row r="1319">
      <c r="A1319" s="57"/>
      <c r="B1319" s="24"/>
      <c r="C1319" s="24"/>
      <c r="D1319" s="24"/>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c r="AA1319" s="24"/>
      <c r="AB1319" s="24"/>
      <c r="AC1319" s="24"/>
      <c r="AD1319" s="24"/>
      <c r="AE1319" s="24"/>
      <c r="AF1319" s="24"/>
      <c r="AG1319" s="24"/>
      <c r="AH1319" s="24"/>
      <c r="AI1319" s="24"/>
      <c r="AJ1319" s="24"/>
      <c r="AK1319" s="24"/>
      <c r="AL1319" s="24"/>
      <c r="AM1319" s="24"/>
      <c r="AN1319" s="24"/>
      <c r="AO1319" s="24"/>
      <c r="AP1319" s="24"/>
      <c r="AQ1319" s="24"/>
      <c r="AR1319" s="54"/>
    </row>
    <row r="1320">
      <c r="A1320" s="57"/>
      <c r="B1320" s="24"/>
      <c r="C1320" s="24"/>
      <c r="D1320" s="24"/>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c r="AA1320" s="24"/>
      <c r="AB1320" s="24"/>
      <c r="AC1320" s="24"/>
      <c r="AD1320" s="24"/>
      <c r="AE1320" s="24"/>
      <c r="AF1320" s="24"/>
      <c r="AG1320" s="24"/>
      <c r="AH1320" s="24"/>
      <c r="AI1320" s="24"/>
      <c r="AJ1320" s="24"/>
      <c r="AK1320" s="24"/>
      <c r="AL1320" s="24"/>
      <c r="AM1320" s="24"/>
      <c r="AN1320" s="24"/>
      <c r="AO1320" s="24"/>
      <c r="AP1320" s="24"/>
      <c r="AQ1320" s="24"/>
      <c r="AR1320" s="54"/>
    </row>
    <row r="1321">
      <c r="A1321" s="57"/>
      <c r="B1321" s="24"/>
      <c r="C1321" s="24"/>
      <c r="D1321" s="24"/>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c r="AA1321" s="24"/>
      <c r="AB1321" s="24"/>
      <c r="AC1321" s="24"/>
      <c r="AD1321" s="24"/>
      <c r="AE1321" s="24"/>
      <c r="AF1321" s="24"/>
      <c r="AG1321" s="24"/>
      <c r="AH1321" s="24"/>
      <c r="AI1321" s="24"/>
      <c r="AJ1321" s="24"/>
      <c r="AK1321" s="24"/>
      <c r="AL1321" s="24"/>
      <c r="AM1321" s="24"/>
      <c r="AN1321" s="24"/>
      <c r="AO1321" s="24"/>
      <c r="AP1321" s="24"/>
      <c r="AQ1321" s="24"/>
      <c r="AR1321" s="54"/>
    </row>
    <row r="1322">
      <c r="A1322" s="57"/>
      <c r="B1322" s="24"/>
      <c r="C1322" s="24"/>
      <c r="D1322" s="24"/>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c r="AA1322" s="24"/>
      <c r="AB1322" s="24"/>
      <c r="AC1322" s="24"/>
      <c r="AD1322" s="24"/>
      <c r="AE1322" s="24"/>
      <c r="AF1322" s="24"/>
      <c r="AG1322" s="24"/>
      <c r="AH1322" s="24"/>
      <c r="AI1322" s="24"/>
      <c r="AJ1322" s="24"/>
      <c r="AK1322" s="24"/>
      <c r="AL1322" s="24"/>
      <c r="AM1322" s="24"/>
      <c r="AN1322" s="24"/>
      <c r="AO1322" s="24"/>
      <c r="AP1322" s="24"/>
      <c r="AQ1322" s="24"/>
      <c r="AR1322" s="54"/>
    </row>
    <row r="1323">
      <c r="A1323" s="57"/>
      <c r="B1323" s="24"/>
      <c r="C1323" s="24"/>
      <c r="D1323" s="24"/>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c r="AA1323" s="24"/>
      <c r="AB1323" s="24"/>
      <c r="AC1323" s="24"/>
      <c r="AD1323" s="24"/>
      <c r="AE1323" s="24"/>
      <c r="AF1323" s="24"/>
      <c r="AG1323" s="24"/>
      <c r="AH1323" s="24"/>
      <c r="AI1323" s="24"/>
      <c r="AJ1323" s="24"/>
      <c r="AK1323" s="24"/>
      <c r="AL1323" s="24"/>
      <c r="AM1323" s="24"/>
      <c r="AN1323" s="24"/>
      <c r="AO1323" s="24"/>
      <c r="AP1323" s="24"/>
      <c r="AQ1323" s="24"/>
      <c r="AR1323" s="54"/>
    </row>
    <row r="1324">
      <c r="A1324" s="57"/>
      <c r="B1324" s="24"/>
      <c r="C1324" s="24"/>
      <c r="D1324" s="24"/>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c r="AA1324" s="24"/>
      <c r="AB1324" s="24"/>
      <c r="AC1324" s="24"/>
      <c r="AD1324" s="24"/>
      <c r="AE1324" s="24"/>
      <c r="AF1324" s="24"/>
      <c r="AG1324" s="24"/>
      <c r="AH1324" s="24"/>
      <c r="AI1324" s="24"/>
      <c r="AJ1324" s="24"/>
      <c r="AK1324" s="24"/>
      <c r="AL1324" s="24"/>
      <c r="AM1324" s="24"/>
      <c r="AN1324" s="24"/>
      <c r="AO1324" s="24"/>
      <c r="AP1324" s="24"/>
      <c r="AQ1324" s="24"/>
      <c r="AR1324" s="54"/>
    </row>
    <row r="1325">
      <c r="A1325" s="57"/>
      <c r="B1325" s="24"/>
      <c r="C1325" s="24"/>
      <c r="D1325" s="24"/>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c r="AA1325" s="24"/>
      <c r="AB1325" s="24"/>
      <c r="AC1325" s="24"/>
      <c r="AD1325" s="24"/>
      <c r="AE1325" s="24"/>
      <c r="AF1325" s="24"/>
      <c r="AG1325" s="24"/>
      <c r="AH1325" s="24"/>
      <c r="AI1325" s="24"/>
      <c r="AJ1325" s="24"/>
      <c r="AK1325" s="24"/>
      <c r="AL1325" s="24"/>
      <c r="AM1325" s="24"/>
      <c r="AN1325" s="24"/>
      <c r="AO1325" s="24"/>
      <c r="AP1325" s="24"/>
      <c r="AQ1325" s="24"/>
      <c r="AR1325" s="54"/>
    </row>
    <row r="1326">
      <c r="A1326" s="57"/>
      <c r="B1326" s="24"/>
      <c r="C1326" s="24"/>
      <c r="D1326" s="24"/>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c r="AA1326" s="24"/>
      <c r="AB1326" s="24"/>
      <c r="AC1326" s="24"/>
      <c r="AD1326" s="24"/>
      <c r="AE1326" s="24"/>
      <c r="AF1326" s="24"/>
      <c r="AG1326" s="24"/>
      <c r="AH1326" s="24"/>
      <c r="AI1326" s="24"/>
      <c r="AJ1326" s="24"/>
      <c r="AK1326" s="24"/>
      <c r="AL1326" s="24"/>
      <c r="AM1326" s="24"/>
      <c r="AN1326" s="24"/>
      <c r="AO1326" s="24"/>
      <c r="AP1326" s="24"/>
      <c r="AQ1326" s="24"/>
      <c r="AR1326" s="54"/>
    </row>
    <row r="1327">
      <c r="A1327" s="57"/>
      <c r="B1327" s="24"/>
      <c r="C1327" s="24"/>
      <c r="D1327" s="24"/>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c r="AA1327" s="24"/>
      <c r="AB1327" s="24"/>
      <c r="AC1327" s="24"/>
      <c r="AD1327" s="24"/>
      <c r="AE1327" s="24"/>
      <c r="AF1327" s="24"/>
      <c r="AG1327" s="24"/>
      <c r="AH1327" s="24"/>
      <c r="AI1327" s="24"/>
      <c r="AJ1327" s="24"/>
      <c r="AK1327" s="24"/>
      <c r="AL1327" s="24"/>
      <c r="AM1327" s="24"/>
      <c r="AN1327" s="24"/>
      <c r="AO1327" s="24"/>
      <c r="AP1327" s="24"/>
      <c r="AQ1327" s="24"/>
      <c r="AR1327" s="54"/>
    </row>
    <row r="1328">
      <c r="A1328" s="57"/>
      <c r="B1328" s="24"/>
      <c r="C1328" s="24"/>
      <c r="D1328" s="24"/>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c r="AA1328" s="24"/>
      <c r="AB1328" s="24"/>
      <c r="AC1328" s="24"/>
      <c r="AD1328" s="24"/>
      <c r="AE1328" s="24"/>
      <c r="AF1328" s="24"/>
      <c r="AG1328" s="24"/>
      <c r="AH1328" s="24"/>
      <c r="AI1328" s="24"/>
      <c r="AJ1328" s="24"/>
      <c r="AK1328" s="24"/>
      <c r="AL1328" s="24"/>
      <c r="AM1328" s="24"/>
      <c r="AN1328" s="24"/>
      <c r="AO1328" s="24"/>
      <c r="AP1328" s="24"/>
      <c r="AQ1328" s="24"/>
      <c r="AR1328" s="54"/>
    </row>
    <row r="1329">
      <c r="A1329" s="57"/>
      <c r="B1329" s="24"/>
      <c r="C1329" s="24"/>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c r="AA1329" s="24"/>
      <c r="AB1329" s="24"/>
      <c r="AC1329" s="24"/>
      <c r="AD1329" s="24"/>
      <c r="AE1329" s="24"/>
      <c r="AF1329" s="24"/>
      <c r="AG1329" s="24"/>
      <c r="AH1329" s="24"/>
      <c r="AI1329" s="24"/>
      <c r="AJ1329" s="24"/>
      <c r="AK1329" s="24"/>
      <c r="AL1329" s="24"/>
      <c r="AM1329" s="24"/>
      <c r="AN1329" s="24"/>
      <c r="AO1329" s="24"/>
      <c r="AP1329" s="24"/>
      <c r="AQ1329" s="24"/>
      <c r="AR1329" s="54"/>
    </row>
    <row r="1330">
      <c r="A1330" s="57"/>
      <c r="B1330" s="24"/>
      <c r="C1330" s="24"/>
      <c r="D1330" s="24"/>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c r="AA1330" s="24"/>
      <c r="AB1330" s="24"/>
      <c r="AC1330" s="24"/>
      <c r="AD1330" s="24"/>
      <c r="AE1330" s="24"/>
      <c r="AF1330" s="24"/>
      <c r="AG1330" s="24"/>
      <c r="AH1330" s="24"/>
      <c r="AI1330" s="24"/>
      <c r="AJ1330" s="24"/>
      <c r="AK1330" s="24"/>
      <c r="AL1330" s="24"/>
      <c r="AM1330" s="24"/>
      <c r="AN1330" s="24"/>
      <c r="AO1330" s="24"/>
      <c r="AP1330" s="24"/>
      <c r="AQ1330" s="24"/>
      <c r="AR1330" s="54"/>
    </row>
    <row r="1331">
      <c r="A1331" s="57"/>
      <c r="B1331" s="24"/>
      <c r="C1331" s="24"/>
      <c r="D1331" s="24"/>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c r="AA1331" s="24"/>
      <c r="AB1331" s="24"/>
      <c r="AC1331" s="24"/>
      <c r="AD1331" s="24"/>
      <c r="AE1331" s="24"/>
      <c r="AF1331" s="24"/>
      <c r="AG1331" s="24"/>
      <c r="AH1331" s="24"/>
      <c r="AI1331" s="24"/>
      <c r="AJ1331" s="24"/>
      <c r="AK1331" s="24"/>
      <c r="AL1331" s="24"/>
      <c r="AM1331" s="24"/>
      <c r="AN1331" s="24"/>
      <c r="AO1331" s="24"/>
      <c r="AP1331" s="24"/>
      <c r="AQ1331" s="24"/>
      <c r="AR1331" s="54"/>
    </row>
    <row r="1332">
      <c r="A1332" s="57"/>
      <c r="B1332" s="24"/>
      <c r="C1332" s="24"/>
      <c r="D1332" s="24"/>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c r="AA1332" s="24"/>
      <c r="AB1332" s="24"/>
      <c r="AC1332" s="24"/>
      <c r="AD1332" s="24"/>
      <c r="AE1332" s="24"/>
      <c r="AF1332" s="24"/>
      <c r="AG1332" s="24"/>
      <c r="AH1332" s="24"/>
      <c r="AI1332" s="24"/>
      <c r="AJ1332" s="24"/>
      <c r="AK1332" s="24"/>
      <c r="AL1332" s="24"/>
      <c r="AM1332" s="24"/>
      <c r="AN1332" s="24"/>
      <c r="AO1332" s="24"/>
      <c r="AP1332" s="24"/>
      <c r="AQ1332" s="24"/>
      <c r="AR1332" s="54"/>
    </row>
    <row r="1333">
      <c r="A1333" s="57"/>
      <c r="B1333" s="24"/>
      <c r="C1333" s="24"/>
      <c r="D1333" s="24"/>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c r="AA1333" s="24"/>
      <c r="AB1333" s="24"/>
      <c r="AC1333" s="24"/>
      <c r="AD1333" s="24"/>
      <c r="AE1333" s="24"/>
      <c r="AF1333" s="24"/>
      <c r="AG1333" s="24"/>
      <c r="AH1333" s="24"/>
      <c r="AI1333" s="24"/>
      <c r="AJ1333" s="24"/>
      <c r="AK1333" s="24"/>
      <c r="AL1333" s="24"/>
      <c r="AM1333" s="24"/>
      <c r="AN1333" s="24"/>
      <c r="AO1333" s="24"/>
      <c r="AP1333" s="24"/>
      <c r="AQ1333" s="24"/>
      <c r="AR1333" s="54"/>
    </row>
    <row r="1334">
      <c r="A1334" s="57"/>
      <c r="B1334" s="24"/>
      <c r="C1334" s="24"/>
      <c r="D1334" s="24"/>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c r="AA1334" s="24"/>
      <c r="AB1334" s="24"/>
      <c r="AC1334" s="24"/>
      <c r="AD1334" s="24"/>
      <c r="AE1334" s="24"/>
      <c r="AF1334" s="24"/>
      <c r="AG1334" s="24"/>
      <c r="AH1334" s="24"/>
      <c r="AI1334" s="24"/>
      <c r="AJ1334" s="24"/>
      <c r="AK1334" s="24"/>
      <c r="AL1334" s="24"/>
      <c r="AM1334" s="24"/>
      <c r="AN1334" s="24"/>
      <c r="AO1334" s="24"/>
      <c r="AP1334" s="24"/>
      <c r="AQ1334" s="24"/>
      <c r="AR1334" s="54"/>
    </row>
    <row r="1335">
      <c r="A1335" s="57"/>
      <c r="B1335" s="24"/>
      <c r="C1335" s="24"/>
      <c r="D1335" s="24"/>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c r="AA1335" s="24"/>
      <c r="AB1335" s="24"/>
      <c r="AC1335" s="24"/>
      <c r="AD1335" s="24"/>
      <c r="AE1335" s="24"/>
      <c r="AF1335" s="24"/>
      <c r="AG1335" s="24"/>
      <c r="AH1335" s="24"/>
      <c r="AI1335" s="24"/>
      <c r="AJ1335" s="24"/>
      <c r="AK1335" s="24"/>
      <c r="AL1335" s="24"/>
      <c r="AM1335" s="24"/>
      <c r="AN1335" s="24"/>
      <c r="AO1335" s="24"/>
      <c r="AP1335" s="24"/>
      <c r="AQ1335" s="24"/>
      <c r="AR1335" s="54"/>
    </row>
    <row r="1336">
      <c r="A1336" s="57"/>
      <c r="B1336" s="24"/>
      <c r="C1336" s="24"/>
      <c r="D1336" s="24"/>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c r="AA1336" s="24"/>
      <c r="AB1336" s="24"/>
      <c r="AC1336" s="24"/>
      <c r="AD1336" s="24"/>
      <c r="AE1336" s="24"/>
      <c r="AF1336" s="24"/>
      <c r="AG1336" s="24"/>
      <c r="AH1336" s="24"/>
      <c r="AI1336" s="24"/>
      <c r="AJ1336" s="24"/>
      <c r="AK1336" s="24"/>
      <c r="AL1336" s="24"/>
      <c r="AM1336" s="24"/>
      <c r="AN1336" s="24"/>
      <c r="AO1336" s="24"/>
      <c r="AP1336" s="24"/>
      <c r="AQ1336" s="24"/>
      <c r="AR1336" s="54"/>
    </row>
    <row r="1337">
      <c r="A1337" s="57"/>
      <c r="B1337" s="24"/>
      <c r="C1337" s="24"/>
      <c r="D1337" s="24"/>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c r="AA1337" s="24"/>
      <c r="AB1337" s="24"/>
      <c r="AC1337" s="24"/>
      <c r="AD1337" s="24"/>
      <c r="AE1337" s="24"/>
      <c r="AF1337" s="24"/>
      <c r="AG1337" s="24"/>
      <c r="AH1337" s="24"/>
      <c r="AI1337" s="24"/>
      <c r="AJ1337" s="24"/>
      <c r="AK1337" s="24"/>
      <c r="AL1337" s="24"/>
      <c r="AM1337" s="24"/>
      <c r="AN1337" s="24"/>
      <c r="AO1337" s="24"/>
      <c r="AP1337" s="24"/>
      <c r="AQ1337" s="24"/>
      <c r="AR1337" s="54"/>
    </row>
    <row r="1338">
      <c r="A1338" s="57"/>
      <c r="B1338" s="24"/>
      <c r="C1338" s="24"/>
      <c r="D1338" s="24"/>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c r="AA1338" s="24"/>
      <c r="AB1338" s="24"/>
      <c r="AC1338" s="24"/>
      <c r="AD1338" s="24"/>
      <c r="AE1338" s="24"/>
      <c r="AF1338" s="24"/>
      <c r="AG1338" s="24"/>
      <c r="AH1338" s="24"/>
      <c r="AI1338" s="24"/>
      <c r="AJ1338" s="24"/>
      <c r="AK1338" s="24"/>
      <c r="AL1338" s="24"/>
      <c r="AM1338" s="24"/>
      <c r="AN1338" s="24"/>
      <c r="AO1338" s="24"/>
      <c r="AP1338" s="24"/>
      <c r="AQ1338" s="24"/>
      <c r="AR1338" s="54"/>
    </row>
    <row r="1339">
      <c r="A1339" s="57"/>
      <c r="B1339" s="24"/>
      <c r="C1339" s="24"/>
      <c r="D1339" s="24"/>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c r="AA1339" s="24"/>
      <c r="AB1339" s="24"/>
      <c r="AC1339" s="24"/>
      <c r="AD1339" s="24"/>
      <c r="AE1339" s="24"/>
      <c r="AF1339" s="24"/>
      <c r="AG1339" s="24"/>
      <c r="AH1339" s="24"/>
      <c r="AI1339" s="24"/>
      <c r="AJ1339" s="24"/>
      <c r="AK1339" s="24"/>
      <c r="AL1339" s="24"/>
      <c r="AM1339" s="24"/>
      <c r="AN1339" s="24"/>
      <c r="AO1339" s="24"/>
      <c r="AP1339" s="24"/>
      <c r="AQ1339" s="24"/>
      <c r="AR1339" s="54"/>
    </row>
    <row r="1340">
      <c r="A1340" s="57"/>
      <c r="B1340" s="24"/>
      <c r="C1340" s="24"/>
      <c r="D1340" s="24"/>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c r="AA1340" s="24"/>
      <c r="AB1340" s="24"/>
      <c r="AC1340" s="24"/>
      <c r="AD1340" s="24"/>
      <c r="AE1340" s="24"/>
      <c r="AF1340" s="24"/>
      <c r="AG1340" s="24"/>
      <c r="AH1340" s="24"/>
      <c r="AI1340" s="24"/>
      <c r="AJ1340" s="24"/>
      <c r="AK1340" s="24"/>
      <c r="AL1340" s="24"/>
      <c r="AM1340" s="24"/>
      <c r="AN1340" s="24"/>
      <c r="AO1340" s="24"/>
      <c r="AP1340" s="24"/>
      <c r="AQ1340" s="24"/>
      <c r="AR1340" s="54"/>
    </row>
    <row r="1341">
      <c r="A1341" s="57"/>
      <c r="B1341" s="24"/>
      <c r="C1341" s="24"/>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c r="AA1341" s="24"/>
      <c r="AB1341" s="24"/>
      <c r="AC1341" s="24"/>
      <c r="AD1341" s="24"/>
      <c r="AE1341" s="24"/>
      <c r="AF1341" s="24"/>
      <c r="AG1341" s="24"/>
      <c r="AH1341" s="24"/>
      <c r="AI1341" s="24"/>
      <c r="AJ1341" s="24"/>
      <c r="AK1341" s="24"/>
      <c r="AL1341" s="24"/>
      <c r="AM1341" s="24"/>
      <c r="AN1341" s="24"/>
      <c r="AO1341" s="24"/>
      <c r="AP1341" s="24"/>
      <c r="AQ1341" s="24"/>
      <c r="AR1341" s="54"/>
    </row>
    <row r="1342">
      <c r="A1342" s="57"/>
      <c r="B1342" s="24"/>
      <c r="C1342" s="24"/>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c r="AA1342" s="24"/>
      <c r="AB1342" s="24"/>
      <c r="AC1342" s="24"/>
      <c r="AD1342" s="24"/>
      <c r="AE1342" s="24"/>
      <c r="AF1342" s="24"/>
      <c r="AG1342" s="24"/>
      <c r="AH1342" s="24"/>
      <c r="AI1342" s="24"/>
      <c r="AJ1342" s="24"/>
      <c r="AK1342" s="24"/>
      <c r="AL1342" s="24"/>
      <c r="AM1342" s="24"/>
      <c r="AN1342" s="24"/>
      <c r="AO1342" s="24"/>
      <c r="AP1342" s="24"/>
      <c r="AQ1342" s="24"/>
      <c r="AR1342" s="54"/>
    </row>
    <row r="1343">
      <c r="A1343" s="57"/>
      <c r="B1343" s="24"/>
      <c r="C1343" s="24"/>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c r="AA1343" s="24"/>
      <c r="AB1343" s="24"/>
      <c r="AC1343" s="24"/>
      <c r="AD1343" s="24"/>
      <c r="AE1343" s="24"/>
      <c r="AF1343" s="24"/>
      <c r="AG1343" s="24"/>
      <c r="AH1343" s="24"/>
      <c r="AI1343" s="24"/>
      <c r="AJ1343" s="24"/>
      <c r="AK1343" s="24"/>
      <c r="AL1343" s="24"/>
      <c r="AM1343" s="24"/>
      <c r="AN1343" s="24"/>
      <c r="AO1343" s="24"/>
      <c r="AP1343" s="24"/>
      <c r="AQ1343" s="24"/>
      <c r="AR1343" s="54"/>
    </row>
    <row r="1344">
      <c r="A1344" s="57"/>
      <c r="B1344" s="24"/>
      <c r="C1344" s="24"/>
      <c r="D1344" s="24"/>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c r="AA1344" s="24"/>
      <c r="AB1344" s="24"/>
      <c r="AC1344" s="24"/>
      <c r="AD1344" s="24"/>
      <c r="AE1344" s="24"/>
      <c r="AF1344" s="24"/>
      <c r="AG1344" s="24"/>
      <c r="AH1344" s="24"/>
      <c r="AI1344" s="24"/>
      <c r="AJ1344" s="24"/>
      <c r="AK1344" s="24"/>
      <c r="AL1344" s="24"/>
      <c r="AM1344" s="24"/>
      <c r="AN1344" s="24"/>
      <c r="AO1344" s="24"/>
      <c r="AP1344" s="24"/>
      <c r="AQ1344" s="24"/>
      <c r="AR1344" s="54"/>
    </row>
    <row r="1345">
      <c r="A1345" s="57"/>
      <c r="B1345" s="24"/>
      <c r="C1345" s="24"/>
      <c r="D1345" s="24"/>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c r="AA1345" s="24"/>
      <c r="AB1345" s="24"/>
      <c r="AC1345" s="24"/>
      <c r="AD1345" s="24"/>
      <c r="AE1345" s="24"/>
      <c r="AF1345" s="24"/>
      <c r="AG1345" s="24"/>
      <c r="AH1345" s="24"/>
      <c r="AI1345" s="24"/>
      <c r="AJ1345" s="24"/>
      <c r="AK1345" s="24"/>
      <c r="AL1345" s="24"/>
      <c r="AM1345" s="24"/>
      <c r="AN1345" s="24"/>
      <c r="AO1345" s="24"/>
      <c r="AP1345" s="24"/>
      <c r="AQ1345" s="24"/>
      <c r="AR1345" s="54"/>
    </row>
    <row r="1346">
      <c r="A1346" s="57"/>
      <c r="B1346" s="24"/>
      <c r="C1346" s="24"/>
      <c r="D1346" s="24"/>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c r="AA1346" s="24"/>
      <c r="AB1346" s="24"/>
      <c r="AC1346" s="24"/>
      <c r="AD1346" s="24"/>
      <c r="AE1346" s="24"/>
      <c r="AF1346" s="24"/>
      <c r="AG1346" s="24"/>
      <c r="AH1346" s="24"/>
      <c r="AI1346" s="24"/>
      <c r="AJ1346" s="24"/>
      <c r="AK1346" s="24"/>
      <c r="AL1346" s="24"/>
      <c r="AM1346" s="24"/>
      <c r="AN1346" s="24"/>
      <c r="AO1346" s="24"/>
      <c r="AP1346" s="24"/>
      <c r="AQ1346" s="24"/>
      <c r="AR1346" s="54"/>
    </row>
    <row r="1347">
      <c r="A1347" s="57"/>
      <c r="B1347" s="24"/>
      <c r="C1347" s="24"/>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c r="AA1347" s="24"/>
      <c r="AB1347" s="24"/>
      <c r="AC1347" s="24"/>
      <c r="AD1347" s="24"/>
      <c r="AE1347" s="24"/>
      <c r="AF1347" s="24"/>
      <c r="AG1347" s="24"/>
      <c r="AH1347" s="24"/>
      <c r="AI1347" s="24"/>
      <c r="AJ1347" s="24"/>
      <c r="AK1347" s="24"/>
      <c r="AL1347" s="24"/>
      <c r="AM1347" s="24"/>
      <c r="AN1347" s="24"/>
      <c r="AO1347" s="24"/>
      <c r="AP1347" s="24"/>
      <c r="AQ1347" s="24"/>
      <c r="AR1347" s="54"/>
    </row>
    <row r="1348">
      <c r="A1348" s="57"/>
      <c r="B1348" s="24"/>
      <c r="C1348" s="24"/>
      <c r="D1348" s="24"/>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c r="AA1348" s="24"/>
      <c r="AB1348" s="24"/>
      <c r="AC1348" s="24"/>
      <c r="AD1348" s="24"/>
      <c r="AE1348" s="24"/>
      <c r="AF1348" s="24"/>
      <c r="AG1348" s="24"/>
      <c r="AH1348" s="24"/>
      <c r="AI1348" s="24"/>
      <c r="AJ1348" s="24"/>
      <c r="AK1348" s="24"/>
      <c r="AL1348" s="24"/>
      <c r="AM1348" s="24"/>
      <c r="AN1348" s="24"/>
      <c r="AO1348" s="24"/>
      <c r="AP1348" s="24"/>
      <c r="AQ1348" s="24"/>
      <c r="AR1348" s="54"/>
    </row>
    <row r="1349">
      <c r="A1349" s="57"/>
      <c r="B1349" s="24"/>
      <c r="C1349" s="24"/>
      <c r="D1349" s="24"/>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c r="AA1349" s="24"/>
      <c r="AB1349" s="24"/>
      <c r="AC1349" s="24"/>
      <c r="AD1349" s="24"/>
      <c r="AE1349" s="24"/>
      <c r="AF1349" s="24"/>
      <c r="AG1349" s="24"/>
      <c r="AH1349" s="24"/>
      <c r="AI1349" s="24"/>
      <c r="AJ1349" s="24"/>
      <c r="AK1349" s="24"/>
      <c r="AL1349" s="24"/>
      <c r="AM1349" s="24"/>
      <c r="AN1349" s="24"/>
      <c r="AO1349" s="24"/>
      <c r="AP1349" s="24"/>
      <c r="AQ1349" s="24"/>
      <c r="AR1349" s="54"/>
    </row>
    <row r="1350">
      <c r="A1350" s="57"/>
      <c r="B1350" s="24"/>
      <c r="C1350" s="24"/>
      <c r="D1350" s="24"/>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c r="AA1350" s="24"/>
      <c r="AB1350" s="24"/>
      <c r="AC1350" s="24"/>
      <c r="AD1350" s="24"/>
      <c r="AE1350" s="24"/>
      <c r="AF1350" s="24"/>
      <c r="AG1350" s="24"/>
      <c r="AH1350" s="24"/>
      <c r="AI1350" s="24"/>
      <c r="AJ1350" s="24"/>
      <c r="AK1350" s="24"/>
      <c r="AL1350" s="24"/>
      <c r="AM1350" s="24"/>
      <c r="AN1350" s="24"/>
      <c r="AO1350" s="24"/>
      <c r="AP1350" s="24"/>
      <c r="AQ1350" s="24"/>
      <c r="AR1350" s="54"/>
    </row>
    <row r="1351">
      <c r="A1351" s="57"/>
      <c r="B1351" s="24"/>
      <c r="C1351" s="24"/>
      <c r="D1351" s="24"/>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c r="AA1351" s="24"/>
      <c r="AB1351" s="24"/>
      <c r="AC1351" s="24"/>
      <c r="AD1351" s="24"/>
      <c r="AE1351" s="24"/>
      <c r="AF1351" s="24"/>
      <c r="AG1351" s="24"/>
      <c r="AH1351" s="24"/>
      <c r="AI1351" s="24"/>
      <c r="AJ1351" s="24"/>
      <c r="AK1351" s="24"/>
      <c r="AL1351" s="24"/>
      <c r="AM1351" s="24"/>
      <c r="AN1351" s="24"/>
      <c r="AO1351" s="24"/>
      <c r="AP1351" s="24"/>
      <c r="AQ1351" s="24"/>
      <c r="AR1351" s="54"/>
    </row>
    <row r="1352">
      <c r="A1352" s="57"/>
      <c r="B1352" s="24"/>
      <c r="C1352" s="24"/>
      <c r="D1352" s="24"/>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c r="AA1352" s="24"/>
      <c r="AB1352" s="24"/>
      <c r="AC1352" s="24"/>
      <c r="AD1352" s="24"/>
      <c r="AE1352" s="24"/>
      <c r="AF1352" s="24"/>
      <c r="AG1352" s="24"/>
      <c r="AH1352" s="24"/>
      <c r="AI1352" s="24"/>
      <c r="AJ1352" s="24"/>
      <c r="AK1352" s="24"/>
      <c r="AL1352" s="24"/>
      <c r="AM1352" s="24"/>
      <c r="AN1352" s="24"/>
      <c r="AO1352" s="24"/>
      <c r="AP1352" s="24"/>
      <c r="AQ1352" s="24"/>
      <c r="AR1352" s="54"/>
    </row>
    <row r="1353">
      <c r="A1353" s="57"/>
      <c r="B1353" s="24"/>
      <c r="C1353" s="24"/>
      <c r="D1353" s="24"/>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c r="AA1353" s="24"/>
      <c r="AB1353" s="24"/>
      <c r="AC1353" s="24"/>
      <c r="AD1353" s="24"/>
      <c r="AE1353" s="24"/>
      <c r="AF1353" s="24"/>
      <c r="AG1353" s="24"/>
      <c r="AH1353" s="24"/>
      <c r="AI1353" s="24"/>
      <c r="AJ1353" s="24"/>
      <c r="AK1353" s="24"/>
      <c r="AL1353" s="24"/>
      <c r="AM1353" s="24"/>
      <c r="AN1353" s="24"/>
      <c r="AO1353" s="24"/>
      <c r="AP1353" s="24"/>
      <c r="AQ1353" s="24"/>
      <c r="AR1353" s="54"/>
    </row>
    <row r="1354">
      <c r="A1354" s="57"/>
      <c r="B1354" s="24"/>
      <c r="C1354" s="24"/>
      <c r="D1354" s="24"/>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c r="AA1354" s="24"/>
      <c r="AB1354" s="24"/>
      <c r="AC1354" s="24"/>
      <c r="AD1354" s="24"/>
      <c r="AE1354" s="24"/>
      <c r="AF1354" s="24"/>
      <c r="AG1354" s="24"/>
      <c r="AH1354" s="24"/>
      <c r="AI1354" s="24"/>
      <c r="AJ1354" s="24"/>
      <c r="AK1354" s="24"/>
      <c r="AL1354" s="24"/>
      <c r="AM1354" s="24"/>
      <c r="AN1354" s="24"/>
      <c r="AO1354" s="24"/>
      <c r="AP1354" s="24"/>
      <c r="AQ1354" s="24"/>
      <c r="AR1354" s="54"/>
    </row>
    <row r="1355">
      <c r="A1355" s="57"/>
      <c r="B1355" s="24"/>
      <c r="C1355" s="24"/>
      <c r="D1355" s="24"/>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c r="AA1355" s="24"/>
      <c r="AB1355" s="24"/>
      <c r="AC1355" s="24"/>
      <c r="AD1355" s="24"/>
      <c r="AE1355" s="24"/>
      <c r="AF1355" s="24"/>
      <c r="AG1355" s="24"/>
      <c r="AH1355" s="24"/>
      <c r="AI1355" s="24"/>
      <c r="AJ1355" s="24"/>
      <c r="AK1355" s="24"/>
      <c r="AL1355" s="24"/>
      <c r="AM1355" s="24"/>
      <c r="AN1355" s="24"/>
      <c r="AO1355" s="24"/>
      <c r="AP1355" s="24"/>
      <c r="AQ1355" s="24"/>
      <c r="AR1355" s="54"/>
    </row>
    <row r="1356">
      <c r="A1356" s="57"/>
      <c r="B1356" s="24"/>
      <c r="C1356" s="24"/>
      <c r="D1356" s="24"/>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c r="AA1356" s="24"/>
      <c r="AB1356" s="24"/>
      <c r="AC1356" s="24"/>
      <c r="AD1356" s="24"/>
      <c r="AE1356" s="24"/>
      <c r="AF1356" s="24"/>
      <c r="AG1356" s="24"/>
      <c r="AH1356" s="24"/>
      <c r="AI1356" s="24"/>
      <c r="AJ1356" s="24"/>
      <c r="AK1356" s="24"/>
      <c r="AL1356" s="24"/>
      <c r="AM1356" s="24"/>
      <c r="AN1356" s="24"/>
      <c r="AO1356" s="24"/>
      <c r="AP1356" s="24"/>
      <c r="AQ1356" s="24"/>
      <c r="AR1356" s="54"/>
    </row>
    <row r="1357">
      <c r="A1357" s="57"/>
      <c r="B1357" s="24"/>
      <c r="C1357" s="24"/>
      <c r="D1357" s="24"/>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c r="AA1357" s="24"/>
      <c r="AB1357" s="24"/>
      <c r="AC1357" s="24"/>
      <c r="AD1357" s="24"/>
      <c r="AE1357" s="24"/>
      <c r="AF1357" s="24"/>
      <c r="AG1357" s="24"/>
      <c r="AH1357" s="24"/>
      <c r="AI1357" s="24"/>
      <c r="AJ1357" s="24"/>
      <c r="AK1357" s="24"/>
      <c r="AL1357" s="24"/>
      <c r="AM1357" s="24"/>
      <c r="AN1357" s="24"/>
      <c r="AO1357" s="24"/>
      <c r="AP1357" s="24"/>
      <c r="AQ1357" s="24"/>
      <c r="AR1357" s="54"/>
    </row>
    <row r="1358">
      <c r="A1358" s="57"/>
      <c r="B1358" s="24"/>
      <c r="C1358" s="24"/>
      <c r="D1358" s="24"/>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c r="AA1358" s="24"/>
      <c r="AB1358" s="24"/>
      <c r="AC1358" s="24"/>
      <c r="AD1358" s="24"/>
      <c r="AE1358" s="24"/>
      <c r="AF1358" s="24"/>
      <c r="AG1358" s="24"/>
      <c r="AH1358" s="24"/>
      <c r="AI1358" s="24"/>
      <c r="AJ1358" s="24"/>
      <c r="AK1358" s="24"/>
      <c r="AL1358" s="24"/>
      <c r="AM1358" s="24"/>
      <c r="AN1358" s="24"/>
      <c r="AO1358" s="24"/>
      <c r="AP1358" s="24"/>
      <c r="AQ1358" s="24"/>
      <c r="AR1358" s="54"/>
    </row>
    <row r="1359">
      <c r="A1359" s="57"/>
      <c r="B1359" s="24"/>
      <c r="C1359" s="24"/>
      <c r="D1359" s="24"/>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c r="AA1359" s="24"/>
      <c r="AB1359" s="24"/>
      <c r="AC1359" s="24"/>
      <c r="AD1359" s="24"/>
      <c r="AE1359" s="24"/>
      <c r="AF1359" s="24"/>
      <c r="AG1359" s="24"/>
      <c r="AH1359" s="24"/>
      <c r="AI1359" s="24"/>
      <c r="AJ1359" s="24"/>
      <c r="AK1359" s="24"/>
      <c r="AL1359" s="24"/>
      <c r="AM1359" s="24"/>
      <c r="AN1359" s="24"/>
      <c r="AO1359" s="24"/>
      <c r="AP1359" s="24"/>
      <c r="AQ1359" s="24"/>
      <c r="AR1359" s="54"/>
    </row>
    <row r="1360">
      <c r="A1360" s="57"/>
      <c r="B1360" s="24"/>
      <c r="C1360" s="24"/>
      <c r="D1360" s="24"/>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c r="AA1360" s="24"/>
      <c r="AB1360" s="24"/>
      <c r="AC1360" s="24"/>
      <c r="AD1360" s="24"/>
      <c r="AE1360" s="24"/>
      <c r="AF1360" s="24"/>
      <c r="AG1360" s="24"/>
      <c r="AH1360" s="24"/>
      <c r="AI1360" s="24"/>
      <c r="AJ1360" s="24"/>
      <c r="AK1360" s="24"/>
      <c r="AL1360" s="24"/>
      <c r="AM1360" s="24"/>
      <c r="AN1360" s="24"/>
      <c r="AO1360" s="24"/>
      <c r="AP1360" s="24"/>
      <c r="AQ1360" s="24"/>
      <c r="AR1360" s="54"/>
    </row>
    <row r="1361">
      <c r="A1361" s="57"/>
      <c r="B1361" s="24"/>
      <c r="C1361" s="24"/>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c r="AA1361" s="24"/>
      <c r="AB1361" s="24"/>
      <c r="AC1361" s="24"/>
      <c r="AD1361" s="24"/>
      <c r="AE1361" s="24"/>
      <c r="AF1361" s="24"/>
      <c r="AG1361" s="24"/>
      <c r="AH1361" s="24"/>
      <c r="AI1361" s="24"/>
      <c r="AJ1361" s="24"/>
      <c r="AK1361" s="24"/>
      <c r="AL1361" s="24"/>
      <c r="AM1361" s="24"/>
      <c r="AN1361" s="24"/>
      <c r="AO1361" s="24"/>
      <c r="AP1361" s="24"/>
      <c r="AQ1361" s="24"/>
      <c r="AR1361" s="54"/>
    </row>
    <row r="1362">
      <c r="A1362" s="57"/>
      <c r="B1362" s="24"/>
      <c r="C1362" s="24"/>
      <c r="D1362" s="24"/>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c r="AA1362" s="24"/>
      <c r="AB1362" s="24"/>
      <c r="AC1362" s="24"/>
      <c r="AD1362" s="24"/>
      <c r="AE1362" s="24"/>
      <c r="AF1362" s="24"/>
      <c r="AG1362" s="24"/>
      <c r="AH1362" s="24"/>
      <c r="AI1362" s="24"/>
      <c r="AJ1362" s="24"/>
      <c r="AK1362" s="24"/>
      <c r="AL1362" s="24"/>
      <c r="AM1362" s="24"/>
      <c r="AN1362" s="24"/>
      <c r="AO1362" s="24"/>
      <c r="AP1362" s="24"/>
      <c r="AQ1362" s="24"/>
      <c r="AR1362" s="54"/>
    </row>
    <row r="1363">
      <c r="A1363" s="57"/>
      <c r="B1363" s="24"/>
      <c r="C1363" s="24"/>
      <c r="D1363" s="24"/>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c r="AA1363" s="24"/>
      <c r="AB1363" s="24"/>
      <c r="AC1363" s="24"/>
      <c r="AD1363" s="24"/>
      <c r="AE1363" s="24"/>
      <c r="AF1363" s="24"/>
      <c r="AG1363" s="24"/>
      <c r="AH1363" s="24"/>
      <c r="AI1363" s="24"/>
      <c r="AJ1363" s="24"/>
      <c r="AK1363" s="24"/>
      <c r="AL1363" s="24"/>
      <c r="AM1363" s="24"/>
      <c r="AN1363" s="24"/>
      <c r="AO1363" s="24"/>
      <c r="AP1363" s="24"/>
      <c r="AQ1363" s="24"/>
      <c r="AR1363" s="54"/>
    </row>
    <row r="1364">
      <c r="A1364" s="57"/>
      <c r="B1364" s="24"/>
      <c r="C1364" s="24"/>
      <c r="D1364" s="24"/>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c r="AA1364" s="24"/>
      <c r="AB1364" s="24"/>
      <c r="AC1364" s="24"/>
      <c r="AD1364" s="24"/>
      <c r="AE1364" s="24"/>
      <c r="AF1364" s="24"/>
      <c r="AG1364" s="24"/>
      <c r="AH1364" s="24"/>
      <c r="AI1364" s="24"/>
      <c r="AJ1364" s="24"/>
      <c r="AK1364" s="24"/>
      <c r="AL1364" s="24"/>
      <c r="AM1364" s="24"/>
      <c r="AN1364" s="24"/>
      <c r="AO1364" s="24"/>
      <c r="AP1364" s="24"/>
      <c r="AQ1364" s="24"/>
      <c r="AR1364" s="54"/>
    </row>
    <row r="1365">
      <c r="A1365" s="57"/>
      <c r="B1365" s="24"/>
      <c r="C1365" s="24"/>
      <c r="D1365" s="24"/>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c r="AA1365" s="24"/>
      <c r="AB1365" s="24"/>
      <c r="AC1365" s="24"/>
      <c r="AD1365" s="24"/>
      <c r="AE1365" s="24"/>
      <c r="AF1365" s="24"/>
      <c r="AG1365" s="24"/>
      <c r="AH1365" s="24"/>
      <c r="AI1365" s="24"/>
      <c r="AJ1365" s="24"/>
      <c r="AK1365" s="24"/>
      <c r="AL1365" s="24"/>
      <c r="AM1365" s="24"/>
      <c r="AN1365" s="24"/>
      <c r="AO1365" s="24"/>
      <c r="AP1365" s="24"/>
      <c r="AQ1365" s="24"/>
      <c r="AR1365" s="54"/>
    </row>
    <row r="1366">
      <c r="A1366" s="57"/>
      <c r="B1366" s="24"/>
      <c r="C1366" s="24"/>
      <c r="D1366" s="24"/>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c r="AA1366" s="24"/>
      <c r="AB1366" s="24"/>
      <c r="AC1366" s="24"/>
      <c r="AD1366" s="24"/>
      <c r="AE1366" s="24"/>
      <c r="AF1366" s="24"/>
      <c r="AG1366" s="24"/>
      <c r="AH1366" s="24"/>
      <c r="AI1366" s="24"/>
      <c r="AJ1366" s="24"/>
      <c r="AK1366" s="24"/>
      <c r="AL1366" s="24"/>
      <c r="AM1366" s="24"/>
      <c r="AN1366" s="24"/>
      <c r="AO1366" s="24"/>
      <c r="AP1366" s="24"/>
      <c r="AQ1366" s="24"/>
      <c r="AR1366" s="54"/>
    </row>
    <row r="1367">
      <c r="A1367" s="57"/>
      <c r="B1367" s="24"/>
      <c r="C1367" s="24"/>
      <c r="D1367" s="24"/>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c r="AA1367" s="24"/>
      <c r="AB1367" s="24"/>
      <c r="AC1367" s="24"/>
      <c r="AD1367" s="24"/>
      <c r="AE1367" s="24"/>
      <c r="AF1367" s="24"/>
      <c r="AG1367" s="24"/>
      <c r="AH1367" s="24"/>
      <c r="AI1367" s="24"/>
      <c r="AJ1367" s="24"/>
      <c r="AK1367" s="24"/>
      <c r="AL1367" s="24"/>
      <c r="AM1367" s="24"/>
      <c r="AN1367" s="24"/>
      <c r="AO1367" s="24"/>
      <c r="AP1367" s="24"/>
      <c r="AQ1367" s="24"/>
      <c r="AR1367" s="54"/>
    </row>
    <row r="1368">
      <c r="A1368" s="57"/>
      <c r="B1368" s="24"/>
      <c r="C1368" s="24"/>
      <c r="D1368" s="24"/>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c r="AA1368" s="24"/>
      <c r="AB1368" s="24"/>
      <c r="AC1368" s="24"/>
      <c r="AD1368" s="24"/>
      <c r="AE1368" s="24"/>
      <c r="AF1368" s="24"/>
      <c r="AG1368" s="24"/>
      <c r="AH1368" s="24"/>
      <c r="AI1368" s="24"/>
      <c r="AJ1368" s="24"/>
      <c r="AK1368" s="24"/>
      <c r="AL1368" s="24"/>
      <c r="AM1368" s="24"/>
      <c r="AN1368" s="24"/>
      <c r="AO1368" s="24"/>
      <c r="AP1368" s="24"/>
      <c r="AQ1368" s="24"/>
      <c r="AR1368" s="54"/>
    </row>
    <row r="1369">
      <c r="A1369" s="57"/>
      <c r="B1369" s="24"/>
      <c r="C1369" s="24"/>
      <c r="D1369" s="24"/>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c r="AA1369" s="24"/>
      <c r="AB1369" s="24"/>
      <c r="AC1369" s="24"/>
      <c r="AD1369" s="24"/>
      <c r="AE1369" s="24"/>
      <c r="AF1369" s="24"/>
      <c r="AG1369" s="24"/>
      <c r="AH1369" s="24"/>
      <c r="AI1369" s="24"/>
      <c r="AJ1369" s="24"/>
      <c r="AK1369" s="24"/>
      <c r="AL1369" s="24"/>
      <c r="AM1369" s="24"/>
      <c r="AN1369" s="24"/>
      <c r="AO1369" s="24"/>
      <c r="AP1369" s="24"/>
      <c r="AQ1369" s="24"/>
      <c r="AR1369" s="54"/>
    </row>
    <row r="1370">
      <c r="A1370" s="57"/>
      <c r="B1370" s="24"/>
      <c r="C1370" s="24"/>
      <c r="D1370" s="24"/>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c r="AA1370" s="24"/>
      <c r="AB1370" s="24"/>
      <c r="AC1370" s="24"/>
      <c r="AD1370" s="24"/>
      <c r="AE1370" s="24"/>
      <c r="AF1370" s="24"/>
      <c r="AG1370" s="24"/>
      <c r="AH1370" s="24"/>
      <c r="AI1370" s="24"/>
      <c r="AJ1370" s="24"/>
      <c r="AK1370" s="24"/>
      <c r="AL1370" s="24"/>
      <c r="AM1370" s="24"/>
      <c r="AN1370" s="24"/>
      <c r="AO1370" s="24"/>
      <c r="AP1370" s="24"/>
      <c r="AQ1370" s="24"/>
      <c r="AR1370" s="54"/>
    </row>
    <row r="1371">
      <c r="A1371" s="57"/>
      <c r="B1371" s="24"/>
      <c r="C1371" s="24"/>
      <c r="D1371" s="24"/>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c r="AA1371" s="24"/>
      <c r="AB1371" s="24"/>
      <c r="AC1371" s="24"/>
      <c r="AD1371" s="24"/>
      <c r="AE1371" s="24"/>
      <c r="AF1371" s="24"/>
      <c r="AG1371" s="24"/>
      <c r="AH1371" s="24"/>
      <c r="AI1371" s="24"/>
      <c r="AJ1371" s="24"/>
      <c r="AK1371" s="24"/>
      <c r="AL1371" s="24"/>
      <c r="AM1371" s="24"/>
      <c r="AN1371" s="24"/>
      <c r="AO1371" s="24"/>
      <c r="AP1371" s="24"/>
      <c r="AQ1371" s="24"/>
      <c r="AR1371" s="54"/>
    </row>
    <row r="1372">
      <c r="A1372" s="57"/>
      <c r="B1372" s="24"/>
      <c r="C1372" s="24"/>
      <c r="D1372" s="24"/>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c r="AA1372" s="24"/>
      <c r="AB1372" s="24"/>
      <c r="AC1372" s="24"/>
      <c r="AD1372" s="24"/>
      <c r="AE1372" s="24"/>
      <c r="AF1372" s="24"/>
      <c r="AG1372" s="24"/>
      <c r="AH1372" s="24"/>
      <c r="AI1372" s="24"/>
      <c r="AJ1372" s="24"/>
      <c r="AK1372" s="24"/>
      <c r="AL1372" s="24"/>
      <c r="AM1372" s="24"/>
      <c r="AN1372" s="24"/>
      <c r="AO1372" s="24"/>
      <c r="AP1372" s="24"/>
      <c r="AQ1372" s="24"/>
      <c r="AR1372" s="54"/>
    </row>
    <row r="1373">
      <c r="A1373" s="57"/>
      <c r="B1373" s="24"/>
      <c r="C1373" s="24"/>
      <c r="D1373" s="24"/>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c r="AA1373" s="24"/>
      <c r="AB1373" s="24"/>
      <c r="AC1373" s="24"/>
      <c r="AD1373" s="24"/>
      <c r="AE1373" s="24"/>
      <c r="AF1373" s="24"/>
      <c r="AG1373" s="24"/>
      <c r="AH1373" s="24"/>
      <c r="AI1373" s="24"/>
      <c r="AJ1373" s="24"/>
      <c r="AK1373" s="24"/>
      <c r="AL1373" s="24"/>
      <c r="AM1373" s="24"/>
      <c r="AN1373" s="24"/>
      <c r="AO1373" s="24"/>
      <c r="AP1373" s="24"/>
      <c r="AQ1373" s="24"/>
      <c r="AR1373" s="54"/>
    </row>
    <row r="1374">
      <c r="A1374" s="57"/>
      <c r="B1374" s="24"/>
      <c r="C1374" s="24"/>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c r="AA1374" s="24"/>
      <c r="AB1374" s="24"/>
      <c r="AC1374" s="24"/>
      <c r="AD1374" s="24"/>
      <c r="AE1374" s="24"/>
      <c r="AF1374" s="24"/>
      <c r="AG1374" s="24"/>
      <c r="AH1374" s="24"/>
      <c r="AI1374" s="24"/>
      <c r="AJ1374" s="24"/>
      <c r="AK1374" s="24"/>
      <c r="AL1374" s="24"/>
      <c r="AM1374" s="24"/>
      <c r="AN1374" s="24"/>
      <c r="AO1374" s="24"/>
      <c r="AP1374" s="24"/>
      <c r="AQ1374" s="24"/>
      <c r="AR1374" s="54"/>
    </row>
    <row r="1375">
      <c r="A1375" s="57"/>
      <c r="B1375" s="24"/>
      <c r="C1375" s="24"/>
      <c r="D1375" s="24"/>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c r="AA1375" s="24"/>
      <c r="AB1375" s="24"/>
      <c r="AC1375" s="24"/>
      <c r="AD1375" s="24"/>
      <c r="AE1375" s="24"/>
      <c r="AF1375" s="24"/>
      <c r="AG1375" s="24"/>
      <c r="AH1375" s="24"/>
      <c r="AI1375" s="24"/>
      <c r="AJ1375" s="24"/>
      <c r="AK1375" s="24"/>
      <c r="AL1375" s="24"/>
      <c r="AM1375" s="24"/>
      <c r="AN1375" s="24"/>
      <c r="AO1375" s="24"/>
      <c r="AP1375" s="24"/>
      <c r="AQ1375" s="24"/>
      <c r="AR1375" s="54"/>
    </row>
    <row r="1376">
      <c r="A1376" s="57"/>
      <c r="B1376" s="24"/>
      <c r="C1376" s="24"/>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c r="AA1376" s="24"/>
      <c r="AB1376" s="24"/>
      <c r="AC1376" s="24"/>
      <c r="AD1376" s="24"/>
      <c r="AE1376" s="24"/>
      <c r="AF1376" s="24"/>
      <c r="AG1376" s="24"/>
      <c r="AH1376" s="24"/>
      <c r="AI1376" s="24"/>
      <c r="AJ1376" s="24"/>
      <c r="AK1376" s="24"/>
      <c r="AL1376" s="24"/>
      <c r="AM1376" s="24"/>
      <c r="AN1376" s="24"/>
      <c r="AO1376" s="24"/>
      <c r="AP1376" s="24"/>
      <c r="AQ1376" s="24"/>
      <c r="AR1376" s="54"/>
    </row>
    <row r="1377">
      <c r="A1377" s="57"/>
      <c r="B1377" s="24"/>
      <c r="C1377" s="24"/>
      <c r="D1377" s="24"/>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c r="AA1377" s="24"/>
      <c r="AB1377" s="24"/>
      <c r="AC1377" s="24"/>
      <c r="AD1377" s="24"/>
      <c r="AE1377" s="24"/>
      <c r="AF1377" s="24"/>
      <c r="AG1377" s="24"/>
      <c r="AH1377" s="24"/>
      <c r="AI1377" s="24"/>
      <c r="AJ1377" s="24"/>
      <c r="AK1377" s="24"/>
      <c r="AL1377" s="24"/>
      <c r="AM1377" s="24"/>
      <c r="AN1377" s="24"/>
      <c r="AO1377" s="24"/>
      <c r="AP1377" s="24"/>
      <c r="AQ1377" s="24"/>
      <c r="AR1377" s="54"/>
    </row>
    <row r="1378">
      <c r="A1378" s="57"/>
      <c r="B1378" s="24"/>
      <c r="C1378" s="24"/>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c r="AA1378" s="24"/>
      <c r="AB1378" s="24"/>
      <c r="AC1378" s="24"/>
      <c r="AD1378" s="24"/>
      <c r="AE1378" s="24"/>
      <c r="AF1378" s="24"/>
      <c r="AG1378" s="24"/>
      <c r="AH1378" s="24"/>
      <c r="AI1378" s="24"/>
      <c r="AJ1378" s="24"/>
      <c r="AK1378" s="24"/>
      <c r="AL1378" s="24"/>
      <c r="AM1378" s="24"/>
      <c r="AN1378" s="24"/>
      <c r="AO1378" s="24"/>
      <c r="AP1378" s="24"/>
      <c r="AQ1378" s="24"/>
      <c r="AR1378" s="54"/>
    </row>
    <row r="1379">
      <c r="A1379" s="57"/>
      <c r="B1379" s="24"/>
      <c r="C1379" s="24"/>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c r="AA1379" s="24"/>
      <c r="AB1379" s="24"/>
      <c r="AC1379" s="24"/>
      <c r="AD1379" s="24"/>
      <c r="AE1379" s="24"/>
      <c r="AF1379" s="24"/>
      <c r="AG1379" s="24"/>
      <c r="AH1379" s="24"/>
      <c r="AI1379" s="24"/>
      <c r="AJ1379" s="24"/>
      <c r="AK1379" s="24"/>
      <c r="AL1379" s="24"/>
      <c r="AM1379" s="24"/>
      <c r="AN1379" s="24"/>
      <c r="AO1379" s="24"/>
      <c r="AP1379" s="24"/>
      <c r="AQ1379" s="24"/>
      <c r="AR1379" s="54"/>
    </row>
    <row r="1380">
      <c r="A1380" s="57"/>
      <c r="B1380" s="24"/>
      <c r="C1380" s="24"/>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c r="AA1380" s="24"/>
      <c r="AB1380" s="24"/>
      <c r="AC1380" s="24"/>
      <c r="AD1380" s="24"/>
      <c r="AE1380" s="24"/>
      <c r="AF1380" s="24"/>
      <c r="AG1380" s="24"/>
      <c r="AH1380" s="24"/>
      <c r="AI1380" s="24"/>
      <c r="AJ1380" s="24"/>
      <c r="AK1380" s="24"/>
      <c r="AL1380" s="24"/>
      <c r="AM1380" s="24"/>
      <c r="AN1380" s="24"/>
      <c r="AO1380" s="24"/>
      <c r="AP1380" s="24"/>
      <c r="AQ1380" s="24"/>
      <c r="AR1380" s="54"/>
    </row>
    <row r="1381">
      <c r="A1381" s="57"/>
      <c r="B1381" s="24"/>
      <c r="C1381" s="24"/>
      <c r="D1381" s="24"/>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c r="AA1381" s="24"/>
      <c r="AB1381" s="24"/>
      <c r="AC1381" s="24"/>
      <c r="AD1381" s="24"/>
      <c r="AE1381" s="24"/>
      <c r="AF1381" s="24"/>
      <c r="AG1381" s="24"/>
      <c r="AH1381" s="24"/>
      <c r="AI1381" s="24"/>
      <c r="AJ1381" s="24"/>
      <c r="AK1381" s="24"/>
      <c r="AL1381" s="24"/>
      <c r="AM1381" s="24"/>
      <c r="AN1381" s="24"/>
      <c r="AO1381" s="24"/>
      <c r="AP1381" s="24"/>
      <c r="AQ1381" s="24"/>
      <c r="AR1381" s="54"/>
    </row>
    <row r="1382">
      <c r="A1382" s="57"/>
      <c r="B1382" s="24"/>
      <c r="C1382" s="24"/>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c r="AA1382" s="24"/>
      <c r="AB1382" s="24"/>
      <c r="AC1382" s="24"/>
      <c r="AD1382" s="24"/>
      <c r="AE1382" s="24"/>
      <c r="AF1382" s="24"/>
      <c r="AG1382" s="24"/>
      <c r="AH1382" s="24"/>
      <c r="AI1382" s="24"/>
      <c r="AJ1382" s="24"/>
      <c r="AK1382" s="24"/>
      <c r="AL1382" s="24"/>
      <c r="AM1382" s="24"/>
      <c r="AN1382" s="24"/>
      <c r="AO1382" s="24"/>
      <c r="AP1382" s="24"/>
      <c r="AQ1382" s="24"/>
      <c r="AR1382" s="54"/>
    </row>
    <row r="1383">
      <c r="A1383" s="57"/>
      <c r="B1383" s="24"/>
      <c r="C1383" s="24"/>
      <c r="D1383" s="24"/>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c r="AA1383" s="24"/>
      <c r="AB1383" s="24"/>
      <c r="AC1383" s="24"/>
      <c r="AD1383" s="24"/>
      <c r="AE1383" s="24"/>
      <c r="AF1383" s="24"/>
      <c r="AG1383" s="24"/>
      <c r="AH1383" s="24"/>
      <c r="AI1383" s="24"/>
      <c r="AJ1383" s="24"/>
      <c r="AK1383" s="24"/>
      <c r="AL1383" s="24"/>
      <c r="AM1383" s="24"/>
      <c r="AN1383" s="24"/>
      <c r="AO1383" s="24"/>
      <c r="AP1383" s="24"/>
      <c r="AQ1383" s="24"/>
      <c r="AR1383" s="54"/>
    </row>
    <row r="1384">
      <c r="A1384" s="57"/>
      <c r="B1384" s="24"/>
      <c r="C1384" s="24"/>
      <c r="D1384" s="24"/>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c r="AA1384" s="24"/>
      <c r="AB1384" s="24"/>
      <c r="AC1384" s="24"/>
      <c r="AD1384" s="24"/>
      <c r="AE1384" s="24"/>
      <c r="AF1384" s="24"/>
      <c r="AG1384" s="24"/>
      <c r="AH1384" s="24"/>
      <c r="AI1384" s="24"/>
      <c r="AJ1384" s="24"/>
      <c r="AK1384" s="24"/>
      <c r="AL1384" s="24"/>
      <c r="AM1384" s="24"/>
      <c r="AN1384" s="24"/>
      <c r="AO1384" s="24"/>
      <c r="AP1384" s="24"/>
      <c r="AQ1384" s="24"/>
      <c r="AR1384" s="54"/>
    </row>
    <row r="1385">
      <c r="A1385" s="57"/>
      <c r="B1385" s="24"/>
      <c r="C1385" s="24"/>
      <c r="D1385" s="24"/>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c r="AA1385" s="24"/>
      <c r="AB1385" s="24"/>
      <c r="AC1385" s="24"/>
      <c r="AD1385" s="24"/>
      <c r="AE1385" s="24"/>
      <c r="AF1385" s="24"/>
      <c r="AG1385" s="24"/>
      <c r="AH1385" s="24"/>
      <c r="AI1385" s="24"/>
      <c r="AJ1385" s="24"/>
      <c r="AK1385" s="24"/>
      <c r="AL1385" s="24"/>
      <c r="AM1385" s="24"/>
      <c r="AN1385" s="24"/>
      <c r="AO1385" s="24"/>
      <c r="AP1385" s="24"/>
      <c r="AQ1385" s="24"/>
      <c r="AR1385" s="54"/>
    </row>
    <row r="1386">
      <c r="A1386" s="57"/>
      <c r="B1386" s="24"/>
      <c r="C1386" s="24"/>
      <c r="D1386" s="24"/>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c r="AA1386" s="24"/>
      <c r="AB1386" s="24"/>
      <c r="AC1386" s="24"/>
      <c r="AD1386" s="24"/>
      <c r="AE1386" s="24"/>
      <c r="AF1386" s="24"/>
      <c r="AG1386" s="24"/>
      <c r="AH1386" s="24"/>
      <c r="AI1386" s="24"/>
      <c r="AJ1386" s="24"/>
      <c r="AK1386" s="24"/>
      <c r="AL1386" s="24"/>
      <c r="AM1386" s="24"/>
      <c r="AN1386" s="24"/>
      <c r="AO1386" s="24"/>
      <c r="AP1386" s="24"/>
      <c r="AQ1386" s="24"/>
      <c r="AR1386" s="54"/>
    </row>
    <row r="1387">
      <c r="A1387" s="57"/>
      <c r="B1387" s="24"/>
      <c r="C1387" s="24"/>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c r="AA1387" s="24"/>
      <c r="AB1387" s="24"/>
      <c r="AC1387" s="24"/>
      <c r="AD1387" s="24"/>
      <c r="AE1387" s="24"/>
      <c r="AF1387" s="24"/>
      <c r="AG1387" s="24"/>
      <c r="AH1387" s="24"/>
      <c r="AI1387" s="24"/>
      <c r="AJ1387" s="24"/>
      <c r="AK1387" s="24"/>
      <c r="AL1387" s="24"/>
      <c r="AM1387" s="24"/>
      <c r="AN1387" s="24"/>
      <c r="AO1387" s="24"/>
      <c r="AP1387" s="24"/>
      <c r="AQ1387" s="24"/>
      <c r="AR1387" s="54"/>
    </row>
    <row r="1388">
      <c r="A1388" s="57"/>
      <c r="B1388" s="24"/>
      <c r="C1388" s="24"/>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c r="AC1388" s="24"/>
      <c r="AD1388" s="24"/>
      <c r="AE1388" s="24"/>
      <c r="AF1388" s="24"/>
      <c r="AG1388" s="24"/>
      <c r="AH1388" s="24"/>
      <c r="AI1388" s="24"/>
      <c r="AJ1388" s="24"/>
      <c r="AK1388" s="24"/>
      <c r="AL1388" s="24"/>
      <c r="AM1388" s="24"/>
      <c r="AN1388" s="24"/>
      <c r="AO1388" s="24"/>
      <c r="AP1388" s="24"/>
      <c r="AQ1388" s="24"/>
      <c r="AR1388" s="54"/>
    </row>
    <row r="1389">
      <c r="A1389" s="57"/>
      <c r="B1389" s="24"/>
      <c r="C1389" s="24"/>
      <c r="D1389" s="24"/>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c r="AC1389" s="24"/>
      <c r="AD1389" s="24"/>
      <c r="AE1389" s="24"/>
      <c r="AF1389" s="24"/>
      <c r="AG1389" s="24"/>
      <c r="AH1389" s="24"/>
      <c r="AI1389" s="24"/>
      <c r="AJ1389" s="24"/>
      <c r="AK1389" s="24"/>
      <c r="AL1389" s="24"/>
      <c r="AM1389" s="24"/>
      <c r="AN1389" s="24"/>
      <c r="AO1389" s="24"/>
      <c r="AP1389" s="24"/>
      <c r="AQ1389" s="24"/>
      <c r="AR1389" s="54"/>
    </row>
    <row r="1390">
      <c r="A1390" s="57"/>
      <c r="B1390" s="24"/>
      <c r="C1390" s="24"/>
      <c r="D1390" s="24"/>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c r="AC1390" s="24"/>
      <c r="AD1390" s="24"/>
      <c r="AE1390" s="24"/>
      <c r="AF1390" s="24"/>
      <c r="AG1390" s="24"/>
      <c r="AH1390" s="24"/>
      <c r="AI1390" s="24"/>
      <c r="AJ1390" s="24"/>
      <c r="AK1390" s="24"/>
      <c r="AL1390" s="24"/>
      <c r="AM1390" s="24"/>
      <c r="AN1390" s="24"/>
      <c r="AO1390" s="24"/>
      <c r="AP1390" s="24"/>
      <c r="AQ1390" s="24"/>
      <c r="AR1390" s="54"/>
    </row>
    <row r="1391">
      <c r="A1391" s="57"/>
      <c r="B1391" s="24"/>
      <c r="C1391" s="24"/>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c r="AA1391" s="24"/>
      <c r="AB1391" s="24"/>
      <c r="AC1391" s="24"/>
      <c r="AD1391" s="24"/>
      <c r="AE1391" s="24"/>
      <c r="AF1391" s="24"/>
      <c r="AG1391" s="24"/>
      <c r="AH1391" s="24"/>
      <c r="AI1391" s="24"/>
      <c r="AJ1391" s="24"/>
      <c r="AK1391" s="24"/>
      <c r="AL1391" s="24"/>
      <c r="AM1391" s="24"/>
      <c r="AN1391" s="24"/>
      <c r="AO1391" s="24"/>
      <c r="AP1391" s="24"/>
      <c r="AQ1391" s="24"/>
      <c r="AR1391" s="54"/>
    </row>
    <row r="1392">
      <c r="A1392" s="57"/>
      <c r="B1392" s="24"/>
      <c r="C1392" s="24"/>
      <c r="D1392" s="24"/>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c r="AA1392" s="24"/>
      <c r="AB1392" s="24"/>
      <c r="AC1392" s="24"/>
      <c r="AD1392" s="24"/>
      <c r="AE1392" s="24"/>
      <c r="AF1392" s="24"/>
      <c r="AG1392" s="24"/>
      <c r="AH1392" s="24"/>
      <c r="AI1392" s="24"/>
      <c r="AJ1392" s="24"/>
      <c r="AK1392" s="24"/>
      <c r="AL1392" s="24"/>
      <c r="AM1392" s="24"/>
      <c r="AN1392" s="24"/>
      <c r="AO1392" s="24"/>
      <c r="AP1392" s="24"/>
      <c r="AQ1392" s="24"/>
      <c r="AR1392" s="54"/>
    </row>
    <row r="1393">
      <c r="A1393" s="57"/>
      <c r="B1393" s="24"/>
      <c r="C1393" s="24"/>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c r="AA1393" s="24"/>
      <c r="AB1393" s="24"/>
      <c r="AC1393" s="24"/>
      <c r="AD1393" s="24"/>
      <c r="AE1393" s="24"/>
      <c r="AF1393" s="24"/>
      <c r="AG1393" s="24"/>
      <c r="AH1393" s="24"/>
      <c r="AI1393" s="24"/>
      <c r="AJ1393" s="24"/>
      <c r="AK1393" s="24"/>
      <c r="AL1393" s="24"/>
      <c r="AM1393" s="24"/>
      <c r="AN1393" s="24"/>
      <c r="AO1393" s="24"/>
      <c r="AP1393" s="24"/>
      <c r="AQ1393" s="24"/>
      <c r="AR1393" s="54"/>
    </row>
    <row r="1394">
      <c r="A1394" s="57"/>
      <c r="B1394" s="24"/>
      <c r="C1394" s="24"/>
      <c r="D1394" s="24"/>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c r="AA1394" s="24"/>
      <c r="AB1394" s="24"/>
      <c r="AC1394" s="24"/>
      <c r="AD1394" s="24"/>
      <c r="AE1394" s="24"/>
      <c r="AF1394" s="24"/>
      <c r="AG1394" s="24"/>
      <c r="AH1394" s="24"/>
      <c r="AI1394" s="24"/>
      <c r="AJ1394" s="24"/>
      <c r="AK1394" s="24"/>
      <c r="AL1394" s="24"/>
      <c r="AM1394" s="24"/>
      <c r="AN1394" s="24"/>
      <c r="AO1394" s="24"/>
      <c r="AP1394" s="24"/>
      <c r="AQ1394" s="24"/>
      <c r="AR1394" s="54"/>
    </row>
    <row r="1395">
      <c r="A1395" s="57"/>
      <c r="B1395" s="24"/>
      <c r="C1395" s="24"/>
      <c r="D1395" s="24"/>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c r="AA1395" s="24"/>
      <c r="AB1395" s="24"/>
      <c r="AC1395" s="24"/>
      <c r="AD1395" s="24"/>
      <c r="AE1395" s="24"/>
      <c r="AF1395" s="24"/>
      <c r="AG1395" s="24"/>
      <c r="AH1395" s="24"/>
      <c r="AI1395" s="24"/>
      <c r="AJ1395" s="24"/>
      <c r="AK1395" s="24"/>
      <c r="AL1395" s="24"/>
      <c r="AM1395" s="24"/>
      <c r="AN1395" s="24"/>
      <c r="AO1395" s="24"/>
      <c r="AP1395" s="24"/>
      <c r="AQ1395" s="24"/>
      <c r="AR1395" s="54"/>
    </row>
    <row r="1396">
      <c r="A1396" s="57"/>
      <c r="B1396" s="24"/>
      <c r="C1396" s="24"/>
      <c r="D1396" s="24"/>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c r="AA1396" s="24"/>
      <c r="AB1396" s="24"/>
      <c r="AC1396" s="24"/>
      <c r="AD1396" s="24"/>
      <c r="AE1396" s="24"/>
      <c r="AF1396" s="24"/>
      <c r="AG1396" s="24"/>
      <c r="AH1396" s="24"/>
      <c r="AI1396" s="24"/>
      <c r="AJ1396" s="24"/>
      <c r="AK1396" s="24"/>
      <c r="AL1396" s="24"/>
      <c r="AM1396" s="24"/>
      <c r="AN1396" s="24"/>
      <c r="AO1396" s="24"/>
      <c r="AP1396" s="24"/>
      <c r="AQ1396" s="24"/>
      <c r="AR1396" s="54"/>
    </row>
    <row r="1397">
      <c r="A1397" s="57"/>
      <c r="B1397" s="24"/>
      <c r="C1397" s="24"/>
      <c r="D1397" s="24"/>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c r="AA1397" s="24"/>
      <c r="AB1397" s="24"/>
      <c r="AC1397" s="24"/>
      <c r="AD1397" s="24"/>
      <c r="AE1397" s="24"/>
      <c r="AF1397" s="24"/>
      <c r="AG1397" s="24"/>
      <c r="AH1397" s="24"/>
      <c r="AI1397" s="24"/>
      <c r="AJ1397" s="24"/>
      <c r="AK1397" s="24"/>
      <c r="AL1397" s="24"/>
      <c r="AM1397" s="24"/>
      <c r="AN1397" s="24"/>
      <c r="AO1397" s="24"/>
      <c r="AP1397" s="24"/>
      <c r="AQ1397" s="24"/>
      <c r="AR1397" s="54"/>
    </row>
    <row r="1398">
      <c r="A1398" s="57"/>
      <c r="B1398" s="24"/>
      <c r="C1398" s="24"/>
      <c r="D1398" s="24"/>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c r="AA1398" s="24"/>
      <c r="AB1398" s="24"/>
      <c r="AC1398" s="24"/>
      <c r="AD1398" s="24"/>
      <c r="AE1398" s="24"/>
      <c r="AF1398" s="24"/>
      <c r="AG1398" s="24"/>
      <c r="AH1398" s="24"/>
      <c r="AI1398" s="24"/>
      <c r="AJ1398" s="24"/>
      <c r="AK1398" s="24"/>
      <c r="AL1398" s="24"/>
      <c r="AM1398" s="24"/>
      <c r="AN1398" s="24"/>
      <c r="AO1398" s="24"/>
      <c r="AP1398" s="24"/>
      <c r="AQ1398" s="24"/>
      <c r="AR1398" s="54"/>
    </row>
    <row r="1399">
      <c r="A1399" s="57"/>
      <c r="B1399" s="24"/>
      <c r="C1399" s="24"/>
      <c r="D1399" s="24"/>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c r="AA1399" s="24"/>
      <c r="AB1399" s="24"/>
      <c r="AC1399" s="24"/>
      <c r="AD1399" s="24"/>
      <c r="AE1399" s="24"/>
      <c r="AF1399" s="24"/>
      <c r="AG1399" s="24"/>
      <c r="AH1399" s="24"/>
      <c r="AI1399" s="24"/>
      <c r="AJ1399" s="24"/>
      <c r="AK1399" s="24"/>
      <c r="AL1399" s="24"/>
      <c r="AM1399" s="24"/>
      <c r="AN1399" s="24"/>
      <c r="AO1399" s="24"/>
      <c r="AP1399" s="24"/>
      <c r="AQ1399" s="24"/>
      <c r="AR1399" s="54"/>
    </row>
    <row r="1400">
      <c r="A1400" s="57"/>
      <c r="B1400" s="24"/>
      <c r="C1400" s="24"/>
      <c r="D1400" s="24"/>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c r="AA1400" s="24"/>
      <c r="AB1400" s="24"/>
      <c r="AC1400" s="24"/>
      <c r="AD1400" s="24"/>
      <c r="AE1400" s="24"/>
      <c r="AF1400" s="24"/>
      <c r="AG1400" s="24"/>
      <c r="AH1400" s="24"/>
      <c r="AI1400" s="24"/>
      <c r="AJ1400" s="24"/>
      <c r="AK1400" s="24"/>
      <c r="AL1400" s="24"/>
      <c r="AM1400" s="24"/>
      <c r="AN1400" s="24"/>
      <c r="AO1400" s="24"/>
      <c r="AP1400" s="24"/>
      <c r="AQ1400" s="24"/>
      <c r="AR1400" s="54"/>
    </row>
    <row r="1401">
      <c r="A1401" s="57"/>
      <c r="B1401" s="24"/>
      <c r="C1401" s="24"/>
      <c r="D1401" s="24"/>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c r="AA1401" s="24"/>
      <c r="AB1401" s="24"/>
      <c r="AC1401" s="24"/>
      <c r="AD1401" s="24"/>
      <c r="AE1401" s="24"/>
      <c r="AF1401" s="24"/>
      <c r="AG1401" s="24"/>
      <c r="AH1401" s="24"/>
      <c r="AI1401" s="24"/>
      <c r="AJ1401" s="24"/>
      <c r="AK1401" s="24"/>
      <c r="AL1401" s="24"/>
      <c r="AM1401" s="24"/>
      <c r="AN1401" s="24"/>
      <c r="AO1401" s="24"/>
      <c r="AP1401" s="24"/>
      <c r="AQ1401" s="24"/>
      <c r="AR1401" s="54"/>
    </row>
    <row r="1402">
      <c r="A1402" s="57"/>
      <c r="B1402" s="24"/>
      <c r="C1402" s="24"/>
      <c r="D1402" s="24"/>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c r="AA1402" s="24"/>
      <c r="AB1402" s="24"/>
      <c r="AC1402" s="24"/>
      <c r="AD1402" s="24"/>
      <c r="AE1402" s="24"/>
      <c r="AF1402" s="24"/>
      <c r="AG1402" s="24"/>
      <c r="AH1402" s="24"/>
      <c r="AI1402" s="24"/>
      <c r="AJ1402" s="24"/>
      <c r="AK1402" s="24"/>
      <c r="AL1402" s="24"/>
      <c r="AM1402" s="24"/>
      <c r="AN1402" s="24"/>
      <c r="AO1402" s="24"/>
      <c r="AP1402" s="24"/>
      <c r="AQ1402" s="24"/>
      <c r="AR1402" s="54"/>
    </row>
    <row r="1403">
      <c r="A1403" s="57"/>
      <c r="B1403" s="24"/>
      <c r="C1403" s="24"/>
      <c r="D1403" s="24"/>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c r="AA1403" s="24"/>
      <c r="AB1403" s="24"/>
      <c r="AC1403" s="24"/>
      <c r="AD1403" s="24"/>
      <c r="AE1403" s="24"/>
      <c r="AF1403" s="24"/>
      <c r="AG1403" s="24"/>
      <c r="AH1403" s="24"/>
      <c r="AI1403" s="24"/>
      <c r="AJ1403" s="24"/>
      <c r="AK1403" s="24"/>
      <c r="AL1403" s="24"/>
      <c r="AM1403" s="24"/>
      <c r="AN1403" s="24"/>
      <c r="AO1403" s="24"/>
      <c r="AP1403" s="24"/>
      <c r="AQ1403" s="24"/>
      <c r="AR1403" s="54"/>
    </row>
    <row r="1404">
      <c r="A1404" s="57"/>
      <c r="B1404" s="24"/>
      <c r="C1404" s="24"/>
      <c r="D1404" s="24"/>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c r="AA1404" s="24"/>
      <c r="AB1404" s="24"/>
      <c r="AC1404" s="24"/>
      <c r="AD1404" s="24"/>
      <c r="AE1404" s="24"/>
      <c r="AF1404" s="24"/>
      <c r="AG1404" s="24"/>
      <c r="AH1404" s="24"/>
      <c r="AI1404" s="24"/>
      <c r="AJ1404" s="24"/>
      <c r="AK1404" s="24"/>
      <c r="AL1404" s="24"/>
      <c r="AM1404" s="24"/>
      <c r="AN1404" s="24"/>
      <c r="AO1404" s="24"/>
      <c r="AP1404" s="24"/>
      <c r="AQ1404" s="24"/>
      <c r="AR1404" s="54"/>
    </row>
    <row r="1405">
      <c r="A1405" s="57"/>
      <c r="B1405" s="24"/>
      <c r="C1405" s="24"/>
      <c r="D1405" s="24"/>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c r="AA1405" s="24"/>
      <c r="AB1405" s="24"/>
      <c r="AC1405" s="24"/>
      <c r="AD1405" s="24"/>
      <c r="AE1405" s="24"/>
      <c r="AF1405" s="24"/>
      <c r="AG1405" s="24"/>
      <c r="AH1405" s="24"/>
      <c r="AI1405" s="24"/>
      <c r="AJ1405" s="24"/>
      <c r="AK1405" s="24"/>
      <c r="AL1405" s="24"/>
      <c r="AM1405" s="24"/>
      <c r="AN1405" s="24"/>
      <c r="AO1405" s="24"/>
      <c r="AP1405" s="24"/>
      <c r="AQ1405" s="24"/>
      <c r="AR1405" s="54"/>
    </row>
    <row r="1406">
      <c r="A1406" s="57"/>
      <c r="B1406" s="24"/>
      <c r="C1406" s="24"/>
      <c r="D1406" s="24"/>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4"/>
      <c r="AF1406" s="24"/>
      <c r="AG1406" s="24"/>
      <c r="AH1406" s="24"/>
      <c r="AI1406" s="24"/>
      <c r="AJ1406" s="24"/>
      <c r="AK1406" s="24"/>
      <c r="AL1406" s="24"/>
      <c r="AM1406" s="24"/>
      <c r="AN1406" s="24"/>
      <c r="AO1406" s="24"/>
      <c r="AP1406" s="24"/>
      <c r="AQ1406" s="24"/>
      <c r="AR1406" s="54"/>
    </row>
    <row r="1407">
      <c r="A1407" s="57"/>
      <c r="B1407" s="24"/>
      <c r="C1407" s="24"/>
      <c r="D1407" s="24"/>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4"/>
      <c r="AF1407" s="24"/>
      <c r="AG1407" s="24"/>
      <c r="AH1407" s="24"/>
      <c r="AI1407" s="24"/>
      <c r="AJ1407" s="24"/>
      <c r="AK1407" s="24"/>
      <c r="AL1407" s="24"/>
      <c r="AM1407" s="24"/>
      <c r="AN1407" s="24"/>
      <c r="AO1407" s="24"/>
      <c r="AP1407" s="24"/>
      <c r="AQ1407" s="24"/>
      <c r="AR1407" s="54"/>
    </row>
    <row r="1408">
      <c r="A1408" s="57"/>
      <c r="B1408" s="24"/>
      <c r="C1408" s="24"/>
      <c r="D1408" s="24"/>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4"/>
      <c r="AF1408" s="24"/>
      <c r="AG1408" s="24"/>
      <c r="AH1408" s="24"/>
      <c r="AI1408" s="24"/>
      <c r="AJ1408" s="24"/>
      <c r="AK1408" s="24"/>
      <c r="AL1408" s="24"/>
      <c r="AM1408" s="24"/>
      <c r="AN1408" s="24"/>
      <c r="AO1408" s="24"/>
      <c r="AP1408" s="24"/>
      <c r="AQ1408" s="24"/>
      <c r="AR1408" s="54"/>
    </row>
    <row r="1409">
      <c r="A1409" s="57"/>
      <c r="B1409" s="24"/>
      <c r="C1409" s="24"/>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c r="AF1409" s="24"/>
      <c r="AG1409" s="24"/>
      <c r="AH1409" s="24"/>
      <c r="AI1409" s="24"/>
      <c r="AJ1409" s="24"/>
      <c r="AK1409" s="24"/>
      <c r="AL1409" s="24"/>
      <c r="AM1409" s="24"/>
      <c r="AN1409" s="24"/>
      <c r="AO1409" s="24"/>
      <c r="AP1409" s="24"/>
      <c r="AQ1409" s="24"/>
      <c r="AR1409" s="54"/>
    </row>
    <row r="1410">
      <c r="A1410" s="57"/>
      <c r="B1410" s="24"/>
      <c r="C1410" s="24"/>
      <c r="D1410" s="24"/>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4"/>
      <c r="AF1410" s="24"/>
      <c r="AG1410" s="24"/>
      <c r="AH1410" s="24"/>
      <c r="AI1410" s="24"/>
      <c r="AJ1410" s="24"/>
      <c r="AK1410" s="24"/>
      <c r="AL1410" s="24"/>
      <c r="AM1410" s="24"/>
      <c r="AN1410" s="24"/>
      <c r="AO1410" s="24"/>
      <c r="AP1410" s="24"/>
      <c r="AQ1410" s="24"/>
      <c r="AR1410" s="54"/>
    </row>
    <row r="1411">
      <c r="A1411" s="57"/>
      <c r="B1411" s="24"/>
      <c r="C1411" s="24"/>
      <c r="D1411" s="24"/>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c r="AA1411" s="24"/>
      <c r="AB1411" s="24"/>
      <c r="AC1411" s="24"/>
      <c r="AD1411" s="24"/>
      <c r="AE1411" s="24"/>
      <c r="AF1411" s="24"/>
      <c r="AG1411" s="24"/>
      <c r="AH1411" s="24"/>
      <c r="AI1411" s="24"/>
      <c r="AJ1411" s="24"/>
      <c r="AK1411" s="24"/>
      <c r="AL1411" s="24"/>
      <c r="AM1411" s="24"/>
      <c r="AN1411" s="24"/>
      <c r="AO1411" s="24"/>
      <c r="AP1411" s="24"/>
      <c r="AQ1411" s="24"/>
      <c r="AR1411" s="54"/>
    </row>
    <row r="1412">
      <c r="A1412" s="57"/>
      <c r="B1412" s="24"/>
      <c r="C1412" s="24"/>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c r="AA1412" s="24"/>
      <c r="AB1412" s="24"/>
      <c r="AC1412" s="24"/>
      <c r="AD1412" s="24"/>
      <c r="AE1412" s="24"/>
      <c r="AF1412" s="24"/>
      <c r="AG1412" s="24"/>
      <c r="AH1412" s="24"/>
      <c r="AI1412" s="24"/>
      <c r="AJ1412" s="24"/>
      <c r="AK1412" s="24"/>
      <c r="AL1412" s="24"/>
      <c r="AM1412" s="24"/>
      <c r="AN1412" s="24"/>
      <c r="AO1412" s="24"/>
      <c r="AP1412" s="24"/>
      <c r="AQ1412" s="24"/>
      <c r="AR1412" s="54"/>
    </row>
    <row r="1413">
      <c r="A1413" s="57"/>
      <c r="B1413" s="24"/>
      <c r="C1413" s="24"/>
      <c r="D1413" s="24"/>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c r="AA1413" s="24"/>
      <c r="AB1413" s="24"/>
      <c r="AC1413" s="24"/>
      <c r="AD1413" s="24"/>
      <c r="AE1413" s="24"/>
      <c r="AF1413" s="24"/>
      <c r="AG1413" s="24"/>
      <c r="AH1413" s="24"/>
      <c r="AI1413" s="24"/>
      <c r="AJ1413" s="24"/>
      <c r="AK1413" s="24"/>
      <c r="AL1413" s="24"/>
      <c r="AM1413" s="24"/>
      <c r="AN1413" s="24"/>
      <c r="AO1413" s="24"/>
      <c r="AP1413" s="24"/>
      <c r="AQ1413" s="24"/>
      <c r="AR1413" s="54"/>
    </row>
    <row r="1414">
      <c r="A1414" s="57"/>
      <c r="B1414" s="24"/>
      <c r="C1414" s="24"/>
      <c r="D1414" s="24"/>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c r="AA1414" s="24"/>
      <c r="AB1414" s="24"/>
      <c r="AC1414" s="24"/>
      <c r="AD1414" s="24"/>
      <c r="AE1414" s="24"/>
      <c r="AF1414" s="24"/>
      <c r="AG1414" s="24"/>
      <c r="AH1414" s="24"/>
      <c r="AI1414" s="24"/>
      <c r="AJ1414" s="24"/>
      <c r="AK1414" s="24"/>
      <c r="AL1414" s="24"/>
      <c r="AM1414" s="24"/>
      <c r="AN1414" s="24"/>
      <c r="AO1414" s="24"/>
      <c r="AP1414" s="24"/>
      <c r="AQ1414" s="24"/>
      <c r="AR1414" s="54"/>
    </row>
    <row r="1415">
      <c r="A1415" s="57"/>
      <c r="B1415" s="24"/>
      <c r="C1415" s="24"/>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c r="AA1415" s="24"/>
      <c r="AB1415" s="24"/>
      <c r="AC1415" s="24"/>
      <c r="AD1415" s="24"/>
      <c r="AE1415" s="24"/>
      <c r="AF1415" s="24"/>
      <c r="AG1415" s="24"/>
      <c r="AH1415" s="24"/>
      <c r="AI1415" s="24"/>
      <c r="AJ1415" s="24"/>
      <c r="AK1415" s="24"/>
      <c r="AL1415" s="24"/>
      <c r="AM1415" s="24"/>
      <c r="AN1415" s="24"/>
      <c r="AO1415" s="24"/>
      <c r="AP1415" s="24"/>
      <c r="AQ1415" s="24"/>
      <c r="AR1415" s="54"/>
    </row>
    <row r="1416">
      <c r="A1416" s="57"/>
      <c r="B1416" s="24"/>
      <c r="C1416" s="24"/>
      <c r="D1416" s="24"/>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c r="AA1416" s="24"/>
      <c r="AB1416" s="24"/>
      <c r="AC1416" s="24"/>
      <c r="AD1416" s="24"/>
      <c r="AE1416" s="24"/>
      <c r="AF1416" s="24"/>
      <c r="AG1416" s="24"/>
      <c r="AH1416" s="24"/>
      <c r="AI1416" s="24"/>
      <c r="AJ1416" s="24"/>
      <c r="AK1416" s="24"/>
      <c r="AL1416" s="24"/>
      <c r="AM1416" s="24"/>
      <c r="AN1416" s="24"/>
      <c r="AO1416" s="24"/>
      <c r="AP1416" s="24"/>
      <c r="AQ1416" s="24"/>
      <c r="AR1416" s="54"/>
    </row>
    <row r="1417">
      <c r="A1417" s="57"/>
      <c r="B1417" s="24"/>
      <c r="C1417" s="24"/>
      <c r="D1417" s="24"/>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c r="AA1417" s="24"/>
      <c r="AB1417" s="24"/>
      <c r="AC1417" s="24"/>
      <c r="AD1417" s="24"/>
      <c r="AE1417" s="24"/>
      <c r="AF1417" s="24"/>
      <c r="AG1417" s="24"/>
      <c r="AH1417" s="24"/>
      <c r="AI1417" s="24"/>
      <c r="AJ1417" s="24"/>
      <c r="AK1417" s="24"/>
      <c r="AL1417" s="24"/>
      <c r="AM1417" s="24"/>
      <c r="AN1417" s="24"/>
      <c r="AO1417" s="24"/>
      <c r="AP1417" s="24"/>
      <c r="AQ1417" s="24"/>
      <c r="AR1417" s="54"/>
    </row>
    <row r="1418">
      <c r="A1418" s="57"/>
      <c r="B1418" s="24"/>
      <c r="C1418" s="24"/>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c r="AA1418" s="24"/>
      <c r="AB1418" s="24"/>
      <c r="AC1418" s="24"/>
      <c r="AD1418" s="24"/>
      <c r="AE1418" s="24"/>
      <c r="AF1418" s="24"/>
      <c r="AG1418" s="24"/>
      <c r="AH1418" s="24"/>
      <c r="AI1418" s="24"/>
      <c r="AJ1418" s="24"/>
      <c r="AK1418" s="24"/>
      <c r="AL1418" s="24"/>
      <c r="AM1418" s="24"/>
      <c r="AN1418" s="24"/>
      <c r="AO1418" s="24"/>
      <c r="AP1418" s="24"/>
      <c r="AQ1418" s="24"/>
      <c r="AR1418" s="54"/>
    </row>
    <row r="1419">
      <c r="A1419" s="57"/>
      <c r="B1419" s="24"/>
      <c r="C1419" s="24"/>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c r="AA1419" s="24"/>
      <c r="AB1419" s="24"/>
      <c r="AC1419" s="24"/>
      <c r="AD1419" s="24"/>
      <c r="AE1419" s="24"/>
      <c r="AF1419" s="24"/>
      <c r="AG1419" s="24"/>
      <c r="AH1419" s="24"/>
      <c r="AI1419" s="24"/>
      <c r="AJ1419" s="24"/>
      <c r="AK1419" s="24"/>
      <c r="AL1419" s="24"/>
      <c r="AM1419" s="24"/>
      <c r="AN1419" s="24"/>
      <c r="AO1419" s="24"/>
      <c r="AP1419" s="24"/>
      <c r="AQ1419" s="24"/>
      <c r="AR1419" s="54"/>
    </row>
    <row r="1420">
      <c r="A1420" s="57"/>
      <c r="B1420" s="24"/>
      <c r="C1420" s="24"/>
      <c r="D1420" s="24"/>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c r="AA1420" s="24"/>
      <c r="AB1420" s="24"/>
      <c r="AC1420" s="24"/>
      <c r="AD1420" s="24"/>
      <c r="AE1420" s="24"/>
      <c r="AF1420" s="24"/>
      <c r="AG1420" s="24"/>
      <c r="AH1420" s="24"/>
      <c r="AI1420" s="24"/>
      <c r="AJ1420" s="24"/>
      <c r="AK1420" s="24"/>
      <c r="AL1420" s="24"/>
      <c r="AM1420" s="24"/>
      <c r="AN1420" s="24"/>
      <c r="AO1420" s="24"/>
      <c r="AP1420" s="24"/>
      <c r="AQ1420" s="24"/>
      <c r="AR1420" s="54"/>
    </row>
    <row r="1421">
      <c r="A1421" s="57"/>
      <c r="B1421" s="24"/>
      <c r="C1421" s="24"/>
      <c r="D1421" s="24"/>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c r="AA1421" s="24"/>
      <c r="AB1421" s="24"/>
      <c r="AC1421" s="24"/>
      <c r="AD1421" s="24"/>
      <c r="AE1421" s="24"/>
      <c r="AF1421" s="24"/>
      <c r="AG1421" s="24"/>
      <c r="AH1421" s="24"/>
      <c r="AI1421" s="24"/>
      <c r="AJ1421" s="24"/>
      <c r="AK1421" s="24"/>
      <c r="AL1421" s="24"/>
      <c r="AM1421" s="24"/>
      <c r="AN1421" s="24"/>
      <c r="AO1421" s="24"/>
      <c r="AP1421" s="24"/>
      <c r="AQ1421" s="24"/>
      <c r="AR1421" s="54"/>
    </row>
    <row r="1422">
      <c r="A1422" s="57"/>
      <c r="B1422" s="24"/>
      <c r="C1422" s="24"/>
      <c r="D1422" s="24"/>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c r="AA1422" s="24"/>
      <c r="AB1422" s="24"/>
      <c r="AC1422" s="24"/>
      <c r="AD1422" s="24"/>
      <c r="AE1422" s="24"/>
      <c r="AF1422" s="24"/>
      <c r="AG1422" s="24"/>
      <c r="AH1422" s="24"/>
      <c r="AI1422" s="24"/>
      <c r="AJ1422" s="24"/>
      <c r="AK1422" s="24"/>
      <c r="AL1422" s="24"/>
      <c r="AM1422" s="24"/>
      <c r="AN1422" s="24"/>
      <c r="AO1422" s="24"/>
      <c r="AP1422" s="24"/>
      <c r="AQ1422" s="24"/>
      <c r="AR1422" s="54"/>
    </row>
    <row r="1423">
      <c r="A1423" s="57"/>
      <c r="B1423" s="24"/>
      <c r="C1423" s="24"/>
      <c r="D1423" s="24"/>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c r="AA1423" s="24"/>
      <c r="AB1423" s="24"/>
      <c r="AC1423" s="24"/>
      <c r="AD1423" s="24"/>
      <c r="AE1423" s="24"/>
      <c r="AF1423" s="24"/>
      <c r="AG1423" s="24"/>
      <c r="AH1423" s="24"/>
      <c r="AI1423" s="24"/>
      <c r="AJ1423" s="24"/>
      <c r="AK1423" s="24"/>
      <c r="AL1423" s="24"/>
      <c r="AM1423" s="24"/>
      <c r="AN1423" s="24"/>
      <c r="AO1423" s="24"/>
      <c r="AP1423" s="24"/>
      <c r="AQ1423" s="24"/>
      <c r="AR1423" s="54"/>
    </row>
    <row r="1424">
      <c r="A1424" s="57"/>
      <c r="B1424" s="24"/>
      <c r="C1424" s="24"/>
      <c r="D1424" s="24"/>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c r="AA1424" s="24"/>
      <c r="AB1424" s="24"/>
      <c r="AC1424" s="24"/>
      <c r="AD1424" s="24"/>
      <c r="AE1424" s="24"/>
      <c r="AF1424" s="24"/>
      <c r="AG1424" s="24"/>
      <c r="AH1424" s="24"/>
      <c r="AI1424" s="24"/>
      <c r="AJ1424" s="24"/>
      <c r="AK1424" s="24"/>
      <c r="AL1424" s="24"/>
      <c r="AM1424" s="24"/>
      <c r="AN1424" s="24"/>
      <c r="AO1424" s="24"/>
      <c r="AP1424" s="24"/>
      <c r="AQ1424" s="24"/>
      <c r="AR1424" s="54"/>
    </row>
    <row r="1425">
      <c r="A1425" s="57"/>
      <c r="B1425" s="24"/>
      <c r="C1425" s="24"/>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c r="AA1425" s="24"/>
      <c r="AB1425" s="24"/>
      <c r="AC1425" s="24"/>
      <c r="AD1425" s="24"/>
      <c r="AE1425" s="24"/>
      <c r="AF1425" s="24"/>
      <c r="AG1425" s="24"/>
      <c r="AH1425" s="24"/>
      <c r="AI1425" s="24"/>
      <c r="AJ1425" s="24"/>
      <c r="AK1425" s="24"/>
      <c r="AL1425" s="24"/>
      <c r="AM1425" s="24"/>
      <c r="AN1425" s="24"/>
      <c r="AO1425" s="24"/>
      <c r="AP1425" s="24"/>
      <c r="AQ1425" s="24"/>
      <c r="AR1425" s="54"/>
    </row>
    <row r="1426">
      <c r="A1426" s="57"/>
      <c r="B1426" s="24"/>
      <c r="C1426" s="24"/>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c r="AA1426" s="24"/>
      <c r="AB1426" s="24"/>
      <c r="AC1426" s="24"/>
      <c r="AD1426" s="24"/>
      <c r="AE1426" s="24"/>
      <c r="AF1426" s="24"/>
      <c r="AG1426" s="24"/>
      <c r="AH1426" s="24"/>
      <c r="AI1426" s="24"/>
      <c r="AJ1426" s="24"/>
      <c r="AK1426" s="24"/>
      <c r="AL1426" s="24"/>
      <c r="AM1426" s="24"/>
      <c r="AN1426" s="24"/>
      <c r="AO1426" s="24"/>
      <c r="AP1426" s="24"/>
      <c r="AQ1426" s="24"/>
      <c r="AR1426" s="54"/>
    </row>
    <row r="1427">
      <c r="A1427" s="57"/>
      <c r="B1427" s="24"/>
      <c r="C1427" s="24"/>
      <c r="D1427" s="24"/>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c r="AA1427" s="24"/>
      <c r="AB1427" s="24"/>
      <c r="AC1427" s="24"/>
      <c r="AD1427" s="24"/>
      <c r="AE1427" s="24"/>
      <c r="AF1427" s="24"/>
      <c r="AG1427" s="24"/>
      <c r="AH1427" s="24"/>
      <c r="AI1427" s="24"/>
      <c r="AJ1427" s="24"/>
      <c r="AK1427" s="24"/>
      <c r="AL1427" s="24"/>
      <c r="AM1427" s="24"/>
      <c r="AN1427" s="24"/>
      <c r="AO1427" s="24"/>
      <c r="AP1427" s="24"/>
      <c r="AQ1427" s="24"/>
      <c r="AR1427" s="54"/>
    </row>
    <row r="1428">
      <c r="A1428" s="57"/>
      <c r="B1428" s="24"/>
      <c r="C1428" s="24"/>
      <c r="D1428" s="24"/>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c r="AA1428" s="24"/>
      <c r="AB1428" s="24"/>
      <c r="AC1428" s="24"/>
      <c r="AD1428" s="24"/>
      <c r="AE1428" s="24"/>
      <c r="AF1428" s="24"/>
      <c r="AG1428" s="24"/>
      <c r="AH1428" s="24"/>
      <c r="AI1428" s="24"/>
      <c r="AJ1428" s="24"/>
      <c r="AK1428" s="24"/>
      <c r="AL1428" s="24"/>
      <c r="AM1428" s="24"/>
      <c r="AN1428" s="24"/>
      <c r="AO1428" s="24"/>
      <c r="AP1428" s="24"/>
      <c r="AQ1428" s="24"/>
      <c r="AR1428" s="54"/>
    </row>
    <row r="1429">
      <c r="A1429" s="57"/>
      <c r="B1429" s="24"/>
      <c r="C1429" s="24"/>
      <c r="D1429" s="24"/>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c r="AA1429" s="24"/>
      <c r="AB1429" s="24"/>
      <c r="AC1429" s="24"/>
      <c r="AD1429" s="24"/>
      <c r="AE1429" s="24"/>
      <c r="AF1429" s="24"/>
      <c r="AG1429" s="24"/>
      <c r="AH1429" s="24"/>
      <c r="AI1429" s="24"/>
      <c r="AJ1429" s="24"/>
      <c r="AK1429" s="24"/>
      <c r="AL1429" s="24"/>
      <c r="AM1429" s="24"/>
      <c r="AN1429" s="24"/>
      <c r="AO1429" s="24"/>
      <c r="AP1429" s="24"/>
      <c r="AQ1429" s="24"/>
      <c r="AR1429" s="54"/>
    </row>
    <row r="1430">
      <c r="A1430" s="57"/>
      <c r="B1430" s="24"/>
      <c r="C1430" s="24"/>
      <c r="D1430" s="24"/>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c r="AA1430" s="24"/>
      <c r="AB1430" s="24"/>
      <c r="AC1430" s="24"/>
      <c r="AD1430" s="24"/>
      <c r="AE1430" s="24"/>
      <c r="AF1430" s="24"/>
      <c r="AG1430" s="24"/>
      <c r="AH1430" s="24"/>
      <c r="AI1430" s="24"/>
      <c r="AJ1430" s="24"/>
      <c r="AK1430" s="24"/>
      <c r="AL1430" s="24"/>
      <c r="AM1430" s="24"/>
      <c r="AN1430" s="24"/>
      <c r="AO1430" s="24"/>
      <c r="AP1430" s="24"/>
      <c r="AQ1430" s="24"/>
      <c r="AR1430" s="54"/>
    </row>
    <row r="1431">
      <c r="A1431" s="57"/>
      <c r="B1431" s="24"/>
      <c r="C1431" s="24"/>
      <c r="D1431" s="24"/>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c r="AA1431" s="24"/>
      <c r="AB1431" s="24"/>
      <c r="AC1431" s="24"/>
      <c r="AD1431" s="24"/>
      <c r="AE1431" s="24"/>
      <c r="AF1431" s="24"/>
      <c r="AG1431" s="24"/>
      <c r="AH1431" s="24"/>
      <c r="AI1431" s="24"/>
      <c r="AJ1431" s="24"/>
      <c r="AK1431" s="24"/>
      <c r="AL1431" s="24"/>
      <c r="AM1431" s="24"/>
      <c r="AN1431" s="24"/>
      <c r="AO1431" s="24"/>
      <c r="AP1431" s="24"/>
      <c r="AQ1431" s="24"/>
      <c r="AR1431" s="54"/>
    </row>
    <row r="1432">
      <c r="A1432" s="57"/>
      <c r="B1432" s="24"/>
      <c r="C1432" s="24"/>
      <c r="D1432" s="24"/>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c r="AA1432" s="24"/>
      <c r="AB1432" s="24"/>
      <c r="AC1432" s="24"/>
      <c r="AD1432" s="24"/>
      <c r="AE1432" s="24"/>
      <c r="AF1432" s="24"/>
      <c r="AG1432" s="24"/>
      <c r="AH1432" s="24"/>
      <c r="AI1432" s="24"/>
      <c r="AJ1432" s="24"/>
      <c r="AK1432" s="24"/>
      <c r="AL1432" s="24"/>
      <c r="AM1432" s="24"/>
      <c r="AN1432" s="24"/>
      <c r="AO1432" s="24"/>
      <c r="AP1432" s="24"/>
      <c r="AQ1432" s="24"/>
      <c r="AR1432" s="54"/>
    </row>
    <row r="1433">
      <c r="A1433" s="57"/>
      <c r="B1433" s="24"/>
      <c r="C1433" s="24"/>
      <c r="D1433" s="24"/>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c r="AA1433" s="24"/>
      <c r="AB1433" s="24"/>
      <c r="AC1433" s="24"/>
      <c r="AD1433" s="24"/>
      <c r="AE1433" s="24"/>
      <c r="AF1433" s="24"/>
      <c r="AG1433" s="24"/>
      <c r="AH1433" s="24"/>
      <c r="AI1433" s="24"/>
      <c r="AJ1433" s="24"/>
      <c r="AK1433" s="24"/>
      <c r="AL1433" s="24"/>
      <c r="AM1433" s="24"/>
      <c r="AN1433" s="24"/>
      <c r="AO1433" s="24"/>
      <c r="AP1433" s="24"/>
      <c r="AQ1433" s="24"/>
      <c r="AR1433" s="54"/>
    </row>
    <row r="1434">
      <c r="A1434" s="57"/>
      <c r="B1434" s="24"/>
      <c r="C1434" s="24"/>
      <c r="D1434" s="24"/>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c r="AA1434" s="24"/>
      <c r="AB1434" s="24"/>
      <c r="AC1434" s="24"/>
      <c r="AD1434" s="24"/>
      <c r="AE1434" s="24"/>
      <c r="AF1434" s="24"/>
      <c r="AG1434" s="24"/>
      <c r="AH1434" s="24"/>
      <c r="AI1434" s="24"/>
      <c r="AJ1434" s="24"/>
      <c r="AK1434" s="24"/>
      <c r="AL1434" s="24"/>
      <c r="AM1434" s="24"/>
      <c r="AN1434" s="24"/>
      <c r="AO1434" s="24"/>
      <c r="AP1434" s="24"/>
      <c r="AQ1434" s="24"/>
      <c r="AR1434" s="54"/>
    </row>
    <row r="1435">
      <c r="A1435" s="57"/>
      <c r="B1435" s="24"/>
      <c r="C1435" s="24"/>
      <c r="D1435" s="24"/>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c r="AA1435" s="24"/>
      <c r="AB1435" s="24"/>
      <c r="AC1435" s="24"/>
      <c r="AD1435" s="24"/>
      <c r="AE1435" s="24"/>
      <c r="AF1435" s="24"/>
      <c r="AG1435" s="24"/>
      <c r="AH1435" s="24"/>
      <c r="AI1435" s="24"/>
      <c r="AJ1435" s="24"/>
      <c r="AK1435" s="24"/>
      <c r="AL1435" s="24"/>
      <c r="AM1435" s="24"/>
      <c r="AN1435" s="24"/>
      <c r="AO1435" s="24"/>
      <c r="AP1435" s="24"/>
      <c r="AQ1435" s="24"/>
      <c r="AR1435" s="54"/>
    </row>
    <row r="1436">
      <c r="A1436" s="57"/>
      <c r="B1436" s="24"/>
      <c r="C1436" s="24"/>
      <c r="D1436" s="24"/>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c r="AA1436" s="24"/>
      <c r="AB1436" s="24"/>
      <c r="AC1436" s="24"/>
      <c r="AD1436" s="24"/>
      <c r="AE1436" s="24"/>
      <c r="AF1436" s="24"/>
      <c r="AG1436" s="24"/>
      <c r="AH1436" s="24"/>
      <c r="AI1436" s="24"/>
      <c r="AJ1436" s="24"/>
      <c r="AK1436" s="24"/>
      <c r="AL1436" s="24"/>
      <c r="AM1436" s="24"/>
      <c r="AN1436" s="24"/>
      <c r="AO1436" s="24"/>
      <c r="AP1436" s="24"/>
      <c r="AQ1436" s="24"/>
      <c r="AR1436" s="54"/>
    </row>
    <row r="1437">
      <c r="A1437" s="57"/>
      <c r="B1437" s="24"/>
      <c r="C1437" s="24"/>
      <c r="D1437" s="24"/>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c r="AA1437" s="24"/>
      <c r="AB1437" s="24"/>
      <c r="AC1437" s="24"/>
      <c r="AD1437" s="24"/>
      <c r="AE1437" s="24"/>
      <c r="AF1437" s="24"/>
      <c r="AG1437" s="24"/>
      <c r="AH1437" s="24"/>
      <c r="AI1437" s="24"/>
      <c r="AJ1437" s="24"/>
      <c r="AK1437" s="24"/>
      <c r="AL1437" s="24"/>
      <c r="AM1437" s="24"/>
      <c r="AN1437" s="24"/>
      <c r="AO1437" s="24"/>
      <c r="AP1437" s="24"/>
      <c r="AQ1437" s="24"/>
      <c r="AR1437" s="54"/>
    </row>
    <row r="1438">
      <c r="A1438" s="57"/>
      <c r="B1438" s="24"/>
      <c r="C1438" s="24"/>
      <c r="D1438" s="24"/>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c r="AA1438" s="24"/>
      <c r="AB1438" s="24"/>
      <c r="AC1438" s="24"/>
      <c r="AD1438" s="24"/>
      <c r="AE1438" s="24"/>
      <c r="AF1438" s="24"/>
      <c r="AG1438" s="24"/>
      <c r="AH1438" s="24"/>
      <c r="AI1438" s="24"/>
      <c r="AJ1438" s="24"/>
      <c r="AK1438" s="24"/>
      <c r="AL1438" s="24"/>
      <c r="AM1438" s="24"/>
      <c r="AN1438" s="24"/>
      <c r="AO1438" s="24"/>
      <c r="AP1438" s="24"/>
      <c r="AQ1438" s="24"/>
      <c r="AR1438" s="54"/>
    </row>
    <row r="1439">
      <c r="A1439" s="57"/>
      <c r="B1439" s="24"/>
      <c r="C1439" s="24"/>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c r="AA1439" s="24"/>
      <c r="AB1439" s="24"/>
      <c r="AC1439" s="24"/>
      <c r="AD1439" s="24"/>
      <c r="AE1439" s="24"/>
      <c r="AF1439" s="24"/>
      <c r="AG1439" s="24"/>
      <c r="AH1439" s="24"/>
      <c r="AI1439" s="24"/>
      <c r="AJ1439" s="24"/>
      <c r="AK1439" s="24"/>
      <c r="AL1439" s="24"/>
      <c r="AM1439" s="24"/>
      <c r="AN1439" s="24"/>
      <c r="AO1439" s="24"/>
      <c r="AP1439" s="24"/>
      <c r="AQ1439" s="24"/>
      <c r="AR1439" s="54"/>
    </row>
    <row r="1440">
      <c r="A1440" s="57"/>
      <c r="B1440" s="24"/>
      <c r="C1440" s="24"/>
      <c r="D1440" s="24"/>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c r="AA1440" s="24"/>
      <c r="AB1440" s="24"/>
      <c r="AC1440" s="24"/>
      <c r="AD1440" s="24"/>
      <c r="AE1440" s="24"/>
      <c r="AF1440" s="24"/>
      <c r="AG1440" s="24"/>
      <c r="AH1440" s="24"/>
      <c r="AI1440" s="24"/>
      <c r="AJ1440" s="24"/>
      <c r="AK1440" s="24"/>
      <c r="AL1440" s="24"/>
      <c r="AM1440" s="24"/>
      <c r="AN1440" s="24"/>
      <c r="AO1440" s="24"/>
      <c r="AP1440" s="24"/>
      <c r="AQ1440" s="24"/>
      <c r="AR1440" s="54"/>
    </row>
    <row r="1441">
      <c r="A1441" s="57"/>
      <c r="B1441" s="24"/>
      <c r="C1441" s="24"/>
      <c r="D1441" s="24"/>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c r="AA1441" s="24"/>
      <c r="AB1441" s="24"/>
      <c r="AC1441" s="24"/>
      <c r="AD1441" s="24"/>
      <c r="AE1441" s="24"/>
      <c r="AF1441" s="24"/>
      <c r="AG1441" s="24"/>
      <c r="AH1441" s="24"/>
      <c r="AI1441" s="24"/>
      <c r="AJ1441" s="24"/>
      <c r="AK1441" s="24"/>
      <c r="AL1441" s="24"/>
      <c r="AM1441" s="24"/>
      <c r="AN1441" s="24"/>
      <c r="AO1441" s="24"/>
      <c r="AP1441" s="24"/>
      <c r="AQ1441" s="24"/>
      <c r="AR1441" s="54"/>
    </row>
    <row r="1442">
      <c r="A1442" s="57"/>
      <c r="B1442" s="24"/>
      <c r="C1442" s="24"/>
      <c r="D1442" s="24"/>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c r="AA1442" s="24"/>
      <c r="AB1442" s="24"/>
      <c r="AC1442" s="24"/>
      <c r="AD1442" s="24"/>
      <c r="AE1442" s="24"/>
      <c r="AF1442" s="24"/>
      <c r="AG1442" s="24"/>
      <c r="AH1442" s="24"/>
      <c r="AI1442" s="24"/>
      <c r="AJ1442" s="24"/>
      <c r="AK1442" s="24"/>
      <c r="AL1442" s="24"/>
      <c r="AM1442" s="24"/>
      <c r="AN1442" s="24"/>
      <c r="AO1442" s="24"/>
      <c r="AP1442" s="24"/>
      <c r="AQ1442" s="24"/>
      <c r="AR1442" s="54"/>
    </row>
    <row r="1443">
      <c r="A1443" s="57"/>
      <c r="B1443" s="24"/>
      <c r="C1443" s="24"/>
      <c r="D1443" s="24"/>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c r="AA1443" s="24"/>
      <c r="AB1443" s="24"/>
      <c r="AC1443" s="24"/>
      <c r="AD1443" s="24"/>
      <c r="AE1443" s="24"/>
      <c r="AF1443" s="24"/>
      <c r="AG1443" s="24"/>
      <c r="AH1443" s="24"/>
      <c r="AI1443" s="24"/>
      <c r="AJ1443" s="24"/>
      <c r="AK1443" s="24"/>
      <c r="AL1443" s="24"/>
      <c r="AM1443" s="24"/>
      <c r="AN1443" s="24"/>
      <c r="AO1443" s="24"/>
      <c r="AP1443" s="24"/>
      <c r="AQ1443" s="24"/>
      <c r="AR1443" s="54"/>
    </row>
    <row r="1444">
      <c r="A1444" s="57"/>
      <c r="B1444" s="24"/>
      <c r="C1444" s="24"/>
      <c r="D1444" s="24"/>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c r="AA1444" s="24"/>
      <c r="AB1444" s="24"/>
      <c r="AC1444" s="24"/>
      <c r="AD1444" s="24"/>
      <c r="AE1444" s="24"/>
      <c r="AF1444" s="24"/>
      <c r="AG1444" s="24"/>
      <c r="AH1444" s="24"/>
      <c r="AI1444" s="24"/>
      <c r="AJ1444" s="24"/>
      <c r="AK1444" s="24"/>
      <c r="AL1444" s="24"/>
      <c r="AM1444" s="24"/>
      <c r="AN1444" s="24"/>
      <c r="AO1444" s="24"/>
      <c r="AP1444" s="24"/>
      <c r="AQ1444" s="24"/>
      <c r="AR1444" s="54"/>
    </row>
    <row r="1445">
      <c r="A1445" s="57"/>
      <c r="B1445" s="24"/>
      <c r="C1445" s="24"/>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c r="AA1445" s="24"/>
      <c r="AB1445" s="24"/>
      <c r="AC1445" s="24"/>
      <c r="AD1445" s="24"/>
      <c r="AE1445" s="24"/>
      <c r="AF1445" s="24"/>
      <c r="AG1445" s="24"/>
      <c r="AH1445" s="24"/>
      <c r="AI1445" s="24"/>
      <c r="AJ1445" s="24"/>
      <c r="AK1445" s="24"/>
      <c r="AL1445" s="24"/>
      <c r="AM1445" s="24"/>
      <c r="AN1445" s="24"/>
      <c r="AO1445" s="24"/>
      <c r="AP1445" s="24"/>
      <c r="AQ1445" s="24"/>
      <c r="AR1445" s="54"/>
    </row>
    <row r="1446">
      <c r="A1446" s="57"/>
      <c r="B1446" s="24"/>
      <c r="C1446" s="24"/>
      <c r="D1446" s="24"/>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c r="AA1446" s="24"/>
      <c r="AB1446" s="24"/>
      <c r="AC1446" s="24"/>
      <c r="AD1446" s="24"/>
      <c r="AE1446" s="24"/>
      <c r="AF1446" s="24"/>
      <c r="AG1446" s="24"/>
      <c r="AH1446" s="24"/>
      <c r="AI1446" s="24"/>
      <c r="AJ1446" s="24"/>
      <c r="AK1446" s="24"/>
      <c r="AL1446" s="24"/>
      <c r="AM1446" s="24"/>
      <c r="AN1446" s="24"/>
      <c r="AO1446" s="24"/>
      <c r="AP1446" s="24"/>
      <c r="AQ1446" s="24"/>
      <c r="AR1446" s="54"/>
    </row>
    <row r="1447">
      <c r="A1447" s="57"/>
      <c r="B1447" s="24"/>
      <c r="C1447" s="24"/>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c r="AA1447" s="24"/>
      <c r="AB1447" s="24"/>
      <c r="AC1447" s="24"/>
      <c r="AD1447" s="24"/>
      <c r="AE1447" s="24"/>
      <c r="AF1447" s="24"/>
      <c r="AG1447" s="24"/>
      <c r="AH1447" s="24"/>
      <c r="AI1447" s="24"/>
      <c r="AJ1447" s="24"/>
      <c r="AK1447" s="24"/>
      <c r="AL1447" s="24"/>
      <c r="AM1447" s="24"/>
      <c r="AN1447" s="24"/>
      <c r="AO1447" s="24"/>
      <c r="AP1447" s="24"/>
      <c r="AQ1447" s="24"/>
      <c r="AR1447" s="54"/>
    </row>
    <row r="1448">
      <c r="A1448" s="57"/>
      <c r="B1448" s="24"/>
      <c r="C1448" s="24"/>
      <c r="D1448" s="24"/>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c r="AA1448" s="24"/>
      <c r="AB1448" s="24"/>
      <c r="AC1448" s="24"/>
      <c r="AD1448" s="24"/>
      <c r="AE1448" s="24"/>
      <c r="AF1448" s="24"/>
      <c r="AG1448" s="24"/>
      <c r="AH1448" s="24"/>
      <c r="AI1448" s="24"/>
      <c r="AJ1448" s="24"/>
      <c r="AK1448" s="24"/>
      <c r="AL1448" s="24"/>
      <c r="AM1448" s="24"/>
      <c r="AN1448" s="24"/>
      <c r="AO1448" s="24"/>
      <c r="AP1448" s="24"/>
      <c r="AQ1448" s="24"/>
      <c r="AR1448" s="54"/>
    </row>
    <row r="1449">
      <c r="A1449" s="57"/>
      <c r="B1449" s="24"/>
      <c r="C1449" s="24"/>
      <c r="D1449" s="24"/>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c r="AA1449" s="24"/>
      <c r="AB1449" s="24"/>
      <c r="AC1449" s="24"/>
      <c r="AD1449" s="24"/>
      <c r="AE1449" s="24"/>
      <c r="AF1449" s="24"/>
      <c r="AG1449" s="24"/>
      <c r="AH1449" s="24"/>
      <c r="AI1449" s="24"/>
      <c r="AJ1449" s="24"/>
      <c r="AK1449" s="24"/>
      <c r="AL1449" s="24"/>
      <c r="AM1449" s="24"/>
      <c r="AN1449" s="24"/>
      <c r="AO1449" s="24"/>
      <c r="AP1449" s="24"/>
      <c r="AQ1449" s="24"/>
      <c r="AR1449" s="54"/>
    </row>
    <row r="1450">
      <c r="A1450" s="57"/>
      <c r="B1450" s="24"/>
      <c r="C1450" s="24"/>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c r="AA1450" s="24"/>
      <c r="AB1450" s="24"/>
      <c r="AC1450" s="24"/>
      <c r="AD1450" s="24"/>
      <c r="AE1450" s="24"/>
      <c r="AF1450" s="24"/>
      <c r="AG1450" s="24"/>
      <c r="AH1450" s="24"/>
      <c r="AI1450" s="24"/>
      <c r="AJ1450" s="24"/>
      <c r="AK1450" s="24"/>
      <c r="AL1450" s="24"/>
      <c r="AM1450" s="24"/>
      <c r="AN1450" s="24"/>
      <c r="AO1450" s="24"/>
      <c r="AP1450" s="24"/>
      <c r="AQ1450" s="24"/>
      <c r="AR1450" s="54"/>
    </row>
    <row r="1451">
      <c r="A1451" s="57"/>
      <c r="B1451" s="24"/>
      <c r="C1451" s="24"/>
      <c r="D1451" s="24"/>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c r="AA1451" s="24"/>
      <c r="AB1451" s="24"/>
      <c r="AC1451" s="24"/>
      <c r="AD1451" s="24"/>
      <c r="AE1451" s="24"/>
      <c r="AF1451" s="24"/>
      <c r="AG1451" s="24"/>
      <c r="AH1451" s="24"/>
      <c r="AI1451" s="24"/>
      <c r="AJ1451" s="24"/>
      <c r="AK1451" s="24"/>
      <c r="AL1451" s="24"/>
      <c r="AM1451" s="24"/>
      <c r="AN1451" s="24"/>
      <c r="AO1451" s="24"/>
      <c r="AP1451" s="24"/>
      <c r="AQ1451" s="24"/>
      <c r="AR1451" s="54"/>
    </row>
    <row r="1452">
      <c r="A1452" s="57"/>
      <c r="B1452" s="24"/>
      <c r="C1452" s="24"/>
      <c r="D1452" s="24"/>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c r="AA1452" s="24"/>
      <c r="AB1452" s="24"/>
      <c r="AC1452" s="24"/>
      <c r="AD1452" s="24"/>
      <c r="AE1452" s="24"/>
      <c r="AF1452" s="24"/>
      <c r="AG1452" s="24"/>
      <c r="AH1452" s="24"/>
      <c r="AI1452" s="24"/>
      <c r="AJ1452" s="24"/>
      <c r="AK1452" s="24"/>
      <c r="AL1452" s="24"/>
      <c r="AM1452" s="24"/>
      <c r="AN1452" s="24"/>
      <c r="AO1452" s="24"/>
      <c r="AP1452" s="24"/>
      <c r="AQ1452" s="24"/>
      <c r="AR1452" s="54"/>
    </row>
    <row r="1453">
      <c r="A1453" s="57"/>
      <c r="B1453" s="24"/>
      <c r="C1453" s="24"/>
      <c r="D1453" s="24"/>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c r="AA1453" s="24"/>
      <c r="AB1453" s="24"/>
      <c r="AC1453" s="24"/>
      <c r="AD1453" s="24"/>
      <c r="AE1453" s="24"/>
      <c r="AF1453" s="24"/>
      <c r="AG1453" s="24"/>
      <c r="AH1453" s="24"/>
      <c r="AI1453" s="24"/>
      <c r="AJ1453" s="24"/>
      <c r="AK1453" s="24"/>
      <c r="AL1453" s="24"/>
      <c r="AM1453" s="24"/>
      <c r="AN1453" s="24"/>
      <c r="AO1453" s="24"/>
      <c r="AP1453" s="24"/>
      <c r="AQ1453" s="24"/>
      <c r="AR1453" s="54"/>
    </row>
    <row r="1454">
      <c r="A1454" s="57"/>
      <c r="B1454" s="24"/>
      <c r="C1454" s="24"/>
      <c r="D1454" s="24"/>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c r="AA1454" s="24"/>
      <c r="AB1454" s="24"/>
      <c r="AC1454" s="24"/>
      <c r="AD1454" s="24"/>
      <c r="AE1454" s="24"/>
      <c r="AF1454" s="24"/>
      <c r="AG1454" s="24"/>
      <c r="AH1454" s="24"/>
      <c r="AI1454" s="24"/>
      <c r="AJ1454" s="24"/>
      <c r="AK1454" s="24"/>
      <c r="AL1454" s="24"/>
      <c r="AM1454" s="24"/>
      <c r="AN1454" s="24"/>
      <c r="AO1454" s="24"/>
      <c r="AP1454" s="24"/>
      <c r="AQ1454" s="24"/>
      <c r="AR1454" s="54"/>
    </row>
    <row r="1455">
      <c r="A1455" s="57"/>
      <c r="B1455" s="24"/>
      <c r="C1455" s="24"/>
      <c r="D1455" s="24"/>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c r="AA1455" s="24"/>
      <c r="AB1455" s="24"/>
      <c r="AC1455" s="24"/>
      <c r="AD1455" s="24"/>
      <c r="AE1455" s="24"/>
      <c r="AF1455" s="24"/>
      <c r="AG1455" s="24"/>
      <c r="AH1455" s="24"/>
      <c r="AI1455" s="24"/>
      <c r="AJ1455" s="24"/>
      <c r="AK1455" s="24"/>
      <c r="AL1455" s="24"/>
      <c r="AM1455" s="24"/>
      <c r="AN1455" s="24"/>
      <c r="AO1455" s="24"/>
      <c r="AP1455" s="24"/>
      <c r="AQ1455" s="24"/>
      <c r="AR1455" s="54"/>
    </row>
    <row r="1456">
      <c r="A1456" s="57"/>
      <c r="B1456" s="24"/>
      <c r="C1456" s="24"/>
      <c r="D1456" s="24"/>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c r="AA1456" s="24"/>
      <c r="AB1456" s="24"/>
      <c r="AC1456" s="24"/>
      <c r="AD1456" s="24"/>
      <c r="AE1456" s="24"/>
      <c r="AF1456" s="24"/>
      <c r="AG1456" s="24"/>
      <c r="AH1456" s="24"/>
      <c r="AI1456" s="24"/>
      <c r="AJ1456" s="24"/>
      <c r="AK1456" s="24"/>
      <c r="AL1456" s="24"/>
      <c r="AM1456" s="24"/>
      <c r="AN1456" s="24"/>
      <c r="AO1456" s="24"/>
      <c r="AP1456" s="24"/>
      <c r="AQ1456" s="24"/>
      <c r="AR1456" s="54"/>
    </row>
    <row r="1457">
      <c r="A1457" s="57"/>
      <c r="B1457" s="24"/>
      <c r="C1457" s="24"/>
      <c r="D1457" s="24"/>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c r="AA1457" s="24"/>
      <c r="AB1457" s="24"/>
      <c r="AC1457" s="24"/>
      <c r="AD1457" s="24"/>
      <c r="AE1457" s="24"/>
      <c r="AF1457" s="24"/>
      <c r="AG1457" s="24"/>
      <c r="AH1457" s="24"/>
      <c r="AI1457" s="24"/>
      <c r="AJ1457" s="24"/>
      <c r="AK1457" s="24"/>
      <c r="AL1457" s="24"/>
      <c r="AM1457" s="24"/>
      <c r="AN1457" s="24"/>
      <c r="AO1457" s="24"/>
      <c r="AP1457" s="24"/>
      <c r="AQ1457" s="24"/>
      <c r="AR1457" s="54"/>
    </row>
    <row r="1458">
      <c r="A1458" s="57"/>
      <c r="B1458" s="24"/>
      <c r="C1458" s="24"/>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c r="AA1458" s="24"/>
      <c r="AB1458" s="24"/>
      <c r="AC1458" s="24"/>
      <c r="AD1458" s="24"/>
      <c r="AE1458" s="24"/>
      <c r="AF1458" s="24"/>
      <c r="AG1458" s="24"/>
      <c r="AH1458" s="24"/>
      <c r="AI1458" s="24"/>
      <c r="AJ1458" s="24"/>
      <c r="AK1458" s="24"/>
      <c r="AL1458" s="24"/>
      <c r="AM1458" s="24"/>
      <c r="AN1458" s="24"/>
      <c r="AO1458" s="24"/>
      <c r="AP1458" s="24"/>
      <c r="AQ1458" s="24"/>
      <c r="AR1458" s="54"/>
    </row>
    <row r="1459">
      <c r="A1459" s="57"/>
      <c r="B1459" s="24"/>
      <c r="C1459" s="24"/>
      <c r="D1459" s="24"/>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c r="AA1459" s="24"/>
      <c r="AB1459" s="24"/>
      <c r="AC1459" s="24"/>
      <c r="AD1459" s="24"/>
      <c r="AE1459" s="24"/>
      <c r="AF1459" s="24"/>
      <c r="AG1459" s="24"/>
      <c r="AH1459" s="24"/>
      <c r="AI1459" s="24"/>
      <c r="AJ1459" s="24"/>
      <c r="AK1459" s="24"/>
      <c r="AL1459" s="24"/>
      <c r="AM1459" s="24"/>
      <c r="AN1459" s="24"/>
      <c r="AO1459" s="24"/>
      <c r="AP1459" s="24"/>
      <c r="AQ1459" s="24"/>
      <c r="AR1459" s="54"/>
    </row>
    <row r="1460">
      <c r="A1460" s="57"/>
      <c r="B1460" s="24"/>
      <c r="C1460" s="24"/>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c r="AA1460" s="24"/>
      <c r="AB1460" s="24"/>
      <c r="AC1460" s="24"/>
      <c r="AD1460" s="24"/>
      <c r="AE1460" s="24"/>
      <c r="AF1460" s="24"/>
      <c r="AG1460" s="24"/>
      <c r="AH1460" s="24"/>
      <c r="AI1460" s="24"/>
      <c r="AJ1460" s="24"/>
      <c r="AK1460" s="24"/>
      <c r="AL1460" s="24"/>
      <c r="AM1460" s="24"/>
      <c r="AN1460" s="24"/>
      <c r="AO1460" s="24"/>
      <c r="AP1460" s="24"/>
      <c r="AQ1460" s="24"/>
      <c r="AR1460" s="54"/>
    </row>
    <row r="1461">
      <c r="A1461" s="57"/>
      <c r="B1461" s="24"/>
      <c r="C1461" s="24"/>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c r="AA1461" s="24"/>
      <c r="AB1461" s="24"/>
      <c r="AC1461" s="24"/>
      <c r="AD1461" s="24"/>
      <c r="AE1461" s="24"/>
      <c r="AF1461" s="24"/>
      <c r="AG1461" s="24"/>
      <c r="AH1461" s="24"/>
      <c r="AI1461" s="24"/>
      <c r="AJ1461" s="24"/>
      <c r="AK1461" s="24"/>
      <c r="AL1461" s="24"/>
      <c r="AM1461" s="24"/>
      <c r="AN1461" s="24"/>
      <c r="AO1461" s="24"/>
      <c r="AP1461" s="24"/>
      <c r="AQ1461" s="24"/>
      <c r="AR1461" s="54"/>
    </row>
    <row r="1462">
      <c r="A1462" s="57"/>
      <c r="B1462" s="24"/>
      <c r="C1462" s="24"/>
      <c r="D1462" s="24"/>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c r="AA1462" s="24"/>
      <c r="AB1462" s="24"/>
      <c r="AC1462" s="24"/>
      <c r="AD1462" s="24"/>
      <c r="AE1462" s="24"/>
      <c r="AF1462" s="24"/>
      <c r="AG1462" s="24"/>
      <c r="AH1462" s="24"/>
      <c r="AI1462" s="24"/>
      <c r="AJ1462" s="24"/>
      <c r="AK1462" s="24"/>
      <c r="AL1462" s="24"/>
      <c r="AM1462" s="24"/>
      <c r="AN1462" s="24"/>
      <c r="AO1462" s="24"/>
      <c r="AP1462" s="24"/>
      <c r="AQ1462" s="24"/>
      <c r="AR1462" s="54"/>
    </row>
    <row r="1463">
      <c r="A1463" s="57"/>
      <c r="B1463" s="24"/>
      <c r="C1463" s="24"/>
      <c r="D1463" s="24"/>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c r="AA1463" s="24"/>
      <c r="AB1463" s="24"/>
      <c r="AC1463" s="24"/>
      <c r="AD1463" s="24"/>
      <c r="AE1463" s="24"/>
      <c r="AF1463" s="24"/>
      <c r="AG1463" s="24"/>
      <c r="AH1463" s="24"/>
      <c r="AI1463" s="24"/>
      <c r="AJ1463" s="24"/>
      <c r="AK1463" s="24"/>
      <c r="AL1463" s="24"/>
      <c r="AM1463" s="24"/>
      <c r="AN1463" s="24"/>
      <c r="AO1463" s="24"/>
      <c r="AP1463" s="24"/>
      <c r="AQ1463" s="24"/>
      <c r="AR1463" s="54"/>
    </row>
    <row r="1464">
      <c r="A1464" s="57"/>
      <c r="B1464" s="24"/>
      <c r="C1464" s="24"/>
      <c r="D1464" s="24"/>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c r="AA1464" s="24"/>
      <c r="AB1464" s="24"/>
      <c r="AC1464" s="24"/>
      <c r="AD1464" s="24"/>
      <c r="AE1464" s="24"/>
      <c r="AF1464" s="24"/>
      <c r="AG1464" s="24"/>
      <c r="AH1464" s="24"/>
      <c r="AI1464" s="24"/>
      <c r="AJ1464" s="24"/>
      <c r="AK1464" s="24"/>
      <c r="AL1464" s="24"/>
      <c r="AM1464" s="24"/>
      <c r="AN1464" s="24"/>
      <c r="AO1464" s="24"/>
      <c r="AP1464" s="24"/>
      <c r="AQ1464" s="24"/>
      <c r="AR1464" s="54"/>
    </row>
    <row r="1465">
      <c r="A1465" s="57"/>
      <c r="B1465" s="24"/>
      <c r="C1465" s="24"/>
      <c r="D1465" s="24"/>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c r="AA1465" s="24"/>
      <c r="AB1465" s="24"/>
      <c r="AC1465" s="24"/>
      <c r="AD1465" s="24"/>
      <c r="AE1465" s="24"/>
      <c r="AF1465" s="24"/>
      <c r="AG1465" s="24"/>
      <c r="AH1465" s="24"/>
      <c r="AI1465" s="24"/>
      <c r="AJ1465" s="24"/>
      <c r="AK1465" s="24"/>
      <c r="AL1465" s="24"/>
      <c r="AM1465" s="24"/>
      <c r="AN1465" s="24"/>
      <c r="AO1465" s="24"/>
      <c r="AP1465" s="24"/>
      <c r="AQ1465" s="24"/>
      <c r="AR1465" s="54"/>
    </row>
    <row r="1466">
      <c r="A1466" s="57"/>
      <c r="B1466" s="24"/>
      <c r="C1466" s="24"/>
      <c r="D1466" s="24"/>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c r="AA1466" s="24"/>
      <c r="AB1466" s="24"/>
      <c r="AC1466" s="24"/>
      <c r="AD1466" s="24"/>
      <c r="AE1466" s="24"/>
      <c r="AF1466" s="24"/>
      <c r="AG1466" s="24"/>
      <c r="AH1466" s="24"/>
      <c r="AI1466" s="24"/>
      <c r="AJ1466" s="24"/>
      <c r="AK1466" s="24"/>
      <c r="AL1466" s="24"/>
      <c r="AM1466" s="24"/>
      <c r="AN1466" s="24"/>
      <c r="AO1466" s="24"/>
      <c r="AP1466" s="24"/>
      <c r="AQ1466" s="24"/>
      <c r="AR1466" s="54"/>
    </row>
    <row r="1467">
      <c r="A1467" s="57"/>
      <c r="B1467" s="24"/>
      <c r="C1467" s="24"/>
      <c r="D1467" s="24"/>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c r="AA1467" s="24"/>
      <c r="AB1467" s="24"/>
      <c r="AC1467" s="24"/>
      <c r="AD1467" s="24"/>
      <c r="AE1467" s="24"/>
      <c r="AF1467" s="24"/>
      <c r="AG1467" s="24"/>
      <c r="AH1467" s="24"/>
      <c r="AI1467" s="24"/>
      <c r="AJ1467" s="24"/>
      <c r="AK1467" s="24"/>
      <c r="AL1467" s="24"/>
      <c r="AM1467" s="24"/>
      <c r="AN1467" s="24"/>
      <c r="AO1467" s="24"/>
      <c r="AP1467" s="24"/>
      <c r="AQ1467" s="24"/>
      <c r="AR1467" s="54"/>
    </row>
    <row r="1468">
      <c r="A1468" s="57"/>
      <c r="B1468" s="24"/>
      <c r="C1468" s="24"/>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c r="AA1468" s="24"/>
      <c r="AB1468" s="24"/>
      <c r="AC1468" s="24"/>
      <c r="AD1468" s="24"/>
      <c r="AE1468" s="24"/>
      <c r="AF1468" s="24"/>
      <c r="AG1468" s="24"/>
      <c r="AH1468" s="24"/>
      <c r="AI1468" s="24"/>
      <c r="AJ1468" s="24"/>
      <c r="AK1468" s="24"/>
      <c r="AL1468" s="24"/>
      <c r="AM1468" s="24"/>
      <c r="AN1468" s="24"/>
      <c r="AO1468" s="24"/>
      <c r="AP1468" s="24"/>
      <c r="AQ1468" s="24"/>
      <c r="AR1468" s="54"/>
    </row>
    <row r="1469">
      <c r="A1469" s="57"/>
      <c r="B1469" s="24"/>
      <c r="C1469" s="24"/>
      <c r="D1469" s="24"/>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c r="AA1469" s="24"/>
      <c r="AB1469" s="24"/>
      <c r="AC1469" s="24"/>
      <c r="AD1469" s="24"/>
      <c r="AE1469" s="24"/>
      <c r="AF1469" s="24"/>
      <c r="AG1469" s="24"/>
      <c r="AH1469" s="24"/>
      <c r="AI1469" s="24"/>
      <c r="AJ1469" s="24"/>
      <c r="AK1469" s="24"/>
      <c r="AL1469" s="24"/>
      <c r="AM1469" s="24"/>
      <c r="AN1469" s="24"/>
      <c r="AO1469" s="24"/>
      <c r="AP1469" s="24"/>
      <c r="AQ1469" s="24"/>
      <c r="AR1469" s="54"/>
    </row>
    <row r="1470">
      <c r="A1470" s="57"/>
      <c r="B1470" s="24"/>
      <c r="C1470" s="24"/>
      <c r="D1470" s="24"/>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c r="AA1470" s="24"/>
      <c r="AB1470" s="24"/>
      <c r="AC1470" s="24"/>
      <c r="AD1470" s="24"/>
      <c r="AE1470" s="24"/>
      <c r="AF1470" s="24"/>
      <c r="AG1470" s="24"/>
      <c r="AH1470" s="24"/>
      <c r="AI1470" s="24"/>
      <c r="AJ1470" s="24"/>
      <c r="AK1470" s="24"/>
      <c r="AL1470" s="24"/>
      <c r="AM1470" s="24"/>
      <c r="AN1470" s="24"/>
      <c r="AO1470" s="24"/>
      <c r="AP1470" s="24"/>
      <c r="AQ1470" s="24"/>
      <c r="AR1470" s="54"/>
    </row>
    <row r="1471">
      <c r="A1471" s="57"/>
      <c r="B1471" s="24"/>
      <c r="C1471" s="24"/>
      <c r="D1471" s="24"/>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c r="AA1471" s="24"/>
      <c r="AB1471" s="24"/>
      <c r="AC1471" s="24"/>
      <c r="AD1471" s="24"/>
      <c r="AE1471" s="24"/>
      <c r="AF1471" s="24"/>
      <c r="AG1471" s="24"/>
      <c r="AH1471" s="24"/>
      <c r="AI1471" s="24"/>
      <c r="AJ1471" s="24"/>
      <c r="AK1471" s="24"/>
      <c r="AL1471" s="24"/>
      <c r="AM1471" s="24"/>
      <c r="AN1471" s="24"/>
      <c r="AO1471" s="24"/>
      <c r="AP1471" s="24"/>
      <c r="AQ1471" s="24"/>
      <c r="AR1471" s="54"/>
    </row>
    <row r="1472">
      <c r="A1472" s="57"/>
      <c r="B1472" s="24"/>
      <c r="C1472" s="24"/>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c r="AA1472" s="24"/>
      <c r="AB1472" s="24"/>
      <c r="AC1472" s="24"/>
      <c r="AD1472" s="24"/>
      <c r="AE1472" s="24"/>
      <c r="AF1472" s="24"/>
      <c r="AG1472" s="24"/>
      <c r="AH1472" s="24"/>
      <c r="AI1472" s="24"/>
      <c r="AJ1472" s="24"/>
      <c r="AK1472" s="24"/>
      <c r="AL1472" s="24"/>
      <c r="AM1472" s="24"/>
      <c r="AN1472" s="24"/>
      <c r="AO1472" s="24"/>
      <c r="AP1472" s="24"/>
      <c r="AQ1472" s="24"/>
      <c r="AR1472" s="54"/>
    </row>
    <row r="1473">
      <c r="A1473" s="57"/>
      <c r="B1473" s="24"/>
      <c r="C1473" s="24"/>
      <c r="D1473" s="24"/>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c r="AA1473" s="24"/>
      <c r="AB1473" s="24"/>
      <c r="AC1473" s="24"/>
      <c r="AD1473" s="24"/>
      <c r="AE1473" s="24"/>
      <c r="AF1473" s="24"/>
      <c r="AG1473" s="24"/>
      <c r="AH1473" s="24"/>
      <c r="AI1473" s="24"/>
      <c r="AJ1473" s="24"/>
      <c r="AK1473" s="24"/>
      <c r="AL1473" s="24"/>
      <c r="AM1473" s="24"/>
      <c r="AN1473" s="24"/>
      <c r="AO1473" s="24"/>
      <c r="AP1473" s="24"/>
      <c r="AQ1473" s="24"/>
      <c r="AR1473" s="54"/>
    </row>
    <row r="1474">
      <c r="A1474" s="57"/>
      <c r="B1474" s="24"/>
      <c r="C1474" s="24"/>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c r="AA1474" s="24"/>
      <c r="AB1474" s="24"/>
      <c r="AC1474" s="24"/>
      <c r="AD1474" s="24"/>
      <c r="AE1474" s="24"/>
      <c r="AF1474" s="24"/>
      <c r="AG1474" s="24"/>
      <c r="AH1474" s="24"/>
      <c r="AI1474" s="24"/>
      <c r="AJ1474" s="24"/>
      <c r="AK1474" s="24"/>
      <c r="AL1474" s="24"/>
      <c r="AM1474" s="24"/>
      <c r="AN1474" s="24"/>
      <c r="AO1474" s="24"/>
      <c r="AP1474" s="24"/>
      <c r="AQ1474" s="24"/>
      <c r="AR1474" s="54"/>
    </row>
    <row r="1475">
      <c r="A1475" s="57"/>
      <c r="B1475" s="24"/>
      <c r="C1475" s="24"/>
      <c r="D1475" s="24"/>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c r="AA1475" s="24"/>
      <c r="AB1475" s="24"/>
      <c r="AC1475" s="24"/>
      <c r="AD1475" s="24"/>
      <c r="AE1475" s="24"/>
      <c r="AF1475" s="24"/>
      <c r="AG1475" s="24"/>
      <c r="AH1475" s="24"/>
      <c r="AI1475" s="24"/>
      <c r="AJ1475" s="24"/>
      <c r="AK1475" s="24"/>
      <c r="AL1475" s="24"/>
      <c r="AM1475" s="24"/>
      <c r="AN1475" s="24"/>
      <c r="AO1475" s="24"/>
      <c r="AP1475" s="24"/>
      <c r="AQ1475" s="24"/>
      <c r="AR1475" s="54"/>
    </row>
    <row r="1476">
      <c r="A1476" s="57"/>
      <c r="B1476" s="24"/>
      <c r="C1476" s="24"/>
      <c r="D1476" s="24"/>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c r="AA1476" s="24"/>
      <c r="AB1476" s="24"/>
      <c r="AC1476" s="24"/>
      <c r="AD1476" s="24"/>
      <c r="AE1476" s="24"/>
      <c r="AF1476" s="24"/>
      <c r="AG1476" s="24"/>
      <c r="AH1476" s="24"/>
      <c r="AI1476" s="24"/>
      <c r="AJ1476" s="24"/>
      <c r="AK1476" s="24"/>
      <c r="AL1476" s="24"/>
      <c r="AM1476" s="24"/>
      <c r="AN1476" s="24"/>
      <c r="AO1476" s="24"/>
      <c r="AP1476" s="24"/>
      <c r="AQ1476" s="24"/>
      <c r="AR1476" s="54"/>
    </row>
    <row r="1477">
      <c r="A1477" s="57"/>
      <c r="B1477" s="24"/>
      <c r="C1477" s="24"/>
      <c r="D1477" s="24"/>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c r="AA1477" s="24"/>
      <c r="AB1477" s="24"/>
      <c r="AC1477" s="24"/>
      <c r="AD1477" s="24"/>
      <c r="AE1477" s="24"/>
      <c r="AF1477" s="24"/>
      <c r="AG1477" s="24"/>
      <c r="AH1477" s="24"/>
      <c r="AI1477" s="24"/>
      <c r="AJ1477" s="24"/>
      <c r="AK1477" s="24"/>
      <c r="AL1477" s="24"/>
      <c r="AM1477" s="24"/>
      <c r="AN1477" s="24"/>
      <c r="AO1477" s="24"/>
      <c r="AP1477" s="24"/>
      <c r="AQ1477" s="24"/>
      <c r="AR1477" s="54"/>
    </row>
    <row r="1478">
      <c r="A1478" s="57"/>
      <c r="B1478" s="24"/>
      <c r="C1478" s="24"/>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c r="AA1478" s="24"/>
      <c r="AB1478" s="24"/>
      <c r="AC1478" s="24"/>
      <c r="AD1478" s="24"/>
      <c r="AE1478" s="24"/>
      <c r="AF1478" s="24"/>
      <c r="AG1478" s="24"/>
      <c r="AH1478" s="24"/>
      <c r="AI1478" s="24"/>
      <c r="AJ1478" s="24"/>
      <c r="AK1478" s="24"/>
      <c r="AL1478" s="24"/>
      <c r="AM1478" s="24"/>
      <c r="AN1478" s="24"/>
      <c r="AO1478" s="24"/>
      <c r="AP1478" s="24"/>
      <c r="AQ1478" s="24"/>
      <c r="AR1478" s="54"/>
    </row>
    <row r="1479">
      <c r="A1479" s="57"/>
      <c r="B1479" s="24"/>
      <c r="C1479" s="24"/>
      <c r="D1479" s="24"/>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c r="AA1479" s="24"/>
      <c r="AB1479" s="24"/>
      <c r="AC1479" s="24"/>
      <c r="AD1479" s="24"/>
      <c r="AE1479" s="24"/>
      <c r="AF1479" s="24"/>
      <c r="AG1479" s="24"/>
      <c r="AH1479" s="24"/>
      <c r="AI1479" s="24"/>
      <c r="AJ1479" s="24"/>
      <c r="AK1479" s="24"/>
      <c r="AL1479" s="24"/>
      <c r="AM1479" s="24"/>
      <c r="AN1479" s="24"/>
      <c r="AO1479" s="24"/>
      <c r="AP1479" s="24"/>
      <c r="AQ1479" s="24"/>
      <c r="AR1479" s="54"/>
    </row>
    <row r="1480">
      <c r="A1480" s="57"/>
      <c r="B1480" s="24"/>
      <c r="C1480" s="24"/>
      <c r="D1480" s="24"/>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c r="AA1480" s="24"/>
      <c r="AB1480" s="24"/>
      <c r="AC1480" s="24"/>
      <c r="AD1480" s="24"/>
      <c r="AE1480" s="24"/>
      <c r="AF1480" s="24"/>
      <c r="AG1480" s="24"/>
      <c r="AH1480" s="24"/>
      <c r="AI1480" s="24"/>
      <c r="AJ1480" s="24"/>
      <c r="AK1480" s="24"/>
      <c r="AL1480" s="24"/>
      <c r="AM1480" s="24"/>
      <c r="AN1480" s="24"/>
      <c r="AO1480" s="24"/>
      <c r="AP1480" s="24"/>
      <c r="AQ1480" s="24"/>
      <c r="AR1480" s="54"/>
    </row>
    <row r="1481">
      <c r="A1481" s="57"/>
      <c r="B1481" s="24"/>
      <c r="C1481" s="24"/>
      <c r="D1481" s="24"/>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c r="AA1481" s="24"/>
      <c r="AB1481" s="24"/>
      <c r="AC1481" s="24"/>
      <c r="AD1481" s="24"/>
      <c r="AE1481" s="24"/>
      <c r="AF1481" s="24"/>
      <c r="AG1481" s="24"/>
      <c r="AH1481" s="24"/>
      <c r="AI1481" s="24"/>
      <c r="AJ1481" s="24"/>
      <c r="AK1481" s="24"/>
      <c r="AL1481" s="24"/>
      <c r="AM1481" s="24"/>
      <c r="AN1481" s="24"/>
      <c r="AO1481" s="24"/>
      <c r="AP1481" s="24"/>
      <c r="AQ1481" s="24"/>
      <c r="AR1481" s="54"/>
    </row>
    <row r="1482">
      <c r="A1482" s="57"/>
      <c r="B1482" s="24"/>
      <c r="C1482" s="24"/>
      <c r="D1482" s="24"/>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c r="AA1482" s="24"/>
      <c r="AB1482" s="24"/>
      <c r="AC1482" s="24"/>
      <c r="AD1482" s="24"/>
      <c r="AE1482" s="24"/>
      <c r="AF1482" s="24"/>
      <c r="AG1482" s="24"/>
      <c r="AH1482" s="24"/>
      <c r="AI1482" s="24"/>
      <c r="AJ1482" s="24"/>
      <c r="AK1482" s="24"/>
      <c r="AL1482" s="24"/>
      <c r="AM1482" s="24"/>
      <c r="AN1482" s="24"/>
      <c r="AO1482" s="24"/>
      <c r="AP1482" s="24"/>
      <c r="AQ1482" s="24"/>
      <c r="AR1482" s="54"/>
    </row>
    <row r="1483">
      <c r="A1483" s="57"/>
      <c r="B1483" s="24"/>
      <c r="C1483" s="24"/>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c r="AA1483" s="24"/>
      <c r="AB1483" s="24"/>
      <c r="AC1483" s="24"/>
      <c r="AD1483" s="24"/>
      <c r="AE1483" s="24"/>
      <c r="AF1483" s="24"/>
      <c r="AG1483" s="24"/>
      <c r="AH1483" s="24"/>
      <c r="AI1483" s="24"/>
      <c r="AJ1483" s="24"/>
      <c r="AK1483" s="24"/>
      <c r="AL1483" s="24"/>
      <c r="AM1483" s="24"/>
      <c r="AN1483" s="24"/>
      <c r="AO1483" s="24"/>
      <c r="AP1483" s="24"/>
      <c r="AQ1483" s="24"/>
      <c r="AR1483" s="54"/>
    </row>
    <row r="1484">
      <c r="A1484" s="57"/>
      <c r="B1484" s="24"/>
      <c r="C1484" s="24"/>
      <c r="D1484" s="24"/>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c r="AA1484" s="24"/>
      <c r="AB1484" s="24"/>
      <c r="AC1484" s="24"/>
      <c r="AD1484" s="24"/>
      <c r="AE1484" s="24"/>
      <c r="AF1484" s="24"/>
      <c r="AG1484" s="24"/>
      <c r="AH1484" s="24"/>
      <c r="AI1484" s="24"/>
      <c r="AJ1484" s="24"/>
      <c r="AK1484" s="24"/>
      <c r="AL1484" s="24"/>
      <c r="AM1484" s="24"/>
      <c r="AN1484" s="24"/>
      <c r="AO1484" s="24"/>
      <c r="AP1484" s="24"/>
      <c r="AQ1484" s="24"/>
      <c r="AR1484" s="54"/>
    </row>
    <row r="1485">
      <c r="A1485" s="57"/>
      <c r="B1485" s="24"/>
      <c r="C1485" s="24"/>
      <c r="D1485" s="24"/>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c r="AA1485" s="24"/>
      <c r="AB1485" s="24"/>
      <c r="AC1485" s="24"/>
      <c r="AD1485" s="24"/>
      <c r="AE1485" s="24"/>
      <c r="AF1485" s="24"/>
      <c r="AG1485" s="24"/>
      <c r="AH1485" s="24"/>
      <c r="AI1485" s="24"/>
      <c r="AJ1485" s="24"/>
      <c r="AK1485" s="24"/>
      <c r="AL1485" s="24"/>
      <c r="AM1485" s="24"/>
      <c r="AN1485" s="24"/>
      <c r="AO1485" s="24"/>
      <c r="AP1485" s="24"/>
      <c r="AQ1485" s="24"/>
      <c r="AR1485" s="54"/>
    </row>
    <row r="1486">
      <c r="A1486" s="57"/>
      <c r="B1486" s="24"/>
      <c r="C1486" s="24"/>
      <c r="D1486" s="24"/>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c r="AA1486" s="24"/>
      <c r="AB1486" s="24"/>
      <c r="AC1486" s="24"/>
      <c r="AD1486" s="24"/>
      <c r="AE1486" s="24"/>
      <c r="AF1486" s="24"/>
      <c r="AG1486" s="24"/>
      <c r="AH1486" s="24"/>
      <c r="AI1486" s="24"/>
      <c r="AJ1486" s="24"/>
      <c r="AK1486" s="24"/>
      <c r="AL1486" s="24"/>
      <c r="AM1486" s="24"/>
      <c r="AN1486" s="24"/>
      <c r="AO1486" s="24"/>
      <c r="AP1486" s="24"/>
      <c r="AQ1486" s="24"/>
      <c r="AR1486" s="54"/>
    </row>
    <row r="1487">
      <c r="A1487" s="57"/>
      <c r="B1487" s="24"/>
      <c r="C1487" s="24"/>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c r="AA1487" s="24"/>
      <c r="AB1487" s="24"/>
      <c r="AC1487" s="24"/>
      <c r="AD1487" s="24"/>
      <c r="AE1487" s="24"/>
      <c r="AF1487" s="24"/>
      <c r="AG1487" s="24"/>
      <c r="AH1487" s="24"/>
      <c r="AI1487" s="24"/>
      <c r="AJ1487" s="24"/>
      <c r="AK1487" s="24"/>
      <c r="AL1487" s="24"/>
      <c r="AM1487" s="24"/>
      <c r="AN1487" s="24"/>
      <c r="AO1487" s="24"/>
      <c r="AP1487" s="24"/>
      <c r="AQ1487" s="24"/>
      <c r="AR1487" s="54"/>
    </row>
    <row r="1488">
      <c r="A1488" s="57"/>
      <c r="B1488" s="24"/>
      <c r="C1488" s="24"/>
      <c r="D1488" s="24"/>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c r="AA1488" s="24"/>
      <c r="AB1488" s="24"/>
      <c r="AC1488" s="24"/>
      <c r="AD1488" s="24"/>
      <c r="AE1488" s="24"/>
      <c r="AF1488" s="24"/>
      <c r="AG1488" s="24"/>
      <c r="AH1488" s="24"/>
      <c r="AI1488" s="24"/>
      <c r="AJ1488" s="24"/>
      <c r="AK1488" s="24"/>
      <c r="AL1488" s="24"/>
      <c r="AM1488" s="24"/>
      <c r="AN1488" s="24"/>
      <c r="AO1488" s="24"/>
      <c r="AP1488" s="24"/>
      <c r="AQ1488" s="24"/>
      <c r="AR1488" s="54"/>
    </row>
    <row r="1489">
      <c r="A1489" s="57"/>
      <c r="B1489" s="24"/>
      <c r="C1489" s="24"/>
      <c r="D1489" s="24"/>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c r="AA1489" s="24"/>
      <c r="AB1489" s="24"/>
      <c r="AC1489" s="24"/>
      <c r="AD1489" s="24"/>
      <c r="AE1489" s="24"/>
      <c r="AF1489" s="24"/>
      <c r="AG1489" s="24"/>
      <c r="AH1489" s="24"/>
      <c r="AI1489" s="24"/>
      <c r="AJ1489" s="24"/>
      <c r="AK1489" s="24"/>
      <c r="AL1489" s="24"/>
      <c r="AM1489" s="24"/>
      <c r="AN1489" s="24"/>
      <c r="AO1489" s="24"/>
      <c r="AP1489" s="24"/>
      <c r="AQ1489" s="24"/>
      <c r="AR1489" s="54"/>
    </row>
    <row r="1490">
      <c r="A1490" s="57"/>
      <c r="B1490" s="24"/>
      <c r="C1490" s="24"/>
      <c r="D1490" s="24"/>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c r="AA1490" s="24"/>
      <c r="AB1490" s="24"/>
      <c r="AC1490" s="24"/>
      <c r="AD1490" s="24"/>
      <c r="AE1490" s="24"/>
      <c r="AF1490" s="24"/>
      <c r="AG1490" s="24"/>
      <c r="AH1490" s="24"/>
      <c r="AI1490" s="24"/>
      <c r="AJ1490" s="24"/>
      <c r="AK1490" s="24"/>
      <c r="AL1490" s="24"/>
      <c r="AM1490" s="24"/>
      <c r="AN1490" s="24"/>
      <c r="AO1490" s="24"/>
      <c r="AP1490" s="24"/>
      <c r="AQ1490" s="24"/>
      <c r="AR1490" s="54"/>
    </row>
    <row r="1491">
      <c r="A1491" s="57"/>
      <c r="B1491" s="24"/>
      <c r="C1491" s="24"/>
      <c r="D1491" s="24"/>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c r="AA1491" s="24"/>
      <c r="AB1491" s="24"/>
      <c r="AC1491" s="24"/>
      <c r="AD1491" s="24"/>
      <c r="AE1491" s="24"/>
      <c r="AF1491" s="24"/>
      <c r="AG1491" s="24"/>
      <c r="AH1491" s="24"/>
      <c r="AI1491" s="24"/>
      <c r="AJ1491" s="24"/>
      <c r="AK1491" s="24"/>
      <c r="AL1491" s="24"/>
      <c r="AM1491" s="24"/>
      <c r="AN1491" s="24"/>
      <c r="AO1491" s="24"/>
      <c r="AP1491" s="24"/>
      <c r="AQ1491" s="24"/>
      <c r="AR1491" s="54"/>
    </row>
    <row r="1492">
      <c r="A1492" s="57"/>
      <c r="B1492" s="24"/>
      <c r="C1492" s="24"/>
      <c r="D1492" s="24"/>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c r="AA1492" s="24"/>
      <c r="AB1492" s="24"/>
      <c r="AC1492" s="24"/>
      <c r="AD1492" s="24"/>
      <c r="AE1492" s="24"/>
      <c r="AF1492" s="24"/>
      <c r="AG1492" s="24"/>
      <c r="AH1492" s="24"/>
      <c r="AI1492" s="24"/>
      <c r="AJ1492" s="24"/>
      <c r="AK1492" s="24"/>
      <c r="AL1492" s="24"/>
      <c r="AM1492" s="24"/>
      <c r="AN1492" s="24"/>
      <c r="AO1492" s="24"/>
      <c r="AP1492" s="24"/>
      <c r="AQ1492" s="24"/>
      <c r="AR1492" s="54"/>
    </row>
    <row r="1493">
      <c r="A1493" s="57"/>
      <c r="B1493" s="24"/>
      <c r="C1493" s="24"/>
      <c r="D1493" s="24"/>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c r="AA1493" s="24"/>
      <c r="AB1493" s="24"/>
      <c r="AC1493" s="24"/>
      <c r="AD1493" s="24"/>
      <c r="AE1493" s="24"/>
      <c r="AF1493" s="24"/>
      <c r="AG1493" s="24"/>
      <c r="AH1493" s="24"/>
      <c r="AI1493" s="24"/>
      <c r="AJ1493" s="24"/>
      <c r="AK1493" s="24"/>
      <c r="AL1493" s="24"/>
      <c r="AM1493" s="24"/>
      <c r="AN1493" s="24"/>
      <c r="AO1493" s="24"/>
      <c r="AP1493" s="24"/>
      <c r="AQ1493" s="24"/>
      <c r="AR1493" s="54"/>
    </row>
    <row r="1494">
      <c r="A1494" s="57"/>
      <c r="B1494" s="24"/>
      <c r="C1494" s="24"/>
      <c r="D1494" s="24"/>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c r="AA1494" s="24"/>
      <c r="AB1494" s="24"/>
      <c r="AC1494" s="24"/>
      <c r="AD1494" s="24"/>
      <c r="AE1494" s="24"/>
      <c r="AF1494" s="24"/>
      <c r="AG1494" s="24"/>
      <c r="AH1494" s="24"/>
      <c r="AI1494" s="24"/>
      <c r="AJ1494" s="24"/>
      <c r="AK1494" s="24"/>
      <c r="AL1494" s="24"/>
      <c r="AM1494" s="24"/>
      <c r="AN1494" s="24"/>
      <c r="AO1494" s="24"/>
      <c r="AP1494" s="24"/>
      <c r="AQ1494" s="24"/>
      <c r="AR1494" s="54"/>
    </row>
    <row r="1495">
      <c r="A1495" s="57"/>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c r="AA1495" s="24"/>
      <c r="AB1495" s="24"/>
      <c r="AC1495" s="24"/>
      <c r="AD1495" s="24"/>
      <c r="AE1495" s="24"/>
      <c r="AF1495" s="24"/>
      <c r="AG1495" s="24"/>
      <c r="AH1495" s="24"/>
      <c r="AI1495" s="24"/>
      <c r="AJ1495" s="24"/>
      <c r="AK1495" s="24"/>
      <c r="AL1495" s="24"/>
      <c r="AM1495" s="24"/>
      <c r="AN1495" s="24"/>
      <c r="AO1495" s="24"/>
      <c r="AP1495" s="24"/>
      <c r="AQ1495" s="24"/>
      <c r="AR1495" s="54"/>
    </row>
    <row r="1496">
      <c r="A1496" s="57"/>
      <c r="B1496" s="24"/>
      <c r="C1496" s="24"/>
      <c r="D1496" s="24"/>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c r="AA1496" s="24"/>
      <c r="AB1496" s="24"/>
      <c r="AC1496" s="24"/>
      <c r="AD1496" s="24"/>
      <c r="AE1496" s="24"/>
      <c r="AF1496" s="24"/>
      <c r="AG1496" s="24"/>
      <c r="AH1496" s="24"/>
      <c r="AI1496" s="24"/>
      <c r="AJ1496" s="24"/>
      <c r="AK1496" s="24"/>
      <c r="AL1496" s="24"/>
      <c r="AM1496" s="24"/>
      <c r="AN1496" s="24"/>
      <c r="AO1496" s="24"/>
      <c r="AP1496" s="24"/>
      <c r="AQ1496" s="24"/>
      <c r="AR1496" s="54"/>
    </row>
    <row r="1497">
      <c r="A1497" s="57"/>
      <c r="B1497" s="24"/>
      <c r="C1497" s="24"/>
      <c r="D1497" s="24"/>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c r="AA1497" s="24"/>
      <c r="AB1497" s="24"/>
      <c r="AC1497" s="24"/>
      <c r="AD1497" s="24"/>
      <c r="AE1497" s="24"/>
      <c r="AF1497" s="24"/>
      <c r="AG1497" s="24"/>
      <c r="AH1497" s="24"/>
      <c r="AI1497" s="24"/>
      <c r="AJ1497" s="24"/>
      <c r="AK1497" s="24"/>
      <c r="AL1497" s="24"/>
      <c r="AM1497" s="24"/>
      <c r="AN1497" s="24"/>
      <c r="AO1497" s="24"/>
      <c r="AP1497" s="24"/>
      <c r="AQ1497" s="24"/>
      <c r="AR1497" s="54"/>
    </row>
    <row r="1498">
      <c r="A1498" s="57"/>
      <c r="B1498" s="24"/>
      <c r="C1498" s="24"/>
      <c r="D1498" s="24"/>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c r="AA1498" s="24"/>
      <c r="AB1498" s="24"/>
      <c r="AC1498" s="24"/>
      <c r="AD1498" s="24"/>
      <c r="AE1498" s="24"/>
      <c r="AF1498" s="24"/>
      <c r="AG1498" s="24"/>
      <c r="AH1498" s="24"/>
      <c r="AI1498" s="24"/>
      <c r="AJ1498" s="24"/>
      <c r="AK1498" s="24"/>
      <c r="AL1498" s="24"/>
      <c r="AM1498" s="24"/>
      <c r="AN1498" s="24"/>
      <c r="AO1498" s="24"/>
      <c r="AP1498" s="24"/>
      <c r="AQ1498" s="24"/>
      <c r="AR1498" s="54"/>
    </row>
    <row r="1499">
      <c r="A1499" s="57"/>
      <c r="B1499" s="24"/>
      <c r="C1499" s="24"/>
      <c r="D1499" s="24"/>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c r="AA1499" s="24"/>
      <c r="AB1499" s="24"/>
      <c r="AC1499" s="24"/>
      <c r="AD1499" s="24"/>
      <c r="AE1499" s="24"/>
      <c r="AF1499" s="24"/>
      <c r="AG1499" s="24"/>
      <c r="AH1499" s="24"/>
      <c r="AI1499" s="24"/>
      <c r="AJ1499" s="24"/>
      <c r="AK1499" s="24"/>
      <c r="AL1499" s="24"/>
      <c r="AM1499" s="24"/>
      <c r="AN1499" s="24"/>
      <c r="AO1499" s="24"/>
      <c r="AP1499" s="24"/>
      <c r="AQ1499" s="24"/>
      <c r="AR1499" s="54"/>
    </row>
    <row r="1500">
      <c r="A1500" s="57"/>
      <c r="B1500" s="24"/>
      <c r="C1500" s="24"/>
      <c r="D1500" s="24"/>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c r="AA1500" s="24"/>
      <c r="AB1500" s="24"/>
      <c r="AC1500" s="24"/>
      <c r="AD1500" s="24"/>
      <c r="AE1500" s="24"/>
      <c r="AF1500" s="24"/>
      <c r="AG1500" s="24"/>
      <c r="AH1500" s="24"/>
      <c r="AI1500" s="24"/>
      <c r="AJ1500" s="24"/>
      <c r="AK1500" s="24"/>
      <c r="AL1500" s="24"/>
      <c r="AM1500" s="24"/>
      <c r="AN1500" s="24"/>
      <c r="AO1500" s="24"/>
      <c r="AP1500" s="24"/>
      <c r="AQ1500" s="24"/>
      <c r="AR1500" s="54"/>
    </row>
    <row r="1501">
      <c r="A1501" s="57"/>
      <c r="B1501" s="24"/>
      <c r="C1501" s="24"/>
      <c r="D1501" s="24"/>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c r="AA1501" s="24"/>
      <c r="AB1501" s="24"/>
      <c r="AC1501" s="24"/>
      <c r="AD1501" s="24"/>
      <c r="AE1501" s="24"/>
      <c r="AF1501" s="24"/>
      <c r="AG1501" s="24"/>
      <c r="AH1501" s="24"/>
      <c r="AI1501" s="24"/>
      <c r="AJ1501" s="24"/>
      <c r="AK1501" s="24"/>
      <c r="AL1501" s="24"/>
      <c r="AM1501" s="24"/>
      <c r="AN1501" s="24"/>
      <c r="AO1501" s="24"/>
      <c r="AP1501" s="24"/>
      <c r="AQ1501" s="24"/>
      <c r="AR1501" s="54"/>
    </row>
    <row r="1502">
      <c r="A1502" s="57"/>
      <c r="B1502" s="24"/>
      <c r="C1502" s="24"/>
      <c r="D1502" s="24"/>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c r="AA1502" s="24"/>
      <c r="AB1502" s="24"/>
      <c r="AC1502" s="24"/>
      <c r="AD1502" s="24"/>
      <c r="AE1502" s="24"/>
      <c r="AF1502" s="24"/>
      <c r="AG1502" s="24"/>
      <c r="AH1502" s="24"/>
      <c r="AI1502" s="24"/>
      <c r="AJ1502" s="24"/>
      <c r="AK1502" s="24"/>
      <c r="AL1502" s="24"/>
      <c r="AM1502" s="24"/>
      <c r="AN1502" s="24"/>
      <c r="AO1502" s="24"/>
      <c r="AP1502" s="24"/>
      <c r="AQ1502" s="24"/>
      <c r="AR1502" s="54"/>
    </row>
    <row r="1503">
      <c r="A1503" s="57"/>
      <c r="B1503" s="24"/>
      <c r="C1503" s="24"/>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c r="AA1503" s="24"/>
      <c r="AB1503" s="24"/>
      <c r="AC1503" s="24"/>
      <c r="AD1503" s="24"/>
      <c r="AE1503" s="24"/>
      <c r="AF1503" s="24"/>
      <c r="AG1503" s="24"/>
      <c r="AH1503" s="24"/>
      <c r="AI1503" s="24"/>
      <c r="AJ1503" s="24"/>
      <c r="AK1503" s="24"/>
      <c r="AL1503" s="24"/>
      <c r="AM1503" s="24"/>
      <c r="AN1503" s="24"/>
      <c r="AO1503" s="24"/>
      <c r="AP1503" s="24"/>
      <c r="AQ1503" s="24"/>
      <c r="AR1503" s="54"/>
    </row>
    <row r="1504">
      <c r="A1504" s="57"/>
      <c r="B1504" s="24"/>
      <c r="C1504" s="24"/>
      <c r="D1504" s="24"/>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c r="AA1504" s="24"/>
      <c r="AB1504" s="24"/>
      <c r="AC1504" s="24"/>
      <c r="AD1504" s="24"/>
      <c r="AE1504" s="24"/>
      <c r="AF1504" s="24"/>
      <c r="AG1504" s="24"/>
      <c r="AH1504" s="24"/>
      <c r="AI1504" s="24"/>
      <c r="AJ1504" s="24"/>
      <c r="AK1504" s="24"/>
      <c r="AL1504" s="24"/>
      <c r="AM1504" s="24"/>
      <c r="AN1504" s="24"/>
      <c r="AO1504" s="24"/>
      <c r="AP1504" s="24"/>
      <c r="AQ1504" s="24"/>
      <c r="AR1504" s="54"/>
    </row>
    <row r="1505">
      <c r="A1505" s="57"/>
      <c r="B1505" s="24"/>
      <c r="C1505" s="24"/>
      <c r="D1505" s="24"/>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c r="AA1505" s="24"/>
      <c r="AB1505" s="24"/>
      <c r="AC1505" s="24"/>
      <c r="AD1505" s="24"/>
      <c r="AE1505" s="24"/>
      <c r="AF1505" s="24"/>
      <c r="AG1505" s="24"/>
      <c r="AH1505" s="24"/>
      <c r="AI1505" s="24"/>
      <c r="AJ1505" s="24"/>
      <c r="AK1505" s="24"/>
      <c r="AL1505" s="24"/>
      <c r="AM1505" s="24"/>
      <c r="AN1505" s="24"/>
      <c r="AO1505" s="24"/>
      <c r="AP1505" s="24"/>
      <c r="AQ1505" s="24"/>
      <c r="AR1505" s="54"/>
    </row>
    <row r="1506">
      <c r="A1506" s="57"/>
      <c r="B1506" s="24"/>
      <c r="C1506" s="24"/>
      <c r="D1506" s="24"/>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c r="AA1506" s="24"/>
      <c r="AB1506" s="24"/>
      <c r="AC1506" s="24"/>
      <c r="AD1506" s="24"/>
      <c r="AE1506" s="24"/>
      <c r="AF1506" s="24"/>
      <c r="AG1506" s="24"/>
      <c r="AH1506" s="24"/>
      <c r="AI1506" s="24"/>
      <c r="AJ1506" s="24"/>
      <c r="AK1506" s="24"/>
      <c r="AL1506" s="24"/>
      <c r="AM1506" s="24"/>
      <c r="AN1506" s="24"/>
      <c r="AO1506" s="24"/>
      <c r="AP1506" s="24"/>
      <c r="AQ1506" s="24"/>
      <c r="AR1506" s="54"/>
    </row>
    <row r="1507">
      <c r="A1507" s="57"/>
      <c r="B1507" s="24"/>
      <c r="C1507" s="24"/>
      <c r="D1507" s="24"/>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c r="AA1507" s="24"/>
      <c r="AB1507" s="24"/>
      <c r="AC1507" s="24"/>
      <c r="AD1507" s="24"/>
      <c r="AE1507" s="24"/>
      <c r="AF1507" s="24"/>
      <c r="AG1507" s="24"/>
      <c r="AH1507" s="24"/>
      <c r="AI1507" s="24"/>
      <c r="AJ1507" s="24"/>
      <c r="AK1507" s="24"/>
      <c r="AL1507" s="24"/>
      <c r="AM1507" s="24"/>
      <c r="AN1507" s="24"/>
      <c r="AO1507" s="24"/>
      <c r="AP1507" s="24"/>
      <c r="AQ1507" s="24"/>
      <c r="AR1507" s="54"/>
    </row>
    <row r="1508">
      <c r="A1508" s="57"/>
      <c r="B1508" s="24"/>
      <c r="C1508" s="24"/>
      <c r="D1508" s="24"/>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c r="AA1508" s="24"/>
      <c r="AB1508" s="24"/>
      <c r="AC1508" s="24"/>
      <c r="AD1508" s="24"/>
      <c r="AE1508" s="24"/>
      <c r="AF1508" s="24"/>
      <c r="AG1508" s="24"/>
      <c r="AH1508" s="24"/>
      <c r="AI1508" s="24"/>
      <c r="AJ1508" s="24"/>
      <c r="AK1508" s="24"/>
      <c r="AL1508" s="24"/>
      <c r="AM1508" s="24"/>
      <c r="AN1508" s="24"/>
      <c r="AO1508" s="24"/>
      <c r="AP1508" s="24"/>
      <c r="AQ1508" s="24"/>
      <c r="AR1508" s="54"/>
    </row>
    <row r="1509">
      <c r="A1509" s="57"/>
      <c r="B1509" s="24"/>
      <c r="C1509" s="24"/>
      <c r="D1509" s="24"/>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c r="AA1509" s="24"/>
      <c r="AB1509" s="24"/>
      <c r="AC1509" s="24"/>
      <c r="AD1509" s="24"/>
      <c r="AE1509" s="24"/>
      <c r="AF1509" s="24"/>
      <c r="AG1509" s="24"/>
      <c r="AH1509" s="24"/>
      <c r="AI1509" s="24"/>
      <c r="AJ1509" s="24"/>
      <c r="AK1509" s="24"/>
      <c r="AL1509" s="24"/>
      <c r="AM1509" s="24"/>
      <c r="AN1509" s="24"/>
      <c r="AO1509" s="24"/>
      <c r="AP1509" s="24"/>
      <c r="AQ1509" s="24"/>
      <c r="AR1509" s="54"/>
    </row>
    <row r="1510">
      <c r="A1510" s="57"/>
      <c r="B1510" s="24"/>
      <c r="C1510" s="24"/>
      <c r="D1510" s="24"/>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c r="AA1510" s="24"/>
      <c r="AB1510" s="24"/>
      <c r="AC1510" s="24"/>
      <c r="AD1510" s="24"/>
      <c r="AE1510" s="24"/>
      <c r="AF1510" s="24"/>
      <c r="AG1510" s="24"/>
      <c r="AH1510" s="24"/>
      <c r="AI1510" s="24"/>
      <c r="AJ1510" s="24"/>
      <c r="AK1510" s="24"/>
      <c r="AL1510" s="24"/>
      <c r="AM1510" s="24"/>
      <c r="AN1510" s="24"/>
      <c r="AO1510" s="24"/>
      <c r="AP1510" s="24"/>
      <c r="AQ1510" s="24"/>
      <c r="AR1510" s="54"/>
    </row>
    <row r="1511">
      <c r="A1511" s="57"/>
      <c r="B1511" s="24"/>
      <c r="C1511" s="24"/>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c r="AA1511" s="24"/>
      <c r="AB1511" s="24"/>
      <c r="AC1511" s="24"/>
      <c r="AD1511" s="24"/>
      <c r="AE1511" s="24"/>
      <c r="AF1511" s="24"/>
      <c r="AG1511" s="24"/>
      <c r="AH1511" s="24"/>
      <c r="AI1511" s="24"/>
      <c r="AJ1511" s="24"/>
      <c r="AK1511" s="24"/>
      <c r="AL1511" s="24"/>
      <c r="AM1511" s="24"/>
      <c r="AN1511" s="24"/>
      <c r="AO1511" s="24"/>
      <c r="AP1511" s="24"/>
      <c r="AQ1511" s="24"/>
      <c r="AR1511" s="54"/>
    </row>
    <row r="1512">
      <c r="A1512" s="57"/>
      <c r="B1512" s="24"/>
      <c r="C1512" s="24"/>
      <c r="D1512" s="24"/>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c r="AA1512" s="24"/>
      <c r="AB1512" s="24"/>
      <c r="AC1512" s="24"/>
      <c r="AD1512" s="24"/>
      <c r="AE1512" s="24"/>
      <c r="AF1512" s="24"/>
      <c r="AG1512" s="24"/>
      <c r="AH1512" s="24"/>
      <c r="AI1512" s="24"/>
      <c r="AJ1512" s="24"/>
      <c r="AK1512" s="24"/>
      <c r="AL1512" s="24"/>
      <c r="AM1512" s="24"/>
      <c r="AN1512" s="24"/>
      <c r="AO1512" s="24"/>
      <c r="AP1512" s="24"/>
      <c r="AQ1512" s="24"/>
      <c r="AR1512" s="54"/>
    </row>
    <row r="1513">
      <c r="A1513" s="57"/>
      <c r="B1513" s="24"/>
      <c r="C1513" s="24"/>
      <c r="D1513" s="24"/>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c r="AA1513" s="24"/>
      <c r="AB1513" s="24"/>
      <c r="AC1513" s="24"/>
      <c r="AD1513" s="24"/>
      <c r="AE1513" s="24"/>
      <c r="AF1513" s="24"/>
      <c r="AG1513" s="24"/>
      <c r="AH1513" s="24"/>
      <c r="AI1513" s="24"/>
      <c r="AJ1513" s="24"/>
      <c r="AK1513" s="24"/>
      <c r="AL1513" s="24"/>
      <c r="AM1513" s="24"/>
      <c r="AN1513" s="24"/>
      <c r="AO1513" s="24"/>
      <c r="AP1513" s="24"/>
      <c r="AQ1513" s="24"/>
      <c r="AR1513" s="54"/>
    </row>
    <row r="1514">
      <c r="A1514" s="57"/>
      <c r="B1514" s="24"/>
      <c r="C1514" s="24"/>
      <c r="D1514" s="24"/>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c r="AA1514" s="24"/>
      <c r="AB1514" s="24"/>
      <c r="AC1514" s="24"/>
      <c r="AD1514" s="24"/>
      <c r="AE1514" s="24"/>
      <c r="AF1514" s="24"/>
      <c r="AG1514" s="24"/>
      <c r="AH1514" s="24"/>
      <c r="AI1514" s="24"/>
      <c r="AJ1514" s="24"/>
      <c r="AK1514" s="24"/>
      <c r="AL1514" s="24"/>
      <c r="AM1514" s="24"/>
      <c r="AN1514" s="24"/>
      <c r="AO1514" s="24"/>
      <c r="AP1514" s="24"/>
      <c r="AQ1514" s="24"/>
      <c r="AR1514" s="54"/>
    </row>
    <row r="1515">
      <c r="A1515" s="57"/>
      <c r="B1515" s="24"/>
      <c r="C1515" s="24"/>
      <c r="D1515" s="24"/>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c r="AA1515" s="24"/>
      <c r="AB1515" s="24"/>
      <c r="AC1515" s="24"/>
      <c r="AD1515" s="24"/>
      <c r="AE1515" s="24"/>
      <c r="AF1515" s="24"/>
      <c r="AG1515" s="24"/>
      <c r="AH1515" s="24"/>
      <c r="AI1515" s="24"/>
      <c r="AJ1515" s="24"/>
      <c r="AK1515" s="24"/>
      <c r="AL1515" s="24"/>
      <c r="AM1515" s="24"/>
      <c r="AN1515" s="24"/>
      <c r="AO1515" s="24"/>
      <c r="AP1515" s="24"/>
      <c r="AQ1515" s="24"/>
      <c r="AR1515" s="54"/>
    </row>
    <row r="1516">
      <c r="A1516" s="57"/>
      <c r="B1516" s="24"/>
      <c r="C1516" s="24"/>
      <c r="D1516" s="24"/>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c r="AA1516" s="24"/>
      <c r="AB1516" s="24"/>
      <c r="AC1516" s="24"/>
      <c r="AD1516" s="24"/>
      <c r="AE1516" s="24"/>
      <c r="AF1516" s="24"/>
      <c r="AG1516" s="24"/>
      <c r="AH1516" s="24"/>
      <c r="AI1516" s="24"/>
      <c r="AJ1516" s="24"/>
      <c r="AK1516" s="24"/>
      <c r="AL1516" s="24"/>
      <c r="AM1516" s="24"/>
      <c r="AN1516" s="24"/>
      <c r="AO1516" s="24"/>
      <c r="AP1516" s="24"/>
      <c r="AQ1516" s="24"/>
      <c r="AR1516" s="54"/>
    </row>
    <row r="1517">
      <c r="A1517" s="57"/>
      <c r="B1517" s="24"/>
      <c r="C1517" s="24"/>
      <c r="D1517" s="24"/>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c r="AA1517" s="24"/>
      <c r="AB1517" s="24"/>
      <c r="AC1517" s="24"/>
      <c r="AD1517" s="24"/>
      <c r="AE1517" s="24"/>
      <c r="AF1517" s="24"/>
      <c r="AG1517" s="24"/>
      <c r="AH1517" s="24"/>
      <c r="AI1517" s="24"/>
      <c r="AJ1517" s="24"/>
      <c r="AK1517" s="24"/>
      <c r="AL1517" s="24"/>
      <c r="AM1517" s="24"/>
      <c r="AN1517" s="24"/>
      <c r="AO1517" s="24"/>
      <c r="AP1517" s="24"/>
      <c r="AQ1517" s="24"/>
      <c r="AR1517" s="54"/>
    </row>
    <row r="1518">
      <c r="A1518" s="57"/>
      <c r="B1518" s="24"/>
      <c r="C1518" s="24"/>
      <c r="D1518" s="24"/>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c r="AA1518" s="24"/>
      <c r="AB1518" s="24"/>
      <c r="AC1518" s="24"/>
      <c r="AD1518" s="24"/>
      <c r="AE1518" s="24"/>
      <c r="AF1518" s="24"/>
      <c r="AG1518" s="24"/>
      <c r="AH1518" s="24"/>
      <c r="AI1518" s="24"/>
      <c r="AJ1518" s="24"/>
      <c r="AK1518" s="24"/>
      <c r="AL1518" s="24"/>
      <c r="AM1518" s="24"/>
      <c r="AN1518" s="24"/>
      <c r="AO1518" s="24"/>
      <c r="AP1518" s="24"/>
      <c r="AQ1518" s="24"/>
      <c r="AR1518" s="54"/>
    </row>
    <row r="1519">
      <c r="A1519" s="57"/>
      <c r="B1519" s="24"/>
      <c r="C1519" s="24"/>
      <c r="D1519" s="24"/>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c r="AA1519" s="24"/>
      <c r="AB1519" s="24"/>
      <c r="AC1519" s="24"/>
      <c r="AD1519" s="24"/>
      <c r="AE1519" s="24"/>
      <c r="AF1519" s="24"/>
      <c r="AG1519" s="24"/>
      <c r="AH1519" s="24"/>
      <c r="AI1519" s="24"/>
      <c r="AJ1519" s="24"/>
      <c r="AK1519" s="24"/>
      <c r="AL1519" s="24"/>
      <c r="AM1519" s="24"/>
      <c r="AN1519" s="24"/>
      <c r="AO1519" s="24"/>
      <c r="AP1519" s="24"/>
      <c r="AQ1519" s="24"/>
      <c r="AR1519" s="54"/>
    </row>
    <row r="1520">
      <c r="A1520" s="57"/>
      <c r="B1520" s="24"/>
      <c r="C1520" s="24"/>
      <c r="D1520" s="24"/>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c r="AA1520" s="24"/>
      <c r="AB1520" s="24"/>
      <c r="AC1520" s="24"/>
      <c r="AD1520" s="24"/>
      <c r="AE1520" s="24"/>
      <c r="AF1520" s="24"/>
      <c r="AG1520" s="24"/>
      <c r="AH1520" s="24"/>
      <c r="AI1520" s="24"/>
      <c r="AJ1520" s="24"/>
      <c r="AK1520" s="24"/>
      <c r="AL1520" s="24"/>
      <c r="AM1520" s="24"/>
      <c r="AN1520" s="24"/>
      <c r="AO1520" s="24"/>
      <c r="AP1520" s="24"/>
      <c r="AQ1520" s="24"/>
      <c r="AR1520" s="54"/>
    </row>
    <row r="1521">
      <c r="A1521" s="57"/>
      <c r="B1521" s="24"/>
      <c r="C1521" s="24"/>
      <c r="D1521" s="24"/>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c r="AA1521" s="24"/>
      <c r="AB1521" s="24"/>
      <c r="AC1521" s="24"/>
      <c r="AD1521" s="24"/>
      <c r="AE1521" s="24"/>
      <c r="AF1521" s="24"/>
      <c r="AG1521" s="24"/>
      <c r="AH1521" s="24"/>
      <c r="AI1521" s="24"/>
      <c r="AJ1521" s="24"/>
      <c r="AK1521" s="24"/>
      <c r="AL1521" s="24"/>
      <c r="AM1521" s="24"/>
      <c r="AN1521" s="24"/>
      <c r="AO1521" s="24"/>
      <c r="AP1521" s="24"/>
      <c r="AQ1521" s="24"/>
      <c r="AR1521" s="54"/>
    </row>
    <row r="1522">
      <c r="A1522" s="57"/>
      <c r="B1522" s="24"/>
      <c r="C1522" s="24"/>
      <c r="D1522" s="24"/>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c r="AA1522" s="24"/>
      <c r="AB1522" s="24"/>
      <c r="AC1522" s="24"/>
      <c r="AD1522" s="24"/>
      <c r="AE1522" s="24"/>
      <c r="AF1522" s="24"/>
      <c r="AG1522" s="24"/>
      <c r="AH1522" s="24"/>
      <c r="AI1522" s="24"/>
      <c r="AJ1522" s="24"/>
      <c r="AK1522" s="24"/>
      <c r="AL1522" s="24"/>
      <c r="AM1522" s="24"/>
      <c r="AN1522" s="24"/>
      <c r="AO1522" s="24"/>
      <c r="AP1522" s="24"/>
      <c r="AQ1522" s="24"/>
      <c r="AR1522" s="54"/>
    </row>
    <row r="1523">
      <c r="A1523" s="57"/>
      <c r="B1523" s="24"/>
      <c r="C1523" s="24"/>
      <c r="D1523" s="24"/>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c r="AA1523" s="24"/>
      <c r="AB1523" s="24"/>
      <c r="AC1523" s="24"/>
      <c r="AD1523" s="24"/>
      <c r="AE1523" s="24"/>
      <c r="AF1523" s="24"/>
      <c r="AG1523" s="24"/>
      <c r="AH1523" s="24"/>
      <c r="AI1523" s="24"/>
      <c r="AJ1523" s="24"/>
      <c r="AK1523" s="24"/>
      <c r="AL1523" s="24"/>
      <c r="AM1523" s="24"/>
      <c r="AN1523" s="24"/>
      <c r="AO1523" s="24"/>
      <c r="AP1523" s="24"/>
      <c r="AQ1523" s="24"/>
      <c r="AR1523" s="54"/>
    </row>
    <row r="1524">
      <c r="A1524" s="57"/>
      <c r="B1524" s="24"/>
      <c r="C1524" s="24"/>
      <c r="D1524" s="24"/>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c r="AA1524" s="24"/>
      <c r="AB1524" s="24"/>
      <c r="AC1524" s="24"/>
      <c r="AD1524" s="24"/>
      <c r="AE1524" s="24"/>
      <c r="AF1524" s="24"/>
      <c r="AG1524" s="24"/>
      <c r="AH1524" s="24"/>
      <c r="AI1524" s="24"/>
      <c r="AJ1524" s="24"/>
      <c r="AK1524" s="24"/>
      <c r="AL1524" s="24"/>
      <c r="AM1524" s="24"/>
      <c r="AN1524" s="24"/>
      <c r="AO1524" s="24"/>
      <c r="AP1524" s="24"/>
      <c r="AQ1524" s="24"/>
      <c r="AR1524" s="54"/>
    </row>
    <row r="1525">
      <c r="A1525" s="57"/>
      <c r="B1525" s="24"/>
      <c r="C1525" s="24"/>
      <c r="D1525" s="24"/>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c r="AA1525" s="24"/>
      <c r="AB1525" s="24"/>
      <c r="AC1525" s="24"/>
      <c r="AD1525" s="24"/>
      <c r="AE1525" s="24"/>
      <c r="AF1525" s="24"/>
      <c r="AG1525" s="24"/>
      <c r="AH1525" s="24"/>
      <c r="AI1525" s="24"/>
      <c r="AJ1525" s="24"/>
      <c r="AK1525" s="24"/>
      <c r="AL1525" s="24"/>
      <c r="AM1525" s="24"/>
      <c r="AN1525" s="24"/>
      <c r="AO1525" s="24"/>
      <c r="AP1525" s="24"/>
      <c r="AQ1525" s="24"/>
      <c r="AR1525" s="54"/>
    </row>
    <row r="1526">
      <c r="A1526" s="57"/>
      <c r="B1526" s="24"/>
      <c r="C1526" s="24"/>
      <c r="D1526" s="24"/>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c r="AA1526" s="24"/>
      <c r="AB1526" s="24"/>
      <c r="AC1526" s="24"/>
      <c r="AD1526" s="24"/>
      <c r="AE1526" s="24"/>
      <c r="AF1526" s="24"/>
      <c r="AG1526" s="24"/>
      <c r="AH1526" s="24"/>
      <c r="AI1526" s="24"/>
      <c r="AJ1526" s="24"/>
      <c r="AK1526" s="24"/>
      <c r="AL1526" s="24"/>
      <c r="AM1526" s="24"/>
      <c r="AN1526" s="24"/>
      <c r="AO1526" s="24"/>
      <c r="AP1526" s="24"/>
      <c r="AQ1526" s="24"/>
      <c r="AR1526" s="54"/>
    </row>
    <row r="1527">
      <c r="A1527" s="57"/>
      <c r="B1527" s="24"/>
      <c r="C1527" s="24"/>
      <c r="D1527" s="24"/>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c r="AA1527" s="24"/>
      <c r="AB1527" s="24"/>
      <c r="AC1527" s="24"/>
      <c r="AD1527" s="24"/>
      <c r="AE1527" s="24"/>
      <c r="AF1527" s="24"/>
      <c r="AG1527" s="24"/>
      <c r="AH1527" s="24"/>
      <c r="AI1527" s="24"/>
      <c r="AJ1527" s="24"/>
      <c r="AK1527" s="24"/>
      <c r="AL1527" s="24"/>
      <c r="AM1527" s="24"/>
      <c r="AN1527" s="24"/>
      <c r="AO1527" s="24"/>
      <c r="AP1527" s="24"/>
      <c r="AQ1527" s="24"/>
      <c r="AR1527" s="54"/>
    </row>
    <row r="1528">
      <c r="A1528" s="57"/>
      <c r="B1528" s="24"/>
      <c r="C1528" s="24"/>
      <c r="D1528" s="24"/>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c r="AA1528" s="24"/>
      <c r="AB1528" s="24"/>
      <c r="AC1528" s="24"/>
      <c r="AD1528" s="24"/>
      <c r="AE1528" s="24"/>
      <c r="AF1528" s="24"/>
      <c r="AG1528" s="24"/>
      <c r="AH1528" s="24"/>
      <c r="AI1528" s="24"/>
      <c r="AJ1528" s="24"/>
      <c r="AK1528" s="24"/>
      <c r="AL1528" s="24"/>
      <c r="AM1528" s="24"/>
      <c r="AN1528" s="24"/>
      <c r="AO1528" s="24"/>
      <c r="AP1528" s="24"/>
      <c r="AQ1528" s="24"/>
      <c r="AR1528" s="54"/>
    </row>
    <row r="1529">
      <c r="A1529" s="57"/>
      <c r="B1529" s="24"/>
      <c r="C1529" s="24"/>
      <c r="D1529" s="24"/>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c r="AA1529" s="24"/>
      <c r="AB1529" s="24"/>
      <c r="AC1529" s="24"/>
      <c r="AD1529" s="24"/>
      <c r="AE1529" s="24"/>
      <c r="AF1529" s="24"/>
      <c r="AG1529" s="24"/>
      <c r="AH1529" s="24"/>
      <c r="AI1529" s="24"/>
      <c r="AJ1529" s="24"/>
      <c r="AK1529" s="24"/>
      <c r="AL1529" s="24"/>
      <c r="AM1529" s="24"/>
      <c r="AN1529" s="24"/>
      <c r="AO1529" s="24"/>
      <c r="AP1529" s="24"/>
      <c r="AQ1529" s="24"/>
      <c r="AR1529" s="54"/>
    </row>
    <row r="1530">
      <c r="A1530" s="57"/>
      <c r="B1530" s="24"/>
      <c r="C1530" s="24"/>
      <c r="D1530" s="24"/>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c r="AA1530" s="24"/>
      <c r="AB1530" s="24"/>
      <c r="AC1530" s="24"/>
      <c r="AD1530" s="24"/>
      <c r="AE1530" s="24"/>
      <c r="AF1530" s="24"/>
      <c r="AG1530" s="24"/>
      <c r="AH1530" s="24"/>
      <c r="AI1530" s="24"/>
      <c r="AJ1530" s="24"/>
      <c r="AK1530" s="24"/>
      <c r="AL1530" s="24"/>
      <c r="AM1530" s="24"/>
      <c r="AN1530" s="24"/>
      <c r="AO1530" s="24"/>
      <c r="AP1530" s="24"/>
      <c r="AQ1530" s="24"/>
      <c r="AR1530" s="54"/>
    </row>
    <row r="1531">
      <c r="A1531" s="57"/>
      <c r="B1531" s="24"/>
      <c r="C1531" s="24"/>
      <c r="D1531" s="24"/>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c r="AA1531" s="24"/>
      <c r="AB1531" s="24"/>
      <c r="AC1531" s="24"/>
      <c r="AD1531" s="24"/>
      <c r="AE1531" s="24"/>
      <c r="AF1531" s="24"/>
      <c r="AG1531" s="24"/>
      <c r="AH1531" s="24"/>
      <c r="AI1531" s="24"/>
      <c r="AJ1531" s="24"/>
      <c r="AK1531" s="24"/>
      <c r="AL1531" s="24"/>
      <c r="AM1531" s="24"/>
      <c r="AN1531" s="24"/>
      <c r="AO1531" s="24"/>
      <c r="AP1531" s="24"/>
      <c r="AQ1531" s="24"/>
      <c r="AR1531" s="54"/>
    </row>
    <row r="1532">
      <c r="A1532" s="57"/>
      <c r="B1532" s="24"/>
      <c r="C1532" s="24"/>
      <c r="D1532" s="24"/>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c r="AA1532" s="24"/>
      <c r="AB1532" s="24"/>
      <c r="AC1532" s="24"/>
      <c r="AD1532" s="24"/>
      <c r="AE1532" s="24"/>
      <c r="AF1532" s="24"/>
      <c r="AG1532" s="24"/>
      <c r="AH1532" s="24"/>
      <c r="AI1532" s="24"/>
      <c r="AJ1532" s="24"/>
      <c r="AK1532" s="24"/>
      <c r="AL1532" s="24"/>
      <c r="AM1532" s="24"/>
      <c r="AN1532" s="24"/>
      <c r="AO1532" s="24"/>
      <c r="AP1532" s="24"/>
      <c r="AQ1532" s="24"/>
      <c r="AR1532" s="54"/>
    </row>
    <row r="1533">
      <c r="A1533" s="57"/>
      <c r="B1533" s="24"/>
      <c r="C1533" s="24"/>
      <c r="D1533" s="24"/>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c r="AA1533" s="24"/>
      <c r="AB1533" s="24"/>
      <c r="AC1533" s="24"/>
      <c r="AD1533" s="24"/>
      <c r="AE1533" s="24"/>
      <c r="AF1533" s="24"/>
      <c r="AG1533" s="24"/>
      <c r="AH1533" s="24"/>
      <c r="AI1533" s="24"/>
      <c r="AJ1533" s="24"/>
      <c r="AK1533" s="24"/>
      <c r="AL1533" s="24"/>
      <c r="AM1533" s="24"/>
      <c r="AN1533" s="24"/>
      <c r="AO1533" s="24"/>
      <c r="AP1533" s="24"/>
      <c r="AQ1533" s="24"/>
      <c r="AR1533" s="54"/>
    </row>
    <row r="1534">
      <c r="A1534" s="57"/>
      <c r="B1534" s="24"/>
      <c r="C1534" s="24"/>
      <c r="D1534" s="24"/>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c r="AA1534" s="24"/>
      <c r="AB1534" s="24"/>
      <c r="AC1534" s="24"/>
      <c r="AD1534" s="24"/>
      <c r="AE1534" s="24"/>
      <c r="AF1534" s="24"/>
      <c r="AG1534" s="24"/>
      <c r="AH1534" s="24"/>
      <c r="AI1534" s="24"/>
      <c r="AJ1534" s="24"/>
      <c r="AK1534" s="24"/>
      <c r="AL1534" s="24"/>
      <c r="AM1534" s="24"/>
      <c r="AN1534" s="24"/>
      <c r="AO1534" s="24"/>
      <c r="AP1534" s="24"/>
      <c r="AQ1534" s="24"/>
      <c r="AR1534" s="54"/>
    </row>
    <row r="1535">
      <c r="A1535" s="57"/>
      <c r="B1535" s="24"/>
      <c r="C1535" s="24"/>
      <c r="D1535" s="24"/>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c r="AA1535" s="24"/>
      <c r="AB1535" s="24"/>
      <c r="AC1535" s="24"/>
      <c r="AD1535" s="24"/>
      <c r="AE1535" s="24"/>
      <c r="AF1535" s="24"/>
      <c r="AG1535" s="24"/>
      <c r="AH1535" s="24"/>
      <c r="AI1535" s="24"/>
      <c r="AJ1535" s="24"/>
      <c r="AK1535" s="24"/>
      <c r="AL1535" s="24"/>
      <c r="AM1535" s="24"/>
      <c r="AN1535" s="24"/>
      <c r="AO1535" s="24"/>
      <c r="AP1535" s="24"/>
      <c r="AQ1535" s="24"/>
      <c r="AR1535" s="54"/>
    </row>
    <row r="1536">
      <c r="A1536" s="57"/>
      <c r="B1536" s="24"/>
      <c r="C1536" s="24"/>
      <c r="D1536" s="24"/>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c r="AA1536" s="24"/>
      <c r="AB1536" s="24"/>
      <c r="AC1536" s="24"/>
      <c r="AD1536" s="24"/>
      <c r="AE1536" s="24"/>
      <c r="AF1536" s="24"/>
      <c r="AG1536" s="24"/>
      <c r="AH1536" s="24"/>
      <c r="AI1536" s="24"/>
      <c r="AJ1536" s="24"/>
      <c r="AK1536" s="24"/>
      <c r="AL1536" s="24"/>
      <c r="AM1536" s="24"/>
      <c r="AN1536" s="24"/>
      <c r="AO1536" s="24"/>
      <c r="AP1536" s="24"/>
      <c r="AQ1536" s="24"/>
      <c r="AR1536" s="54"/>
    </row>
    <row r="1537">
      <c r="A1537" s="57"/>
      <c r="B1537" s="24"/>
      <c r="C1537" s="24"/>
      <c r="D1537" s="24"/>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c r="AA1537" s="24"/>
      <c r="AB1537" s="24"/>
      <c r="AC1537" s="24"/>
      <c r="AD1537" s="24"/>
      <c r="AE1537" s="24"/>
      <c r="AF1537" s="24"/>
      <c r="AG1537" s="24"/>
      <c r="AH1537" s="24"/>
      <c r="AI1537" s="24"/>
      <c r="AJ1537" s="24"/>
      <c r="AK1537" s="24"/>
      <c r="AL1537" s="24"/>
      <c r="AM1537" s="24"/>
      <c r="AN1537" s="24"/>
      <c r="AO1537" s="24"/>
      <c r="AP1537" s="24"/>
      <c r="AQ1537" s="24"/>
      <c r="AR1537" s="54"/>
    </row>
    <row r="1538">
      <c r="A1538" s="57"/>
      <c r="B1538" s="24"/>
      <c r="C1538" s="24"/>
      <c r="D1538" s="24"/>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c r="AA1538" s="24"/>
      <c r="AB1538" s="24"/>
      <c r="AC1538" s="24"/>
      <c r="AD1538" s="24"/>
      <c r="AE1538" s="24"/>
      <c r="AF1538" s="24"/>
      <c r="AG1538" s="24"/>
      <c r="AH1538" s="24"/>
      <c r="AI1538" s="24"/>
      <c r="AJ1538" s="24"/>
      <c r="AK1538" s="24"/>
      <c r="AL1538" s="24"/>
      <c r="AM1538" s="24"/>
      <c r="AN1538" s="24"/>
      <c r="AO1538" s="24"/>
      <c r="AP1538" s="24"/>
      <c r="AQ1538" s="24"/>
      <c r="AR1538" s="54"/>
    </row>
    <row r="1539">
      <c r="A1539" s="57"/>
      <c r="B1539" s="24"/>
      <c r="C1539" s="24"/>
      <c r="D1539" s="24"/>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c r="AA1539" s="24"/>
      <c r="AB1539" s="24"/>
      <c r="AC1539" s="24"/>
      <c r="AD1539" s="24"/>
      <c r="AE1539" s="24"/>
      <c r="AF1539" s="24"/>
      <c r="AG1539" s="24"/>
      <c r="AH1539" s="24"/>
      <c r="AI1539" s="24"/>
      <c r="AJ1539" s="24"/>
      <c r="AK1539" s="24"/>
      <c r="AL1539" s="24"/>
      <c r="AM1539" s="24"/>
      <c r="AN1539" s="24"/>
      <c r="AO1539" s="24"/>
      <c r="AP1539" s="24"/>
      <c r="AQ1539" s="24"/>
      <c r="AR1539" s="54"/>
    </row>
    <row r="1540">
      <c r="A1540" s="57"/>
      <c r="B1540" s="24"/>
      <c r="C1540" s="24"/>
      <c r="D1540" s="24"/>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c r="AA1540" s="24"/>
      <c r="AB1540" s="24"/>
      <c r="AC1540" s="24"/>
      <c r="AD1540" s="24"/>
      <c r="AE1540" s="24"/>
      <c r="AF1540" s="24"/>
      <c r="AG1540" s="24"/>
      <c r="AH1540" s="24"/>
      <c r="AI1540" s="24"/>
      <c r="AJ1540" s="24"/>
      <c r="AK1540" s="24"/>
      <c r="AL1540" s="24"/>
      <c r="AM1540" s="24"/>
      <c r="AN1540" s="24"/>
      <c r="AO1540" s="24"/>
      <c r="AP1540" s="24"/>
      <c r="AQ1540" s="24"/>
      <c r="AR1540" s="54"/>
    </row>
    <row r="1541">
      <c r="A1541" s="57"/>
      <c r="B1541" s="24"/>
      <c r="C1541" s="24"/>
      <c r="D1541" s="24"/>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c r="AA1541" s="24"/>
      <c r="AB1541" s="24"/>
      <c r="AC1541" s="24"/>
      <c r="AD1541" s="24"/>
      <c r="AE1541" s="24"/>
      <c r="AF1541" s="24"/>
      <c r="AG1541" s="24"/>
      <c r="AH1541" s="24"/>
      <c r="AI1541" s="24"/>
      <c r="AJ1541" s="24"/>
      <c r="AK1541" s="24"/>
      <c r="AL1541" s="24"/>
      <c r="AM1541" s="24"/>
      <c r="AN1541" s="24"/>
      <c r="AO1541" s="24"/>
      <c r="AP1541" s="24"/>
      <c r="AQ1541" s="24"/>
      <c r="AR1541" s="54"/>
    </row>
    <row r="1542">
      <c r="A1542" s="57"/>
      <c r="B1542" s="24"/>
      <c r="C1542" s="24"/>
      <c r="D1542" s="24"/>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c r="AA1542" s="24"/>
      <c r="AB1542" s="24"/>
      <c r="AC1542" s="24"/>
      <c r="AD1542" s="24"/>
      <c r="AE1542" s="24"/>
      <c r="AF1542" s="24"/>
      <c r="AG1542" s="24"/>
      <c r="AH1542" s="24"/>
      <c r="AI1542" s="24"/>
      <c r="AJ1542" s="24"/>
      <c r="AK1542" s="24"/>
      <c r="AL1542" s="24"/>
      <c r="AM1542" s="24"/>
      <c r="AN1542" s="24"/>
      <c r="AO1542" s="24"/>
      <c r="AP1542" s="24"/>
      <c r="AQ1542" s="24"/>
      <c r="AR1542" s="54"/>
    </row>
    <row r="1543">
      <c r="A1543" s="57"/>
      <c r="B1543" s="24"/>
      <c r="C1543" s="24"/>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c r="AA1543" s="24"/>
      <c r="AB1543" s="24"/>
      <c r="AC1543" s="24"/>
      <c r="AD1543" s="24"/>
      <c r="AE1543" s="24"/>
      <c r="AF1543" s="24"/>
      <c r="AG1543" s="24"/>
      <c r="AH1543" s="24"/>
      <c r="AI1543" s="24"/>
      <c r="AJ1543" s="24"/>
      <c r="AK1543" s="24"/>
      <c r="AL1543" s="24"/>
      <c r="AM1543" s="24"/>
      <c r="AN1543" s="24"/>
      <c r="AO1543" s="24"/>
      <c r="AP1543" s="24"/>
      <c r="AQ1543" s="24"/>
      <c r="AR1543" s="54"/>
    </row>
    <row r="1544">
      <c r="A1544" s="57"/>
      <c r="B1544" s="24"/>
      <c r="C1544" s="24"/>
      <c r="D1544" s="24"/>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c r="AA1544" s="24"/>
      <c r="AB1544" s="24"/>
      <c r="AC1544" s="24"/>
      <c r="AD1544" s="24"/>
      <c r="AE1544" s="24"/>
      <c r="AF1544" s="24"/>
      <c r="AG1544" s="24"/>
      <c r="AH1544" s="24"/>
      <c r="AI1544" s="24"/>
      <c r="AJ1544" s="24"/>
      <c r="AK1544" s="24"/>
      <c r="AL1544" s="24"/>
      <c r="AM1544" s="24"/>
      <c r="AN1544" s="24"/>
      <c r="AO1544" s="24"/>
      <c r="AP1544" s="24"/>
      <c r="AQ1544" s="24"/>
      <c r="AR1544" s="54"/>
    </row>
    <row r="1545">
      <c r="A1545" s="57"/>
      <c r="B1545" s="24"/>
      <c r="C1545" s="24"/>
      <c r="D1545" s="24"/>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c r="AA1545" s="24"/>
      <c r="AB1545" s="24"/>
      <c r="AC1545" s="24"/>
      <c r="AD1545" s="24"/>
      <c r="AE1545" s="24"/>
      <c r="AF1545" s="24"/>
      <c r="AG1545" s="24"/>
      <c r="AH1545" s="24"/>
      <c r="AI1545" s="24"/>
      <c r="AJ1545" s="24"/>
      <c r="AK1545" s="24"/>
      <c r="AL1545" s="24"/>
      <c r="AM1545" s="24"/>
      <c r="AN1545" s="24"/>
      <c r="AO1545" s="24"/>
      <c r="AP1545" s="24"/>
      <c r="AQ1545" s="24"/>
      <c r="AR1545" s="54"/>
    </row>
    <row r="1546">
      <c r="A1546" s="57"/>
      <c r="B1546" s="24"/>
      <c r="C1546" s="24"/>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c r="AA1546" s="24"/>
      <c r="AB1546" s="24"/>
      <c r="AC1546" s="24"/>
      <c r="AD1546" s="24"/>
      <c r="AE1546" s="24"/>
      <c r="AF1546" s="24"/>
      <c r="AG1546" s="24"/>
      <c r="AH1546" s="24"/>
      <c r="AI1546" s="24"/>
      <c r="AJ1546" s="24"/>
      <c r="AK1546" s="24"/>
      <c r="AL1546" s="24"/>
      <c r="AM1546" s="24"/>
      <c r="AN1546" s="24"/>
      <c r="AO1546" s="24"/>
      <c r="AP1546" s="24"/>
      <c r="AQ1546" s="24"/>
      <c r="AR1546" s="54"/>
    </row>
    <row r="1547">
      <c r="A1547" s="57"/>
      <c r="B1547" s="24"/>
      <c r="C1547" s="24"/>
      <c r="D1547" s="24"/>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c r="AA1547" s="24"/>
      <c r="AB1547" s="24"/>
      <c r="AC1547" s="24"/>
      <c r="AD1547" s="24"/>
      <c r="AE1547" s="24"/>
      <c r="AF1547" s="24"/>
      <c r="AG1547" s="24"/>
      <c r="AH1547" s="24"/>
      <c r="AI1547" s="24"/>
      <c r="AJ1547" s="24"/>
      <c r="AK1547" s="24"/>
      <c r="AL1547" s="24"/>
      <c r="AM1547" s="24"/>
      <c r="AN1547" s="24"/>
      <c r="AO1547" s="24"/>
      <c r="AP1547" s="24"/>
      <c r="AQ1547" s="24"/>
      <c r="AR1547" s="54"/>
    </row>
    <row r="1548">
      <c r="A1548" s="57"/>
      <c r="B1548" s="24"/>
      <c r="C1548" s="24"/>
      <c r="D1548" s="24"/>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c r="AA1548" s="24"/>
      <c r="AB1548" s="24"/>
      <c r="AC1548" s="24"/>
      <c r="AD1548" s="24"/>
      <c r="AE1548" s="24"/>
      <c r="AF1548" s="24"/>
      <c r="AG1548" s="24"/>
      <c r="AH1548" s="24"/>
      <c r="AI1548" s="24"/>
      <c r="AJ1548" s="24"/>
      <c r="AK1548" s="24"/>
      <c r="AL1548" s="24"/>
      <c r="AM1548" s="24"/>
      <c r="AN1548" s="24"/>
      <c r="AO1548" s="24"/>
      <c r="AP1548" s="24"/>
      <c r="AQ1548" s="24"/>
      <c r="AR1548" s="54"/>
    </row>
    <row r="1549">
      <c r="A1549" s="57"/>
      <c r="B1549" s="24"/>
      <c r="C1549" s="24"/>
      <c r="D1549" s="24"/>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c r="AA1549" s="24"/>
      <c r="AB1549" s="24"/>
      <c r="AC1549" s="24"/>
      <c r="AD1549" s="24"/>
      <c r="AE1549" s="24"/>
      <c r="AF1549" s="24"/>
      <c r="AG1549" s="24"/>
      <c r="AH1549" s="24"/>
      <c r="AI1549" s="24"/>
      <c r="AJ1549" s="24"/>
      <c r="AK1549" s="24"/>
      <c r="AL1549" s="24"/>
      <c r="AM1549" s="24"/>
      <c r="AN1549" s="24"/>
      <c r="AO1549" s="24"/>
      <c r="AP1549" s="24"/>
      <c r="AQ1549" s="24"/>
      <c r="AR1549" s="54"/>
    </row>
    <row r="1550">
      <c r="A1550" s="57"/>
      <c r="B1550" s="24"/>
      <c r="C1550" s="24"/>
      <c r="D1550" s="24"/>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c r="AA1550" s="24"/>
      <c r="AB1550" s="24"/>
      <c r="AC1550" s="24"/>
      <c r="AD1550" s="24"/>
      <c r="AE1550" s="24"/>
      <c r="AF1550" s="24"/>
      <c r="AG1550" s="24"/>
      <c r="AH1550" s="24"/>
      <c r="AI1550" s="24"/>
      <c r="AJ1550" s="24"/>
      <c r="AK1550" s="24"/>
      <c r="AL1550" s="24"/>
      <c r="AM1550" s="24"/>
      <c r="AN1550" s="24"/>
      <c r="AO1550" s="24"/>
      <c r="AP1550" s="24"/>
      <c r="AQ1550" s="24"/>
      <c r="AR1550" s="54"/>
    </row>
    <row r="1551">
      <c r="A1551" s="57"/>
      <c r="B1551" s="24"/>
      <c r="C1551" s="24"/>
      <c r="D1551" s="24"/>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c r="AA1551" s="24"/>
      <c r="AB1551" s="24"/>
      <c r="AC1551" s="24"/>
      <c r="AD1551" s="24"/>
      <c r="AE1551" s="24"/>
      <c r="AF1551" s="24"/>
      <c r="AG1551" s="24"/>
      <c r="AH1551" s="24"/>
      <c r="AI1551" s="24"/>
      <c r="AJ1551" s="24"/>
      <c r="AK1551" s="24"/>
      <c r="AL1551" s="24"/>
      <c r="AM1551" s="24"/>
      <c r="AN1551" s="24"/>
      <c r="AO1551" s="24"/>
      <c r="AP1551" s="24"/>
      <c r="AQ1551" s="24"/>
      <c r="AR1551" s="54"/>
    </row>
    <row r="1552">
      <c r="A1552" s="57"/>
      <c r="B1552" s="24"/>
      <c r="C1552" s="24"/>
      <c r="D1552" s="24"/>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c r="AA1552" s="24"/>
      <c r="AB1552" s="24"/>
      <c r="AC1552" s="24"/>
      <c r="AD1552" s="24"/>
      <c r="AE1552" s="24"/>
      <c r="AF1552" s="24"/>
      <c r="AG1552" s="24"/>
      <c r="AH1552" s="24"/>
      <c r="AI1552" s="24"/>
      <c r="AJ1552" s="24"/>
      <c r="AK1552" s="24"/>
      <c r="AL1552" s="24"/>
      <c r="AM1552" s="24"/>
      <c r="AN1552" s="24"/>
      <c r="AO1552" s="24"/>
      <c r="AP1552" s="24"/>
      <c r="AQ1552" s="24"/>
      <c r="AR1552" s="54"/>
    </row>
    <row r="1553">
      <c r="A1553" s="57"/>
      <c r="B1553" s="24"/>
      <c r="C1553" s="24"/>
      <c r="D1553" s="24"/>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c r="AA1553" s="24"/>
      <c r="AB1553" s="24"/>
      <c r="AC1553" s="24"/>
      <c r="AD1553" s="24"/>
      <c r="AE1553" s="24"/>
      <c r="AF1553" s="24"/>
      <c r="AG1553" s="24"/>
      <c r="AH1553" s="24"/>
      <c r="AI1553" s="24"/>
      <c r="AJ1553" s="24"/>
      <c r="AK1553" s="24"/>
      <c r="AL1553" s="24"/>
      <c r="AM1553" s="24"/>
      <c r="AN1553" s="24"/>
      <c r="AO1553" s="24"/>
      <c r="AP1553" s="24"/>
      <c r="AQ1553" s="24"/>
      <c r="AR1553" s="54"/>
    </row>
    <row r="1554">
      <c r="A1554" s="57"/>
      <c r="B1554" s="24"/>
      <c r="C1554" s="24"/>
      <c r="D1554" s="24"/>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c r="AA1554" s="24"/>
      <c r="AB1554" s="24"/>
      <c r="AC1554" s="24"/>
      <c r="AD1554" s="24"/>
      <c r="AE1554" s="24"/>
      <c r="AF1554" s="24"/>
      <c r="AG1554" s="24"/>
      <c r="AH1554" s="24"/>
      <c r="AI1554" s="24"/>
      <c r="AJ1554" s="24"/>
      <c r="AK1554" s="24"/>
      <c r="AL1554" s="24"/>
      <c r="AM1554" s="24"/>
      <c r="AN1554" s="24"/>
      <c r="AO1554" s="24"/>
      <c r="AP1554" s="24"/>
      <c r="AQ1554" s="24"/>
      <c r="AR1554" s="54"/>
    </row>
    <row r="1555">
      <c r="A1555" s="57"/>
      <c r="B1555" s="24"/>
      <c r="C1555" s="24"/>
      <c r="D1555" s="24"/>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c r="AA1555" s="24"/>
      <c r="AB1555" s="24"/>
      <c r="AC1555" s="24"/>
      <c r="AD1555" s="24"/>
      <c r="AE1555" s="24"/>
      <c r="AF1555" s="24"/>
      <c r="AG1555" s="24"/>
      <c r="AH1555" s="24"/>
      <c r="AI1555" s="24"/>
      <c r="AJ1555" s="24"/>
      <c r="AK1555" s="24"/>
      <c r="AL1555" s="24"/>
      <c r="AM1555" s="24"/>
      <c r="AN1555" s="24"/>
      <c r="AO1555" s="24"/>
      <c r="AP1555" s="24"/>
      <c r="AQ1555" s="24"/>
      <c r="AR1555" s="54"/>
    </row>
    <row r="1556">
      <c r="A1556" s="57"/>
      <c r="B1556" s="24"/>
      <c r="C1556" s="24"/>
      <c r="D1556" s="24"/>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c r="AA1556" s="24"/>
      <c r="AB1556" s="24"/>
      <c r="AC1556" s="24"/>
      <c r="AD1556" s="24"/>
      <c r="AE1556" s="24"/>
      <c r="AF1556" s="24"/>
      <c r="AG1556" s="24"/>
      <c r="AH1556" s="24"/>
      <c r="AI1556" s="24"/>
      <c r="AJ1556" s="24"/>
      <c r="AK1556" s="24"/>
      <c r="AL1556" s="24"/>
      <c r="AM1556" s="24"/>
      <c r="AN1556" s="24"/>
      <c r="AO1556" s="24"/>
      <c r="AP1556" s="24"/>
      <c r="AQ1556" s="24"/>
      <c r="AR1556" s="54"/>
    </row>
    <row r="1557">
      <c r="A1557" s="57"/>
      <c r="B1557" s="24"/>
      <c r="C1557" s="24"/>
      <c r="D1557" s="24"/>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c r="AA1557" s="24"/>
      <c r="AB1557" s="24"/>
      <c r="AC1557" s="24"/>
      <c r="AD1557" s="24"/>
      <c r="AE1557" s="24"/>
      <c r="AF1557" s="24"/>
      <c r="AG1557" s="24"/>
      <c r="AH1557" s="24"/>
      <c r="AI1557" s="24"/>
      <c r="AJ1557" s="24"/>
      <c r="AK1557" s="24"/>
      <c r="AL1557" s="24"/>
      <c r="AM1557" s="24"/>
      <c r="AN1557" s="24"/>
      <c r="AO1557" s="24"/>
      <c r="AP1557" s="24"/>
      <c r="AQ1557" s="24"/>
      <c r="AR1557" s="54"/>
    </row>
    <row r="1558">
      <c r="A1558" s="57"/>
      <c r="B1558" s="24"/>
      <c r="C1558" s="24"/>
      <c r="D1558" s="24"/>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c r="AA1558" s="24"/>
      <c r="AB1558" s="24"/>
      <c r="AC1558" s="24"/>
      <c r="AD1558" s="24"/>
      <c r="AE1558" s="24"/>
      <c r="AF1558" s="24"/>
      <c r="AG1558" s="24"/>
      <c r="AH1558" s="24"/>
      <c r="AI1558" s="24"/>
      <c r="AJ1558" s="24"/>
      <c r="AK1558" s="24"/>
      <c r="AL1558" s="24"/>
      <c r="AM1558" s="24"/>
      <c r="AN1558" s="24"/>
      <c r="AO1558" s="24"/>
      <c r="AP1558" s="24"/>
      <c r="AQ1558" s="24"/>
      <c r="AR1558" s="54"/>
    </row>
    <row r="1559">
      <c r="A1559" s="57"/>
      <c r="B1559" s="24"/>
      <c r="C1559" s="24"/>
      <c r="D1559" s="24"/>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c r="AA1559" s="24"/>
      <c r="AB1559" s="24"/>
      <c r="AC1559" s="24"/>
      <c r="AD1559" s="24"/>
      <c r="AE1559" s="24"/>
      <c r="AF1559" s="24"/>
      <c r="AG1559" s="24"/>
      <c r="AH1559" s="24"/>
      <c r="AI1559" s="24"/>
      <c r="AJ1559" s="24"/>
      <c r="AK1559" s="24"/>
      <c r="AL1559" s="24"/>
      <c r="AM1559" s="24"/>
      <c r="AN1559" s="24"/>
      <c r="AO1559" s="24"/>
      <c r="AP1559" s="24"/>
      <c r="AQ1559" s="24"/>
      <c r="AR1559" s="54"/>
    </row>
    <row r="1560">
      <c r="A1560" s="57"/>
      <c r="B1560" s="24"/>
      <c r="C1560" s="24"/>
      <c r="D1560" s="24"/>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c r="AA1560" s="24"/>
      <c r="AB1560" s="24"/>
      <c r="AC1560" s="24"/>
      <c r="AD1560" s="24"/>
      <c r="AE1560" s="24"/>
      <c r="AF1560" s="24"/>
      <c r="AG1560" s="24"/>
      <c r="AH1560" s="24"/>
      <c r="AI1560" s="24"/>
      <c r="AJ1560" s="24"/>
      <c r="AK1560" s="24"/>
      <c r="AL1560" s="24"/>
      <c r="AM1560" s="24"/>
      <c r="AN1560" s="24"/>
      <c r="AO1560" s="24"/>
      <c r="AP1560" s="24"/>
      <c r="AQ1560" s="24"/>
      <c r="AR1560" s="54"/>
    </row>
    <row r="1561">
      <c r="A1561" s="57"/>
      <c r="B1561" s="24"/>
      <c r="C1561" s="24"/>
      <c r="D1561" s="24"/>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c r="AA1561" s="24"/>
      <c r="AB1561" s="24"/>
      <c r="AC1561" s="24"/>
      <c r="AD1561" s="24"/>
      <c r="AE1561" s="24"/>
      <c r="AF1561" s="24"/>
      <c r="AG1561" s="24"/>
      <c r="AH1561" s="24"/>
      <c r="AI1561" s="24"/>
      <c r="AJ1561" s="24"/>
      <c r="AK1561" s="24"/>
      <c r="AL1561" s="24"/>
      <c r="AM1561" s="24"/>
      <c r="AN1561" s="24"/>
      <c r="AO1561" s="24"/>
      <c r="AP1561" s="24"/>
      <c r="AQ1561" s="24"/>
      <c r="AR1561" s="54"/>
    </row>
    <row r="1562">
      <c r="A1562" s="57"/>
      <c r="B1562" s="24"/>
      <c r="C1562" s="24"/>
      <c r="D1562" s="24"/>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c r="AA1562" s="24"/>
      <c r="AB1562" s="24"/>
      <c r="AC1562" s="24"/>
      <c r="AD1562" s="24"/>
      <c r="AE1562" s="24"/>
      <c r="AF1562" s="24"/>
      <c r="AG1562" s="24"/>
      <c r="AH1562" s="24"/>
      <c r="AI1562" s="24"/>
      <c r="AJ1562" s="24"/>
      <c r="AK1562" s="24"/>
      <c r="AL1562" s="24"/>
      <c r="AM1562" s="24"/>
      <c r="AN1562" s="24"/>
      <c r="AO1562" s="24"/>
      <c r="AP1562" s="24"/>
      <c r="AQ1562" s="24"/>
      <c r="AR1562" s="54"/>
    </row>
    <row r="1563">
      <c r="A1563" s="57"/>
      <c r="B1563" s="24"/>
      <c r="C1563" s="24"/>
      <c r="D1563" s="24"/>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c r="AA1563" s="24"/>
      <c r="AB1563" s="24"/>
      <c r="AC1563" s="24"/>
      <c r="AD1563" s="24"/>
      <c r="AE1563" s="24"/>
      <c r="AF1563" s="24"/>
      <c r="AG1563" s="24"/>
      <c r="AH1563" s="24"/>
      <c r="AI1563" s="24"/>
      <c r="AJ1563" s="24"/>
      <c r="AK1563" s="24"/>
      <c r="AL1563" s="24"/>
      <c r="AM1563" s="24"/>
      <c r="AN1563" s="24"/>
      <c r="AO1563" s="24"/>
      <c r="AP1563" s="24"/>
      <c r="AQ1563" s="24"/>
      <c r="AR1563" s="54"/>
    </row>
    <row r="1564">
      <c r="A1564" s="57"/>
      <c r="B1564" s="24"/>
      <c r="C1564" s="24"/>
      <c r="D1564" s="24"/>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c r="AA1564" s="24"/>
      <c r="AB1564" s="24"/>
      <c r="AC1564" s="24"/>
      <c r="AD1564" s="24"/>
      <c r="AE1564" s="24"/>
      <c r="AF1564" s="24"/>
      <c r="AG1564" s="24"/>
      <c r="AH1564" s="24"/>
      <c r="AI1564" s="24"/>
      <c r="AJ1564" s="24"/>
      <c r="AK1564" s="24"/>
      <c r="AL1564" s="24"/>
      <c r="AM1564" s="24"/>
      <c r="AN1564" s="24"/>
      <c r="AO1564" s="24"/>
      <c r="AP1564" s="24"/>
      <c r="AQ1564" s="24"/>
      <c r="AR1564" s="54"/>
    </row>
    <row r="1565">
      <c r="A1565" s="57"/>
      <c r="B1565" s="24"/>
      <c r="C1565" s="24"/>
      <c r="D1565" s="24"/>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c r="AA1565" s="24"/>
      <c r="AB1565" s="24"/>
      <c r="AC1565" s="24"/>
      <c r="AD1565" s="24"/>
      <c r="AE1565" s="24"/>
      <c r="AF1565" s="24"/>
      <c r="AG1565" s="24"/>
      <c r="AH1565" s="24"/>
      <c r="AI1565" s="24"/>
      <c r="AJ1565" s="24"/>
      <c r="AK1565" s="24"/>
      <c r="AL1565" s="24"/>
      <c r="AM1565" s="24"/>
      <c r="AN1565" s="24"/>
      <c r="AO1565" s="24"/>
      <c r="AP1565" s="24"/>
      <c r="AQ1565" s="24"/>
      <c r="AR1565" s="54"/>
    </row>
    <row r="1566">
      <c r="A1566" s="57"/>
      <c r="B1566" s="24"/>
      <c r="C1566" s="24"/>
      <c r="D1566" s="24"/>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c r="AA1566" s="24"/>
      <c r="AB1566" s="24"/>
      <c r="AC1566" s="24"/>
      <c r="AD1566" s="24"/>
      <c r="AE1566" s="24"/>
      <c r="AF1566" s="24"/>
      <c r="AG1566" s="24"/>
      <c r="AH1566" s="24"/>
      <c r="AI1566" s="24"/>
      <c r="AJ1566" s="24"/>
      <c r="AK1566" s="24"/>
      <c r="AL1566" s="24"/>
      <c r="AM1566" s="24"/>
      <c r="AN1566" s="24"/>
      <c r="AO1566" s="24"/>
      <c r="AP1566" s="24"/>
      <c r="AQ1566" s="24"/>
      <c r="AR1566" s="54"/>
    </row>
    <row r="1567">
      <c r="A1567" s="57"/>
      <c r="B1567" s="24"/>
      <c r="C1567" s="24"/>
      <c r="D1567" s="24"/>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c r="AA1567" s="24"/>
      <c r="AB1567" s="24"/>
      <c r="AC1567" s="24"/>
      <c r="AD1567" s="24"/>
      <c r="AE1567" s="24"/>
      <c r="AF1567" s="24"/>
      <c r="AG1567" s="24"/>
      <c r="AH1567" s="24"/>
      <c r="AI1567" s="24"/>
      <c r="AJ1567" s="24"/>
      <c r="AK1567" s="24"/>
      <c r="AL1567" s="24"/>
      <c r="AM1567" s="24"/>
      <c r="AN1567" s="24"/>
      <c r="AO1567" s="24"/>
      <c r="AP1567" s="24"/>
      <c r="AQ1567" s="24"/>
      <c r="AR1567" s="54"/>
    </row>
    <row r="1568">
      <c r="A1568" s="57"/>
      <c r="B1568" s="24"/>
      <c r="C1568" s="24"/>
      <c r="D1568" s="24"/>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c r="AA1568" s="24"/>
      <c r="AB1568" s="24"/>
      <c r="AC1568" s="24"/>
      <c r="AD1568" s="24"/>
      <c r="AE1568" s="24"/>
      <c r="AF1568" s="24"/>
      <c r="AG1568" s="24"/>
      <c r="AH1568" s="24"/>
      <c r="AI1568" s="24"/>
      <c r="AJ1568" s="24"/>
      <c r="AK1568" s="24"/>
      <c r="AL1568" s="24"/>
      <c r="AM1568" s="24"/>
      <c r="AN1568" s="24"/>
      <c r="AO1568" s="24"/>
      <c r="AP1568" s="24"/>
      <c r="AQ1568" s="24"/>
      <c r="AR1568" s="54"/>
    </row>
    <row r="1569">
      <c r="A1569" s="57"/>
      <c r="B1569" s="24"/>
      <c r="C1569" s="24"/>
      <c r="D1569" s="24"/>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c r="AA1569" s="24"/>
      <c r="AB1569" s="24"/>
      <c r="AC1569" s="24"/>
      <c r="AD1569" s="24"/>
      <c r="AE1569" s="24"/>
      <c r="AF1569" s="24"/>
      <c r="AG1569" s="24"/>
      <c r="AH1569" s="24"/>
      <c r="AI1569" s="24"/>
      <c r="AJ1569" s="24"/>
      <c r="AK1569" s="24"/>
      <c r="AL1569" s="24"/>
      <c r="AM1569" s="24"/>
      <c r="AN1569" s="24"/>
      <c r="AO1569" s="24"/>
      <c r="AP1569" s="24"/>
      <c r="AQ1569" s="24"/>
      <c r="AR1569" s="54"/>
    </row>
    <row r="1570">
      <c r="A1570" s="57"/>
      <c r="B1570" s="24"/>
      <c r="C1570" s="24"/>
      <c r="D1570" s="24"/>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c r="AA1570" s="24"/>
      <c r="AB1570" s="24"/>
      <c r="AC1570" s="24"/>
      <c r="AD1570" s="24"/>
      <c r="AE1570" s="24"/>
      <c r="AF1570" s="24"/>
      <c r="AG1570" s="24"/>
      <c r="AH1570" s="24"/>
      <c r="AI1570" s="24"/>
      <c r="AJ1570" s="24"/>
      <c r="AK1570" s="24"/>
      <c r="AL1570" s="24"/>
      <c r="AM1570" s="24"/>
      <c r="AN1570" s="24"/>
      <c r="AO1570" s="24"/>
      <c r="AP1570" s="24"/>
      <c r="AQ1570" s="24"/>
      <c r="AR1570" s="54"/>
    </row>
    <row r="1571">
      <c r="A1571" s="57"/>
      <c r="B1571" s="24"/>
      <c r="C1571" s="24"/>
      <c r="D1571" s="24"/>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c r="AA1571" s="24"/>
      <c r="AB1571" s="24"/>
      <c r="AC1571" s="24"/>
      <c r="AD1571" s="24"/>
      <c r="AE1571" s="24"/>
      <c r="AF1571" s="24"/>
      <c r="AG1571" s="24"/>
      <c r="AH1571" s="24"/>
      <c r="AI1571" s="24"/>
      <c r="AJ1571" s="24"/>
      <c r="AK1571" s="24"/>
      <c r="AL1571" s="24"/>
      <c r="AM1571" s="24"/>
      <c r="AN1571" s="24"/>
      <c r="AO1571" s="24"/>
      <c r="AP1571" s="24"/>
      <c r="AQ1571" s="24"/>
      <c r="AR1571" s="54"/>
    </row>
    <row r="1572">
      <c r="A1572" s="57"/>
      <c r="B1572" s="24"/>
      <c r="C1572" s="24"/>
      <c r="D1572" s="24"/>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c r="AA1572" s="24"/>
      <c r="AB1572" s="24"/>
      <c r="AC1572" s="24"/>
      <c r="AD1572" s="24"/>
      <c r="AE1572" s="24"/>
      <c r="AF1572" s="24"/>
      <c r="AG1572" s="24"/>
      <c r="AH1572" s="24"/>
      <c r="AI1572" s="24"/>
      <c r="AJ1572" s="24"/>
      <c r="AK1572" s="24"/>
      <c r="AL1572" s="24"/>
      <c r="AM1572" s="24"/>
      <c r="AN1572" s="24"/>
      <c r="AO1572" s="24"/>
      <c r="AP1572" s="24"/>
      <c r="AQ1572" s="24"/>
      <c r="AR1572" s="54"/>
    </row>
    <row r="1573">
      <c r="A1573" s="57"/>
      <c r="B1573" s="24"/>
      <c r="C1573" s="24"/>
      <c r="D1573" s="24"/>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c r="AA1573" s="24"/>
      <c r="AB1573" s="24"/>
      <c r="AC1573" s="24"/>
      <c r="AD1573" s="24"/>
      <c r="AE1573" s="24"/>
      <c r="AF1573" s="24"/>
      <c r="AG1573" s="24"/>
      <c r="AH1573" s="24"/>
      <c r="AI1573" s="24"/>
      <c r="AJ1573" s="24"/>
      <c r="AK1573" s="24"/>
      <c r="AL1573" s="24"/>
      <c r="AM1573" s="24"/>
      <c r="AN1573" s="24"/>
      <c r="AO1573" s="24"/>
      <c r="AP1573" s="24"/>
      <c r="AQ1573" s="24"/>
      <c r="AR1573" s="54"/>
    </row>
    <row r="1574">
      <c r="A1574" s="57"/>
      <c r="B1574" s="24"/>
      <c r="C1574" s="24"/>
      <c r="D1574" s="24"/>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c r="AA1574" s="24"/>
      <c r="AB1574" s="24"/>
      <c r="AC1574" s="24"/>
      <c r="AD1574" s="24"/>
      <c r="AE1574" s="24"/>
      <c r="AF1574" s="24"/>
      <c r="AG1574" s="24"/>
      <c r="AH1574" s="24"/>
      <c r="AI1574" s="24"/>
      <c r="AJ1574" s="24"/>
      <c r="AK1574" s="24"/>
      <c r="AL1574" s="24"/>
      <c r="AM1574" s="24"/>
      <c r="AN1574" s="24"/>
      <c r="AO1574" s="24"/>
      <c r="AP1574" s="24"/>
      <c r="AQ1574" s="24"/>
      <c r="AR1574" s="54"/>
    </row>
    <row r="1575">
      <c r="A1575" s="57"/>
      <c r="B1575" s="24"/>
      <c r="C1575" s="24"/>
      <c r="D1575" s="24"/>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c r="AA1575" s="24"/>
      <c r="AB1575" s="24"/>
      <c r="AC1575" s="24"/>
      <c r="AD1575" s="24"/>
      <c r="AE1575" s="24"/>
      <c r="AF1575" s="24"/>
      <c r="AG1575" s="24"/>
      <c r="AH1575" s="24"/>
      <c r="AI1575" s="24"/>
      <c r="AJ1575" s="24"/>
      <c r="AK1575" s="24"/>
      <c r="AL1575" s="24"/>
      <c r="AM1575" s="24"/>
      <c r="AN1575" s="24"/>
      <c r="AO1575" s="24"/>
      <c r="AP1575" s="24"/>
      <c r="AQ1575" s="24"/>
      <c r="AR1575" s="54"/>
    </row>
    <row r="1576">
      <c r="A1576" s="57"/>
      <c r="B1576" s="24"/>
      <c r="C1576" s="24"/>
      <c r="D1576" s="24"/>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c r="AA1576" s="24"/>
      <c r="AB1576" s="24"/>
      <c r="AC1576" s="24"/>
      <c r="AD1576" s="24"/>
      <c r="AE1576" s="24"/>
      <c r="AF1576" s="24"/>
      <c r="AG1576" s="24"/>
      <c r="AH1576" s="24"/>
      <c r="AI1576" s="24"/>
      <c r="AJ1576" s="24"/>
      <c r="AK1576" s="24"/>
      <c r="AL1576" s="24"/>
      <c r="AM1576" s="24"/>
      <c r="AN1576" s="24"/>
      <c r="AO1576" s="24"/>
      <c r="AP1576" s="24"/>
      <c r="AQ1576" s="24"/>
      <c r="AR1576" s="54"/>
    </row>
    <row r="1577">
      <c r="A1577" s="57"/>
      <c r="B1577" s="24"/>
      <c r="C1577" s="24"/>
      <c r="D1577" s="24"/>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c r="AA1577" s="24"/>
      <c r="AB1577" s="24"/>
      <c r="AC1577" s="24"/>
      <c r="AD1577" s="24"/>
      <c r="AE1577" s="24"/>
      <c r="AF1577" s="24"/>
      <c r="AG1577" s="24"/>
      <c r="AH1577" s="24"/>
      <c r="AI1577" s="24"/>
      <c r="AJ1577" s="24"/>
      <c r="AK1577" s="24"/>
      <c r="AL1577" s="24"/>
      <c r="AM1577" s="24"/>
      <c r="AN1577" s="24"/>
      <c r="AO1577" s="24"/>
      <c r="AP1577" s="24"/>
      <c r="AQ1577" s="24"/>
      <c r="AR1577" s="54"/>
    </row>
    <row r="1578">
      <c r="A1578" s="57"/>
      <c r="B1578" s="24"/>
      <c r="C1578" s="24"/>
      <c r="D1578" s="24"/>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c r="AA1578" s="24"/>
      <c r="AB1578" s="24"/>
      <c r="AC1578" s="24"/>
      <c r="AD1578" s="24"/>
      <c r="AE1578" s="24"/>
      <c r="AF1578" s="24"/>
      <c r="AG1578" s="24"/>
      <c r="AH1578" s="24"/>
      <c r="AI1578" s="24"/>
      <c r="AJ1578" s="24"/>
      <c r="AK1578" s="24"/>
      <c r="AL1578" s="24"/>
      <c r="AM1578" s="24"/>
      <c r="AN1578" s="24"/>
      <c r="AO1578" s="24"/>
      <c r="AP1578" s="24"/>
      <c r="AQ1578" s="24"/>
      <c r="AR1578" s="54"/>
    </row>
    <row r="1579">
      <c r="A1579" s="57"/>
      <c r="B1579" s="24"/>
      <c r="C1579" s="24"/>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c r="AA1579" s="24"/>
      <c r="AB1579" s="24"/>
      <c r="AC1579" s="24"/>
      <c r="AD1579" s="24"/>
      <c r="AE1579" s="24"/>
      <c r="AF1579" s="24"/>
      <c r="AG1579" s="24"/>
      <c r="AH1579" s="24"/>
      <c r="AI1579" s="24"/>
      <c r="AJ1579" s="24"/>
      <c r="AK1579" s="24"/>
      <c r="AL1579" s="24"/>
      <c r="AM1579" s="24"/>
      <c r="AN1579" s="24"/>
      <c r="AO1579" s="24"/>
      <c r="AP1579" s="24"/>
      <c r="AQ1579" s="24"/>
      <c r="AR1579" s="54"/>
    </row>
    <row r="1580">
      <c r="A1580" s="57"/>
      <c r="B1580" s="24"/>
      <c r="C1580" s="24"/>
      <c r="D1580" s="24"/>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c r="AA1580" s="24"/>
      <c r="AB1580" s="24"/>
      <c r="AC1580" s="24"/>
      <c r="AD1580" s="24"/>
      <c r="AE1580" s="24"/>
      <c r="AF1580" s="24"/>
      <c r="AG1580" s="24"/>
      <c r="AH1580" s="24"/>
      <c r="AI1580" s="24"/>
      <c r="AJ1580" s="24"/>
      <c r="AK1580" s="24"/>
      <c r="AL1580" s="24"/>
      <c r="AM1580" s="24"/>
      <c r="AN1580" s="24"/>
      <c r="AO1580" s="24"/>
      <c r="AP1580" s="24"/>
      <c r="AQ1580" s="24"/>
      <c r="AR1580" s="54"/>
    </row>
    <row r="1581">
      <c r="A1581" s="57"/>
      <c r="B1581" s="24"/>
      <c r="C1581" s="24"/>
      <c r="D1581" s="24"/>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c r="AA1581" s="24"/>
      <c r="AB1581" s="24"/>
      <c r="AC1581" s="24"/>
      <c r="AD1581" s="24"/>
      <c r="AE1581" s="24"/>
      <c r="AF1581" s="24"/>
      <c r="AG1581" s="24"/>
      <c r="AH1581" s="24"/>
      <c r="AI1581" s="24"/>
      <c r="AJ1581" s="24"/>
      <c r="AK1581" s="24"/>
      <c r="AL1581" s="24"/>
      <c r="AM1581" s="24"/>
      <c r="AN1581" s="24"/>
      <c r="AO1581" s="24"/>
      <c r="AP1581" s="24"/>
      <c r="AQ1581" s="24"/>
      <c r="AR1581" s="54"/>
    </row>
    <row r="1582">
      <c r="A1582" s="57"/>
      <c r="B1582" s="24"/>
      <c r="C1582" s="24"/>
      <c r="D1582" s="24"/>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c r="AA1582" s="24"/>
      <c r="AB1582" s="24"/>
      <c r="AC1582" s="24"/>
      <c r="AD1582" s="24"/>
      <c r="AE1582" s="24"/>
      <c r="AF1582" s="24"/>
      <c r="AG1582" s="24"/>
      <c r="AH1582" s="24"/>
      <c r="AI1582" s="24"/>
      <c r="AJ1582" s="24"/>
      <c r="AK1582" s="24"/>
      <c r="AL1582" s="24"/>
      <c r="AM1582" s="24"/>
      <c r="AN1582" s="24"/>
      <c r="AO1582" s="24"/>
      <c r="AP1582" s="24"/>
      <c r="AQ1582" s="24"/>
      <c r="AR1582" s="54"/>
    </row>
    <row r="1583">
      <c r="A1583" s="57"/>
      <c r="B1583" s="24"/>
      <c r="C1583" s="24"/>
      <c r="D1583" s="24"/>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c r="AA1583" s="24"/>
      <c r="AB1583" s="24"/>
      <c r="AC1583" s="24"/>
      <c r="AD1583" s="24"/>
      <c r="AE1583" s="24"/>
      <c r="AF1583" s="24"/>
      <c r="AG1583" s="24"/>
      <c r="AH1583" s="24"/>
      <c r="AI1583" s="24"/>
      <c r="AJ1583" s="24"/>
      <c r="AK1583" s="24"/>
      <c r="AL1583" s="24"/>
      <c r="AM1583" s="24"/>
      <c r="AN1583" s="24"/>
      <c r="AO1583" s="24"/>
      <c r="AP1583" s="24"/>
      <c r="AQ1583" s="24"/>
      <c r="AR1583" s="54"/>
    </row>
    <row r="1584">
      <c r="A1584" s="57"/>
      <c r="B1584" s="24"/>
      <c r="C1584" s="24"/>
      <c r="D1584" s="24"/>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c r="AA1584" s="24"/>
      <c r="AB1584" s="24"/>
      <c r="AC1584" s="24"/>
      <c r="AD1584" s="24"/>
      <c r="AE1584" s="24"/>
      <c r="AF1584" s="24"/>
      <c r="AG1584" s="24"/>
      <c r="AH1584" s="24"/>
      <c r="AI1584" s="24"/>
      <c r="AJ1584" s="24"/>
      <c r="AK1584" s="24"/>
      <c r="AL1584" s="24"/>
      <c r="AM1584" s="24"/>
      <c r="AN1584" s="24"/>
      <c r="AO1584" s="24"/>
      <c r="AP1584" s="24"/>
      <c r="AQ1584" s="24"/>
      <c r="AR1584" s="54"/>
    </row>
    <row r="1585">
      <c r="A1585" s="57"/>
      <c r="B1585" s="24"/>
      <c r="C1585" s="24"/>
      <c r="D1585" s="24"/>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c r="AA1585" s="24"/>
      <c r="AB1585" s="24"/>
      <c r="AC1585" s="24"/>
      <c r="AD1585" s="24"/>
      <c r="AE1585" s="24"/>
      <c r="AF1585" s="24"/>
      <c r="AG1585" s="24"/>
      <c r="AH1585" s="24"/>
      <c r="AI1585" s="24"/>
      <c r="AJ1585" s="24"/>
      <c r="AK1585" s="24"/>
      <c r="AL1585" s="24"/>
      <c r="AM1585" s="24"/>
      <c r="AN1585" s="24"/>
      <c r="AO1585" s="24"/>
      <c r="AP1585" s="24"/>
      <c r="AQ1585" s="24"/>
      <c r="AR1585" s="54"/>
    </row>
    <row r="1586">
      <c r="A1586" s="57"/>
      <c r="B1586" s="24"/>
      <c r="C1586" s="24"/>
      <c r="D1586" s="24"/>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c r="AA1586" s="24"/>
      <c r="AB1586" s="24"/>
      <c r="AC1586" s="24"/>
      <c r="AD1586" s="24"/>
      <c r="AE1586" s="24"/>
      <c r="AF1586" s="24"/>
      <c r="AG1586" s="24"/>
      <c r="AH1586" s="24"/>
      <c r="AI1586" s="24"/>
      <c r="AJ1586" s="24"/>
      <c r="AK1586" s="24"/>
      <c r="AL1586" s="24"/>
      <c r="AM1586" s="24"/>
      <c r="AN1586" s="24"/>
      <c r="AO1586" s="24"/>
      <c r="AP1586" s="24"/>
      <c r="AQ1586" s="24"/>
      <c r="AR1586" s="54"/>
    </row>
    <row r="1587">
      <c r="A1587" s="57"/>
      <c r="B1587" s="24"/>
      <c r="C1587" s="24"/>
      <c r="D1587" s="24"/>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c r="AA1587" s="24"/>
      <c r="AB1587" s="24"/>
      <c r="AC1587" s="24"/>
      <c r="AD1587" s="24"/>
      <c r="AE1587" s="24"/>
      <c r="AF1587" s="24"/>
      <c r="AG1587" s="24"/>
      <c r="AH1587" s="24"/>
      <c r="AI1587" s="24"/>
      <c r="AJ1587" s="24"/>
      <c r="AK1587" s="24"/>
      <c r="AL1587" s="24"/>
      <c r="AM1587" s="24"/>
      <c r="AN1587" s="24"/>
      <c r="AO1587" s="24"/>
      <c r="AP1587" s="24"/>
      <c r="AQ1587" s="24"/>
      <c r="AR1587" s="54"/>
    </row>
    <row r="1588">
      <c r="A1588" s="57"/>
      <c r="B1588" s="24"/>
      <c r="C1588" s="24"/>
      <c r="D1588" s="24"/>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c r="AA1588" s="24"/>
      <c r="AB1588" s="24"/>
      <c r="AC1588" s="24"/>
      <c r="AD1588" s="24"/>
      <c r="AE1588" s="24"/>
      <c r="AF1588" s="24"/>
      <c r="AG1588" s="24"/>
      <c r="AH1588" s="24"/>
      <c r="AI1588" s="24"/>
      <c r="AJ1588" s="24"/>
      <c r="AK1588" s="24"/>
      <c r="AL1588" s="24"/>
      <c r="AM1588" s="24"/>
      <c r="AN1588" s="24"/>
      <c r="AO1588" s="24"/>
      <c r="AP1588" s="24"/>
      <c r="AQ1588" s="24"/>
      <c r="AR1588" s="54"/>
    </row>
    <row r="1589">
      <c r="A1589" s="57"/>
      <c r="B1589" s="24"/>
      <c r="C1589" s="24"/>
      <c r="D1589" s="24"/>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c r="AA1589" s="24"/>
      <c r="AB1589" s="24"/>
      <c r="AC1589" s="24"/>
      <c r="AD1589" s="24"/>
      <c r="AE1589" s="24"/>
      <c r="AF1589" s="24"/>
      <c r="AG1589" s="24"/>
      <c r="AH1589" s="24"/>
      <c r="AI1589" s="24"/>
      <c r="AJ1589" s="24"/>
      <c r="AK1589" s="24"/>
      <c r="AL1589" s="24"/>
      <c r="AM1589" s="24"/>
      <c r="AN1589" s="24"/>
      <c r="AO1589" s="24"/>
      <c r="AP1589" s="24"/>
      <c r="AQ1589" s="24"/>
      <c r="AR1589" s="54"/>
    </row>
    <row r="1590">
      <c r="A1590" s="57"/>
      <c r="B1590" s="24"/>
      <c r="C1590" s="24"/>
      <c r="D1590" s="24"/>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c r="AA1590" s="24"/>
      <c r="AB1590" s="24"/>
      <c r="AC1590" s="24"/>
      <c r="AD1590" s="24"/>
      <c r="AE1590" s="24"/>
      <c r="AF1590" s="24"/>
      <c r="AG1590" s="24"/>
      <c r="AH1590" s="24"/>
      <c r="AI1590" s="24"/>
      <c r="AJ1590" s="24"/>
      <c r="AK1590" s="24"/>
      <c r="AL1590" s="24"/>
      <c r="AM1590" s="24"/>
      <c r="AN1590" s="24"/>
      <c r="AO1590" s="24"/>
      <c r="AP1590" s="24"/>
      <c r="AQ1590" s="24"/>
      <c r="AR1590" s="54"/>
    </row>
    <row r="1591">
      <c r="A1591" s="57"/>
      <c r="B1591" s="24"/>
      <c r="C1591" s="24"/>
      <c r="D1591" s="24"/>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c r="AA1591" s="24"/>
      <c r="AB1591" s="24"/>
      <c r="AC1591" s="24"/>
      <c r="AD1591" s="24"/>
      <c r="AE1591" s="24"/>
      <c r="AF1591" s="24"/>
      <c r="AG1591" s="24"/>
      <c r="AH1591" s="24"/>
      <c r="AI1591" s="24"/>
      <c r="AJ1591" s="24"/>
      <c r="AK1591" s="24"/>
      <c r="AL1591" s="24"/>
      <c r="AM1591" s="24"/>
      <c r="AN1591" s="24"/>
      <c r="AO1591" s="24"/>
      <c r="AP1591" s="24"/>
      <c r="AQ1591" s="24"/>
      <c r="AR1591" s="54"/>
    </row>
    <row r="1592">
      <c r="A1592" s="57"/>
      <c r="B1592" s="24"/>
      <c r="C1592" s="24"/>
      <c r="D1592" s="24"/>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c r="AA1592" s="24"/>
      <c r="AB1592" s="24"/>
      <c r="AC1592" s="24"/>
      <c r="AD1592" s="24"/>
      <c r="AE1592" s="24"/>
      <c r="AF1592" s="24"/>
      <c r="AG1592" s="24"/>
      <c r="AH1592" s="24"/>
      <c r="AI1592" s="24"/>
      <c r="AJ1592" s="24"/>
      <c r="AK1592" s="24"/>
      <c r="AL1592" s="24"/>
      <c r="AM1592" s="24"/>
      <c r="AN1592" s="24"/>
      <c r="AO1592" s="24"/>
      <c r="AP1592" s="24"/>
      <c r="AQ1592" s="24"/>
      <c r="AR1592" s="54"/>
    </row>
    <row r="1593">
      <c r="A1593" s="57"/>
      <c r="B1593" s="24"/>
      <c r="C1593" s="24"/>
      <c r="D1593" s="24"/>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c r="AA1593" s="24"/>
      <c r="AB1593" s="24"/>
      <c r="AC1593" s="24"/>
      <c r="AD1593" s="24"/>
      <c r="AE1593" s="24"/>
      <c r="AF1593" s="24"/>
      <c r="AG1593" s="24"/>
      <c r="AH1593" s="24"/>
      <c r="AI1593" s="24"/>
      <c r="AJ1593" s="24"/>
      <c r="AK1593" s="24"/>
      <c r="AL1593" s="24"/>
      <c r="AM1593" s="24"/>
      <c r="AN1593" s="24"/>
      <c r="AO1593" s="24"/>
      <c r="AP1593" s="24"/>
      <c r="AQ1593" s="24"/>
      <c r="AR1593" s="54"/>
    </row>
    <row r="1594">
      <c r="A1594" s="57"/>
      <c r="B1594" s="24"/>
      <c r="C1594" s="24"/>
      <c r="D1594" s="24"/>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c r="AA1594" s="24"/>
      <c r="AB1594" s="24"/>
      <c r="AC1594" s="24"/>
      <c r="AD1594" s="24"/>
      <c r="AE1594" s="24"/>
      <c r="AF1594" s="24"/>
      <c r="AG1594" s="24"/>
      <c r="AH1594" s="24"/>
      <c r="AI1594" s="24"/>
      <c r="AJ1594" s="24"/>
      <c r="AK1594" s="24"/>
      <c r="AL1594" s="24"/>
      <c r="AM1594" s="24"/>
      <c r="AN1594" s="24"/>
      <c r="AO1594" s="24"/>
      <c r="AP1594" s="24"/>
      <c r="AQ1594" s="24"/>
      <c r="AR1594" s="54"/>
    </row>
    <row r="1595">
      <c r="A1595" s="57"/>
      <c r="B1595" s="24"/>
      <c r="C1595" s="24"/>
      <c r="D1595" s="24"/>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c r="AA1595" s="24"/>
      <c r="AB1595" s="24"/>
      <c r="AC1595" s="24"/>
      <c r="AD1595" s="24"/>
      <c r="AE1595" s="24"/>
      <c r="AF1595" s="24"/>
      <c r="AG1595" s="24"/>
      <c r="AH1595" s="24"/>
      <c r="AI1595" s="24"/>
      <c r="AJ1595" s="24"/>
      <c r="AK1595" s="24"/>
      <c r="AL1595" s="24"/>
      <c r="AM1595" s="24"/>
      <c r="AN1595" s="24"/>
      <c r="AO1595" s="24"/>
      <c r="AP1595" s="24"/>
      <c r="AQ1595" s="24"/>
      <c r="AR1595" s="54"/>
    </row>
    <row r="1596">
      <c r="A1596" s="57"/>
      <c r="B1596" s="24"/>
      <c r="C1596" s="24"/>
      <c r="D1596" s="24"/>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c r="AA1596" s="24"/>
      <c r="AB1596" s="24"/>
      <c r="AC1596" s="24"/>
      <c r="AD1596" s="24"/>
      <c r="AE1596" s="24"/>
      <c r="AF1596" s="24"/>
      <c r="AG1596" s="24"/>
      <c r="AH1596" s="24"/>
      <c r="AI1596" s="24"/>
      <c r="AJ1596" s="24"/>
      <c r="AK1596" s="24"/>
      <c r="AL1596" s="24"/>
      <c r="AM1596" s="24"/>
      <c r="AN1596" s="24"/>
      <c r="AO1596" s="24"/>
      <c r="AP1596" s="24"/>
      <c r="AQ1596" s="24"/>
      <c r="AR1596" s="54"/>
    </row>
    <row r="1597">
      <c r="A1597" s="57"/>
      <c r="B1597" s="24"/>
      <c r="C1597" s="24"/>
      <c r="D1597" s="24"/>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c r="AA1597" s="24"/>
      <c r="AB1597" s="24"/>
      <c r="AC1597" s="24"/>
      <c r="AD1597" s="24"/>
      <c r="AE1597" s="24"/>
      <c r="AF1597" s="24"/>
      <c r="AG1597" s="24"/>
      <c r="AH1597" s="24"/>
      <c r="AI1597" s="24"/>
      <c r="AJ1597" s="24"/>
      <c r="AK1597" s="24"/>
      <c r="AL1597" s="24"/>
      <c r="AM1597" s="24"/>
      <c r="AN1597" s="24"/>
      <c r="AO1597" s="24"/>
      <c r="AP1597" s="24"/>
      <c r="AQ1597" s="24"/>
      <c r="AR1597" s="54"/>
    </row>
    <row r="1598">
      <c r="A1598" s="57"/>
      <c r="B1598" s="24"/>
      <c r="C1598" s="24"/>
      <c r="D1598" s="24"/>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c r="AA1598" s="24"/>
      <c r="AB1598" s="24"/>
      <c r="AC1598" s="24"/>
      <c r="AD1598" s="24"/>
      <c r="AE1598" s="24"/>
      <c r="AF1598" s="24"/>
      <c r="AG1598" s="24"/>
      <c r="AH1598" s="24"/>
      <c r="AI1598" s="24"/>
      <c r="AJ1598" s="24"/>
      <c r="AK1598" s="24"/>
      <c r="AL1598" s="24"/>
      <c r="AM1598" s="24"/>
      <c r="AN1598" s="24"/>
      <c r="AO1598" s="24"/>
      <c r="AP1598" s="24"/>
      <c r="AQ1598" s="24"/>
      <c r="AR1598" s="54"/>
    </row>
    <row r="1599">
      <c r="A1599" s="57"/>
      <c r="B1599" s="24"/>
      <c r="C1599" s="24"/>
      <c r="D1599" s="24"/>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c r="AA1599" s="24"/>
      <c r="AB1599" s="24"/>
      <c r="AC1599" s="24"/>
      <c r="AD1599" s="24"/>
      <c r="AE1599" s="24"/>
      <c r="AF1599" s="24"/>
      <c r="AG1599" s="24"/>
      <c r="AH1599" s="24"/>
      <c r="AI1599" s="24"/>
      <c r="AJ1599" s="24"/>
      <c r="AK1599" s="24"/>
      <c r="AL1599" s="24"/>
      <c r="AM1599" s="24"/>
      <c r="AN1599" s="24"/>
      <c r="AO1599" s="24"/>
      <c r="AP1599" s="24"/>
      <c r="AQ1599" s="24"/>
      <c r="AR1599" s="54"/>
    </row>
    <row r="1600">
      <c r="A1600" s="57"/>
      <c r="B1600" s="24"/>
      <c r="C1600" s="24"/>
      <c r="D1600" s="24"/>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c r="AA1600" s="24"/>
      <c r="AB1600" s="24"/>
      <c r="AC1600" s="24"/>
      <c r="AD1600" s="24"/>
      <c r="AE1600" s="24"/>
      <c r="AF1600" s="24"/>
      <c r="AG1600" s="24"/>
      <c r="AH1600" s="24"/>
      <c r="AI1600" s="24"/>
      <c r="AJ1600" s="24"/>
      <c r="AK1600" s="24"/>
      <c r="AL1600" s="24"/>
      <c r="AM1600" s="24"/>
      <c r="AN1600" s="24"/>
      <c r="AO1600" s="24"/>
      <c r="AP1600" s="24"/>
      <c r="AQ1600" s="24"/>
      <c r="AR1600" s="54"/>
    </row>
    <row r="1601">
      <c r="A1601" s="57"/>
      <c r="B1601" s="24"/>
      <c r="C1601" s="24"/>
      <c r="D1601" s="24"/>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c r="AA1601" s="24"/>
      <c r="AB1601" s="24"/>
      <c r="AC1601" s="24"/>
      <c r="AD1601" s="24"/>
      <c r="AE1601" s="24"/>
      <c r="AF1601" s="24"/>
      <c r="AG1601" s="24"/>
      <c r="AH1601" s="24"/>
      <c r="AI1601" s="24"/>
      <c r="AJ1601" s="24"/>
      <c r="AK1601" s="24"/>
      <c r="AL1601" s="24"/>
      <c r="AM1601" s="24"/>
      <c r="AN1601" s="24"/>
      <c r="AO1601" s="24"/>
      <c r="AP1601" s="24"/>
      <c r="AQ1601" s="24"/>
      <c r="AR1601" s="54"/>
    </row>
    <row r="1602">
      <c r="A1602" s="57"/>
      <c r="B1602" s="24"/>
      <c r="C1602" s="24"/>
      <c r="D1602" s="24"/>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c r="AA1602" s="24"/>
      <c r="AB1602" s="24"/>
      <c r="AC1602" s="24"/>
      <c r="AD1602" s="24"/>
      <c r="AE1602" s="24"/>
      <c r="AF1602" s="24"/>
      <c r="AG1602" s="24"/>
      <c r="AH1602" s="24"/>
      <c r="AI1602" s="24"/>
      <c r="AJ1602" s="24"/>
      <c r="AK1602" s="24"/>
      <c r="AL1602" s="24"/>
      <c r="AM1602" s="24"/>
      <c r="AN1602" s="24"/>
      <c r="AO1602" s="24"/>
      <c r="AP1602" s="24"/>
      <c r="AQ1602" s="24"/>
      <c r="AR1602" s="54"/>
    </row>
    <row r="1603">
      <c r="A1603" s="57"/>
      <c r="B1603" s="24"/>
      <c r="C1603" s="24"/>
      <c r="D1603" s="24"/>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c r="AA1603" s="24"/>
      <c r="AB1603" s="24"/>
      <c r="AC1603" s="24"/>
      <c r="AD1603" s="24"/>
      <c r="AE1603" s="24"/>
      <c r="AF1603" s="24"/>
      <c r="AG1603" s="24"/>
      <c r="AH1603" s="24"/>
      <c r="AI1603" s="24"/>
      <c r="AJ1603" s="24"/>
      <c r="AK1603" s="24"/>
      <c r="AL1603" s="24"/>
      <c r="AM1603" s="24"/>
      <c r="AN1603" s="24"/>
      <c r="AO1603" s="24"/>
      <c r="AP1603" s="24"/>
      <c r="AQ1603" s="24"/>
      <c r="AR1603" s="54"/>
    </row>
    <row r="1604">
      <c r="A1604" s="57"/>
      <c r="B1604" s="24"/>
      <c r="C1604" s="24"/>
      <c r="D1604" s="24"/>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c r="AA1604" s="24"/>
      <c r="AB1604" s="24"/>
      <c r="AC1604" s="24"/>
      <c r="AD1604" s="24"/>
      <c r="AE1604" s="24"/>
      <c r="AF1604" s="24"/>
      <c r="AG1604" s="24"/>
      <c r="AH1604" s="24"/>
      <c r="AI1604" s="24"/>
      <c r="AJ1604" s="24"/>
      <c r="AK1604" s="24"/>
      <c r="AL1604" s="24"/>
      <c r="AM1604" s="24"/>
      <c r="AN1604" s="24"/>
      <c r="AO1604" s="24"/>
      <c r="AP1604" s="24"/>
      <c r="AQ1604" s="24"/>
      <c r="AR1604" s="54"/>
    </row>
    <row r="1605">
      <c r="A1605" s="57"/>
      <c r="B1605" s="24"/>
      <c r="C1605" s="24"/>
      <c r="D1605" s="24"/>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c r="AA1605" s="24"/>
      <c r="AB1605" s="24"/>
      <c r="AC1605" s="24"/>
      <c r="AD1605" s="24"/>
      <c r="AE1605" s="24"/>
      <c r="AF1605" s="24"/>
      <c r="AG1605" s="24"/>
      <c r="AH1605" s="24"/>
      <c r="AI1605" s="24"/>
      <c r="AJ1605" s="24"/>
      <c r="AK1605" s="24"/>
      <c r="AL1605" s="24"/>
      <c r="AM1605" s="24"/>
      <c r="AN1605" s="24"/>
      <c r="AO1605" s="24"/>
      <c r="AP1605" s="24"/>
      <c r="AQ1605" s="24"/>
      <c r="AR1605" s="54"/>
    </row>
    <row r="1606">
      <c r="A1606" s="57"/>
      <c r="B1606" s="24"/>
      <c r="C1606" s="24"/>
      <c r="D1606" s="24"/>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c r="AA1606" s="24"/>
      <c r="AB1606" s="24"/>
      <c r="AC1606" s="24"/>
      <c r="AD1606" s="24"/>
      <c r="AE1606" s="24"/>
      <c r="AF1606" s="24"/>
      <c r="AG1606" s="24"/>
      <c r="AH1606" s="24"/>
      <c r="AI1606" s="24"/>
      <c r="AJ1606" s="24"/>
      <c r="AK1606" s="24"/>
      <c r="AL1606" s="24"/>
      <c r="AM1606" s="24"/>
      <c r="AN1606" s="24"/>
      <c r="AO1606" s="24"/>
      <c r="AP1606" s="24"/>
      <c r="AQ1606" s="24"/>
      <c r="AR1606" s="54"/>
    </row>
    <row r="1607">
      <c r="A1607" s="57"/>
      <c r="B1607" s="24"/>
      <c r="C1607" s="24"/>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c r="AA1607" s="24"/>
      <c r="AB1607" s="24"/>
      <c r="AC1607" s="24"/>
      <c r="AD1607" s="24"/>
      <c r="AE1607" s="24"/>
      <c r="AF1607" s="24"/>
      <c r="AG1607" s="24"/>
      <c r="AH1607" s="24"/>
      <c r="AI1607" s="24"/>
      <c r="AJ1607" s="24"/>
      <c r="AK1607" s="24"/>
      <c r="AL1607" s="24"/>
      <c r="AM1607" s="24"/>
      <c r="AN1607" s="24"/>
      <c r="AO1607" s="24"/>
      <c r="AP1607" s="24"/>
      <c r="AQ1607" s="24"/>
      <c r="AR1607" s="54"/>
    </row>
    <row r="1608">
      <c r="A1608" s="57"/>
      <c r="B1608" s="24"/>
      <c r="C1608" s="24"/>
      <c r="D1608" s="24"/>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c r="AA1608" s="24"/>
      <c r="AB1608" s="24"/>
      <c r="AC1608" s="24"/>
      <c r="AD1608" s="24"/>
      <c r="AE1608" s="24"/>
      <c r="AF1608" s="24"/>
      <c r="AG1608" s="24"/>
      <c r="AH1608" s="24"/>
      <c r="AI1608" s="24"/>
      <c r="AJ1608" s="24"/>
      <c r="AK1608" s="24"/>
      <c r="AL1608" s="24"/>
      <c r="AM1608" s="24"/>
      <c r="AN1608" s="24"/>
      <c r="AO1608" s="24"/>
      <c r="AP1608" s="24"/>
      <c r="AQ1608" s="24"/>
      <c r="AR1608" s="54"/>
    </row>
    <row r="1609">
      <c r="A1609" s="57"/>
      <c r="B1609" s="24"/>
      <c r="C1609" s="24"/>
      <c r="D1609" s="24"/>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c r="AA1609" s="24"/>
      <c r="AB1609" s="24"/>
      <c r="AC1609" s="24"/>
      <c r="AD1609" s="24"/>
      <c r="AE1609" s="24"/>
      <c r="AF1609" s="24"/>
      <c r="AG1609" s="24"/>
      <c r="AH1609" s="24"/>
      <c r="AI1609" s="24"/>
      <c r="AJ1609" s="24"/>
      <c r="AK1609" s="24"/>
      <c r="AL1609" s="24"/>
      <c r="AM1609" s="24"/>
      <c r="AN1609" s="24"/>
      <c r="AO1609" s="24"/>
      <c r="AP1609" s="24"/>
      <c r="AQ1609" s="24"/>
      <c r="AR1609" s="54"/>
    </row>
    <row r="1610">
      <c r="A1610" s="57"/>
      <c r="B1610" s="24"/>
      <c r="C1610" s="24"/>
      <c r="D1610" s="24"/>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c r="AA1610" s="24"/>
      <c r="AB1610" s="24"/>
      <c r="AC1610" s="24"/>
      <c r="AD1610" s="24"/>
      <c r="AE1610" s="24"/>
      <c r="AF1610" s="24"/>
      <c r="AG1610" s="24"/>
      <c r="AH1610" s="24"/>
      <c r="AI1610" s="24"/>
      <c r="AJ1610" s="24"/>
      <c r="AK1610" s="24"/>
      <c r="AL1610" s="24"/>
      <c r="AM1610" s="24"/>
      <c r="AN1610" s="24"/>
      <c r="AO1610" s="24"/>
      <c r="AP1610" s="24"/>
      <c r="AQ1610" s="24"/>
      <c r="AR1610" s="54"/>
    </row>
    <row r="1611">
      <c r="A1611" s="57"/>
      <c r="B1611" s="24"/>
      <c r="C1611" s="24"/>
      <c r="D1611" s="24"/>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c r="AA1611" s="24"/>
      <c r="AB1611" s="24"/>
      <c r="AC1611" s="24"/>
      <c r="AD1611" s="24"/>
      <c r="AE1611" s="24"/>
      <c r="AF1611" s="24"/>
      <c r="AG1611" s="24"/>
      <c r="AH1611" s="24"/>
      <c r="AI1611" s="24"/>
      <c r="AJ1611" s="24"/>
      <c r="AK1611" s="24"/>
      <c r="AL1611" s="24"/>
      <c r="AM1611" s="24"/>
      <c r="AN1611" s="24"/>
      <c r="AO1611" s="24"/>
      <c r="AP1611" s="24"/>
      <c r="AQ1611" s="24"/>
      <c r="AR1611" s="54"/>
    </row>
    <row r="1612">
      <c r="A1612" s="57"/>
      <c r="B1612" s="24"/>
      <c r="C1612" s="24"/>
      <c r="D1612" s="24"/>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c r="AA1612" s="24"/>
      <c r="AB1612" s="24"/>
      <c r="AC1612" s="24"/>
      <c r="AD1612" s="24"/>
      <c r="AE1612" s="24"/>
      <c r="AF1612" s="24"/>
      <c r="AG1612" s="24"/>
      <c r="AH1612" s="24"/>
      <c r="AI1612" s="24"/>
      <c r="AJ1612" s="24"/>
      <c r="AK1612" s="24"/>
      <c r="AL1612" s="24"/>
      <c r="AM1612" s="24"/>
      <c r="AN1612" s="24"/>
      <c r="AO1612" s="24"/>
      <c r="AP1612" s="24"/>
      <c r="AQ1612" s="24"/>
      <c r="AR1612" s="54"/>
    </row>
    <row r="1613">
      <c r="A1613" s="57"/>
      <c r="B1613" s="24"/>
      <c r="C1613" s="24"/>
      <c r="D1613" s="24"/>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c r="AA1613" s="24"/>
      <c r="AB1613" s="24"/>
      <c r="AC1613" s="24"/>
      <c r="AD1613" s="24"/>
      <c r="AE1613" s="24"/>
      <c r="AF1613" s="24"/>
      <c r="AG1613" s="24"/>
      <c r="AH1613" s="24"/>
      <c r="AI1613" s="24"/>
      <c r="AJ1613" s="24"/>
      <c r="AK1613" s="24"/>
      <c r="AL1613" s="24"/>
      <c r="AM1613" s="24"/>
      <c r="AN1613" s="24"/>
      <c r="AO1613" s="24"/>
      <c r="AP1613" s="24"/>
      <c r="AQ1613" s="24"/>
      <c r="AR1613" s="54"/>
    </row>
    <row r="1614">
      <c r="A1614" s="57"/>
      <c r="B1614" s="24"/>
      <c r="C1614" s="24"/>
      <c r="D1614" s="24"/>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c r="AA1614" s="24"/>
      <c r="AB1614" s="24"/>
      <c r="AC1614" s="24"/>
      <c r="AD1614" s="24"/>
      <c r="AE1614" s="24"/>
      <c r="AF1614" s="24"/>
      <c r="AG1614" s="24"/>
      <c r="AH1614" s="24"/>
      <c r="AI1614" s="24"/>
      <c r="AJ1614" s="24"/>
      <c r="AK1614" s="24"/>
      <c r="AL1614" s="24"/>
      <c r="AM1614" s="24"/>
      <c r="AN1614" s="24"/>
      <c r="AO1614" s="24"/>
      <c r="AP1614" s="24"/>
      <c r="AQ1614" s="24"/>
      <c r="AR1614" s="54"/>
    </row>
    <row r="1615">
      <c r="A1615" s="57"/>
      <c r="B1615" s="24"/>
      <c r="C1615" s="24"/>
      <c r="D1615" s="24"/>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c r="AA1615" s="24"/>
      <c r="AB1615" s="24"/>
      <c r="AC1615" s="24"/>
      <c r="AD1615" s="24"/>
      <c r="AE1615" s="24"/>
      <c r="AF1615" s="24"/>
      <c r="AG1615" s="24"/>
      <c r="AH1615" s="24"/>
      <c r="AI1615" s="24"/>
      <c r="AJ1615" s="24"/>
      <c r="AK1615" s="24"/>
      <c r="AL1615" s="24"/>
      <c r="AM1615" s="24"/>
      <c r="AN1615" s="24"/>
      <c r="AO1615" s="24"/>
      <c r="AP1615" s="24"/>
      <c r="AQ1615" s="24"/>
      <c r="AR1615" s="54"/>
    </row>
    <row r="1616">
      <c r="A1616" s="57"/>
      <c r="B1616" s="24"/>
      <c r="C1616" s="24"/>
      <c r="D1616" s="24"/>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c r="AA1616" s="24"/>
      <c r="AB1616" s="24"/>
      <c r="AC1616" s="24"/>
      <c r="AD1616" s="24"/>
      <c r="AE1616" s="24"/>
      <c r="AF1616" s="24"/>
      <c r="AG1616" s="24"/>
      <c r="AH1616" s="24"/>
      <c r="AI1616" s="24"/>
      <c r="AJ1616" s="24"/>
      <c r="AK1616" s="24"/>
      <c r="AL1616" s="24"/>
      <c r="AM1616" s="24"/>
      <c r="AN1616" s="24"/>
      <c r="AO1616" s="24"/>
      <c r="AP1616" s="24"/>
      <c r="AQ1616" s="24"/>
      <c r="AR1616" s="54"/>
    </row>
    <row r="1617">
      <c r="A1617" s="57"/>
      <c r="B1617" s="24"/>
      <c r="C1617" s="24"/>
      <c r="D1617" s="24"/>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c r="AA1617" s="24"/>
      <c r="AB1617" s="24"/>
      <c r="AC1617" s="24"/>
      <c r="AD1617" s="24"/>
      <c r="AE1617" s="24"/>
      <c r="AF1617" s="24"/>
      <c r="AG1617" s="24"/>
      <c r="AH1617" s="24"/>
      <c r="AI1617" s="24"/>
      <c r="AJ1617" s="24"/>
      <c r="AK1617" s="24"/>
      <c r="AL1617" s="24"/>
      <c r="AM1617" s="24"/>
      <c r="AN1617" s="24"/>
      <c r="AO1617" s="24"/>
      <c r="AP1617" s="24"/>
      <c r="AQ1617" s="24"/>
      <c r="AR1617" s="54"/>
    </row>
    <row r="1618">
      <c r="A1618" s="57"/>
      <c r="B1618" s="24"/>
      <c r="C1618" s="24"/>
      <c r="D1618" s="24"/>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c r="AA1618" s="24"/>
      <c r="AB1618" s="24"/>
      <c r="AC1618" s="24"/>
      <c r="AD1618" s="24"/>
      <c r="AE1618" s="24"/>
      <c r="AF1618" s="24"/>
      <c r="AG1618" s="24"/>
      <c r="AH1618" s="24"/>
      <c r="AI1618" s="24"/>
      <c r="AJ1618" s="24"/>
      <c r="AK1618" s="24"/>
      <c r="AL1618" s="24"/>
      <c r="AM1618" s="24"/>
      <c r="AN1618" s="24"/>
      <c r="AO1618" s="24"/>
      <c r="AP1618" s="24"/>
      <c r="AQ1618" s="24"/>
      <c r="AR1618" s="54"/>
    </row>
    <row r="1619">
      <c r="A1619" s="57"/>
      <c r="B1619" s="24"/>
      <c r="C1619" s="24"/>
      <c r="D1619" s="24"/>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c r="AA1619" s="24"/>
      <c r="AB1619" s="24"/>
      <c r="AC1619" s="24"/>
      <c r="AD1619" s="24"/>
      <c r="AE1619" s="24"/>
      <c r="AF1619" s="24"/>
      <c r="AG1619" s="24"/>
      <c r="AH1619" s="24"/>
      <c r="AI1619" s="24"/>
      <c r="AJ1619" s="24"/>
      <c r="AK1619" s="24"/>
      <c r="AL1619" s="24"/>
      <c r="AM1619" s="24"/>
      <c r="AN1619" s="24"/>
      <c r="AO1619" s="24"/>
      <c r="AP1619" s="24"/>
      <c r="AQ1619" s="24"/>
      <c r="AR1619" s="54"/>
    </row>
    <row r="1620">
      <c r="A1620" s="57"/>
      <c r="B1620" s="24"/>
      <c r="C1620" s="24"/>
      <c r="D1620" s="24"/>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c r="AA1620" s="24"/>
      <c r="AB1620" s="24"/>
      <c r="AC1620" s="24"/>
      <c r="AD1620" s="24"/>
      <c r="AE1620" s="24"/>
      <c r="AF1620" s="24"/>
      <c r="AG1620" s="24"/>
      <c r="AH1620" s="24"/>
      <c r="AI1620" s="24"/>
      <c r="AJ1620" s="24"/>
      <c r="AK1620" s="24"/>
      <c r="AL1620" s="24"/>
      <c r="AM1620" s="24"/>
      <c r="AN1620" s="24"/>
      <c r="AO1620" s="24"/>
      <c r="AP1620" s="24"/>
      <c r="AQ1620" s="24"/>
      <c r="AR1620" s="54"/>
    </row>
    <row r="1621">
      <c r="A1621" s="57"/>
      <c r="B1621" s="24"/>
      <c r="C1621" s="24"/>
      <c r="D1621" s="24"/>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c r="AA1621" s="24"/>
      <c r="AB1621" s="24"/>
      <c r="AC1621" s="24"/>
      <c r="AD1621" s="24"/>
      <c r="AE1621" s="24"/>
      <c r="AF1621" s="24"/>
      <c r="AG1621" s="24"/>
      <c r="AH1621" s="24"/>
      <c r="AI1621" s="24"/>
      <c r="AJ1621" s="24"/>
      <c r="AK1621" s="24"/>
      <c r="AL1621" s="24"/>
      <c r="AM1621" s="24"/>
      <c r="AN1621" s="24"/>
      <c r="AO1621" s="24"/>
      <c r="AP1621" s="24"/>
      <c r="AQ1621" s="24"/>
      <c r="AR1621" s="54"/>
    </row>
    <row r="1622">
      <c r="A1622" s="57"/>
      <c r="B1622" s="24"/>
      <c r="C1622" s="24"/>
      <c r="D1622" s="24"/>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c r="AA1622" s="24"/>
      <c r="AB1622" s="24"/>
      <c r="AC1622" s="24"/>
      <c r="AD1622" s="24"/>
      <c r="AE1622" s="24"/>
      <c r="AF1622" s="24"/>
      <c r="AG1622" s="24"/>
      <c r="AH1622" s="24"/>
      <c r="AI1622" s="24"/>
      <c r="AJ1622" s="24"/>
      <c r="AK1622" s="24"/>
      <c r="AL1622" s="24"/>
      <c r="AM1622" s="24"/>
      <c r="AN1622" s="24"/>
      <c r="AO1622" s="24"/>
      <c r="AP1622" s="24"/>
      <c r="AQ1622" s="24"/>
      <c r="AR1622" s="54"/>
    </row>
    <row r="1623">
      <c r="A1623" s="57"/>
      <c r="B1623" s="24"/>
      <c r="C1623" s="24"/>
      <c r="D1623" s="24"/>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c r="AA1623" s="24"/>
      <c r="AB1623" s="24"/>
      <c r="AC1623" s="24"/>
      <c r="AD1623" s="24"/>
      <c r="AE1623" s="24"/>
      <c r="AF1623" s="24"/>
      <c r="AG1623" s="24"/>
      <c r="AH1623" s="24"/>
      <c r="AI1623" s="24"/>
      <c r="AJ1623" s="24"/>
      <c r="AK1623" s="24"/>
      <c r="AL1623" s="24"/>
      <c r="AM1623" s="24"/>
      <c r="AN1623" s="24"/>
      <c r="AO1623" s="24"/>
      <c r="AP1623" s="24"/>
      <c r="AQ1623" s="24"/>
      <c r="AR1623" s="54"/>
    </row>
    <row r="1624">
      <c r="A1624" s="57"/>
      <c r="B1624" s="24"/>
      <c r="C1624" s="24"/>
      <c r="D1624" s="24"/>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c r="AA1624" s="24"/>
      <c r="AB1624" s="24"/>
      <c r="AC1624" s="24"/>
      <c r="AD1624" s="24"/>
      <c r="AE1624" s="24"/>
      <c r="AF1624" s="24"/>
      <c r="AG1624" s="24"/>
      <c r="AH1624" s="24"/>
      <c r="AI1624" s="24"/>
      <c r="AJ1624" s="24"/>
      <c r="AK1624" s="24"/>
      <c r="AL1624" s="24"/>
      <c r="AM1624" s="24"/>
      <c r="AN1624" s="24"/>
      <c r="AO1624" s="24"/>
      <c r="AP1624" s="24"/>
      <c r="AQ1624" s="24"/>
      <c r="AR1624" s="54"/>
    </row>
    <row r="1625">
      <c r="A1625" s="57"/>
      <c r="B1625" s="24"/>
      <c r="C1625" s="24"/>
      <c r="D1625" s="24"/>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c r="AA1625" s="24"/>
      <c r="AB1625" s="24"/>
      <c r="AC1625" s="24"/>
      <c r="AD1625" s="24"/>
      <c r="AE1625" s="24"/>
      <c r="AF1625" s="24"/>
      <c r="AG1625" s="24"/>
      <c r="AH1625" s="24"/>
      <c r="AI1625" s="24"/>
      <c r="AJ1625" s="24"/>
      <c r="AK1625" s="24"/>
      <c r="AL1625" s="24"/>
      <c r="AM1625" s="24"/>
      <c r="AN1625" s="24"/>
      <c r="AO1625" s="24"/>
      <c r="AP1625" s="24"/>
      <c r="AQ1625" s="24"/>
      <c r="AR1625" s="54"/>
    </row>
    <row r="1626">
      <c r="A1626" s="57"/>
      <c r="B1626" s="24"/>
      <c r="C1626" s="24"/>
      <c r="D1626" s="24"/>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c r="AA1626" s="24"/>
      <c r="AB1626" s="24"/>
      <c r="AC1626" s="24"/>
      <c r="AD1626" s="24"/>
      <c r="AE1626" s="24"/>
      <c r="AF1626" s="24"/>
      <c r="AG1626" s="24"/>
      <c r="AH1626" s="24"/>
      <c r="AI1626" s="24"/>
      <c r="AJ1626" s="24"/>
      <c r="AK1626" s="24"/>
      <c r="AL1626" s="24"/>
      <c r="AM1626" s="24"/>
      <c r="AN1626" s="24"/>
      <c r="AO1626" s="24"/>
      <c r="AP1626" s="24"/>
      <c r="AQ1626" s="24"/>
      <c r="AR1626" s="54"/>
    </row>
    <row r="1627">
      <c r="A1627" s="57"/>
      <c r="B1627" s="24"/>
      <c r="C1627" s="24"/>
      <c r="D1627" s="24"/>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c r="AA1627" s="24"/>
      <c r="AB1627" s="24"/>
      <c r="AC1627" s="24"/>
      <c r="AD1627" s="24"/>
      <c r="AE1627" s="24"/>
      <c r="AF1627" s="24"/>
      <c r="AG1627" s="24"/>
      <c r="AH1627" s="24"/>
      <c r="AI1627" s="24"/>
      <c r="AJ1627" s="24"/>
      <c r="AK1627" s="24"/>
      <c r="AL1627" s="24"/>
      <c r="AM1627" s="24"/>
      <c r="AN1627" s="24"/>
      <c r="AO1627" s="24"/>
      <c r="AP1627" s="24"/>
      <c r="AQ1627" s="24"/>
      <c r="AR1627" s="54"/>
    </row>
    <row r="1628">
      <c r="A1628" s="57"/>
      <c r="B1628" s="24"/>
      <c r="C1628" s="24"/>
      <c r="D1628" s="24"/>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c r="AA1628" s="24"/>
      <c r="AB1628" s="24"/>
      <c r="AC1628" s="24"/>
      <c r="AD1628" s="24"/>
      <c r="AE1628" s="24"/>
      <c r="AF1628" s="24"/>
      <c r="AG1628" s="24"/>
      <c r="AH1628" s="24"/>
      <c r="AI1628" s="24"/>
      <c r="AJ1628" s="24"/>
      <c r="AK1628" s="24"/>
      <c r="AL1628" s="24"/>
      <c r="AM1628" s="24"/>
      <c r="AN1628" s="24"/>
      <c r="AO1628" s="24"/>
      <c r="AP1628" s="24"/>
      <c r="AQ1628" s="24"/>
      <c r="AR1628" s="54"/>
    </row>
    <row r="1629">
      <c r="A1629" s="57"/>
      <c r="B1629" s="24"/>
      <c r="C1629" s="24"/>
      <c r="D1629" s="24"/>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c r="AA1629" s="24"/>
      <c r="AB1629" s="24"/>
      <c r="AC1629" s="24"/>
      <c r="AD1629" s="24"/>
      <c r="AE1629" s="24"/>
      <c r="AF1629" s="24"/>
      <c r="AG1629" s="24"/>
      <c r="AH1629" s="24"/>
      <c r="AI1629" s="24"/>
      <c r="AJ1629" s="24"/>
      <c r="AK1629" s="24"/>
      <c r="AL1629" s="24"/>
      <c r="AM1629" s="24"/>
      <c r="AN1629" s="24"/>
      <c r="AO1629" s="24"/>
      <c r="AP1629" s="24"/>
      <c r="AQ1629" s="24"/>
      <c r="AR1629" s="54"/>
    </row>
    <row r="1630">
      <c r="A1630" s="57"/>
      <c r="B1630" s="24"/>
      <c r="C1630" s="24"/>
      <c r="D1630" s="24"/>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c r="AA1630" s="24"/>
      <c r="AB1630" s="24"/>
      <c r="AC1630" s="24"/>
      <c r="AD1630" s="24"/>
      <c r="AE1630" s="24"/>
      <c r="AF1630" s="24"/>
      <c r="AG1630" s="24"/>
      <c r="AH1630" s="24"/>
      <c r="AI1630" s="24"/>
      <c r="AJ1630" s="24"/>
      <c r="AK1630" s="24"/>
      <c r="AL1630" s="24"/>
      <c r="AM1630" s="24"/>
      <c r="AN1630" s="24"/>
      <c r="AO1630" s="24"/>
      <c r="AP1630" s="24"/>
      <c r="AQ1630" s="24"/>
      <c r="AR1630" s="54"/>
    </row>
    <row r="1631">
      <c r="A1631" s="57"/>
      <c r="B1631" s="24"/>
      <c r="C1631" s="24"/>
      <c r="D1631" s="24"/>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c r="AA1631" s="24"/>
      <c r="AB1631" s="24"/>
      <c r="AC1631" s="24"/>
      <c r="AD1631" s="24"/>
      <c r="AE1631" s="24"/>
      <c r="AF1631" s="24"/>
      <c r="AG1631" s="24"/>
      <c r="AH1631" s="24"/>
      <c r="AI1631" s="24"/>
      <c r="AJ1631" s="24"/>
      <c r="AK1631" s="24"/>
      <c r="AL1631" s="24"/>
      <c r="AM1631" s="24"/>
      <c r="AN1631" s="24"/>
      <c r="AO1631" s="24"/>
      <c r="AP1631" s="24"/>
      <c r="AQ1631" s="24"/>
      <c r="AR1631" s="54"/>
    </row>
    <row r="1632">
      <c r="A1632" s="57"/>
      <c r="B1632" s="24"/>
      <c r="C1632" s="24"/>
      <c r="D1632" s="24"/>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c r="AA1632" s="24"/>
      <c r="AB1632" s="24"/>
      <c r="AC1632" s="24"/>
      <c r="AD1632" s="24"/>
      <c r="AE1632" s="24"/>
      <c r="AF1632" s="24"/>
      <c r="AG1632" s="24"/>
      <c r="AH1632" s="24"/>
      <c r="AI1632" s="24"/>
      <c r="AJ1632" s="24"/>
      <c r="AK1632" s="24"/>
      <c r="AL1632" s="24"/>
      <c r="AM1632" s="24"/>
      <c r="AN1632" s="24"/>
      <c r="AO1632" s="24"/>
      <c r="AP1632" s="24"/>
      <c r="AQ1632" s="24"/>
      <c r="AR1632" s="54"/>
    </row>
    <row r="1633">
      <c r="A1633" s="57"/>
      <c r="B1633" s="24"/>
      <c r="C1633" s="24"/>
      <c r="D1633" s="24"/>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c r="AA1633" s="24"/>
      <c r="AB1633" s="24"/>
      <c r="AC1633" s="24"/>
      <c r="AD1633" s="24"/>
      <c r="AE1633" s="24"/>
      <c r="AF1633" s="24"/>
      <c r="AG1633" s="24"/>
      <c r="AH1633" s="24"/>
      <c r="AI1633" s="24"/>
      <c r="AJ1633" s="24"/>
      <c r="AK1633" s="24"/>
      <c r="AL1633" s="24"/>
      <c r="AM1633" s="24"/>
      <c r="AN1633" s="24"/>
      <c r="AO1633" s="24"/>
      <c r="AP1633" s="24"/>
      <c r="AQ1633" s="24"/>
      <c r="AR1633" s="54"/>
    </row>
    <row r="1634">
      <c r="A1634" s="57"/>
      <c r="B1634" s="24"/>
      <c r="C1634" s="24"/>
      <c r="D1634" s="24"/>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c r="AA1634" s="24"/>
      <c r="AB1634" s="24"/>
      <c r="AC1634" s="24"/>
      <c r="AD1634" s="24"/>
      <c r="AE1634" s="24"/>
      <c r="AF1634" s="24"/>
      <c r="AG1634" s="24"/>
      <c r="AH1634" s="24"/>
      <c r="AI1634" s="24"/>
      <c r="AJ1634" s="24"/>
      <c r="AK1634" s="24"/>
      <c r="AL1634" s="24"/>
      <c r="AM1634" s="24"/>
      <c r="AN1634" s="24"/>
      <c r="AO1634" s="24"/>
      <c r="AP1634" s="24"/>
      <c r="AQ1634" s="24"/>
      <c r="AR1634" s="54"/>
    </row>
    <row r="1635">
      <c r="A1635" s="57"/>
      <c r="B1635" s="24"/>
      <c r="C1635" s="24"/>
      <c r="D1635" s="24"/>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c r="AA1635" s="24"/>
      <c r="AB1635" s="24"/>
      <c r="AC1635" s="24"/>
      <c r="AD1635" s="24"/>
      <c r="AE1635" s="24"/>
      <c r="AF1635" s="24"/>
      <c r="AG1635" s="24"/>
      <c r="AH1635" s="24"/>
      <c r="AI1635" s="24"/>
      <c r="AJ1635" s="24"/>
      <c r="AK1635" s="24"/>
      <c r="AL1635" s="24"/>
      <c r="AM1635" s="24"/>
      <c r="AN1635" s="24"/>
      <c r="AO1635" s="24"/>
      <c r="AP1635" s="24"/>
      <c r="AQ1635" s="24"/>
      <c r="AR1635" s="54"/>
    </row>
    <row r="1636">
      <c r="A1636" s="57"/>
      <c r="B1636" s="24"/>
      <c r="C1636" s="24"/>
      <c r="D1636" s="24"/>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c r="AA1636" s="24"/>
      <c r="AB1636" s="24"/>
      <c r="AC1636" s="24"/>
      <c r="AD1636" s="24"/>
      <c r="AE1636" s="24"/>
      <c r="AF1636" s="24"/>
      <c r="AG1636" s="24"/>
      <c r="AH1636" s="24"/>
      <c r="AI1636" s="24"/>
      <c r="AJ1636" s="24"/>
      <c r="AK1636" s="24"/>
      <c r="AL1636" s="24"/>
      <c r="AM1636" s="24"/>
      <c r="AN1636" s="24"/>
      <c r="AO1636" s="24"/>
      <c r="AP1636" s="24"/>
      <c r="AQ1636" s="24"/>
      <c r="AR1636" s="54"/>
    </row>
    <row r="1637">
      <c r="A1637" s="57"/>
      <c r="B1637" s="24"/>
      <c r="C1637" s="24"/>
      <c r="D1637" s="24"/>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c r="AA1637" s="24"/>
      <c r="AB1637" s="24"/>
      <c r="AC1637" s="24"/>
      <c r="AD1637" s="24"/>
      <c r="AE1637" s="24"/>
      <c r="AF1637" s="24"/>
      <c r="AG1637" s="24"/>
      <c r="AH1637" s="24"/>
      <c r="AI1637" s="24"/>
      <c r="AJ1637" s="24"/>
      <c r="AK1637" s="24"/>
      <c r="AL1637" s="24"/>
      <c r="AM1637" s="24"/>
      <c r="AN1637" s="24"/>
      <c r="AO1637" s="24"/>
      <c r="AP1637" s="24"/>
      <c r="AQ1637" s="24"/>
      <c r="AR1637" s="54"/>
    </row>
    <row r="1638">
      <c r="A1638" s="57"/>
      <c r="B1638" s="24"/>
      <c r="C1638" s="24"/>
      <c r="D1638" s="24"/>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c r="AA1638" s="24"/>
      <c r="AB1638" s="24"/>
      <c r="AC1638" s="24"/>
      <c r="AD1638" s="24"/>
      <c r="AE1638" s="24"/>
      <c r="AF1638" s="24"/>
      <c r="AG1638" s="24"/>
      <c r="AH1638" s="24"/>
      <c r="AI1638" s="24"/>
      <c r="AJ1638" s="24"/>
      <c r="AK1638" s="24"/>
      <c r="AL1638" s="24"/>
      <c r="AM1638" s="24"/>
      <c r="AN1638" s="24"/>
      <c r="AO1638" s="24"/>
      <c r="AP1638" s="24"/>
      <c r="AQ1638" s="24"/>
      <c r="AR1638" s="54"/>
    </row>
    <row r="1639">
      <c r="A1639" s="57"/>
      <c r="B1639" s="24"/>
      <c r="C1639" s="24"/>
      <c r="D1639" s="24"/>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c r="AA1639" s="24"/>
      <c r="AB1639" s="24"/>
      <c r="AC1639" s="24"/>
      <c r="AD1639" s="24"/>
      <c r="AE1639" s="24"/>
      <c r="AF1639" s="24"/>
      <c r="AG1639" s="24"/>
      <c r="AH1639" s="24"/>
      <c r="AI1639" s="24"/>
      <c r="AJ1639" s="24"/>
      <c r="AK1639" s="24"/>
      <c r="AL1639" s="24"/>
      <c r="AM1639" s="24"/>
      <c r="AN1639" s="24"/>
      <c r="AO1639" s="24"/>
      <c r="AP1639" s="24"/>
      <c r="AQ1639" s="24"/>
      <c r="AR1639" s="54"/>
    </row>
    <row r="1640">
      <c r="A1640" s="57"/>
      <c r="B1640" s="24"/>
      <c r="C1640" s="24"/>
      <c r="D1640" s="24"/>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c r="AA1640" s="24"/>
      <c r="AB1640" s="24"/>
      <c r="AC1640" s="24"/>
      <c r="AD1640" s="24"/>
      <c r="AE1640" s="24"/>
      <c r="AF1640" s="24"/>
      <c r="AG1640" s="24"/>
      <c r="AH1640" s="24"/>
      <c r="AI1640" s="24"/>
      <c r="AJ1640" s="24"/>
      <c r="AK1640" s="24"/>
      <c r="AL1640" s="24"/>
      <c r="AM1640" s="24"/>
      <c r="AN1640" s="24"/>
      <c r="AO1640" s="24"/>
      <c r="AP1640" s="24"/>
      <c r="AQ1640" s="24"/>
      <c r="AR1640" s="54"/>
    </row>
    <row r="1641">
      <c r="A1641" s="57"/>
      <c r="B1641" s="24"/>
      <c r="C1641" s="24"/>
      <c r="D1641" s="24"/>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c r="AA1641" s="24"/>
      <c r="AB1641" s="24"/>
      <c r="AC1641" s="24"/>
      <c r="AD1641" s="24"/>
      <c r="AE1641" s="24"/>
      <c r="AF1641" s="24"/>
      <c r="AG1641" s="24"/>
      <c r="AH1641" s="24"/>
      <c r="AI1641" s="24"/>
      <c r="AJ1641" s="24"/>
      <c r="AK1641" s="24"/>
      <c r="AL1641" s="24"/>
      <c r="AM1641" s="24"/>
      <c r="AN1641" s="24"/>
      <c r="AO1641" s="24"/>
      <c r="AP1641" s="24"/>
      <c r="AQ1641" s="24"/>
      <c r="AR1641" s="54"/>
    </row>
    <row r="1642">
      <c r="A1642" s="57"/>
      <c r="B1642" s="24"/>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c r="AA1642" s="24"/>
      <c r="AB1642" s="24"/>
      <c r="AC1642" s="24"/>
      <c r="AD1642" s="24"/>
      <c r="AE1642" s="24"/>
      <c r="AF1642" s="24"/>
      <c r="AG1642" s="24"/>
      <c r="AH1642" s="24"/>
      <c r="AI1642" s="24"/>
      <c r="AJ1642" s="24"/>
      <c r="AK1642" s="24"/>
      <c r="AL1642" s="24"/>
      <c r="AM1642" s="24"/>
      <c r="AN1642" s="24"/>
      <c r="AO1642" s="24"/>
      <c r="AP1642" s="24"/>
      <c r="AQ1642" s="24"/>
      <c r="AR1642" s="54"/>
    </row>
    <row r="1643">
      <c r="A1643" s="57"/>
      <c r="B1643" s="24"/>
      <c r="C1643" s="24"/>
      <c r="D1643" s="24"/>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c r="AA1643" s="24"/>
      <c r="AB1643" s="24"/>
      <c r="AC1643" s="24"/>
      <c r="AD1643" s="24"/>
      <c r="AE1643" s="24"/>
      <c r="AF1643" s="24"/>
      <c r="AG1643" s="24"/>
      <c r="AH1643" s="24"/>
      <c r="AI1643" s="24"/>
      <c r="AJ1643" s="24"/>
      <c r="AK1643" s="24"/>
      <c r="AL1643" s="24"/>
      <c r="AM1643" s="24"/>
      <c r="AN1643" s="24"/>
      <c r="AO1643" s="24"/>
      <c r="AP1643" s="24"/>
      <c r="AQ1643" s="24"/>
      <c r="AR1643" s="54"/>
    </row>
    <row r="1644">
      <c r="A1644" s="57"/>
      <c r="B1644" s="24"/>
      <c r="C1644" s="24"/>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c r="AA1644" s="24"/>
      <c r="AB1644" s="24"/>
      <c r="AC1644" s="24"/>
      <c r="AD1644" s="24"/>
      <c r="AE1644" s="24"/>
      <c r="AF1644" s="24"/>
      <c r="AG1644" s="24"/>
      <c r="AH1644" s="24"/>
      <c r="AI1644" s="24"/>
      <c r="AJ1644" s="24"/>
      <c r="AK1644" s="24"/>
      <c r="AL1644" s="24"/>
      <c r="AM1644" s="24"/>
      <c r="AN1644" s="24"/>
      <c r="AO1644" s="24"/>
      <c r="AP1644" s="24"/>
      <c r="AQ1644" s="24"/>
      <c r="AR1644" s="54"/>
    </row>
    <row r="1645">
      <c r="A1645" s="57"/>
      <c r="B1645" s="24"/>
      <c r="C1645" s="24"/>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c r="AA1645" s="24"/>
      <c r="AB1645" s="24"/>
      <c r="AC1645" s="24"/>
      <c r="AD1645" s="24"/>
      <c r="AE1645" s="24"/>
      <c r="AF1645" s="24"/>
      <c r="AG1645" s="24"/>
      <c r="AH1645" s="24"/>
      <c r="AI1645" s="24"/>
      <c r="AJ1645" s="24"/>
      <c r="AK1645" s="24"/>
      <c r="AL1645" s="24"/>
      <c r="AM1645" s="24"/>
      <c r="AN1645" s="24"/>
      <c r="AO1645" s="24"/>
      <c r="AP1645" s="24"/>
      <c r="AQ1645" s="24"/>
      <c r="AR1645" s="54"/>
    </row>
    <row r="1646">
      <c r="A1646" s="57"/>
      <c r="B1646" s="24"/>
      <c r="C1646" s="24"/>
      <c r="D1646" s="24"/>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c r="AA1646" s="24"/>
      <c r="AB1646" s="24"/>
      <c r="AC1646" s="24"/>
      <c r="AD1646" s="24"/>
      <c r="AE1646" s="24"/>
      <c r="AF1646" s="24"/>
      <c r="AG1646" s="24"/>
      <c r="AH1646" s="24"/>
      <c r="AI1646" s="24"/>
      <c r="AJ1646" s="24"/>
      <c r="AK1646" s="24"/>
      <c r="AL1646" s="24"/>
      <c r="AM1646" s="24"/>
      <c r="AN1646" s="24"/>
      <c r="AO1646" s="24"/>
      <c r="AP1646" s="24"/>
      <c r="AQ1646" s="24"/>
      <c r="AR1646" s="54"/>
    </row>
    <row r="1647">
      <c r="A1647" s="57"/>
      <c r="B1647" s="24"/>
      <c r="C1647" s="24"/>
      <c r="D1647" s="24"/>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c r="AA1647" s="24"/>
      <c r="AB1647" s="24"/>
      <c r="AC1647" s="24"/>
      <c r="AD1647" s="24"/>
      <c r="AE1647" s="24"/>
      <c r="AF1647" s="24"/>
      <c r="AG1647" s="24"/>
      <c r="AH1647" s="24"/>
      <c r="AI1647" s="24"/>
      <c r="AJ1647" s="24"/>
      <c r="AK1647" s="24"/>
      <c r="AL1647" s="24"/>
      <c r="AM1647" s="24"/>
      <c r="AN1647" s="24"/>
      <c r="AO1647" s="24"/>
      <c r="AP1647" s="24"/>
      <c r="AQ1647" s="24"/>
      <c r="AR1647" s="54"/>
    </row>
    <row r="1648">
      <c r="A1648" s="57"/>
      <c r="B1648" s="24"/>
      <c r="C1648" s="24"/>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c r="AA1648" s="24"/>
      <c r="AB1648" s="24"/>
      <c r="AC1648" s="24"/>
      <c r="AD1648" s="24"/>
      <c r="AE1648" s="24"/>
      <c r="AF1648" s="24"/>
      <c r="AG1648" s="24"/>
      <c r="AH1648" s="24"/>
      <c r="AI1648" s="24"/>
      <c r="AJ1648" s="24"/>
      <c r="AK1648" s="24"/>
      <c r="AL1648" s="24"/>
      <c r="AM1648" s="24"/>
      <c r="AN1648" s="24"/>
      <c r="AO1648" s="24"/>
      <c r="AP1648" s="24"/>
      <c r="AQ1648" s="24"/>
      <c r="AR1648" s="54"/>
    </row>
    <row r="1649">
      <c r="A1649" s="57"/>
      <c r="B1649" s="24"/>
      <c r="C1649" s="24"/>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c r="AA1649" s="24"/>
      <c r="AB1649" s="24"/>
      <c r="AC1649" s="24"/>
      <c r="AD1649" s="24"/>
      <c r="AE1649" s="24"/>
      <c r="AF1649" s="24"/>
      <c r="AG1649" s="24"/>
      <c r="AH1649" s="24"/>
      <c r="AI1649" s="24"/>
      <c r="AJ1649" s="24"/>
      <c r="AK1649" s="24"/>
      <c r="AL1649" s="24"/>
      <c r="AM1649" s="24"/>
      <c r="AN1649" s="24"/>
      <c r="AO1649" s="24"/>
      <c r="AP1649" s="24"/>
      <c r="AQ1649" s="24"/>
      <c r="AR1649" s="54"/>
    </row>
    <row r="1650">
      <c r="A1650" s="57"/>
      <c r="B1650" s="24"/>
      <c r="C1650" s="24"/>
      <c r="D1650" s="24"/>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c r="AA1650" s="24"/>
      <c r="AB1650" s="24"/>
      <c r="AC1650" s="24"/>
      <c r="AD1650" s="24"/>
      <c r="AE1650" s="24"/>
      <c r="AF1650" s="24"/>
      <c r="AG1650" s="24"/>
      <c r="AH1650" s="24"/>
      <c r="AI1650" s="24"/>
      <c r="AJ1650" s="24"/>
      <c r="AK1650" s="24"/>
      <c r="AL1650" s="24"/>
      <c r="AM1650" s="24"/>
      <c r="AN1650" s="24"/>
      <c r="AO1650" s="24"/>
      <c r="AP1650" s="24"/>
      <c r="AQ1650" s="24"/>
      <c r="AR1650" s="54"/>
    </row>
    <row r="1651">
      <c r="A1651" s="57"/>
      <c r="B1651" s="24"/>
      <c r="C1651" s="24"/>
      <c r="D1651" s="24"/>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c r="AA1651" s="24"/>
      <c r="AB1651" s="24"/>
      <c r="AC1651" s="24"/>
      <c r="AD1651" s="24"/>
      <c r="AE1651" s="24"/>
      <c r="AF1651" s="24"/>
      <c r="AG1651" s="24"/>
      <c r="AH1651" s="24"/>
      <c r="AI1651" s="24"/>
      <c r="AJ1651" s="24"/>
      <c r="AK1651" s="24"/>
      <c r="AL1651" s="24"/>
      <c r="AM1651" s="24"/>
      <c r="AN1651" s="24"/>
      <c r="AO1651" s="24"/>
      <c r="AP1651" s="24"/>
      <c r="AQ1651" s="24"/>
      <c r="AR1651" s="54"/>
    </row>
    <row r="1652">
      <c r="A1652" s="57"/>
      <c r="B1652" s="24"/>
      <c r="C1652" s="24"/>
      <c r="D1652" s="24"/>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c r="AA1652" s="24"/>
      <c r="AB1652" s="24"/>
      <c r="AC1652" s="24"/>
      <c r="AD1652" s="24"/>
      <c r="AE1652" s="24"/>
      <c r="AF1652" s="24"/>
      <c r="AG1652" s="24"/>
      <c r="AH1652" s="24"/>
      <c r="AI1652" s="24"/>
      <c r="AJ1652" s="24"/>
      <c r="AK1652" s="24"/>
      <c r="AL1652" s="24"/>
      <c r="AM1652" s="24"/>
      <c r="AN1652" s="24"/>
      <c r="AO1652" s="24"/>
      <c r="AP1652" s="24"/>
      <c r="AQ1652" s="24"/>
      <c r="AR1652" s="54"/>
    </row>
    <row r="1653">
      <c r="A1653" s="57"/>
      <c r="B1653" s="24"/>
      <c r="C1653" s="24"/>
      <c r="D1653" s="24"/>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c r="AA1653" s="24"/>
      <c r="AB1653" s="24"/>
      <c r="AC1653" s="24"/>
      <c r="AD1653" s="24"/>
      <c r="AE1653" s="24"/>
      <c r="AF1653" s="24"/>
      <c r="AG1653" s="24"/>
      <c r="AH1653" s="24"/>
      <c r="AI1653" s="24"/>
      <c r="AJ1653" s="24"/>
      <c r="AK1653" s="24"/>
      <c r="AL1653" s="24"/>
      <c r="AM1653" s="24"/>
      <c r="AN1653" s="24"/>
      <c r="AO1653" s="24"/>
      <c r="AP1653" s="24"/>
      <c r="AQ1653" s="24"/>
      <c r="AR1653" s="54"/>
    </row>
    <row r="1654">
      <c r="A1654" s="57"/>
      <c r="B1654" s="24"/>
      <c r="C1654" s="24"/>
      <c r="D1654" s="24"/>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c r="AA1654" s="24"/>
      <c r="AB1654" s="24"/>
      <c r="AC1654" s="24"/>
      <c r="AD1654" s="24"/>
      <c r="AE1654" s="24"/>
      <c r="AF1654" s="24"/>
      <c r="AG1654" s="24"/>
      <c r="AH1654" s="24"/>
      <c r="AI1654" s="24"/>
      <c r="AJ1654" s="24"/>
      <c r="AK1654" s="24"/>
      <c r="AL1654" s="24"/>
      <c r="AM1654" s="24"/>
      <c r="AN1654" s="24"/>
      <c r="AO1654" s="24"/>
      <c r="AP1654" s="24"/>
      <c r="AQ1654" s="24"/>
      <c r="AR1654" s="54"/>
    </row>
    <row r="1655">
      <c r="A1655" s="57"/>
      <c r="B1655" s="24"/>
      <c r="C1655" s="24"/>
      <c r="D1655" s="24"/>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c r="AA1655" s="24"/>
      <c r="AB1655" s="24"/>
      <c r="AC1655" s="24"/>
      <c r="AD1655" s="24"/>
      <c r="AE1655" s="24"/>
      <c r="AF1655" s="24"/>
      <c r="AG1655" s="24"/>
      <c r="AH1655" s="24"/>
      <c r="AI1655" s="24"/>
      <c r="AJ1655" s="24"/>
      <c r="AK1655" s="24"/>
      <c r="AL1655" s="24"/>
      <c r="AM1655" s="24"/>
      <c r="AN1655" s="24"/>
      <c r="AO1655" s="24"/>
      <c r="AP1655" s="24"/>
      <c r="AQ1655" s="24"/>
      <c r="AR1655" s="54"/>
    </row>
    <row r="1656">
      <c r="A1656" s="57"/>
      <c r="B1656" s="24"/>
      <c r="C1656" s="24"/>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c r="AA1656" s="24"/>
      <c r="AB1656" s="24"/>
      <c r="AC1656" s="24"/>
      <c r="AD1656" s="24"/>
      <c r="AE1656" s="24"/>
      <c r="AF1656" s="24"/>
      <c r="AG1656" s="24"/>
      <c r="AH1656" s="24"/>
      <c r="AI1656" s="24"/>
      <c r="AJ1656" s="24"/>
      <c r="AK1656" s="24"/>
      <c r="AL1656" s="24"/>
      <c r="AM1656" s="24"/>
      <c r="AN1656" s="24"/>
      <c r="AO1656" s="24"/>
      <c r="AP1656" s="24"/>
      <c r="AQ1656" s="24"/>
      <c r="AR1656" s="54"/>
    </row>
    <row r="1657">
      <c r="A1657" s="57"/>
      <c r="B1657" s="24"/>
      <c r="C1657" s="24"/>
      <c r="D1657" s="24"/>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c r="AA1657" s="24"/>
      <c r="AB1657" s="24"/>
      <c r="AC1657" s="24"/>
      <c r="AD1657" s="24"/>
      <c r="AE1657" s="24"/>
      <c r="AF1657" s="24"/>
      <c r="AG1657" s="24"/>
      <c r="AH1657" s="24"/>
      <c r="AI1657" s="24"/>
      <c r="AJ1657" s="24"/>
      <c r="AK1657" s="24"/>
      <c r="AL1657" s="24"/>
      <c r="AM1657" s="24"/>
      <c r="AN1657" s="24"/>
      <c r="AO1657" s="24"/>
      <c r="AP1657" s="24"/>
      <c r="AQ1657" s="24"/>
      <c r="AR1657" s="54"/>
    </row>
    <row r="1658">
      <c r="A1658" s="57"/>
      <c r="B1658" s="24"/>
      <c r="C1658" s="24"/>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c r="AA1658" s="24"/>
      <c r="AB1658" s="24"/>
      <c r="AC1658" s="24"/>
      <c r="AD1658" s="24"/>
      <c r="AE1658" s="24"/>
      <c r="AF1658" s="24"/>
      <c r="AG1658" s="24"/>
      <c r="AH1658" s="24"/>
      <c r="AI1658" s="24"/>
      <c r="AJ1658" s="24"/>
      <c r="AK1658" s="24"/>
      <c r="AL1658" s="24"/>
      <c r="AM1658" s="24"/>
      <c r="AN1658" s="24"/>
      <c r="AO1658" s="24"/>
      <c r="AP1658" s="24"/>
      <c r="AQ1658" s="24"/>
      <c r="AR1658" s="54"/>
    </row>
    <row r="1659">
      <c r="A1659" s="57"/>
      <c r="B1659" s="24"/>
      <c r="C1659" s="24"/>
      <c r="D1659" s="24"/>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c r="AA1659" s="24"/>
      <c r="AB1659" s="24"/>
      <c r="AC1659" s="24"/>
      <c r="AD1659" s="24"/>
      <c r="AE1659" s="24"/>
      <c r="AF1659" s="24"/>
      <c r="AG1659" s="24"/>
      <c r="AH1659" s="24"/>
      <c r="AI1659" s="24"/>
      <c r="AJ1659" s="24"/>
      <c r="AK1659" s="24"/>
      <c r="AL1659" s="24"/>
      <c r="AM1659" s="24"/>
      <c r="AN1659" s="24"/>
      <c r="AO1659" s="24"/>
      <c r="AP1659" s="24"/>
      <c r="AQ1659" s="24"/>
      <c r="AR1659" s="54"/>
    </row>
    <row r="1660">
      <c r="A1660" s="57"/>
      <c r="B1660" s="24"/>
      <c r="C1660" s="24"/>
      <c r="D1660" s="24"/>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c r="AA1660" s="24"/>
      <c r="AB1660" s="24"/>
      <c r="AC1660" s="24"/>
      <c r="AD1660" s="24"/>
      <c r="AE1660" s="24"/>
      <c r="AF1660" s="24"/>
      <c r="AG1660" s="24"/>
      <c r="AH1660" s="24"/>
      <c r="AI1660" s="24"/>
      <c r="AJ1660" s="24"/>
      <c r="AK1660" s="24"/>
      <c r="AL1660" s="24"/>
      <c r="AM1660" s="24"/>
      <c r="AN1660" s="24"/>
      <c r="AO1660" s="24"/>
      <c r="AP1660" s="24"/>
      <c r="AQ1660" s="24"/>
      <c r="AR1660" s="54"/>
    </row>
    <row r="1661">
      <c r="A1661" s="57"/>
      <c r="B1661" s="24"/>
      <c r="C1661" s="24"/>
      <c r="D1661" s="24"/>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c r="AA1661" s="24"/>
      <c r="AB1661" s="24"/>
      <c r="AC1661" s="24"/>
      <c r="AD1661" s="24"/>
      <c r="AE1661" s="24"/>
      <c r="AF1661" s="24"/>
      <c r="AG1661" s="24"/>
      <c r="AH1661" s="24"/>
      <c r="AI1661" s="24"/>
      <c r="AJ1661" s="24"/>
      <c r="AK1661" s="24"/>
      <c r="AL1661" s="24"/>
      <c r="AM1661" s="24"/>
      <c r="AN1661" s="24"/>
      <c r="AO1661" s="24"/>
      <c r="AP1661" s="24"/>
      <c r="AQ1661" s="24"/>
      <c r="AR1661" s="54"/>
    </row>
    <row r="1662">
      <c r="A1662" s="57"/>
      <c r="B1662" s="24"/>
      <c r="C1662" s="24"/>
      <c r="D1662" s="24"/>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c r="AA1662" s="24"/>
      <c r="AB1662" s="24"/>
      <c r="AC1662" s="24"/>
      <c r="AD1662" s="24"/>
      <c r="AE1662" s="24"/>
      <c r="AF1662" s="24"/>
      <c r="AG1662" s="24"/>
      <c r="AH1662" s="24"/>
      <c r="AI1662" s="24"/>
      <c r="AJ1662" s="24"/>
      <c r="AK1662" s="24"/>
      <c r="AL1662" s="24"/>
      <c r="AM1662" s="24"/>
      <c r="AN1662" s="24"/>
      <c r="AO1662" s="24"/>
      <c r="AP1662" s="24"/>
      <c r="AQ1662" s="24"/>
      <c r="AR1662" s="54"/>
    </row>
    <row r="1663">
      <c r="A1663" s="57"/>
      <c r="B1663" s="24"/>
      <c r="C1663" s="24"/>
      <c r="D1663" s="24"/>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c r="AA1663" s="24"/>
      <c r="AB1663" s="24"/>
      <c r="AC1663" s="24"/>
      <c r="AD1663" s="24"/>
      <c r="AE1663" s="24"/>
      <c r="AF1663" s="24"/>
      <c r="AG1663" s="24"/>
      <c r="AH1663" s="24"/>
      <c r="AI1663" s="24"/>
      <c r="AJ1663" s="24"/>
      <c r="AK1663" s="24"/>
      <c r="AL1663" s="24"/>
      <c r="AM1663" s="24"/>
      <c r="AN1663" s="24"/>
      <c r="AO1663" s="24"/>
      <c r="AP1663" s="24"/>
      <c r="AQ1663" s="24"/>
      <c r="AR1663" s="54"/>
    </row>
    <row r="1664">
      <c r="A1664" s="57"/>
      <c r="B1664" s="24"/>
      <c r="C1664" s="24"/>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c r="AA1664" s="24"/>
      <c r="AB1664" s="24"/>
      <c r="AC1664" s="24"/>
      <c r="AD1664" s="24"/>
      <c r="AE1664" s="24"/>
      <c r="AF1664" s="24"/>
      <c r="AG1664" s="24"/>
      <c r="AH1664" s="24"/>
      <c r="AI1664" s="24"/>
      <c r="AJ1664" s="24"/>
      <c r="AK1664" s="24"/>
      <c r="AL1664" s="24"/>
      <c r="AM1664" s="24"/>
      <c r="AN1664" s="24"/>
      <c r="AO1664" s="24"/>
      <c r="AP1664" s="24"/>
      <c r="AQ1664" s="24"/>
      <c r="AR1664" s="54"/>
    </row>
    <row r="1665">
      <c r="A1665" s="57"/>
      <c r="B1665" s="24"/>
      <c r="C1665" s="24"/>
      <c r="D1665" s="24"/>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c r="AA1665" s="24"/>
      <c r="AB1665" s="24"/>
      <c r="AC1665" s="24"/>
      <c r="AD1665" s="24"/>
      <c r="AE1665" s="24"/>
      <c r="AF1665" s="24"/>
      <c r="AG1665" s="24"/>
      <c r="AH1665" s="24"/>
      <c r="AI1665" s="24"/>
      <c r="AJ1665" s="24"/>
      <c r="AK1665" s="24"/>
      <c r="AL1665" s="24"/>
      <c r="AM1665" s="24"/>
      <c r="AN1665" s="24"/>
      <c r="AO1665" s="24"/>
      <c r="AP1665" s="24"/>
      <c r="AQ1665" s="24"/>
      <c r="AR1665" s="54"/>
    </row>
    <row r="1666">
      <c r="A1666" s="57"/>
      <c r="B1666" s="24"/>
      <c r="C1666" s="24"/>
      <c r="D1666" s="24"/>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c r="AA1666" s="24"/>
      <c r="AB1666" s="24"/>
      <c r="AC1666" s="24"/>
      <c r="AD1666" s="24"/>
      <c r="AE1666" s="24"/>
      <c r="AF1666" s="24"/>
      <c r="AG1666" s="24"/>
      <c r="AH1666" s="24"/>
      <c r="AI1666" s="24"/>
      <c r="AJ1666" s="24"/>
      <c r="AK1666" s="24"/>
      <c r="AL1666" s="24"/>
      <c r="AM1666" s="24"/>
      <c r="AN1666" s="24"/>
      <c r="AO1666" s="24"/>
      <c r="AP1666" s="24"/>
      <c r="AQ1666" s="24"/>
      <c r="AR1666" s="54"/>
    </row>
    <row r="1667">
      <c r="A1667" s="57"/>
      <c r="B1667" s="24"/>
      <c r="C1667" s="24"/>
      <c r="D1667" s="24"/>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c r="AA1667" s="24"/>
      <c r="AB1667" s="24"/>
      <c r="AC1667" s="24"/>
      <c r="AD1667" s="24"/>
      <c r="AE1667" s="24"/>
      <c r="AF1667" s="24"/>
      <c r="AG1667" s="24"/>
      <c r="AH1667" s="24"/>
      <c r="AI1667" s="24"/>
      <c r="AJ1667" s="24"/>
      <c r="AK1667" s="24"/>
      <c r="AL1667" s="24"/>
      <c r="AM1667" s="24"/>
      <c r="AN1667" s="24"/>
      <c r="AO1667" s="24"/>
      <c r="AP1667" s="24"/>
      <c r="AQ1667" s="24"/>
      <c r="AR1667" s="54"/>
    </row>
    <row r="1668">
      <c r="A1668" s="57"/>
      <c r="B1668" s="24"/>
      <c r="C1668" s="24"/>
      <c r="D1668" s="24"/>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c r="AA1668" s="24"/>
      <c r="AB1668" s="24"/>
      <c r="AC1668" s="24"/>
      <c r="AD1668" s="24"/>
      <c r="AE1668" s="24"/>
      <c r="AF1668" s="24"/>
      <c r="AG1668" s="24"/>
      <c r="AH1668" s="24"/>
      <c r="AI1668" s="24"/>
      <c r="AJ1668" s="24"/>
      <c r="AK1668" s="24"/>
      <c r="AL1668" s="24"/>
      <c r="AM1668" s="24"/>
      <c r="AN1668" s="24"/>
      <c r="AO1668" s="24"/>
      <c r="AP1668" s="24"/>
      <c r="AQ1668" s="24"/>
      <c r="AR1668" s="54"/>
    </row>
    <row r="1669">
      <c r="A1669" s="57"/>
      <c r="B1669" s="24"/>
      <c r="C1669" s="24"/>
      <c r="D1669" s="24"/>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c r="AA1669" s="24"/>
      <c r="AB1669" s="24"/>
      <c r="AC1669" s="24"/>
      <c r="AD1669" s="24"/>
      <c r="AE1669" s="24"/>
      <c r="AF1669" s="24"/>
      <c r="AG1669" s="24"/>
      <c r="AH1669" s="24"/>
      <c r="AI1669" s="24"/>
      <c r="AJ1669" s="24"/>
      <c r="AK1669" s="24"/>
      <c r="AL1669" s="24"/>
      <c r="AM1669" s="24"/>
      <c r="AN1669" s="24"/>
      <c r="AO1669" s="24"/>
      <c r="AP1669" s="24"/>
      <c r="AQ1669" s="24"/>
      <c r="AR1669" s="54"/>
    </row>
    <row r="1670">
      <c r="A1670" s="57"/>
      <c r="B1670" s="24"/>
      <c r="C1670" s="24"/>
      <c r="D1670" s="24"/>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c r="AA1670" s="24"/>
      <c r="AB1670" s="24"/>
      <c r="AC1670" s="24"/>
      <c r="AD1670" s="24"/>
      <c r="AE1670" s="24"/>
      <c r="AF1670" s="24"/>
      <c r="AG1670" s="24"/>
      <c r="AH1670" s="24"/>
      <c r="AI1670" s="24"/>
      <c r="AJ1670" s="24"/>
      <c r="AK1670" s="24"/>
      <c r="AL1670" s="24"/>
      <c r="AM1670" s="24"/>
      <c r="AN1670" s="24"/>
      <c r="AO1670" s="24"/>
      <c r="AP1670" s="24"/>
      <c r="AQ1670" s="24"/>
      <c r="AR1670" s="54"/>
    </row>
    <row r="1671">
      <c r="A1671" s="57"/>
      <c r="B1671" s="24"/>
      <c r="C1671" s="24"/>
      <c r="D1671" s="24"/>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c r="AA1671" s="24"/>
      <c r="AB1671" s="24"/>
      <c r="AC1671" s="24"/>
      <c r="AD1671" s="24"/>
      <c r="AE1671" s="24"/>
      <c r="AF1671" s="24"/>
      <c r="AG1671" s="24"/>
      <c r="AH1671" s="24"/>
      <c r="AI1671" s="24"/>
      <c r="AJ1671" s="24"/>
      <c r="AK1671" s="24"/>
      <c r="AL1671" s="24"/>
      <c r="AM1671" s="24"/>
      <c r="AN1671" s="24"/>
      <c r="AO1671" s="24"/>
      <c r="AP1671" s="24"/>
      <c r="AQ1671" s="24"/>
      <c r="AR1671" s="54"/>
    </row>
    <row r="1672">
      <c r="A1672" s="57"/>
      <c r="B1672" s="24"/>
      <c r="C1672" s="24"/>
      <c r="D1672" s="24"/>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c r="AA1672" s="24"/>
      <c r="AB1672" s="24"/>
      <c r="AC1672" s="24"/>
      <c r="AD1672" s="24"/>
      <c r="AE1672" s="24"/>
      <c r="AF1672" s="24"/>
      <c r="AG1672" s="24"/>
      <c r="AH1672" s="24"/>
      <c r="AI1672" s="24"/>
      <c r="AJ1672" s="24"/>
      <c r="AK1672" s="24"/>
      <c r="AL1672" s="24"/>
      <c r="AM1672" s="24"/>
      <c r="AN1672" s="24"/>
      <c r="AO1672" s="24"/>
      <c r="AP1672" s="24"/>
      <c r="AQ1672" s="24"/>
      <c r="AR1672" s="54"/>
    </row>
    <row r="1673">
      <c r="A1673" s="57"/>
      <c r="B1673" s="24"/>
      <c r="C1673" s="24"/>
      <c r="D1673" s="24"/>
      <c r="E1673" s="24"/>
      <c r="F1673" s="24"/>
      <c r="G1673" s="24"/>
      <c r="H1673" s="24"/>
      <c r="I1673" s="24"/>
      <c r="J1673" s="24"/>
      <c r="K1673" s="24"/>
      <c r="L1673" s="24"/>
      <c r="M1673" s="24"/>
      <c r="N1673" s="24"/>
      <c r="O1673" s="24"/>
      <c r="P1673" s="24"/>
      <c r="Q1673" s="24"/>
      <c r="R1673" s="24"/>
      <c r="S1673" s="24"/>
      <c r="T1673" s="24"/>
      <c r="U1673" s="24"/>
      <c r="V1673" s="24"/>
      <c r="W1673" s="24"/>
      <c r="X1673" s="24"/>
      <c r="Y1673" s="24"/>
      <c r="Z1673" s="24"/>
      <c r="AA1673" s="24"/>
      <c r="AB1673" s="24"/>
      <c r="AC1673" s="24"/>
      <c r="AD1673" s="24"/>
      <c r="AE1673" s="24"/>
      <c r="AF1673" s="24"/>
      <c r="AG1673" s="24"/>
      <c r="AH1673" s="24"/>
      <c r="AI1673" s="24"/>
      <c r="AJ1673" s="24"/>
      <c r="AK1673" s="24"/>
      <c r="AL1673" s="24"/>
      <c r="AM1673" s="24"/>
      <c r="AN1673" s="24"/>
      <c r="AO1673" s="24"/>
      <c r="AP1673" s="24"/>
      <c r="AQ1673" s="24"/>
      <c r="AR1673" s="54"/>
    </row>
    <row r="1674">
      <c r="A1674" s="57"/>
      <c r="B1674" s="24"/>
      <c r="C1674" s="24"/>
      <c r="D1674" s="24"/>
      <c r="E1674" s="24"/>
      <c r="F1674" s="24"/>
      <c r="G1674" s="24"/>
      <c r="H1674" s="24"/>
      <c r="I1674" s="24"/>
      <c r="J1674" s="24"/>
      <c r="K1674" s="24"/>
      <c r="L1674" s="24"/>
      <c r="M1674" s="24"/>
      <c r="N1674" s="24"/>
      <c r="O1674" s="24"/>
      <c r="P1674" s="24"/>
      <c r="Q1674" s="24"/>
      <c r="R1674" s="24"/>
      <c r="S1674" s="24"/>
      <c r="T1674" s="24"/>
      <c r="U1674" s="24"/>
      <c r="V1674" s="24"/>
      <c r="W1674" s="24"/>
      <c r="X1674" s="24"/>
      <c r="Y1674" s="24"/>
      <c r="Z1674" s="24"/>
      <c r="AA1674" s="24"/>
      <c r="AB1674" s="24"/>
      <c r="AC1674" s="24"/>
      <c r="AD1674" s="24"/>
      <c r="AE1674" s="24"/>
      <c r="AF1674" s="24"/>
      <c r="AG1674" s="24"/>
      <c r="AH1674" s="24"/>
      <c r="AI1674" s="24"/>
      <c r="AJ1674" s="24"/>
      <c r="AK1674" s="24"/>
      <c r="AL1674" s="24"/>
      <c r="AM1674" s="24"/>
      <c r="AN1674" s="24"/>
      <c r="AO1674" s="24"/>
      <c r="AP1674" s="24"/>
      <c r="AQ1674" s="24"/>
      <c r="AR1674" s="54"/>
    </row>
    <row r="1675">
      <c r="A1675" s="57"/>
      <c r="B1675" s="24"/>
      <c r="C1675" s="24"/>
      <c r="D1675" s="24"/>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c r="AA1675" s="24"/>
      <c r="AB1675" s="24"/>
      <c r="AC1675" s="24"/>
      <c r="AD1675" s="24"/>
      <c r="AE1675" s="24"/>
      <c r="AF1675" s="24"/>
      <c r="AG1675" s="24"/>
      <c r="AH1675" s="24"/>
      <c r="AI1675" s="24"/>
      <c r="AJ1675" s="24"/>
      <c r="AK1675" s="24"/>
      <c r="AL1675" s="24"/>
      <c r="AM1675" s="24"/>
      <c r="AN1675" s="24"/>
      <c r="AO1675" s="24"/>
      <c r="AP1675" s="24"/>
      <c r="AQ1675" s="24"/>
      <c r="AR1675" s="54"/>
    </row>
    <row r="1676">
      <c r="A1676" s="57"/>
      <c r="B1676" s="24"/>
      <c r="C1676" s="24"/>
      <c r="D1676" s="24"/>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c r="AA1676" s="24"/>
      <c r="AB1676" s="24"/>
      <c r="AC1676" s="24"/>
      <c r="AD1676" s="24"/>
      <c r="AE1676" s="24"/>
      <c r="AF1676" s="24"/>
      <c r="AG1676" s="24"/>
      <c r="AH1676" s="24"/>
      <c r="AI1676" s="24"/>
      <c r="AJ1676" s="24"/>
      <c r="AK1676" s="24"/>
      <c r="AL1676" s="24"/>
      <c r="AM1676" s="24"/>
      <c r="AN1676" s="24"/>
      <c r="AO1676" s="24"/>
      <c r="AP1676" s="24"/>
      <c r="AQ1676" s="24"/>
      <c r="AR1676" s="54"/>
    </row>
    <row r="1677">
      <c r="A1677" s="57"/>
      <c r="B1677" s="24"/>
      <c r="C1677" s="24"/>
      <c r="D1677" s="24"/>
      <c r="E1677" s="24"/>
      <c r="F1677" s="24"/>
      <c r="G1677" s="24"/>
      <c r="H1677" s="24"/>
      <c r="I1677" s="24"/>
      <c r="J1677" s="24"/>
      <c r="K1677" s="24"/>
      <c r="L1677" s="24"/>
      <c r="M1677" s="24"/>
      <c r="N1677" s="24"/>
      <c r="O1677" s="24"/>
      <c r="P1677" s="24"/>
      <c r="Q1677" s="24"/>
      <c r="R1677" s="24"/>
      <c r="S1677" s="24"/>
      <c r="T1677" s="24"/>
      <c r="U1677" s="24"/>
      <c r="V1677" s="24"/>
      <c r="W1677" s="24"/>
      <c r="X1677" s="24"/>
      <c r="Y1677" s="24"/>
      <c r="Z1677" s="24"/>
      <c r="AA1677" s="24"/>
      <c r="AB1677" s="24"/>
      <c r="AC1677" s="24"/>
      <c r="AD1677" s="24"/>
      <c r="AE1677" s="24"/>
      <c r="AF1677" s="24"/>
      <c r="AG1677" s="24"/>
      <c r="AH1677" s="24"/>
      <c r="AI1677" s="24"/>
      <c r="AJ1677" s="24"/>
      <c r="AK1677" s="24"/>
      <c r="AL1677" s="24"/>
      <c r="AM1677" s="24"/>
      <c r="AN1677" s="24"/>
      <c r="AO1677" s="24"/>
      <c r="AP1677" s="24"/>
      <c r="AQ1677" s="24"/>
      <c r="AR1677" s="54"/>
    </row>
    <row r="1678">
      <c r="A1678" s="57"/>
      <c r="B1678" s="24"/>
      <c r="C1678" s="24"/>
      <c r="D1678" s="24"/>
      <c r="E1678" s="24"/>
      <c r="F1678" s="24"/>
      <c r="G1678" s="24"/>
      <c r="H1678" s="24"/>
      <c r="I1678" s="24"/>
      <c r="J1678" s="24"/>
      <c r="K1678" s="24"/>
      <c r="L1678" s="24"/>
      <c r="M1678" s="24"/>
      <c r="N1678" s="24"/>
      <c r="O1678" s="24"/>
      <c r="P1678" s="24"/>
      <c r="Q1678" s="24"/>
      <c r="R1678" s="24"/>
      <c r="S1678" s="24"/>
      <c r="T1678" s="24"/>
      <c r="U1678" s="24"/>
      <c r="V1678" s="24"/>
      <c r="W1678" s="24"/>
      <c r="X1678" s="24"/>
      <c r="Y1678" s="24"/>
      <c r="Z1678" s="24"/>
      <c r="AA1678" s="24"/>
      <c r="AB1678" s="24"/>
      <c r="AC1678" s="24"/>
      <c r="AD1678" s="24"/>
      <c r="AE1678" s="24"/>
      <c r="AF1678" s="24"/>
      <c r="AG1678" s="24"/>
      <c r="AH1678" s="24"/>
      <c r="AI1678" s="24"/>
      <c r="AJ1678" s="24"/>
      <c r="AK1678" s="24"/>
      <c r="AL1678" s="24"/>
      <c r="AM1678" s="24"/>
      <c r="AN1678" s="24"/>
      <c r="AO1678" s="24"/>
      <c r="AP1678" s="24"/>
      <c r="AQ1678" s="24"/>
      <c r="AR1678" s="54"/>
    </row>
    <row r="1679">
      <c r="A1679" s="57"/>
      <c r="B1679" s="24"/>
      <c r="C1679" s="24"/>
      <c r="D1679" s="24"/>
      <c r="E1679" s="24"/>
      <c r="F1679" s="24"/>
      <c r="G1679" s="24"/>
      <c r="H1679" s="24"/>
      <c r="I1679" s="24"/>
      <c r="J1679" s="24"/>
      <c r="K1679" s="24"/>
      <c r="L1679" s="24"/>
      <c r="M1679" s="24"/>
      <c r="N1679" s="24"/>
      <c r="O1679" s="24"/>
      <c r="P1679" s="24"/>
      <c r="Q1679" s="24"/>
      <c r="R1679" s="24"/>
      <c r="S1679" s="24"/>
      <c r="T1679" s="24"/>
      <c r="U1679" s="24"/>
      <c r="V1679" s="24"/>
      <c r="W1679" s="24"/>
      <c r="X1679" s="24"/>
      <c r="Y1679" s="24"/>
      <c r="Z1679" s="24"/>
      <c r="AA1679" s="24"/>
      <c r="AB1679" s="24"/>
      <c r="AC1679" s="24"/>
      <c r="AD1679" s="24"/>
      <c r="AE1679" s="24"/>
      <c r="AF1679" s="24"/>
      <c r="AG1679" s="24"/>
      <c r="AH1679" s="24"/>
      <c r="AI1679" s="24"/>
      <c r="AJ1679" s="24"/>
      <c r="AK1679" s="24"/>
      <c r="AL1679" s="24"/>
      <c r="AM1679" s="24"/>
      <c r="AN1679" s="24"/>
      <c r="AO1679" s="24"/>
      <c r="AP1679" s="24"/>
      <c r="AQ1679" s="24"/>
      <c r="AR1679" s="54"/>
    </row>
    <row r="1680">
      <c r="A1680" s="57"/>
      <c r="B1680" s="24"/>
      <c r="C1680" s="24"/>
      <c r="D1680" s="24"/>
      <c r="E1680" s="24"/>
      <c r="F1680" s="24"/>
      <c r="G1680" s="24"/>
      <c r="H1680" s="24"/>
      <c r="I1680" s="24"/>
      <c r="J1680" s="24"/>
      <c r="K1680" s="24"/>
      <c r="L1680" s="24"/>
      <c r="M1680" s="24"/>
      <c r="N1680" s="24"/>
      <c r="O1680" s="24"/>
      <c r="P1680" s="24"/>
      <c r="Q1680" s="24"/>
      <c r="R1680" s="24"/>
      <c r="S1680" s="24"/>
      <c r="T1680" s="24"/>
      <c r="U1680" s="24"/>
      <c r="V1680" s="24"/>
      <c r="W1680" s="24"/>
      <c r="X1680" s="24"/>
      <c r="Y1680" s="24"/>
      <c r="Z1680" s="24"/>
      <c r="AA1680" s="24"/>
      <c r="AB1680" s="24"/>
      <c r="AC1680" s="24"/>
      <c r="AD1680" s="24"/>
      <c r="AE1680" s="24"/>
      <c r="AF1680" s="24"/>
      <c r="AG1680" s="24"/>
      <c r="AH1680" s="24"/>
      <c r="AI1680" s="24"/>
      <c r="AJ1680" s="24"/>
      <c r="AK1680" s="24"/>
      <c r="AL1680" s="24"/>
      <c r="AM1680" s="24"/>
      <c r="AN1680" s="24"/>
      <c r="AO1680" s="24"/>
      <c r="AP1680" s="24"/>
      <c r="AQ1680" s="24"/>
      <c r="AR1680" s="54"/>
    </row>
    <row r="1681">
      <c r="A1681" s="57"/>
      <c r="B1681" s="24"/>
      <c r="C1681" s="24"/>
      <c r="D1681" s="24"/>
      <c r="E1681" s="24"/>
      <c r="F1681" s="24"/>
      <c r="G1681" s="24"/>
      <c r="H1681" s="24"/>
      <c r="I1681" s="24"/>
      <c r="J1681" s="24"/>
      <c r="K1681" s="24"/>
      <c r="L1681" s="24"/>
      <c r="M1681" s="24"/>
      <c r="N1681" s="24"/>
      <c r="O1681" s="24"/>
      <c r="P1681" s="24"/>
      <c r="Q1681" s="24"/>
      <c r="R1681" s="24"/>
      <c r="S1681" s="24"/>
      <c r="T1681" s="24"/>
      <c r="U1681" s="24"/>
      <c r="V1681" s="24"/>
      <c r="W1681" s="24"/>
      <c r="X1681" s="24"/>
      <c r="Y1681" s="24"/>
      <c r="Z1681" s="24"/>
      <c r="AA1681" s="24"/>
      <c r="AB1681" s="24"/>
      <c r="AC1681" s="24"/>
      <c r="AD1681" s="24"/>
      <c r="AE1681" s="24"/>
      <c r="AF1681" s="24"/>
      <c r="AG1681" s="24"/>
      <c r="AH1681" s="24"/>
      <c r="AI1681" s="24"/>
      <c r="AJ1681" s="24"/>
      <c r="AK1681" s="24"/>
      <c r="AL1681" s="24"/>
      <c r="AM1681" s="24"/>
      <c r="AN1681" s="24"/>
      <c r="AO1681" s="24"/>
      <c r="AP1681" s="24"/>
      <c r="AQ1681" s="24"/>
      <c r="AR1681" s="54"/>
    </row>
    <row r="1682">
      <c r="A1682" s="57"/>
      <c r="B1682" s="24"/>
      <c r="C1682" s="24"/>
      <c r="D1682" s="24"/>
      <c r="E1682" s="24"/>
      <c r="F1682" s="24"/>
      <c r="G1682" s="24"/>
      <c r="H1682" s="24"/>
      <c r="I1682" s="24"/>
      <c r="J1682" s="24"/>
      <c r="K1682" s="24"/>
      <c r="L1682" s="24"/>
      <c r="M1682" s="24"/>
      <c r="N1682" s="24"/>
      <c r="O1682" s="24"/>
      <c r="P1682" s="24"/>
      <c r="Q1682" s="24"/>
      <c r="R1682" s="24"/>
      <c r="S1682" s="24"/>
      <c r="T1682" s="24"/>
      <c r="U1682" s="24"/>
      <c r="V1682" s="24"/>
      <c r="W1682" s="24"/>
      <c r="X1682" s="24"/>
      <c r="Y1682" s="24"/>
      <c r="Z1682" s="24"/>
      <c r="AA1682" s="24"/>
      <c r="AB1682" s="24"/>
      <c r="AC1682" s="24"/>
      <c r="AD1682" s="24"/>
      <c r="AE1682" s="24"/>
      <c r="AF1682" s="24"/>
      <c r="AG1682" s="24"/>
      <c r="AH1682" s="24"/>
      <c r="AI1682" s="24"/>
      <c r="AJ1682" s="24"/>
      <c r="AK1682" s="24"/>
      <c r="AL1682" s="24"/>
      <c r="AM1682" s="24"/>
      <c r="AN1682" s="24"/>
      <c r="AO1682" s="24"/>
      <c r="AP1682" s="24"/>
      <c r="AQ1682" s="24"/>
      <c r="AR1682" s="54"/>
    </row>
    <row r="1683">
      <c r="A1683" s="57"/>
      <c r="B1683" s="24"/>
      <c r="C1683" s="24"/>
      <c r="D1683" s="24"/>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c r="AA1683" s="24"/>
      <c r="AB1683" s="24"/>
      <c r="AC1683" s="24"/>
      <c r="AD1683" s="24"/>
      <c r="AE1683" s="24"/>
      <c r="AF1683" s="24"/>
      <c r="AG1683" s="24"/>
      <c r="AH1683" s="24"/>
      <c r="AI1683" s="24"/>
      <c r="AJ1683" s="24"/>
      <c r="AK1683" s="24"/>
      <c r="AL1683" s="24"/>
      <c r="AM1683" s="24"/>
      <c r="AN1683" s="24"/>
      <c r="AO1683" s="24"/>
      <c r="AP1683" s="24"/>
      <c r="AQ1683" s="24"/>
      <c r="AR1683" s="54"/>
    </row>
    <row r="1684">
      <c r="A1684" s="57"/>
      <c r="B1684" s="24"/>
      <c r="C1684" s="24"/>
      <c r="D1684" s="24"/>
      <c r="E1684" s="24"/>
      <c r="F1684" s="24"/>
      <c r="G1684" s="24"/>
      <c r="H1684" s="24"/>
      <c r="I1684" s="24"/>
      <c r="J1684" s="24"/>
      <c r="K1684" s="24"/>
      <c r="L1684" s="24"/>
      <c r="M1684" s="24"/>
      <c r="N1684" s="24"/>
      <c r="O1684" s="24"/>
      <c r="P1684" s="24"/>
      <c r="Q1684" s="24"/>
      <c r="R1684" s="24"/>
      <c r="S1684" s="24"/>
      <c r="T1684" s="24"/>
      <c r="U1684" s="24"/>
      <c r="V1684" s="24"/>
      <c r="W1684" s="24"/>
      <c r="X1684" s="24"/>
      <c r="Y1684" s="24"/>
      <c r="Z1684" s="24"/>
      <c r="AA1684" s="24"/>
      <c r="AB1684" s="24"/>
      <c r="AC1684" s="24"/>
      <c r="AD1684" s="24"/>
      <c r="AE1684" s="24"/>
      <c r="AF1684" s="24"/>
      <c r="AG1684" s="24"/>
      <c r="AH1684" s="24"/>
      <c r="AI1684" s="24"/>
      <c r="AJ1684" s="24"/>
      <c r="AK1684" s="24"/>
      <c r="AL1684" s="24"/>
      <c r="AM1684" s="24"/>
      <c r="AN1684" s="24"/>
      <c r="AO1684" s="24"/>
      <c r="AP1684" s="24"/>
      <c r="AQ1684" s="24"/>
      <c r="AR1684" s="54"/>
    </row>
    <row r="1685">
      <c r="A1685" s="57"/>
      <c r="B1685" s="24"/>
      <c r="C1685" s="24"/>
      <c r="D1685" s="24"/>
      <c r="E1685" s="24"/>
      <c r="F1685" s="24"/>
      <c r="G1685" s="24"/>
      <c r="H1685" s="24"/>
      <c r="I1685" s="24"/>
      <c r="J1685" s="24"/>
      <c r="K1685" s="24"/>
      <c r="L1685" s="24"/>
      <c r="M1685" s="24"/>
      <c r="N1685" s="24"/>
      <c r="O1685" s="24"/>
      <c r="P1685" s="24"/>
      <c r="Q1685" s="24"/>
      <c r="R1685" s="24"/>
      <c r="S1685" s="24"/>
      <c r="T1685" s="24"/>
      <c r="U1685" s="24"/>
      <c r="V1685" s="24"/>
      <c r="W1685" s="24"/>
      <c r="X1685" s="24"/>
      <c r="Y1685" s="24"/>
      <c r="Z1685" s="24"/>
      <c r="AA1685" s="24"/>
      <c r="AB1685" s="24"/>
      <c r="AC1685" s="24"/>
      <c r="AD1685" s="24"/>
      <c r="AE1685" s="24"/>
      <c r="AF1685" s="24"/>
      <c r="AG1685" s="24"/>
      <c r="AH1685" s="24"/>
      <c r="AI1685" s="24"/>
      <c r="AJ1685" s="24"/>
      <c r="AK1685" s="24"/>
      <c r="AL1685" s="24"/>
      <c r="AM1685" s="24"/>
      <c r="AN1685" s="24"/>
      <c r="AO1685" s="24"/>
      <c r="AP1685" s="24"/>
      <c r="AQ1685" s="24"/>
      <c r="AR1685" s="54"/>
    </row>
    <row r="1686">
      <c r="A1686" s="57"/>
      <c r="B1686" s="24"/>
      <c r="C1686" s="24"/>
      <c r="D1686" s="24"/>
      <c r="E1686" s="24"/>
      <c r="F1686" s="24"/>
      <c r="G1686" s="24"/>
      <c r="H1686" s="24"/>
      <c r="I1686" s="24"/>
      <c r="J1686" s="24"/>
      <c r="K1686" s="24"/>
      <c r="L1686" s="24"/>
      <c r="M1686" s="24"/>
      <c r="N1686" s="24"/>
      <c r="O1686" s="24"/>
      <c r="P1686" s="24"/>
      <c r="Q1686" s="24"/>
      <c r="R1686" s="24"/>
      <c r="S1686" s="24"/>
      <c r="T1686" s="24"/>
      <c r="U1686" s="24"/>
      <c r="V1686" s="24"/>
      <c r="W1686" s="24"/>
      <c r="X1686" s="24"/>
      <c r="Y1686" s="24"/>
      <c r="Z1686" s="24"/>
      <c r="AA1686" s="24"/>
      <c r="AB1686" s="24"/>
      <c r="AC1686" s="24"/>
      <c r="AD1686" s="24"/>
      <c r="AE1686" s="24"/>
      <c r="AF1686" s="24"/>
      <c r="AG1686" s="24"/>
      <c r="AH1686" s="24"/>
      <c r="AI1686" s="24"/>
      <c r="AJ1686" s="24"/>
      <c r="AK1686" s="24"/>
      <c r="AL1686" s="24"/>
      <c r="AM1686" s="24"/>
      <c r="AN1686" s="24"/>
      <c r="AO1686" s="24"/>
      <c r="AP1686" s="24"/>
      <c r="AQ1686" s="24"/>
      <c r="AR1686" s="54"/>
    </row>
    <row r="1687">
      <c r="A1687" s="57"/>
      <c r="B1687" s="24"/>
      <c r="C1687" s="24"/>
      <c r="D1687" s="24"/>
      <c r="E1687" s="24"/>
      <c r="F1687" s="24"/>
      <c r="G1687" s="24"/>
      <c r="H1687" s="24"/>
      <c r="I1687" s="24"/>
      <c r="J1687" s="24"/>
      <c r="K1687" s="24"/>
      <c r="L1687" s="24"/>
      <c r="M1687" s="24"/>
      <c r="N1687" s="24"/>
      <c r="O1687" s="24"/>
      <c r="P1687" s="24"/>
      <c r="Q1687" s="24"/>
      <c r="R1687" s="24"/>
      <c r="S1687" s="24"/>
      <c r="T1687" s="24"/>
      <c r="U1687" s="24"/>
      <c r="V1687" s="24"/>
      <c r="W1687" s="24"/>
      <c r="X1687" s="24"/>
      <c r="Y1687" s="24"/>
      <c r="Z1687" s="24"/>
      <c r="AA1687" s="24"/>
      <c r="AB1687" s="24"/>
      <c r="AC1687" s="24"/>
      <c r="AD1687" s="24"/>
      <c r="AE1687" s="24"/>
      <c r="AF1687" s="24"/>
      <c r="AG1687" s="24"/>
      <c r="AH1687" s="24"/>
      <c r="AI1687" s="24"/>
      <c r="AJ1687" s="24"/>
      <c r="AK1687" s="24"/>
      <c r="AL1687" s="24"/>
      <c r="AM1687" s="24"/>
      <c r="AN1687" s="24"/>
      <c r="AO1687" s="24"/>
      <c r="AP1687" s="24"/>
      <c r="AQ1687" s="24"/>
      <c r="AR1687" s="54"/>
    </row>
    <row r="1688">
      <c r="A1688" s="57"/>
      <c r="B1688" s="24"/>
      <c r="C1688" s="24"/>
      <c r="D1688" s="24"/>
      <c r="E1688" s="24"/>
      <c r="F1688" s="24"/>
      <c r="G1688" s="24"/>
      <c r="H1688" s="24"/>
      <c r="I1688" s="24"/>
      <c r="J1688" s="24"/>
      <c r="K1688" s="24"/>
      <c r="L1688" s="24"/>
      <c r="M1688" s="24"/>
      <c r="N1688" s="24"/>
      <c r="O1688" s="24"/>
      <c r="P1688" s="24"/>
      <c r="Q1688" s="24"/>
      <c r="R1688" s="24"/>
      <c r="S1688" s="24"/>
      <c r="T1688" s="24"/>
      <c r="U1688" s="24"/>
      <c r="V1688" s="24"/>
      <c r="W1688" s="24"/>
      <c r="X1688" s="24"/>
      <c r="Y1688" s="24"/>
      <c r="Z1688" s="24"/>
      <c r="AA1688" s="24"/>
      <c r="AB1688" s="24"/>
      <c r="AC1688" s="24"/>
      <c r="AD1688" s="24"/>
      <c r="AE1688" s="24"/>
      <c r="AF1688" s="24"/>
      <c r="AG1688" s="24"/>
      <c r="AH1688" s="24"/>
      <c r="AI1688" s="24"/>
      <c r="AJ1688" s="24"/>
      <c r="AK1688" s="24"/>
      <c r="AL1688" s="24"/>
      <c r="AM1688" s="24"/>
      <c r="AN1688" s="24"/>
      <c r="AO1688" s="24"/>
      <c r="AP1688" s="24"/>
      <c r="AQ1688" s="24"/>
      <c r="AR1688" s="54"/>
    </row>
    <row r="1689">
      <c r="A1689" s="57"/>
      <c r="B1689" s="24"/>
      <c r="C1689" s="24"/>
      <c r="D1689" s="24"/>
      <c r="E1689" s="24"/>
      <c r="F1689" s="24"/>
      <c r="G1689" s="24"/>
      <c r="H1689" s="24"/>
      <c r="I1689" s="24"/>
      <c r="J1689" s="24"/>
      <c r="K1689" s="24"/>
      <c r="L1689" s="24"/>
      <c r="M1689" s="24"/>
      <c r="N1689" s="24"/>
      <c r="O1689" s="24"/>
      <c r="P1689" s="24"/>
      <c r="Q1689" s="24"/>
      <c r="R1689" s="24"/>
      <c r="S1689" s="24"/>
      <c r="T1689" s="24"/>
      <c r="U1689" s="24"/>
      <c r="V1689" s="24"/>
      <c r="W1689" s="24"/>
      <c r="X1689" s="24"/>
      <c r="Y1689" s="24"/>
      <c r="Z1689" s="24"/>
      <c r="AA1689" s="24"/>
      <c r="AB1689" s="24"/>
      <c r="AC1689" s="24"/>
      <c r="AD1689" s="24"/>
      <c r="AE1689" s="24"/>
      <c r="AF1689" s="24"/>
      <c r="AG1689" s="24"/>
      <c r="AH1689" s="24"/>
      <c r="AI1689" s="24"/>
      <c r="AJ1689" s="24"/>
      <c r="AK1689" s="24"/>
      <c r="AL1689" s="24"/>
      <c r="AM1689" s="24"/>
      <c r="AN1689" s="24"/>
      <c r="AO1689" s="24"/>
      <c r="AP1689" s="24"/>
      <c r="AQ1689" s="24"/>
      <c r="AR1689" s="54"/>
    </row>
    <row r="1690">
      <c r="A1690" s="57"/>
      <c r="B1690" s="24"/>
      <c r="C1690" s="24"/>
      <c r="D1690" s="24"/>
      <c r="E1690" s="24"/>
      <c r="F1690" s="24"/>
      <c r="G1690" s="24"/>
      <c r="H1690" s="24"/>
      <c r="I1690" s="24"/>
      <c r="J1690" s="24"/>
      <c r="K1690" s="24"/>
      <c r="L1690" s="24"/>
      <c r="M1690" s="24"/>
      <c r="N1690" s="24"/>
      <c r="O1690" s="24"/>
      <c r="P1690" s="24"/>
      <c r="Q1690" s="24"/>
      <c r="R1690" s="24"/>
      <c r="S1690" s="24"/>
      <c r="T1690" s="24"/>
      <c r="U1690" s="24"/>
      <c r="V1690" s="24"/>
      <c r="W1690" s="24"/>
      <c r="X1690" s="24"/>
      <c r="Y1690" s="24"/>
      <c r="Z1690" s="24"/>
      <c r="AA1690" s="24"/>
      <c r="AB1690" s="24"/>
      <c r="AC1690" s="24"/>
      <c r="AD1690" s="24"/>
      <c r="AE1690" s="24"/>
      <c r="AF1690" s="24"/>
      <c r="AG1690" s="24"/>
      <c r="AH1690" s="24"/>
      <c r="AI1690" s="24"/>
      <c r="AJ1690" s="24"/>
      <c r="AK1690" s="24"/>
      <c r="AL1690" s="24"/>
      <c r="AM1690" s="24"/>
      <c r="AN1690" s="24"/>
      <c r="AO1690" s="24"/>
      <c r="AP1690" s="24"/>
      <c r="AQ1690" s="24"/>
      <c r="AR1690" s="54"/>
    </row>
    <row r="1691">
      <c r="A1691" s="57"/>
      <c r="B1691" s="24"/>
      <c r="C1691" s="24"/>
      <c r="D1691" s="24"/>
      <c r="E1691" s="24"/>
      <c r="F1691" s="24"/>
      <c r="G1691" s="24"/>
      <c r="H1691" s="24"/>
      <c r="I1691" s="24"/>
      <c r="J1691" s="24"/>
      <c r="K1691" s="24"/>
      <c r="L1691" s="24"/>
      <c r="M1691" s="24"/>
      <c r="N1691" s="24"/>
      <c r="O1691" s="24"/>
      <c r="P1691" s="24"/>
      <c r="Q1691" s="24"/>
      <c r="R1691" s="24"/>
      <c r="S1691" s="24"/>
      <c r="T1691" s="24"/>
      <c r="U1691" s="24"/>
      <c r="V1691" s="24"/>
      <c r="W1691" s="24"/>
      <c r="X1691" s="24"/>
      <c r="Y1691" s="24"/>
      <c r="Z1691" s="24"/>
      <c r="AA1691" s="24"/>
      <c r="AB1691" s="24"/>
      <c r="AC1691" s="24"/>
      <c r="AD1691" s="24"/>
      <c r="AE1691" s="24"/>
      <c r="AF1691" s="24"/>
      <c r="AG1691" s="24"/>
      <c r="AH1691" s="24"/>
      <c r="AI1691" s="24"/>
      <c r="AJ1691" s="24"/>
      <c r="AK1691" s="24"/>
      <c r="AL1691" s="24"/>
      <c r="AM1691" s="24"/>
      <c r="AN1691" s="24"/>
      <c r="AO1691" s="24"/>
      <c r="AP1691" s="24"/>
      <c r="AQ1691" s="24"/>
      <c r="AR1691" s="54"/>
    </row>
    <row r="1692">
      <c r="A1692" s="57"/>
      <c r="B1692" s="24"/>
      <c r="C1692" s="24"/>
      <c r="D1692" s="24"/>
      <c r="E1692" s="24"/>
      <c r="F1692" s="24"/>
      <c r="G1692" s="24"/>
      <c r="H1692" s="24"/>
      <c r="I1692" s="24"/>
      <c r="J1692" s="24"/>
      <c r="K1692" s="24"/>
      <c r="L1692" s="24"/>
      <c r="M1692" s="24"/>
      <c r="N1692" s="24"/>
      <c r="O1692" s="24"/>
      <c r="P1692" s="24"/>
      <c r="Q1692" s="24"/>
      <c r="R1692" s="24"/>
      <c r="S1692" s="24"/>
      <c r="T1692" s="24"/>
      <c r="U1692" s="24"/>
      <c r="V1692" s="24"/>
      <c r="W1692" s="24"/>
      <c r="X1692" s="24"/>
      <c r="Y1692" s="24"/>
      <c r="Z1692" s="24"/>
      <c r="AA1692" s="24"/>
      <c r="AB1692" s="24"/>
      <c r="AC1692" s="24"/>
      <c r="AD1692" s="24"/>
      <c r="AE1692" s="24"/>
      <c r="AF1692" s="24"/>
      <c r="AG1692" s="24"/>
      <c r="AH1692" s="24"/>
      <c r="AI1692" s="24"/>
      <c r="AJ1692" s="24"/>
      <c r="AK1692" s="24"/>
      <c r="AL1692" s="24"/>
      <c r="AM1692" s="24"/>
      <c r="AN1692" s="24"/>
      <c r="AO1692" s="24"/>
      <c r="AP1692" s="24"/>
      <c r="AQ1692" s="24"/>
      <c r="AR1692" s="54"/>
    </row>
    <row r="1693">
      <c r="A1693" s="57"/>
      <c r="B1693" s="24"/>
      <c r="C1693" s="24"/>
      <c r="D1693" s="24"/>
      <c r="E1693" s="24"/>
      <c r="F1693" s="24"/>
      <c r="G1693" s="24"/>
      <c r="H1693" s="24"/>
      <c r="I1693" s="24"/>
      <c r="J1693" s="24"/>
      <c r="K1693" s="24"/>
      <c r="L1693" s="24"/>
      <c r="M1693" s="24"/>
      <c r="N1693" s="24"/>
      <c r="O1693" s="24"/>
      <c r="P1693" s="24"/>
      <c r="Q1693" s="24"/>
      <c r="R1693" s="24"/>
      <c r="S1693" s="24"/>
      <c r="T1693" s="24"/>
      <c r="U1693" s="24"/>
      <c r="V1693" s="24"/>
      <c r="W1693" s="24"/>
      <c r="X1693" s="24"/>
      <c r="Y1693" s="24"/>
      <c r="Z1693" s="24"/>
      <c r="AA1693" s="24"/>
      <c r="AB1693" s="24"/>
      <c r="AC1693" s="24"/>
      <c r="AD1693" s="24"/>
      <c r="AE1693" s="24"/>
      <c r="AF1693" s="24"/>
      <c r="AG1693" s="24"/>
      <c r="AH1693" s="24"/>
      <c r="AI1693" s="24"/>
      <c r="AJ1693" s="24"/>
      <c r="AK1693" s="24"/>
      <c r="AL1693" s="24"/>
      <c r="AM1693" s="24"/>
      <c r="AN1693" s="24"/>
      <c r="AO1693" s="24"/>
      <c r="AP1693" s="24"/>
      <c r="AQ1693" s="24"/>
      <c r="AR1693" s="54"/>
    </row>
    <row r="1694">
      <c r="A1694" s="57"/>
      <c r="B1694" s="24"/>
      <c r="C1694" s="24"/>
      <c r="D1694" s="24"/>
      <c r="E1694" s="24"/>
      <c r="F1694" s="24"/>
      <c r="G1694" s="24"/>
      <c r="H1694" s="24"/>
      <c r="I1694" s="24"/>
      <c r="J1694" s="24"/>
      <c r="K1694" s="24"/>
      <c r="L1694" s="24"/>
      <c r="M1694" s="24"/>
      <c r="N1694" s="24"/>
      <c r="O1694" s="24"/>
      <c r="P1694" s="24"/>
      <c r="Q1694" s="24"/>
      <c r="R1694" s="24"/>
      <c r="S1694" s="24"/>
      <c r="T1694" s="24"/>
      <c r="U1694" s="24"/>
      <c r="V1694" s="24"/>
      <c r="W1694" s="24"/>
      <c r="X1694" s="24"/>
      <c r="Y1694" s="24"/>
      <c r="Z1694" s="24"/>
      <c r="AA1694" s="24"/>
      <c r="AB1694" s="24"/>
      <c r="AC1694" s="24"/>
      <c r="AD1694" s="24"/>
      <c r="AE1694" s="24"/>
      <c r="AF1694" s="24"/>
      <c r="AG1694" s="24"/>
      <c r="AH1694" s="24"/>
      <c r="AI1694" s="24"/>
      <c r="AJ1694" s="24"/>
      <c r="AK1694" s="24"/>
      <c r="AL1694" s="24"/>
      <c r="AM1694" s="24"/>
      <c r="AN1694" s="24"/>
      <c r="AO1694" s="24"/>
      <c r="AP1694" s="24"/>
      <c r="AQ1694" s="24"/>
      <c r="AR1694" s="54"/>
    </row>
    <row r="1695">
      <c r="A1695" s="57"/>
      <c r="B1695" s="24"/>
      <c r="C1695" s="24"/>
      <c r="D1695" s="24"/>
      <c r="E1695" s="24"/>
      <c r="F1695" s="24"/>
      <c r="G1695" s="24"/>
      <c r="H1695" s="24"/>
      <c r="I1695" s="24"/>
      <c r="J1695" s="24"/>
      <c r="K1695" s="24"/>
      <c r="L1695" s="24"/>
      <c r="M1695" s="24"/>
      <c r="N1695" s="24"/>
      <c r="O1695" s="24"/>
      <c r="P1695" s="24"/>
      <c r="Q1695" s="24"/>
      <c r="R1695" s="24"/>
      <c r="S1695" s="24"/>
      <c r="T1695" s="24"/>
      <c r="U1695" s="24"/>
      <c r="V1695" s="24"/>
      <c r="W1695" s="24"/>
      <c r="X1695" s="24"/>
      <c r="Y1695" s="24"/>
      <c r="Z1695" s="24"/>
      <c r="AA1695" s="24"/>
      <c r="AB1695" s="24"/>
      <c r="AC1695" s="24"/>
      <c r="AD1695" s="24"/>
      <c r="AE1695" s="24"/>
      <c r="AF1695" s="24"/>
      <c r="AG1695" s="24"/>
      <c r="AH1695" s="24"/>
      <c r="AI1695" s="24"/>
      <c r="AJ1695" s="24"/>
      <c r="AK1695" s="24"/>
      <c r="AL1695" s="24"/>
      <c r="AM1695" s="24"/>
      <c r="AN1695" s="24"/>
      <c r="AO1695" s="24"/>
      <c r="AP1695" s="24"/>
      <c r="AQ1695" s="24"/>
      <c r="AR1695" s="54"/>
    </row>
    <row r="1696">
      <c r="A1696" s="57"/>
      <c r="B1696" s="24"/>
      <c r="C1696" s="24"/>
      <c r="D1696" s="24"/>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c r="AA1696" s="24"/>
      <c r="AB1696" s="24"/>
      <c r="AC1696" s="24"/>
      <c r="AD1696" s="24"/>
      <c r="AE1696" s="24"/>
      <c r="AF1696" s="24"/>
      <c r="AG1696" s="24"/>
      <c r="AH1696" s="24"/>
      <c r="AI1696" s="24"/>
      <c r="AJ1696" s="24"/>
      <c r="AK1696" s="24"/>
      <c r="AL1696" s="24"/>
      <c r="AM1696" s="24"/>
      <c r="AN1696" s="24"/>
      <c r="AO1696" s="24"/>
      <c r="AP1696" s="24"/>
      <c r="AQ1696" s="24"/>
      <c r="AR1696" s="54"/>
    </row>
    <row r="1697">
      <c r="A1697" s="57"/>
      <c r="B1697" s="24"/>
      <c r="C1697" s="24"/>
      <c r="D1697" s="24"/>
      <c r="E1697" s="24"/>
      <c r="F1697" s="24"/>
      <c r="G1697" s="24"/>
      <c r="H1697" s="24"/>
      <c r="I1697" s="24"/>
      <c r="J1697" s="24"/>
      <c r="K1697" s="24"/>
      <c r="L1697" s="24"/>
      <c r="M1697" s="24"/>
      <c r="N1697" s="24"/>
      <c r="O1697" s="24"/>
      <c r="P1697" s="24"/>
      <c r="Q1697" s="24"/>
      <c r="R1697" s="24"/>
      <c r="S1697" s="24"/>
      <c r="T1697" s="24"/>
      <c r="U1697" s="24"/>
      <c r="V1697" s="24"/>
      <c r="W1697" s="24"/>
      <c r="X1697" s="24"/>
      <c r="Y1697" s="24"/>
      <c r="Z1697" s="24"/>
      <c r="AA1697" s="24"/>
      <c r="AB1697" s="24"/>
      <c r="AC1697" s="24"/>
      <c r="AD1697" s="24"/>
      <c r="AE1697" s="24"/>
      <c r="AF1697" s="24"/>
      <c r="AG1697" s="24"/>
      <c r="AH1697" s="24"/>
      <c r="AI1697" s="24"/>
      <c r="AJ1697" s="24"/>
      <c r="AK1697" s="24"/>
      <c r="AL1697" s="24"/>
      <c r="AM1697" s="24"/>
      <c r="AN1697" s="24"/>
      <c r="AO1697" s="24"/>
      <c r="AP1697" s="24"/>
      <c r="AQ1697" s="24"/>
      <c r="AR1697" s="54"/>
    </row>
    <row r="1698">
      <c r="A1698" s="57"/>
      <c r="B1698" s="24"/>
      <c r="C1698" s="24"/>
      <c r="D1698" s="24"/>
      <c r="E1698" s="24"/>
      <c r="F1698" s="24"/>
      <c r="G1698" s="24"/>
      <c r="H1698" s="24"/>
      <c r="I1698" s="24"/>
      <c r="J1698" s="24"/>
      <c r="K1698" s="24"/>
      <c r="L1698" s="24"/>
      <c r="M1698" s="24"/>
      <c r="N1698" s="24"/>
      <c r="O1698" s="24"/>
      <c r="P1698" s="24"/>
      <c r="Q1698" s="24"/>
      <c r="R1698" s="24"/>
      <c r="S1698" s="24"/>
      <c r="T1698" s="24"/>
      <c r="U1698" s="24"/>
      <c r="V1698" s="24"/>
      <c r="W1698" s="24"/>
      <c r="X1698" s="24"/>
      <c r="Y1698" s="24"/>
      <c r="Z1698" s="24"/>
      <c r="AA1698" s="24"/>
      <c r="AB1698" s="24"/>
      <c r="AC1698" s="24"/>
      <c r="AD1698" s="24"/>
      <c r="AE1698" s="24"/>
      <c r="AF1698" s="24"/>
      <c r="AG1698" s="24"/>
      <c r="AH1698" s="24"/>
      <c r="AI1698" s="24"/>
      <c r="AJ1698" s="24"/>
      <c r="AK1698" s="24"/>
      <c r="AL1698" s="24"/>
      <c r="AM1698" s="24"/>
      <c r="AN1698" s="24"/>
      <c r="AO1698" s="24"/>
      <c r="AP1698" s="24"/>
      <c r="AQ1698" s="24"/>
      <c r="AR1698" s="54"/>
    </row>
    <row r="1699">
      <c r="A1699" s="57"/>
      <c r="B1699" s="24"/>
      <c r="C1699" s="24"/>
      <c r="D1699" s="24"/>
      <c r="E1699" s="24"/>
      <c r="F1699" s="24"/>
      <c r="G1699" s="24"/>
      <c r="H1699" s="24"/>
      <c r="I1699" s="24"/>
      <c r="J1699" s="24"/>
      <c r="K1699" s="24"/>
      <c r="L1699" s="24"/>
      <c r="M1699" s="24"/>
      <c r="N1699" s="24"/>
      <c r="O1699" s="24"/>
      <c r="P1699" s="24"/>
      <c r="Q1699" s="24"/>
      <c r="R1699" s="24"/>
      <c r="S1699" s="24"/>
      <c r="T1699" s="24"/>
      <c r="U1699" s="24"/>
      <c r="V1699" s="24"/>
      <c r="W1699" s="24"/>
      <c r="X1699" s="24"/>
      <c r="Y1699" s="24"/>
      <c r="Z1699" s="24"/>
      <c r="AA1699" s="24"/>
      <c r="AB1699" s="24"/>
      <c r="AC1699" s="24"/>
      <c r="AD1699" s="24"/>
      <c r="AE1699" s="24"/>
      <c r="AF1699" s="24"/>
      <c r="AG1699" s="24"/>
      <c r="AH1699" s="24"/>
      <c r="AI1699" s="24"/>
      <c r="AJ1699" s="24"/>
      <c r="AK1699" s="24"/>
      <c r="AL1699" s="24"/>
      <c r="AM1699" s="24"/>
      <c r="AN1699" s="24"/>
      <c r="AO1699" s="24"/>
      <c r="AP1699" s="24"/>
      <c r="AQ1699" s="24"/>
      <c r="AR1699" s="54"/>
    </row>
    <row r="1700">
      <c r="A1700" s="57"/>
      <c r="B1700" s="24"/>
      <c r="C1700" s="24"/>
      <c r="D1700" s="24"/>
      <c r="E1700" s="24"/>
      <c r="F1700" s="24"/>
      <c r="G1700" s="24"/>
      <c r="H1700" s="24"/>
      <c r="I1700" s="24"/>
      <c r="J1700" s="24"/>
      <c r="K1700" s="24"/>
      <c r="L1700" s="24"/>
      <c r="M1700" s="24"/>
      <c r="N1700" s="24"/>
      <c r="O1700" s="24"/>
      <c r="P1700" s="24"/>
      <c r="Q1700" s="24"/>
      <c r="R1700" s="24"/>
      <c r="S1700" s="24"/>
      <c r="T1700" s="24"/>
      <c r="U1700" s="24"/>
      <c r="V1700" s="24"/>
      <c r="W1700" s="24"/>
      <c r="X1700" s="24"/>
      <c r="Y1700" s="24"/>
      <c r="Z1700" s="24"/>
      <c r="AA1700" s="24"/>
      <c r="AB1700" s="24"/>
      <c r="AC1700" s="24"/>
      <c r="AD1700" s="24"/>
      <c r="AE1700" s="24"/>
      <c r="AF1700" s="24"/>
      <c r="AG1700" s="24"/>
      <c r="AH1700" s="24"/>
      <c r="AI1700" s="24"/>
      <c r="AJ1700" s="24"/>
      <c r="AK1700" s="24"/>
      <c r="AL1700" s="24"/>
      <c r="AM1700" s="24"/>
      <c r="AN1700" s="24"/>
      <c r="AO1700" s="24"/>
      <c r="AP1700" s="24"/>
      <c r="AQ1700" s="24"/>
      <c r="AR1700" s="54"/>
    </row>
    <row r="1701">
      <c r="A1701" s="57"/>
      <c r="B1701" s="24"/>
      <c r="C1701" s="24"/>
      <c r="D1701" s="24"/>
      <c r="E1701" s="24"/>
      <c r="F1701" s="24"/>
      <c r="G1701" s="24"/>
      <c r="H1701" s="24"/>
      <c r="I1701" s="24"/>
      <c r="J1701" s="24"/>
      <c r="K1701" s="24"/>
      <c r="L1701" s="24"/>
      <c r="M1701" s="24"/>
      <c r="N1701" s="24"/>
      <c r="O1701" s="24"/>
      <c r="P1701" s="24"/>
      <c r="Q1701" s="24"/>
      <c r="R1701" s="24"/>
      <c r="S1701" s="24"/>
      <c r="T1701" s="24"/>
      <c r="U1701" s="24"/>
      <c r="V1701" s="24"/>
      <c r="W1701" s="24"/>
      <c r="X1701" s="24"/>
      <c r="Y1701" s="24"/>
      <c r="Z1701" s="24"/>
      <c r="AA1701" s="24"/>
      <c r="AB1701" s="24"/>
      <c r="AC1701" s="24"/>
      <c r="AD1701" s="24"/>
      <c r="AE1701" s="24"/>
      <c r="AF1701" s="24"/>
      <c r="AG1701" s="24"/>
      <c r="AH1701" s="24"/>
      <c r="AI1701" s="24"/>
      <c r="AJ1701" s="24"/>
      <c r="AK1701" s="24"/>
      <c r="AL1701" s="24"/>
      <c r="AM1701" s="24"/>
      <c r="AN1701" s="24"/>
      <c r="AO1701" s="24"/>
      <c r="AP1701" s="24"/>
      <c r="AQ1701" s="24"/>
      <c r="AR1701" s="54"/>
    </row>
    <row r="1702">
      <c r="A1702" s="57"/>
      <c r="B1702" s="24"/>
      <c r="C1702" s="24"/>
      <c r="D1702" s="24"/>
      <c r="E1702" s="24"/>
      <c r="F1702" s="24"/>
      <c r="G1702" s="24"/>
      <c r="H1702" s="24"/>
      <c r="I1702" s="24"/>
      <c r="J1702" s="24"/>
      <c r="K1702" s="24"/>
      <c r="L1702" s="24"/>
      <c r="M1702" s="24"/>
      <c r="N1702" s="24"/>
      <c r="O1702" s="24"/>
      <c r="P1702" s="24"/>
      <c r="Q1702" s="24"/>
      <c r="R1702" s="24"/>
      <c r="S1702" s="24"/>
      <c r="T1702" s="24"/>
      <c r="U1702" s="24"/>
      <c r="V1702" s="24"/>
      <c r="W1702" s="24"/>
      <c r="X1702" s="24"/>
      <c r="Y1702" s="24"/>
      <c r="Z1702" s="24"/>
      <c r="AA1702" s="24"/>
      <c r="AB1702" s="24"/>
      <c r="AC1702" s="24"/>
      <c r="AD1702" s="24"/>
      <c r="AE1702" s="24"/>
      <c r="AF1702" s="24"/>
      <c r="AG1702" s="24"/>
      <c r="AH1702" s="24"/>
      <c r="AI1702" s="24"/>
      <c r="AJ1702" s="24"/>
      <c r="AK1702" s="24"/>
      <c r="AL1702" s="24"/>
      <c r="AM1702" s="24"/>
      <c r="AN1702" s="24"/>
      <c r="AO1702" s="24"/>
      <c r="AP1702" s="24"/>
      <c r="AQ1702" s="24"/>
      <c r="AR1702" s="54"/>
    </row>
    <row r="1703">
      <c r="A1703" s="57"/>
      <c r="B1703" s="24"/>
      <c r="C1703" s="24"/>
      <c r="D1703" s="24"/>
      <c r="E1703" s="24"/>
      <c r="F1703" s="24"/>
      <c r="G1703" s="24"/>
      <c r="H1703" s="24"/>
      <c r="I1703" s="24"/>
      <c r="J1703" s="24"/>
      <c r="K1703" s="24"/>
      <c r="L1703" s="24"/>
      <c r="M1703" s="24"/>
      <c r="N1703" s="24"/>
      <c r="O1703" s="24"/>
      <c r="P1703" s="24"/>
      <c r="Q1703" s="24"/>
      <c r="R1703" s="24"/>
      <c r="S1703" s="24"/>
      <c r="T1703" s="24"/>
      <c r="U1703" s="24"/>
      <c r="V1703" s="24"/>
      <c r="W1703" s="24"/>
      <c r="X1703" s="24"/>
      <c r="Y1703" s="24"/>
      <c r="Z1703" s="24"/>
      <c r="AA1703" s="24"/>
      <c r="AB1703" s="24"/>
      <c r="AC1703" s="24"/>
      <c r="AD1703" s="24"/>
      <c r="AE1703" s="24"/>
      <c r="AF1703" s="24"/>
      <c r="AG1703" s="24"/>
      <c r="AH1703" s="24"/>
      <c r="AI1703" s="24"/>
      <c r="AJ1703" s="24"/>
      <c r="AK1703" s="24"/>
      <c r="AL1703" s="24"/>
      <c r="AM1703" s="24"/>
      <c r="AN1703" s="24"/>
      <c r="AO1703" s="24"/>
      <c r="AP1703" s="24"/>
      <c r="AQ1703" s="24"/>
      <c r="AR1703" s="54"/>
    </row>
    <row r="1704">
      <c r="A1704" s="57"/>
      <c r="B1704" s="24"/>
      <c r="C1704" s="24"/>
      <c r="D1704" s="24"/>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c r="AA1704" s="24"/>
      <c r="AB1704" s="24"/>
      <c r="AC1704" s="24"/>
      <c r="AD1704" s="24"/>
      <c r="AE1704" s="24"/>
      <c r="AF1704" s="24"/>
      <c r="AG1704" s="24"/>
      <c r="AH1704" s="24"/>
      <c r="AI1704" s="24"/>
      <c r="AJ1704" s="24"/>
      <c r="AK1704" s="24"/>
      <c r="AL1704" s="24"/>
      <c r="AM1704" s="24"/>
      <c r="AN1704" s="24"/>
      <c r="AO1704" s="24"/>
      <c r="AP1704" s="24"/>
      <c r="AQ1704" s="24"/>
      <c r="AR1704" s="54"/>
    </row>
    <row r="1705">
      <c r="A1705" s="57"/>
      <c r="B1705" s="24"/>
      <c r="C1705" s="24"/>
      <c r="D1705" s="24"/>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c r="AA1705" s="24"/>
      <c r="AB1705" s="24"/>
      <c r="AC1705" s="24"/>
      <c r="AD1705" s="24"/>
      <c r="AE1705" s="24"/>
      <c r="AF1705" s="24"/>
      <c r="AG1705" s="24"/>
      <c r="AH1705" s="24"/>
      <c r="AI1705" s="24"/>
      <c r="AJ1705" s="24"/>
      <c r="AK1705" s="24"/>
      <c r="AL1705" s="24"/>
      <c r="AM1705" s="24"/>
      <c r="AN1705" s="24"/>
      <c r="AO1705" s="24"/>
      <c r="AP1705" s="24"/>
      <c r="AQ1705" s="24"/>
      <c r="AR1705" s="54"/>
    </row>
    <row r="1706">
      <c r="A1706" s="57"/>
      <c r="B1706" s="24"/>
      <c r="C1706" s="24"/>
      <c r="D1706" s="24"/>
      <c r="E1706" s="24"/>
      <c r="F1706" s="24"/>
      <c r="G1706" s="24"/>
      <c r="H1706" s="24"/>
      <c r="I1706" s="24"/>
      <c r="J1706" s="24"/>
      <c r="K1706" s="24"/>
      <c r="L1706" s="24"/>
      <c r="M1706" s="24"/>
      <c r="N1706" s="24"/>
      <c r="O1706" s="24"/>
      <c r="P1706" s="24"/>
      <c r="Q1706" s="24"/>
      <c r="R1706" s="24"/>
      <c r="S1706" s="24"/>
      <c r="T1706" s="24"/>
      <c r="U1706" s="24"/>
      <c r="V1706" s="24"/>
      <c r="W1706" s="24"/>
      <c r="X1706" s="24"/>
      <c r="Y1706" s="24"/>
      <c r="Z1706" s="24"/>
      <c r="AA1706" s="24"/>
      <c r="AB1706" s="24"/>
      <c r="AC1706" s="24"/>
      <c r="AD1706" s="24"/>
      <c r="AE1706" s="24"/>
      <c r="AF1706" s="24"/>
      <c r="AG1706" s="24"/>
      <c r="AH1706" s="24"/>
      <c r="AI1706" s="24"/>
      <c r="AJ1706" s="24"/>
      <c r="AK1706" s="24"/>
      <c r="AL1706" s="24"/>
      <c r="AM1706" s="24"/>
      <c r="AN1706" s="24"/>
      <c r="AO1706" s="24"/>
      <c r="AP1706" s="24"/>
      <c r="AQ1706" s="24"/>
      <c r="AR1706" s="54"/>
    </row>
    <row r="1707">
      <c r="A1707" s="57"/>
      <c r="B1707" s="24"/>
      <c r="C1707" s="24"/>
      <c r="D1707" s="24"/>
      <c r="E1707" s="24"/>
      <c r="F1707" s="24"/>
      <c r="G1707" s="24"/>
      <c r="H1707" s="24"/>
      <c r="I1707" s="24"/>
      <c r="J1707" s="24"/>
      <c r="K1707" s="24"/>
      <c r="L1707" s="24"/>
      <c r="M1707" s="24"/>
      <c r="N1707" s="24"/>
      <c r="O1707" s="24"/>
      <c r="P1707" s="24"/>
      <c r="Q1707" s="24"/>
      <c r="R1707" s="24"/>
      <c r="S1707" s="24"/>
      <c r="T1707" s="24"/>
      <c r="U1707" s="24"/>
      <c r="V1707" s="24"/>
      <c r="W1707" s="24"/>
      <c r="X1707" s="24"/>
      <c r="Y1707" s="24"/>
      <c r="Z1707" s="24"/>
      <c r="AA1707" s="24"/>
      <c r="AB1707" s="24"/>
      <c r="AC1707" s="24"/>
      <c r="AD1707" s="24"/>
      <c r="AE1707" s="24"/>
      <c r="AF1707" s="24"/>
      <c r="AG1707" s="24"/>
      <c r="AH1707" s="24"/>
      <c r="AI1707" s="24"/>
      <c r="AJ1707" s="24"/>
      <c r="AK1707" s="24"/>
      <c r="AL1707" s="24"/>
      <c r="AM1707" s="24"/>
      <c r="AN1707" s="24"/>
      <c r="AO1707" s="24"/>
      <c r="AP1707" s="24"/>
      <c r="AQ1707" s="24"/>
      <c r="AR1707" s="54"/>
    </row>
    <row r="1708">
      <c r="A1708" s="57"/>
      <c r="B1708" s="24"/>
      <c r="C1708" s="24"/>
      <c r="D1708" s="24"/>
      <c r="E1708" s="24"/>
      <c r="F1708" s="24"/>
      <c r="G1708" s="24"/>
      <c r="H1708" s="24"/>
      <c r="I1708" s="24"/>
      <c r="J1708" s="24"/>
      <c r="K1708" s="24"/>
      <c r="L1708" s="24"/>
      <c r="M1708" s="24"/>
      <c r="N1708" s="24"/>
      <c r="O1708" s="24"/>
      <c r="P1708" s="24"/>
      <c r="Q1708" s="24"/>
      <c r="R1708" s="24"/>
      <c r="S1708" s="24"/>
      <c r="T1708" s="24"/>
      <c r="U1708" s="24"/>
      <c r="V1708" s="24"/>
      <c r="W1708" s="24"/>
      <c r="X1708" s="24"/>
      <c r="Y1708" s="24"/>
      <c r="Z1708" s="24"/>
      <c r="AA1708" s="24"/>
      <c r="AB1708" s="24"/>
      <c r="AC1708" s="24"/>
      <c r="AD1708" s="24"/>
      <c r="AE1708" s="24"/>
      <c r="AF1708" s="24"/>
      <c r="AG1708" s="24"/>
      <c r="AH1708" s="24"/>
      <c r="AI1708" s="24"/>
      <c r="AJ1708" s="24"/>
      <c r="AK1708" s="24"/>
      <c r="AL1708" s="24"/>
      <c r="AM1708" s="24"/>
      <c r="AN1708" s="24"/>
      <c r="AO1708" s="24"/>
      <c r="AP1708" s="24"/>
      <c r="AQ1708" s="24"/>
      <c r="AR1708" s="54"/>
    </row>
    <row r="1709">
      <c r="A1709" s="57"/>
      <c r="B1709" s="24"/>
      <c r="C1709" s="24"/>
      <c r="D1709" s="24"/>
      <c r="E1709" s="24"/>
      <c r="F1709" s="24"/>
      <c r="G1709" s="24"/>
      <c r="H1709" s="24"/>
      <c r="I1709" s="24"/>
      <c r="J1709" s="24"/>
      <c r="K1709" s="24"/>
      <c r="L1709" s="24"/>
      <c r="M1709" s="24"/>
      <c r="N1709" s="24"/>
      <c r="O1709" s="24"/>
      <c r="P1709" s="24"/>
      <c r="Q1709" s="24"/>
      <c r="R1709" s="24"/>
      <c r="S1709" s="24"/>
      <c r="T1709" s="24"/>
      <c r="U1709" s="24"/>
      <c r="V1709" s="24"/>
      <c r="W1709" s="24"/>
      <c r="X1709" s="24"/>
      <c r="Y1709" s="24"/>
      <c r="Z1709" s="24"/>
      <c r="AA1709" s="24"/>
      <c r="AB1709" s="24"/>
      <c r="AC1709" s="24"/>
      <c r="AD1709" s="24"/>
      <c r="AE1709" s="24"/>
      <c r="AF1709" s="24"/>
      <c r="AG1709" s="24"/>
      <c r="AH1709" s="24"/>
      <c r="AI1709" s="24"/>
      <c r="AJ1709" s="24"/>
      <c r="AK1709" s="24"/>
      <c r="AL1709" s="24"/>
      <c r="AM1709" s="24"/>
      <c r="AN1709" s="24"/>
      <c r="AO1709" s="24"/>
      <c r="AP1709" s="24"/>
      <c r="AQ1709" s="24"/>
      <c r="AR1709" s="54"/>
    </row>
    <row r="1710">
      <c r="A1710" s="57"/>
      <c r="B1710" s="24"/>
      <c r="C1710" s="24"/>
      <c r="D1710" s="24"/>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c r="AA1710" s="24"/>
      <c r="AB1710" s="24"/>
      <c r="AC1710" s="24"/>
      <c r="AD1710" s="24"/>
      <c r="AE1710" s="24"/>
      <c r="AF1710" s="24"/>
      <c r="AG1710" s="24"/>
      <c r="AH1710" s="24"/>
      <c r="AI1710" s="24"/>
      <c r="AJ1710" s="24"/>
      <c r="AK1710" s="24"/>
      <c r="AL1710" s="24"/>
      <c r="AM1710" s="24"/>
      <c r="AN1710" s="24"/>
      <c r="AO1710" s="24"/>
      <c r="AP1710" s="24"/>
      <c r="AQ1710" s="24"/>
      <c r="AR1710" s="54"/>
    </row>
    <row r="1711">
      <c r="A1711" s="57"/>
      <c r="B1711" s="24"/>
      <c r="C1711" s="24"/>
      <c r="D1711" s="24"/>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c r="AA1711" s="24"/>
      <c r="AB1711" s="24"/>
      <c r="AC1711" s="24"/>
      <c r="AD1711" s="24"/>
      <c r="AE1711" s="24"/>
      <c r="AF1711" s="24"/>
      <c r="AG1711" s="24"/>
      <c r="AH1711" s="24"/>
      <c r="AI1711" s="24"/>
      <c r="AJ1711" s="24"/>
      <c r="AK1711" s="24"/>
      <c r="AL1711" s="24"/>
      <c r="AM1711" s="24"/>
      <c r="AN1711" s="24"/>
      <c r="AO1711" s="24"/>
      <c r="AP1711" s="24"/>
      <c r="AQ1711" s="24"/>
      <c r="AR1711" s="54"/>
    </row>
    <row r="1712">
      <c r="A1712" s="57"/>
      <c r="B1712" s="24"/>
      <c r="C1712" s="24"/>
      <c r="D1712" s="24"/>
      <c r="E1712" s="24"/>
      <c r="F1712" s="24"/>
      <c r="G1712" s="24"/>
      <c r="H1712" s="24"/>
      <c r="I1712" s="24"/>
      <c r="J1712" s="24"/>
      <c r="K1712" s="24"/>
      <c r="L1712" s="24"/>
      <c r="M1712" s="24"/>
      <c r="N1712" s="24"/>
      <c r="O1712" s="24"/>
      <c r="P1712" s="24"/>
      <c r="Q1712" s="24"/>
      <c r="R1712" s="24"/>
      <c r="S1712" s="24"/>
      <c r="T1712" s="24"/>
      <c r="U1712" s="24"/>
      <c r="V1712" s="24"/>
      <c r="W1712" s="24"/>
      <c r="X1712" s="24"/>
      <c r="Y1712" s="24"/>
      <c r="Z1712" s="24"/>
      <c r="AA1712" s="24"/>
      <c r="AB1712" s="24"/>
      <c r="AC1712" s="24"/>
      <c r="AD1712" s="24"/>
      <c r="AE1712" s="24"/>
      <c r="AF1712" s="24"/>
      <c r="AG1712" s="24"/>
      <c r="AH1712" s="24"/>
      <c r="AI1712" s="24"/>
      <c r="AJ1712" s="24"/>
      <c r="AK1712" s="24"/>
      <c r="AL1712" s="24"/>
      <c r="AM1712" s="24"/>
      <c r="AN1712" s="24"/>
      <c r="AO1712" s="24"/>
      <c r="AP1712" s="24"/>
      <c r="AQ1712" s="24"/>
      <c r="AR1712" s="54"/>
    </row>
    <row r="1713">
      <c r="A1713" s="57"/>
      <c r="B1713" s="24"/>
      <c r="C1713" s="24"/>
      <c r="D1713" s="24"/>
      <c r="E1713" s="24"/>
      <c r="F1713" s="24"/>
      <c r="G1713" s="24"/>
      <c r="H1713" s="24"/>
      <c r="I1713" s="24"/>
      <c r="J1713" s="24"/>
      <c r="K1713" s="24"/>
      <c r="L1713" s="24"/>
      <c r="M1713" s="24"/>
      <c r="N1713" s="24"/>
      <c r="O1713" s="24"/>
      <c r="P1713" s="24"/>
      <c r="Q1713" s="24"/>
      <c r="R1713" s="24"/>
      <c r="S1713" s="24"/>
      <c r="T1713" s="24"/>
      <c r="U1713" s="24"/>
      <c r="V1713" s="24"/>
      <c r="W1713" s="24"/>
      <c r="X1713" s="24"/>
      <c r="Y1713" s="24"/>
      <c r="Z1713" s="24"/>
      <c r="AA1713" s="24"/>
      <c r="AB1713" s="24"/>
      <c r="AC1713" s="24"/>
      <c r="AD1713" s="24"/>
      <c r="AE1713" s="24"/>
      <c r="AF1713" s="24"/>
      <c r="AG1713" s="24"/>
      <c r="AH1713" s="24"/>
      <c r="AI1713" s="24"/>
      <c r="AJ1713" s="24"/>
      <c r="AK1713" s="24"/>
      <c r="AL1713" s="24"/>
      <c r="AM1713" s="24"/>
      <c r="AN1713" s="24"/>
      <c r="AO1713" s="24"/>
      <c r="AP1713" s="24"/>
      <c r="AQ1713" s="24"/>
      <c r="AR1713" s="54"/>
    </row>
    <row r="1714">
      <c r="A1714" s="57"/>
      <c r="B1714" s="24"/>
      <c r="C1714" s="24"/>
      <c r="D1714" s="24"/>
      <c r="E1714" s="24"/>
      <c r="F1714" s="24"/>
      <c r="G1714" s="24"/>
      <c r="H1714" s="24"/>
      <c r="I1714" s="24"/>
      <c r="J1714" s="24"/>
      <c r="K1714" s="24"/>
      <c r="L1714" s="24"/>
      <c r="M1714" s="24"/>
      <c r="N1714" s="24"/>
      <c r="O1714" s="24"/>
      <c r="P1714" s="24"/>
      <c r="Q1714" s="24"/>
      <c r="R1714" s="24"/>
      <c r="S1714" s="24"/>
      <c r="T1714" s="24"/>
      <c r="U1714" s="24"/>
      <c r="V1714" s="24"/>
      <c r="W1714" s="24"/>
      <c r="X1714" s="24"/>
      <c r="Y1714" s="24"/>
      <c r="Z1714" s="24"/>
      <c r="AA1714" s="24"/>
      <c r="AB1714" s="24"/>
      <c r="AC1714" s="24"/>
      <c r="AD1714" s="24"/>
      <c r="AE1714" s="24"/>
      <c r="AF1714" s="24"/>
      <c r="AG1714" s="24"/>
      <c r="AH1714" s="24"/>
      <c r="AI1714" s="24"/>
      <c r="AJ1714" s="24"/>
      <c r="AK1714" s="24"/>
      <c r="AL1714" s="24"/>
      <c r="AM1714" s="24"/>
      <c r="AN1714" s="24"/>
      <c r="AO1714" s="24"/>
      <c r="AP1714" s="24"/>
      <c r="AQ1714" s="24"/>
      <c r="AR1714" s="54"/>
    </row>
    <row r="1715">
      <c r="A1715" s="57"/>
      <c r="B1715" s="24"/>
      <c r="C1715" s="24"/>
      <c r="D1715" s="24"/>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c r="AA1715" s="24"/>
      <c r="AB1715" s="24"/>
      <c r="AC1715" s="24"/>
      <c r="AD1715" s="24"/>
      <c r="AE1715" s="24"/>
      <c r="AF1715" s="24"/>
      <c r="AG1715" s="24"/>
      <c r="AH1715" s="24"/>
      <c r="AI1715" s="24"/>
      <c r="AJ1715" s="24"/>
      <c r="AK1715" s="24"/>
      <c r="AL1715" s="24"/>
      <c r="AM1715" s="24"/>
      <c r="AN1715" s="24"/>
      <c r="AO1715" s="24"/>
      <c r="AP1715" s="24"/>
      <c r="AQ1715" s="24"/>
      <c r="AR1715" s="54"/>
    </row>
    <row r="1716">
      <c r="A1716" s="57"/>
      <c r="B1716" s="24"/>
      <c r="C1716" s="24"/>
      <c r="D1716" s="24"/>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c r="AA1716" s="24"/>
      <c r="AB1716" s="24"/>
      <c r="AC1716" s="24"/>
      <c r="AD1716" s="24"/>
      <c r="AE1716" s="24"/>
      <c r="AF1716" s="24"/>
      <c r="AG1716" s="24"/>
      <c r="AH1716" s="24"/>
      <c r="AI1716" s="24"/>
      <c r="AJ1716" s="24"/>
      <c r="AK1716" s="24"/>
      <c r="AL1716" s="24"/>
      <c r="AM1716" s="24"/>
      <c r="AN1716" s="24"/>
      <c r="AO1716" s="24"/>
      <c r="AP1716" s="24"/>
      <c r="AQ1716" s="24"/>
      <c r="AR1716" s="54"/>
    </row>
    <row r="1717">
      <c r="A1717" s="57"/>
      <c r="B1717" s="24"/>
      <c r="C1717" s="24"/>
      <c r="D1717" s="24"/>
      <c r="E1717" s="24"/>
      <c r="F1717" s="24"/>
      <c r="G1717" s="24"/>
      <c r="H1717" s="24"/>
      <c r="I1717" s="24"/>
      <c r="J1717" s="24"/>
      <c r="K1717" s="24"/>
      <c r="L1717" s="24"/>
      <c r="M1717" s="24"/>
      <c r="N1717" s="24"/>
      <c r="O1717" s="24"/>
      <c r="P1717" s="24"/>
      <c r="Q1717" s="24"/>
      <c r="R1717" s="24"/>
      <c r="S1717" s="24"/>
      <c r="T1717" s="24"/>
      <c r="U1717" s="24"/>
      <c r="V1717" s="24"/>
      <c r="W1717" s="24"/>
      <c r="X1717" s="24"/>
      <c r="Y1717" s="24"/>
      <c r="Z1717" s="24"/>
      <c r="AA1717" s="24"/>
      <c r="AB1717" s="24"/>
      <c r="AC1717" s="24"/>
      <c r="AD1717" s="24"/>
      <c r="AE1717" s="24"/>
      <c r="AF1717" s="24"/>
      <c r="AG1717" s="24"/>
      <c r="AH1717" s="24"/>
      <c r="AI1717" s="24"/>
      <c r="AJ1717" s="24"/>
      <c r="AK1717" s="24"/>
      <c r="AL1717" s="24"/>
      <c r="AM1717" s="24"/>
      <c r="AN1717" s="24"/>
      <c r="AO1717" s="24"/>
      <c r="AP1717" s="24"/>
      <c r="AQ1717" s="24"/>
      <c r="AR1717" s="54"/>
    </row>
    <row r="1718">
      <c r="A1718" s="57"/>
      <c r="B1718" s="24"/>
      <c r="C1718" s="24"/>
      <c r="D1718" s="24"/>
      <c r="E1718" s="24"/>
      <c r="F1718" s="24"/>
      <c r="G1718" s="24"/>
      <c r="H1718" s="24"/>
      <c r="I1718" s="24"/>
      <c r="J1718" s="24"/>
      <c r="K1718" s="24"/>
      <c r="L1718" s="24"/>
      <c r="M1718" s="24"/>
      <c r="N1718" s="24"/>
      <c r="O1718" s="24"/>
      <c r="P1718" s="24"/>
      <c r="Q1718" s="24"/>
      <c r="R1718" s="24"/>
      <c r="S1718" s="24"/>
      <c r="T1718" s="24"/>
      <c r="U1718" s="24"/>
      <c r="V1718" s="24"/>
      <c r="W1718" s="24"/>
      <c r="X1718" s="24"/>
      <c r="Y1718" s="24"/>
      <c r="Z1718" s="24"/>
      <c r="AA1718" s="24"/>
      <c r="AB1718" s="24"/>
      <c r="AC1718" s="24"/>
      <c r="AD1718" s="24"/>
      <c r="AE1718" s="24"/>
      <c r="AF1718" s="24"/>
      <c r="AG1718" s="24"/>
      <c r="AH1718" s="24"/>
      <c r="AI1718" s="24"/>
      <c r="AJ1718" s="24"/>
      <c r="AK1718" s="24"/>
      <c r="AL1718" s="24"/>
      <c r="AM1718" s="24"/>
      <c r="AN1718" s="24"/>
      <c r="AO1718" s="24"/>
      <c r="AP1718" s="24"/>
      <c r="AQ1718" s="24"/>
      <c r="AR1718" s="54"/>
    </row>
    <row r="1719">
      <c r="A1719" s="57"/>
      <c r="B1719" s="24"/>
      <c r="C1719" s="24"/>
      <c r="D1719" s="24"/>
      <c r="E1719" s="24"/>
      <c r="F1719" s="24"/>
      <c r="G1719" s="24"/>
      <c r="H1719" s="24"/>
      <c r="I1719" s="24"/>
      <c r="J1719" s="24"/>
      <c r="K1719" s="24"/>
      <c r="L1719" s="24"/>
      <c r="M1719" s="24"/>
      <c r="N1719" s="24"/>
      <c r="O1719" s="24"/>
      <c r="P1719" s="24"/>
      <c r="Q1719" s="24"/>
      <c r="R1719" s="24"/>
      <c r="S1719" s="24"/>
      <c r="T1719" s="24"/>
      <c r="U1719" s="24"/>
      <c r="V1719" s="24"/>
      <c r="W1719" s="24"/>
      <c r="X1719" s="24"/>
      <c r="Y1719" s="24"/>
      <c r="Z1719" s="24"/>
      <c r="AA1719" s="24"/>
      <c r="AB1719" s="24"/>
      <c r="AC1719" s="24"/>
      <c r="AD1719" s="24"/>
      <c r="AE1719" s="24"/>
      <c r="AF1719" s="24"/>
      <c r="AG1719" s="24"/>
      <c r="AH1719" s="24"/>
      <c r="AI1719" s="24"/>
      <c r="AJ1719" s="24"/>
      <c r="AK1719" s="24"/>
      <c r="AL1719" s="24"/>
      <c r="AM1719" s="24"/>
      <c r="AN1719" s="24"/>
      <c r="AO1719" s="24"/>
      <c r="AP1719" s="24"/>
      <c r="AQ1719" s="24"/>
      <c r="AR1719" s="54"/>
    </row>
    <row r="1720">
      <c r="A1720" s="57"/>
      <c r="B1720" s="24"/>
      <c r="C1720" s="24"/>
      <c r="D1720" s="24"/>
      <c r="E1720" s="24"/>
      <c r="F1720" s="24"/>
      <c r="G1720" s="24"/>
      <c r="H1720" s="24"/>
      <c r="I1720" s="24"/>
      <c r="J1720" s="24"/>
      <c r="K1720" s="24"/>
      <c r="L1720" s="24"/>
      <c r="M1720" s="24"/>
      <c r="N1720" s="24"/>
      <c r="O1720" s="24"/>
      <c r="P1720" s="24"/>
      <c r="Q1720" s="24"/>
      <c r="R1720" s="24"/>
      <c r="S1720" s="24"/>
      <c r="T1720" s="24"/>
      <c r="U1720" s="24"/>
      <c r="V1720" s="24"/>
      <c r="W1720" s="24"/>
      <c r="X1720" s="24"/>
      <c r="Y1720" s="24"/>
      <c r="Z1720" s="24"/>
      <c r="AA1720" s="24"/>
      <c r="AB1720" s="24"/>
      <c r="AC1720" s="24"/>
      <c r="AD1720" s="24"/>
      <c r="AE1720" s="24"/>
      <c r="AF1720" s="24"/>
      <c r="AG1720" s="24"/>
      <c r="AH1720" s="24"/>
      <c r="AI1720" s="24"/>
      <c r="AJ1720" s="24"/>
      <c r="AK1720" s="24"/>
      <c r="AL1720" s="24"/>
      <c r="AM1720" s="24"/>
      <c r="AN1720" s="24"/>
      <c r="AO1720" s="24"/>
      <c r="AP1720" s="24"/>
      <c r="AQ1720" s="24"/>
      <c r="AR1720" s="54"/>
    </row>
    <row r="1721">
      <c r="A1721" s="57"/>
      <c r="B1721" s="24"/>
      <c r="C1721" s="24"/>
      <c r="D1721" s="24"/>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c r="AA1721" s="24"/>
      <c r="AB1721" s="24"/>
      <c r="AC1721" s="24"/>
      <c r="AD1721" s="24"/>
      <c r="AE1721" s="24"/>
      <c r="AF1721" s="24"/>
      <c r="AG1721" s="24"/>
      <c r="AH1721" s="24"/>
      <c r="AI1721" s="24"/>
      <c r="AJ1721" s="24"/>
      <c r="AK1721" s="24"/>
      <c r="AL1721" s="24"/>
      <c r="AM1721" s="24"/>
      <c r="AN1721" s="24"/>
      <c r="AO1721" s="24"/>
      <c r="AP1721" s="24"/>
      <c r="AQ1721" s="24"/>
      <c r="AR1721" s="54"/>
    </row>
    <row r="1722">
      <c r="A1722" s="57"/>
      <c r="B1722" s="24"/>
      <c r="C1722" s="24"/>
      <c r="D1722" s="24"/>
      <c r="E1722" s="24"/>
      <c r="F1722" s="24"/>
      <c r="G1722" s="24"/>
      <c r="H1722" s="24"/>
      <c r="I1722" s="24"/>
      <c r="J1722" s="24"/>
      <c r="K1722" s="24"/>
      <c r="L1722" s="24"/>
      <c r="M1722" s="24"/>
      <c r="N1722" s="24"/>
      <c r="O1722" s="24"/>
      <c r="P1722" s="24"/>
      <c r="Q1722" s="24"/>
      <c r="R1722" s="24"/>
      <c r="S1722" s="24"/>
      <c r="T1722" s="24"/>
      <c r="U1722" s="24"/>
      <c r="V1722" s="24"/>
      <c r="W1722" s="24"/>
      <c r="X1722" s="24"/>
      <c r="Y1722" s="24"/>
      <c r="Z1722" s="24"/>
      <c r="AA1722" s="24"/>
      <c r="AB1722" s="24"/>
      <c r="AC1722" s="24"/>
      <c r="AD1722" s="24"/>
      <c r="AE1722" s="24"/>
      <c r="AF1722" s="24"/>
      <c r="AG1722" s="24"/>
      <c r="AH1722" s="24"/>
      <c r="AI1722" s="24"/>
      <c r="AJ1722" s="24"/>
      <c r="AK1722" s="24"/>
      <c r="AL1722" s="24"/>
      <c r="AM1722" s="24"/>
      <c r="AN1722" s="24"/>
      <c r="AO1722" s="24"/>
      <c r="AP1722" s="24"/>
      <c r="AQ1722" s="24"/>
      <c r="AR1722" s="54"/>
    </row>
    <row r="1723">
      <c r="A1723" s="57"/>
      <c r="B1723" s="24"/>
      <c r="C1723" s="24"/>
      <c r="D1723" s="24"/>
      <c r="E1723" s="24"/>
      <c r="F1723" s="24"/>
      <c r="G1723" s="24"/>
      <c r="H1723" s="24"/>
      <c r="I1723" s="24"/>
      <c r="J1723" s="24"/>
      <c r="K1723" s="24"/>
      <c r="L1723" s="24"/>
      <c r="M1723" s="24"/>
      <c r="N1723" s="24"/>
      <c r="O1723" s="24"/>
      <c r="P1723" s="24"/>
      <c r="Q1723" s="24"/>
      <c r="R1723" s="24"/>
      <c r="S1723" s="24"/>
      <c r="T1723" s="24"/>
      <c r="U1723" s="24"/>
      <c r="V1723" s="24"/>
      <c r="W1723" s="24"/>
      <c r="X1723" s="24"/>
      <c r="Y1723" s="24"/>
      <c r="Z1723" s="24"/>
      <c r="AA1723" s="24"/>
      <c r="AB1723" s="24"/>
      <c r="AC1723" s="24"/>
      <c r="AD1723" s="24"/>
      <c r="AE1723" s="24"/>
      <c r="AF1723" s="24"/>
      <c r="AG1723" s="24"/>
      <c r="AH1723" s="24"/>
      <c r="AI1723" s="24"/>
      <c r="AJ1723" s="24"/>
      <c r="AK1723" s="24"/>
      <c r="AL1723" s="24"/>
      <c r="AM1723" s="24"/>
      <c r="AN1723" s="24"/>
      <c r="AO1723" s="24"/>
      <c r="AP1723" s="24"/>
      <c r="AQ1723" s="24"/>
      <c r="AR1723" s="54"/>
    </row>
    <row r="1724">
      <c r="A1724" s="57"/>
      <c r="B1724" s="24"/>
      <c r="C1724" s="24"/>
      <c r="D1724" s="24"/>
      <c r="E1724" s="24"/>
      <c r="F1724" s="24"/>
      <c r="G1724" s="24"/>
      <c r="H1724" s="24"/>
      <c r="I1724" s="24"/>
      <c r="J1724" s="24"/>
      <c r="K1724" s="24"/>
      <c r="L1724" s="24"/>
      <c r="M1724" s="24"/>
      <c r="N1724" s="24"/>
      <c r="O1724" s="24"/>
      <c r="P1724" s="24"/>
      <c r="Q1724" s="24"/>
      <c r="R1724" s="24"/>
      <c r="S1724" s="24"/>
      <c r="T1724" s="24"/>
      <c r="U1724" s="24"/>
      <c r="V1724" s="24"/>
      <c r="W1724" s="24"/>
      <c r="X1724" s="24"/>
      <c r="Y1724" s="24"/>
      <c r="Z1724" s="24"/>
      <c r="AA1724" s="24"/>
      <c r="AB1724" s="24"/>
      <c r="AC1724" s="24"/>
      <c r="AD1724" s="24"/>
      <c r="AE1724" s="24"/>
      <c r="AF1724" s="24"/>
      <c r="AG1724" s="24"/>
      <c r="AH1724" s="24"/>
      <c r="AI1724" s="24"/>
      <c r="AJ1724" s="24"/>
      <c r="AK1724" s="24"/>
      <c r="AL1724" s="24"/>
      <c r="AM1724" s="24"/>
      <c r="AN1724" s="24"/>
      <c r="AO1724" s="24"/>
      <c r="AP1724" s="24"/>
      <c r="AQ1724" s="24"/>
      <c r="AR1724" s="54"/>
    </row>
    <row r="1725">
      <c r="A1725" s="57"/>
      <c r="B1725" s="24"/>
      <c r="C1725" s="24"/>
      <c r="D1725" s="24"/>
      <c r="E1725" s="24"/>
      <c r="F1725" s="24"/>
      <c r="G1725" s="24"/>
      <c r="H1725" s="24"/>
      <c r="I1725" s="24"/>
      <c r="J1725" s="24"/>
      <c r="K1725" s="24"/>
      <c r="L1725" s="24"/>
      <c r="M1725" s="24"/>
      <c r="N1725" s="24"/>
      <c r="O1725" s="24"/>
      <c r="P1725" s="24"/>
      <c r="Q1725" s="24"/>
      <c r="R1725" s="24"/>
      <c r="S1725" s="24"/>
      <c r="T1725" s="24"/>
      <c r="U1725" s="24"/>
      <c r="V1725" s="24"/>
      <c r="W1725" s="24"/>
      <c r="X1725" s="24"/>
      <c r="Y1725" s="24"/>
      <c r="Z1725" s="24"/>
      <c r="AA1725" s="24"/>
      <c r="AB1725" s="24"/>
      <c r="AC1725" s="24"/>
      <c r="AD1725" s="24"/>
      <c r="AE1725" s="24"/>
      <c r="AF1725" s="24"/>
      <c r="AG1725" s="24"/>
      <c r="AH1725" s="24"/>
      <c r="AI1725" s="24"/>
      <c r="AJ1725" s="24"/>
      <c r="AK1725" s="24"/>
      <c r="AL1725" s="24"/>
      <c r="AM1725" s="24"/>
      <c r="AN1725" s="24"/>
      <c r="AO1725" s="24"/>
      <c r="AP1725" s="24"/>
      <c r="AQ1725" s="24"/>
      <c r="AR1725" s="54"/>
    </row>
    <row r="1726">
      <c r="A1726" s="57"/>
      <c r="B1726" s="24"/>
      <c r="C1726" s="24"/>
      <c r="D1726" s="24"/>
      <c r="E1726" s="24"/>
      <c r="F1726" s="24"/>
      <c r="G1726" s="24"/>
      <c r="H1726" s="24"/>
      <c r="I1726" s="24"/>
      <c r="J1726" s="24"/>
      <c r="K1726" s="24"/>
      <c r="L1726" s="24"/>
      <c r="M1726" s="24"/>
      <c r="N1726" s="24"/>
      <c r="O1726" s="24"/>
      <c r="P1726" s="24"/>
      <c r="Q1726" s="24"/>
      <c r="R1726" s="24"/>
      <c r="S1726" s="24"/>
      <c r="T1726" s="24"/>
      <c r="U1726" s="24"/>
      <c r="V1726" s="24"/>
      <c r="W1726" s="24"/>
      <c r="X1726" s="24"/>
      <c r="Y1726" s="24"/>
      <c r="Z1726" s="24"/>
      <c r="AA1726" s="24"/>
      <c r="AB1726" s="24"/>
      <c r="AC1726" s="24"/>
      <c r="AD1726" s="24"/>
      <c r="AE1726" s="24"/>
      <c r="AF1726" s="24"/>
      <c r="AG1726" s="24"/>
      <c r="AH1726" s="24"/>
      <c r="AI1726" s="24"/>
      <c r="AJ1726" s="24"/>
      <c r="AK1726" s="24"/>
      <c r="AL1726" s="24"/>
      <c r="AM1726" s="24"/>
      <c r="AN1726" s="24"/>
      <c r="AO1726" s="24"/>
      <c r="AP1726" s="24"/>
      <c r="AQ1726" s="24"/>
      <c r="AR1726" s="54"/>
    </row>
    <row r="1727">
      <c r="A1727" s="57"/>
      <c r="B1727" s="24"/>
      <c r="C1727" s="24"/>
      <c r="D1727" s="24"/>
      <c r="E1727" s="24"/>
      <c r="F1727" s="24"/>
      <c r="G1727" s="24"/>
      <c r="H1727" s="24"/>
      <c r="I1727" s="24"/>
      <c r="J1727" s="24"/>
      <c r="K1727" s="24"/>
      <c r="L1727" s="24"/>
      <c r="M1727" s="24"/>
      <c r="N1727" s="24"/>
      <c r="O1727" s="24"/>
      <c r="P1727" s="24"/>
      <c r="Q1727" s="24"/>
      <c r="R1727" s="24"/>
      <c r="S1727" s="24"/>
      <c r="T1727" s="24"/>
      <c r="U1727" s="24"/>
      <c r="V1727" s="24"/>
      <c r="W1727" s="24"/>
      <c r="X1727" s="24"/>
      <c r="Y1727" s="24"/>
      <c r="Z1727" s="24"/>
      <c r="AA1727" s="24"/>
      <c r="AB1727" s="24"/>
      <c r="AC1727" s="24"/>
      <c r="AD1727" s="24"/>
      <c r="AE1727" s="24"/>
      <c r="AF1727" s="24"/>
      <c r="AG1727" s="24"/>
      <c r="AH1727" s="24"/>
      <c r="AI1727" s="24"/>
      <c r="AJ1727" s="24"/>
      <c r="AK1727" s="24"/>
      <c r="AL1727" s="24"/>
      <c r="AM1727" s="24"/>
      <c r="AN1727" s="24"/>
      <c r="AO1727" s="24"/>
      <c r="AP1727" s="24"/>
      <c r="AQ1727" s="24"/>
      <c r="AR1727" s="54"/>
    </row>
    <row r="1728">
      <c r="A1728" s="57"/>
      <c r="B1728" s="24"/>
      <c r="C1728" s="24"/>
      <c r="D1728" s="24"/>
      <c r="E1728" s="24"/>
      <c r="F1728" s="24"/>
      <c r="G1728" s="24"/>
      <c r="H1728" s="24"/>
      <c r="I1728" s="24"/>
      <c r="J1728" s="24"/>
      <c r="K1728" s="24"/>
      <c r="L1728" s="24"/>
      <c r="M1728" s="24"/>
      <c r="N1728" s="24"/>
      <c r="O1728" s="24"/>
      <c r="P1728" s="24"/>
      <c r="Q1728" s="24"/>
      <c r="R1728" s="24"/>
      <c r="S1728" s="24"/>
      <c r="T1728" s="24"/>
      <c r="U1728" s="24"/>
      <c r="V1728" s="24"/>
      <c r="W1728" s="24"/>
      <c r="X1728" s="24"/>
      <c r="Y1728" s="24"/>
      <c r="Z1728" s="24"/>
      <c r="AA1728" s="24"/>
      <c r="AB1728" s="24"/>
      <c r="AC1728" s="24"/>
      <c r="AD1728" s="24"/>
      <c r="AE1728" s="24"/>
      <c r="AF1728" s="24"/>
      <c r="AG1728" s="24"/>
      <c r="AH1728" s="24"/>
      <c r="AI1728" s="24"/>
      <c r="AJ1728" s="24"/>
      <c r="AK1728" s="24"/>
      <c r="AL1728" s="24"/>
      <c r="AM1728" s="24"/>
      <c r="AN1728" s="24"/>
      <c r="AO1728" s="24"/>
      <c r="AP1728" s="24"/>
      <c r="AQ1728" s="24"/>
      <c r="AR1728" s="54"/>
    </row>
    <row r="1729">
      <c r="A1729" s="57"/>
      <c r="B1729" s="24"/>
      <c r="C1729" s="24"/>
      <c r="D1729" s="24"/>
      <c r="E1729" s="24"/>
      <c r="F1729" s="24"/>
      <c r="G1729" s="24"/>
      <c r="H1729" s="24"/>
      <c r="I1729" s="24"/>
      <c r="J1729" s="24"/>
      <c r="K1729" s="24"/>
      <c r="L1729" s="24"/>
      <c r="M1729" s="24"/>
      <c r="N1729" s="24"/>
      <c r="O1729" s="24"/>
      <c r="P1729" s="24"/>
      <c r="Q1729" s="24"/>
      <c r="R1729" s="24"/>
      <c r="S1729" s="24"/>
      <c r="T1729" s="24"/>
      <c r="U1729" s="24"/>
      <c r="V1729" s="24"/>
      <c r="W1729" s="24"/>
      <c r="X1729" s="24"/>
      <c r="Y1729" s="24"/>
      <c r="Z1729" s="24"/>
      <c r="AA1729" s="24"/>
      <c r="AB1729" s="24"/>
      <c r="AC1729" s="24"/>
      <c r="AD1729" s="24"/>
      <c r="AE1729" s="24"/>
      <c r="AF1729" s="24"/>
      <c r="AG1729" s="24"/>
      <c r="AH1729" s="24"/>
      <c r="AI1729" s="24"/>
      <c r="AJ1729" s="24"/>
      <c r="AK1729" s="24"/>
      <c r="AL1729" s="24"/>
      <c r="AM1729" s="24"/>
      <c r="AN1729" s="24"/>
      <c r="AO1729" s="24"/>
      <c r="AP1729" s="24"/>
      <c r="AQ1729" s="24"/>
      <c r="AR1729" s="54"/>
    </row>
    <row r="1730">
      <c r="A1730" s="57"/>
      <c r="B1730" s="24"/>
      <c r="C1730" s="24"/>
      <c r="D1730" s="24"/>
      <c r="E1730" s="24"/>
      <c r="F1730" s="24"/>
      <c r="G1730" s="24"/>
      <c r="H1730" s="24"/>
      <c r="I1730" s="24"/>
      <c r="J1730" s="24"/>
      <c r="K1730" s="24"/>
      <c r="L1730" s="24"/>
      <c r="M1730" s="24"/>
      <c r="N1730" s="24"/>
      <c r="O1730" s="24"/>
      <c r="P1730" s="24"/>
      <c r="Q1730" s="24"/>
      <c r="R1730" s="24"/>
      <c r="S1730" s="24"/>
      <c r="T1730" s="24"/>
      <c r="U1730" s="24"/>
      <c r="V1730" s="24"/>
      <c r="W1730" s="24"/>
      <c r="X1730" s="24"/>
      <c r="Y1730" s="24"/>
      <c r="Z1730" s="24"/>
      <c r="AA1730" s="24"/>
      <c r="AB1730" s="24"/>
      <c r="AC1730" s="24"/>
      <c r="AD1730" s="24"/>
      <c r="AE1730" s="24"/>
      <c r="AF1730" s="24"/>
      <c r="AG1730" s="24"/>
      <c r="AH1730" s="24"/>
      <c r="AI1730" s="24"/>
      <c r="AJ1730" s="24"/>
      <c r="AK1730" s="24"/>
      <c r="AL1730" s="24"/>
      <c r="AM1730" s="24"/>
      <c r="AN1730" s="24"/>
      <c r="AO1730" s="24"/>
      <c r="AP1730" s="24"/>
      <c r="AQ1730" s="24"/>
      <c r="AR1730" s="54"/>
    </row>
    <row r="1731">
      <c r="A1731" s="57"/>
      <c r="B1731" s="24"/>
      <c r="C1731" s="24"/>
      <c r="D1731" s="24"/>
      <c r="E1731" s="24"/>
      <c r="F1731" s="24"/>
      <c r="G1731" s="24"/>
      <c r="H1731" s="24"/>
      <c r="I1731" s="24"/>
      <c r="J1731" s="24"/>
      <c r="K1731" s="24"/>
      <c r="L1731" s="24"/>
      <c r="M1731" s="24"/>
      <c r="N1731" s="24"/>
      <c r="O1731" s="24"/>
      <c r="P1731" s="24"/>
      <c r="Q1731" s="24"/>
      <c r="R1731" s="24"/>
      <c r="S1731" s="24"/>
      <c r="T1731" s="24"/>
      <c r="U1731" s="24"/>
      <c r="V1731" s="24"/>
      <c r="W1731" s="24"/>
      <c r="X1731" s="24"/>
      <c r="Y1731" s="24"/>
      <c r="Z1731" s="24"/>
      <c r="AA1731" s="24"/>
      <c r="AB1731" s="24"/>
      <c r="AC1731" s="24"/>
      <c r="AD1731" s="24"/>
      <c r="AE1731" s="24"/>
      <c r="AF1731" s="24"/>
      <c r="AG1731" s="24"/>
      <c r="AH1731" s="24"/>
      <c r="AI1731" s="24"/>
      <c r="AJ1731" s="24"/>
      <c r="AK1731" s="24"/>
      <c r="AL1731" s="24"/>
      <c r="AM1731" s="24"/>
      <c r="AN1731" s="24"/>
      <c r="AO1731" s="24"/>
      <c r="AP1731" s="24"/>
      <c r="AQ1731" s="24"/>
      <c r="AR1731" s="54"/>
    </row>
    <row r="1732">
      <c r="A1732" s="57"/>
      <c r="B1732" s="24"/>
      <c r="C1732" s="24"/>
      <c r="D1732" s="24"/>
      <c r="E1732" s="24"/>
      <c r="F1732" s="24"/>
      <c r="G1732" s="24"/>
      <c r="H1732" s="24"/>
      <c r="I1732" s="24"/>
      <c r="J1732" s="24"/>
      <c r="K1732" s="24"/>
      <c r="L1732" s="24"/>
      <c r="M1732" s="24"/>
      <c r="N1732" s="24"/>
      <c r="O1732" s="24"/>
      <c r="P1732" s="24"/>
      <c r="Q1732" s="24"/>
      <c r="R1732" s="24"/>
      <c r="S1732" s="24"/>
      <c r="T1732" s="24"/>
      <c r="U1732" s="24"/>
      <c r="V1732" s="24"/>
      <c r="W1732" s="24"/>
      <c r="X1732" s="24"/>
      <c r="Y1732" s="24"/>
      <c r="Z1732" s="24"/>
      <c r="AA1732" s="24"/>
      <c r="AB1732" s="24"/>
      <c r="AC1732" s="24"/>
      <c r="AD1732" s="24"/>
      <c r="AE1732" s="24"/>
      <c r="AF1732" s="24"/>
      <c r="AG1732" s="24"/>
      <c r="AH1732" s="24"/>
      <c r="AI1732" s="24"/>
      <c r="AJ1732" s="24"/>
      <c r="AK1732" s="24"/>
      <c r="AL1732" s="24"/>
      <c r="AM1732" s="24"/>
      <c r="AN1732" s="24"/>
      <c r="AO1732" s="24"/>
      <c r="AP1732" s="24"/>
      <c r="AQ1732" s="24"/>
      <c r="AR1732" s="54"/>
    </row>
    <row r="1733">
      <c r="A1733" s="57"/>
      <c r="B1733" s="24"/>
      <c r="C1733" s="24"/>
      <c r="D1733" s="24"/>
      <c r="E1733" s="24"/>
      <c r="F1733" s="24"/>
      <c r="G1733" s="24"/>
      <c r="H1733" s="24"/>
      <c r="I1733" s="24"/>
      <c r="J1733" s="24"/>
      <c r="K1733" s="24"/>
      <c r="L1733" s="24"/>
      <c r="M1733" s="24"/>
      <c r="N1733" s="24"/>
      <c r="O1733" s="24"/>
      <c r="P1733" s="24"/>
      <c r="Q1733" s="24"/>
      <c r="R1733" s="24"/>
      <c r="S1733" s="24"/>
      <c r="T1733" s="24"/>
      <c r="U1733" s="24"/>
      <c r="V1733" s="24"/>
      <c r="W1733" s="24"/>
      <c r="X1733" s="24"/>
      <c r="Y1733" s="24"/>
      <c r="Z1733" s="24"/>
      <c r="AA1733" s="24"/>
      <c r="AB1733" s="24"/>
      <c r="AC1733" s="24"/>
      <c r="AD1733" s="24"/>
      <c r="AE1733" s="24"/>
      <c r="AF1733" s="24"/>
      <c r="AG1733" s="24"/>
      <c r="AH1733" s="24"/>
      <c r="AI1733" s="24"/>
      <c r="AJ1733" s="24"/>
      <c r="AK1733" s="24"/>
      <c r="AL1733" s="24"/>
      <c r="AM1733" s="24"/>
      <c r="AN1733" s="24"/>
      <c r="AO1733" s="24"/>
      <c r="AP1733" s="24"/>
      <c r="AQ1733" s="24"/>
      <c r="AR1733" s="54"/>
    </row>
    <row r="1734">
      <c r="A1734" s="57"/>
      <c r="B1734" s="24"/>
      <c r="C1734" s="24"/>
      <c r="D1734" s="24"/>
      <c r="E1734" s="24"/>
      <c r="F1734" s="24"/>
      <c r="G1734" s="24"/>
      <c r="H1734" s="24"/>
      <c r="I1734" s="24"/>
      <c r="J1734" s="24"/>
      <c r="K1734" s="24"/>
      <c r="L1734" s="24"/>
      <c r="M1734" s="24"/>
      <c r="N1734" s="24"/>
      <c r="O1734" s="24"/>
      <c r="P1734" s="24"/>
      <c r="Q1734" s="24"/>
      <c r="R1734" s="24"/>
      <c r="S1734" s="24"/>
      <c r="T1734" s="24"/>
      <c r="U1734" s="24"/>
      <c r="V1734" s="24"/>
      <c r="W1734" s="24"/>
      <c r="X1734" s="24"/>
      <c r="Y1734" s="24"/>
      <c r="Z1734" s="24"/>
      <c r="AA1734" s="24"/>
      <c r="AB1734" s="24"/>
      <c r="AC1734" s="24"/>
      <c r="AD1734" s="24"/>
      <c r="AE1734" s="24"/>
      <c r="AF1734" s="24"/>
      <c r="AG1734" s="24"/>
      <c r="AH1734" s="24"/>
      <c r="AI1734" s="24"/>
      <c r="AJ1734" s="24"/>
      <c r="AK1734" s="24"/>
      <c r="AL1734" s="24"/>
      <c r="AM1734" s="24"/>
      <c r="AN1734" s="24"/>
      <c r="AO1734" s="24"/>
      <c r="AP1734" s="24"/>
      <c r="AQ1734" s="24"/>
      <c r="AR1734" s="54"/>
    </row>
    <row r="1735">
      <c r="A1735" s="57"/>
      <c r="B1735" s="24"/>
      <c r="C1735" s="24"/>
      <c r="D1735" s="24"/>
      <c r="E1735" s="24"/>
      <c r="F1735" s="24"/>
      <c r="G1735" s="24"/>
      <c r="H1735" s="24"/>
      <c r="I1735" s="24"/>
      <c r="J1735" s="24"/>
      <c r="K1735" s="24"/>
      <c r="L1735" s="24"/>
      <c r="M1735" s="24"/>
      <c r="N1735" s="24"/>
      <c r="O1735" s="24"/>
      <c r="P1735" s="24"/>
      <c r="Q1735" s="24"/>
      <c r="R1735" s="24"/>
      <c r="S1735" s="24"/>
      <c r="T1735" s="24"/>
      <c r="U1735" s="24"/>
      <c r="V1735" s="24"/>
      <c r="W1735" s="24"/>
      <c r="X1735" s="24"/>
      <c r="Y1735" s="24"/>
      <c r="Z1735" s="24"/>
      <c r="AA1735" s="24"/>
      <c r="AB1735" s="24"/>
      <c r="AC1735" s="24"/>
      <c r="AD1735" s="24"/>
      <c r="AE1735" s="24"/>
      <c r="AF1735" s="24"/>
      <c r="AG1735" s="24"/>
      <c r="AH1735" s="24"/>
      <c r="AI1735" s="24"/>
      <c r="AJ1735" s="24"/>
      <c r="AK1735" s="24"/>
      <c r="AL1735" s="24"/>
      <c r="AM1735" s="24"/>
      <c r="AN1735" s="24"/>
      <c r="AO1735" s="24"/>
      <c r="AP1735" s="24"/>
      <c r="AQ1735" s="24"/>
      <c r="AR1735" s="54"/>
    </row>
    <row r="1736">
      <c r="A1736" s="57"/>
      <c r="B1736" s="24"/>
      <c r="C1736" s="24"/>
      <c r="D1736" s="24"/>
      <c r="E1736" s="24"/>
      <c r="F1736" s="24"/>
      <c r="G1736" s="24"/>
      <c r="H1736" s="24"/>
      <c r="I1736" s="24"/>
      <c r="J1736" s="24"/>
      <c r="K1736" s="24"/>
      <c r="L1736" s="24"/>
      <c r="M1736" s="24"/>
      <c r="N1736" s="24"/>
      <c r="O1736" s="24"/>
      <c r="P1736" s="24"/>
      <c r="Q1736" s="24"/>
      <c r="R1736" s="24"/>
      <c r="S1736" s="24"/>
      <c r="T1736" s="24"/>
      <c r="U1736" s="24"/>
      <c r="V1736" s="24"/>
      <c r="W1736" s="24"/>
      <c r="X1736" s="24"/>
      <c r="Y1736" s="24"/>
      <c r="Z1736" s="24"/>
      <c r="AA1736" s="24"/>
      <c r="AB1736" s="24"/>
      <c r="AC1736" s="24"/>
      <c r="AD1736" s="24"/>
      <c r="AE1736" s="24"/>
      <c r="AF1736" s="24"/>
      <c r="AG1736" s="24"/>
      <c r="AH1736" s="24"/>
      <c r="AI1736" s="24"/>
      <c r="AJ1736" s="24"/>
      <c r="AK1736" s="24"/>
      <c r="AL1736" s="24"/>
      <c r="AM1736" s="24"/>
      <c r="AN1736" s="24"/>
      <c r="AO1736" s="24"/>
      <c r="AP1736" s="24"/>
      <c r="AQ1736" s="24"/>
      <c r="AR1736" s="54"/>
    </row>
    <row r="1737">
      <c r="A1737" s="57"/>
      <c r="B1737" s="24"/>
      <c r="C1737" s="24"/>
      <c r="D1737" s="24"/>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c r="AA1737" s="24"/>
      <c r="AB1737" s="24"/>
      <c r="AC1737" s="24"/>
      <c r="AD1737" s="24"/>
      <c r="AE1737" s="24"/>
      <c r="AF1737" s="24"/>
      <c r="AG1737" s="24"/>
      <c r="AH1737" s="24"/>
      <c r="AI1737" s="24"/>
      <c r="AJ1737" s="24"/>
      <c r="AK1737" s="24"/>
      <c r="AL1737" s="24"/>
      <c r="AM1737" s="24"/>
      <c r="AN1737" s="24"/>
      <c r="AO1737" s="24"/>
      <c r="AP1737" s="24"/>
      <c r="AQ1737" s="24"/>
      <c r="AR1737" s="54"/>
    </row>
    <row r="1738">
      <c r="A1738" s="57"/>
      <c r="B1738" s="24"/>
      <c r="C1738" s="24"/>
      <c r="D1738" s="24"/>
      <c r="E1738" s="24"/>
      <c r="F1738" s="24"/>
      <c r="G1738" s="24"/>
      <c r="H1738" s="24"/>
      <c r="I1738" s="24"/>
      <c r="J1738" s="24"/>
      <c r="K1738" s="24"/>
      <c r="L1738" s="24"/>
      <c r="M1738" s="24"/>
      <c r="N1738" s="24"/>
      <c r="O1738" s="24"/>
      <c r="P1738" s="24"/>
      <c r="Q1738" s="24"/>
      <c r="R1738" s="24"/>
      <c r="S1738" s="24"/>
      <c r="T1738" s="24"/>
      <c r="U1738" s="24"/>
      <c r="V1738" s="24"/>
      <c r="W1738" s="24"/>
      <c r="X1738" s="24"/>
      <c r="Y1738" s="24"/>
      <c r="Z1738" s="24"/>
      <c r="AA1738" s="24"/>
      <c r="AB1738" s="24"/>
      <c r="AC1738" s="24"/>
      <c r="AD1738" s="24"/>
      <c r="AE1738" s="24"/>
      <c r="AF1738" s="24"/>
      <c r="AG1738" s="24"/>
      <c r="AH1738" s="24"/>
      <c r="AI1738" s="24"/>
      <c r="AJ1738" s="24"/>
      <c r="AK1738" s="24"/>
      <c r="AL1738" s="24"/>
      <c r="AM1738" s="24"/>
      <c r="AN1738" s="24"/>
      <c r="AO1738" s="24"/>
      <c r="AP1738" s="24"/>
      <c r="AQ1738" s="24"/>
      <c r="AR1738" s="54"/>
    </row>
    <row r="1739">
      <c r="A1739" s="57"/>
      <c r="B1739" s="24"/>
      <c r="C1739" s="24"/>
      <c r="D1739" s="24"/>
      <c r="E1739" s="24"/>
      <c r="F1739" s="24"/>
      <c r="G1739" s="24"/>
      <c r="H1739" s="24"/>
      <c r="I1739" s="24"/>
      <c r="J1739" s="24"/>
      <c r="K1739" s="24"/>
      <c r="L1739" s="24"/>
      <c r="M1739" s="24"/>
      <c r="N1739" s="24"/>
      <c r="O1739" s="24"/>
      <c r="P1739" s="24"/>
      <c r="Q1739" s="24"/>
      <c r="R1739" s="24"/>
      <c r="S1739" s="24"/>
      <c r="T1739" s="24"/>
      <c r="U1739" s="24"/>
      <c r="V1739" s="24"/>
      <c r="W1739" s="24"/>
      <c r="X1739" s="24"/>
      <c r="Y1739" s="24"/>
      <c r="Z1739" s="24"/>
      <c r="AA1739" s="24"/>
      <c r="AB1739" s="24"/>
      <c r="AC1739" s="24"/>
      <c r="AD1739" s="24"/>
      <c r="AE1739" s="24"/>
      <c r="AF1739" s="24"/>
      <c r="AG1739" s="24"/>
      <c r="AH1739" s="24"/>
      <c r="AI1739" s="24"/>
      <c r="AJ1739" s="24"/>
      <c r="AK1739" s="24"/>
      <c r="AL1739" s="24"/>
      <c r="AM1739" s="24"/>
      <c r="AN1739" s="24"/>
      <c r="AO1739" s="24"/>
      <c r="AP1739" s="24"/>
      <c r="AQ1739" s="24"/>
      <c r="AR1739" s="54"/>
    </row>
    <row r="1740">
      <c r="A1740" s="57"/>
      <c r="B1740" s="24"/>
      <c r="C1740" s="24"/>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c r="AA1740" s="24"/>
      <c r="AB1740" s="24"/>
      <c r="AC1740" s="24"/>
      <c r="AD1740" s="24"/>
      <c r="AE1740" s="24"/>
      <c r="AF1740" s="24"/>
      <c r="AG1740" s="24"/>
      <c r="AH1740" s="24"/>
      <c r="AI1740" s="24"/>
      <c r="AJ1740" s="24"/>
      <c r="AK1740" s="24"/>
      <c r="AL1740" s="24"/>
      <c r="AM1740" s="24"/>
      <c r="AN1740" s="24"/>
      <c r="AO1740" s="24"/>
      <c r="AP1740" s="24"/>
      <c r="AQ1740" s="24"/>
      <c r="AR1740" s="54"/>
    </row>
    <row r="1741">
      <c r="A1741" s="57"/>
      <c r="B1741" s="24"/>
      <c r="C1741" s="24"/>
      <c r="D1741" s="24"/>
      <c r="E1741" s="24"/>
      <c r="F1741" s="24"/>
      <c r="G1741" s="24"/>
      <c r="H1741" s="24"/>
      <c r="I1741" s="24"/>
      <c r="J1741" s="24"/>
      <c r="K1741" s="24"/>
      <c r="L1741" s="24"/>
      <c r="M1741" s="24"/>
      <c r="N1741" s="24"/>
      <c r="O1741" s="24"/>
      <c r="P1741" s="24"/>
      <c r="Q1741" s="24"/>
      <c r="R1741" s="24"/>
      <c r="S1741" s="24"/>
      <c r="T1741" s="24"/>
      <c r="U1741" s="24"/>
      <c r="V1741" s="24"/>
      <c r="W1741" s="24"/>
      <c r="X1741" s="24"/>
      <c r="Y1741" s="24"/>
      <c r="Z1741" s="24"/>
      <c r="AA1741" s="24"/>
      <c r="AB1741" s="24"/>
      <c r="AC1741" s="24"/>
      <c r="AD1741" s="24"/>
      <c r="AE1741" s="24"/>
      <c r="AF1741" s="24"/>
      <c r="AG1741" s="24"/>
      <c r="AH1741" s="24"/>
      <c r="AI1741" s="24"/>
      <c r="AJ1741" s="24"/>
      <c r="AK1741" s="24"/>
      <c r="AL1741" s="24"/>
      <c r="AM1741" s="24"/>
      <c r="AN1741" s="24"/>
      <c r="AO1741" s="24"/>
      <c r="AP1741" s="24"/>
      <c r="AQ1741" s="24"/>
      <c r="AR1741" s="54"/>
    </row>
    <row r="1742">
      <c r="A1742" s="57"/>
      <c r="B1742" s="24"/>
      <c r="C1742" s="24"/>
      <c r="D1742" s="24"/>
      <c r="E1742" s="24"/>
      <c r="F1742" s="24"/>
      <c r="G1742" s="24"/>
      <c r="H1742" s="24"/>
      <c r="I1742" s="24"/>
      <c r="J1742" s="24"/>
      <c r="K1742" s="24"/>
      <c r="L1742" s="24"/>
      <c r="M1742" s="24"/>
      <c r="N1742" s="24"/>
      <c r="O1742" s="24"/>
      <c r="P1742" s="24"/>
      <c r="Q1742" s="24"/>
      <c r="R1742" s="24"/>
      <c r="S1742" s="24"/>
      <c r="T1742" s="24"/>
      <c r="U1742" s="24"/>
      <c r="V1742" s="24"/>
      <c r="W1742" s="24"/>
      <c r="X1742" s="24"/>
      <c r="Y1742" s="24"/>
      <c r="Z1742" s="24"/>
      <c r="AA1742" s="24"/>
      <c r="AB1742" s="24"/>
      <c r="AC1742" s="24"/>
      <c r="AD1742" s="24"/>
      <c r="AE1742" s="24"/>
      <c r="AF1742" s="24"/>
      <c r="AG1742" s="24"/>
      <c r="AH1742" s="24"/>
      <c r="AI1742" s="24"/>
      <c r="AJ1742" s="24"/>
      <c r="AK1742" s="24"/>
      <c r="AL1742" s="24"/>
      <c r="AM1742" s="24"/>
      <c r="AN1742" s="24"/>
      <c r="AO1742" s="24"/>
      <c r="AP1742" s="24"/>
      <c r="AQ1742" s="24"/>
      <c r="AR1742" s="54"/>
    </row>
    <row r="1743">
      <c r="A1743" s="57"/>
      <c r="B1743" s="24"/>
      <c r="C1743" s="24"/>
      <c r="D1743" s="24"/>
      <c r="E1743" s="24"/>
      <c r="F1743" s="24"/>
      <c r="G1743" s="24"/>
      <c r="H1743" s="24"/>
      <c r="I1743" s="24"/>
      <c r="J1743" s="24"/>
      <c r="K1743" s="24"/>
      <c r="L1743" s="24"/>
      <c r="M1743" s="24"/>
      <c r="N1743" s="24"/>
      <c r="O1743" s="24"/>
      <c r="P1743" s="24"/>
      <c r="Q1743" s="24"/>
      <c r="R1743" s="24"/>
      <c r="S1743" s="24"/>
      <c r="T1743" s="24"/>
      <c r="U1743" s="24"/>
      <c r="V1743" s="24"/>
      <c r="W1743" s="24"/>
      <c r="X1743" s="24"/>
      <c r="Y1743" s="24"/>
      <c r="Z1743" s="24"/>
      <c r="AA1743" s="24"/>
      <c r="AB1743" s="24"/>
      <c r="AC1743" s="24"/>
      <c r="AD1743" s="24"/>
      <c r="AE1743" s="24"/>
      <c r="AF1743" s="24"/>
      <c r="AG1743" s="24"/>
      <c r="AH1743" s="24"/>
      <c r="AI1743" s="24"/>
      <c r="AJ1743" s="24"/>
      <c r="AK1743" s="24"/>
      <c r="AL1743" s="24"/>
      <c r="AM1743" s="24"/>
      <c r="AN1743" s="24"/>
      <c r="AO1743" s="24"/>
      <c r="AP1743" s="24"/>
      <c r="AQ1743" s="24"/>
      <c r="AR1743" s="54"/>
    </row>
    <row r="1744">
      <c r="A1744" s="57"/>
      <c r="B1744" s="24"/>
      <c r="C1744" s="24"/>
      <c r="D1744" s="24"/>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c r="AA1744" s="24"/>
      <c r="AB1744" s="24"/>
      <c r="AC1744" s="24"/>
      <c r="AD1744" s="24"/>
      <c r="AE1744" s="24"/>
      <c r="AF1744" s="24"/>
      <c r="AG1744" s="24"/>
      <c r="AH1744" s="24"/>
      <c r="AI1744" s="24"/>
      <c r="AJ1744" s="24"/>
      <c r="AK1744" s="24"/>
      <c r="AL1744" s="24"/>
      <c r="AM1744" s="24"/>
      <c r="AN1744" s="24"/>
      <c r="AO1744" s="24"/>
      <c r="AP1744" s="24"/>
      <c r="AQ1744" s="24"/>
      <c r="AR1744" s="54"/>
    </row>
    <row r="1745">
      <c r="A1745" s="57"/>
      <c r="B1745" s="24"/>
      <c r="C1745" s="24"/>
      <c r="D1745" s="24"/>
      <c r="E1745" s="24"/>
      <c r="F1745" s="24"/>
      <c r="G1745" s="24"/>
      <c r="H1745" s="24"/>
      <c r="I1745" s="24"/>
      <c r="J1745" s="24"/>
      <c r="K1745" s="24"/>
      <c r="L1745" s="24"/>
      <c r="M1745" s="24"/>
      <c r="N1745" s="24"/>
      <c r="O1745" s="24"/>
      <c r="P1745" s="24"/>
      <c r="Q1745" s="24"/>
      <c r="R1745" s="24"/>
      <c r="S1745" s="24"/>
      <c r="T1745" s="24"/>
      <c r="U1745" s="24"/>
      <c r="V1745" s="24"/>
      <c r="W1745" s="24"/>
      <c r="X1745" s="24"/>
      <c r="Y1745" s="24"/>
      <c r="Z1745" s="24"/>
      <c r="AA1745" s="24"/>
      <c r="AB1745" s="24"/>
      <c r="AC1745" s="24"/>
      <c r="AD1745" s="24"/>
      <c r="AE1745" s="24"/>
      <c r="AF1745" s="24"/>
      <c r="AG1745" s="24"/>
      <c r="AH1745" s="24"/>
      <c r="AI1745" s="24"/>
      <c r="AJ1745" s="24"/>
      <c r="AK1745" s="24"/>
      <c r="AL1745" s="24"/>
      <c r="AM1745" s="24"/>
      <c r="AN1745" s="24"/>
      <c r="AO1745" s="24"/>
      <c r="AP1745" s="24"/>
      <c r="AQ1745" s="24"/>
      <c r="AR1745" s="54"/>
    </row>
    <row r="1746">
      <c r="A1746" s="57"/>
      <c r="B1746" s="24"/>
      <c r="C1746" s="24"/>
      <c r="D1746" s="24"/>
      <c r="E1746" s="24"/>
      <c r="F1746" s="24"/>
      <c r="G1746" s="24"/>
      <c r="H1746" s="24"/>
      <c r="I1746" s="24"/>
      <c r="J1746" s="24"/>
      <c r="K1746" s="24"/>
      <c r="L1746" s="24"/>
      <c r="M1746" s="24"/>
      <c r="N1746" s="24"/>
      <c r="O1746" s="24"/>
      <c r="P1746" s="24"/>
      <c r="Q1746" s="24"/>
      <c r="R1746" s="24"/>
      <c r="S1746" s="24"/>
      <c r="T1746" s="24"/>
      <c r="U1746" s="24"/>
      <c r="V1746" s="24"/>
      <c r="W1746" s="24"/>
      <c r="X1746" s="24"/>
      <c r="Y1746" s="24"/>
      <c r="Z1746" s="24"/>
      <c r="AA1746" s="24"/>
      <c r="AB1746" s="24"/>
      <c r="AC1746" s="24"/>
      <c r="AD1746" s="24"/>
      <c r="AE1746" s="24"/>
      <c r="AF1746" s="24"/>
      <c r="AG1746" s="24"/>
      <c r="AH1746" s="24"/>
      <c r="AI1746" s="24"/>
      <c r="AJ1746" s="24"/>
      <c r="AK1746" s="24"/>
      <c r="AL1746" s="24"/>
      <c r="AM1746" s="24"/>
      <c r="AN1746" s="24"/>
      <c r="AO1746" s="24"/>
      <c r="AP1746" s="24"/>
      <c r="AQ1746" s="24"/>
      <c r="AR1746" s="54"/>
    </row>
    <row r="1747">
      <c r="A1747" s="57"/>
      <c r="B1747" s="24"/>
      <c r="C1747" s="24"/>
      <c r="D1747" s="24"/>
      <c r="E1747" s="24"/>
      <c r="F1747" s="24"/>
      <c r="G1747" s="24"/>
      <c r="H1747" s="24"/>
      <c r="I1747" s="24"/>
      <c r="J1747" s="24"/>
      <c r="K1747" s="24"/>
      <c r="L1747" s="24"/>
      <c r="M1747" s="24"/>
      <c r="N1747" s="24"/>
      <c r="O1747" s="24"/>
      <c r="P1747" s="24"/>
      <c r="Q1747" s="24"/>
      <c r="R1747" s="24"/>
      <c r="S1747" s="24"/>
      <c r="T1747" s="24"/>
      <c r="U1747" s="24"/>
      <c r="V1747" s="24"/>
      <c r="W1747" s="24"/>
      <c r="X1747" s="24"/>
      <c r="Y1747" s="24"/>
      <c r="Z1747" s="24"/>
      <c r="AA1747" s="24"/>
      <c r="AB1747" s="24"/>
      <c r="AC1747" s="24"/>
      <c r="AD1747" s="24"/>
      <c r="AE1747" s="24"/>
      <c r="AF1747" s="24"/>
      <c r="AG1747" s="24"/>
      <c r="AH1747" s="24"/>
      <c r="AI1747" s="24"/>
      <c r="AJ1747" s="24"/>
      <c r="AK1747" s="24"/>
      <c r="AL1747" s="24"/>
      <c r="AM1747" s="24"/>
      <c r="AN1747" s="24"/>
      <c r="AO1747" s="24"/>
      <c r="AP1747" s="24"/>
      <c r="AQ1747" s="24"/>
      <c r="AR1747" s="54"/>
    </row>
    <row r="1748">
      <c r="A1748" s="57"/>
      <c r="B1748" s="24"/>
      <c r="C1748" s="24"/>
      <c r="D1748" s="24"/>
      <c r="E1748" s="24"/>
      <c r="F1748" s="24"/>
      <c r="G1748" s="24"/>
      <c r="H1748" s="24"/>
      <c r="I1748" s="24"/>
      <c r="J1748" s="24"/>
      <c r="K1748" s="24"/>
      <c r="L1748" s="24"/>
      <c r="M1748" s="24"/>
      <c r="N1748" s="24"/>
      <c r="O1748" s="24"/>
      <c r="P1748" s="24"/>
      <c r="Q1748" s="24"/>
      <c r="R1748" s="24"/>
      <c r="S1748" s="24"/>
      <c r="T1748" s="24"/>
      <c r="U1748" s="24"/>
      <c r="V1748" s="24"/>
      <c r="W1748" s="24"/>
      <c r="X1748" s="24"/>
      <c r="Y1748" s="24"/>
      <c r="Z1748" s="24"/>
      <c r="AA1748" s="24"/>
      <c r="AB1748" s="24"/>
      <c r="AC1748" s="24"/>
      <c r="AD1748" s="24"/>
      <c r="AE1748" s="24"/>
      <c r="AF1748" s="24"/>
      <c r="AG1748" s="24"/>
      <c r="AH1748" s="24"/>
      <c r="AI1748" s="24"/>
      <c r="AJ1748" s="24"/>
      <c r="AK1748" s="24"/>
      <c r="AL1748" s="24"/>
      <c r="AM1748" s="24"/>
      <c r="AN1748" s="24"/>
      <c r="AO1748" s="24"/>
      <c r="AP1748" s="24"/>
      <c r="AQ1748" s="24"/>
      <c r="AR1748" s="54"/>
    </row>
    <row r="1749">
      <c r="A1749" s="57"/>
      <c r="B1749" s="24"/>
      <c r="C1749" s="24"/>
      <c r="D1749" s="24"/>
      <c r="E1749" s="24"/>
      <c r="F1749" s="24"/>
      <c r="G1749" s="24"/>
      <c r="H1749" s="24"/>
      <c r="I1749" s="24"/>
      <c r="J1749" s="24"/>
      <c r="K1749" s="24"/>
      <c r="L1749" s="24"/>
      <c r="M1749" s="24"/>
      <c r="N1749" s="24"/>
      <c r="O1749" s="24"/>
      <c r="P1749" s="24"/>
      <c r="Q1749" s="24"/>
      <c r="R1749" s="24"/>
      <c r="S1749" s="24"/>
      <c r="T1749" s="24"/>
      <c r="U1749" s="24"/>
      <c r="V1749" s="24"/>
      <c r="W1749" s="24"/>
      <c r="X1749" s="24"/>
      <c r="Y1749" s="24"/>
      <c r="Z1749" s="24"/>
      <c r="AA1749" s="24"/>
      <c r="AB1749" s="24"/>
      <c r="AC1749" s="24"/>
      <c r="AD1749" s="24"/>
      <c r="AE1749" s="24"/>
      <c r="AF1749" s="24"/>
      <c r="AG1749" s="24"/>
      <c r="AH1749" s="24"/>
      <c r="AI1749" s="24"/>
      <c r="AJ1749" s="24"/>
      <c r="AK1749" s="24"/>
      <c r="AL1749" s="24"/>
      <c r="AM1749" s="24"/>
      <c r="AN1749" s="24"/>
      <c r="AO1749" s="24"/>
      <c r="AP1749" s="24"/>
      <c r="AQ1749" s="24"/>
      <c r="AR1749" s="54"/>
    </row>
    <row r="1750">
      <c r="A1750" s="57"/>
      <c r="B1750" s="24"/>
      <c r="C1750" s="24"/>
      <c r="D1750" s="24"/>
      <c r="E1750" s="24"/>
      <c r="F1750" s="24"/>
      <c r="G1750" s="24"/>
      <c r="H1750" s="24"/>
      <c r="I1750" s="24"/>
      <c r="J1750" s="24"/>
      <c r="K1750" s="24"/>
      <c r="L1750" s="24"/>
      <c r="M1750" s="24"/>
      <c r="N1750" s="24"/>
      <c r="O1750" s="24"/>
      <c r="P1750" s="24"/>
      <c r="Q1750" s="24"/>
      <c r="R1750" s="24"/>
      <c r="S1750" s="24"/>
      <c r="T1750" s="24"/>
      <c r="U1750" s="24"/>
      <c r="V1750" s="24"/>
      <c r="W1750" s="24"/>
      <c r="X1750" s="24"/>
      <c r="Y1750" s="24"/>
      <c r="Z1750" s="24"/>
      <c r="AA1750" s="24"/>
      <c r="AB1750" s="24"/>
      <c r="AC1750" s="24"/>
      <c r="AD1750" s="24"/>
      <c r="AE1750" s="24"/>
      <c r="AF1750" s="24"/>
      <c r="AG1750" s="24"/>
      <c r="AH1750" s="24"/>
      <c r="AI1750" s="24"/>
      <c r="AJ1750" s="24"/>
      <c r="AK1750" s="24"/>
      <c r="AL1750" s="24"/>
      <c r="AM1750" s="24"/>
      <c r="AN1750" s="24"/>
      <c r="AO1750" s="24"/>
      <c r="AP1750" s="24"/>
      <c r="AQ1750" s="24"/>
      <c r="AR1750" s="54"/>
    </row>
    <row r="1751">
      <c r="A1751" s="57"/>
      <c r="B1751" s="24"/>
      <c r="C1751" s="24"/>
      <c r="D1751" s="24"/>
      <c r="E1751" s="24"/>
      <c r="F1751" s="24"/>
      <c r="G1751" s="24"/>
      <c r="H1751" s="24"/>
      <c r="I1751" s="24"/>
      <c r="J1751" s="24"/>
      <c r="K1751" s="24"/>
      <c r="L1751" s="24"/>
      <c r="M1751" s="24"/>
      <c r="N1751" s="24"/>
      <c r="O1751" s="24"/>
      <c r="P1751" s="24"/>
      <c r="Q1751" s="24"/>
      <c r="R1751" s="24"/>
      <c r="S1751" s="24"/>
      <c r="T1751" s="24"/>
      <c r="U1751" s="24"/>
      <c r="V1751" s="24"/>
      <c r="W1751" s="24"/>
      <c r="X1751" s="24"/>
      <c r="Y1751" s="24"/>
      <c r="Z1751" s="24"/>
      <c r="AA1751" s="24"/>
      <c r="AB1751" s="24"/>
      <c r="AC1751" s="24"/>
      <c r="AD1751" s="24"/>
      <c r="AE1751" s="24"/>
      <c r="AF1751" s="24"/>
      <c r="AG1751" s="24"/>
      <c r="AH1751" s="24"/>
      <c r="AI1751" s="24"/>
      <c r="AJ1751" s="24"/>
      <c r="AK1751" s="24"/>
      <c r="AL1751" s="24"/>
      <c r="AM1751" s="24"/>
      <c r="AN1751" s="24"/>
      <c r="AO1751" s="24"/>
      <c r="AP1751" s="24"/>
      <c r="AQ1751" s="24"/>
      <c r="AR1751" s="54"/>
    </row>
    <row r="1752">
      <c r="A1752" s="57"/>
      <c r="B1752" s="24"/>
      <c r="C1752" s="24"/>
      <c r="D1752" s="24"/>
      <c r="E1752" s="24"/>
      <c r="F1752" s="24"/>
      <c r="G1752" s="24"/>
      <c r="H1752" s="24"/>
      <c r="I1752" s="24"/>
      <c r="J1752" s="24"/>
      <c r="K1752" s="24"/>
      <c r="L1752" s="24"/>
      <c r="M1752" s="24"/>
      <c r="N1752" s="24"/>
      <c r="O1752" s="24"/>
      <c r="P1752" s="24"/>
      <c r="Q1752" s="24"/>
      <c r="R1752" s="24"/>
      <c r="S1752" s="24"/>
      <c r="T1752" s="24"/>
      <c r="U1752" s="24"/>
      <c r="V1752" s="24"/>
      <c r="W1752" s="24"/>
      <c r="X1752" s="24"/>
      <c r="Y1752" s="24"/>
      <c r="Z1752" s="24"/>
      <c r="AA1752" s="24"/>
      <c r="AB1752" s="24"/>
      <c r="AC1752" s="24"/>
      <c r="AD1752" s="24"/>
      <c r="AE1752" s="24"/>
      <c r="AF1752" s="24"/>
      <c r="AG1752" s="24"/>
      <c r="AH1752" s="24"/>
      <c r="AI1752" s="24"/>
      <c r="AJ1752" s="24"/>
      <c r="AK1752" s="24"/>
      <c r="AL1752" s="24"/>
      <c r="AM1752" s="24"/>
      <c r="AN1752" s="24"/>
      <c r="AO1752" s="24"/>
      <c r="AP1752" s="24"/>
      <c r="AQ1752" s="24"/>
      <c r="AR1752" s="54"/>
    </row>
    <row r="1753">
      <c r="A1753" s="57"/>
      <c r="B1753" s="24"/>
      <c r="C1753" s="24"/>
      <c r="D1753" s="24"/>
      <c r="E1753" s="24"/>
      <c r="F1753" s="24"/>
      <c r="G1753" s="24"/>
      <c r="H1753" s="24"/>
      <c r="I1753" s="24"/>
      <c r="J1753" s="24"/>
      <c r="K1753" s="24"/>
      <c r="L1753" s="24"/>
      <c r="M1753" s="24"/>
      <c r="N1753" s="24"/>
      <c r="O1753" s="24"/>
      <c r="P1753" s="24"/>
      <c r="Q1753" s="24"/>
      <c r="R1753" s="24"/>
      <c r="S1753" s="24"/>
      <c r="T1753" s="24"/>
      <c r="U1753" s="24"/>
      <c r="V1753" s="24"/>
      <c r="W1753" s="24"/>
      <c r="X1753" s="24"/>
      <c r="Y1753" s="24"/>
      <c r="Z1753" s="24"/>
      <c r="AA1753" s="24"/>
      <c r="AB1753" s="24"/>
      <c r="AC1753" s="24"/>
      <c r="AD1753" s="24"/>
      <c r="AE1753" s="24"/>
      <c r="AF1753" s="24"/>
      <c r="AG1753" s="24"/>
      <c r="AH1753" s="24"/>
      <c r="AI1753" s="24"/>
      <c r="AJ1753" s="24"/>
      <c r="AK1753" s="24"/>
      <c r="AL1753" s="24"/>
      <c r="AM1753" s="24"/>
      <c r="AN1753" s="24"/>
      <c r="AO1753" s="24"/>
      <c r="AP1753" s="24"/>
      <c r="AQ1753" s="24"/>
      <c r="AR1753" s="54"/>
    </row>
    <row r="1754">
      <c r="A1754" s="57"/>
      <c r="B1754" s="24"/>
      <c r="C1754" s="24"/>
      <c r="D1754" s="24"/>
      <c r="E1754" s="24"/>
      <c r="F1754" s="24"/>
      <c r="G1754" s="24"/>
      <c r="H1754" s="24"/>
      <c r="I1754" s="24"/>
      <c r="J1754" s="24"/>
      <c r="K1754" s="24"/>
      <c r="L1754" s="24"/>
      <c r="M1754" s="24"/>
      <c r="N1754" s="24"/>
      <c r="O1754" s="24"/>
      <c r="P1754" s="24"/>
      <c r="Q1754" s="24"/>
      <c r="R1754" s="24"/>
      <c r="S1754" s="24"/>
      <c r="T1754" s="24"/>
      <c r="U1754" s="24"/>
      <c r="V1754" s="24"/>
      <c r="W1754" s="24"/>
      <c r="X1754" s="24"/>
      <c r="Y1754" s="24"/>
      <c r="Z1754" s="24"/>
      <c r="AA1754" s="24"/>
      <c r="AB1754" s="24"/>
      <c r="AC1754" s="24"/>
      <c r="AD1754" s="24"/>
      <c r="AE1754" s="24"/>
      <c r="AF1754" s="24"/>
      <c r="AG1754" s="24"/>
      <c r="AH1754" s="24"/>
      <c r="AI1754" s="24"/>
      <c r="AJ1754" s="24"/>
      <c r="AK1754" s="24"/>
      <c r="AL1754" s="24"/>
      <c r="AM1754" s="24"/>
      <c r="AN1754" s="24"/>
      <c r="AO1754" s="24"/>
      <c r="AP1754" s="24"/>
      <c r="AQ1754" s="24"/>
      <c r="AR1754" s="54"/>
    </row>
    <row r="1755">
      <c r="A1755" s="57"/>
      <c r="B1755" s="24"/>
      <c r="C1755" s="24"/>
      <c r="D1755" s="24"/>
      <c r="E1755" s="24"/>
      <c r="F1755" s="24"/>
      <c r="G1755" s="24"/>
      <c r="H1755" s="24"/>
      <c r="I1755" s="24"/>
      <c r="J1755" s="24"/>
      <c r="K1755" s="24"/>
      <c r="L1755" s="24"/>
      <c r="M1755" s="24"/>
      <c r="N1755" s="24"/>
      <c r="O1755" s="24"/>
      <c r="P1755" s="24"/>
      <c r="Q1755" s="24"/>
      <c r="R1755" s="24"/>
      <c r="S1755" s="24"/>
      <c r="T1755" s="24"/>
      <c r="U1755" s="24"/>
      <c r="V1755" s="24"/>
      <c r="W1755" s="24"/>
      <c r="X1755" s="24"/>
      <c r="Y1755" s="24"/>
      <c r="Z1755" s="24"/>
      <c r="AA1755" s="24"/>
      <c r="AB1755" s="24"/>
      <c r="AC1755" s="24"/>
      <c r="AD1755" s="24"/>
      <c r="AE1755" s="24"/>
      <c r="AF1755" s="24"/>
      <c r="AG1755" s="24"/>
      <c r="AH1755" s="24"/>
      <c r="AI1755" s="24"/>
      <c r="AJ1755" s="24"/>
      <c r="AK1755" s="24"/>
      <c r="AL1755" s="24"/>
      <c r="AM1755" s="24"/>
      <c r="AN1755" s="24"/>
      <c r="AO1755" s="24"/>
      <c r="AP1755" s="24"/>
      <c r="AQ1755" s="24"/>
      <c r="AR1755" s="54"/>
    </row>
    <row r="1756">
      <c r="A1756" s="57"/>
      <c r="B1756" s="24"/>
      <c r="C1756" s="24"/>
      <c r="D1756" s="24"/>
      <c r="E1756" s="24"/>
      <c r="F1756" s="24"/>
      <c r="G1756" s="24"/>
      <c r="H1756" s="24"/>
      <c r="I1756" s="24"/>
      <c r="J1756" s="24"/>
      <c r="K1756" s="24"/>
      <c r="L1756" s="24"/>
      <c r="M1756" s="24"/>
      <c r="N1756" s="24"/>
      <c r="O1756" s="24"/>
      <c r="P1756" s="24"/>
      <c r="Q1756" s="24"/>
      <c r="R1756" s="24"/>
      <c r="S1756" s="24"/>
      <c r="T1756" s="24"/>
      <c r="U1756" s="24"/>
      <c r="V1756" s="24"/>
      <c r="W1756" s="24"/>
      <c r="X1756" s="24"/>
      <c r="Y1756" s="24"/>
      <c r="Z1756" s="24"/>
      <c r="AA1756" s="24"/>
      <c r="AB1756" s="24"/>
      <c r="AC1756" s="24"/>
      <c r="AD1756" s="24"/>
      <c r="AE1756" s="24"/>
      <c r="AF1756" s="24"/>
      <c r="AG1756" s="24"/>
      <c r="AH1756" s="24"/>
      <c r="AI1756" s="24"/>
      <c r="AJ1756" s="24"/>
      <c r="AK1756" s="24"/>
      <c r="AL1756" s="24"/>
      <c r="AM1756" s="24"/>
      <c r="AN1756" s="24"/>
      <c r="AO1756" s="24"/>
      <c r="AP1756" s="24"/>
      <c r="AQ1756" s="24"/>
      <c r="AR1756" s="54"/>
    </row>
    <row r="1757">
      <c r="A1757" s="57"/>
      <c r="B1757" s="24"/>
      <c r="C1757" s="24"/>
      <c r="D1757" s="24"/>
      <c r="E1757" s="24"/>
      <c r="F1757" s="24"/>
      <c r="G1757" s="24"/>
      <c r="H1757" s="24"/>
      <c r="I1757" s="24"/>
      <c r="J1757" s="24"/>
      <c r="K1757" s="24"/>
      <c r="L1757" s="24"/>
      <c r="M1757" s="24"/>
      <c r="N1757" s="24"/>
      <c r="O1757" s="24"/>
      <c r="P1757" s="24"/>
      <c r="Q1757" s="24"/>
      <c r="R1757" s="24"/>
      <c r="S1757" s="24"/>
      <c r="T1757" s="24"/>
      <c r="U1757" s="24"/>
      <c r="V1757" s="24"/>
      <c r="W1757" s="24"/>
      <c r="X1757" s="24"/>
      <c r="Y1757" s="24"/>
      <c r="Z1757" s="24"/>
      <c r="AA1757" s="24"/>
      <c r="AB1757" s="24"/>
      <c r="AC1757" s="24"/>
      <c r="AD1757" s="24"/>
      <c r="AE1757" s="24"/>
      <c r="AF1757" s="24"/>
      <c r="AG1757" s="24"/>
      <c r="AH1757" s="24"/>
      <c r="AI1757" s="24"/>
      <c r="AJ1757" s="24"/>
      <c r="AK1757" s="24"/>
      <c r="AL1757" s="24"/>
      <c r="AM1757" s="24"/>
      <c r="AN1757" s="24"/>
      <c r="AO1757" s="24"/>
      <c r="AP1757" s="24"/>
      <c r="AQ1757" s="24"/>
      <c r="AR1757" s="54"/>
    </row>
    <row r="1758">
      <c r="A1758" s="57"/>
      <c r="B1758" s="24"/>
      <c r="C1758" s="24"/>
      <c r="D1758" s="24"/>
      <c r="E1758" s="24"/>
      <c r="F1758" s="24"/>
      <c r="G1758" s="24"/>
      <c r="H1758" s="24"/>
      <c r="I1758" s="24"/>
      <c r="J1758" s="24"/>
      <c r="K1758" s="24"/>
      <c r="L1758" s="24"/>
      <c r="M1758" s="24"/>
      <c r="N1758" s="24"/>
      <c r="O1758" s="24"/>
      <c r="P1758" s="24"/>
      <c r="Q1758" s="24"/>
      <c r="R1758" s="24"/>
      <c r="S1758" s="24"/>
      <c r="T1758" s="24"/>
      <c r="U1758" s="24"/>
      <c r="V1758" s="24"/>
      <c r="W1758" s="24"/>
      <c r="X1758" s="24"/>
      <c r="Y1758" s="24"/>
      <c r="Z1758" s="24"/>
      <c r="AA1758" s="24"/>
      <c r="AB1758" s="24"/>
      <c r="AC1758" s="24"/>
      <c r="AD1758" s="24"/>
      <c r="AE1758" s="24"/>
      <c r="AF1758" s="24"/>
      <c r="AG1758" s="24"/>
      <c r="AH1758" s="24"/>
      <c r="AI1758" s="24"/>
      <c r="AJ1758" s="24"/>
      <c r="AK1758" s="24"/>
      <c r="AL1758" s="24"/>
      <c r="AM1758" s="24"/>
      <c r="AN1758" s="24"/>
      <c r="AO1758" s="24"/>
      <c r="AP1758" s="24"/>
      <c r="AQ1758" s="24"/>
      <c r="AR1758" s="54"/>
    </row>
    <row r="1759">
      <c r="A1759" s="57"/>
      <c r="B1759" s="24"/>
      <c r="C1759" s="24"/>
      <c r="D1759" s="24"/>
      <c r="E1759" s="24"/>
      <c r="F1759" s="24"/>
      <c r="G1759" s="24"/>
      <c r="H1759" s="24"/>
      <c r="I1759" s="24"/>
      <c r="J1759" s="24"/>
      <c r="K1759" s="24"/>
      <c r="L1759" s="24"/>
      <c r="M1759" s="24"/>
      <c r="N1759" s="24"/>
      <c r="O1759" s="24"/>
      <c r="P1759" s="24"/>
      <c r="Q1759" s="24"/>
      <c r="R1759" s="24"/>
      <c r="S1759" s="24"/>
      <c r="T1759" s="24"/>
      <c r="U1759" s="24"/>
      <c r="V1759" s="24"/>
      <c r="W1759" s="24"/>
      <c r="X1759" s="24"/>
      <c r="Y1759" s="24"/>
      <c r="Z1759" s="24"/>
      <c r="AA1759" s="24"/>
      <c r="AB1759" s="24"/>
      <c r="AC1759" s="24"/>
      <c r="AD1759" s="24"/>
      <c r="AE1759" s="24"/>
      <c r="AF1759" s="24"/>
      <c r="AG1759" s="24"/>
      <c r="AH1759" s="24"/>
      <c r="AI1759" s="24"/>
      <c r="AJ1759" s="24"/>
      <c r="AK1759" s="24"/>
      <c r="AL1759" s="24"/>
      <c r="AM1759" s="24"/>
      <c r="AN1759" s="24"/>
      <c r="AO1759" s="24"/>
      <c r="AP1759" s="24"/>
      <c r="AQ1759" s="24"/>
      <c r="AR1759" s="54"/>
    </row>
    <row r="1760">
      <c r="A1760" s="57"/>
      <c r="B1760" s="24"/>
      <c r="C1760" s="24"/>
      <c r="D1760" s="24"/>
      <c r="E1760" s="24"/>
      <c r="F1760" s="24"/>
      <c r="G1760" s="24"/>
      <c r="H1760" s="24"/>
      <c r="I1760" s="24"/>
      <c r="J1760" s="24"/>
      <c r="K1760" s="24"/>
      <c r="L1760" s="24"/>
      <c r="M1760" s="24"/>
      <c r="N1760" s="24"/>
      <c r="O1760" s="24"/>
      <c r="P1760" s="24"/>
      <c r="Q1760" s="24"/>
      <c r="R1760" s="24"/>
      <c r="S1760" s="24"/>
      <c r="T1760" s="24"/>
      <c r="U1760" s="24"/>
      <c r="V1760" s="24"/>
      <c r="W1760" s="24"/>
      <c r="X1760" s="24"/>
      <c r="Y1760" s="24"/>
      <c r="Z1760" s="24"/>
      <c r="AA1760" s="24"/>
      <c r="AB1760" s="24"/>
      <c r="AC1760" s="24"/>
      <c r="AD1760" s="24"/>
      <c r="AE1760" s="24"/>
      <c r="AF1760" s="24"/>
      <c r="AG1760" s="24"/>
      <c r="AH1760" s="24"/>
      <c r="AI1760" s="24"/>
      <c r="AJ1760" s="24"/>
      <c r="AK1760" s="24"/>
      <c r="AL1760" s="24"/>
      <c r="AM1760" s="24"/>
      <c r="AN1760" s="24"/>
      <c r="AO1760" s="24"/>
      <c r="AP1760" s="24"/>
      <c r="AQ1760" s="24"/>
      <c r="AR1760" s="54"/>
    </row>
    <row r="1761">
      <c r="A1761" s="57"/>
      <c r="B1761" s="24"/>
      <c r="C1761" s="24"/>
      <c r="D1761" s="24"/>
      <c r="E1761" s="24"/>
      <c r="F1761" s="24"/>
      <c r="G1761" s="24"/>
      <c r="H1761" s="24"/>
      <c r="I1761" s="24"/>
      <c r="J1761" s="24"/>
      <c r="K1761" s="24"/>
      <c r="L1761" s="24"/>
      <c r="M1761" s="24"/>
      <c r="N1761" s="24"/>
      <c r="O1761" s="24"/>
      <c r="P1761" s="24"/>
      <c r="Q1761" s="24"/>
      <c r="R1761" s="24"/>
      <c r="S1761" s="24"/>
      <c r="T1761" s="24"/>
      <c r="U1761" s="24"/>
      <c r="V1761" s="24"/>
      <c r="W1761" s="24"/>
      <c r="X1761" s="24"/>
      <c r="Y1761" s="24"/>
      <c r="Z1761" s="24"/>
      <c r="AA1761" s="24"/>
      <c r="AB1761" s="24"/>
      <c r="AC1761" s="24"/>
      <c r="AD1761" s="24"/>
      <c r="AE1761" s="24"/>
      <c r="AF1761" s="24"/>
      <c r="AG1761" s="24"/>
      <c r="AH1761" s="24"/>
      <c r="AI1761" s="24"/>
      <c r="AJ1761" s="24"/>
      <c r="AK1761" s="24"/>
      <c r="AL1761" s="24"/>
      <c r="AM1761" s="24"/>
      <c r="AN1761" s="24"/>
      <c r="AO1761" s="24"/>
      <c r="AP1761" s="24"/>
      <c r="AQ1761" s="24"/>
      <c r="AR1761" s="54"/>
    </row>
    <row r="1762">
      <c r="A1762" s="57"/>
      <c r="B1762" s="24"/>
      <c r="C1762" s="24"/>
      <c r="D1762" s="24"/>
      <c r="E1762" s="24"/>
      <c r="F1762" s="24"/>
      <c r="G1762" s="24"/>
      <c r="H1762" s="24"/>
      <c r="I1762" s="24"/>
      <c r="J1762" s="24"/>
      <c r="K1762" s="24"/>
      <c r="L1762" s="24"/>
      <c r="M1762" s="24"/>
      <c r="N1762" s="24"/>
      <c r="O1762" s="24"/>
      <c r="P1762" s="24"/>
      <c r="Q1762" s="24"/>
      <c r="R1762" s="24"/>
      <c r="S1762" s="24"/>
      <c r="T1762" s="24"/>
      <c r="U1762" s="24"/>
      <c r="V1762" s="24"/>
      <c r="W1762" s="24"/>
      <c r="X1762" s="24"/>
      <c r="Y1762" s="24"/>
      <c r="Z1762" s="24"/>
      <c r="AA1762" s="24"/>
      <c r="AB1762" s="24"/>
      <c r="AC1762" s="24"/>
      <c r="AD1762" s="24"/>
      <c r="AE1762" s="24"/>
      <c r="AF1762" s="24"/>
      <c r="AG1762" s="24"/>
      <c r="AH1762" s="24"/>
      <c r="AI1762" s="24"/>
      <c r="AJ1762" s="24"/>
      <c r="AK1762" s="24"/>
      <c r="AL1762" s="24"/>
      <c r="AM1762" s="24"/>
      <c r="AN1762" s="24"/>
      <c r="AO1762" s="24"/>
      <c r="AP1762" s="24"/>
      <c r="AQ1762" s="24"/>
      <c r="AR1762" s="54"/>
    </row>
    <row r="1763">
      <c r="A1763" s="57"/>
      <c r="B1763" s="24"/>
      <c r="C1763" s="24"/>
      <c r="D1763" s="24"/>
      <c r="E1763" s="24"/>
      <c r="F1763" s="24"/>
      <c r="G1763" s="24"/>
      <c r="H1763" s="24"/>
      <c r="I1763" s="24"/>
      <c r="J1763" s="24"/>
      <c r="K1763" s="24"/>
      <c r="L1763" s="24"/>
      <c r="M1763" s="24"/>
      <c r="N1763" s="24"/>
      <c r="O1763" s="24"/>
      <c r="P1763" s="24"/>
      <c r="Q1763" s="24"/>
      <c r="R1763" s="24"/>
      <c r="S1763" s="24"/>
      <c r="T1763" s="24"/>
      <c r="U1763" s="24"/>
      <c r="V1763" s="24"/>
      <c r="W1763" s="24"/>
      <c r="X1763" s="24"/>
      <c r="Y1763" s="24"/>
      <c r="Z1763" s="24"/>
      <c r="AA1763" s="24"/>
      <c r="AB1763" s="24"/>
      <c r="AC1763" s="24"/>
      <c r="AD1763" s="24"/>
      <c r="AE1763" s="24"/>
      <c r="AF1763" s="24"/>
      <c r="AG1763" s="24"/>
      <c r="AH1763" s="24"/>
      <c r="AI1763" s="24"/>
      <c r="AJ1763" s="24"/>
      <c r="AK1763" s="24"/>
      <c r="AL1763" s="24"/>
      <c r="AM1763" s="24"/>
      <c r="AN1763" s="24"/>
      <c r="AO1763" s="24"/>
      <c r="AP1763" s="24"/>
      <c r="AQ1763" s="24"/>
      <c r="AR1763" s="54"/>
    </row>
    <row r="1764">
      <c r="A1764" s="57"/>
      <c r="B1764" s="24"/>
      <c r="C1764" s="24"/>
      <c r="D1764" s="24"/>
      <c r="E1764" s="24"/>
      <c r="F1764" s="24"/>
      <c r="G1764" s="24"/>
      <c r="H1764" s="24"/>
      <c r="I1764" s="24"/>
      <c r="J1764" s="24"/>
      <c r="K1764" s="24"/>
      <c r="L1764" s="24"/>
      <c r="M1764" s="24"/>
      <c r="N1764" s="24"/>
      <c r="O1764" s="24"/>
      <c r="P1764" s="24"/>
      <c r="Q1764" s="24"/>
      <c r="R1764" s="24"/>
      <c r="S1764" s="24"/>
      <c r="T1764" s="24"/>
      <c r="U1764" s="24"/>
      <c r="V1764" s="24"/>
      <c r="W1764" s="24"/>
      <c r="X1764" s="24"/>
      <c r="Y1764" s="24"/>
      <c r="Z1764" s="24"/>
      <c r="AA1764" s="24"/>
      <c r="AB1764" s="24"/>
      <c r="AC1764" s="24"/>
      <c r="AD1764" s="24"/>
      <c r="AE1764" s="24"/>
      <c r="AF1764" s="24"/>
      <c r="AG1764" s="24"/>
      <c r="AH1764" s="24"/>
      <c r="AI1764" s="24"/>
      <c r="AJ1764" s="24"/>
      <c r="AK1764" s="24"/>
      <c r="AL1764" s="24"/>
      <c r="AM1764" s="24"/>
      <c r="AN1764" s="24"/>
      <c r="AO1764" s="24"/>
      <c r="AP1764" s="24"/>
      <c r="AQ1764" s="24"/>
      <c r="AR1764" s="54"/>
    </row>
    <row r="1765">
      <c r="A1765" s="57"/>
      <c r="B1765" s="24"/>
      <c r="C1765" s="24"/>
      <c r="D1765" s="24"/>
      <c r="E1765" s="24"/>
      <c r="F1765" s="24"/>
      <c r="G1765" s="24"/>
      <c r="H1765" s="24"/>
      <c r="I1765" s="24"/>
      <c r="J1765" s="24"/>
      <c r="K1765" s="24"/>
      <c r="L1765" s="24"/>
      <c r="M1765" s="24"/>
      <c r="N1765" s="24"/>
      <c r="O1765" s="24"/>
      <c r="P1765" s="24"/>
      <c r="Q1765" s="24"/>
      <c r="R1765" s="24"/>
      <c r="S1765" s="24"/>
      <c r="T1765" s="24"/>
      <c r="U1765" s="24"/>
      <c r="V1765" s="24"/>
      <c r="W1765" s="24"/>
      <c r="X1765" s="24"/>
      <c r="Y1765" s="24"/>
      <c r="Z1765" s="24"/>
      <c r="AA1765" s="24"/>
      <c r="AB1765" s="24"/>
      <c r="AC1765" s="24"/>
      <c r="AD1765" s="24"/>
      <c r="AE1765" s="24"/>
      <c r="AF1765" s="24"/>
      <c r="AG1765" s="24"/>
      <c r="AH1765" s="24"/>
      <c r="AI1765" s="24"/>
      <c r="AJ1765" s="24"/>
      <c r="AK1765" s="24"/>
      <c r="AL1765" s="24"/>
      <c r="AM1765" s="24"/>
      <c r="AN1765" s="24"/>
      <c r="AO1765" s="24"/>
      <c r="AP1765" s="24"/>
      <c r="AQ1765" s="24"/>
      <c r="AR1765" s="54"/>
    </row>
    <row r="1766">
      <c r="A1766" s="57"/>
      <c r="B1766" s="24"/>
      <c r="C1766" s="24"/>
      <c r="D1766" s="24"/>
      <c r="E1766" s="24"/>
      <c r="F1766" s="24"/>
      <c r="G1766" s="24"/>
      <c r="H1766" s="24"/>
      <c r="I1766" s="24"/>
      <c r="J1766" s="24"/>
      <c r="K1766" s="24"/>
      <c r="L1766" s="24"/>
      <c r="M1766" s="24"/>
      <c r="N1766" s="24"/>
      <c r="O1766" s="24"/>
      <c r="P1766" s="24"/>
      <c r="Q1766" s="24"/>
      <c r="R1766" s="24"/>
      <c r="S1766" s="24"/>
      <c r="T1766" s="24"/>
      <c r="U1766" s="24"/>
      <c r="V1766" s="24"/>
      <c r="W1766" s="24"/>
      <c r="X1766" s="24"/>
      <c r="Y1766" s="24"/>
      <c r="Z1766" s="24"/>
      <c r="AA1766" s="24"/>
      <c r="AB1766" s="24"/>
      <c r="AC1766" s="24"/>
      <c r="AD1766" s="24"/>
      <c r="AE1766" s="24"/>
      <c r="AF1766" s="24"/>
      <c r="AG1766" s="24"/>
      <c r="AH1766" s="24"/>
      <c r="AI1766" s="24"/>
      <c r="AJ1766" s="24"/>
      <c r="AK1766" s="24"/>
      <c r="AL1766" s="24"/>
      <c r="AM1766" s="24"/>
      <c r="AN1766" s="24"/>
      <c r="AO1766" s="24"/>
      <c r="AP1766" s="24"/>
      <c r="AQ1766" s="24"/>
      <c r="AR1766" s="54"/>
    </row>
    <row r="1767">
      <c r="A1767" s="57"/>
      <c r="B1767" s="24"/>
      <c r="C1767" s="24"/>
      <c r="D1767" s="24"/>
      <c r="E1767" s="24"/>
      <c r="F1767" s="24"/>
      <c r="G1767" s="24"/>
      <c r="H1767" s="24"/>
      <c r="I1767" s="24"/>
      <c r="J1767" s="24"/>
      <c r="K1767" s="24"/>
      <c r="L1767" s="24"/>
      <c r="M1767" s="24"/>
      <c r="N1767" s="24"/>
      <c r="O1767" s="24"/>
      <c r="P1767" s="24"/>
      <c r="Q1767" s="24"/>
      <c r="R1767" s="24"/>
      <c r="S1767" s="24"/>
      <c r="T1767" s="24"/>
      <c r="U1767" s="24"/>
      <c r="V1767" s="24"/>
      <c r="W1767" s="24"/>
      <c r="X1767" s="24"/>
      <c r="Y1767" s="24"/>
      <c r="Z1767" s="24"/>
      <c r="AA1767" s="24"/>
      <c r="AB1767" s="24"/>
      <c r="AC1767" s="24"/>
      <c r="AD1767" s="24"/>
      <c r="AE1767" s="24"/>
      <c r="AF1767" s="24"/>
      <c r="AG1767" s="24"/>
      <c r="AH1767" s="24"/>
      <c r="AI1767" s="24"/>
      <c r="AJ1767" s="24"/>
      <c r="AK1767" s="24"/>
      <c r="AL1767" s="24"/>
      <c r="AM1767" s="24"/>
      <c r="AN1767" s="24"/>
      <c r="AO1767" s="24"/>
      <c r="AP1767" s="24"/>
      <c r="AQ1767" s="24"/>
      <c r="AR1767" s="54"/>
    </row>
    <row r="1768">
      <c r="A1768" s="57"/>
      <c r="B1768" s="24"/>
      <c r="C1768" s="24"/>
      <c r="D1768" s="24"/>
      <c r="E1768" s="24"/>
      <c r="F1768" s="24"/>
      <c r="G1768" s="24"/>
      <c r="H1768" s="24"/>
      <c r="I1768" s="24"/>
      <c r="J1768" s="24"/>
      <c r="K1768" s="24"/>
      <c r="L1768" s="24"/>
      <c r="M1768" s="24"/>
      <c r="N1768" s="24"/>
      <c r="O1768" s="24"/>
      <c r="P1768" s="24"/>
      <c r="Q1768" s="24"/>
      <c r="R1768" s="24"/>
      <c r="S1768" s="24"/>
      <c r="T1768" s="24"/>
      <c r="U1768" s="24"/>
      <c r="V1768" s="24"/>
      <c r="W1768" s="24"/>
      <c r="X1768" s="24"/>
      <c r="Y1768" s="24"/>
      <c r="Z1768" s="24"/>
      <c r="AA1768" s="24"/>
      <c r="AB1768" s="24"/>
      <c r="AC1768" s="24"/>
      <c r="AD1768" s="24"/>
      <c r="AE1768" s="24"/>
      <c r="AF1768" s="24"/>
      <c r="AG1768" s="24"/>
      <c r="AH1768" s="24"/>
      <c r="AI1768" s="24"/>
      <c r="AJ1768" s="24"/>
      <c r="AK1768" s="24"/>
      <c r="AL1768" s="24"/>
      <c r="AM1768" s="24"/>
      <c r="AN1768" s="24"/>
      <c r="AO1768" s="24"/>
      <c r="AP1768" s="24"/>
      <c r="AQ1768" s="24"/>
      <c r="AR1768" s="54"/>
    </row>
    <row r="1769">
      <c r="A1769" s="57"/>
      <c r="B1769" s="24"/>
      <c r="C1769" s="24"/>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c r="AA1769" s="24"/>
      <c r="AB1769" s="24"/>
      <c r="AC1769" s="24"/>
      <c r="AD1769" s="24"/>
      <c r="AE1769" s="24"/>
      <c r="AF1769" s="24"/>
      <c r="AG1769" s="24"/>
      <c r="AH1769" s="24"/>
      <c r="AI1769" s="24"/>
      <c r="AJ1769" s="24"/>
      <c r="AK1769" s="24"/>
      <c r="AL1769" s="24"/>
      <c r="AM1769" s="24"/>
      <c r="AN1769" s="24"/>
      <c r="AO1769" s="24"/>
      <c r="AP1769" s="24"/>
      <c r="AQ1769" s="24"/>
      <c r="AR1769" s="54"/>
    </row>
    <row r="1770">
      <c r="A1770" s="57"/>
      <c r="B1770" s="24"/>
      <c r="C1770" s="24"/>
      <c r="D1770" s="24"/>
      <c r="E1770" s="24"/>
      <c r="F1770" s="24"/>
      <c r="G1770" s="24"/>
      <c r="H1770" s="24"/>
      <c r="I1770" s="24"/>
      <c r="J1770" s="24"/>
      <c r="K1770" s="24"/>
      <c r="L1770" s="24"/>
      <c r="M1770" s="24"/>
      <c r="N1770" s="24"/>
      <c r="O1770" s="24"/>
      <c r="P1770" s="24"/>
      <c r="Q1770" s="24"/>
      <c r="R1770" s="24"/>
      <c r="S1770" s="24"/>
      <c r="T1770" s="24"/>
      <c r="U1770" s="24"/>
      <c r="V1770" s="24"/>
      <c r="W1770" s="24"/>
      <c r="X1770" s="24"/>
      <c r="Y1770" s="24"/>
      <c r="Z1770" s="24"/>
      <c r="AA1770" s="24"/>
      <c r="AB1770" s="24"/>
      <c r="AC1770" s="24"/>
      <c r="AD1770" s="24"/>
      <c r="AE1770" s="24"/>
      <c r="AF1770" s="24"/>
      <c r="AG1770" s="24"/>
      <c r="AH1770" s="24"/>
      <c r="AI1770" s="24"/>
      <c r="AJ1770" s="24"/>
      <c r="AK1770" s="24"/>
      <c r="AL1770" s="24"/>
      <c r="AM1770" s="24"/>
      <c r="AN1770" s="24"/>
      <c r="AO1770" s="24"/>
      <c r="AP1770" s="24"/>
      <c r="AQ1770" s="24"/>
      <c r="AR1770" s="54"/>
    </row>
    <row r="1771">
      <c r="A1771" s="57"/>
      <c r="B1771" s="24"/>
      <c r="C1771" s="24"/>
      <c r="D1771" s="24"/>
      <c r="E1771" s="24"/>
      <c r="F1771" s="24"/>
      <c r="G1771" s="24"/>
      <c r="H1771" s="24"/>
      <c r="I1771" s="24"/>
      <c r="J1771" s="24"/>
      <c r="K1771" s="24"/>
      <c r="L1771" s="24"/>
      <c r="M1771" s="24"/>
      <c r="N1771" s="24"/>
      <c r="O1771" s="24"/>
      <c r="P1771" s="24"/>
      <c r="Q1771" s="24"/>
      <c r="R1771" s="24"/>
      <c r="S1771" s="24"/>
      <c r="T1771" s="24"/>
      <c r="U1771" s="24"/>
      <c r="V1771" s="24"/>
      <c r="W1771" s="24"/>
      <c r="X1771" s="24"/>
      <c r="Y1771" s="24"/>
      <c r="Z1771" s="24"/>
      <c r="AA1771" s="24"/>
      <c r="AB1771" s="24"/>
      <c r="AC1771" s="24"/>
      <c r="AD1771" s="24"/>
      <c r="AE1771" s="24"/>
      <c r="AF1771" s="24"/>
      <c r="AG1771" s="24"/>
      <c r="AH1771" s="24"/>
      <c r="AI1771" s="24"/>
      <c r="AJ1771" s="24"/>
      <c r="AK1771" s="24"/>
      <c r="AL1771" s="24"/>
      <c r="AM1771" s="24"/>
      <c r="AN1771" s="24"/>
      <c r="AO1771" s="24"/>
      <c r="AP1771" s="24"/>
      <c r="AQ1771" s="24"/>
      <c r="AR1771" s="54"/>
    </row>
    <row r="1772">
      <c r="A1772" s="57"/>
      <c r="B1772" s="24"/>
      <c r="C1772" s="24"/>
      <c r="D1772" s="24"/>
      <c r="E1772" s="24"/>
      <c r="F1772" s="24"/>
      <c r="G1772" s="24"/>
      <c r="H1772" s="24"/>
      <c r="I1772" s="24"/>
      <c r="J1772" s="24"/>
      <c r="K1772" s="24"/>
      <c r="L1772" s="24"/>
      <c r="M1772" s="24"/>
      <c r="N1772" s="24"/>
      <c r="O1772" s="24"/>
      <c r="P1772" s="24"/>
      <c r="Q1772" s="24"/>
      <c r="R1772" s="24"/>
      <c r="S1772" s="24"/>
      <c r="T1772" s="24"/>
      <c r="U1772" s="24"/>
      <c r="V1772" s="24"/>
      <c r="W1772" s="24"/>
      <c r="X1772" s="24"/>
      <c r="Y1772" s="24"/>
      <c r="Z1772" s="24"/>
      <c r="AA1772" s="24"/>
      <c r="AB1772" s="24"/>
      <c r="AC1772" s="24"/>
      <c r="AD1772" s="24"/>
      <c r="AE1772" s="24"/>
      <c r="AF1772" s="24"/>
      <c r="AG1772" s="24"/>
      <c r="AH1772" s="24"/>
      <c r="AI1772" s="24"/>
      <c r="AJ1772" s="24"/>
      <c r="AK1772" s="24"/>
      <c r="AL1772" s="24"/>
      <c r="AM1772" s="24"/>
      <c r="AN1772" s="24"/>
      <c r="AO1772" s="24"/>
      <c r="AP1772" s="24"/>
      <c r="AQ1772" s="24"/>
      <c r="AR1772" s="54"/>
    </row>
    <row r="1773">
      <c r="A1773" s="57"/>
      <c r="B1773" s="24"/>
      <c r="C1773" s="24"/>
      <c r="D1773" s="24"/>
      <c r="E1773" s="24"/>
      <c r="F1773" s="24"/>
      <c r="G1773" s="24"/>
      <c r="H1773" s="24"/>
      <c r="I1773" s="24"/>
      <c r="J1773" s="24"/>
      <c r="K1773" s="24"/>
      <c r="L1773" s="24"/>
      <c r="M1773" s="24"/>
      <c r="N1773" s="24"/>
      <c r="O1773" s="24"/>
      <c r="P1773" s="24"/>
      <c r="Q1773" s="24"/>
      <c r="R1773" s="24"/>
      <c r="S1773" s="24"/>
      <c r="T1773" s="24"/>
      <c r="U1773" s="24"/>
      <c r="V1773" s="24"/>
      <c r="W1773" s="24"/>
      <c r="X1773" s="24"/>
      <c r="Y1773" s="24"/>
      <c r="Z1773" s="24"/>
      <c r="AA1773" s="24"/>
      <c r="AB1773" s="24"/>
      <c r="AC1773" s="24"/>
      <c r="AD1773" s="24"/>
      <c r="AE1773" s="24"/>
      <c r="AF1773" s="24"/>
      <c r="AG1773" s="24"/>
      <c r="AH1773" s="24"/>
      <c r="AI1773" s="24"/>
      <c r="AJ1773" s="24"/>
      <c r="AK1773" s="24"/>
      <c r="AL1773" s="24"/>
      <c r="AM1773" s="24"/>
      <c r="AN1773" s="24"/>
      <c r="AO1773" s="24"/>
      <c r="AP1773" s="24"/>
      <c r="AQ1773" s="24"/>
      <c r="AR1773" s="54"/>
    </row>
    <row r="1774">
      <c r="A1774" s="57"/>
      <c r="B1774" s="24"/>
      <c r="C1774" s="24"/>
      <c r="D1774" s="24"/>
      <c r="E1774" s="24"/>
      <c r="F1774" s="24"/>
      <c r="G1774" s="24"/>
      <c r="H1774" s="24"/>
      <c r="I1774" s="24"/>
      <c r="J1774" s="24"/>
      <c r="K1774" s="24"/>
      <c r="L1774" s="24"/>
      <c r="M1774" s="24"/>
      <c r="N1774" s="24"/>
      <c r="O1774" s="24"/>
      <c r="P1774" s="24"/>
      <c r="Q1774" s="24"/>
      <c r="R1774" s="24"/>
      <c r="S1774" s="24"/>
      <c r="T1774" s="24"/>
      <c r="U1774" s="24"/>
      <c r="V1774" s="24"/>
      <c r="W1774" s="24"/>
      <c r="X1774" s="24"/>
      <c r="Y1774" s="24"/>
      <c r="Z1774" s="24"/>
      <c r="AA1774" s="24"/>
      <c r="AB1774" s="24"/>
      <c r="AC1774" s="24"/>
      <c r="AD1774" s="24"/>
      <c r="AE1774" s="24"/>
      <c r="AF1774" s="24"/>
      <c r="AG1774" s="24"/>
      <c r="AH1774" s="24"/>
      <c r="AI1774" s="24"/>
      <c r="AJ1774" s="24"/>
      <c r="AK1774" s="24"/>
      <c r="AL1774" s="24"/>
      <c r="AM1774" s="24"/>
      <c r="AN1774" s="24"/>
      <c r="AO1774" s="24"/>
      <c r="AP1774" s="24"/>
      <c r="AQ1774" s="24"/>
      <c r="AR1774" s="54"/>
    </row>
    <row r="1775">
      <c r="A1775" s="57"/>
      <c r="B1775" s="24"/>
      <c r="C1775" s="24"/>
      <c r="D1775" s="24"/>
      <c r="E1775" s="24"/>
      <c r="F1775" s="24"/>
      <c r="G1775" s="24"/>
      <c r="H1775" s="24"/>
      <c r="I1775" s="24"/>
      <c r="J1775" s="24"/>
      <c r="K1775" s="24"/>
      <c r="L1775" s="24"/>
      <c r="M1775" s="24"/>
      <c r="N1775" s="24"/>
      <c r="O1775" s="24"/>
      <c r="P1775" s="24"/>
      <c r="Q1775" s="24"/>
      <c r="R1775" s="24"/>
      <c r="S1775" s="24"/>
      <c r="T1775" s="24"/>
      <c r="U1775" s="24"/>
      <c r="V1775" s="24"/>
      <c r="W1775" s="24"/>
      <c r="X1775" s="24"/>
      <c r="Y1775" s="24"/>
      <c r="Z1775" s="24"/>
      <c r="AA1775" s="24"/>
      <c r="AB1775" s="24"/>
      <c r="AC1775" s="24"/>
      <c r="AD1775" s="24"/>
      <c r="AE1775" s="24"/>
      <c r="AF1775" s="24"/>
      <c r="AG1775" s="24"/>
      <c r="AH1775" s="24"/>
      <c r="AI1775" s="24"/>
      <c r="AJ1775" s="24"/>
      <c r="AK1775" s="24"/>
      <c r="AL1775" s="24"/>
      <c r="AM1775" s="24"/>
      <c r="AN1775" s="24"/>
      <c r="AO1775" s="24"/>
      <c r="AP1775" s="24"/>
      <c r="AQ1775" s="24"/>
      <c r="AR1775" s="54"/>
    </row>
    <row r="1776">
      <c r="A1776" s="57"/>
      <c r="B1776" s="24"/>
      <c r="C1776" s="24"/>
      <c r="D1776" s="24"/>
      <c r="E1776" s="24"/>
      <c r="F1776" s="24"/>
      <c r="G1776" s="24"/>
      <c r="H1776" s="24"/>
      <c r="I1776" s="24"/>
      <c r="J1776" s="24"/>
      <c r="K1776" s="24"/>
      <c r="L1776" s="24"/>
      <c r="M1776" s="24"/>
      <c r="N1776" s="24"/>
      <c r="O1776" s="24"/>
      <c r="P1776" s="24"/>
      <c r="Q1776" s="24"/>
      <c r="R1776" s="24"/>
      <c r="S1776" s="24"/>
      <c r="T1776" s="24"/>
      <c r="U1776" s="24"/>
      <c r="V1776" s="24"/>
      <c r="W1776" s="24"/>
      <c r="X1776" s="24"/>
      <c r="Y1776" s="24"/>
      <c r="Z1776" s="24"/>
      <c r="AA1776" s="24"/>
      <c r="AB1776" s="24"/>
      <c r="AC1776" s="24"/>
      <c r="AD1776" s="24"/>
      <c r="AE1776" s="24"/>
      <c r="AF1776" s="24"/>
      <c r="AG1776" s="24"/>
      <c r="AH1776" s="24"/>
      <c r="AI1776" s="24"/>
      <c r="AJ1776" s="24"/>
      <c r="AK1776" s="24"/>
      <c r="AL1776" s="24"/>
      <c r="AM1776" s="24"/>
      <c r="AN1776" s="24"/>
      <c r="AO1776" s="24"/>
      <c r="AP1776" s="24"/>
      <c r="AQ1776" s="24"/>
      <c r="AR1776" s="54"/>
    </row>
    <row r="1777">
      <c r="A1777" s="57"/>
      <c r="B1777" s="24"/>
      <c r="C1777" s="24"/>
      <c r="D1777" s="24"/>
      <c r="E1777" s="24"/>
      <c r="F1777" s="24"/>
      <c r="G1777" s="24"/>
      <c r="H1777" s="24"/>
      <c r="I1777" s="24"/>
      <c r="J1777" s="24"/>
      <c r="K1777" s="24"/>
      <c r="L1777" s="24"/>
      <c r="M1777" s="24"/>
      <c r="N1777" s="24"/>
      <c r="O1777" s="24"/>
      <c r="P1777" s="24"/>
      <c r="Q1777" s="24"/>
      <c r="R1777" s="24"/>
      <c r="S1777" s="24"/>
      <c r="T1777" s="24"/>
      <c r="U1777" s="24"/>
      <c r="V1777" s="24"/>
      <c r="W1777" s="24"/>
      <c r="X1777" s="24"/>
      <c r="Y1777" s="24"/>
      <c r="Z1777" s="24"/>
      <c r="AA1777" s="24"/>
      <c r="AB1777" s="24"/>
      <c r="AC1777" s="24"/>
      <c r="AD1777" s="24"/>
      <c r="AE1777" s="24"/>
      <c r="AF1777" s="24"/>
      <c r="AG1777" s="24"/>
      <c r="AH1777" s="24"/>
      <c r="AI1777" s="24"/>
      <c r="AJ1777" s="24"/>
      <c r="AK1777" s="24"/>
      <c r="AL1777" s="24"/>
      <c r="AM1777" s="24"/>
      <c r="AN1777" s="24"/>
      <c r="AO1777" s="24"/>
      <c r="AP1777" s="24"/>
      <c r="AQ1777" s="24"/>
      <c r="AR1777" s="54"/>
    </row>
    <row r="1778">
      <c r="A1778" s="57"/>
      <c r="B1778" s="24"/>
      <c r="C1778" s="24"/>
      <c r="D1778" s="24"/>
      <c r="E1778" s="24"/>
      <c r="F1778" s="24"/>
      <c r="G1778" s="24"/>
      <c r="H1778" s="24"/>
      <c r="I1778" s="24"/>
      <c r="J1778" s="24"/>
      <c r="K1778" s="24"/>
      <c r="L1778" s="24"/>
      <c r="M1778" s="24"/>
      <c r="N1778" s="24"/>
      <c r="O1778" s="24"/>
      <c r="P1778" s="24"/>
      <c r="Q1778" s="24"/>
      <c r="R1778" s="24"/>
      <c r="S1778" s="24"/>
      <c r="T1778" s="24"/>
      <c r="U1778" s="24"/>
      <c r="V1778" s="24"/>
      <c r="W1778" s="24"/>
      <c r="X1778" s="24"/>
      <c r="Y1778" s="24"/>
      <c r="Z1778" s="24"/>
      <c r="AA1778" s="24"/>
      <c r="AB1778" s="24"/>
      <c r="AC1778" s="24"/>
      <c r="AD1778" s="24"/>
      <c r="AE1778" s="24"/>
      <c r="AF1778" s="24"/>
      <c r="AG1778" s="24"/>
      <c r="AH1778" s="24"/>
      <c r="AI1778" s="24"/>
      <c r="AJ1778" s="24"/>
      <c r="AK1778" s="24"/>
      <c r="AL1778" s="24"/>
      <c r="AM1778" s="24"/>
      <c r="AN1778" s="24"/>
      <c r="AO1778" s="24"/>
      <c r="AP1778" s="24"/>
      <c r="AQ1778" s="24"/>
      <c r="AR1778" s="54"/>
    </row>
    <row r="1779">
      <c r="A1779" s="57"/>
      <c r="B1779" s="24"/>
      <c r="C1779" s="24"/>
      <c r="D1779" s="24"/>
      <c r="E1779" s="24"/>
      <c r="F1779" s="24"/>
      <c r="G1779" s="24"/>
      <c r="H1779" s="24"/>
      <c r="I1779" s="24"/>
      <c r="J1779" s="24"/>
      <c r="K1779" s="24"/>
      <c r="L1779" s="24"/>
      <c r="M1779" s="24"/>
      <c r="N1779" s="24"/>
      <c r="O1779" s="24"/>
      <c r="P1779" s="24"/>
      <c r="Q1779" s="24"/>
      <c r="R1779" s="24"/>
      <c r="S1779" s="24"/>
      <c r="T1779" s="24"/>
      <c r="U1779" s="24"/>
      <c r="V1779" s="24"/>
      <c r="W1779" s="24"/>
      <c r="X1779" s="24"/>
      <c r="Y1779" s="24"/>
      <c r="Z1779" s="24"/>
      <c r="AA1779" s="24"/>
      <c r="AB1779" s="24"/>
      <c r="AC1779" s="24"/>
      <c r="AD1779" s="24"/>
      <c r="AE1779" s="24"/>
      <c r="AF1779" s="24"/>
      <c r="AG1779" s="24"/>
      <c r="AH1779" s="24"/>
      <c r="AI1779" s="24"/>
      <c r="AJ1779" s="24"/>
      <c r="AK1779" s="24"/>
      <c r="AL1779" s="24"/>
      <c r="AM1779" s="24"/>
      <c r="AN1779" s="24"/>
      <c r="AO1779" s="24"/>
      <c r="AP1779" s="24"/>
      <c r="AQ1779" s="24"/>
      <c r="AR1779" s="54"/>
    </row>
    <row r="1780">
      <c r="A1780" s="57"/>
      <c r="B1780" s="24"/>
      <c r="C1780" s="24"/>
      <c r="D1780" s="24"/>
      <c r="E1780" s="24"/>
      <c r="F1780" s="24"/>
      <c r="G1780" s="24"/>
      <c r="H1780" s="24"/>
      <c r="I1780" s="24"/>
      <c r="J1780" s="24"/>
      <c r="K1780" s="24"/>
      <c r="L1780" s="24"/>
      <c r="M1780" s="24"/>
      <c r="N1780" s="24"/>
      <c r="O1780" s="24"/>
      <c r="P1780" s="24"/>
      <c r="Q1780" s="24"/>
      <c r="R1780" s="24"/>
      <c r="S1780" s="24"/>
      <c r="T1780" s="24"/>
      <c r="U1780" s="24"/>
      <c r="V1780" s="24"/>
      <c r="W1780" s="24"/>
      <c r="X1780" s="24"/>
      <c r="Y1780" s="24"/>
      <c r="Z1780" s="24"/>
      <c r="AA1780" s="24"/>
      <c r="AB1780" s="24"/>
      <c r="AC1780" s="24"/>
      <c r="AD1780" s="24"/>
      <c r="AE1780" s="24"/>
      <c r="AF1780" s="24"/>
      <c r="AG1780" s="24"/>
      <c r="AH1780" s="24"/>
      <c r="AI1780" s="24"/>
      <c r="AJ1780" s="24"/>
      <c r="AK1780" s="24"/>
      <c r="AL1780" s="24"/>
      <c r="AM1780" s="24"/>
      <c r="AN1780" s="24"/>
      <c r="AO1780" s="24"/>
      <c r="AP1780" s="24"/>
      <c r="AQ1780" s="24"/>
      <c r="AR1780" s="54"/>
    </row>
    <row r="1781">
      <c r="A1781" s="57"/>
      <c r="B1781" s="24"/>
      <c r="C1781" s="24"/>
      <c r="D1781" s="24"/>
      <c r="E1781" s="24"/>
      <c r="F1781" s="24"/>
      <c r="G1781" s="24"/>
      <c r="H1781" s="24"/>
      <c r="I1781" s="24"/>
      <c r="J1781" s="24"/>
      <c r="K1781" s="24"/>
      <c r="L1781" s="24"/>
      <c r="M1781" s="24"/>
      <c r="N1781" s="24"/>
      <c r="O1781" s="24"/>
      <c r="P1781" s="24"/>
      <c r="Q1781" s="24"/>
      <c r="R1781" s="24"/>
      <c r="S1781" s="24"/>
      <c r="T1781" s="24"/>
      <c r="U1781" s="24"/>
      <c r="V1781" s="24"/>
      <c r="W1781" s="24"/>
      <c r="X1781" s="24"/>
      <c r="Y1781" s="24"/>
      <c r="Z1781" s="24"/>
      <c r="AA1781" s="24"/>
      <c r="AB1781" s="24"/>
      <c r="AC1781" s="24"/>
      <c r="AD1781" s="24"/>
      <c r="AE1781" s="24"/>
      <c r="AF1781" s="24"/>
      <c r="AG1781" s="24"/>
      <c r="AH1781" s="24"/>
      <c r="AI1781" s="24"/>
      <c r="AJ1781" s="24"/>
      <c r="AK1781" s="24"/>
      <c r="AL1781" s="24"/>
      <c r="AM1781" s="24"/>
      <c r="AN1781" s="24"/>
      <c r="AO1781" s="24"/>
      <c r="AP1781" s="24"/>
      <c r="AQ1781" s="24"/>
      <c r="AR1781" s="54"/>
    </row>
    <row r="1782">
      <c r="A1782" s="57"/>
      <c r="B1782" s="24"/>
      <c r="C1782" s="24"/>
      <c r="D1782" s="24"/>
      <c r="E1782" s="24"/>
      <c r="F1782" s="24"/>
      <c r="G1782" s="24"/>
      <c r="H1782" s="24"/>
      <c r="I1782" s="24"/>
      <c r="J1782" s="24"/>
      <c r="K1782" s="24"/>
      <c r="L1782" s="24"/>
      <c r="M1782" s="24"/>
      <c r="N1782" s="24"/>
      <c r="O1782" s="24"/>
      <c r="P1782" s="24"/>
      <c r="Q1782" s="24"/>
      <c r="R1782" s="24"/>
      <c r="S1782" s="24"/>
      <c r="T1782" s="24"/>
      <c r="U1782" s="24"/>
      <c r="V1782" s="24"/>
      <c r="W1782" s="24"/>
      <c r="X1782" s="24"/>
      <c r="Y1782" s="24"/>
      <c r="Z1782" s="24"/>
      <c r="AA1782" s="24"/>
      <c r="AB1782" s="24"/>
      <c r="AC1782" s="24"/>
      <c r="AD1782" s="24"/>
      <c r="AE1782" s="24"/>
      <c r="AF1782" s="24"/>
      <c r="AG1782" s="24"/>
      <c r="AH1782" s="24"/>
      <c r="AI1782" s="24"/>
      <c r="AJ1782" s="24"/>
      <c r="AK1782" s="24"/>
      <c r="AL1782" s="24"/>
      <c r="AM1782" s="24"/>
      <c r="AN1782" s="24"/>
      <c r="AO1782" s="24"/>
      <c r="AP1782" s="24"/>
      <c r="AQ1782" s="24"/>
      <c r="AR1782" s="54"/>
    </row>
    <row r="1783">
      <c r="A1783" s="57"/>
      <c r="B1783" s="24"/>
      <c r="C1783" s="24"/>
      <c r="D1783" s="24"/>
      <c r="E1783" s="24"/>
      <c r="F1783" s="24"/>
      <c r="G1783" s="24"/>
      <c r="H1783" s="24"/>
      <c r="I1783" s="24"/>
      <c r="J1783" s="24"/>
      <c r="K1783" s="24"/>
      <c r="L1783" s="24"/>
      <c r="M1783" s="24"/>
      <c r="N1783" s="24"/>
      <c r="O1783" s="24"/>
      <c r="P1783" s="24"/>
      <c r="Q1783" s="24"/>
      <c r="R1783" s="24"/>
      <c r="S1783" s="24"/>
      <c r="T1783" s="24"/>
      <c r="U1783" s="24"/>
      <c r="V1783" s="24"/>
      <c r="W1783" s="24"/>
      <c r="X1783" s="24"/>
      <c r="Y1783" s="24"/>
      <c r="Z1783" s="24"/>
      <c r="AA1783" s="24"/>
      <c r="AB1783" s="24"/>
      <c r="AC1783" s="24"/>
      <c r="AD1783" s="24"/>
      <c r="AE1783" s="24"/>
      <c r="AF1783" s="24"/>
      <c r="AG1783" s="24"/>
      <c r="AH1783" s="24"/>
      <c r="AI1783" s="24"/>
      <c r="AJ1783" s="24"/>
      <c r="AK1783" s="24"/>
      <c r="AL1783" s="24"/>
      <c r="AM1783" s="24"/>
      <c r="AN1783" s="24"/>
      <c r="AO1783" s="24"/>
      <c r="AP1783" s="24"/>
      <c r="AQ1783" s="24"/>
      <c r="AR1783" s="54"/>
    </row>
    <row r="1784">
      <c r="A1784" s="57"/>
      <c r="B1784" s="24"/>
      <c r="C1784" s="24"/>
      <c r="D1784" s="24"/>
      <c r="E1784" s="24"/>
      <c r="F1784" s="24"/>
      <c r="G1784" s="24"/>
      <c r="H1784" s="24"/>
      <c r="I1784" s="24"/>
      <c r="J1784" s="24"/>
      <c r="K1784" s="24"/>
      <c r="L1784" s="24"/>
      <c r="M1784" s="24"/>
      <c r="N1784" s="24"/>
      <c r="O1784" s="24"/>
      <c r="P1784" s="24"/>
      <c r="Q1784" s="24"/>
      <c r="R1784" s="24"/>
      <c r="S1784" s="24"/>
      <c r="T1784" s="24"/>
      <c r="U1784" s="24"/>
      <c r="V1784" s="24"/>
      <c r="W1784" s="24"/>
      <c r="X1784" s="24"/>
      <c r="Y1784" s="24"/>
      <c r="Z1784" s="24"/>
      <c r="AA1784" s="24"/>
      <c r="AB1784" s="24"/>
      <c r="AC1784" s="24"/>
      <c r="AD1784" s="24"/>
      <c r="AE1784" s="24"/>
      <c r="AF1784" s="24"/>
      <c r="AG1784" s="24"/>
      <c r="AH1784" s="24"/>
      <c r="AI1784" s="24"/>
      <c r="AJ1784" s="24"/>
      <c r="AK1784" s="24"/>
      <c r="AL1784" s="24"/>
      <c r="AM1784" s="24"/>
      <c r="AN1784" s="24"/>
      <c r="AO1784" s="24"/>
      <c r="AP1784" s="24"/>
      <c r="AQ1784" s="24"/>
      <c r="AR1784" s="54"/>
    </row>
    <row r="1785">
      <c r="A1785" s="57"/>
      <c r="B1785" s="24"/>
      <c r="C1785" s="24"/>
      <c r="D1785" s="24"/>
      <c r="E1785" s="24"/>
      <c r="F1785" s="24"/>
      <c r="G1785" s="24"/>
      <c r="H1785" s="24"/>
      <c r="I1785" s="24"/>
      <c r="J1785" s="24"/>
      <c r="K1785" s="24"/>
      <c r="L1785" s="24"/>
      <c r="M1785" s="24"/>
      <c r="N1785" s="24"/>
      <c r="O1785" s="24"/>
      <c r="P1785" s="24"/>
      <c r="Q1785" s="24"/>
      <c r="R1785" s="24"/>
      <c r="S1785" s="24"/>
      <c r="T1785" s="24"/>
      <c r="U1785" s="24"/>
      <c r="V1785" s="24"/>
      <c r="W1785" s="24"/>
      <c r="X1785" s="24"/>
      <c r="Y1785" s="24"/>
      <c r="Z1785" s="24"/>
      <c r="AA1785" s="24"/>
      <c r="AB1785" s="24"/>
      <c r="AC1785" s="24"/>
      <c r="AD1785" s="24"/>
      <c r="AE1785" s="24"/>
      <c r="AF1785" s="24"/>
      <c r="AG1785" s="24"/>
      <c r="AH1785" s="24"/>
      <c r="AI1785" s="24"/>
      <c r="AJ1785" s="24"/>
      <c r="AK1785" s="24"/>
      <c r="AL1785" s="24"/>
      <c r="AM1785" s="24"/>
      <c r="AN1785" s="24"/>
      <c r="AO1785" s="24"/>
      <c r="AP1785" s="24"/>
      <c r="AQ1785" s="24"/>
      <c r="AR1785" s="54"/>
    </row>
    <row r="1786">
      <c r="A1786" s="57"/>
      <c r="B1786" s="24"/>
      <c r="C1786" s="24"/>
      <c r="D1786" s="24"/>
      <c r="E1786" s="24"/>
      <c r="F1786" s="24"/>
      <c r="G1786" s="24"/>
      <c r="H1786" s="24"/>
      <c r="I1786" s="24"/>
      <c r="J1786" s="24"/>
      <c r="K1786" s="24"/>
      <c r="L1786" s="24"/>
      <c r="M1786" s="24"/>
      <c r="N1786" s="24"/>
      <c r="O1786" s="24"/>
      <c r="P1786" s="24"/>
      <c r="Q1786" s="24"/>
      <c r="R1786" s="24"/>
      <c r="S1786" s="24"/>
      <c r="T1786" s="24"/>
      <c r="U1786" s="24"/>
      <c r="V1786" s="24"/>
      <c r="W1786" s="24"/>
      <c r="X1786" s="24"/>
      <c r="Y1786" s="24"/>
      <c r="Z1786" s="24"/>
      <c r="AA1786" s="24"/>
      <c r="AB1786" s="24"/>
      <c r="AC1786" s="24"/>
      <c r="AD1786" s="24"/>
      <c r="AE1786" s="24"/>
      <c r="AF1786" s="24"/>
      <c r="AG1786" s="24"/>
      <c r="AH1786" s="24"/>
      <c r="AI1786" s="24"/>
      <c r="AJ1786" s="24"/>
      <c r="AK1786" s="24"/>
      <c r="AL1786" s="24"/>
      <c r="AM1786" s="24"/>
      <c r="AN1786" s="24"/>
      <c r="AO1786" s="24"/>
      <c r="AP1786" s="24"/>
      <c r="AQ1786" s="24"/>
      <c r="AR1786" s="54"/>
    </row>
    <row r="1787">
      <c r="A1787" s="57"/>
      <c r="B1787" s="24"/>
      <c r="C1787" s="24"/>
      <c r="D1787" s="24"/>
      <c r="E1787" s="24"/>
      <c r="F1787" s="24"/>
      <c r="G1787" s="24"/>
      <c r="H1787" s="24"/>
      <c r="I1787" s="24"/>
      <c r="J1787" s="24"/>
      <c r="K1787" s="24"/>
      <c r="L1787" s="24"/>
      <c r="M1787" s="24"/>
      <c r="N1787" s="24"/>
      <c r="O1787" s="24"/>
      <c r="P1787" s="24"/>
      <c r="Q1787" s="24"/>
      <c r="R1787" s="24"/>
      <c r="S1787" s="24"/>
      <c r="T1787" s="24"/>
      <c r="U1787" s="24"/>
      <c r="V1787" s="24"/>
      <c r="W1787" s="24"/>
      <c r="X1787" s="24"/>
      <c r="Y1787" s="24"/>
      <c r="Z1787" s="24"/>
      <c r="AA1787" s="24"/>
      <c r="AB1787" s="24"/>
      <c r="AC1787" s="24"/>
      <c r="AD1787" s="24"/>
      <c r="AE1787" s="24"/>
      <c r="AF1787" s="24"/>
      <c r="AG1787" s="24"/>
      <c r="AH1787" s="24"/>
      <c r="AI1787" s="24"/>
      <c r="AJ1787" s="24"/>
      <c r="AK1787" s="24"/>
      <c r="AL1787" s="24"/>
      <c r="AM1787" s="24"/>
      <c r="AN1787" s="24"/>
      <c r="AO1787" s="24"/>
      <c r="AP1787" s="24"/>
      <c r="AQ1787" s="24"/>
      <c r="AR1787" s="54"/>
    </row>
    <row r="1788">
      <c r="A1788" s="57"/>
      <c r="B1788" s="24"/>
      <c r="C1788" s="24"/>
      <c r="D1788" s="24"/>
      <c r="E1788" s="24"/>
      <c r="F1788" s="24"/>
      <c r="G1788" s="24"/>
      <c r="H1788" s="24"/>
      <c r="I1788" s="24"/>
      <c r="J1788" s="24"/>
      <c r="K1788" s="24"/>
      <c r="L1788" s="24"/>
      <c r="M1788" s="24"/>
      <c r="N1788" s="24"/>
      <c r="O1788" s="24"/>
      <c r="P1788" s="24"/>
      <c r="Q1788" s="24"/>
      <c r="R1788" s="24"/>
      <c r="S1788" s="24"/>
      <c r="T1788" s="24"/>
      <c r="U1788" s="24"/>
      <c r="V1788" s="24"/>
      <c r="W1788" s="24"/>
      <c r="X1788" s="24"/>
      <c r="Y1788" s="24"/>
      <c r="Z1788" s="24"/>
      <c r="AA1788" s="24"/>
      <c r="AB1788" s="24"/>
      <c r="AC1788" s="24"/>
      <c r="AD1788" s="24"/>
      <c r="AE1788" s="24"/>
      <c r="AF1788" s="24"/>
      <c r="AG1788" s="24"/>
      <c r="AH1788" s="24"/>
      <c r="AI1788" s="24"/>
      <c r="AJ1788" s="24"/>
      <c r="AK1788" s="24"/>
      <c r="AL1788" s="24"/>
      <c r="AM1788" s="24"/>
      <c r="AN1788" s="24"/>
      <c r="AO1788" s="24"/>
      <c r="AP1788" s="24"/>
      <c r="AQ1788" s="24"/>
      <c r="AR1788" s="54"/>
    </row>
    <row r="1789">
      <c r="A1789" s="57"/>
      <c r="B1789" s="24"/>
      <c r="C1789" s="24"/>
      <c r="D1789" s="24"/>
      <c r="E1789" s="24"/>
      <c r="F1789" s="24"/>
      <c r="G1789" s="24"/>
      <c r="H1789" s="24"/>
      <c r="I1789" s="24"/>
      <c r="J1789" s="24"/>
      <c r="K1789" s="24"/>
      <c r="L1789" s="24"/>
      <c r="M1789" s="24"/>
      <c r="N1789" s="24"/>
      <c r="O1789" s="24"/>
      <c r="P1789" s="24"/>
      <c r="Q1789" s="24"/>
      <c r="R1789" s="24"/>
      <c r="S1789" s="24"/>
      <c r="T1789" s="24"/>
      <c r="U1789" s="24"/>
      <c r="V1789" s="24"/>
      <c r="W1789" s="24"/>
      <c r="X1789" s="24"/>
      <c r="Y1789" s="24"/>
      <c r="Z1789" s="24"/>
      <c r="AA1789" s="24"/>
      <c r="AB1789" s="24"/>
      <c r="AC1789" s="24"/>
      <c r="AD1789" s="24"/>
      <c r="AE1789" s="24"/>
      <c r="AF1789" s="24"/>
      <c r="AG1789" s="24"/>
      <c r="AH1789" s="24"/>
      <c r="AI1789" s="24"/>
      <c r="AJ1789" s="24"/>
      <c r="AK1789" s="24"/>
      <c r="AL1789" s="24"/>
      <c r="AM1789" s="24"/>
      <c r="AN1789" s="24"/>
      <c r="AO1789" s="24"/>
      <c r="AP1789" s="24"/>
      <c r="AQ1789" s="24"/>
      <c r="AR1789" s="54"/>
    </row>
    <row r="1790">
      <c r="A1790" s="57"/>
      <c r="B1790" s="24"/>
      <c r="C1790" s="24"/>
      <c r="D1790" s="24"/>
      <c r="E1790" s="24"/>
      <c r="F1790" s="24"/>
      <c r="G1790" s="24"/>
      <c r="H1790" s="24"/>
      <c r="I1790" s="24"/>
      <c r="J1790" s="24"/>
      <c r="K1790" s="24"/>
      <c r="L1790" s="24"/>
      <c r="M1790" s="24"/>
      <c r="N1790" s="24"/>
      <c r="O1790" s="24"/>
      <c r="P1790" s="24"/>
      <c r="Q1790" s="24"/>
      <c r="R1790" s="24"/>
      <c r="S1790" s="24"/>
      <c r="T1790" s="24"/>
      <c r="U1790" s="24"/>
      <c r="V1790" s="24"/>
      <c r="W1790" s="24"/>
      <c r="X1790" s="24"/>
      <c r="Y1790" s="24"/>
      <c r="Z1790" s="24"/>
      <c r="AA1790" s="24"/>
      <c r="AB1790" s="24"/>
      <c r="AC1790" s="24"/>
      <c r="AD1790" s="24"/>
      <c r="AE1790" s="24"/>
      <c r="AF1790" s="24"/>
      <c r="AG1790" s="24"/>
      <c r="AH1790" s="24"/>
      <c r="AI1790" s="24"/>
      <c r="AJ1790" s="24"/>
      <c r="AK1790" s="24"/>
      <c r="AL1790" s="24"/>
      <c r="AM1790" s="24"/>
      <c r="AN1790" s="24"/>
      <c r="AO1790" s="24"/>
      <c r="AP1790" s="24"/>
      <c r="AQ1790" s="24"/>
      <c r="AR1790" s="54"/>
    </row>
    <row r="1791">
      <c r="A1791" s="57"/>
      <c r="B1791" s="24"/>
      <c r="C1791" s="24"/>
      <c r="D1791" s="24"/>
      <c r="E1791" s="24"/>
      <c r="F1791" s="24"/>
      <c r="G1791" s="24"/>
      <c r="H1791" s="24"/>
      <c r="I1791" s="24"/>
      <c r="J1791" s="24"/>
      <c r="K1791" s="24"/>
      <c r="L1791" s="24"/>
      <c r="M1791" s="24"/>
      <c r="N1791" s="24"/>
      <c r="O1791" s="24"/>
      <c r="P1791" s="24"/>
      <c r="Q1791" s="24"/>
      <c r="R1791" s="24"/>
      <c r="S1791" s="24"/>
      <c r="T1791" s="24"/>
      <c r="U1791" s="24"/>
      <c r="V1791" s="24"/>
      <c r="W1791" s="24"/>
      <c r="X1791" s="24"/>
      <c r="Y1791" s="24"/>
      <c r="Z1791" s="24"/>
      <c r="AA1791" s="24"/>
      <c r="AB1791" s="24"/>
      <c r="AC1791" s="24"/>
      <c r="AD1791" s="24"/>
      <c r="AE1791" s="24"/>
      <c r="AF1791" s="24"/>
      <c r="AG1791" s="24"/>
      <c r="AH1791" s="24"/>
      <c r="AI1791" s="24"/>
      <c r="AJ1791" s="24"/>
      <c r="AK1791" s="24"/>
      <c r="AL1791" s="24"/>
      <c r="AM1791" s="24"/>
      <c r="AN1791" s="24"/>
      <c r="AO1791" s="24"/>
      <c r="AP1791" s="24"/>
      <c r="AQ1791" s="24"/>
      <c r="AR1791" s="54"/>
    </row>
    <row r="1792">
      <c r="A1792" s="57"/>
      <c r="B1792" s="24"/>
      <c r="C1792" s="24"/>
      <c r="D1792" s="24"/>
      <c r="E1792" s="24"/>
      <c r="F1792" s="24"/>
      <c r="G1792" s="24"/>
      <c r="H1792" s="24"/>
      <c r="I1792" s="24"/>
      <c r="J1792" s="24"/>
      <c r="K1792" s="24"/>
      <c r="L1792" s="24"/>
      <c r="M1792" s="24"/>
      <c r="N1792" s="24"/>
      <c r="O1792" s="24"/>
      <c r="P1792" s="24"/>
      <c r="Q1792" s="24"/>
      <c r="R1792" s="24"/>
      <c r="S1792" s="24"/>
      <c r="T1792" s="24"/>
      <c r="U1792" s="24"/>
      <c r="V1792" s="24"/>
      <c r="W1792" s="24"/>
      <c r="X1792" s="24"/>
      <c r="Y1792" s="24"/>
      <c r="Z1792" s="24"/>
      <c r="AA1792" s="24"/>
      <c r="AB1792" s="24"/>
      <c r="AC1792" s="24"/>
      <c r="AD1792" s="24"/>
      <c r="AE1792" s="24"/>
      <c r="AF1792" s="24"/>
      <c r="AG1792" s="24"/>
      <c r="AH1792" s="24"/>
      <c r="AI1792" s="24"/>
      <c r="AJ1792" s="24"/>
      <c r="AK1792" s="24"/>
      <c r="AL1792" s="24"/>
      <c r="AM1792" s="24"/>
      <c r="AN1792" s="24"/>
      <c r="AO1792" s="24"/>
      <c r="AP1792" s="24"/>
      <c r="AQ1792" s="24"/>
      <c r="AR1792" s="54"/>
    </row>
    <row r="1793">
      <c r="A1793" s="57"/>
      <c r="B1793" s="24"/>
      <c r="C1793" s="24"/>
      <c r="D1793" s="24"/>
      <c r="E1793" s="24"/>
      <c r="F1793" s="24"/>
      <c r="G1793" s="24"/>
      <c r="H1793" s="24"/>
      <c r="I1793" s="24"/>
      <c r="J1793" s="24"/>
      <c r="K1793" s="24"/>
      <c r="L1793" s="24"/>
      <c r="M1793" s="24"/>
      <c r="N1793" s="24"/>
      <c r="O1793" s="24"/>
      <c r="P1793" s="24"/>
      <c r="Q1793" s="24"/>
      <c r="R1793" s="24"/>
      <c r="S1793" s="24"/>
      <c r="T1793" s="24"/>
      <c r="U1793" s="24"/>
      <c r="V1793" s="24"/>
      <c r="W1793" s="24"/>
      <c r="X1793" s="24"/>
      <c r="Y1793" s="24"/>
      <c r="Z1793" s="24"/>
      <c r="AA1793" s="24"/>
      <c r="AB1793" s="24"/>
      <c r="AC1793" s="24"/>
      <c r="AD1793" s="24"/>
      <c r="AE1793" s="24"/>
      <c r="AF1793" s="24"/>
      <c r="AG1793" s="24"/>
      <c r="AH1793" s="24"/>
      <c r="AI1793" s="24"/>
      <c r="AJ1793" s="24"/>
      <c r="AK1793" s="24"/>
      <c r="AL1793" s="24"/>
      <c r="AM1793" s="24"/>
      <c r="AN1793" s="24"/>
      <c r="AO1793" s="24"/>
      <c r="AP1793" s="24"/>
      <c r="AQ1793" s="24"/>
      <c r="AR1793" s="54"/>
    </row>
    <row r="1794">
      <c r="A1794" s="57"/>
      <c r="B1794" s="24"/>
      <c r="C1794" s="24"/>
      <c r="D1794" s="24"/>
      <c r="E1794" s="24"/>
      <c r="F1794" s="24"/>
      <c r="G1794" s="24"/>
      <c r="H1794" s="24"/>
      <c r="I1794" s="24"/>
      <c r="J1794" s="24"/>
      <c r="K1794" s="24"/>
      <c r="L1794" s="24"/>
      <c r="M1794" s="24"/>
      <c r="N1794" s="24"/>
      <c r="O1794" s="24"/>
      <c r="P1794" s="24"/>
      <c r="Q1794" s="24"/>
      <c r="R1794" s="24"/>
      <c r="S1794" s="24"/>
      <c r="T1794" s="24"/>
      <c r="U1794" s="24"/>
      <c r="V1794" s="24"/>
      <c r="W1794" s="24"/>
      <c r="X1794" s="24"/>
      <c r="Y1794" s="24"/>
      <c r="Z1794" s="24"/>
      <c r="AA1794" s="24"/>
      <c r="AB1794" s="24"/>
      <c r="AC1794" s="24"/>
      <c r="AD1794" s="24"/>
      <c r="AE1794" s="24"/>
      <c r="AF1794" s="24"/>
      <c r="AG1794" s="24"/>
      <c r="AH1794" s="24"/>
      <c r="AI1794" s="24"/>
      <c r="AJ1794" s="24"/>
      <c r="AK1794" s="24"/>
      <c r="AL1794" s="24"/>
      <c r="AM1794" s="24"/>
      <c r="AN1794" s="24"/>
      <c r="AO1794" s="24"/>
      <c r="AP1794" s="24"/>
      <c r="AQ1794" s="24"/>
      <c r="AR1794" s="54"/>
    </row>
    <row r="1795">
      <c r="A1795" s="57"/>
      <c r="B1795" s="24"/>
      <c r="C1795" s="24"/>
      <c r="D1795" s="24"/>
      <c r="E1795" s="24"/>
      <c r="F1795" s="24"/>
      <c r="G1795" s="24"/>
      <c r="H1795" s="24"/>
      <c r="I1795" s="24"/>
      <c r="J1795" s="24"/>
      <c r="K1795" s="24"/>
      <c r="L1795" s="24"/>
      <c r="M1795" s="24"/>
      <c r="N1795" s="24"/>
      <c r="O1795" s="24"/>
      <c r="P1795" s="24"/>
      <c r="Q1795" s="24"/>
      <c r="R1795" s="24"/>
      <c r="S1795" s="24"/>
      <c r="T1795" s="24"/>
      <c r="U1795" s="24"/>
      <c r="V1795" s="24"/>
      <c r="W1795" s="24"/>
      <c r="X1795" s="24"/>
      <c r="Y1795" s="24"/>
      <c r="Z1795" s="24"/>
      <c r="AA1795" s="24"/>
      <c r="AB1795" s="24"/>
      <c r="AC1795" s="24"/>
      <c r="AD1795" s="24"/>
      <c r="AE1795" s="24"/>
      <c r="AF1795" s="24"/>
      <c r="AG1795" s="24"/>
      <c r="AH1795" s="24"/>
      <c r="AI1795" s="24"/>
      <c r="AJ1795" s="24"/>
      <c r="AK1795" s="24"/>
      <c r="AL1795" s="24"/>
      <c r="AM1795" s="24"/>
      <c r="AN1795" s="24"/>
      <c r="AO1795" s="24"/>
      <c r="AP1795" s="24"/>
      <c r="AQ1795" s="24"/>
      <c r="AR1795" s="54"/>
    </row>
    <row r="1796">
      <c r="A1796" s="57"/>
      <c r="B1796" s="24"/>
      <c r="C1796" s="24"/>
      <c r="D1796" s="24"/>
      <c r="E1796" s="24"/>
      <c r="F1796" s="24"/>
      <c r="G1796" s="24"/>
      <c r="H1796" s="24"/>
      <c r="I1796" s="24"/>
      <c r="J1796" s="24"/>
      <c r="K1796" s="24"/>
      <c r="L1796" s="24"/>
      <c r="M1796" s="24"/>
      <c r="N1796" s="24"/>
      <c r="O1796" s="24"/>
      <c r="P1796" s="24"/>
      <c r="Q1796" s="24"/>
      <c r="R1796" s="24"/>
      <c r="S1796" s="24"/>
      <c r="T1796" s="24"/>
      <c r="U1796" s="24"/>
      <c r="V1796" s="24"/>
      <c r="W1796" s="24"/>
      <c r="X1796" s="24"/>
      <c r="Y1796" s="24"/>
      <c r="Z1796" s="24"/>
      <c r="AA1796" s="24"/>
      <c r="AB1796" s="24"/>
      <c r="AC1796" s="24"/>
      <c r="AD1796" s="24"/>
      <c r="AE1796" s="24"/>
      <c r="AF1796" s="24"/>
      <c r="AG1796" s="24"/>
      <c r="AH1796" s="24"/>
      <c r="AI1796" s="24"/>
      <c r="AJ1796" s="24"/>
      <c r="AK1796" s="24"/>
      <c r="AL1796" s="24"/>
      <c r="AM1796" s="24"/>
      <c r="AN1796" s="24"/>
      <c r="AO1796" s="24"/>
      <c r="AP1796" s="24"/>
      <c r="AQ1796" s="24"/>
      <c r="AR1796" s="54"/>
    </row>
    <row r="1797">
      <c r="A1797" s="57"/>
      <c r="B1797" s="24"/>
      <c r="C1797" s="24"/>
      <c r="D1797" s="24"/>
      <c r="E1797" s="24"/>
      <c r="F1797" s="24"/>
      <c r="G1797" s="24"/>
      <c r="H1797" s="24"/>
      <c r="I1797" s="24"/>
      <c r="J1797" s="24"/>
      <c r="K1797" s="24"/>
      <c r="L1797" s="24"/>
      <c r="M1797" s="24"/>
      <c r="N1797" s="24"/>
      <c r="O1797" s="24"/>
      <c r="P1797" s="24"/>
      <c r="Q1797" s="24"/>
      <c r="R1797" s="24"/>
      <c r="S1797" s="24"/>
      <c r="T1797" s="24"/>
      <c r="U1797" s="24"/>
      <c r="V1797" s="24"/>
      <c r="W1797" s="24"/>
      <c r="X1797" s="24"/>
      <c r="Y1797" s="24"/>
      <c r="Z1797" s="24"/>
      <c r="AA1797" s="24"/>
      <c r="AB1797" s="24"/>
      <c r="AC1797" s="24"/>
      <c r="AD1797" s="24"/>
      <c r="AE1797" s="24"/>
      <c r="AF1797" s="24"/>
      <c r="AG1797" s="24"/>
      <c r="AH1797" s="24"/>
      <c r="AI1797" s="24"/>
      <c r="AJ1797" s="24"/>
      <c r="AK1797" s="24"/>
      <c r="AL1797" s="24"/>
      <c r="AM1797" s="24"/>
      <c r="AN1797" s="24"/>
      <c r="AO1797" s="24"/>
      <c r="AP1797" s="24"/>
      <c r="AQ1797" s="24"/>
      <c r="AR1797" s="54"/>
    </row>
    <row r="1798">
      <c r="A1798" s="57"/>
      <c r="B1798" s="24"/>
      <c r="C1798" s="24"/>
      <c r="D1798" s="24"/>
      <c r="E1798" s="24"/>
      <c r="F1798" s="24"/>
      <c r="G1798" s="24"/>
      <c r="H1798" s="24"/>
      <c r="I1798" s="24"/>
      <c r="J1798" s="24"/>
      <c r="K1798" s="24"/>
      <c r="L1798" s="24"/>
      <c r="M1798" s="24"/>
      <c r="N1798" s="24"/>
      <c r="O1798" s="24"/>
      <c r="P1798" s="24"/>
      <c r="Q1798" s="24"/>
      <c r="R1798" s="24"/>
      <c r="S1798" s="24"/>
      <c r="T1798" s="24"/>
      <c r="U1798" s="24"/>
      <c r="V1798" s="24"/>
      <c r="W1798" s="24"/>
      <c r="X1798" s="24"/>
      <c r="Y1798" s="24"/>
      <c r="Z1798" s="24"/>
      <c r="AA1798" s="24"/>
      <c r="AB1798" s="24"/>
      <c r="AC1798" s="24"/>
      <c r="AD1798" s="24"/>
      <c r="AE1798" s="24"/>
      <c r="AF1798" s="24"/>
      <c r="AG1798" s="24"/>
      <c r="AH1798" s="24"/>
      <c r="AI1798" s="24"/>
      <c r="AJ1798" s="24"/>
      <c r="AK1798" s="24"/>
      <c r="AL1798" s="24"/>
      <c r="AM1798" s="24"/>
      <c r="AN1798" s="24"/>
      <c r="AO1798" s="24"/>
      <c r="AP1798" s="24"/>
      <c r="AQ1798" s="24"/>
      <c r="AR1798" s="54"/>
    </row>
    <row r="1799">
      <c r="A1799" s="57"/>
      <c r="B1799" s="24"/>
      <c r="C1799" s="24"/>
      <c r="D1799" s="24"/>
      <c r="E1799" s="24"/>
      <c r="F1799" s="24"/>
      <c r="G1799" s="24"/>
      <c r="H1799" s="24"/>
      <c r="I1799" s="24"/>
      <c r="J1799" s="24"/>
      <c r="K1799" s="24"/>
      <c r="L1799" s="24"/>
      <c r="M1799" s="24"/>
      <c r="N1799" s="24"/>
      <c r="O1799" s="24"/>
      <c r="P1799" s="24"/>
      <c r="Q1799" s="24"/>
      <c r="R1799" s="24"/>
      <c r="S1799" s="24"/>
      <c r="T1799" s="24"/>
      <c r="U1799" s="24"/>
      <c r="V1799" s="24"/>
      <c r="W1799" s="24"/>
      <c r="X1799" s="24"/>
      <c r="Y1799" s="24"/>
      <c r="Z1799" s="24"/>
      <c r="AA1799" s="24"/>
      <c r="AB1799" s="24"/>
      <c r="AC1799" s="24"/>
      <c r="AD1799" s="24"/>
      <c r="AE1799" s="24"/>
      <c r="AF1799" s="24"/>
      <c r="AG1799" s="24"/>
      <c r="AH1799" s="24"/>
      <c r="AI1799" s="24"/>
      <c r="AJ1799" s="24"/>
      <c r="AK1799" s="24"/>
      <c r="AL1799" s="24"/>
      <c r="AM1799" s="24"/>
      <c r="AN1799" s="24"/>
      <c r="AO1799" s="24"/>
      <c r="AP1799" s="24"/>
      <c r="AQ1799" s="24"/>
      <c r="AR1799" s="54"/>
    </row>
    <row r="1800">
      <c r="A1800" s="57"/>
      <c r="B1800" s="24"/>
      <c r="C1800" s="24"/>
      <c r="D1800" s="24"/>
      <c r="E1800" s="24"/>
      <c r="F1800" s="24"/>
      <c r="G1800" s="24"/>
      <c r="H1800" s="24"/>
      <c r="I1800" s="24"/>
      <c r="J1800" s="24"/>
      <c r="K1800" s="24"/>
      <c r="L1800" s="24"/>
      <c r="M1800" s="24"/>
      <c r="N1800" s="24"/>
      <c r="O1800" s="24"/>
      <c r="P1800" s="24"/>
      <c r="Q1800" s="24"/>
      <c r="R1800" s="24"/>
      <c r="S1800" s="24"/>
      <c r="T1800" s="24"/>
      <c r="U1800" s="24"/>
      <c r="V1800" s="24"/>
      <c r="W1800" s="24"/>
      <c r="X1800" s="24"/>
      <c r="Y1800" s="24"/>
      <c r="Z1800" s="24"/>
      <c r="AA1800" s="24"/>
      <c r="AB1800" s="24"/>
      <c r="AC1800" s="24"/>
      <c r="AD1800" s="24"/>
      <c r="AE1800" s="24"/>
      <c r="AF1800" s="24"/>
      <c r="AG1800" s="24"/>
      <c r="AH1800" s="24"/>
      <c r="AI1800" s="24"/>
      <c r="AJ1800" s="24"/>
      <c r="AK1800" s="24"/>
      <c r="AL1800" s="24"/>
      <c r="AM1800" s="24"/>
      <c r="AN1800" s="24"/>
      <c r="AO1800" s="24"/>
      <c r="AP1800" s="24"/>
      <c r="AQ1800" s="24"/>
      <c r="AR1800" s="54"/>
    </row>
    <row r="1801">
      <c r="A1801" s="57"/>
      <c r="B1801" s="24"/>
      <c r="C1801" s="24"/>
      <c r="D1801" s="24"/>
      <c r="E1801" s="24"/>
      <c r="F1801" s="24"/>
      <c r="G1801" s="24"/>
      <c r="H1801" s="24"/>
      <c r="I1801" s="24"/>
      <c r="J1801" s="24"/>
      <c r="K1801" s="24"/>
      <c r="L1801" s="24"/>
      <c r="M1801" s="24"/>
      <c r="N1801" s="24"/>
      <c r="O1801" s="24"/>
      <c r="P1801" s="24"/>
      <c r="Q1801" s="24"/>
      <c r="R1801" s="24"/>
      <c r="S1801" s="24"/>
      <c r="T1801" s="24"/>
      <c r="U1801" s="24"/>
      <c r="V1801" s="24"/>
      <c r="W1801" s="24"/>
      <c r="X1801" s="24"/>
      <c r="Y1801" s="24"/>
      <c r="Z1801" s="24"/>
      <c r="AA1801" s="24"/>
      <c r="AB1801" s="24"/>
      <c r="AC1801" s="24"/>
      <c r="AD1801" s="24"/>
      <c r="AE1801" s="24"/>
      <c r="AF1801" s="24"/>
      <c r="AG1801" s="24"/>
      <c r="AH1801" s="24"/>
      <c r="AI1801" s="24"/>
      <c r="AJ1801" s="24"/>
      <c r="AK1801" s="24"/>
      <c r="AL1801" s="24"/>
      <c r="AM1801" s="24"/>
      <c r="AN1801" s="24"/>
      <c r="AO1801" s="24"/>
      <c r="AP1801" s="24"/>
      <c r="AQ1801" s="24"/>
      <c r="AR1801" s="54"/>
    </row>
    <row r="1802">
      <c r="A1802" s="57"/>
      <c r="B1802" s="24"/>
      <c r="C1802" s="24"/>
      <c r="D1802" s="24"/>
      <c r="E1802" s="24"/>
      <c r="F1802" s="24"/>
      <c r="G1802" s="24"/>
      <c r="H1802" s="24"/>
      <c r="I1802" s="24"/>
      <c r="J1802" s="24"/>
      <c r="K1802" s="24"/>
      <c r="L1802" s="24"/>
      <c r="M1802" s="24"/>
      <c r="N1802" s="24"/>
      <c r="O1802" s="24"/>
      <c r="P1802" s="24"/>
      <c r="Q1802" s="24"/>
      <c r="R1802" s="24"/>
      <c r="S1802" s="24"/>
      <c r="T1802" s="24"/>
      <c r="U1802" s="24"/>
      <c r="V1802" s="24"/>
      <c r="W1802" s="24"/>
      <c r="X1802" s="24"/>
      <c r="Y1802" s="24"/>
      <c r="Z1802" s="24"/>
      <c r="AA1802" s="24"/>
      <c r="AB1802" s="24"/>
      <c r="AC1802" s="24"/>
      <c r="AD1802" s="24"/>
      <c r="AE1802" s="24"/>
      <c r="AF1802" s="24"/>
      <c r="AG1802" s="24"/>
      <c r="AH1802" s="24"/>
      <c r="AI1802" s="24"/>
      <c r="AJ1802" s="24"/>
      <c r="AK1802" s="24"/>
      <c r="AL1802" s="24"/>
      <c r="AM1802" s="24"/>
      <c r="AN1802" s="24"/>
      <c r="AO1802" s="24"/>
      <c r="AP1802" s="24"/>
      <c r="AQ1802" s="24"/>
      <c r="AR1802" s="54"/>
    </row>
    <row r="1803">
      <c r="A1803" s="57"/>
      <c r="B1803" s="24"/>
      <c r="C1803" s="24"/>
      <c r="D1803" s="24"/>
      <c r="E1803" s="24"/>
      <c r="F1803" s="24"/>
      <c r="G1803" s="24"/>
      <c r="H1803" s="24"/>
      <c r="I1803" s="24"/>
      <c r="J1803" s="24"/>
      <c r="K1803" s="24"/>
      <c r="L1803" s="24"/>
      <c r="M1803" s="24"/>
      <c r="N1803" s="24"/>
      <c r="O1803" s="24"/>
      <c r="P1803" s="24"/>
      <c r="Q1803" s="24"/>
      <c r="R1803" s="24"/>
      <c r="S1803" s="24"/>
      <c r="T1803" s="24"/>
      <c r="U1803" s="24"/>
      <c r="V1803" s="24"/>
      <c r="W1803" s="24"/>
      <c r="X1803" s="24"/>
      <c r="Y1803" s="24"/>
      <c r="Z1803" s="24"/>
      <c r="AA1803" s="24"/>
      <c r="AB1803" s="24"/>
      <c r="AC1803" s="24"/>
      <c r="AD1803" s="24"/>
      <c r="AE1803" s="24"/>
      <c r="AF1803" s="24"/>
      <c r="AG1803" s="24"/>
      <c r="AH1803" s="24"/>
      <c r="AI1803" s="24"/>
      <c r="AJ1803" s="24"/>
      <c r="AK1803" s="24"/>
      <c r="AL1803" s="24"/>
      <c r="AM1803" s="24"/>
      <c r="AN1803" s="24"/>
      <c r="AO1803" s="24"/>
      <c r="AP1803" s="24"/>
      <c r="AQ1803" s="24"/>
      <c r="AR1803" s="54"/>
    </row>
    <row r="1804">
      <c r="A1804" s="57"/>
      <c r="B1804" s="24"/>
      <c r="C1804" s="24"/>
      <c r="D1804" s="24"/>
      <c r="E1804" s="24"/>
      <c r="F1804" s="24"/>
      <c r="G1804" s="24"/>
      <c r="H1804" s="24"/>
      <c r="I1804" s="24"/>
      <c r="J1804" s="24"/>
      <c r="K1804" s="24"/>
      <c r="L1804" s="24"/>
      <c r="M1804" s="24"/>
      <c r="N1804" s="24"/>
      <c r="O1804" s="24"/>
      <c r="P1804" s="24"/>
      <c r="Q1804" s="24"/>
      <c r="R1804" s="24"/>
      <c r="S1804" s="24"/>
      <c r="T1804" s="24"/>
      <c r="U1804" s="24"/>
      <c r="V1804" s="24"/>
      <c r="W1804" s="24"/>
      <c r="X1804" s="24"/>
      <c r="Y1804" s="24"/>
      <c r="Z1804" s="24"/>
      <c r="AA1804" s="24"/>
      <c r="AB1804" s="24"/>
      <c r="AC1804" s="24"/>
      <c r="AD1804" s="24"/>
      <c r="AE1804" s="24"/>
      <c r="AF1804" s="24"/>
      <c r="AG1804" s="24"/>
      <c r="AH1804" s="24"/>
      <c r="AI1804" s="24"/>
      <c r="AJ1804" s="24"/>
      <c r="AK1804" s="24"/>
      <c r="AL1804" s="24"/>
      <c r="AM1804" s="24"/>
      <c r="AN1804" s="24"/>
      <c r="AO1804" s="24"/>
      <c r="AP1804" s="24"/>
      <c r="AQ1804" s="24"/>
      <c r="AR1804" s="54"/>
    </row>
    <row r="1805">
      <c r="A1805" s="57"/>
      <c r="B1805" s="24"/>
      <c r="C1805" s="24"/>
      <c r="D1805" s="24"/>
      <c r="E1805" s="24"/>
      <c r="F1805" s="24"/>
      <c r="G1805" s="24"/>
      <c r="H1805" s="24"/>
      <c r="I1805" s="24"/>
      <c r="J1805" s="24"/>
      <c r="K1805" s="24"/>
      <c r="L1805" s="24"/>
      <c r="M1805" s="24"/>
      <c r="N1805" s="24"/>
      <c r="O1805" s="24"/>
      <c r="P1805" s="24"/>
      <c r="Q1805" s="24"/>
      <c r="R1805" s="24"/>
      <c r="S1805" s="24"/>
      <c r="T1805" s="24"/>
      <c r="U1805" s="24"/>
      <c r="V1805" s="24"/>
      <c r="W1805" s="24"/>
      <c r="X1805" s="24"/>
      <c r="Y1805" s="24"/>
      <c r="Z1805" s="24"/>
      <c r="AA1805" s="24"/>
      <c r="AB1805" s="24"/>
      <c r="AC1805" s="24"/>
      <c r="AD1805" s="24"/>
      <c r="AE1805" s="24"/>
      <c r="AF1805" s="24"/>
      <c r="AG1805" s="24"/>
      <c r="AH1805" s="24"/>
      <c r="AI1805" s="24"/>
      <c r="AJ1805" s="24"/>
      <c r="AK1805" s="24"/>
      <c r="AL1805" s="24"/>
      <c r="AM1805" s="24"/>
      <c r="AN1805" s="24"/>
      <c r="AO1805" s="24"/>
      <c r="AP1805" s="24"/>
      <c r="AQ1805" s="24"/>
      <c r="AR1805" s="54"/>
    </row>
    <row r="1806">
      <c r="A1806" s="57"/>
      <c r="B1806" s="24"/>
      <c r="C1806" s="24"/>
      <c r="D1806" s="24"/>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c r="AA1806" s="24"/>
      <c r="AB1806" s="24"/>
      <c r="AC1806" s="24"/>
      <c r="AD1806" s="24"/>
      <c r="AE1806" s="24"/>
      <c r="AF1806" s="24"/>
      <c r="AG1806" s="24"/>
      <c r="AH1806" s="24"/>
      <c r="AI1806" s="24"/>
      <c r="AJ1806" s="24"/>
      <c r="AK1806" s="24"/>
      <c r="AL1806" s="24"/>
      <c r="AM1806" s="24"/>
      <c r="AN1806" s="24"/>
      <c r="AO1806" s="24"/>
      <c r="AP1806" s="24"/>
      <c r="AQ1806" s="24"/>
      <c r="AR1806" s="54"/>
    </row>
    <row r="1807">
      <c r="A1807" s="57"/>
      <c r="B1807" s="24"/>
      <c r="C1807" s="24"/>
      <c r="D1807" s="24"/>
      <c r="E1807" s="24"/>
      <c r="F1807" s="24"/>
      <c r="G1807" s="24"/>
      <c r="H1807" s="24"/>
      <c r="I1807" s="24"/>
      <c r="J1807" s="24"/>
      <c r="K1807" s="24"/>
      <c r="L1807" s="24"/>
      <c r="M1807" s="24"/>
      <c r="N1807" s="24"/>
      <c r="O1807" s="24"/>
      <c r="P1807" s="24"/>
      <c r="Q1807" s="24"/>
      <c r="R1807" s="24"/>
      <c r="S1807" s="24"/>
      <c r="T1807" s="24"/>
      <c r="U1807" s="24"/>
      <c r="V1807" s="24"/>
      <c r="W1807" s="24"/>
      <c r="X1807" s="24"/>
      <c r="Y1807" s="24"/>
      <c r="Z1807" s="24"/>
      <c r="AA1807" s="24"/>
      <c r="AB1807" s="24"/>
      <c r="AC1807" s="24"/>
      <c r="AD1807" s="24"/>
      <c r="AE1807" s="24"/>
      <c r="AF1807" s="24"/>
      <c r="AG1807" s="24"/>
      <c r="AH1807" s="24"/>
      <c r="AI1807" s="24"/>
      <c r="AJ1807" s="24"/>
      <c r="AK1807" s="24"/>
      <c r="AL1807" s="24"/>
      <c r="AM1807" s="24"/>
      <c r="AN1807" s="24"/>
      <c r="AO1807" s="24"/>
      <c r="AP1807" s="24"/>
      <c r="AQ1807" s="24"/>
      <c r="AR1807" s="54"/>
    </row>
    <row r="1808">
      <c r="A1808" s="57"/>
      <c r="B1808" s="24"/>
      <c r="C1808" s="24"/>
      <c r="D1808" s="24"/>
      <c r="E1808" s="24"/>
      <c r="F1808" s="24"/>
      <c r="G1808" s="24"/>
      <c r="H1808" s="24"/>
      <c r="I1808" s="24"/>
      <c r="J1808" s="24"/>
      <c r="K1808" s="24"/>
      <c r="L1808" s="24"/>
      <c r="M1808" s="24"/>
      <c r="N1808" s="24"/>
      <c r="O1808" s="24"/>
      <c r="P1808" s="24"/>
      <c r="Q1808" s="24"/>
      <c r="R1808" s="24"/>
      <c r="S1808" s="24"/>
      <c r="T1808" s="24"/>
      <c r="U1808" s="24"/>
      <c r="V1808" s="24"/>
      <c r="W1808" s="24"/>
      <c r="X1808" s="24"/>
      <c r="Y1808" s="24"/>
      <c r="Z1808" s="24"/>
      <c r="AA1808" s="24"/>
      <c r="AB1808" s="24"/>
      <c r="AC1808" s="24"/>
      <c r="AD1808" s="24"/>
      <c r="AE1808" s="24"/>
      <c r="AF1808" s="24"/>
      <c r="AG1808" s="24"/>
      <c r="AH1808" s="24"/>
      <c r="AI1808" s="24"/>
      <c r="AJ1808" s="24"/>
      <c r="AK1808" s="24"/>
      <c r="AL1808" s="24"/>
      <c r="AM1808" s="24"/>
      <c r="AN1808" s="24"/>
      <c r="AO1808" s="24"/>
      <c r="AP1808" s="24"/>
      <c r="AQ1808" s="24"/>
      <c r="AR1808" s="54"/>
    </row>
    <row r="1809">
      <c r="A1809" s="57"/>
      <c r="B1809" s="24"/>
      <c r="C1809" s="24"/>
      <c r="D1809" s="24"/>
      <c r="E1809" s="24"/>
      <c r="F1809" s="24"/>
      <c r="G1809" s="24"/>
      <c r="H1809" s="24"/>
      <c r="I1809" s="24"/>
      <c r="J1809" s="24"/>
      <c r="K1809" s="24"/>
      <c r="L1809" s="24"/>
      <c r="M1809" s="24"/>
      <c r="N1809" s="24"/>
      <c r="O1809" s="24"/>
      <c r="P1809" s="24"/>
      <c r="Q1809" s="24"/>
      <c r="R1809" s="24"/>
      <c r="S1809" s="24"/>
      <c r="T1809" s="24"/>
      <c r="U1809" s="24"/>
      <c r="V1809" s="24"/>
      <c r="W1809" s="24"/>
      <c r="X1809" s="24"/>
      <c r="Y1809" s="24"/>
      <c r="Z1809" s="24"/>
      <c r="AA1809" s="24"/>
      <c r="AB1809" s="24"/>
      <c r="AC1809" s="24"/>
      <c r="AD1809" s="24"/>
      <c r="AE1809" s="24"/>
      <c r="AF1809" s="24"/>
      <c r="AG1809" s="24"/>
      <c r="AH1809" s="24"/>
      <c r="AI1809" s="24"/>
      <c r="AJ1809" s="24"/>
      <c r="AK1809" s="24"/>
      <c r="AL1809" s="24"/>
      <c r="AM1809" s="24"/>
      <c r="AN1809" s="24"/>
      <c r="AO1809" s="24"/>
      <c r="AP1809" s="24"/>
      <c r="AQ1809" s="24"/>
      <c r="AR1809" s="54"/>
    </row>
    <row r="1810">
      <c r="A1810" s="57"/>
      <c r="B1810" s="24"/>
      <c r="C1810" s="24"/>
      <c r="D1810" s="24"/>
      <c r="E1810" s="24"/>
      <c r="F1810" s="24"/>
      <c r="G1810" s="24"/>
      <c r="H1810" s="24"/>
      <c r="I1810" s="24"/>
      <c r="J1810" s="24"/>
      <c r="K1810" s="24"/>
      <c r="L1810" s="24"/>
      <c r="M1810" s="24"/>
      <c r="N1810" s="24"/>
      <c r="O1810" s="24"/>
      <c r="P1810" s="24"/>
      <c r="Q1810" s="24"/>
      <c r="R1810" s="24"/>
      <c r="S1810" s="24"/>
      <c r="T1810" s="24"/>
      <c r="U1810" s="24"/>
      <c r="V1810" s="24"/>
      <c r="W1810" s="24"/>
      <c r="X1810" s="24"/>
      <c r="Y1810" s="24"/>
      <c r="Z1810" s="24"/>
      <c r="AA1810" s="24"/>
      <c r="AB1810" s="24"/>
      <c r="AC1810" s="24"/>
      <c r="AD1810" s="24"/>
      <c r="AE1810" s="24"/>
      <c r="AF1810" s="24"/>
      <c r="AG1810" s="24"/>
      <c r="AH1810" s="24"/>
      <c r="AI1810" s="24"/>
      <c r="AJ1810" s="24"/>
      <c r="AK1810" s="24"/>
      <c r="AL1810" s="24"/>
      <c r="AM1810" s="24"/>
      <c r="AN1810" s="24"/>
      <c r="AO1810" s="24"/>
      <c r="AP1810" s="24"/>
      <c r="AQ1810" s="24"/>
      <c r="AR1810" s="54"/>
    </row>
    <row r="1811">
      <c r="A1811" s="57"/>
      <c r="B1811" s="24"/>
      <c r="C1811" s="24"/>
      <c r="D1811" s="24"/>
      <c r="E1811" s="24"/>
      <c r="F1811" s="24"/>
      <c r="G1811" s="24"/>
      <c r="H1811" s="24"/>
      <c r="I1811" s="24"/>
      <c r="J1811" s="24"/>
      <c r="K1811" s="24"/>
      <c r="L1811" s="24"/>
      <c r="M1811" s="24"/>
      <c r="N1811" s="24"/>
      <c r="O1811" s="24"/>
      <c r="P1811" s="24"/>
      <c r="Q1811" s="24"/>
      <c r="R1811" s="24"/>
      <c r="S1811" s="24"/>
      <c r="T1811" s="24"/>
      <c r="U1811" s="24"/>
      <c r="V1811" s="24"/>
      <c r="W1811" s="24"/>
      <c r="X1811" s="24"/>
      <c r="Y1811" s="24"/>
      <c r="Z1811" s="24"/>
      <c r="AA1811" s="24"/>
      <c r="AB1811" s="24"/>
      <c r="AC1811" s="24"/>
      <c r="AD1811" s="24"/>
      <c r="AE1811" s="24"/>
      <c r="AF1811" s="24"/>
      <c r="AG1811" s="24"/>
      <c r="AH1811" s="24"/>
      <c r="AI1811" s="24"/>
      <c r="AJ1811" s="24"/>
      <c r="AK1811" s="24"/>
      <c r="AL1811" s="24"/>
      <c r="AM1811" s="24"/>
      <c r="AN1811" s="24"/>
      <c r="AO1811" s="24"/>
      <c r="AP1811" s="24"/>
      <c r="AQ1811" s="24"/>
      <c r="AR1811" s="54"/>
    </row>
    <row r="1812">
      <c r="A1812" s="57"/>
      <c r="B1812" s="24"/>
      <c r="C1812" s="24"/>
      <c r="D1812" s="24"/>
      <c r="E1812" s="24"/>
      <c r="F1812" s="24"/>
      <c r="G1812" s="24"/>
      <c r="H1812" s="24"/>
      <c r="I1812" s="24"/>
      <c r="J1812" s="24"/>
      <c r="K1812" s="24"/>
      <c r="L1812" s="24"/>
      <c r="M1812" s="24"/>
      <c r="N1812" s="24"/>
      <c r="O1812" s="24"/>
      <c r="P1812" s="24"/>
      <c r="Q1812" s="24"/>
      <c r="R1812" s="24"/>
      <c r="S1812" s="24"/>
      <c r="T1812" s="24"/>
      <c r="U1812" s="24"/>
      <c r="V1812" s="24"/>
      <c r="W1812" s="24"/>
      <c r="X1812" s="24"/>
      <c r="Y1812" s="24"/>
      <c r="Z1812" s="24"/>
      <c r="AA1812" s="24"/>
      <c r="AB1812" s="24"/>
      <c r="AC1812" s="24"/>
      <c r="AD1812" s="24"/>
      <c r="AE1812" s="24"/>
      <c r="AF1812" s="24"/>
      <c r="AG1812" s="24"/>
      <c r="AH1812" s="24"/>
      <c r="AI1812" s="24"/>
      <c r="AJ1812" s="24"/>
      <c r="AK1812" s="24"/>
      <c r="AL1812" s="24"/>
      <c r="AM1812" s="24"/>
      <c r="AN1812" s="24"/>
      <c r="AO1812" s="24"/>
      <c r="AP1812" s="24"/>
      <c r="AQ1812" s="24"/>
      <c r="AR1812" s="54"/>
    </row>
    <row r="1813">
      <c r="A1813" s="57"/>
      <c r="B1813" s="24"/>
      <c r="C1813" s="24"/>
      <c r="D1813" s="24"/>
      <c r="E1813" s="24"/>
      <c r="F1813" s="24"/>
      <c r="G1813" s="24"/>
      <c r="H1813" s="24"/>
      <c r="I1813" s="24"/>
      <c r="J1813" s="24"/>
      <c r="K1813" s="24"/>
      <c r="L1813" s="24"/>
      <c r="M1813" s="24"/>
      <c r="N1813" s="24"/>
      <c r="O1813" s="24"/>
      <c r="P1813" s="24"/>
      <c r="Q1813" s="24"/>
      <c r="R1813" s="24"/>
      <c r="S1813" s="24"/>
      <c r="T1813" s="24"/>
      <c r="U1813" s="24"/>
      <c r="V1813" s="24"/>
      <c r="W1813" s="24"/>
      <c r="X1813" s="24"/>
      <c r="Y1813" s="24"/>
      <c r="Z1813" s="24"/>
      <c r="AA1813" s="24"/>
      <c r="AB1813" s="24"/>
      <c r="AC1813" s="24"/>
      <c r="AD1813" s="24"/>
      <c r="AE1813" s="24"/>
      <c r="AF1813" s="24"/>
      <c r="AG1813" s="24"/>
      <c r="AH1813" s="24"/>
      <c r="AI1813" s="24"/>
      <c r="AJ1813" s="24"/>
      <c r="AK1813" s="24"/>
      <c r="AL1813" s="24"/>
      <c r="AM1813" s="24"/>
      <c r="AN1813" s="24"/>
      <c r="AO1813" s="24"/>
      <c r="AP1813" s="24"/>
      <c r="AQ1813" s="24"/>
      <c r="AR1813" s="54"/>
    </row>
    <row r="1814">
      <c r="A1814" s="57"/>
      <c r="B1814" s="24"/>
      <c r="C1814" s="24"/>
      <c r="D1814" s="24"/>
      <c r="E1814" s="24"/>
      <c r="F1814" s="24"/>
      <c r="G1814" s="24"/>
      <c r="H1814" s="24"/>
      <c r="I1814" s="24"/>
      <c r="J1814" s="24"/>
      <c r="K1814" s="24"/>
      <c r="L1814" s="24"/>
      <c r="M1814" s="24"/>
      <c r="N1814" s="24"/>
      <c r="O1814" s="24"/>
      <c r="P1814" s="24"/>
      <c r="Q1814" s="24"/>
      <c r="R1814" s="24"/>
      <c r="S1814" s="24"/>
      <c r="T1814" s="24"/>
      <c r="U1814" s="24"/>
      <c r="V1814" s="24"/>
      <c r="W1814" s="24"/>
      <c r="X1814" s="24"/>
      <c r="Y1814" s="24"/>
      <c r="Z1814" s="24"/>
      <c r="AA1814" s="24"/>
      <c r="AB1814" s="24"/>
      <c r="AC1814" s="24"/>
      <c r="AD1814" s="24"/>
      <c r="AE1814" s="24"/>
      <c r="AF1814" s="24"/>
      <c r="AG1814" s="24"/>
      <c r="AH1814" s="24"/>
      <c r="AI1814" s="24"/>
      <c r="AJ1814" s="24"/>
      <c r="AK1814" s="24"/>
      <c r="AL1814" s="24"/>
      <c r="AM1814" s="24"/>
      <c r="AN1814" s="24"/>
      <c r="AO1814" s="24"/>
      <c r="AP1814" s="24"/>
      <c r="AQ1814" s="24"/>
      <c r="AR1814" s="54"/>
    </row>
    <row r="1815">
      <c r="A1815" s="57"/>
      <c r="B1815" s="24"/>
      <c r="C1815" s="24"/>
      <c r="D1815" s="24"/>
      <c r="E1815" s="24"/>
      <c r="F1815" s="24"/>
      <c r="G1815" s="24"/>
      <c r="H1815" s="24"/>
      <c r="I1815" s="24"/>
      <c r="J1815" s="24"/>
      <c r="K1815" s="24"/>
      <c r="L1815" s="24"/>
      <c r="M1815" s="24"/>
      <c r="N1815" s="24"/>
      <c r="O1815" s="24"/>
      <c r="P1815" s="24"/>
      <c r="Q1815" s="24"/>
      <c r="R1815" s="24"/>
      <c r="S1815" s="24"/>
      <c r="T1815" s="24"/>
      <c r="U1815" s="24"/>
      <c r="V1815" s="24"/>
      <c r="W1815" s="24"/>
      <c r="X1815" s="24"/>
      <c r="Y1815" s="24"/>
      <c r="Z1815" s="24"/>
      <c r="AA1815" s="24"/>
      <c r="AB1815" s="24"/>
      <c r="AC1815" s="24"/>
      <c r="AD1815" s="24"/>
      <c r="AE1815" s="24"/>
      <c r="AF1815" s="24"/>
      <c r="AG1815" s="24"/>
      <c r="AH1815" s="24"/>
      <c r="AI1815" s="24"/>
      <c r="AJ1815" s="24"/>
      <c r="AK1815" s="24"/>
      <c r="AL1815" s="24"/>
      <c r="AM1815" s="24"/>
      <c r="AN1815" s="24"/>
      <c r="AO1815" s="24"/>
      <c r="AP1815" s="24"/>
      <c r="AQ1815" s="24"/>
      <c r="AR1815" s="54"/>
    </row>
    <row r="1816">
      <c r="A1816" s="57"/>
      <c r="B1816" s="24"/>
      <c r="C1816" s="24"/>
      <c r="D1816" s="24"/>
      <c r="E1816" s="24"/>
      <c r="F1816" s="24"/>
      <c r="G1816" s="24"/>
      <c r="H1816" s="24"/>
      <c r="I1816" s="24"/>
      <c r="J1816" s="24"/>
      <c r="K1816" s="24"/>
      <c r="L1816" s="24"/>
      <c r="M1816" s="24"/>
      <c r="N1816" s="24"/>
      <c r="O1816" s="24"/>
      <c r="P1816" s="24"/>
      <c r="Q1816" s="24"/>
      <c r="R1816" s="24"/>
      <c r="S1816" s="24"/>
      <c r="T1816" s="24"/>
      <c r="U1816" s="24"/>
      <c r="V1816" s="24"/>
      <c r="W1816" s="24"/>
      <c r="X1816" s="24"/>
      <c r="Y1816" s="24"/>
      <c r="Z1816" s="24"/>
      <c r="AA1816" s="24"/>
      <c r="AB1816" s="24"/>
      <c r="AC1816" s="24"/>
      <c r="AD1816" s="24"/>
      <c r="AE1816" s="24"/>
      <c r="AF1816" s="24"/>
      <c r="AG1816" s="24"/>
      <c r="AH1816" s="24"/>
      <c r="AI1816" s="24"/>
      <c r="AJ1816" s="24"/>
      <c r="AK1816" s="24"/>
      <c r="AL1816" s="24"/>
      <c r="AM1816" s="24"/>
      <c r="AN1816" s="24"/>
      <c r="AO1816" s="24"/>
      <c r="AP1816" s="24"/>
      <c r="AQ1816" s="24"/>
      <c r="AR1816" s="54"/>
    </row>
    <row r="1817">
      <c r="A1817" s="57"/>
      <c r="B1817" s="24"/>
      <c r="C1817" s="24"/>
      <c r="D1817" s="24"/>
      <c r="E1817" s="24"/>
      <c r="F1817" s="24"/>
      <c r="G1817" s="24"/>
      <c r="H1817" s="24"/>
      <c r="I1817" s="24"/>
      <c r="J1817" s="24"/>
      <c r="K1817" s="24"/>
      <c r="L1817" s="24"/>
      <c r="M1817" s="24"/>
      <c r="N1817" s="24"/>
      <c r="O1817" s="24"/>
      <c r="P1817" s="24"/>
      <c r="Q1817" s="24"/>
      <c r="R1817" s="24"/>
      <c r="S1817" s="24"/>
      <c r="T1817" s="24"/>
      <c r="U1817" s="24"/>
      <c r="V1817" s="24"/>
      <c r="W1817" s="24"/>
      <c r="X1817" s="24"/>
      <c r="Y1817" s="24"/>
      <c r="Z1817" s="24"/>
      <c r="AA1817" s="24"/>
      <c r="AB1817" s="24"/>
      <c r="AC1817" s="24"/>
      <c r="AD1817" s="24"/>
      <c r="AE1817" s="24"/>
      <c r="AF1817" s="24"/>
      <c r="AG1817" s="24"/>
      <c r="AH1817" s="24"/>
      <c r="AI1817" s="24"/>
      <c r="AJ1817" s="24"/>
      <c r="AK1817" s="24"/>
      <c r="AL1817" s="24"/>
      <c r="AM1817" s="24"/>
      <c r="AN1817" s="24"/>
      <c r="AO1817" s="24"/>
      <c r="AP1817" s="24"/>
      <c r="AQ1817" s="24"/>
      <c r="AR1817" s="54"/>
    </row>
    <row r="1818">
      <c r="A1818" s="57"/>
      <c r="B1818" s="24"/>
      <c r="C1818" s="24"/>
      <c r="D1818" s="24"/>
      <c r="E1818" s="24"/>
      <c r="F1818" s="24"/>
      <c r="G1818" s="24"/>
      <c r="H1818" s="24"/>
      <c r="I1818" s="24"/>
      <c r="J1818" s="24"/>
      <c r="K1818" s="24"/>
      <c r="L1818" s="24"/>
      <c r="M1818" s="24"/>
      <c r="N1818" s="24"/>
      <c r="O1818" s="24"/>
      <c r="P1818" s="24"/>
      <c r="Q1818" s="24"/>
      <c r="R1818" s="24"/>
      <c r="S1818" s="24"/>
      <c r="T1818" s="24"/>
      <c r="U1818" s="24"/>
      <c r="V1818" s="24"/>
      <c r="W1818" s="24"/>
      <c r="X1818" s="24"/>
      <c r="Y1818" s="24"/>
      <c r="Z1818" s="24"/>
      <c r="AA1818" s="24"/>
      <c r="AB1818" s="24"/>
      <c r="AC1818" s="24"/>
      <c r="AD1818" s="24"/>
      <c r="AE1818" s="24"/>
      <c r="AF1818" s="24"/>
      <c r="AG1818" s="24"/>
      <c r="AH1818" s="24"/>
      <c r="AI1818" s="24"/>
      <c r="AJ1818" s="24"/>
      <c r="AK1818" s="24"/>
      <c r="AL1818" s="24"/>
      <c r="AM1818" s="24"/>
      <c r="AN1818" s="24"/>
      <c r="AO1818" s="24"/>
      <c r="AP1818" s="24"/>
      <c r="AQ1818" s="24"/>
      <c r="AR1818" s="54"/>
    </row>
    <row r="1819">
      <c r="A1819" s="57"/>
      <c r="B1819" s="24"/>
      <c r="C1819" s="24"/>
      <c r="D1819" s="24"/>
      <c r="E1819" s="24"/>
      <c r="F1819" s="24"/>
      <c r="G1819" s="24"/>
      <c r="H1819" s="24"/>
      <c r="I1819" s="24"/>
      <c r="J1819" s="24"/>
      <c r="K1819" s="24"/>
      <c r="L1819" s="24"/>
      <c r="M1819" s="24"/>
      <c r="N1819" s="24"/>
      <c r="O1819" s="24"/>
      <c r="P1819" s="24"/>
      <c r="Q1819" s="24"/>
      <c r="R1819" s="24"/>
      <c r="S1819" s="24"/>
      <c r="T1819" s="24"/>
      <c r="U1819" s="24"/>
      <c r="V1819" s="24"/>
      <c r="W1819" s="24"/>
      <c r="X1819" s="24"/>
      <c r="Y1819" s="24"/>
      <c r="Z1819" s="24"/>
      <c r="AA1819" s="24"/>
      <c r="AB1819" s="24"/>
      <c r="AC1819" s="24"/>
      <c r="AD1819" s="24"/>
      <c r="AE1819" s="24"/>
      <c r="AF1819" s="24"/>
      <c r="AG1819" s="24"/>
      <c r="AH1819" s="24"/>
      <c r="AI1819" s="24"/>
      <c r="AJ1819" s="24"/>
      <c r="AK1819" s="24"/>
      <c r="AL1819" s="24"/>
      <c r="AM1819" s="24"/>
      <c r="AN1819" s="24"/>
      <c r="AO1819" s="24"/>
      <c r="AP1819" s="24"/>
      <c r="AQ1819" s="24"/>
      <c r="AR1819" s="54"/>
    </row>
    <row r="1820">
      <c r="A1820" s="57"/>
      <c r="B1820" s="24"/>
      <c r="C1820" s="24"/>
      <c r="D1820" s="24"/>
      <c r="E1820" s="24"/>
      <c r="F1820" s="24"/>
      <c r="G1820" s="24"/>
      <c r="H1820" s="24"/>
      <c r="I1820" s="24"/>
      <c r="J1820" s="24"/>
      <c r="K1820" s="24"/>
      <c r="L1820" s="24"/>
      <c r="M1820" s="24"/>
      <c r="N1820" s="24"/>
      <c r="O1820" s="24"/>
      <c r="P1820" s="24"/>
      <c r="Q1820" s="24"/>
      <c r="R1820" s="24"/>
      <c r="S1820" s="24"/>
      <c r="T1820" s="24"/>
      <c r="U1820" s="24"/>
      <c r="V1820" s="24"/>
      <c r="W1820" s="24"/>
      <c r="X1820" s="24"/>
      <c r="Y1820" s="24"/>
      <c r="Z1820" s="24"/>
      <c r="AA1820" s="24"/>
      <c r="AB1820" s="24"/>
      <c r="AC1820" s="24"/>
      <c r="AD1820" s="24"/>
      <c r="AE1820" s="24"/>
      <c r="AF1820" s="24"/>
      <c r="AG1820" s="24"/>
      <c r="AH1820" s="24"/>
      <c r="AI1820" s="24"/>
      <c r="AJ1820" s="24"/>
      <c r="AK1820" s="24"/>
      <c r="AL1820" s="24"/>
      <c r="AM1820" s="24"/>
      <c r="AN1820" s="24"/>
      <c r="AO1820" s="24"/>
      <c r="AP1820" s="24"/>
      <c r="AQ1820" s="24"/>
      <c r="AR1820" s="54"/>
    </row>
    <row r="1821">
      <c r="A1821" s="57"/>
      <c r="B1821" s="24"/>
      <c r="C1821" s="24"/>
      <c r="D1821" s="24"/>
      <c r="E1821" s="24"/>
      <c r="F1821" s="24"/>
      <c r="G1821" s="24"/>
      <c r="H1821" s="24"/>
      <c r="I1821" s="24"/>
      <c r="J1821" s="24"/>
      <c r="K1821" s="24"/>
      <c r="L1821" s="24"/>
      <c r="M1821" s="24"/>
      <c r="N1821" s="24"/>
      <c r="O1821" s="24"/>
      <c r="P1821" s="24"/>
      <c r="Q1821" s="24"/>
      <c r="R1821" s="24"/>
      <c r="S1821" s="24"/>
      <c r="T1821" s="24"/>
      <c r="U1821" s="24"/>
      <c r="V1821" s="24"/>
      <c r="W1821" s="24"/>
      <c r="X1821" s="24"/>
      <c r="Y1821" s="24"/>
      <c r="Z1821" s="24"/>
      <c r="AA1821" s="24"/>
      <c r="AB1821" s="24"/>
      <c r="AC1821" s="24"/>
      <c r="AD1821" s="24"/>
      <c r="AE1821" s="24"/>
      <c r="AF1821" s="24"/>
      <c r="AG1821" s="24"/>
      <c r="AH1821" s="24"/>
      <c r="AI1821" s="24"/>
      <c r="AJ1821" s="24"/>
      <c r="AK1821" s="24"/>
      <c r="AL1821" s="24"/>
      <c r="AM1821" s="24"/>
      <c r="AN1821" s="24"/>
      <c r="AO1821" s="24"/>
      <c r="AP1821" s="24"/>
      <c r="AQ1821" s="24"/>
      <c r="AR1821" s="54"/>
    </row>
    <row r="1822">
      <c r="A1822" s="57"/>
      <c r="B1822" s="24"/>
      <c r="C1822" s="24"/>
      <c r="D1822" s="24"/>
      <c r="E1822" s="24"/>
      <c r="F1822" s="24"/>
      <c r="G1822" s="24"/>
      <c r="H1822" s="24"/>
      <c r="I1822" s="24"/>
      <c r="J1822" s="24"/>
      <c r="K1822" s="24"/>
      <c r="L1822" s="24"/>
      <c r="M1822" s="24"/>
      <c r="N1822" s="24"/>
      <c r="O1822" s="24"/>
      <c r="P1822" s="24"/>
      <c r="Q1822" s="24"/>
      <c r="R1822" s="24"/>
      <c r="S1822" s="24"/>
      <c r="T1822" s="24"/>
      <c r="U1822" s="24"/>
      <c r="V1822" s="24"/>
      <c r="W1822" s="24"/>
      <c r="X1822" s="24"/>
      <c r="Y1822" s="24"/>
      <c r="Z1822" s="24"/>
      <c r="AA1822" s="24"/>
      <c r="AB1822" s="24"/>
      <c r="AC1822" s="24"/>
      <c r="AD1822" s="24"/>
      <c r="AE1822" s="24"/>
      <c r="AF1822" s="24"/>
      <c r="AG1822" s="24"/>
      <c r="AH1822" s="24"/>
      <c r="AI1822" s="24"/>
      <c r="AJ1822" s="24"/>
      <c r="AK1822" s="24"/>
      <c r="AL1822" s="24"/>
      <c r="AM1822" s="24"/>
      <c r="AN1822" s="24"/>
      <c r="AO1822" s="24"/>
      <c r="AP1822" s="24"/>
      <c r="AQ1822" s="24"/>
      <c r="AR1822" s="54"/>
    </row>
    <row r="1823">
      <c r="A1823" s="57"/>
      <c r="B1823" s="24"/>
      <c r="C1823" s="24"/>
      <c r="D1823" s="24"/>
      <c r="E1823" s="24"/>
      <c r="F1823" s="24"/>
      <c r="G1823" s="24"/>
      <c r="H1823" s="24"/>
      <c r="I1823" s="24"/>
      <c r="J1823" s="24"/>
      <c r="K1823" s="24"/>
      <c r="L1823" s="24"/>
      <c r="M1823" s="24"/>
      <c r="N1823" s="24"/>
      <c r="O1823" s="24"/>
      <c r="P1823" s="24"/>
      <c r="Q1823" s="24"/>
      <c r="R1823" s="24"/>
      <c r="S1823" s="24"/>
      <c r="T1823" s="24"/>
      <c r="U1823" s="24"/>
      <c r="V1823" s="24"/>
      <c r="W1823" s="24"/>
      <c r="X1823" s="24"/>
      <c r="Y1823" s="24"/>
      <c r="Z1823" s="24"/>
      <c r="AA1823" s="24"/>
      <c r="AB1823" s="24"/>
      <c r="AC1823" s="24"/>
      <c r="AD1823" s="24"/>
      <c r="AE1823" s="24"/>
      <c r="AF1823" s="24"/>
      <c r="AG1823" s="24"/>
      <c r="AH1823" s="24"/>
      <c r="AI1823" s="24"/>
      <c r="AJ1823" s="24"/>
      <c r="AK1823" s="24"/>
      <c r="AL1823" s="24"/>
      <c r="AM1823" s="24"/>
      <c r="AN1823" s="24"/>
      <c r="AO1823" s="24"/>
      <c r="AP1823" s="24"/>
      <c r="AQ1823" s="24"/>
      <c r="AR1823" s="54"/>
    </row>
    <row r="1824">
      <c r="A1824" s="57"/>
      <c r="B1824" s="24"/>
      <c r="C1824" s="24"/>
      <c r="D1824" s="24"/>
      <c r="E1824" s="24"/>
      <c r="F1824" s="24"/>
      <c r="G1824" s="24"/>
      <c r="H1824" s="24"/>
      <c r="I1824" s="24"/>
      <c r="J1824" s="24"/>
      <c r="K1824" s="24"/>
      <c r="L1824" s="24"/>
      <c r="M1824" s="24"/>
      <c r="N1824" s="24"/>
      <c r="O1824" s="24"/>
      <c r="P1824" s="24"/>
      <c r="Q1824" s="24"/>
      <c r="R1824" s="24"/>
      <c r="S1824" s="24"/>
      <c r="T1824" s="24"/>
      <c r="U1824" s="24"/>
      <c r="V1824" s="24"/>
      <c r="W1824" s="24"/>
      <c r="X1824" s="24"/>
      <c r="Y1824" s="24"/>
      <c r="Z1824" s="24"/>
      <c r="AA1824" s="24"/>
      <c r="AB1824" s="24"/>
      <c r="AC1824" s="24"/>
      <c r="AD1824" s="24"/>
      <c r="AE1824" s="24"/>
      <c r="AF1824" s="24"/>
      <c r="AG1824" s="24"/>
      <c r="AH1824" s="24"/>
      <c r="AI1824" s="24"/>
      <c r="AJ1824" s="24"/>
      <c r="AK1824" s="24"/>
      <c r="AL1824" s="24"/>
      <c r="AM1824" s="24"/>
      <c r="AN1824" s="24"/>
      <c r="AO1824" s="24"/>
      <c r="AP1824" s="24"/>
      <c r="AQ1824" s="24"/>
      <c r="AR1824" s="54"/>
    </row>
    <row r="1825">
      <c r="A1825" s="57"/>
      <c r="B1825" s="24"/>
      <c r="C1825" s="24"/>
      <c r="D1825" s="24"/>
      <c r="E1825" s="24"/>
      <c r="F1825" s="24"/>
      <c r="G1825" s="24"/>
      <c r="H1825" s="24"/>
      <c r="I1825" s="24"/>
      <c r="J1825" s="24"/>
      <c r="K1825" s="24"/>
      <c r="L1825" s="24"/>
      <c r="M1825" s="24"/>
      <c r="N1825" s="24"/>
      <c r="O1825" s="24"/>
      <c r="P1825" s="24"/>
      <c r="Q1825" s="24"/>
      <c r="R1825" s="24"/>
      <c r="S1825" s="24"/>
      <c r="T1825" s="24"/>
      <c r="U1825" s="24"/>
      <c r="V1825" s="24"/>
      <c r="W1825" s="24"/>
      <c r="X1825" s="24"/>
      <c r="Y1825" s="24"/>
      <c r="Z1825" s="24"/>
      <c r="AA1825" s="24"/>
      <c r="AB1825" s="24"/>
      <c r="AC1825" s="24"/>
      <c r="AD1825" s="24"/>
      <c r="AE1825" s="24"/>
      <c r="AF1825" s="24"/>
      <c r="AG1825" s="24"/>
      <c r="AH1825" s="24"/>
      <c r="AI1825" s="24"/>
      <c r="AJ1825" s="24"/>
      <c r="AK1825" s="24"/>
      <c r="AL1825" s="24"/>
      <c r="AM1825" s="24"/>
      <c r="AN1825" s="24"/>
      <c r="AO1825" s="24"/>
      <c r="AP1825" s="24"/>
      <c r="AQ1825" s="24"/>
      <c r="AR1825" s="54"/>
    </row>
    <row r="1826">
      <c r="A1826" s="57"/>
      <c r="B1826" s="24"/>
      <c r="C1826" s="24"/>
      <c r="D1826" s="24"/>
      <c r="E1826" s="24"/>
      <c r="F1826" s="24"/>
      <c r="G1826" s="24"/>
      <c r="H1826" s="24"/>
      <c r="I1826" s="24"/>
      <c r="J1826" s="24"/>
      <c r="K1826" s="24"/>
      <c r="L1826" s="24"/>
      <c r="M1826" s="24"/>
      <c r="N1826" s="24"/>
      <c r="O1826" s="24"/>
      <c r="P1826" s="24"/>
      <c r="Q1826" s="24"/>
      <c r="R1826" s="24"/>
      <c r="S1826" s="24"/>
      <c r="T1826" s="24"/>
      <c r="U1826" s="24"/>
      <c r="V1826" s="24"/>
      <c r="W1826" s="24"/>
      <c r="X1826" s="24"/>
      <c r="Y1826" s="24"/>
      <c r="Z1826" s="24"/>
      <c r="AA1826" s="24"/>
      <c r="AB1826" s="24"/>
      <c r="AC1826" s="24"/>
      <c r="AD1826" s="24"/>
      <c r="AE1826" s="24"/>
      <c r="AF1826" s="24"/>
      <c r="AG1826" s="24"/>
      <c r="AH1826" s="24"/>
      <c r="AI1826" s="24"/>
      <c r="AJ1826" s="24"/>
      <c r="AK1826" s="24"/>
      <c r="AL1826" s="24"/>
      <c r="AM1826" s="24"/>
      <c r="AN1826" s="24"/>
      <c r="AO1826" s="24"/>
      <c r="AP1826" s="24"/>
      <c r="AQ1826" s="24"/>
      <c r="AR1826" s="54"/>
    </row>
    <row r="1827">
      <c r="A1827" s="57"/>
      <c r="B1827" s="24"/>
      <c r="C1827" s="24"/>
      <c r="D1827" s="24"/>
      <c r="E1827" s="24"/>
      <c r="F1827" s="24"/>
      <c r="G1827" s="24"/>
      <c r="H1827" s="24"/>
      <c r="I1827" s="24"/>
      <c r="J1827" s="24"/>
      <c r="K1827" s="24"/>
      <c r="L1827" s="24"/>
      <c r="M1827" s="24"/>
      <c r="N1827" s="24"/>
      <c r="O1827" s="24"/>
      <c r="P1827" s="24"/>
      <c r="Q1827" s="24"/>
      <c r="R1827" s="24"/>
      <c r="S1827" s="24"/>
      <c r="T1827" s="24"/>
      <c r="U1827" s="24"/>
      <c r="V1827" s="24"/>
      <c r="W1827" s="24"/>
      <c r="X1827" s="24"/>
      <c r="Y1827" s="24"/>
      <c r="Z1827" s="24"/>
      <c r="AA1827" s="24"/>
      <c r="AB1827" s="24"/>
      <c r="AC1827" s="24"/>
      <c r="AD1827" s="24"/>
      <c r="AE1827" s="24"/>
      <c r="AF1827" s="24"/>
      <c r="AG1827" s="24"/>
      <c r="AH1827" s="24"/>
      <c r="AI1827" s="24"/>
      <c r="AJ1827" s="24"/>
      <c r="AK1827" s="24"/>
      <c r="AL1827" s="24"/>
      <c r="AM1827" s="24"/>
      <c r="AN1827" s="24"/>
      <c r="AO1827" s="24"/>
      <c r="AP1827" s="24"/>
      <c r="AQ1827" s="24"/>
      <c r="AR1827" s="54"/>
    </row>
    <row r="1828">
      <c r="A1828" s="57"/>
      <c r="B1828" s="24"/>
      <c r="C1828" s="24"/>
      <c r="D1828" s="24"/>
      <c r="E1828" s="24"/>
      <c r="F1828" s="24"/>
      <c r="G1828" s="24"/>
      <c r="H1828" s="24"/>
      <c r="I1828" s="24"/>
      <c r="J1828" s="24"/>
      <c r="K1828" s="24"/>
      <c r="L1828" s="24"/>
      <c r="M1828" s="24"/>
      <c r="N1828" s="24"/>
      <c r="O1828" s="24"/>
      <c r="P1828" s="24"/>
      <c r="Q1828" s="24"/>
      <c r="R1828" s="24"/>
      <c r="S1828" s="24"/>
      <c r="T1828" s="24"/>
      <c r="U1828" s="24"/>
      <c r="V1828" s="24"/>
      <c r="W1828" s="24"/>
      <c r="X1828" s="24"/>
      <c r="Y1828" s="24"/>
      <c r="Z1828" s="24"/>
      <c r="AA1828" s="24"/>
      <c r="AB1828" s="24"/>
      <c r="AC1828" s="24"/>
      <c r="AD1828" s="24"/>
      <c r="AE1828" s="24"/>
      <c r="AF1828" s="24"/>
      <c r="AG1828" s="24"/>
      <c r="AH1828" s="24"/>
      <c r="AI1828" s="24"/>
      <c r="AJ1828" s="24"/>
      <c r="AK1828" s="24"/>
      <c r="AL1828" s="24"/>
      <c r="AM1828" s="24"/>
      <c r="AN1828" s="24"/>
      <c r="AO1828" s="24"/>
      <c r="AP1828" s="24"/>
      <c r="AQ1828" s="24"/>
      <c r="AR1828" s="54"/>
    </row>
    <row r="1829">
      <c r="A1829" s="57"/>
      <c r="B1829" s="24"/>
      <c r="C1829" s="24"/>
      <c r="D1829" s="24"/>
      <c r="E1829" s="24"/>
      <c r="F1829" s="24"/>
      <c r="G1829" s="24"/>
      <c r="H1829" s="24"/>
      <c r="I1829" s="24"/>
      <c r="J1829" s="24"/>
      <c r="K1829" s="24"/>
      <c r="L1829" s="24"/>
      <c r="M1829" s="24"/>
      <c r="N1829" s="24"/>
      <c r="O1829" s="24"/>
      <c r="P1829" s="24"/>
      <c r="Q1829" s="24"/>
      <c r="R1829" s="24"/>
      <c r="S1829" s="24"/>
      <c r="T1829" s="24"/>
      <c r="U1829" s="24"/>
      <c r="V1829" s="24"/>
      <c r="W1829" s="24"/>
      <c r="X1829" s="24"/>
      <c r="Y1829" s="24"/>
      <c r="Z1829" s="24"/>
      <c r="AA1829" s="24"/>
      <c r="AB1829" s="24"/>
      <c r="AC1829" s="24"/>
      <c r="AD1829" s="24"/>
      <c r="AE1829" s="24"/>
      <c r="AF1829" s="24"/>
      <c r="AG1829" s="24"/>
      <c r="AH1829" s="24"/>
      <c r="AI1829" s="24"/>
      <c r="AJ1829" s="24"/>
      <c r="AK1829" s="24"/>
      <c r="AL1829" s="24"/>
      <c r="AM1829" s="24"/>
      <c r="AN1829" s="24"/>
      <c r="AO1829" s="24"/>
      <c r="AP1829" s="24"/>
      <c r="AQ1829" s="24"/>
      <c r="AR1829" s="54"/>
    </row>
    <row r="1830">
      <c r="A1830" s="57"/>
      <c r="B1830" s="24"/>
      <c r="C1830" s="24"/>
      <c r="D1830" s="24"/>
      <c r="E1830" s="24"/>
      <c r="F1830" s="24"/>
      <c r="G1830" s="24"/>
      <c r="H1830" s="24"/>
      <c r="I1830" s="24"/>
      <c r="J1830" s="24"/>
      <c r="K1830" s="24"/>
      <c r="L1830" s="24"/>
      <c r="M1830" s="24"/>
      <c r="N1830" s="24"/>
      <c r="O1830" s="24"/>
      <c r="P1830" s="24"/>
      <c r="Q1830" s="24"/>
      <c r="R1830" s="24"/>
      <c r="S1830" s="24"/>
      <c r="T1830" s="24"/>
      <c r="U1830" s="24"/>
      <c r="V1830" s="24"/>
      <c r="W1830" s="24"/>
      <c r="X1830" s="24"/>
      <c r="Y1830" s="24"/>
      <c r="Z1830" s="24"/>
      <c r="AA1830" s="24"/>
      <c r="AB1830" s="24"/>
      <c r="AC1830" s="24"/>
      <c r="AD1830" s="24"/>
      <c r="AE1830" s="24"/>
      <c r="AF1830" s="24"/>
      <c r="AG1830" s="24"/>
      <c r="AH1830" s="24"/>
      <c r="AI1830" s="24"/>
      <c r="AJ1830" s="24"/>
      <c r="AK1830" s="24"/>
      <c r="AL1830" s="24"/>
      <c r="AM1830" s="24"/>
      <c r="AN1830" s="24"/>
      <c r="AO1830" s="24"/>
      <c r="AP1830" s="24"/>
      <c r="AQ1830" s="24"/>
      <c r="AR1830" s="54"/>
    </row>
    <row r="1831">
      <c r="A1831" s="57"/>
      <c r="B1831" s="24"/>
      <c r="C1831" s="24"/>
      <c r="D1831" s="24"/>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c r="AA1831" s="24"/>
      <c r="AB1831" s="24"/>
      <c r="AC1831" s="24"/>
      <c r="AD1831" s="24"/>
      <c r="AE1831" s="24"/>
      <c r="AF1831" s="24"/>
      <c r="AG1831" s="24"/>
      <c r="AH1831" s="24"/>
      <c r="AI1831" s="24"/>
      <c r="AJ1831" s="24"/>
      <c r="AK1831" s="24"/>
      <c r="AL1831" s="24"/>
      <c r="AM1831" s="24"/>
      <c r="AN1831" s="24"/>
      <c r="AO1831" s="24"/>
      <c r="AP1831" s="24"/>
      <c r="AQ1831" s="24"/>
      <c r="AR1831" s="54"/>
    </row>
    <row r="1832">
      <c r="A1832" s="57"/>
      <c r="B1832" s="24"/>
      <c r="C1832" s="24"/>
      <c r="D1832" s="24"/>
      <c r="E1832" s="24"/>
      <c r="F1832" s="24"/>
      <c r="G1832" s="24"/>
      <c r="H1832" s="24"/>
      <c r="I1832" s="24"/>
      <c r="J1832" s="24"/>
      <c r="K1832" s="24"/>
      <c r="L1832" s="24"/>
      <c r="M1832" s="24"/>
      <c r="N1832" s="24"/>
      <c r="O1832" s="24"/>
      <c r="P1832" s="24"/>
      <c r="Q1832" s="24"/>
      <c r="R1832" s="24"/>
      <c r="S1832" s="24"/>
      <c r="T1832" s="24"/>
      <c r="U1832" s="24"/>
      <c r="V1832" s="24"/>
      <c r="W1832" s="24"/>
      <c r="X1832" s="24"/>
      <c r="Y1832" s="24"/>
      <c r="Z1832" s="24"/>
      <c r="AA1832" s="24"/>
      <c r="AB1832" s="24"/>
      <c r="AC1832" s="24"/>
      <c r="AD1832" s="24"/>
      <c r="AE1832" s="24"/>
      <c r="AF1832" s="24"/>
      <c r="AG1832" s="24"/>
      <c r="AH1832" s="24"/>
      <c r="AI1832" s="24"/>
      <c r="AJ1832" s="24"/>
      <c r="AK1832" s="24"/>
      <c r="AL1832" s="24"/>
      <c r="AM1832" s="24"/>
      <c r="AN1832" s="24"/>
      <c r="AO1832" s="24"/>
      <c r="AP1832" s="24"/>
      <c r="AQ1832" s="24"/>
      <c r="AR1832" s="54"/>
    </row>
    <row r="1833">
      <c r="A1833" s="57"/>
      <c r="B1833" s="24"/>
      <c r="C1833" s="24"/>
      <c r="D1833" s="24"/>
      <c r="E1833" s="24"/>
      <c r="F1833" s="24"/>
      <c r="G1833" s="24"/>
      <c r="H1833" s="24"/>
      <c r="I1833" s="24"/>
      <c r="J1833" s="24"/>
      <c r="K1833" s="24"/>
      <c r="L1833" s="24"/>
      <c r="M1833" s="24"/>
      <c r="N1833" s="24"/>
      <c r="O1833" s="24"/>
      <c r="P1833" s="24"/>
      <c r="Q1833" s="24"/>
      <c r="R1833" s="24"/>
      <c r="S1833" s="24"/>
      <c r="T1833" s="24"/>
      <c r="U1833" s="24"/>
      <c r="V1833" s="24"/>
      <c r="W1833" s="24"/>
      <c r="X1833" s="24"/>
      <c r="Y1833" s="24"/>
      <c r="Z1833" s="24"/>
      <c r="AA1833" s="24"/>
      <c r="AB1833" s="24"/>
      <c r="AC1833" s="24"/>
      <c r="AD1833" s="24"/>
      <c r="AE1833" s="24"/>
      <c r="AF1833" s="24"/>
      <c r="AG1833" s="24"/>
      <c r="AH1833" s="24"/>
      <c r="AI1833" s="24"/>
      <c r="AJ1833" s="24"/>
      <c r="AK1833" s="24"/>
      <c r="AL1833" s="24"/>
      <c r="AM1833" s="24"/>
      <c r="AN1833" s="24"/>
      <c r="AO1833" s="24"/>
      <c r="AP1833" s="24"/>
      <c r="AQ1833" s="24"/>
      <c r="AR1833" s="54"/>
    </row>
    <row r="1834">
      <c r="A1834" s="57"/>
      <c r="B1834" s="24"/>
      <c r="C1834" s="24"/>
      <c r="D1834" s="24"/>
      <c r="E1834" s="24"/>
      <c r="F1834" s="24"/>
      <c r="G1834" s="24"/>
      <c r="H1834" s="24"/>
      <c r="I1834" s="24"/>
      <c r="J1834" s="24"/>
      <c r="K1834" s="24"/>
      <c r="L1834" s="24"/>
      <c r="M1834" s="24"/>
      <c r="N1834" s="24"/>
      <c r="O1834" s="24"/>
      <c r="P1834" s="24"/>
      <c r="Q1834" s="24"/>
      <c r="R1834" s="24"/>
      <c r="S1834" s="24"/>
      <c r="T1834" s="24"/>
      <c r="U1834" s="24"/>
      <c r="V1834" s="24"/>
      <c r="W1834" s="24"/>
      <c r="X1834" s="24"/>
      <c r="Y1834" s="24"/>
      <c r="Z1834" s="24"/>
      <c r="AA1834" s="24"/>
      <c r="AB1834" s="24"/>
      <c r="AC1834" s="24"/>
      <c r="AD1834" s="24"/>
      <c r="AE1834" s="24"/>
      <c r="AF1834" s="24"/>
      <c r="AG1834" s="24"/>
      <c r="AH1834" s="24"/>
      <c r="AI1834" s="24"/>
      <c r="AJ1834" s="24"/>
      <c r="AK1834" s="24"/>
      <c r="AL1834" s="24"/>
      <c r="AM1834" s="24"/>
      <c r="AN1834" s="24"/>
      <c r="AO1834" s="24"/>
      <c r="AP1834" s="24"/>
      <c r="AQ1834" s="24"/>
      <c r="AR1834" s="54"/>
    </row>
    <row r="1835">
      <c r="A1835" s="57"/>
      <c r="B1835" s="24"/>
      <c r="C1835" s="24"/>
      <c r="D1835" s="24"/>
      <c r="E1835" s="24"/>
      <c r="F1835" s="24"/>
      <c r="G1835" s="24"/>
      <c r="H1835" s="24"/>
      <c r="I1835" s="24"/>
      <c r="J1835" s="24"/>
      <c r="K1835" s="24"/>
      <c r="L1835" s="24"/>
      <c r="M1835" s="24"/>
      <c r="N1835" s="24"/>
      <c r="O1835" s="24"/>
      <c r="P1835" s="24"/>
      <c r="Q1835" s="24"/>
      <c r="R1835" s="24"/>
      <c r="S1835" s="24"/>
      <c r="T1835" s="24"/>
      <c r="U1835" s="24"/>
      <c r="V1835" s="24"/>
      <c r="W1835" s="24"/>
      <c r="X1835" s="24"/>
      <c r="Y1835" s="24"/>
      <c r="Z1835" s="24"/>
      <c r="AA1835" s="24"/>
      <c r="AB1835" s="24"/>
      <c r="AC1835" s="24"/>
      <c r="AD1835" s="24"/>
      <c r="AE1835" s="24"/>
      <c r="AF1835" s="24"/>
      <c r="AG1835" s="24"/>
      <c r="AH1835" s="24"/>
      <c r="AI1835" s="24"/>
      <c r="AJ1835" s="24"/>
      <c r="AK1835" s="24"/>
      <c r="AL1835" s="24"/>
      <c r="AM1835" s="24"/>
      <c r="AN1835" s="24"/>
      <c r="AO1835" s="24"/>
      <c r="AP1835" s="24"/>
      <c r="AQ1835" s="24"/>
      <c r="AR1835" s="54"/>
    </row>
    <row r="1836">
      <c r="A1836" s="57"/>
      <c r="B1836" s="24"/>
      <c r="C1836" s="24"/>
      <c r="D1836" s="24"/>
      <c r="E1836" s="24"/>
      <c r="F1836" s="24"/>
      <c r="G1836" s="24"/>
      <c r="H1836" s="24"/>
      <c r="I1836" s="24"/>
      <c r="J1836" s="24"/>
      <c r="K1836" s="24"/>
      <c r="L1836" s="24"/>
      <c r="M1836" s="24"/>
      <c r="N1836" s="24"/>
      <c r="O1836" s="24"/>
      <c r="P1836" s="24"/>
      <c r="Q1836" s="24"/>
      <c r="R1836" s="24"/>
      <c r="S1836" s="24"/>
      <c r="T1836" s="24"/>
      <c r="U1836" s="24"/>
      <c r="V1836" s="24"/>
      <c r="W1836" s="24"/>
      <c r="X1836" s="24"/>
      <c r="Y1836" s="24"/>
      <c r="Z1836" s="24"/>
      <c r="AA1836" s="24"/>
      <c r="AB1836" s="24"/>
      <c r="AC1836" s="24"/>
      <c r="AD1836" s="24"/>
      <c r="AE1836" s="24"/>
      <c r="AF1836" s="24"/>
      <c r="AG1836" s="24"/>
      <c r="AH1836" s="24"/>
      <c r="AI1836" s="24"/>
      <c r="AJ1836" s="24"/>
      <c r="AK1836" s="24"/>
      <c r="AL1836" s="24"/>
      <c r="AM1836" s="24"/>
      <c r="AN1836" s="24"/>
      <c r="AO1836" s="24"/>
      <c r="AP1836" s="24"/>
      <c r="AQ1836" s="24"/>
      <c r="AR1836" s="54"/>
    </row>
    <row r="1837">
      <c r="A1837" s="57"/>
      <c r="B1837" s="24"/>
      <c r="C1837" s="24"/>
      <c r="D1837" s="24"/>
      <c r="E1837" s="24"/>
      <c r="F1837" s="24"/>
      <c r="G1837" s="24"/>
      <c r="H1837" s="24"/>
      <c r="I1837" s="24"/>
      <c r="J1837" s="24"/>
      <c r="K1837" s="24"/>
      <c r="L1837" s="24"/>
      <c r="M1837" s="24"/>
      <c r="N1837" s="24"/>
      <c r="O1837" s="24"/>
      <c r="P1837" s="24"/>
      <c r="Q1837" s="24"/>
      <c r="R1837" s="24"/>
      <c r="S1837" s="24"/>
      <c r="T1837" s="24"/>
      <c r="U1837" s="24"/>
      <c r="V1837" s="24"/>
      <c r="W1837" s="24"/>
      <c r="X1837" s="24"/>
      <c r="Y1837" s="24"/>
      <c r="Z1837" s="24"/>
      <c r="AA1837" s="24"/>
      <c r="AB1837" s="24"/>
      <c r="AC1837" s="24"/>
      <c r="AD1837" s="24"/>
      <c r="AE1837" s="24"/>
      <c r="AF1837" s="24"/>
      <c r="AG1837" s="24"/>
      <c r="AH1837" s="24"/>
      <c r="AI1837" s="24"/>
      <c r="AJ1837" s="24"/>
      <c r="AK1837" s="24"/>
      <c r="AL1837" s="24"/>
      <c r="AM1837" s="24"/>
      <c r="AN1837" s="24"/>
      <c r="AO1837" s="24"/>
      <c r="AP1837" s="24"/>
      <c r="AQ1837" s="24"/>
      <c r="AR1837" s="54"/>
    </row>
    <row r="1838">
      <c r="A1838" s="57"/>
      <c r="B1838" s="24"/>
      <c r="C1838" s="24"/>
      <c r="D1838" s="24"/>
      <c r="E1838" s="24"/>
      <c r="F1838" s="24"/>
      <c r="G1838" s="24"/>
      <c r="H1838" s="24"/>
      <c r="I1838" s="24"/>
      <c r="J1838" s="24"/>
      <c r="K1838" s="24"/>
      <c r="L1838" s="24"/>
      <c r="M1838" s="24"/>
      <c r="N1838" s="24"/>
      <c r="O1838" s="24"/>
      <c r="P1838" s="24"/>
      <c r="Q1838" s="24"/>
      <c r="R1838" s="24"/>
      <c r="S1838" s="24"/>
      <c r="T1838" s="24"/>
      <c r="U1838" s="24"/>
      <c r="V1838" s="24"/>
      <c r="W1838" s="24"/>
      <c r="X1838" s="24"/>
      <c r="Y1838" s="24"/>
      <c r="Z1838" s="24"/>
      <c r="AA1838" s="24"/>
      <c r="AB1838" s="24"/>
      <c r="AC1838" s="24"/>
      <c r="AD1838" s="24"/>
      <c r="AE1838" s="24"/>
      <c r="AF1838" s="24"/>
      <c r="AG1838" s="24"/>
      <c r="AH1838" s="24"/>
      <c r="AI1838" s="24"/>
      <c r="AJ1838" s="24"/>
      <c r="AK1838" s="24"/>
      <c r="AL1838" s="24"/>
      <c r="AM1838" s="24"/>
      <c r="AN1838" s="24"/>
      <c r="AO1838" s="24"/>
      <c r="AP1838" s="24"/>
      <c r="AQ1838" s="24"/>
      <c r="AR1838" s="54"/>
    </row>
    <row r="1839">
      <c r="A1839" s="57"/>
      <c r="B1839" s="24"/>
      <c r="C1839" s="24"/>
      <c r="D1839" s="24"/>
      <c r="E1839" s="24"/>
      <c r="F1839" s="24"/>
      <c r="G1839" s="24"/>
      <c r="H1839" s="24"/>
      <c r="I1839" s="24"/>
      <c r="J1839" s="24"/>
      <c r="K1839" s="24"/>
      <c r="L1839" s="24"/>
      <c r="M1839" s="24"/>
      <c r="N1839" s="24"/>
      <c r="O1839" s="24"/>
      <c r="P1839" s="24"/>
      <c r="Q1839" s="24"/>
      <c r="R1839" s="24"/>
      <c r="S1839" s="24"/>
      <c r="T1839" s="24"/>
      <c r="U1839" s="24"/>
      <c r="V1839" s="24"/>
      <c r="W1839" s="24"/>
      <c r="X1839" s="24"/>
      <c r="Y1839" s="24"/>
      <c r="Z1839" s="24"/>
      <c r="AA1839" s="24"/>
      <c r="AB1839" s="24"/>
      <c r="AC1839" s="24"/>
      <c r="AD1839" s="24"/>
      <c r="AE1839" s="24"/>
      <c r="AF1839" s="24"/>
      <c r="AG1839" s="24"/>
      <c r="AH1839" s="24"/>
      <c r="AI1839" s="24"/>
      <c r="AJ1839" s="24"/>
      <c r="AK1839" s="24"/>
      <c r="AL1839" s="24"/>
      <c r="AM1839" s="24"/>
      <c r="AN1839" s="24"/>
      <c r="AO1839" s="24"/>
      <c r="AP1839" s="24"/>
      <c r="AQ1839" s="24"/>
      <c r="AR1839" s="54"/>
    </row>
    <row r="1840">
      <c r="A1840" s="57"/>
      <c r="B1840" s="24"/>
      <c r="C1840" s="24"/>
      <c r="D1840" s="24"/>
      <c r="E1840" s="24"/>
      <c r="F1840" s="24"/>
      <c r="G1840" s="24"/>
      <c r="H1840" s="24"/>
      <c r="I1840" s="24"/>
      <c r="J1840" s="24"/>
      <c r="K1840" s="24"/>
      <c r="L1840" s="24"/>
      <c r="M1840" s="24"/>
      <c r="N1840" s="24"/>
      <c r="O1840" s="24"/>
      <c r="P1840" s="24"/>
      <c r="Q1840" s="24"/>
      <c r="R1840" s="24"/>
      <c r="S1840" s="24"/>
      <c r="T1840" s="24"/>
      <c r="U1840" s="24"/>
      <c r="V1840" s="24"/>
      <c r="W1840" s="24"/>
      <c r="X1840" s="24"/>
      <c r="Y1840" s="24"/>
      <c r="Z1840" s="24"/>
      <c r="AA1840" s="24"/>
      <c r="AB1840" s="24"/>
      <c r="AC1840" s="24"/>
      <c r="AD1840" s="24"/>
      <c r="AE1840" s="24"/>
      <c r="AF1840" s="24"/>
      <c r="AG1840" s="24"/>
      <c r="AH1840" s="24"/>
      <c r="AI1840" s="24"/>
      <c r="AJ1840" s="24"/>
      <c r="AK1840" s="24"/>
      <c r="AL1840" s="24"/>
      <c r="AM1840" s="24"/>
      <c r="AN1840" s="24"/>
      <c r="AO1840" s="24"/>
      <c r="AP1840" s="24"/>
      <c r="AQ1840" s="24"/>
      <c r="AR1840" s="54"/>
    </row>
    <row r="1841">
      <c r="A1841" s="57"/>
      <c r="B1841" s="24"/>
      <c r="C1841" s="24"/>
      <c r="D1841" s="24"/>
      <c r="E1841" s="24"/>
      <c r="F1841" s="24"/>
      <c r="G1841" s="24"/>
      <c r="H1841" s="24"/>
      <c r="I1841" s="24"/>
      <c r="J1841" s="24"/>
      <c r="K1841" s="24"/>
      <c r="L1841" s="24"/>
      <c r="M1841" s="24"/>
      <c r="N1841" s="24"/>
      <c r="O1841" s="24"/>
      <c r="P1841" s="24"/>
      <c r="Q1841" s="24"/>
      <c r="R1841" s="24"/>
      <c r="S1841" s="24"/>
      <c r="T1841" s="24"/>
      <c r="U1841" s="24"/>
      <c r="V1841" s="24"/>
      <c r="W1841" s="24"/>
      <c r="X1841" s="24"/>
      <c r="Y1841" s="24"/>
      <c r="Z1841" s="24"/>
      <c r="AA1841" s="24"/>
      <c r="AB1841" s="24"/>
      <c r="AC1841" s="24"/>
      <c r="AD1841" s="24"/>
      <c r="AE1841" s="24"/>
      <c r="AF1841" s="24"/>
      <c r="AG1841" s="24"/>
      <c r="AH1841" s="24"/>
      <c r="AI1841" s="24"/>
      <c r="AJ1841" s="24"/>
      <c r="AK1841" s="24"/>
      <c r="AL1841" s="24"/>
      <c r="AM1841" s="24"/>
      <c r="AN1841" s="24"/>
      <c r="AO1841" s="24"/>
      <c r="AP1841" s="24"/>
      <c r="AQ1841" s="24"/>
      <c r="AR1841" s="54"/>
    </row>
    <row r="1842">
      <c r="A1842" s="57"/>
      <c r="B1842" s="24"/>
      <c r="C1842" s="24"/>
      <c r="D1842" s="24"/>
      <c r="E1842" s="24"/>
      <c r="F1842" s="24"/>
      <c r="G1842" s="24"/>
      <c r="H1842" s="24"/>
      <c r="I1842" s="24"/>
      <c r="J1842" s="24"/>
      <c r="K1842" s="24"/>
      <c r="L1842" s="24"/>
      <c r="M1842" s="24"/>
      <c r="N1842" s="24"/>
      <c r="O1842" s="24"/>
      <c r="P1842" s="24"/>
      <c r="Q1842" s="24"/>
      <c r="R1842" s="24"/>
      <c r="S1842" s="24"/>
      <c r="T1842" s="24"/>
      <c r="U1842" s="24"/>
      <c r="V1842" s="24"/>
      <c r="W1842" s="24"/>
      <c r="X1842" s="24"/>
      <c r="Y1842" s="24"/>
      <c r="Z1842" s="24"/>
      <c r="AA1842" s="24"/>
      <c r="AB1842" s="24"/>
      <c r="AC1842" s="24"/>
      <c r="AD1842" s="24"/>
      <c r="AE1842" s="24"/>
      <c r="AF1842" s="24"/>
      <c r="AG1842" s="24"/>
      <c r="AH1842" s="24"/>
      <c r="AI1842" s="24"/>
      <c r="AJ1842" s="24"/>
      <c r="AK1842" s="24"/>
      <c r="AL1842" s="24"/>
      <c r="AM1842" s="24"/>
      <c r="AN1842" s="24"/>
      <c r="AO1842" s="24"/>
      <c r="AP1842" s="24"/>
      <c r="AQ1842" s="24"/>
      <c r="AR1842" s="54"/>
    </row>
    <row r="1843">
      <c r="A1843" s="57"/>
      <c r="B1843" s="24"/>
      <c r="C1843" s="24"/>
      <c r="D1843" s="24"/>
      <c r="E1843" s="24"/>
      <c r="F1843" s="24"/>
      <c r="G1843" s="24"/>
      <c r="H1843" s="24"/>
      <c r="I1843" s="24"/>
      <c r="J1843" s="24"/>
      <c r="K1843" s="24"/>
      <c r="L1843" s="24"/>
      <c r="M1843" s="24"/>
      <c r="N1843" s="24"/>
      <c r="O1843" s="24"/>
      <c r="P1843" s="24"/>
      <c r="Q1843" s="24"/>
      <c r="R1843" s="24"/>
      <c r="S1843" s="24"/>
      <c r="T1843" s="24"/>
      <c r="U1843" s="24"/>
      <c r="V1843" s="24"/>
      <c r="W1843" s="24"/>
      <c r="X1843" s="24"/>
      <c r="Y1843" s="24"/>
      <c r="Z1843" s="24"/>
      <c r="AA1843" s="24"/>
      <c r="AB1843" s="24"/>
      <c r="AC1843" s="24"/>
      <c r="AD1843" s="24"/>
      <c r="AE1843" s="24"/>
      <c r="AF1843" s="24"/>
      <c r="AG1843" s="24"/>
      <c r="AH1843" s="24"/>
      <c r="AI1843" s="24"/>
      <c r="AJ1843" s="24"/>
      <c r="AK1843" s="24"/>
      <c r="AL1843" s="24"/>
      <c r="AM1843" s="24"/>
      <c r="AN1843" s="24"/>
      <c r="AO1843" s="24"/>
      <c r="AP1843" s="24"/>
      <c r="AQ1843" s="24"/>
      <c r="AR1843" s="54"/>
    </row>
    <row r="1844">
      <c r="A1844" s="57"/>
      <c r="B1844" s="24"/>
      <c r="C1844" s="24"/>
      <c r="D1844" s="24"/>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c r="AA1844" s="24"/>
      <c r="AB1844" s="24"/>
      <c r="AC1844" s="24"/>
      <c r="AD1844" s="24"/>
      <c r="AE1844" s="24"/>
      <c r="AF1844" s="24"/>
      <c r="AG1844" s="24"/>
      <c r="AH1844" s="24"/>
      <c r="AI1844" s="24"/>
      <c r="AJ1844" s="24"/>
      <c r="AK1844" s="24"/>
      <c r="AL1844" s="24"/>
      <c r="AM1844" s="24"/>
      <c r="AN1844" s="24"/>
      <c r="AO1844" s="24"/>
      <c r="AP1844" s="24"/>
      <c r="AQ1844" s="24"/>
      <c r="AR1844" s="54"/>
    </row>
    <row r="1845">
      <c r="A1845" s="57"/>
      <c r="B1845" s="24"/>
      <c r="C1845" s="24"/>
      <c r="D1845" s="24"/>
      <c r="E1845" s="24"/>
      <c r="F1845" s="24"/>
      <c r="G1845" s="24"/>
      <c r="H1845" s="24"/>
      <c r="I1845" s="24"/>
      <c r="J1845" s="24"/>
      <c r="K1845" s="24"/>
      <c r="L1845" s="24"/>
      <c r="M1845" s="24"/>
      <c r="N1845" s="24"/>
      <c r="O1845" s="24"/>
      <c r="P1845" s="24"/>
      <c r="Q1845" s="24"/>
      <c r="R1845" s="24"/>
      <c r="S1845" s="24"/>
      <c r="T1845" s="24"/>
      <c r="U1845" s="24"/>
      <c r="V1845" s="24"/>
      <c r="W1845" s="24"/>
      <c r="X1845" s="24"/>
      <c r="Y1845" s="24"/>
      <c r="Z1845" s="24"/>
      <c r="AA1845" s="24"/>
      <c r="AB1845" s="24"/>
      <c r="AC1845" s="24"/>
      <c r="AD1845" s="24"/>
      <c r="AE1845" s="24"/>
      <c r="AF1845" s="24"/>
      <c r="AG1845" s="24"/>
      <c r="AH1845" s="24"/>
      <c r="AI1845" s="24"/>
      <c r="AJ1845" s="24"/>
      <c r="AK1845" s="24"/>
      <c r="AL1845" s="24"/>
      <c r="AM1845" s="24"/>
      <c r="AN1845" s="24"/>
      <c r="AO1845" s="24"/>
      <c r="AP1845" s="24"/>
      <c r="AQ1845" s="24"/>
      <c r="AR1845" s="54"/>
    </row>
    <row r="1846">
      <c r="A1846" s="57"/>
      <c r="B1846" s="24"/>
      <c r="C1846" s="24"/>
      <c r="D1846" s="24"/>
      <c r="E1846" s="24"/>
      <c r="F1846" s="24"/>
      <c r="G1846" s="24"/>
      <c r="H1846" s="24"/>
      <c r="I1846" s="24"/>
      <c r="J1846" s="24"/>
      <c r="K1846" s="24"/>
      <c r="L1846" s="24"/>
      <c r="M1846" s="24"/>
      <c r="N1846" s="24"/>
      <c r="O1846" s="24"/>
      <c r="P1846" s="24"/>
      <c r="Q1846" s="24"/>
      <c r="R1846" s="24"/>
      <c r="S1846" s="24"/>
      <c r="T1846" s="24"/>
      <c r="U1846" s="24"/>
      <c r="V1846" s="24"/>
      <c r="W1846" s="24"/>
      <c r="X1846" s="24"/>
      <c r="Y1846" s="24"/>
      <c r="Z1846" s="24"/>
      <c r="AA1846" s="24"/>
      <c r="AB1846" s="24"/>
      <c r="AC1846" s="24"/>
      <c r="AD1846" s="24"/>
      <c r="AE1846" s="24"/>
      <c r="AF1846" s="24"/>
      <c r="AG1846" s="24"/>
      <c r="AH1846" s="24"/>
      <c r="AI1846" s="24"/>
      <c r="AJ1846" s="24"/>
      <c r="AK1846" s="24"/>
      <c r="AL1846" s="24"/>
      <c r="AM1846" s="24"/>
      <c r="AN1846" s="24"/>
      <c r="AO1846" s="24"/>
      <c r="AP1846" s="24"/>
      <c r="AQ1846" s="24"/>
      <c r="AR1846" s="54"/>
    </row>
    <row r="1847">
      <c r="A1847" s="57"/>
      <c r="B1847" s="24"/>
      <c r="C1847" s="24"/>
      <c r="D1847" s="24"/>
      <c r="E1847" s="24"/>
      <c r="F1847" s="24"/>
      <c r="G1847" s="24"/>
      <c r="H1847" s="24"/>
      <c r="I1847" s="24"/>
      <c r="J1847" s="24"/>
      <c r="K1847" s="24"/>
      <c r="L1847" s="24"/>
      <c r="M1847" s="24"/>
      <c r="N1847" s="24"/>
      <c r="O1847" s="24"/>
      <c r="P1847" s="24"/>
      <c r="Q1847" s="24"/>
      <c r="R1847" s="24"/>
      <c r="S1847" s="24"/>
      <c r="T1847" s="24"/>
      <c r="U1847" s="24"/>
      <c r="V1847" s="24"/>
      <c r="W1847" s="24"/>
      <c r="X1847" s="24"/>
      <c r="Y1847" s="24"/>
      <c r="Z1847" s="24"/>
      <c r="AA1847" s="24"/>
      <c r="AB1847" s="24"/>
      <c r="AC1847" s="24"/>
      <c r="AD1847" s="24"/>
      <c r="AE1847" s="24"/>
      <c r="AF1847" s="24"/>
      <c r="AG1847" s="24"/>
      <c r="AH1847" s="24"/>
      <c r="AI1847" s="24"/>
      <c r="AJ1847" s="24"/>
      <c r="AK1847" s="24"/>
      <c r="AL1847" s="24"/>
      <c r="AM1847" s="24"/>
      <c r="AN1847" s="24"/>
      <c r="AO1847" s="24"/>
      <c r="AP1847" s="24"/>
      <c r="AQ1847" s="24"/>
      <c r="AR1847" s="54"/>
    </row>
    <row r="1848">
      <c r="A1848" s="57"/>
      <c r="B1848" s="24"/>
      <c r="C1848" s="24"/>
      <c r="D1848" s="24"/>
      <c r="E1848" s="24"/>
      <c r="F1848" s="24"/>
      <c r="G1848" s="24"/>
      <c r="H1848" s="24"/>
      <c r="I1848" s="24"/>
      <c r="J1848" s="24"/>
      <c r="K1848" s="24"/>
      <c r="L1848" s="24"/>
      <c r="M1848" s="24"/>
      <c r="N1848" s="24"/>
      <c r="O1848" s="24"/>
      <c r="P1848" s="24"/>
      <c r="Q1848" s="24"/>
      <c r="R1848" s="24"/>
      <c r="S1848" s="24"/>
      <c r="T1848" s="24"/>
      <c r="U1848" s="24"/>
      <c r="V1848" s="24"/>
      <c r="W1848" s="24"/>
      <c r="X1848" s="24"/>
      <c r="Y1848" s="24"/>
      <c r="Z1848" s="24"/>
      <c r="AA1848" s="24"/>
      <c r="AB1848" s="24"/>
      <c r="AC1848" s="24"/>
      <c r="AD1848" s="24"/>
      <c r="AE1848" s="24"/>
      <c r="AF1848" s="24"/>
      <c r="AG1848" s="24"/>
      <c r="AH1848" s="24"/>
      <c r="AI1848" s="24"/>
      <c r="AJ1848" s="24"/>
      <c r="AK1848" s="24"/>
      <c r="AL1848" s="24"/>
      <c r="AM1848" s="24"/>
      <c r="AN1848" s="24"/>
      <c r="AO1848" s="24"/>
      <c r="AP1848" s="24"/>
      <c r="AQ1848" s="24"/>
      <c r="AR1848" s="54"/>
    </row>
    <row r="1849">
      <c r="A1849" s="57"/>
      <c r="B1849" s="24"/>
      <c r="C1849" s="24"/>
      <c r="D1849" s="24"/>
      <c r="E1849" s="24"/>
      <c r="F1849" s="24"/>
      <c r="G1849" s="24"/>
      <c r="H1849" s="24"/>
      <c r="I1849" s="24"/>
      <c r="J1849" s="24"/>
      <c r="K1849" s="24"/>
      <c r="L1849" s="24"/>
      <c r="M1849" s="24"/>
      <c r="N1849" s="24"/>
      <c r="O1849" s="24"/>
      <c r="P1849" s="24"/>
      <c r="Q1849" s="24"/>
      <c r="R1849" s="24"/>
      <c r="S1849" s="24"/>
      <c r="T1849" s="24"/>
      <c r="U1849" s="24"/>
      <c r="V1849" s="24"/>
      <c r="W1849" s="24"/>
      <c r="X1849" s="24"/>
      <c r="Y1849" s="24"/>
      <c r="Z1849" s="24"/>
      <c r="AA1849" s="24"/>
      <c r="AB1849" s="24"/>
      <c r="AC1849" s="24"/>
      <c r="AD1849" s="24"/>
      <c r="AE1849" s="24"/>
      <c r="AF1849" s="24"/>
      <c r="AG1849" s="24"/>
      <c r="AH1849" s="24"/>
      <c r="AI1849" s="24"/>
      <c r="AJ1849" s="24"/>
      <c r="AK1849" s="24"/>
      <c r="AL1849" s="24"/>
      <c r="AM1849" s="24"/>
      <c r="AN1849" s="24"/>
      <c r="AO1849" s="24"/>
      <c r="AP1849" s="24"/>
      <c r="AQ1849" s="24"/>
      <c r="AR1849" s="54"/>
    </row>
    <row r="1850">
      <c r="A1850" s="57"/>
      <c r="B1850" s="24"/>
      <c r="C1850" s="24"/>
      <c r="D1850" s="24"/>
      <c r="E1850" s="24"/>
      <c r="F1850" s="24"/>
      <c r="G1850" s="24"/>
      <c r="H1850" s="24"/>
      <c r="I1850" s="24"/>
      <c r="J1850" s="24"/>
      <c r="K1850" s="24"/>
      <c r="L1850" s="24"/>
      <c r="M1850" s="24"/>
      <c r="N1850" s="24"/>
      <c r="O1850" s="24"/>
      <c r="P1850" s="24"/>
      <c r="Q1850" s="24"/>
      <c r="R1850" s="24"/>
      <c r="S1850" s="24"/>
      <c r="T1850" s="24"/>
      <c r="U1850" s="24"/>
      <c r="V1850" s="24"/>
      <c r="W1850" s="24"/>
      <c r="X1850" s="24"/>
      <c r="Y1850" s="24"/>
      <c r="Z1850" s="24"/>
      <c r="AA1850" s="24"/>
      <c r="AB1850" s="24"/>
      <c r="AC1850" s="24"/>
      <c r="AD1850" s="24"/>
      <c r="AE1850" s="24"/>
      <c r="AF1850" s="24"/>
      <c r="AG1850" s="24"/>
      <c r="AH1850" s="24"/>
      <c r="AI1850" s="24"/>
      <c r="AJ1850" s="24"/>
      <c r="AK1850" s="24"/>
      <c r="AL1850" s="24"/>
      <c r="AM1850" s="24"/>
      <c r="AN1850" s="24"/>
      <c r="AO1850" s="24"/>
      <c r="AP1850" s="24"/>
      <c r="AQ1850" s="24"/>
      <c r="AR1850" s="54"/>
    </row>
    <row r="1851">
      <c r="A1851" s="57"/>
      <c r="B1851" s="24"/>
      <c r="C1851" s="24"/>
      <c r="D1851" s="24"/>
      <c r="E1851" s="24"/>
      <c r="F1851" s="24"/>
      <c r="G1851" s="24"/>
      <c r="H1851" s="24"/>
      <c r="I1851" s="24"/>
      <c r="J1851" s="24"/>
      <c r="K1851" s="24"/>
      <c r="L1851" s="24"/>
      <c r="M1851" s="24"/>
      <c r="N1851" s="24"/>
      <c r="O1851" s="24"/>
      <c r="P1851" s="24"/>
      <c r="Q1851" s="24"/>
      <c r="R1851" s="24"/>
      <c r="S1851" s="24"/>
      <c r="T1851" s="24"/>
      <c r="U1851" s="24"/>
      <c r="V1851" s="24"/>
      <c r="W1851" s="24"/>
      <c r="X1851" s="24"/>
      <c r="Y1851" s="24"/>
      <c r="Z1851" s="24"/>
      <c r="AA1851" s="24"/>
      <c r="AB1851" s="24"/>
      <c r="AC1851" s="24"/>
      <c r="AD1851" s="24"/>
      <c r="AE1851" s="24"/>
      <c r="AF1851" s="24"/>
      <c r="AG1851" s="24"/>
      <c r="AH1851" s="24"/>
      <c r="AI1851" s="24"/>
      <c r="AJ1851" s="24"/>
      <c r="AK1851" s="24"/>
      <c r="AL1851" s="24"/>
      <c r="AM1851" s="24"/>
      <c r="AN1851" s="24"/>
      <c r="AO1851" s="24"/>
      <c r="AP1851" s="24"/>
      <c r="AQ1851" s="24"/>
      <c r="AR1851" s="54"/>
    </row>
    <row r="1852">
      <c r="A1852" s="57"/>
      <c r="B1852" s="24"/>
      <c r="C1852" s="24"/>
      <c r="D1852" s="24"/>
      <c r="E1852" s="24"/>
      <c r="F1852" s="24"/>
      <c r="G1852" s="24"/>
      <c r="H1852" s="24"/>
      <c r="I1852" s="24"/>
      <c r="J1852" s="24"/>
      <c r="K1852" s="24"/>
      <c r="L1852" s="24"/>
      <c r="M1852" s="24"/>
      <c r="N1852" s="24"/>
      <c r="O1852" s="24"/>
      <c r="P1852" s="24"/>
      <c r="Q1852" s="24"/>
      <c r="R1852" s="24"/>
      <c r="S1852" s="24"/>
      <c r="T1852" s="24"/>
      <c r="U1852" s="24"/>
      <c r="V1852" s="24"/>
      <c r="W1852" s="24"/>
      <c r="X1852" s="24"/>
      <c r="Y1852" s="24"/>
      <c r="Z1852" s="24"/>
      <c r="AA1852" s="24"/>
      <c r="AB1852" s="24"/>
      <c r="AC1852" s="24"/>
      <c r="AD1852" s="24"/>
      <c r="AE1852" s="24"/>
      <c r="AF1852" s="24"/>
      <c r="AG1852" s="24"/>
      <c r="AH1852" s="24"/>
      <c r="AI1852" s="24"/>
      <c r="AJ1852" s="24"/>
      <c r="AK1852" s="24"/>
      <c r="AL1852" s="24"/>
      <c r="AM1852" s="24"/>
      <c r="AN1852" s="24"/>
      <c r="AO1852" s="24"/>
      <c r="AP1852" s="24"/>
      <c r="AQ1852" s="24"/>
      <c r="AR1852" s="54"/>
    </row>
    <row r="1853">
      <c r="A1853" s="57"/>
      <c r="B1853" s="24"/>
      <c r="C1853" s="24"/>
      <c r="D1853" s="24"/>
      <c r="E1853" s="24"/>
      <c r="F1853" s="24"/>
      <c r="G1853" s="24"/>
      <c r="H1853" s="24"/>
      <c r="I1853" s="24"/>
      <c r="J1853" s="24"/>
      <c r="K1853" s="24"/>
      <c r="L1853" s="24"/>
      <c r="M1853" s="24"/>
      <c r="N1853" s="24"/>
      <c r="O1853" s="24"/>
      <c r="P1853" s="24"/>
      <c r="Q1853" s="24"/>
      <c r="R1853" s="24"/>
      <c r="S1853" s="24"/>
      <c r="T1853" s="24"/>
      <c r="U1853" s="24"/>
      <c r="V1853" s="24"/>
      <c r="W1853" s="24"/>
      <c r="X1853" s="24"/>
      <c r="Y1853" s="24"/>
      <c r="Z1853" s="24"/>
      <c r="AA1853" s="24"/>
      <c r="AB1853" s="24"/>
      <c r="AC1853" s="24"/>
      <c r="AD1853" s="24"/>
      <c r="AE1853" s="24"/>
      <c r="AF1853" s="24"/>
      <c r="AG1853" s="24"/>
      <c r="AH1853" s="24"/>
      <c r="AI1853" s="24"/>
      <c r="AJ1853" s="24"/>
      <c r="AK1853" s="24"/>
      <c r="AL1853" s="24"/>
      <c r="AM1853" s="24"/>
      <c r="AN1853" s="24"/>
      <c r="AO1853" s="24"/>
      <c r="AP1853" s="24"/>
      <c r="AQ1853" s="24"/>
      <c r="AR1853" s="54"/>
    </row>
    <row r="1854">
      <c r="A1854" s="57"/>
      <c r="B1854" s="24"/>
      <c r="C1854" s="24"/>
      <c r="D1854" s="24"/>
      <c r="E1854" s="24"/>
      <c r="F1854" s="24"/>
      <c r="G1854" s="24"/>
      <c r="H1854" s="24"/>
      <c r="I1854" s="24"/>
      <c r="J1854" s="24"/>
      <c r="K1854" s="24"/>
      <c r="L1854" s="24"/>
      <c r="M1854" s="24"/>
      <c r="N1854" s="24"/>
      <c r="O1854" s="24"/>
      <c r="P1854" s="24"/>
      <c r="Q1854" s="24"/>
      <c r="R1854" s="24"/>
      <c r="S1854" s="24"/>
      <c r="T1854" s="24"/>
      <c r="U1854" s="24"/>
      <c r="V1854" s="24"/>
      <c r="W1854" s="24"/>
      <c r="X1854" s="24"/>
      <c r="Y1854" s="24"/>
      <c r="Z1854" s="24"/>
      <c r="AA1854" s="24"/>
      <c r="AB1854" s="24"/>
      <c r="AC1854" s="24"/>
      <c r="AD1854" s="24"/>
      <c r="AE1854" s="24"/>
      <c r="AF1854" s="24"/>
      <c r="AG1854" s="24"/>
      <c r="AH1854" s="24"/>
      <c r="AI1854" s="24"/>
      <c r="AJ1854" s="24"/>
      <c r="AK1854" s="24"/>
      <c r="AL1854" s="24"/>
      <c r="AM1854" s="24"/>
      <c r="AN1854" s="24"/>
      <c r="AO1854" s="24"/>
      <c r="AP1854" s="24"/>
      <c r="AQ1854" s="24"/>
      <c r="AR1854" s="54"/>
    </row>
    <row r="1855">
      <c r="A1855" s="57"/>
      <c r="B1855" s="24"/>
      <c r="C1855" s="24"/>
      <c r="D1855" s="24"/>
      <c r="E1855" s="24"/>
      <c r="F1855" s="24"/>
      <c r="G1855" s="24"/>
      <c r="H1855" s="24"/>
      <c r="I1855" s="24"/>
      <c r="J1855" s="24"/>
      <c r="K1855" s="24"/>
      <c r="L1855" s="24"/>
      <c r="M1855" s="24"/>
      <c r="N1855" s="24"/>
      <c r="O1855" s="24"/>
      <c r="P1855" s="24"/>
      <c r="Q1855" s="24"/>
      <c r="R1855" s="24"/>
      <c r="S1855" s="24"/>
      <c r="T1855" s="24"/>
      <c r="U1855" s="24"/>
      <c r="V1855" s="24"/>
      <c r="W1855" s="24"/>
      <c r="X1855" s="24"/>
      <c r="Y1855" s="24"/>
      <c r="Z1855" s="24"/>
      <c r="AA1855" s="24"/>
      <c r="AB1855" s="24"/>
      <c r="AC1855" s="24"/>
      <c r="AD1855" s="24"/>
      <c r="AE1855" s="24"/>
      <c r="AF1855" s="24"/>
      <c r="AG1855" s="24"/>
      <c r="AH1855" s="24"/>
      <c r="AI1855" s="24"/>
      <c r="AJ1855" s="24"/>
      <c r="AK1855" s="24"/>
      <c r="AL1855" s="24"/>
      <c r="AM1855" s="24"/>
      <c r="AN1855" s="24"/>
      <c r="AO1855" s="24"/>
      <c r="AP1855" s="24"/>
      <c r="AQ1855" s="24"/>
      <c r="AR1855" s="54"/>
    </row>
    <row r="1856">
      <c r="A1856" s="57"/>
      <c r="B1856" s="24"/>
      <c r="C1856" s="24"/>
      <c r="D1856" s="24"/>
      <c r="E1856" s="24"/>
      <c r="F1856" s="24"/>
      <c r="G1856" s="24"/>
      <c r="H1856" s="24"/>
      <c r="I1856" s="24"/>
      <c r="J1856" s="24"/>
      <c r="K1856" s="24"/>
      <c r="L1856" s="24"/>
      <c r="M1856" s="24"/>
      <c r="N1856" s="24"/>
      <c r="O1856" s="24"/>
      <c r="P1856" s="24"/>
      <c r="Q1856" s="24"/>
      <c r="R1856" s="24"/>
      <c r="S1856" s="24"/>
      <c r="T1856" s="24"/>
      <c r="U1856" s="24"/>
      <c r="V1856" s="24"/>
      <c r="W1856" s="24"/>
      <c r="X1856" s="24"/>
      <c r="Y1856" s="24"/>
      <c r="Z1856" s="24"/>
      <c r="AA1856" s="24"/>
      <c r="AB1856" s="24"/>
      <c r="AC1856" s="24"/>
      <c r="AD1856" s="24"/>
      <c r="AE1856" s="24"/>
      <c r="AF1856" s="24"/>
      <c r="AG1856" s="24"/>
      <c r="AH1856" s="24"/>
      <c r="AI1856" s="24"/>
      <c r="AJ1856" s="24"/>
      <c r="AK1856" s="24"/>
      <c r="AL1856" s="24"/>
      <c r="AM1856" s="24"/>
      <c r="AN1856" s="24"/>
      <c r="AO1856" s="24"/>
      <c r="AP1856" s="24"/>
      <c r="AQ1856" s="24"/>
      <c r="AR1856" s="54"/>
    </row>
    <row r="1857">
      <c r="A1857" s="57"/>
      <c r="B1857" s="24"/>
      <c r="C1857" s="24"/>
      <c r="D1857" s="24"/>
      <c r="E1857" s="24"/>
      <c r="F1857" s="24"/>
      <c r="G1857" s="24"/>
      <c r="H1857" s="24"/>
      <c r="I1857" s="24"/>
      <c r="J1857" s="24"/>
      <c r="K1857" s="24"/>
      <c r="L1857" s="24"/>
      <c r="M1857" s="24"/>
      <c r="N1857" s="24"/>
      <c r="O1857" s="24"/>
      <c r="P1857" s="24"/>
      <c r="Q1857" s="24"/>
      <c r="R1857" s="24"/>
      <c r="S1857" s="24"/>
      <c r="T1857" s="24"/>
      <c r="U1857" s="24"/>
      <c r="V1857" s="24"/>
      <c r="W1857" s="24"/>
      <c r="X1857" s="24"/>
      <c r="Y1857" s="24"/>
      <c r="Z1857" s="24"/>
      <c r="AA1857" s="24"/>
      <c r="AB1857" s="24"/>
      <c r="AC1857" s="24"/>
      <c r="AD1857" s="24"/>
      <c r="AE1857" s="24"/>
      <c r="AF1857" s="24"/>
      <c r="AG1857" s="24"/>
      <c r="AH1857" s="24"/>
      <c r="AI1857" s="24"/>
      <c r="AJ1857" s="24"/>
      <c r="AK1857" s="24"/>
      <c r="AL1857" s="24"/>
      <c r="AM1857" s="24"/>
      <c r="AN1857" s="24"/>
      <c r="AO1857" s="24"/>
      <c r="AP1857" s="24"/>
      <c r="AQ1857" s="24"/>
      <c r="AR1857" s="54"/>
    </row>
    <row r="1858">
      <c r="A1858" s="57"/>
      <c r="B1858" s="24"/>
      <c r="C1858" s="24"/>
      <c r="D1858" s="24"/>
      <c r="E1858" s="24"/>
      <c r="F1858" s="24"/>
      <c r="G1858" s="24"/>
      <c r="H1858" s="24"/>
      <c r="I1858" s="24"/>
      <c r="J1858" s="24"/>
      <c r="K1858" s="24"/>
      <c r="L1858" s="24"/>
      <c r="M1858" s="24"/>
      <c r="N1858" s="24"/>
      <c r="O1858" s="24"/>
      <c r="P1858" s="24"/>
      <c r="Q1858" s="24"/>
      <c r="R1858" s="24"/>
      <c r="S1858" s="24"/>
      <c r="T1858" s="24"/>
      <c r="U1858" s="24"/>
      <c r="V1858" s="24"/>
      <c r="W1858" s="24"/>
      <c r="X1858" s="24"/>
      <c r="Y1858" s="24"/>
      <c r="Z1858" s="24"/>
      <c r="AA1858" s="24"/>
      <c r="AB1858" s="24"/>
      <c r="AC1858" s="24"/>
      <c r="AD1858" s="24"/>
      <c r="AE1858" s="24"/>
      <c r="AF1858" s="24"/>
      <c r="AG1858" s="24"/>
      <c r="AH1858" s="24"/>
      <c r="AI1858" s="24"/>
      <c r="AJ1858" s="24"/>
      <c r="AK1858" s="24"/>
      <c r="AL1858" s="24"/>
      <c r="AM1858" s="24"/>
      <c r="AN1858" s="24"/>
      <c r="AO1858" s="24"/>
      <c r="AP1858" s="24"/>
      <c r="AQ1858" s="24"/>
      <c r="AR1858" s="54"/>
    </row>
    <row r="1859">
      <c r="A1859" s="57"/>
      <c r="B1859" s="24"/>
      <c r="C1859" s="24"/>
      <c r="D1859" s="24"/>
      <c r="E1859" s="24"/>
      <c r="F1859" s="24"/>
      <c r="G1859" s="24"/>
      <c r="H1859" s="24"/>
      <c r="I1859" s="24"/>
      <c r="J1859" s="24"/>
      <c r="K1859" s="24"/>
      <c r="L1859" s="24"/>
      <c r="M1859" s="24"/>
      <c r="N1859" s="24"/>
      <c r="O1859" s="24"/>
      <c r="P1859" s="24"/>
      <c r="Q1859" s="24"/>
      <c r="R1859" s="24"/>
      <c r="S1859" s="24"/>
      <c r="T1859" s="24"/>
      <c r="U1859" s="24"/>
      <c r="V1859" s="24"/>
      <c r="W1859" s="24"/>
      <c r="X1859" s="24"/>
      <c r="Y1859" s="24"/>
      <c r="Z1859" s="24"/>
      <c r="AA1859" s="24"/>
      <c r="AB1859" s="24"/>
      <c r="AC1859" s="24"/>
      <c r="AD1859" s="24"/>
      <c r="AE1859" s="24"/>
      <c r="AF1859" s="24"/>
      <c r="AG1859" s="24"/>
      <c r="AH1859" s="24"/>
      <c r="AI1859" s="24"/>
      <c r="AJ1859" s="24"/>
      <c r="AK1859" s="24"/>
      <c r="AL1859" s="24"/>
      <c r="AM1859" s="24"/>
      <c r="AN1859" s="24"/>
      <c r="AO1859" s="24"/>
      <c r="AP1859" s="24"/>
      <c r="AQ1859" s="24"/>
      <c r="AR1859" s="54"/>
    </row>
    <row r="1860">
      <c r="A1860" s="57"/>
      <c r="B1860" s="24"/>
      <c r="C1860" s="24"/>
      <c r="D1860" s="24"/>
      <c r="E1860" s="24"/>
      <c r="F1860" s="24"/>
      <c r="G1860" s="24"/>
      <c r="H1860" s="24"/>
      <c r="I1860" s="24"/>
      <c r="J1860" s="24"/>
      <c r="K1860" s="24"/>
      <c r="L1860" s="24"/>
      <c r="M1860" s="24"/>
      <c r="N1860" s="24"/>
      <c r="O1860" s="24"/>
      <c r="P1860" s="24"/>
      <c r="Q1860" s="24"/>
      <c r="R1860" s="24"/>
      <c r="S1860" s="24"/>
      <c r="T1860" s="24"/>
      <c r="U1860" s="24"/>
      <c r="V1860" s="24"/>
      <c r="W1860" s="24"/>
      <c r="X1860" s="24"/>
      <c r="Y1860" s="24"/>
      <c r="Z1860" s="24"/>
      <c r="AA1860" s="24"/>
      <c r="AB1860" s="24"/>
      <c r="AC1860" s="24"/>
      <c r="AD1860" s="24"/>
      <c r="AE1860" s="24"/>
      <c r="AF1860" s="24"/>
      <c r="AG1860" s="24"/>
      <c r="AH1860" s="24"/>
      <c r="AI1860" s="24"/>
      <c r="AJ1860" s="24"/>
      <c r="AK1860" s="24"/>
      <c r="AL1860" s="24"/>
      <c r="AM1860" s="24"/>
      <c r="AN1860" s="24"/>
      <c r="AO1860" s="24"/>
      <c r="AP1860" s="24"/>
      <c r="AQ1860" s="24"/>
      <c r="AR1860" s="54"/>
    </row>
    <row r="1861">
      <c r="A1861" s="57"/>
      <c r="B1861" s="24"/>
      <c r="C1861" s="24"/>
      <c r="D1861" s="24"/>
      <c r="E1861" s="24"/>
      <c r="F1861" s="24"/>
      <c r="G1861" s="24"/>
      <c r="H1861" s="24"/>
      <c r="I1861" s="24"/>
      <c r="J1861" s="24"/>
      <c r="K1861" s="24"/>
      <c r="L1861" s="24"/>
      <c r="M1861" s="24"/>
      <c r="N1861" s="24"/>
      <c r="O1861" s="24"/>
      <c r="P1861" s="24"/>
      <c r="Q1861" s="24"/>
      <c r="R1861" s="24"/>
      <c r="S1861" s="24"/>
      <c r="T1861" s="24"/>
      <c r="U1861" s="24"/>
      <c r="V1861" s="24"/>
      <c r="W1861" s="24"/>
      <c r="X1861" s="24"/>
      <c r="Y1861" s="24"/>
      <c r="Z1861" s="24"/>
      <c r="AA1861" s="24"/>
      <c r="AB1861" s="24"/>
      <c r="AC1861" s="24"/>
      <c r="AD1861" s="24"/>
      <c r="AE1861" s="24"/>
      <c r="AF1861" s="24"/>
      <c r="AG1861" s="24"/>
      <c r="AH1861" s="24"/>
      <c r="AI1861" s="24"/>
      <c r="AJ1861" s="24"/>
      <c r="AK1861" s="24"/>
      <c r="AL1861" s="24"/>
      <c r="AM1861" s="24"/>
      <c r="AN1861" s="24"/>
      <c r="AO1861" s="24"/>
      <c r="AP1861" s="24"/>
      <c r="AQ1861" s="24"/>
      <c r="AR1861" s="54"/>
    </row>
    <row r="1862">
      <c r="A1862" s="57"/>
      <c r="B1862" s="24"/>
      <c r="C1862" s="24"/>
      <c r="D1862" s="24"/>
      <c r="E1862" s="24"/>
      <c r="F1862" s="24"/>
      <c r="G1862" s="24"/>
      <c r="H1862" s="24"/>
      <c r="I1862" s="24"/>
      <c r="J1862" s="24"/>
      <c r="K1862" s="24"/>
      <c r="L1862" s="24"/>
      <c r="M1862" s="24"/>
      <c r="N1862" s="24"/>
      <c r="O1862" s="24"/>
      <c r="P1862" s="24"/>
      <c r="Q1862" s="24"/>
      <c r="R1862" s="24"/>
      <c r="S1862" s="24"/>
      <c r="T1862" s="24"/>
      <c r="U1862" s="24"/>
      <c r="V1862" s="24"/>
      <c r="W1862" s="24"/>
      <c r="X1862" s="24"/>
      <c r="Y1862" s="24"/>
      <c r="Z1862" s="24"/>
      <c r="AA1862" s="24"/>
      <c r="AB1862" s="24"/>
      <c r="AC1862" s="24"/>
      <c r="AD1862" s="24"/>
      <c r="AE1862" s="24"/>
      <c r="AF1862" s="24"/>
      <c r="AG1862" s="24"/>
      <c r="AH1862" s="24"/>
      <c r="AI1862" s="24"/>
      <c r="AJ1862" s="24"/>
      <c r="AK1862" s="24"/>
      <c r="AL1862" s="24"/>
      <c r="AM1862" s="24"/>
      <c r="AN1862" s="24"/>
      <c r="AO1862" s="24"/>
      <c r="AP1862" s="24"/>
      <c r="AQ1862" s="24"/>
      <c r="AR1862" s="54"/>
    </row>
    <row r="1863">
      <c r="A1863" s="57"/>
      <c r="B1863" s="24"/>
      <c r="C1863" s="24"/>
      <c r="D1863" s="24"/>
      <c r="E1863" s="24"/>
      <c r="F1863" s="24"/>
      <c r="G1863" s="24"/>
      <c r="H1863" s="24"/>
      <c r="I1863" s="24"/>
      <c r="J1863" s="24"/>
      <c r="K1863" s="24"/>
      <c r="L1863" s="24"/>
      <c r="M1863" s="24"/>
      <c r="N1863" s="24"/>
      <c r="O1863" s="24"/>
      <c r="P1863" s="24"/>
      <c r="Q1863" s="24"/>
      <c r="R1863" s="24"/>
      <c r="S1863" s="24"/>
      <c r="T1863" s="24"/>
      <c r="U1863" s="24"/>
      <c r="V1863" s="24"/>
      <c r="W1863" s="24"/>
      <c r="X1863" s="24"/>
      <c r="Y1863" s="24"/>
      <c r="Z1863" s="24"/>
      <c r="AA1863" s="24"/>
      <c r="AB1863" s="24"/>
      <c r="AC1863" s="24"/>
      <c r="AD1863" s="24"/>
      <c r="AE1863" s="24"/>
      <c r="AF1863" s="24"/>
      <c r="AG1863" s="24"/>
      <c r="AH1863" s="24"/>
      <c r="AI1863" s="24"/>
      <c r="AJ1863" s="24"/>
      <c r="AK1863" s="24"/>
      <c r="AL1863" s="24"/>
      <c r="AM1863" s="24"/>
      <c r="AN1863" s="24"/>
      <c r="AO1863" s="24"/>
      <c r="AP1863" s="24"/>
      <c r="AQ1863" s="24"/>
      <c r="AR1863" s="54"/>
    </row>
    <row r="1864">
      <c r="A1864" s="57"/>
      <c r="B1864" s="24"/>
      <c r="C1864" s="24"/>
      <c r="D1864" s="24"/>
      <c r="E1864" s="24"/>
      <c r="F1864" s="24"/>
      <c r="G1864" s="24"/>
      <c r="H1864" s="24"/>
      <c r="I1864" s="24"/>
      <c r="J1864" s="24"/>
      <c r="K1864" s="24"/>
      <c r="L1864" s="24"/>
      <c r="M1864" s="24"/>
      <c r="N1864" s="24"/>
      <c r="O1864" s="24"/>
      <c r="P1864" s="24"/>
      <c r="Q1864" s="24"/>
      <c r="R1864" s="24"/>
      <c r="S1864" s="24"/>
      <c r="T1864" s="24"/>
      <c r="U1864" s="24"/>
      <c r="V1864" s="24"/>
      <c r="W1864" s="24"/>
      <c r="X1864" s="24"/>
      <c r="Y1864" s="24"/>
      <c r="Z1864" s="24"/>
      <c r="AA1864" s="24"/>
      <c r="AB1864" s="24"/>
      <c r="AC1864" s="24"/>
      <c r="AD1864" s="24"/>
      <c r="AE1864" s="24"/>
      <c r="AF1864" s="24"/>
      <c r="AG1864" s="24"/>
      <c r="AH1864" s="24"/>
      <c r="AI1864" s="24"/>
      <c r="AJ1864" s="24"/>
      <c r="AK1864" s="24"/>
      <c r="AL1864" s="24"/>
      <c r="AM1864" s="24"/>
      <c r="AN1864" s="24"/>
      <c r="AO1864" s="24"/>
      <c r="AP1864" s="24"/>
      <c r="AQ1864" s="24"/>
      <c r="AR1864" s="54"/>
    </row>
    <row r="1865">
      <c r="A1865" s="57"/>
      <c r="B1865" s="24"/>
      <c r="C1865" s="24"/>
      <c r="D1865" s="24"/>
      <c r="E1865" s="24"/>
      <c r="F1865" s="24"/>
      <c r="G1865" s="24"/>
      <c r="H1865" s="24"/>
      <c r="I1865" s="24"/>
      <c r="J1865" s="24"/>
      <c r="K1865" s="24"/>
      <c r="L1865" s="24"/>
      <c r="M1865" s="24"/>
      <c r="N1865" s="24"/>
      <c r="O1865" s="24"/>
      <c r="P1865" s="24"/>
      <c r="Q1865" s="24"/>
      <c r="R1865" s="24"/>
      <c r="S1865" s="24"/>
      <c r="T1865" s="24"/>
      <c r="U1865" s="24"/>
      <c r="V1865" s="24"/>
      <c r="W1865" s="24"/>
      <c r="X1865" s="24"/>
      <c r="Y1865" s="24"/>
      <c r="Z1865" s="24"/>
      <c r="AA1865" s="24"/>
      <c r="AB1865" s="24"/>
      <c r="AC1865" s="24"/>
      <c r="AD1865" s="24"/>
      <c r="AE1865" s="24"/>
      <c r="AF1865" s="24"/>
      <c r="AG1865" s="24"/>
      <c r="AH1865" s="24"/>
      <c r="AI1865" s="24"/>
      <c r="AJ1865" s="24"/>
      <c r="AK1865" s="24"/>
      <c r="AL1865" s="24"/>
      <c r="AM1865" s="24"/>
      <c r="AN1865" s="24"/>
      <c r="AO1865" s="24"/>
      <c r="AP1865" s="24"/>
      <c r="AQ1865" s="24"/>
      <c r="AR1865" s="54"/>
    </row>
    <row r="1866">
      <c r="A1866" s="57"/>
      <c r="B1866" s="24"/>
      <c r="C1866" s="24"/>
      <c r="D1866" s="24"/>
      <c r="E1866" s="24"/>
      <c r="F1866" s="24"/>
      <c r="G1866" s="24"/>
      <c r="H1866" s="24"/>
      <c r="I1866" s="24"/>
      <c r="J1866" s="24"/>
      <c r="K1866" s="24"/>
      <c r="L1866" s="24"/>
      <c r="M1866" s="24"/>
      <c r="N1866" s="24"/>
      <c r="O1866" s="24"/>
      <c r="P1866" s="24"/>
      <c r="Q1866" s="24"/>
      <c r="R1866" s="24"/>
      <c r="S1866" s="24"/>
      <c r="T1866" s="24"/>
      <c r="U1866" s="24"/>
      <c r="V1866" s="24"/>
      <c r="W1866" s="24"/>
      <c r="X1866" s="24"/>
      <c r="Y1866" s="24"/>
      <c r="Z1866" s="24"/>
      <c r="AA1866" s="24"/>
      <c r="AB1866" s="24"/>
      <c r="AC1866" s="24"/>
      <c r="AD1866" s="24"/>
      <c r="AE1866" s="24"/>
      <c r="AF1866" s="24"/>
      <c r="AG1866" s="24"/>
      <c r="AH1866" s="24"/>
      <c r="AI1866" s="24"/>
      <c r="AJ1866" s="24"/>
      <c r="AK1866" s="24"/>
      <c r="AL1866" s="24"/>
      <c r="AM1866" s="24"/>
      <c r="AN1866" s="24"/>
      <c r="AO1866" s="24"/>
      <c r="AP1866" s="24"/>
      <c r="AQ1866" s="24"/>
      <c r="AR1866" s="54"/>
    </row>
    <row r="1867">
      <c r="A1867" s="57"/>
      <c r="B1867" s="24"/>
      <c r="C1867" s="24"/>
      <c r="D1867" s="24"/>
      <c r="E1867" s="24"/>
      <c r="F1867" s="24"/>
      <c r="G1867" s="24"/>
      <c r="H1867" s="24"/>
      <c r="I1867" s="24"/>
      <c r="J1867" s="24"/>
      <c r="K1867" s="24"/>
      <c r="L1867" s="24"/>
      <c r="M1867" s="24"/>
      <c r="N1867" s="24"/>
      <c r="O1867" s="24"/>
      <c r="P1867" s="24"/>
      <c r="Q1867" s="24"/>
      <c r="R1867" s="24"/>
      <c r="S1867" s="24"/>
      <c r="T1867" s="24"/>
      <c r="U1867" s="24"/>
      <c r="V1867" s="24"/>
      <c r="W1867" s="24"/>
      <c r="X1867" s="24"/>
      <c r="Y1867" s="24"/>
      <c r="Z1867" s="24"/>
      <c r="AA1867" s="24"/>
      <c r="AB1867" s="24"/>
      <c r="AC1867" s="24"/>
      <c r="AD1867" s="24"/>
      <c r="AE1867" s="24"/>
      <c r="AF1867" s="24"/>
      <c r="AG1867" s="24"/>
      <c r="AH1867" s="24"/>
      <c r="AI1867" s="24"/>
      <c r="AJ1867" s="24"/>
      <c r="AK1867" s="24"/>
      <c r="AL1867" s="24"/>
      <c r="AM1867" s="24"/>
      <c r="AN1867" s="24"/>
      <c r="AO1867" s="24"/>
      <c r="AP1867" s="24"/>
      <c r="AQ1867" s="24"/>
      <c r="AR1867" s="54"/>
    </row>
    <row r="1868">
      <c r="A1868" s="57"/>
      <c r="B1868" s="24"/>
      <c r="C1868" s="24"/>
      <c r="D1868" s="24"/>
      <c r="E1868" s="24"/>
      <c r="F1868" s="24"/>
      <c r="G1868" s="24"/>
      <c r="H1868" s="24"/>
      <c r="I1868" s="24"/>
      <c r="J1868" s="24"/>
      <c r="K1868" s="24"/>
      <c r="L1868" s="24"/>
      <c r="M1868" s="24"/>
      <c r="N1868" s="24"/>
      <c r="O1868" s="24"/>
      <c r="P1868" s="24"/>
      <c r="Q1868" s="24"/>
      <c r="R1868" s="24"/>
      <c r="S1868" s="24"/>
      <c r="T1868" s="24"/>
      <c r="U1868" s="24"/>
      <c r="V1868" s="24"/>
      <c r="W1868" s="24"/>
      <c r="X1868" s="24"/>
      <c r="Y1868" s="24"/>
      <c r="Z1868" s="24"/>
      <c r="AA1868" s="24"/>
      <c r="AB1868" s="24"/>
      <c r="AC1868" s="24"/>
      <c r="AD1868" s="24"/>
      <c r="AE1868" s="24"/>
      <c r="AF1868" s="24"/>
      <c r="AG1868" s="24"/>
      <c r="AH1868" s="24"/>
      <c r="AI1868" s="24"/>
      <c r="AJ1868" s="24"/>
      <c r="AK1868" s="24"/>
      <c r="AL1868" s="24"/>
      <c r="AM1868" s="24"/>
      <c r="AN1868" s="24"/>
      <c r="AO1868" s="24"/>
      <c r="AP1868" s="24"/>
      <c r="AQ1868" s="24"/>
      <c r="AR1868" s="54"/>
    </row>
    <row r="1869">
      <c r="A1869" s="57"/>
      <c r="B1869" s="24"/>
      <c r="C1869" s="24"/>
      <c r="D1869" s="24"/>
      <c r="E1869" s="24"/>
      <c r="F1869" s="24"/>
      <c r="G1869" s="24"/>
      <c r="H1869" s="24"/>
      <c r="I1869" s="24"/>
      <c r="J1869" s="24"/>
      <c r="K1869" s="24"/>
      <c r="L1869" s="24"/>
      <c r="M1869" s="24"/>
      <c r="N1869" s="24"/>
      <c r="O1869" s="24"/>
      <c r="P1869" s="24"/>
      <c r="Q1869" s="24"/>
      <c r="R1869" s="24"/>
      <c r="S1869" s="24"/>
      <c r="T1869" s="24"/>
      <c r="U1869" s="24"/>
      <c r="V1869" s="24"/>
      <c r="W1869" s="24"/>
      <c r="X1869" s="24"/>
      <c r="Y1869" s="24"/>
      <c r="Z1869" s="24"/>
      <c r="AA1869" s="24"/>
      <c r="AB1869" s="24"/>
      <c r="AC1869" s="24"/>
      <c r="AD1869" s="24"/>
      <c r="AE1869" s="24"/>
      <c r="AF1869" s="24"/>
      <c r="AG1869" s="24"/>
      <c r="AH1869" s="24"/>
      <c r="AI1869" s="24"/>
      <c r="AJ1869" s="24"/>
      <c r="AK1869" s="24"/>
      <c r="AL1869" s="24"/>
      <c r="AM1869" s="24"/>
      <c r="AN1869" s="24"/>
      <c r="AO1869" s="24"/>
      <c r="AP1869" s="24"/>
      <c r="AQ1869" s="24"/>
      <c r="AR1869" s="54"/>
    </row>
    <row r="1870">
      <c r="A1870" s="57"/>
      <c r="B1870" s="24"/>
      <c r="C1870" s="24"/>
      <c r="D1870" s="24"/>
      <c r="E1870" s="24"/>
      <c r="F1870" s="24"/>
      <c r="G1870" s="24"/>
      <c r="H1870" s="24"/>
      <c r="I1870" s="24"/>
      <c r="J1870" s="24"/>
      <c r="K1870" s="24"/>
      <c r="L1870" s="24"/>
      <c r="M1870" s="24"/>
      <c r="N1870" s="24"/>
      <c r="O1870" s="24"/>
      <c r="P1870" s="24"/>
      <c r="Q1870" s="24"/>
      <c r="R1870" s="24"/>
      <c r="S1870" s="24"/>
      <c r="T1870" s="24"/>
      <c r="U1870" s="24"/>
      <c r="V1870" s="24"/>
      <c r="W1870" s="24"/>
      <c r="X1870" s="24"/>
      <c r="Y1870" s="24"/>
      <c r="Z1870" s="24"/>
      <c r="AA1870" s="24"/>
      <c r="AB1870" s="24"/>
      <c r="AC1870" s="24"/>
      <c r="AD1870" s="24"/>
      <c r="AE1870" s="24"/>
      <c r="AF1870" s="24"/>
      <c r="AG1870" s="24"/>
      <c r="AH1870" s="24"/>
      <c r="AI1870" s="24"/>
      <c r="AJ1870" s="24"/>
      <c r="AK1870" s="24"/>
      <c r="AL1870" s="24"/>
      <c r="AM1870" s="24"/>
      <c r="AN1870" s="24"/>
      <c r="AO1870" s="24"/>
      <c r="AP1870" s="24"/>
      <c r="AQ1870" s="24"/>
      <c r="AR1870" s="54"/>
    </row>
    <row r="1871">
      <c r="A1871" s="57"/>
      <c r="B1871" s="24"/>
      <c r="C1871" s="24"/>
      <c r="D1871" s="24"/>
      <c r="E1871" s="24"/>
      <c r="F1871" s="24"/>
      <c r="G1871" s="24"/>
      <c r="H1871" s="24"/>
      <c r="I1871" s="24"/>
      <c r="J1871" s="24"/>
      <c r="K1871" s="24"/>
      <c r="L1871" s="24"/>
      <c r="M1871" s="24"/>
      <c r="N1871" s="24"/>
      <c r="O1871" s="24"/>
      <c r="P1871" s="24"/>
      <c r="Q1871" s="24"/>
      <c r="R1871" s="24"/>
      <c r="S1871" s="24"/>
      <c r="T1871" s="24"/>
      <c r="U1871" s="24"/>
      <c r="V1871" s="24"/>
      <c r="W1871" s="24"/>
      <c r="X1871" s="24"/>
      <c r="Y1871" s="24"/>
      <c r="Z1871" s="24"/>
      <c r="AA1871" s="24"/>
      <c r="AB1871" s="24"/>
      <c r="AC1871" s="24"/>
      <c r="AD1871" s="24"/>
      <c r="AE1871" s="24"/>
      <c r="AF1871" s="24"/>
      <c r="AG1871" s="24"/>
      <c r="AH1871" s="24"/>
      <c r="AI1871" s="24"/>
      <c r="AJ1871" s="24"/>
      <c r="AK1871" s="24"/>
      <c r="AL1871" s="24"/>
      <c r="AM1871" s="24"/>
      <c r="AN1871" s="24"/>
      <c r="AO1871" s="24"/>
      <c r="AP1871" s="24"/>
      <c r="AQ1871" s="24"/>
      <c r="AR1871" s="54"/>
    </row>
    <row r="1872">
      <c r="A1872" s="57"/>
      <c r="B1872" s="24"/>
      <c r="C1872" s="24"/>
      <c r="D1872" s="24"/>
      <c r="E1872" s="24"/>
      <c r="F1872" s="24"/>
      <c r="G1872" s="24"/>
      <c r="H1872" s="24"/>
      <c r="I1872" s="24"/>
      <c r="J1872" s="24"/>
      <c r="K1872" s="24"/>
      <c r="L1872" s="24"/>
      <c r="M1872" s="24"/>
      <c r="N1872" s="24"/>
      <c r="O1872" s="24"/>
      <c r="P1872" s="24"/>
      <c r="Q1872" s="24"/>
      <c r="R1872" s="24"/>
      <c r="S1872" s="24"/>
      <c r="T1872" s="24"/>
      <c r="U1872" s="24"/>
      <c r="V1872" s="24"/>
      <c r="W1872" s="24"/>
      <c r="X1872" s="24"/>
      <c r="Y1872" s="24"/>
      <c r="Z1872" s="24"/>
      <c r="AA1872" s="24"/>
      <c r="AB1872" s="24"/>
      <c r="AC1872" s="24"/>
      <c r="AD1872" s="24"/>
      <c r="AE1872" s="24"/>
      <c r="AF1872" s="24"/>
      <c r="AG1872" s="24"/>
      <c r="AH1872" s="24"/>
      <c r="AI1872" s="24"/>
      <c r="AJ1872" s="24"/>
      <c r="AK1872" s="24"/>
      <c r="AL1872" s="24"/>
      <c r="AM1872" s="24"/>
      <c r="AN1872" s="24"/>
      <c r="AO1872" s="24"/>
      <c r="AP1872" s="24"/>
      <c r="AQ1872" s="24"/>
      <c r="AR1872" s="54"/>
    </row>
    <row r="1873">
      <c r="A1873" s="57"/>
      <c r="B1873" s="24"/>
      <c r="C1873" s="24"/>
      <c r="D1873" s="24"/>
      <c r="E1873" s="24"/>
      <c r="F1873" s="24"/>
      <c r="G1873" s="24"/>
      <c r="H1873" s="24"/>
      <c r="I1873" s="24"/>
      <c r="J1873" s="24"/>
      <c r="K1873" s="24"/>
      <c r="L1873" s="24"/>
      <c r="M1873" s="24"/>
      <c r="N1873" s="24"/>
      <c r="O1873" s="24"/>
      <c r="P1873" s="24"/>
      <c r="Q1873" s="24"/>
      <c r="R1873" s="24"/>
      <c r="S1873" s="24"/>
      <c r="T1873" s="24"/>
      <c r="U1873" s="24"/>
      <c r="V1873" s="24"/>
      <c r="W1873" s="24"/>
      <c r="X1873" s="24"/>
      <c r="Y1873" s="24"/>
      <c r="Z1873" s="24"/>
      <c r="AA1873" s="24"/>
      <c r="AB1873" s="24"/>
      <c r="AC1873" s="24"/>
      <c r="AD1873" s="24"/>
      <c r="AE1873" s="24"/>
      <c r="AF1873" s="24"/>
      <c r="AG1873" s="24"/>
      <c r="AH1873" s="24"/>
      <c r="AI1873" s="24"/>
      <c r="AJ1873" s="24"/>
      <c r="AK1873" s="24"/>
      <c r="AL1873" s="24"/>
      <c r="AM1873" s="24"/>
      <c r="AN1873" s="24"/>
      <c r="AO1873" s="24"/>
      <c r="AP1873" s="24"/>
      <c r="AQ1873" s="24"/>
      <c r="AR1873" s="54"/>
    </row>
    <row r="1874">
      <c r="A1874" s="57"/>
      <c r="B1874" s="24"/>
      <c r="C1874" s="24"/>
      <c r="D1874" s="24"/>
      <c r="E1874" s="24"/>
      <c r="F1874" s="24"/>
      <c r="G1874" s="24"/>
      <c r="H1874" s="24"/>
      <c r="I1874" s="24"/>
      <c r="J1874" s="24"/>
      <c r="K1874" s="24"/>
      <c r="L1874" s="24"/>
      <c r="M1874" s="24"/>
      <c r="N1874" s="24"/>
      <c r="O1874" s="24"/>
      <c r="P1874" s="24"/>
      <c r="Q1874" s="24"/>
      <c r="R1874" s="24"/>
      <c r="S1874" s="24"/>
      <c r="T1874" s="24"/>
      <c r="U1874" s="24"/>
      <c r="V1874" s="24"/>
      <c r="W1874" s="24"/>
      <c r="X1874" s="24"/>
      <c r="Y1874" s="24"/>
      <c r="Z1874" s="24"/>
      <c r="AA1874" s="24"/>
      <c r="AB1874" s="24"/>
      <c r="AC1874" s="24"/>
      <c r="AD1874" s="24"/>
      <c r="AE1874" s="24"/>
      <c r="AF1874" s="24"/>
      <c r="AG1874" s="24"/>
      <c r="AH1874" s="24"/>
      <c r="AI1874" s="24"/>
      <c r="AJ1874" s="24"/>
      <c r="AK1874" s="24"/>
      <c r="AL1874" s="24"/>
      <c r="AM1874" s="24"/>
      <c r="AN1874" s="24"/>
      <c r="AO1874" s="24"/>
      <c r="AP1874" s="24"/>
      <c r="AQ1874" s="24"/>
      <c r="AR1874" s="54"/>
    </row>
    <row r="1875">
      <c r="A1875" s="57"/>
      <c r="B1875" s="24"/>
      <c r="C1875" s="24"/>
      <c r="D1875" s="24"/>
      <c r="E1875" s="24"/>
      <c r="F1875" s="24"/>
      <c r="G1875" s="24"/>
      <c r="H1875" s="24"/>
      <c r="I1875" s="24"/>
      <c r="J1875" s="24"/>
      <c r="K1875" s="24"/>
      <c r="L1875" s="24"/>
      <c r="M1875" s="24"/>
      <c r="N1875" s="24"/>
      <c r="O1875" s="24"/>
      <c r="P1875" s="24"/>
      <c r="Q1875" s="24"/>
      <c r="R1875" s="24"/>
      <c r="S1875" s="24"/>
      <c r="T1875" s="24"/>
      <c r="U1875" s="24"/>
      <c r="V1875" s="24"/>
      <c r="W1875" s="24"/>
      <c r="X1875" s="24"/>
      <c r="Y1875" s="24"/>
      <c r="Z1875" s="24"/>
      <c r="AA1875" s="24"/>
      <c r="AB1875" s="24"/>
      <c r="AC1875" s="24"/>
      <c r="AD1875" s="24"/>
      <c r="AE1875" s="24"/>
      <c r="AF1875" s="24"/>
      <c r="AG1875" s="24"/>
      <c r="AH1875" s="24"/>
      <c r="AI1875" s="24"/>
      <c r="AJ1875" s="24"/>
      <c r="AK1875" s="24"/>
      <c r="AL1875" s="24"/>
      <c r="AM1875" s="24"/>
      <c r="AN1875" s="24"/>
      <c r="AO1875" s="24"/>
      <c r="AP1875" s="24"/>
      <c r="AQ1875" s="24"/>
      <c r="AR1875" s="54"/>
    </row>
    <row r="1876">
      <c r="A1876" s="57"/>
      <c r="B1876" s="24"/>
      <c r="C1876" s="24"/>
      <c r="D1876" s="24"/>
      <c r="E1876" s="24"/>
      <c r="F1876" s="24"/>
      <c r="G1876" s="24"/>
      <c r="H1876" s="24"/>
      <c r="I1876" s="24"/>
      <c r="J1876" s="24"/>
      <c r="K1876" s="24"/>
      <c r="L1876" s="24"/>
      <c r="M1876" s="24"/>
      <c r="N1876" s="24"/>
      <c r="O1876" s="24"/>
      <c r="P1876" s="24"/>
      <c r="Q1876" s="24"/>
      <c r="R1876" s="24"/>
      <c r="S1876" s="24"/>
      <c r="T1876" s="24"/>
      <c r="U1876" s="24"/>
      <c r="V1876" s="24"/>
      <c r="W1876" s="24"/>
      <c r="X1876" s="24"/>
      <c r="Y1876" s="24"/>
      <c r="Z1876" s="24"/>
      <c r="AA1876" s="24"/>
      <c r="AB1876" s="24"/>
      <c r="AC1876" s="24"/>
      <c r="AD1876" s="24"/>
      <c r="AE1876" s="24"/>
      <c r="AF1876" s="24"/>
      <c r="AG1876" s="24"/>
      <c r="AH1876" s="24"/>
      <c r="AI1876" s="24"/>
      <c r="AJ1876" s="24"/>
      <c r="AK1876" s="24"/>
      <c r="AL1876" s="24"/>
      <c r="AM1876" s="24"/>
      <c r="AN1876" s="24"/>
      <c r="AO1876" s="24"/>
      <c r="AP1876" s="24"/>
      <c r="AQ1876" s="24"/>
      <c r="AR1876" s="54"/>
    </row>
    <row r="1877">
      <c r="A1877" s="57"/>
      <c r="B1877" s="24"/>
      <c r="C1877" s="24"/>
      <c r="D1877" s="24"/>
      <c r="E1877" s="24"/>
      <c r="F1877" s="24"/>
      <c r="G1877" s="24"/>
      <c r="H1877" s="24"/>
      <c r="I1877" s="24"/>
      <c r="J1877" s="24"/>
      <c r="K1877" s="24"/>
      <c r="L1877" s="24"/>
      <c r="M1877" s="24"/>
      <c r="N1877" s="24"/>
      <c r="O1877" s="24"/>
      <c r="P1877" s="24"/>
      <c r="Q1877" s="24"/>
      <c r="R1877" s="24"/>
      <c r="S1877" s="24"/>
      <c r="T1877" s="24"/>
      <c r="U1877" s="24"/>
      <c r="V1877" s="24"/>
      <c r="W1877" s="24"/>
      <c r="X1877" s="24"/>
      <c r="Y1877" s="24"/>
      <c r="Z1877" s="24"/>
      <c r="AA1877" s="24"/>
      <c r="AB1877" s="24"/>
      <c r="AC1877" s="24"/>
      <c r="AD1877" s="24"/>
      <c r="AE1877" s="24"/>
      <c r="AF1877" s="24"/>
      <c r="AG1877" s="24"/>
      <c r="AH1877" s="24"/>
      <c r="AI1877" s="24"/>
      <c r="AJ1877" s="24"/>
      <c r="AK1877" s="24"/>
      <c r="AL1877" s="24"/>
      <c r="AM1877" s="24"/>
      <c r="AN1877" s="24"/>
      <c r="AO1877" s="24"/>
      <c r="AP1877" s="24"/>
      <c r="AQ1877" s="24"/>
      <c r="AR1877" s="54"/>
    </row>
    <row r="1878">
      <c r="A1878" s="57"/>
      <c r="B1878" s="24"/>
      <c r="C1878" s="24"/>
      <c r="D1878" s="24"/>
      <c r="E1878" s="24"/>
      <c r="F1878" s="24"/>
      <c r="G1878" s="24"/>
      <c r="H1878" s="24"/>
      <c r="I1878" s="24"/>
      <c r="J1878" s="24"/>
      <c r="K1878" s="24"/>
      <c r="L1878" s="24"/>
      <c r="M1878" s="24"/>
      <c r="N1878" s="24"/>
      <c r="O1878" s="24"/>
      <c r="P1878" s="24"/>
      <c r="Q1878" s="24"/>
      <c r="R1878" s="24"/>
      <c r="S1878" s="24"/>
      <c r="T1878" s="24"/>
      <c r="U1878" s="24"/>
      <c r="V1878" s="24"/>
      <c r="W1878" s="24"/>
      <c r="X1878" s="24"/>
      <c r="Y1878" s="24"/>
      <c r="Z1878" s="24"/>
      <c r="AA1878" s="24"/>
      <c r="AB1878" s="24"/>
      <c r="AC1878" s="24"/>
      <c r="AD1878" s="24"/>
      <c r="AE1878" s="24"/>
      <c r="AF1878" s="24"/>
      <c r="AG1878" s="24"/>
      <c r="AH1878" s="24"/>
      <c r="AI1878" s="24"/>
      <c r="AJ1878" s="24"/>
      <c r="AK1878" s="24"/>
      <c r="AL1878" s="24"/>
      <c r="AM1878" s="24"/>
      <c r="AN1878" s="24"/>
      <c r="AO1878" s="24"/>
      <c r="AP1878" s="24"/>
      <c r="AQ1878" s="24"/>
      <c r="AR1878" s="54"/>
    </row>
    <row r="1879">
      <c r="A1879" s="57"/>
      <c r="B1879" s="24"/>
      <c r="C1879" s="24"/>
      <c r="D1879" s="24"/>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c r="AA1879" s="24"/>
      <c r="AB1879" s="24"/>
      <c r="AC1879" s="24"/>
      <c r="AD1879" s="24"/>
      <c r="AE1879" s="24"/>
      <c r="AF1879" s="24"/>
      <c r="AG1879" s="24"/>
      <c r="AH1879" s="24"/>
      <c r="AI1879" s="24"/>
      <c r="AJ1879" s="24"/>
      <c r="AK1879" s="24"/>
      <c r="AL1879" s="24"/>
      <c r="AM1879" s="24"/>
      <c r="AN1879" s="24"/>
      <c r="AO1879" s="24"/>
      <c r="AP1879" s="24"/>
      <c r="AQ1879" s="24"/>
      <c r="AR1879" s="54"/>
    </row>
    <row r="1880">
      <c r="A1880" s="57"/>
      <c r="B1880" s="24"/>
      <c r="C1880" s="24"/>
      <c r="D1880" s="24"/>
      <c r="E1880" s="24"/>
      <c r="F1880" s="24"/>
      <c r="G1880" s="24"/>
      <c r="H1880" s="24"/>
      <c r="I1880" s="24"/>
      <c r="J1880" s="24"/>
      <c r="K1880" s="24"/>
      <c r="L1880" s="24"/>
      <c r="M1880" s="24"/>
      <c r="N1880" s="24"/>
      <c r="O1880" s="24"/>
      <c r="P1880" s="24"/>
      <c r="Q1880" s="24"/>
      <c r="R1880" s="24"/>
      <c r="S1880" s="24"/>
      <c r="T1880" s="24"/>
      <c r="U1880" s="24"/>
      <c r="V1880" s="24"/>
      <c r="W1880" s="24"/>
      <c r="X1880" s="24"/>
      <c r="Y1880" s="24"/>
      <c r="Z1880" s="24"/>
      <c r="AA1880" s="24"/>
      <c r="AB1880" s="24"/>
      <c r="AC1880" s="24"/>
      <c r="AD1880" s="24"/>
      <c r="AE1880" s="24"/>
      <c r="AF1880" s="24"/>
      <c r="AG1880" s="24"/>
      <c r="AH1880" s="24"/>
      <c r="AI1880" s="24"/>
      <c r="AJ1880" s="24"/>
      <c r="AK1880" s="24"/>
      <c r="AL1880" s="24"/>
      <c r="AM1880" s="24"/>
      <c r="AN1880" s="24"/>
      <c r="AO1880" s="24"/>
      <c r="AP1880" s="24"/>
      <c r="AQ1880" s="24"/>
      <c r="AR1880" s="54"/>
    </row>
    <row r="1881">
      <c r="A1881" s="57"/>
      <c r="B1881" s="24"/>
      <c r="C1881" s="24"/>
      <c r="D1881" s="24"/>
      <c r="E1881" s="24"/>
      <c r="F1881" s="24"/>
      <c r="G1881" s="24"/>
      <c r="H1881" s="24"/>
      <c r="I1881" s="24"/>
      <c r="J1881" s="24"/>
      <c r="K1881" s="24"/>
      <c r="L1881" s="24"/>
      <c r="M1881" s="24"/>
      <c r="N1881" s="24"/>
      <c r="O1881" s="24"/>
      <c r="P1881" s="24"/>
      <c r="Q1881" s="24"/>
      <c r="R1881" s="24"/>
      <c r="S1881" s="24"/>
      <c r="T1881" s="24"/>
      <c r="U1881" s="24"/>
      <c r="V1881" s="24"/>
      <c r="W1881" s="24"/>
      <c r="X1881" s="24"/>
      <c r="Y1881" s="24"/>
      <c r="Z1881" s="24"/>
      <c r="AA1881" s="24"/>
      <c r="AB1881" s="24"/>
      <c r="AC1881" s="24"/>
      <c r="AD1881" s="24"/>
      <c r="AE1881" s="24"/>
      <c r="AF1881" s="24"/>
      <c r="AG1881" s="24"/>
      <c r="AH1881" s="24"/>
      <c r="AI1881" s="24"/>
      <c r="AJ1881" s="24"/>
      <c r="AK1881" s="24"/>
      <c r="AL1881" s="24"/>
      <c r="AM1881" s="24"/>
      <c r="AN1881" s="24"/>
      <c r="AO1881" s="24"/>
      <c r="AP1881" s="24"/>
      <c r="AQ1881" s="24"/>
      <c r="AR1881" s="54"/>
    </row>
    <row r="1882">
      <c r="A1882" s="57"/>
      <c r="B1882" s="24"/>
      <c r="C1882" s="24"/>
      <c r="D1882" s="24"/>
      <c r="E1882" s="24"/>
      <c r="F1882" s="24"/>
      <c r="G1882" s="24"/>
      <c r="H1882" s="24"/>
      <c r="I1882" s="24"/>
      <c r="J1882" s="24"/>
      <c r="K1882" s="24"/>
      <c r="L1882" s="24"/>
      <c r="M1882" s="24"/>
      <c r="N1882" s="24"/>
      <c r="O1882" s="24"/>
      <c r="P1882" s="24"/>
      <c r="Q1882" s="24"/>
      <c r="R1882" s="24"/>
      <c r="S1882" s="24"/>
      <c r="T1882" s="24"/>
      <c r="U1882" s="24"/>
      <c r="V1882" s="24"/>
      <c r="W1882" s="24"/>
      <c r="X1882" s="24"/>
      <c r="Y1882" s="24"/>
      <c r="Z1882" s="24"/>
      <c r="AA1882" s="24"/>
      <c r="AB1882" s="24"/>
      <c r="AC1882" s="24"/>
      <c r="AD1882" s="24"/>
      <c r="AE1882" s="24"/>
      <c r="AF1882" s="24"/>
      <c r="AG1882" s="24"/>
      <c r="AH1882" s="24"/>
      <c r="AI1882" s="24"/>
      <c r="AJ1882" s="24"/>
      <c r="AK1882" s="24"/>
      <c r="AL1882" s="24"/>
      <c r="AM1882" s="24"/>
      <c r="AN1882" s="24"/>
      <c r="AO1882" s="24"/>
      <c r="AP1882" s="24"/>
      <c r="AQ1882" s="24"/>
      <c r="AR1882" s="54"/>
    </row>
    <row r="1883">
      <c r="A1883" s="57"/>
      <c r="B1883" s="24"/>
      <c r="C1883" s="24"/>
      <c r="D1883" s="24"/>
      <c r="E1883" s="24"/>
      <c r="F1883" s="24"/>
      <c r="G1883" s="24"/>
      <c r="H1883" s="24"/>
      <c r="I1883" s="24"/>
      <c r="J1883" s="24"/>
      <c r="K1883" s="24"/>
      <c r="L1883" s="24"/>
      <c r="M1883" s="24"/>
      <c r="N1883" s="24"/>
      <c r="O1883" s="24"/>
      <c r="P1883" s="24"/>
      <c r="Q1883" s="24"/>
      <c r="R1883" s="24"/>
      <c r="S1883" s="24"/>
      <c r="T1883" s="24"/>
      <c r="U1883" s="24"/>
      <c r="V1883" s="24"/>
      <c r="W1883" s="24"/>
      <c r="X1883" s="24"/>
      <c r="Y1883" s="24"/>
      <c r="Z1883" s="24"/>
      <c r="AA1883" s="24"/>
      <c r="AB1883" s="24"/>
      <c r="AC1883" s="24"/>
      <c r="AD1883" s="24"/>
      <c r="AE1883" s="24"/>
      <c r="AF1883" s="24"/>
      <c r="AG1883" s="24"/>
      <c r="AH1883" s="24"/>
      <c r="AI1883" s="24"/>
      <c r="AJ1883" s="24"/>
      <c r="AK1883" s="24"/>
      <c r="AL1883" s="24"/>
      <c r="AM1883" s="24"/>
      <c r="AN1883" s="24"/>
      <c r="AO1883" s="24"/>
      <c r="AP1883" s="24"/>
      <c r="AQ1883" s="24"/>
      <c r="AR1883" s="54"/>
    </row>
    <row r="1884">
      <c r="A1884" s="57"/>
      <c r="B1884" s="24"/>
      <c r="C1884" s="24"/>
      <c r="D1884" s="24"/>
      <c r="E1884" s="24"/>
      <c r="F1884" s="24"/>
      <c r="G1884" s="24"/>
      <c r="H1884" s="24"/>
      <c r="I1884" s="24"/>
      <c r="J1884" s="24"/>
      <c r="K1884" s="24"/>
      <c r="L1884" s="24"/>
      <c r="M1884" s="24"/>
      <c r="N1884" s="24"/>
      <c r="O1884" s="24"/>
      <c r="P1884" s="24"/>
      <c r="Q1884" s="24"/>
      <c r="R1884" s="24"/>
      <c r="S1884" s="24"/>
      <c r="T1884" s="24"/>
      <c r="U1884" s="24"/>
      <c r="V1884" s="24"/>
      <c r="W1884" s="24"/>
      <c r="X1884" s="24"/>
      <c r="Y1884" s="24"/>
      <c r="Z1884" s="24"/>
      <c r="AA1884" s="24"/>
      <c r="AB1884" s="24"/>
      <c r="AC1884" s="24"/>
      <c r="AD1884" s="24"/>
      <c r="AE1884" s="24"/>
      <c r="AF1884" s="24"/>
      <c r="AG1884" s="24"/>
      <c r="AH1884" s="24"/>
      <c r="AI1884" s="24"/>
      <c r="AJ1884" s="24"/>
      <c r="AK1884" s="24"/>
      <c r="AL1884" s="24"/>
      <c r="AM1884" s="24"/>
      <c r="AN1884" s="24"/>
      <c r="AO1884" s="24"/>
      <c r="AP1884" s="24"/>
      <c r="AQ1884" s="24"/>
      <c r="AR1884" s="54"/>
    </row>
    <row r="1885">
      <c r="A1885" s="57"/>
      <c r="B1885" s="24"/>
      <c r="C1885" s="24"/>
      <c r="D1885" s="24"/>
      <c r="E1885" s="24"/>
      <c r="F1885" s="24"/>
      <c r="G1885" s="24"/>
      <c r="H1885" s="24"/>
      <c r="I1885" s="24"/>
      <c r="J1885" s="24"/>
      <c r="K1885" s="24"/>
      <c r="L1885" s="24"/>
      <c r="M1885" s="24"/>
      <c r="N1885" s="24"/>
      <c r="O1885" s="24"/>
      <c r="P1885" s="24"/>
      <c r="Q1885" s="24"/>
      <c r="R1885" s="24"/>
      <c r="S1885" s="24"/>
      <c r="T1885" s="24"/>
      <c r="U1885" s="24"/>
      <c r="V1885" s="24"/>
      <c r="W1885" s="24"/>
      <c r="X1885" s="24"/>
      <c r="Y1885" s="24"/>
      <c r="Z1885" s="24"/>
      <c r="AA1885" s="24"/>
      <c r="AB1885" s="24"/>
      <c r="AC1885" s="24"/>
      <c r="AD1885" s="24"/>
      <c r="AE1885" s="24"/>
      <c r="AF1885" s="24"/>
      <c r="AG1885" s="24"/>
      <c r="AH1885" s="24"/>
      <c r="AI1885" s="24"/>
      <c r="AJ1885" s="24"/>
      <c r="AK1885" s="24"/>
      <c r="AL1885" s="24"/>
      <c r="AM1885" s="24"/>
      <c r="AN1885" s="24"/>
      <c r="AO1885" s="24"/>
      <c r="AP1885" s="24"/>
      <c r="AQ1885" s="24"/>
      <c r="AR1885" s="54"/>
    </row>
    <row r="1886">
      <c r="A1886" s="57"/>
      <c r="B1886" s="24"/>
      <c r="C1886" s="24"/>
      <c r="D1886" s="24"/>
      <c r="E1886" s="24"/>
      <c r="F1886" s="24"/>
      <c r="G1886" s="24"/>
      <c r="H1886" s="24"/>
      <c r="I1886" s="24"/>
      <c r="J1886" s="24"/>
      <c r="K1886" s="24"/>
      <c r="L1886" s="24"/>
      <c r="M1886" s="24"/>
      <c r="N1886" s="24"/>
      <c r="O1886" s="24"/>
      <c r="P1886" s="24"/>
      <c r="Q1886" s="24"/>
      <c r="R1886" s="24"/>
      <c r="S1886" s="24"/>
      <c r="T1886" s="24"/>
      <c r="U1886" s="24"/>
      <c r="V1886" s="24"/>
      <c r="W1886" s="24"/>
      <c r="X1886" s="24"/>
      <c r="Y1886" s="24"/>
      <c r="Z1886" s="24"/>
      <c r="AA1886" s="24"/>
      <c r="AB1886" s="24"/>
      <c r="AC1886" s="24"/>
      <c r="AD1886" s="24"/>
      <c r="AE1886" s="24"/>
      <c r="AF1886" s="24"/>
      <c r="AG1886" s="24"/>
      <c r="AH1886" s="24"/>
      <c r="AI1886" s="24"/>
      <c r="AJ1886" s="24"/>
      <c r="AK1886" s="24"/>
      <c r="AL1886" s="24"/>
      <c r="AM1886" s="24"/>
      <c r="AN1886" s="24"/>
      <c r="AO1886" s="24"/>
      <c r="AP1886" s="24"/>
      <c r="AQ1886" s="24"/>
      <c r="AR1886" s="54"/>
    </row>
    <row r="1887">
      <c r="A1887" s="57"/>
      <c r="B1887" s="24"/>
      <c r="C1887" s="24"/>
      <c r="D1887" s="24"/>
      <c r="E1887" s="24"/>
      <c r="F1887" s="24"/>
      <c r="G1887" s="24"/>
      <c r="H1887" s="24"/>
      <c r="I1887" s="24"/>
      <c r="J1887" s="24"/>
      <c r="K1887" s="24"/>
      <c r="L1887" s="24"/>
      <c r="M1887" s="24"/>
      <c r="N1887" s="24"/>
      <c r="O1887" s="24"/>
      <c r="P1887" s="24"/>
      <c r="Q1887" s="24"/>
      <c r="R1887" s="24"/>
      <c r="S1887" s="24"/>
      <c r="T1887" s="24"/>
      <c r="U1887" s="24"/>
      <c r="V1887" s="24"/>
      <c r="W1887" s="24"/>
      <c r="X1887" s="24"/>
      <c r="Y1887" s="24"/>
      <c r="Z1887" s="24"/>
      <c r="AA1887" s="24"/>
      <c r="AB1887" s="24"/>
      <c r="AC1887" s="24"/>
      <c r="AD1887" s="24"/>
      <c r="AE1887" s="24"/>
      <c r="AF1887" s="24"/>
      <c r="AG1887" s="24"/>
      <c r="AH1887" s="24"/>
      <c r="AI1887" s="24"/>
      <c r="AJ1887" s="24"/>
      <c r="AK1887" s="24"/>
      <c r="AL1887" s="24"/>
      <c r="AM1887" s="24"/>
      <c r="AN1887" s="24"/>
      <c r="AO1887" s="24"/>
      <c r="AP1887" s="24"/>
      <c r="AQ1887" s="24"/>
      <c r="AR1887" s="54"/>
    </row>
    <row r="1888">
      <c r="A1888" s="57"/>
      <c r="B1888" s="24"/>
      <c r="C1888" s="24"/>
      <c r="D1888" s="24"/>
      <c r="E1888" s="24"/>
      <c r="F1888" s="24"/>
      <c r="G1888" s="24"/>
      <c r="H1888" s="24"/>
      <c r="I1888" s="24"/>
      <c r="J1888" s="24"/>
      <c r="K1888" s="24"/>
      <c r="L1888" s="24"/>
      <c r="M1888" s="24"/>
      <c r="N1888" s="24"/>
      <c r="O1888" s="24"/>
      <c r="P1888" s="24"/>
      <c r="Q1888" s="24"/>
      <c r="R1888" s="24"/>
      <c r="S1888" s="24"/>
      <c r="T1888" s="24"/>
      <c r="U1888" s="24"/>
      <c r="V1888" s="24"/>
      <c r="W1888" s="24"/>
      <c r="X1888" s="24"/>
      <c r="Y1888" s="24"/>
      <c r="Z1888" s="24"/>
      <c r="AA1888" s="24"/>
      <c r="AB1888" s="24"/>
      <c r="AC1888" s="24"/>
      <c r="AD1888" s="24"/>
      <c r="AE1888" s="24"/>
      <c r="AF1888" s="24"/>
      <c r="AG1888" s="24"/>
      <c r="AH1888" s="24"/>
      <c r="AI1888" s="24"/>
      <c r="AJ1888" s="24"/>
      <c r="AK1888" s="24"/>
      <c r="AL1888" s="24"/>
      <c r="AM1888" s="24"/>
      <c r="AN1888" s="24"/>
      <c r="AO1888" s="24"/>
      <c r="AP1888" s="24"/>
      <c r="AQ1888" s="24"/>
      <c r="AR1888" s="54"/>
    </row>
    <row r="1889">
      <c r="A1889" s="57"/>
      <c r="B1889" s="24"/>
      <c r="C1889" s="24"/>
      <c r="D1889" s="24"/>
      <c r="E1889" s="24"/>
      <c r="F1889" s="24"/>
      <c r="G1889" s="24"/>
      <c r="H1889" s="24"/>
      <c r="I1889" s="24"/>
      <c r="J1889" s="24"/>
      <c r="K1889" s="24"/>
      <c r="L1889" s="24"/>
      <c r="M1889" s="24"/>
      <c r="N1889" s="24"/>
      <c r="O1889" s="24"/>
      <c r="P1889" s="24"/>
      <c r="Q1889" s="24"/>
      <c r="R1889" s="24"/>
      <c r="S1889" s="24"/>
      <c r="T1889" s="24"/>
      <c r="U1889" s="24"/>
      <c r="V1889" s="24"/>
      <c r="W1889" s="24"/>
      <c r="X1889" s="24"/>
      <c r="Y1889" s="24"/>
      <c r="Z1889" s="24"/>
      <c r="AA1889" s="24"/>
      <c r="AB1889" s="24"/>
      <c r="AC1889" s="24"/>
      <c r="AD1889" s="24"/>
      <c r="AE1889" s="24"/>
      <c r="AF1889" s="24"/>
      <c r="AG1889" s="24"/>
      <c r="AH1889" s="24"/>
      <c r="AI1889" s="24"/>
      <c r="AJ1889" s="24"/>
      <c r="AK1889" s="24"/>
      <c r="AL1889" s="24"/>
      <c r="AM1889" s="24"/>
      <c r="AN1889" s="24"/>
      <c r="AO1889" s="24"/>
      <c r="AP1889" s="24"/>
      <c r="AQ1889" s="24"/>
      <c r="AR1889" s="54"/>
    </row>
    <row r="1890">
      <c r="A1890" s="57"/>
      <c r="B1890" s="24"/>
      <c r="C1890" s="24"/>
      <c r="D1890" s="24"/>
      <c r="E1890" s="24"/>
      <c r="F1890" s="24"/>
      <c r="G1890" s="24"/>
      <c r="H1890" s="24"/>
      <c r="I1890" s="24"/>
      <c r="J1890" s="24"/>
      <c r="K1890" s="24"/>
      <c r="L1890" s="24"/>
      <c r="M1890" s="24"/>
      <c r="N1890" s="24"/>
      <c r="O1890" s="24"/>
      <c r="P1890" s="24"/>
      <c r="Q1890" s="24"/>
      <c r="R1890" s="24"/>
      <c r="S1890" s="24"/>
      <c r="T1890" s="24"/>
      <c r="U1890" s="24"/>
      <c r="V1890" s="24"/>
      <c r="W1890" s="24"/>
      <c r="X1890" s="24"/>
      <c r="Y1890" s="24"/>
      <c r="Z1890" s="24"/>
      <c r="AA1890" s="24"/>
      <c r="AB1890" s="24"/>
      <c r="AC1890" s="24"/>
      <c r="AD1890" s="24"/>
      <c r="AE1890" s="24"/>
      <c r="AF1890" s="24"/>
      <c r="AG1890" s="24"/>
      <c r="AH1890" s="24"/>
      <c r="AI1890" s="24"/>
      <c r="AJ1890" s="24"/>
      <c r="AK1890" s="24"/>
      <c r="AL1890" s="24"/>
      <c r="AM1890" s="24"/>
      <c r="AN1890" s="24"/>
      <c r="AO1890" s="24"/>
      <c r="AP1890" s="24"/>
      <c r="AQ1890" s="24"/>
      <c r="AR1890" s="54"/>
    </row>
    <row r="1891">
      <c r="A1891" s="57"/>
      <c r="B1891" s="24"/>
      <c r="C1891" s="24"/>
      <c r="D1891" s="24"/>
      <c r="E1891" s="24"/>
      <c r="F1891" s="24"/>
      <c r="G1891" s="24"/>
      <c r="H1891" s="24"/>
      <c r="I1891" s="24"/>
      <c r="J1891" s="24"/>
      <c r="K1891" s="24"/>
      <c r="L1891" s="24"/>
      <c r="M1891" s="24"/>
      <c r="N1891" s="24"/>
      <c r="O1891" s="24"/>
      <c r="P1891" s="24"/>
      <c r="Q1891" s="24"/>
      <c r="R1891" s="24"/>
      <c r="S1891" s="24"/>
      <c r="T1891" s="24"/>
      <c r="U1891" s="24"/>
      <c r="V1891" s="24"/>
      <c r="W1891" s="24"/>
      <c r="X1891" s="24"/>
      <c r="Y1891" s="24"/>
      <c r="Z1891" s="24"/>
      <c r="AA1891" s="24"/>
      <c r="AB1891" s="24"/>
      <c r="AC1891" s="24"/>
      <c r="AD1891" s="24"/>
      <c r="AE1891" s="24"/>
      <c r="AF1891" s="24"/>
      <c r="AG1891" s="24"/>
      <c r="AH1891" s="24"/>
      <c r="AI1891" s="24"/>
      <c r="AJ1891" s="24"/>
      <c r="AK1891" s="24"/>
      <c r="AL1891" s="24"/>
      <c r="AM1891" s="24"/>
      <c r="AN1891" s="24"/>
      <c r="AO1891" s="24"/>
      <c r="AP1891" s="24"/>
      <c r="AQ1891" s="24"/>
      <c r="AR1891" s="54"/>
    </row>
    <row r="1892">
      <c r="A1892" s="57"/>
      <c r="B1892" s="24"/>
      <c r="C1892" s="24"/>
      <c r="D1892" s="24"/>
      <c r="E1892" s="24"/>
      <c r="F1892" s="24"/>
      <c r="G1892" s="24"/>
      <c r="H1892" s="24"/>
      <c r="I1892" s="24"/>
      <c r="J1892" s="24"/>
      <c r="K1892" s="24"/>
      <c r="L1892" s="24"/>
      <c r="M1892" s="24"/>
      <c r="N1892" s="24"/>
      <c r="O1892" s="24"/>
      <c r="P1892" s="24"/>
      <c r="Q1892" s="24"/>
      <c r="R1892" s="24"/>
      <c r="S1892" s="24"/>
      <c r="T1892" s="24"/>
      <c r="U1892" s="24"/>
      <c r="V1892" s="24"/>
      <c r="W1892" s="24"/>
      <c r="X1892" s="24"/>
      <c r="Y1892" s="24"/>
      <c r="Z1892" s="24"/>
      <c r="AA1892" s="24"/>
      <c r="AB1892" s="24"/>
      <c r="AC1892" s="24"/>
      <c r="AD1892" s="24"/>
      <c r="AE1892" s="24"/>
      <c r="AF1892" s="24"/>
      <c r="AG1892" s="24"/>
      <c r="AH1892" s="24"/>
      <c r="AI1892" s="24"/>
      <c r="AJ1892" s="24"/>
      <c r="AK1892" s="24"/>
      <c r="AL1892" s="24"/>
      <c r="AM1892" s="24"/>
      <c r="AN1892" s="24"/>
      <c r="AO1892" s="24"/>
      <c r="AP1892" s="24"/>
      <c r="AQ1892" s="24"/>
      <c r="AR1892" s="54"/>
    </row>
    <row r="1893">
      <c r="A1893" s="57"/>
      <c r="B1893" s="24"/>
      <c r="C1893" s="24"/>
      <c r="D1893" s="24"/>
      <c r="E1893" s="24"/>
      <c r="F1893" s="24"/>
      <c r="G1893" s="24"/>
      <c r="H1893" s="24"/>
      <c r="I1893" s="24"/>
      <c r="J1893" s="24"/>
      <c r="K1893" s="24"/>
      <c r="L1893" s="24"/>
      <c r="M1893" s="24"/>
      <c r="N1893" s="24"/>
      <c r="O1893" s="24"/>
      <c r="P1893" s="24"/>
      <c r="Q1893" s="24"/>
      <c r="R1893" s="24"/>
      <c r="S1893" s="24"/>
      <c r="T1893" s="24"/>
      <c r="U1893" s="24"/>
      <c r="V1893" s="24"/>
      <c r="W1893" s="24"/>
      <c r="X1893" s="24"/>
      <c r="Y1893" s="24"/>
      <c r="Z1893" s="24"/>
      <c r="AA1893" s="24"/>
      <c r="AB1893" s="24"/>
      <c r="AC1893" s="24"/>
      <c r="AD1893" s="24"/>
      <c r="AE1893" s="24"/>
      <c r="AF1893" s="24"/>
      <c r="AG1893" s="24"/>
      <c r="AH1893" s="24"/>
      <c r="AI1893" s="24"/>
      <c r="AJ1893" s="24"/>
      <c r="AK1893" s="24"/>
      <c r="AL1893" s="24"/>
      <c r="AM1893" s="24"/>
      <c r="AN1893" s="24"/>
      <c r="AO1893" s="24"/>
      <c r="AP1893" s="24"/>
      <c r="AQ1893" s="24"/>
      <c r="AR1893" s="54"/>
    </row>
    <row r="1894">
      <c r="A1894" s="57"/>
      <c r="B1894" s="24"/>
      <c r="C1894" s="24"/>
      <c r="D1894" s="24"/>
      <c r="E1894" s="24"/>
      <c r="F1894" s="24"/>
      <c r="G1894" s="24"/>
      <c r="H1894" s="24"/>
      <c r="I1894" s="24"/>
      <c r="J1894" s="24"/>
      <c r="K1894" s="24"/>
      <c r="L1894" s="24"/>
      <c r="M1894" s="24"/>
      <c r="N1894" s="24"/>
      <c r="O1894" s="24"/>
      <c r="P1894" s="24"/>
      <c r="Q1894" s="24"/>
      <c r="R1894" s="24"/>
      <c r="S1894" s="24"/>
      <c r="T1894" s="24"/>
      <c r="U1894" s="24"/>
      <c r="V1894" s="24"/>
      <c r="W1894" s="24"/>
      <c r="X1894" s="24"/>
      <c r="Y1894" s="24"/>
      <c r="Z1894" s="24"/>
      <c r="AA1894" s="24"/>
      <c r="AB1894" s="24"/>
      <c r="AC1894" s="24"/>
      <c r="AD1894" s="24"/>
      <c r="AE1894" s="24"/>
      <c r="AF1894" s="24"/>
      <c r="AG1894" s="24"/>
      <c r="AH1894" s="24"/>
      <c r="AI1894" s="24"/>
      <c r="AJ1894" s="24"/>
      <c r="AK1894" s="24"/>
      <c r="AL1894" s="24"/>
      <c r="AM1894" s="24"/>
      <c r="AN1894" s="24"/>
      <c r="AO1894" s="24"/>
      <c r="AP1894" s="24"/>
      <c r="AQ1894" s="24"/>
      <c r="AR1894" s="54"/>
    </row>
    <row r="1895">
      <c r="A1895" s="57"/>
      <c r="B1895" s="24"/>
      <c r="C1895" s="24"/>
      <c r="D1895" s="24"/>
      <c r="E1895" s="24"/>
      <c r="F1895" s="24"/>
      <c r="G1895" s="24"/>
      <c r="H1895" s="24"/>
      <c r="I1895" s="24"/>
      <c r="J1895" s="24"/>
      <c r="K1895" s="24"/>
      <c r="L1895" s="24"/>
      <c r="M1895" s="24"/>
      <c r="N1895" s="24"/>
      <c r="O1895" s="24"/>
      <c r="P1895" s="24"/>
      <c r="Q1895" s="24"/>
      <c r="R1895" s="24"/>
      <c r="S1895" s="24"/>
      <c r="T1895" s="24"/>
      <c r="U1895" s="24"/>
      <c r="V1895" s="24"/>
      <c r="W1895" s="24"/>
      <c r="X1895" s="24"/>
      <c r="Y1895" s="24"/>
      <c r="Z1895" s="24"/>
      <c r="AA1895" s="24"/>
      <c r="AB1895" s="24"/>
      <c r="AC1895" s="24"/>
      <c r="AD1895" s="24"/>
      <c r="AE1895" s="24"/>
      <c r="AF1895" s="24"/>
      <c r="AG1895" s="24"/>
      <c r="AH1895" s="24"/>
      <c r="AI1895" s="24"/>
      <c r="AJ1895" s="24"/>
      <c r="AK1895" s="24"/>
      <c r="AL1895" s="24"/>
      <c r="AM1895" s="24"/>
      <c r="AN1895" s="24"/>
      <c r="AO1895" s="24"/>
      <c r="AP1895" s="24"/>
      <c r="AQ1895" s="24"/>
      <c r="AR1895" s="54"/>
    </row>
    <row r="1896">
      <c r="A1896" s="57"/>
      <c r="B1896" s="24"/>
      <c r="C1896" s="24"/>
      <c r="D1896" s="24"/>
      <c r="E1896" s="24"/>
      <c r="F1896" s="24"/>
      <c r="G1896" s="24"/>
      <c r="H1896" s="24"/>
      <c r="I1896" s="24"/>
      <c r="J1896" s="24"/>
      <c r="K1896" s="24"/>
      <c r="L1896" s="24"/>
      <c r="M1896" s="24"/>
      <c r="N1896" s="24"/>
      <c r="O1896" s="24"/>
      <c r="P1896" s="24"/>
      <c r="Q1896" s="24"/>
      <c r="R1896" s="24"/>
      <c r="S1896" s="24"/>
      <c r="T1896" s="24"/>
      <c r="U1896" s="24"/>
      <c r="V1896" s="24"/>
      <c r="W1896" s="24"/>
      <c r="X1896" s="24"/>
      <c r="Y1896" s="24"/>
      <c r="Z1896" s="24"/>
      <c r="AA1896" s="24"/>
      <c r="AB1896" s="24"/>
      <c r="AC1896" s="24"/>
      <c r="AD1896" s="24"/>
      <c r="AE1896" s="24"/>
      <c r="AF1896" s="24"/>
      <c r="AG1896" s="24"/>
      <c r="AH1896" s="24"/>
      <c r="AI1896" s="24"/>
      <c r="AJ1896" s="24"/>
      <c r="AK1896" s="24"/>
      <c r="AL1896" s="24"/>
      <c r="AM1896" s="24"/>
      <c r="AN1896" s="24"/>
      <c r="AO1896" s="24"/>
      <c r="AP1896" s="24"/>
      <c r="AQ1896" s="24"/>
      <c r="AR1896" s="54"/>
    </row>
    <row r="1897">
      <c r="A1897" s="57"/>
      <c r="B1897" s="24"/>
      <c r="C1897" s="24"/>
      <c r="D1897" s="24"/>
      <c r="E1897" s="24"/>
      <c r="F1897" s="24"/>
      <c r="G1897" s="24"/>
      <c r="H1897" s="24"/>
      <c r="I1897" s="24"/>
      <c r="J1897" s="24"/>
      <c r="K1897" s="24"/>
      <c r="L1897" s="24"/>
      <c r="M1897" s="24"/>
      <c r="N1897" s="24"/>
      <c r="O1897" s="24"/>
      <c r="P1897" s="24"/>
      <c r="Q1897" s="24"/>
      <c r="R1897" s="24"/>
      <c r="S1897" s="24"/>
      <c r="T1897" s="24"/>
      <c r="U1897" s="24"/>
      <c r="V1897" s="24"/>
      <c r="W1897" s="24"/>
      <c r="X1897" s="24"/>
      <c r="Y1897" s="24"/>
      <c r="Z1897" s="24"/>
      <c r="AA1897" s="24"/>
      <c r="AB1897" s="24"/>
      <c r="AC1897" s="24"/>
      <c r="AD1897" s="24"/>
      <c r="AE1897" s="24"/>
      <c r="AF1897" s="24"/>
      <c r="AG1897" s="24"/>
      <c r="AH1897" s="24"/>
      <c r="AI1897" s="24"/>
      <c r="AJ1897" s="24"/>
      <c r="AK1897" s="24"/>
      <c r="AL1897" s="24"/>
      <c r="AM1897" s="24"/>
      <c r="AN1897" s="24"/>
      <c r="AO1897" s="24"/>
      <c r="AP1897" s="24"/>
      <c r="AQ1897" s="24"/>
      <c r="AR1897" s="54"/>
    </row>
    <row r="1898">
      <c r="A1898" s="57"/>
      <c r="B1898" s="24"/>
      <c r="C1898" s="24"/>
      <c r="D1898" s="24"/>
      <c r="E1898" s="24"/>
      <c r="F1898" s="24"/>
      <c r="G1898" s="24"/>
      <c r="H1898" s="24"/>
      <c r="I1898" s="24"/>
      <c r="J1898" s="24"/>
      <c r="K1898" s="24"/>
      <c r="L1898" s="24"/>
      <c r="M1898" s="24"/>
      <c r="N1898" s="24"/>
      <c r="O1898" s="24"/>
      <c r="P1898" s="24"/>
      <c r="Q1898" s="24"/>
      <c r="R1898" s="24"/>
      <c r="S1898" s="24"/>
      <c r="T1898" s="24"/>
      <c r="U1898" s="24"/>
      <c r="V1898" s="24"/>
      <c r="W1898" s="24"/>
      <c r="X1898" s="24"/>
      <c r="Y1898" s="24"/>
      <c r="Z1898" s="24"/>
      <c r="AA1898" s="24"/>
      <c r="AB1898" s="24"/>
      <c r="AC1898" s="24"/>
      <c r="AD1898" s="24"/>
      <c r="AE1898" s="24"/>
      <c r="AF1898" s="24"/>
      <c r="AG1898" s="24"/>
      <c r="AH1898" s="24"/>
      <c r="AI1898" s="24"/>
      <c r="AJ1898" s="24"/>
      <c r="AK1898" s="24"/>
      <c r="AL1898" s="24"/>
      <c r="AM1898" s="24"/>
      <c r="AN1898" s="24"/>
      <c r="AO1898" s="24"/>
      <c r="AP1898" s="24"/>
      <c r="AQ1898" s="24"/>
      <c r="AR1898" s="54"/>
    </row>
    <row r="1899">
      <c r="A1899" s="57"/>
      <c r="B1899" s="24"/>
      <c r="C1899" s="24"/>
      <c r="D1899" s="24"/>
      <c r="E1899" s="24"/>
      <c r="F1899" s="24"/>
      <c r="G1899" s="24"/>
      <c r="H1899" s="24"/>
      <c r="I1899" s="24"/>
      <c r="J1899" s="24"/>
      <c r="K1899" s="24"/>
      <c r="L1899" s="24"/>
      <c r="M1899" s="24"/>
      <c r="N1899" s="24"/>
      <c r="O1899" s="24"/>
      <c r="P1899" s="24"/>
      <c r="Q1899" s="24"/>
      <c r="R1899" s="24"/>
      <c r="S1899" s="24"/>
      <c r="T1899" s="24"/>
      <c r="U1899" s="24"/>
      <c r="V1899" s="24"/>
      <c r="W1899" s="24"/>
      <c r="X1899" s="24"/>
      <c r="Y1899" s="24"/>
      <c r="Z1899" s="24"/>
      <c r="AA1899" s="24"/>
      <c r="AB1899" s="24"/>
      <c r="AC1899" s="24"/>
      <c r="AD1899" s="24"/>
      <c r="AE1899" s="24"/>
      <c r="AF1899" s="24"/>
      <c r="AG1899" s="24"/>
      <c r="AH1899" s="24"/>
      <c r="AI1899" s="24"/>
      <c r="AJ1899" s="24"/>
      <c r="AK1899" s="24"/>
      <c r="AL1899" s="24"/>
      <c r="AM1899" s="24"/>
      <c r="AN1899" s="24"/>
      <c r="AO1899" s="24"/>
      <c r="AP1899" s="24"/>
      <c r="AQ1899" s="24"/>
      <c r="AR1899" s="54"/>
    </row>
    <row r="1900">
      <c r="A1900" s="57"/>
      <c r="B1900" s="24"/>
      <c r="C1900" s="24"/>
      <c r="D1900" s="24"/>
      <c r="E1900" s="24"/>
      <c r="F1900" s="24"/>
      <c r="G1900" s="24"/>
      <c r="H1900" s="24"/>
      <c r="I1900" s="24"/>
      <c r="J1900" s="24"/>
      <c r="K1900" s="24"/>
      <c r="L1900" s="24"/>
      <c r="M1900" s="24"/>
      <c r="N1900" s="24"/>
      <c r="O1900" s="24"/>
      <c r="P1900" s="24"/>
      <c r="Q1900" s="24"/>
      <c r="R1900" s="24"/>
      <c r="S1900" s="24"/>
      <c r="T1900" s="24"/>
      <c r="U1900" s="24"/>
      <c r="V1900" s="24"/>
      <c r="W1900" s="24"/>
      <c r="X1900" s="24"/>
      <c r="Y1900" s="24"/>
      <c r="Z1900" s="24"/>
      <c r="AA1900" s="24"/>
      <c r="AB1900" s="24"/>
      <c r="AC1900" s="24"/>
      <c r="AD1900" s="24"/>
      <c r="AE1900" s="24"/>
      <c r="AF1900" s="24"/>
      <c r="AG1900" s="24"/>
      <c r="AH1900" s="24"/>
      <c r="AI1900" s="24"/>
      <c r="AJ1900" s="24"/>
      <c r="AK1900" s="24"/>
      <c r="AL1900" s="24"/>
      <c r="AM1900" s="24"/>
      <c r="AN1900" s="24"/>
      <c r="AO1900" s="24"/>
      <c r="AP1900" s="24"/>
      <c r="AQ1900" s="24"/>
      <c r="AR1900" s="54"/>
    </row>
    <row r="1901">
      <c r="A1901" s="57"/>
      <c r="B1901" s="24"/>
      <c r="C1901" s="24"/>
      <c r="D1901" s="24"/>
      <c r="E1901" s="24"/>
      <c r="F1901" s="24"/>
      <c r="G1901" s="24"/>
      <c r="H1901" s="24"/>
      <c r="I1901" s="24"/>
      <c r="J1901" s="24"/>
      <c r="K1901" s="24"/>
      <c r="L1901" s="24"/>
      <c r="M1901" s="24"/>
      <c r="N1901" s="24"/>
      <c r="O1901" s="24"/>
      <c r="P1901" s="24"/>
      <c r="Q1901" s="24"/>
      <c r="R1901" s="24"/>
      <c r="S1901" s="24"/>
      <c r="T1901" s="24"/>
      <c r="U1901" s="24"/>
      <c r="V1901" s="24"/>
      <c r="W1901" s="24"/>
      <c r="X1901" s="24"/>
      <c r="Y1901" s="24"/>
      <c r="Z1901" s="24"/>
      <c r="AA1901" s="24"/>
      <c r="AB1901" s="24"/>
      <c r="AC1901" s="24"/>
      <c r="AD1901" s="24"/>
      <c r="AE1901" s="24"/>
      <c r="AF1901" s="24"/>
      <c r="AG1901" s="24"/>
      <c r="AH1901" s="24"/>
      <c r="AI1901" s="24"/>
      <c r="AJ1901" s="24"/>
      <c r="AK1901" s="24"/>
      <c r="AL1901" s="24"/>
      <c r="AM1901" s="24"/>
      <c r="AN1901" s="24"/>
      <c r="AO1901" s="24"/>
      <c r="AP1901" s="24"/>
      <c r="AQ1901" s="24"/>
      <c r="AR1901" s="54"/>
    </row>
    <row r="1902">
      <c r="A1902" s="57"/>
      <c r="B1902" s="24"/>
      <c r="C1902" s="24"/>
      <c r="D1902" s="24"/>
      <c r="E1902" s="24"/>
      <c r="F1902" s="24"/>
      <c r="G1902" s="24"/>
      <c r="H1902" s="24"/>
      <c r="I1902" s="24"/>
      <c r="J1902" s="24"/>
      <c r="K1902" s="24"/>
      <c r="L1902" s="24"/>
      <c r="M1902" s="24"/>
      <c r="N1902" s="24"/>
      <c r="O1902" s="24"/>
      <c r="P1902" s="24"/>
      <c r="Q1902" s="24"/>
      <c r="R1902" s="24"/>
      <c r="S1902" s="24"/>
      <c r="T1902" s="24"/>
      <c r="U1902" s="24"/>
      <c r="V1902" s="24"/>
      <c r="W1902" s="24"/>
      <c r="X1902" s="24"/>
      <c r="Y1902" s="24"/>
      <c r="Z1902" s="24"/>
      <c r="AA1902" s="24"/>
      <c r="AB1902" s="24"/>
      <c r="AC1902" s="24"/>
      <c r="AD1902" s="24"/>
      <c r="AE1902" s="24"/>
      <c r="AF1902" s="24"/>
      <c r="AG1902" s="24"/>
      <c r="AH1902" s="24"/>
      <c r="AI1902" s="24"/>
      <c r="AJ1902" s="24"/>
      <c r="AK1902" s="24"/>
      <c r="AL1902" s="24"/>
      <c r="AM1902" s="24"/>
      <c r="AN1902" s="24"/>
      <c r="AO1902" s="24"/>
      <c r="AP1902" s="24"/>
      <c r="AQ1902" s="24"/>
      <c r="AR1902" s="54"/>
    </row>
    <row r="1903">
      <c r="A1903" s="57"/>
      <c r="B1903" s="24"/>
      <c r="C1903" s="24"/>
      <c r="D1903" s="24"/>
      <c r="E1903" s="24"/>
      <c r="F1903" s="24"/>
      <c r="G1903" s="24"/>
      <c r="H1903" s="24"/>
      <c r="I1903" s="24"/>
      <c r="J1903" s="24"/>
      <c r="K1903" s="24"/>
      <c r="L1903" s="24"/>
      <c r="M1903" s="24"/>
      <c r="N1903" s="24"/>
      <c r="O1903" s="24"/>
      <c r="P1903" s="24"/>
      <c r="Q1903" s="24"/>
      <c r="R1903" s="24"/>
      <c r="S1903" s="24"/>
      <c r="T1903" s="24"/>
      <c r="U1903" s="24"/>
      <c r="V1903" s="24"/>
      <c r="W1903" s="24"/>
      <c r="X1903" s="24"/>
      <c r="Y1903" s="24"/>
      <c r="Z1903" s="24"/>
      <c r="AA1903" s="24"/>
      <c r="AB1903" s="24"/>
      <c r="AC1903" s="24"/>
      <c r="AD1903" s="24"/>
      <c r="AE1903" s="24"/>
      <c r="AF1903" s="24"/>
      <c r="AG1903" s="24"/>
      <c r="AH1903" s="24"/>
      <c r="AI1903" s="24"/>
      <c r="AJ1903" s="24"/>
      <c r="AK1903" s="24"/>
      <c r="AL1903" s="24"/>
      <c r="AM1903" s="24"/>
      <c r="AN1903" s="24"/>
      <c r="AO1903" s="24"/>
      <c r="AP1903" s="24"/>
      <c r="AQ1903" s="24"/>
      <c r="AR1903" s="54"/>
    </row>
    <row r="1904">
      <c r="A1904" s="57"/>
      <c r="B1904" s="24"/>
      <c r="C1904" s="24"/>
      <c r="D1904" s="24"/>
      <c r="E1904" s="24"/>
      <c r="F1904" s="24"/>
      <c r="G1904" s="24"/>
      <c r="H1904" s="24"/>
      <c r="I1904" s="24"/>
      <c r="J1904" s="24"/>
      <c r="K1904" s="24"/>
      <c r="L1904" s="24"/>
      <c r="M1904" s="24"/>
      <c r="N1904" s="24"/>
      <c r="O1904" s="24"/>
      <c r="P1904" s="24"/>
      <c r="Q1904" s="24"/>
      <c r="R1904" s="24"/>
      <c r="S1904" s="24"/>
      <c r="T1904" s="24"/>
      <c r="U1904" s="24"/>
      <c r="V1904" s="24"/>
      <c r="W1904" s="24"/>
      <c r="X1904" s="24"/>
      <c r="Y1904" s="24"/>
      <c r="Z1904" s="24"/>
      <c r="AA1904" s="24"/>
      <c r="AB1904" s="24"/>
      <c r="AC1904" s="24"/>
      <c r="AD1904" s="24"/>
      <c r="AE1904" s="24"/>
      <c r="AF1904" s="24"/>
      <c r="AG1904" s="24"/>
      <c r="AH1904" s="24"/>
      <c r="AI1904" s="24"/>
      <c r="AJ1904" s="24"/>
      <c r="AK1904" s="24"/>
      <c r="AL1904" s="24"/>
      <c r="AM1904" s="24"/>
      <c r="AN1904" s="24"/>
      <c r="AO1904" s="24"/>
      <c r="AP1904" s="24"/>
      <c r="AQ1904" s="24"/>
      <c r="AR1904" s="54"/>
    </row>
    <row r="1905">
      <c r="A1905" s="57"/>
      <c r="B1905" s="24"/>
      <c r="C1905" s="24"/>
      <c r="D1905" s="24"/>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c r="AA1905" s="24"/>
      <c r="AB1905" s="24"/>
      <c r="AC1905" s="24"/>
      <c r="AD1905" s="24"/>
      <c r="AE1905" s="24"/>
      <c r="AF1905" s="24"/>
      <c r="AG1905" s="24"/>
      <c r="AH1905" s="24"/>
      <c r="AI1905" s="24"/>
      <c r="AJ1905" s="24"/>
      <c r="AK1905" s="24"/>
      <c r="AL1905" s="24"/>
      <c r="AM1905" s="24"/>
      <c r="AN1905" s="24"/>
      <c r="AO1905" s="24"/>
      <c r="AP1905" s="24"/>
      <c r="AQ1905" s="24"/>
      <c r="AR1905" s="54"/>
    </row>
    <row r="1906">
      <c r="A1906" s="57"/>
      <c r="B1906" s="24"/>
      <c r="C1906" s="24"/>
      <c r="D1906" s="24"/>
      <c r="E1906" s="24"/>
      <c r="F1906" s="24"/>
      <c r="G1906" s="24"/>
      <c r="H1906" s="24"/>
      <c r="I1906" s="24"/>
      <c r="J1906" s="24"/>
      <c r="K1906" s="24"/>
      <c r="L1906" s="24"/>
      <c r="M1906" s="24"/>
      <c r="N1906" s="24"/>
      <c r="O1906" s="24"/>
      <c r="P1906" s="24"/>
      <c r="Q1906" s="24"/>
      <c r="R1906" s="24"/>
      <c r="S1906" s="24"/>
      <c r="T1906" s="24"/>
      <c r="U1906" s="24"/>
      <c r="V1906" s="24"/>
      <c r="W1906" s="24"/>
      <c r="X1906" s="24"/>
      <c r="Y1906" s="24"/>
      <c r="Z1906" s="24"/>
      <c r="AA1906" s="24"/>
      <c r="AB1906" s="24"/>
      <c r="AC1906" s="24"/>
      <c r="AD1906" s="24"/>
      <c r="AE1906" s="24"/>
      <c r="AF1906" s="24"/>
      <c r="AG1906" s="24"/>
      <c r="AH1906" s="24"/>
      <c r="AI1906" s="24"/>
      <c r="AJ1906" s="24"/>
      <c r="AK1906" s="24"/>
      <c r="AL1906" s="24"/>
      <c r="AM1906" s="24"/>
      <c r="AN1906" s="24"/>
      <c r="AO1906" s="24"/>
      <c r="AP1906" s="24"/>
      <c r="AQ1906" s="24"/>
      <c r="AR1906" s="54"/>
    </row>
    <row r="1907">
      <c r="A1907" s="57"/>
      <c r="B1907" s="24"/>
      <c r="C1907" s="24"/>
      <c r="D1907" s="24"/>
      <c r="E1907" s="24"/>
      <c r="F1907" s="24"/>
      <c r="G1907" s="24"/>
      <c r="H1907" s="24"/>
      <c r="I1907" s="24"/>
      <c r="J1907" s="24"/>
      <c r="K1907" s="24"/>
      <c r="L1907" s="24"/>
      <c r="M1907" s="24"/>
      <c r="N1907" s="24"/>
      <c r="O1907" s="24"/>
      <c r="P1907" s="24"/>
      <c r="Q1907" s="24"/>
      <c r="R1907" s="24"/>
      <c r="S1907" s="24"/>
      <c r="T1907" s="24"/>
      <c r="U1907" s="24"/>
      <c r="V1907" s="24"/>
      <c r="W1907" s="24"/>
      <c r="X1907" s="24"/>
      <c r="Y1907" s="24"/>
      <c r="Z1907" s="24"/>
      <c r="AA1907" s="24"/>
      <c r="AB1907" s="24"/>
      <c r="AC1907" s="24"/>
      <c r="AD1907" s="24"/>
      <c r="AE1907" s="24"/>
      <c r="AF1907" s="24"/>
      <c r="AG1907" s="24"/>
      <c r="AH1907" s="24"/>
      <c r="AI1907" s="24"/>
      <c r="AJ1907" s="24"/>
      <c r="AK1907" s="24"/>
      <c r="AL1907" s="24"/>
      <c r="AM1907" s="24"/>
      <c r="AN1907" s="24"/>
      <c r="AO1907" s="24"/>
      <c r="AP1907" s="24"/>
      <c r="AQ1907" s="24"/>
      <c r="AR1907" s="54"/>
    </row>
    <row r="1908">
      <c r="A1908" s="57"/>
      <c r="B1908" s="24"/>
      <c r="C1908" s="24"/>
      <c r="D1908" s="24"/>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c r="AA1908" s="24"/>
      <c r="AB1908" s="24"/>
      <c r="AC1908" s="24"/>
      <c r="AD1908" s="24"/>
      <c r="AE1908" s="24"/>
      <c r="AF1908" s="24"/>
      <c r="AG1908" s="24"/>
      <c r="AH1908" s="24"/>
      <c r="AI1908" s="24"/>
      <c r="AJ1908" s="24"/>
      <c r="AK1908" s="24"/>
      <c r="AL1908" s="24"/>
      <c r="AM1908" s="24"/>
      <c r="AN1908" s="24"/>
      <c r="AO1908" s="24"/>
      <c r="AP1908" s="24"/>
      <c r="AQ1908" s="24"/>
      <c r="AR1908" s="54"/>
    </row>
    <row r="1909">
      <c r="A1909" s="57"/>
      <c r="B1909" s="24"/>
      <c r="C1909" s="24"/>
      <c r="D1909" s="24"/>
      <c r="E1909" s="24"/>
      <c r="F1909" s="24"/>
      <c r="G1909" s="24"/>
      <c r="H1909" s="24"/>
      <c r="I1909" s="24"/>
      <c r="J1909" s="24"/>
      <c r="K1909" s="24"/>
      <c r="L1909" s="24"/>
      <c r="M1909" s="24"/>
      <c r="N1909" s="24"/>
      <c r="O1909" s="24"/>
      <c r="P1909" s="24"/>
      <c r="Q1909" s="24"/>
      <c r="R1909" s="24"/>
      <c r="S1909" s="24"/>
      <c r="T1909" s="24"/>
      <c r="U1909" s="24"/>
      <c r="V1909" s="24"/>
      <c r="W1909" s="24"/>
      <c r="X1909" s="24"/>
      <c r="Y1909" s="24"/>
      <c r="Z1909" s="24"/>
      <c r="AA1909" s="24"/>
      <c r="AB1909" s="24"/>
      <c r="AC1909" s="24"/>
      <c r="AD1909" s="24"/>
      <c r="AE1909" s="24"/>
      <c r="AF1909" s="24"/>
      <c r="AG1909" s="24"/>
      <c r="AH1909" s="24"/>
      <c r="AI1909" s="24"/>
      <c r="AJ1909" s="24"/>
      <c r="AK1909" s="24"/>
      <c r="AL1909" s="24"/>
      <c r="AM1909" s="24"/>
      <c r="AN1909" s="24"/>
      <c r="AO1909" s="24"/>
      <c r="AP1909" s="24"/>
      <c r="AQ1909" s="24"/>
      <c r="AR1909" s="54"/>
    </row>
    <row r="1910">
      <c r="A1910" s="57"/>
      <c r="B1910" s="24"/>
      <c r="C1910" s="24"/>
      <c r="D1910" s="24"/>
      <c r="E1910" s="24"/>
      <c r="F1910" s="24"/>
      <c r="G1910" s="24"/>
      <c r="H1910" s="24"/>
      <c r="I1910" s="24"/>
      <c r="J1910" s="24"/>
      <c r="K1910" s="24"/>
      <c r="L1910" s="24"/>
      <c r="M1910" s="24"/>
      <c r="N1910" s="24"/>
      <c r="O1910" s="24"/>
      <c r="P1910" s="24"/>
      <c r="Q1910" s="24"/>
      <c r="R1910" s="24"/>
      <c r="S1910" s="24"/>
      <c r="T1910" s="24"/>
      <c r="U1910" s="24"/>
      <c r="V1910" s="24"/>
      <c r="W1910" s="24"/>
      <c r="X1910" s="24"/>
      <c r="Y1910" s="24"/>
      <c r="Z1910" s="24"/>
      <c r="AA1910" s="24"/>
      <c r="AB1910" s="24"/>
      <c r="AC1910" s="24"/>
      <c r="AD1910" s="24"/>
      <c r="AE1910" s="24"/>
      <c r="AF1910" s="24"/>
      <c r="AG1910" s="24"/>
      <c r="AH1910" s="24"/>
      <c r="AI1910" s="24"/>
      <c r="AJ1910" s="24"/>
      <c r="AK1910" s="24"/>
      <c r="AL1910" s="24"/>
      <c r="AM1910" s="24"/>
      <c r="AN1910" s="24"/>
      <c r="AO1910" s="24"/>
      <c r="AP1910" s="24"/>
      <c r="AQ1910" s="24"/>
      <c r="AR1910" s="54"/>
    </row>
    <row r="1911">
      <c r="A1911" s="57"/>
      <c r="B1911" s="24"/>
      <c r="C1911" s="24"/>
      <c r="D1911" s="24"/>
      <c r="E1911" s="24"/>
      <c r="F1911" s="24"/>
      <c r="G1911" s="24"/>
      <c r="H1911" s="24"/>
      <c r="I1911" s="24"/>
      <c r="J1911" s="24"/>
      <c r="K1911" s="24"/>
      <c r="L1911" s="24"/>
      <c r="M1911" s="24"/>
      <c r="N1911" s="24"/>
      <c r="O1911" s="24"/>
      <c r="P1911" s="24"/>
      <c r="Q1911" s="24"/>
      <c r="R1911" s="24"/>
      <c r="S1911" s="24"/>
      <c r="T1911" s="24"/>
      <c r="U1911" s="24"/>
      <c r="V1911" s="24"/>
      <c r="W1911" s="24"/>
      <c r="X1911" s="24"/>
      <c r="Y1911" s="24"/>
      <c r="Z1911" s="24"/>
      <c r="AA1911" s="24"/>
      <c r="AB1911" s="24"/>
      <c r="AC1911" s="24"/>
      <c r="AD1911" s="24"/>
      <c r="AE1911" s="24"/>
      <c r="AF1911" s="24"/>
      <c r="AG1911" s="24"/>
      <c r="AH1911" s="24"/>
      <c r="AI1911" s="24"/>
      <c r="AJ1911" s="24"/>
      <c r="AK1911" s="24"/>
      <c r="AL1911" s="24"/>
      <c r="AM1911" s="24"/>
      <c r="AN1911" s="24"/>
      <c r="AO1911" s="24"/>
      <c r="AP1911" s="24"/>
      <c r="AQ1911" s="24"/>
      <c r="AR1911" s="54"/>
    </row>
    <row r="1912">
      <c r="A1912" s="57"/>
      <c r="B1912" s="24"/>
      <c r="C1912" s="24"/>
      <c r="D1912" s="24"/>
      <c r="E1912" s="24"/>
      <c r="F1912" s="24"/>
      <c r="G1912" s="24"/>
      <c r="H1912" s="24"/>
      <c r="I1912" s="24"/>
      <c r="J1912" s="24"/>
      <c r="K1912" s="24"/>
      <c r="L1912" s="24"/>
      <c r="M1912" s="24"/>
      <c r="N1912" s="24"/>
      <c r="O1912" s="24"/>
      <c r="P1912" s="24"/>
      <c r="Q1912" s="24"/>
      <c r="R1912" s="24"/>
      <c r="S1912" s="24"/>
      <c r="T1912" s="24"/>
      <c r="U1912" s="24"/>
      <c r="V1912" s="24"/>
      <c r="W1912" s="24"/>
      <c r="X1912" s="24"/>
      <c r="Y1912" s="24"/>
      <c r="Z1912" s="24"/>
      <c r="AA1912" s="24"/>
      <c r="AB1912" s="24"/>
      <c r="AC1912" s="24"/>
      <c r="AD1912" s="24"/>
      <c r="AE1912" s="24"/>
      <c r="AF1912" s="24"/>
      <c r="AG1912" s="24"/>
      <c r="AH1912" s="24"/>
      <c r="AI1912" s="24"/>
      <c r="AJ1912" s="24"/>
      <c r="AK1912" s="24"/>
      <c r="AL1912" s="24"/>
      <c r="AM1912" s="24"/>
      <c r="AN1912" s="24"/>
      <c r="AO1912" s="24"/>
      <c r="AP1912" s="24"/>
      <c r="AQ1912" s="24"/>
      <c r="AR1912" s="54"/>
    </row>
    <row r="1913">
      <c r="A1913" s="57"/>
      <c r="B1913" s="24"/>
      <c r="C1913" s="24"/>
      <c r="D1913" s="24"/>
      <c r="E1913" s="24"/>
      <c r="F1913" s="24"/>
      <c r="G1913" s="24"/>
      <c r="H1913" s="24"/>
      <c r="I1913" s="24"/>
      <c r="J1913" s="24"/>
      <c r="K1913" s="24"/>
      <c r="L1913" s="24"/>
      <c r="M1913" s="24"/>
      <c r="N1913" s="24"/>
      <c r="O1913" s="24"/>
      <c r="P1913" s="24"/>
      <c r="Q1913" s="24"/>
      <c r="R1913" s="24"/>
      <c r="S1913" s="24"/>
      <c r="T1913" s="24"/>
      <c r="U1913" s="24"/>
      <c r="V1913" s="24"/>
      <c r="W1913" s="24"/>
      <c r="X1913" s="24"/>
      <c r="Y1913" s="24"/>
      <c r="Z1913" s="24"/>
      <c r="AA1913" s="24"/>
      <c r="AB1913" s="24"/>
      <c r="AC1913" s="24"/>
      <c r="AD1913" s="24"/>
      <c r="AE1913" s="24"/>
      <c r="AF1913" s="24"/>
      <c r="AG1913" s="24"/>
      <c r="AH1913" s="24"/>
      <c r="AI1913" s="24"/>
      <c r="AJ1913" s="24"/>
      <c r="AK1913" s="24"/>
      <c r="AL1913" s="24"/>
      <c r="AM1913" s="24"/>
      <c r="AN1913" s="24"/>
      <c r="AO1913" s="24"/>
      <c r="AP1913" s="24"/>
      <c r="AQ1913" s="24"/>
      <c r="AR1913" s="54"/>
    </row>
    <row r="1914">
      <c r="A1914" s="57"/>
      <c r="B1914" s="24"/>
      <c r="C1914" s="24"/>
      <c r="D1914" s="24"/>
      <c r="E1914" s="24"/>
      <c r="F1914" s="24"/>
      <c r="G1914" s="24"/>
      <c r="H1914" s="24"/>
      <c r="I1914" s="24"/>
      <c r="J1914" s="24"/>
      <c r="K1914" s="24"/>
      <c r="L1914" s="24"/>
      <c r="M1914" s="24"/>
      <c r="N1914" s="24"/>
      <c r="O1914" s="24"/>
      <c r="P1914" s="24"/>
      <c r="Q1914" s="24"/>
      <c r="R1914" s="24"/>
      <c r="S1914" s="24"/>
      <c r="T1914" s="24"/>
      <c r="U1914" s="24"/>
      <c r="V1914" s="24"/>
      <c r="W1914" s="24"/>
      <c r="X1914" s="24"/>
      <c r="Y1914" s="24"/>
      <c r="Z1914" s="24"/>
      <c r="AA1914" s="24"/>
      <c r="AB1914" s="24"/>
      <c r="AC1914" s="24"/>
      <c r="AD1914" s="24"/>
      <c r="AE1914" s="24"/>
      <c r="AF1914" s="24"/>
      <c r="AG1914" s="24"/>
      <c r="AH1914" s="24"/>
      <c r="AI1914" s="24"/>
      <c r="AJ1914" s="24"/>
      <c r="AK1914" s="24"/>
      <c r="AL1914" s="24"/>
      <c r="AM1914" s="24"/>
      <c r="AN1914" s="24"/>
      <c r="AO1914" s="24"/>
      <c r="AP1914" s="24"/>
      <c r="AQ1914" s="24"/>
      <c r="AR1914" s="54"/>
    </row>
    <row r="1915">
      <c r="A1915" s="57"/>
      <c r="B1915" s="24"/>
      <c r="C1915" s="24"/>
      <c r="D1915" s="24"/>
      <c r="E1915" s="24"/>
      <c r="F1915" s="24"/>
      <c r="G1915" s="24"/>
      <c r="H1915" s="24"/>
      <c r="I1915" s="24"/>
      <c r="J1915" s="24"/>
      <c r="K1915" s="24"/>
      <c r="L1915" s="24"/>
      <c r="M1915" s="24"/>
      <c r="N1915" s="24"/>
      <c r="O1915" s="24"/>
      <c r="P1915" s="24"/>
      <c r="Q1915" s="24"/>
      <c r="R1915" s="24"/>
      <c r="S1915" s="24"/>
      <c r="T1915" s="24"/>
      <c r="U1915" s="24"/>
      <c r="V1915" s="24"/>
      <c r="W1915" s="24"/>
      <c r="X1915" s="24"/>
      <c r="Y1915" s="24"/>
      <c r="Z1915" s="24"/>
      <c r="AA1915" s="24"/>
      <c r="AB1915" s="24"/>
      <c r="AC1915" s="24"/>
      <c r="AD1915" s="24"/>
      <c r="AE1915" s="24"/>
      <c r="AF1915" s="24"/>
      <c r="AG1915" s="24"/>
      <c r="AH1915" s="24"/>
      <c r="AI1915" s="24"/>
      <c r="AJ1915" s="24"/>
      <c r="AK1915" s="24"/>
      <c r="AL1915" s="24"/>
      <c r="AM1915" s="24"/>
      <c r="AN1915" s="24"/>
      <c r="AO1915" s="24"/>
      <c r="AP1915" s="24"/>
      <c r="AQ1915" s="24"/>
      <c r="AR1915" s="54"/>
    </row>
    <row r="1916">
      <c r="A1916" s="57"/>
      <c r="B1916" s="24"/>
      <c r="C1916" s="24"/>
      <c r="D1916" s="24"/>
      <c r="E1916" s="24"/>
      <c r="F1916" s="24"/>
      <c r="G1916" s="24"/>
      <c r="H1916" s="24"/>
      <c r="I1916" s="24"/>
      <c r="J1916" s="24"/>
      <c r="K1916" s="24"/>
      <c r="L1916" s="24"/>
      <c r="M1916" s="24"/>
      <c r="N1916" s="24"/>
      <c r="O1916" s="24"/>
      <c r="P1916" s="24"/>
      <c r="Q1916" s="24"/>
      <c r="R1916" s="24"/>
      <c r="S1916" s="24"/>
      <c r="T1916" s="24"/>
      <c r="U1916" s="24"/>
      <c r="V1916" s="24"/>
      <c r="W1916" s="24"/>
      <c r="X1916" s="24"/>
      <c r="Y1916" s="24"/>
      <c r="Z1916" s="24"/>
      <c r="AA1916" s="24"/>
      <c r="AB1916" s="24"/>
      <c r="AC1916" s="24"/>
      <c r="AD1916" s="24"/>
      <c r="AE1916" s="24"/>
      <c r="AF1916" s="24"/>
      <c r="AG1916" s="24"/>
      <c r="AH1916" s="24"/>
      <c r="AI1916" s="24"/>
      <c r="AJ1916" s="24"/>
      <c r="AK1916" s="24"/>
      <c r="AL1916" s="24"/>
      <c r="AM1916" s="24"/>
      <c r="AN1916" s="24"/>
      <c r="AO1916" s="24"/>
      <c r="AP1916" s="24"/>
      <c r="AQ1916" s="24"/>
      <c r="AR1916" s="54"/>
    </row>
    <row r="1917">
      <c r="A1917" s="57"/>
      <c r="B1917" s="24"/>
      <c r="C1917" s="24"/>
      <c r="D1917" s="24"/>
      <c r="E1917" s="24"/>
      <c r="F1917" s="24"/>
      <c r="G1917" s="24"/>
      <c r="H1917" s="24"/>
      <c r="I1917" s="24"/>
      <c r="J1917" s="24"/>
      <c r="K1917" s="24"/>
      <c r="L1917" s="24"/>
      <c r="M1917" s="24"/>
      <c r="N1917" s="24"/>
      <c r="O1917" s="24"/>
      <c r="P1917" s="24"/>
      <c r="Q1917" s="24"/>
      <c r="R1917" s="24"/>
      <c r="S1917" s="24"/>
      <c r="T1917" s="24"/>
      <c r="U1917" s="24"/>
      <c r="V1917" s="24"/>
      <c r="W1917" s="24"/>
      <c r="X1917" s="24"/>
      <c r="Y1917" s="24"/>
      <c r="Z1917" s="24"/>
      <c r="AA1917" s="24"/>
      <c r="AB1917" s="24"/>
      <c r="AC1917" s="24"/>
      <c r="AD1917" s="24"/>
      <c r="AE1917" s="24"/>
      <c r="AF1917" s="24"/>
      <c r="AG1917" s="24"/>
      <c r="AH1917" s="24"/>
      <c r="AI1917" s="24"/>
      <c r="AJ1917" s="24"/>
      <c r="AK1917" s="24"/>
      <c r="AL1917" s="24"/>
      <c r="AM1917" s="24"/>
      <c r="AN1917" s="24"/>
      <c r="AO1917" s="24"/>
      <c r="AP1917" s="24"/>
      <c r="AQ1917" s="24"/>
      <c r="AR1917" s="54"/>
    </row>
    <row r="1918">
      <c r="A1918" s="57"/>
      <c r="B1918" s="24"/>
      <c r="C1918" s="24"/>
      <c r="D1918" s="24"/>
      <c r="E1918" s="24"/>
      <c r="F1918" s="24"/>
      <c r="G1918" s="24"/>
      <c r="H1918" s="24"/>
      <c r="I1918" s="24"/>
      <c r="J1918" s="24"/>
      <c r="K1918" s="24"/>
      <c r="L1918" s="24"/>
      <c r="M1918" s="24"/>
      <c r="N1918" s="24"/>
      <c r="O1918" s="24"/>
      <c r="P1918" s="24"/>
      <c r="Q1918" s="24"/>
      <c r="R1918" s="24"/>
      <c r="S1918" s="24"/>
      <c r="T1918" s="24"/>
      <c r="U1918" s="24"/>
      <c r="V1918" s="24"/>
      <c r="W1918" s="24"/>
      <c r="X1918" s="24"/>
      <c r="Y1918" s="24"/>
      <c r="Z1918" s="24"/>
      <c r="AA1918" s="24"/>
      <c r="AB1918" s="24"/>
      <c r="AC1918" s="24"/>
      <c r="AD1918" s="24"/>
      <c r="AE1918" s="24"/>
      <c r="AF1918" s="24"/>
      <c r="AG1918" s="24"/>
      <c r="AH1918" s="24"/>
      <c r="AI1918" s="24"/>
      <c r="AJ1918" s="24"/>
      <c r="AK1918" s="24"/>
      <c r="AL1918" s="24"/>
      <c r="AM1918" s="24"/>
      <c r="AN1918" s="24"/>
      <c r="AO1918" s="24"/>
      <c r="AP1918" s="24"/>
      <c r="AQ1918" s="24"/>
      <c r="AR1918" s="54"/>
    </row>
    <row r="1919">
      <c r="A1919" s="57"/>
      <c r="B1919" s="24"/>
      <c r="C1919" s="24"/>
      <c r="D1919" s="24"/>
      <c r="E1919" s="24"/>
      <c r="F1919" s="24"/>
      <c r="G1919" s="24"/>
      <c r="H1919" s="24"/>
      <c r="I1919" s="24"/>
      <c r="J1919" s="24"/>
      <c r="K1919" s="24"/>
      <c r="L1919" s="24"/>
      <c r="M1919" s="24"/>
      <c r="N1919" s="24"/>
      <c r="O1919" s="24"/>
      <c r="P1919" s="24"/>
      <c r="Q1919" s="24"/>
      <c r="R1919" s="24"/>
      <c r="S1919" s="24"/>
      <c r="T1919" s="24"/>
      <c r="U1919" s="24"/>
      <c r="V1919" s="24"/>
      <c r="W1919" s="24"/>
      <c r="X1919" s="24"/>
      <c r="Y1919" s="24"/>
      <c r="Z1919" s="24"/>
      <c r="AA1919" s="24"/>
      <c r="AB1919" s="24"/>
      <c r="AC1919" s="24"/>
      <c r="AD1919" s="24"/>
      <c r="AE1919" s="24"/>
      <c r="AF1919" s="24"/>
      <c r="AG1919" s="24"/>
      <c r="AH1919" s="24"/>
      <c r="AI1919" s="24"/>
      <c r="AJ1919" s="24"/>
      <c r="AK1919" s="24"/>
      <c r="AL1919" s="24"/>
      <c r="AM1919" s="24"/>
      <c r="AN1919" s="24"/>
      <c r="AO1919" s="24"/>
      <c r="AP1919" s="24"/>
      <c r="AQ1919" s="24"/>
      <c r="AR1919" s="54"/>
    </row>
    <row r="1920">
      <c r="A1920" s="57"/>
      <c r="B1920" s="24"/>
      <c r="C1920" s="24"/>
      <c r="D1920" s="24"/>
      <c r="E1920" s="24"/>
      <c r="F1920" s="24"/>
      <c r="G1920" s="24"/>
      <c r="H1920" s="24"/>
      <c r="I1920" s="24"/>
      <c r="J1920" s="24"/>
      <c r="K1920" s="24"/>
      <c r="L1920" s="24"/>
      <c r="M1920" s="24"/>
      <c r="N1920" s="24"/>
      <c r="O1920" s="24"/>
      <c r="P1920" s="24"/>
      <c r="Q1920" s="24"/>
      <c r="R1920" s="24"/>
      <c r="S1920" s="24"/>
      <c r="T1920" s="24"/>
      <c r="U1920" s="24"/>
      <c r="V1920" s="24"/>
      <c r="W1920" s="24"/>
      <c r="X1920" s="24"/>
      <c r="Y1920" s="24"/>
      <c r="Z1920" s="24"/>
      <c r="AA1920" s="24"/>
      <c r="AB1920" s="24"/>
      <c r="AC1920" s="24"/>
      <c r="AD1920" s="24"/>
      <c r="AE1920" s="24"/>
      <c r="AF1920" s="24"/>
      <c r="AG1920" s="24"/>
      <c r="AH1920" s="24"/>
      <c r="AI1920" s="24"/>
      <c r="AJ1920" s="24"/>
      <c r="AK1920" s="24"/>
      <c r="AL1920" s="24"/>
      <c r="AM1920" s="24"/>
      <c r="AN1920" s="24"/>
      <c r="AO1920" s="24"/>
      <c r="AP1920" s="24"/>
      <c r="AQ1920" s="24"/>
      <c r="AR1920" s="54"/>
    </row>
    <row r="1921">
      <c r="A1921" s="57"/>
      <c r="B1921" s="24"/>
      <c r="C1921" s="24"/>
      <c r="D1921" s="24"/>
      <c r="E1921" s="24"/>
      <c r="F1921" s="24"/>
      <c r="G1921" s="24"/>
      <c r="H1921" s="24"/>
      <c r="I1921" s="24"/>
      <c r="J1921" s="24"/>
      <c r="K1921" s="24"/>
      <c r="L1921" s="24"/>
      <c r="M1921" s="24"/>
      <c r="N1921" s="24"/>
      <c r="O1921" s="24"/>
      <c r="P1921" s="24"/>
      <c r="Q1921" s="24"/>
      <c r="R1921" s="24"/>
      <c r="S1921" s="24"/>
      <c r="T1921" s="24"/>
      <c r="U1921" s="24"/>
      <c r="V1921" s="24"/>
      <c r="W1921" s="24"/>
      <c r="X1921" s="24"/>
      <c r="Y1921" s="24"/>
      <c r="Z1921" s="24"/>
      <c r="AA1921" s="24"/>
      <c r="AB1921" s="24"/>
      <c r="AC1921" s="24"/>
      <c r="AD1921" s="24"/>
      <c r="AE1921" s="24"/>
      <c r="AF1921" s="24"/>
      <c r="AG1921" s="24"/>
      <c r="AH1921" s="24"/>
      <c r="AI1921" s="24"/>
      <c r="AJ1921" s="24"/>
      <c r="AK1921" s="24"/>
      <c r="AL1921" s="24"/>
      <c r="AM1921" s="24"/>
      <c r="AN1921" s="24"/>
      <c r="AO1921" s="24"/>
      <c r="AP1921" s="24"/>
      <c r="AQ1921" s="24"/>
      <c r="AR1921" s="54"/>
    </row>
    <row r="1922">
      <c r="A1922" s="57"/>
      <c r="B1922" s="24"/>
      <c r="C1922" s="24"/>
      <c r="D1922" s="24"/>
      <c r="E1922" s="24"/>
      <c r="F1922" s="24"/>
      <c r="G1922" s="24"/>
      <c r="H1922" s="24"/>
      <c r="I1922" s="24"/>
      <c r="J1922" s="24"/>
      <c r="K1922" s="24"/>
      <c r="L1922" s="24"/>
      <c r="M1922" s="24"/>
      <c r="N1922" s="24"/>
      <c r="O1922" s="24"/>
      <c r="P1922" s="24"/>
      <c r="Q1922" s="24"/>
      <c r="R1922" s="24"/>
      <c r="S1922" s="24"/>
      <c r="T1922" s="24"/>
      <c r="U1922" s="24"/>
      <c r="V1922" s="24"/>
      <c r="W1922" s="24"/>
      <c r="X1922" s="24"/>
      <c r="Y1922" s="24"/>
      <c r="Z1922" s="24"/>
      <c r="AA1922" s="24"/>
      <c r="AB1922" s="24"/>
      <c r="AC1922" s="24"/>
      <c r="AD1922" s="24"/>
      <c r="AE1922" s="24"/>
      <c r="AF1922" s="24"/>
      <c r="AG1922" s="24"/>
      <c r="AH1922" s="24"/>
      <c r="AI1922" s="24"/>
      <c r="AJ1922" s="24"/>
      <c r="AK1922" s="24"/>
      <c r="AL1922" s="24"/>
      <c r="AM1922" s="24"/>
      <c r="AN1922" s="24"/>
      <c r="AO1922" s="24"/>
      <c r="AP1922" s="24"/>
      <c r="AQ1922" s="24"/>
      <c r="AR1922" s="54"/>
    </row>
    <row r="1923">
      <c r="A1923" s="57"/>
      <c r="B1923" s="24"/>
      <c r="C1923" s="24"/>
      <c r="D1923" s="24"/>
      <c r="E1923" s="24"/>
      <c r="F1923" s="24"/>
      <c r="G1923" s="24"/>
      <c r="H1923" s="24"/>
      <c r="I1923" s="24"/>
      <c r="J1923" s="24"/>
      <c r="K1923" s="24"/>
      <c r="L1923" s="24"/>
      <c r="M1923" s="24"/>
      <c r="N1923" s="24"/>
      <c r="O1923" s="24"/>
      <c r="P1923" s="24"/>
      <c r="Q1923" s="24"/>
      <c r="R1923" s="24"/>
      <c r="S1923" s="24"/>
      <c r="T1923" s="24"/>
      <c r="U1923" s="24"/>
      <c r="V1923" s="24"/>
      <c r="W1923" s="24"/>
      <c r="X1923" s="24"/>
      <c r="Y1923" s="24"/>
      <c r="Z1923" s="24"/>
      <c r="AA1923" s="24"/>
      <c r="AB1923" s="24"/>
      <c r="AC1923" s="24"/>
      <c r="AD1923" s="24"/>
      <c r="AE1923" s="24"/>
      <c r="AF1923" s="24"/>
      <c r="AG1923" s="24"/>
      <c r="AH1923" s="24"/>
      <c r="AI1923" s="24"/>
      <c r="AJ1923" s="24"/>
      <c r="AK1923" s="24"/>
      <c r="AL1923" s="24"/>
      <c r="AM1923" s="24"/>
      <c r="AN1923" s="24"/>
      <c r="AO1923" s="24"/>
      <c r="AP1923" s="24"/>
      <c r="AQ1923" s="24"/>
      <c r="AR1923" s="54"/>
    </row>
    <row r="1924">
      <c r="A1924" s="57"/>
      <c r="B1924" s="24"/>
      <c r="C1924" s="24"/>
      <c r="D1924" s="24"/>
      <c r="E1924" s="24"/>
      <c r="F1924" s="24"/>
      <c r="G1924" s="24"/>
      <c r="H1924" s="24"/>
      <c r="I1924" s="24"/>
      <c r="J1924" s="24"/>
      <c r="K1924" s="24"/>
      <c r="L1924" s="24"/>
      <c r="M1924" s="24"/>
      <c r="N1924" s="24"/>
      <c r="O1924" s="24"/>
      <c r="P1924" s="24"/>
      <c r="Q1924" s="24"/>
      <c r="R1924" s="24"/>
      <c r="S1924" s="24"/>
      <c r="T1924" s="24"/>
      <c r="U1924" s="24"/>
      <c r="V1924" s="24"/>
      <c r="W1924" s="24"/>
      <c r="X1924" s="24"/>
      <c r="Y1924" s="24"/>
      <c r="Z1924" s="24"/>
      <c r="AA1924" s="24"/>
      <c r="AB1924" s="24"/>
      <c r="AC1924" s="24"/>
      <c r="AD1924" s="24"/>
      <c r="AE1924" s="24"/>
      <c r="AF1924" s="24"/>
      <c r="AG1924" s="24"/>
      <c r="AH1924" s="24"/>
      <c r="AI1924" s="24"/>
      <c r="AJ1924" s="24"/>
      <c r="AK1924" s="24"/>
      <c r="AL1924" s="24"/>
      <c r="AM1924" s="24"/>
      <c r="AN1924" s="24"/>
      <c r="AO1924" s="24"/>
      <c r="AP1924" s="24"/>
      <c r="AQ1924" s="24"/>
      <c r="AR1924" s="54"/>
    </row>
    <row r="1925">
      <c r="A1925" s="57"/>
      <c r="B1925" s="24"/>
      <c r="C1925" s="24"/>
      <c r="D1925" s="24"/>
      <c r="E1925" s="24"/>
      <c r="F1925" s="24"/>
      <c r="G1925" s="24"/>
      <c r="H1925" s="24"/>
      <c r="I1925" s="24"/>
      <c r="J1925" s="24"/>
      <c r="K1925" s="24"/>
      <c r="L1925" s="24"/>
      <c r="M1925" s="24"/>
      <c r="N1925" s="24"/>
      <c r="O1925" s="24"/>
      <c r="P1925" s="24"/>
      <c r="Q1925" s="24"/>
      <c r="R1925" s="24"/>
      <c r="S1925" s="24"/>
      <c r="T1925" s="24"/>
      <c r="U1925" s="24"/>
      <c r="V1925" s="24"/>
      <c r="W1925" s="24"/>
      <c r="X1925" s="24"/>
      <c r="Y1925" s="24"/>
      <c r="Z1925" s="24"/>
      <c r="AA1925" s="24"/>
      <c r="AB1925" s="24"/>
      <c r="AC1925" s="24"/>
      <c r="AD1925" s="24"/>
      <c r="AE1925" s="24"/>
      <c r="AF1925" s="24"/>
      <c r="AG1925" s="24"/>
      <c r="AH1925" s="24"/>
      <c r="AI1925" s="24"/>
      <c r="AJ1925" s="24"/>
      <c r="AK1925" s="24"/>
      <c r="AL1925" s="24"/>
      <c r="AM1925" s="24"/>
      <c r="AN1925" s="24"/>
      <c r="AO1925" s="24"/>
      <c r="AP1925" s="24"/>
      <c r="AQ1925" s="24"/>
      <c r="AR1925" s="54"/>
    </row>
    <row r="1926">
      <c r="A1926" s="57"/>
      <c r="B1926" s="24"/>
      <c r="C1926" s="24"/>
      <c r="D1926" s="24"/>
      <c r="E1926" s="24"/>
      <c r="F1926" s="24"/>
      <c r="G1926" s="24"/>
      <c r="H1926" s="24"/>
      <c r="I1926" s="24"/>
      <c r="J1926" s="24"/>
      <c r="K1926" s="24"/>
      <c r="L1926" s="24"/>
      <c r="M1926" s="24"/>
      <c r="N1926" s="24"/>
      <c r="O1926" s="24"/>
      <c r="P1926" s="24"/>
      <c r="Q1926" s="24"/>
      <c r="R1926" s="24"/>
      <c r="S1926" s="24"/>
      <c r="T1926" s="24"/>
      <c r="U1926" s="24"/>
      <c r="V1926" s="24"/>
      <c r="W1926" s="24"/>
      <c r="X1926" s="24"/>
      <c r="Y1926" s="24"/>
      <c r="Z1926" s="24"/>
      <c r="AA1926" s="24"/>
      <c r="AB1926" s="24"/>
      <c r="AC1926" s="24"/>
      <c r="AD1926" s="24"/>
      <c r="AE1926" s="24"/>
      <c r="AF1926" s="24"/>
      <c r="AG1926" s="24"/>
      <c r="AH1926" s="24"/>
      <c r="AI1926" s="24"/>
      <c r="AJ1926" s="24"/>
      <c r="AK1926" s="24"/>
      <c r="AL1926" s="24"/>
      <c r="AM1926" s="24"/>
      <c r="AN1926" s="24"/>
      <c r="AO1926" s="24"/>
      <c r="AP1926" s="24"/>
      <c r="AQ1926" s="24"/>
      <c r="AR1926" s="54"/>
    </row>
    <row r="1927">
      <c r="A1927" s="57"/>
      <c r="B1927" s="24"/>
      <c r="C1927" s="24"/>
      <c r="D1927" s="24"/>
      <c r="E1927" s="24"/>
      <c r="F1927" s="24"/>
      <c r="G1927" s="24"/>
      <c r="H1927" s="24"/>
      <c r="I1927" s="24"/>
      <c r="J1927" s="24"/>
      <c r="K1927" s="24"/>
      <c r="L1927" s="24"/>
      <c r="M1927" s="24"/>
      <c r="N1927" s="24"/>
      <c r="O1927" s="24"/>
      <c r="P1927" s="24"/>
      <c r="Q1927" s="24"/>
      <c r="R1927" s="24"/>
      <c r="S1927" s="24"/>
      <c r="T1927" s="24"/>
      <c r="U1927" s="24"/>
      <c r="V1927" s="24"/>
      <c r="W1927" s="24"/>
      <c r="X1927" s="24"/>
      <c r="Y1927" s="24"/>
      <c r="Z1927" s="24"/>
      <c r="AA1927" s="24"/>
      <c r="AB1927" s="24"/>
      <c r="AC1927" s="24"/>
      <c r="AD1927" s="24"/>
      <c r="AE1927" s="24"/>
      <c r="AF1927" s="24"/>
      <c r="AG1927" s="24"/>
      <c r="AH1927" s="24"/>
      <c r="AI1927" s="24"/>
      <c r="AJ1927" s="24"/>
      <c r="AK1927" s="24"/>
      <c r="AL1927" s="24"/>
      <c r="AM1927" s="24"/>
      <c r="AN1927" s="24"/>
      <c r="AO1927" s="24"/>
      <c r="AP1927" s="24"/>
      <c r="AQ1927" s="24"/>
      <c r="AR1927" s="54"/>
    </row>
    <row r="1928">
      <c r="A1928" s="57"/>
      <c r="B1928" s="24"/>
      <c r="C1928" s="24"/>
      <c r="D1928" s="24"/>
      <c r="E1928" s="24"/>
      <c r="F1928" s="24"/>
      <c r="G1928" s="24"/>
      <c r="H1928" s="24"/>
      <c r="I1928" s="24"/>
      <c r="J1928" s="24"/>
      <c r="K1928" s="24"/>
      <c r="L1928" s="24"/>
      <c r="M1928" s="24"/>
      <c r="N1928" s="24"/>
      <c r="O1928" s="24"/>
      <c r="P1928" s="24"/>
      <c r="Q1928" s="24"/>
      <c r="R1928" s="24"/>
      <c r="S1928" s="24"/>
      <c r="T1928" s="24"/>
      <c r="U1928" s="24"/>
      <c r="V1928" s="24"/>
      <c r="W1928" s="24"/>
      <c r="X1928" s="24"/>
      <c r="Y1928" s="24"/>
      <c r="Z1928" s="24"/>
      <c r="AA1928" s="24"/>
      <c r="AB1928" s="24"/>
      <c r="AC1928" s="24"/>
      <c r="AD1928" s="24"/>
      <c r="AE1928" s="24"/>
      <c r="AF1928" s="24"/>
      <c r="AG1928" s="24"/>
      <c r="AH1928" s="24"/>
      <c r="AI1928" s="24"/>
      <c r="AJ1928" s="24"/>
      <c r="AK1928" s="24"/>
      <c r="AL1928" s="24"/>
      <c r="AM1928" s="24"/>
      <c r="AN1928" s="24"/>
      <c r="AO1928" s="24"/>
      <c r="AP1928" s="24"/>
      <c r="AQ1928" s="24"/>
      <c r="AR1928" s="54"/>
    </row>
    <row r="1929">
      <c r="A1929" s="57"/>
      <c r="B1929" s="24"/>
      <c r="C1929" s="24"/>
      <c r="D1929" s="24"/>
      <c r="E1929" s="24"/>
      <c r="F1929" s="24"/>
      <c r="G1929" s="24"/>
      <c r="H1929" s="24"/>
      <c r="I1929" s="24"/>
      <c r="J1929" s="24"/>
      <c r="K1929" s="24"/>
      <c r="L1929" s="24"/>
      <c r="M1929" s="24"/>
      <c r="N1929" s="24"/>
      <c r="O1929" s="24"/>
      <c r="P1929" s="24"/>
      <c r="Q1929" s="24"/>
      <c r="R1929" s="24"/>
      <c r="S1929" s="24"/>
      <c r="T1929" s="24"/>
      <c r="U1929" s="24"/>
      <c r="V1929" s="24"/>
      <c r="W1929" s="24"/>
      <c r="X1929" s="24"/>
      <c r="Y1929" s="24"/>
      <c r="Z1929" s="24"/>
      <c r="AA1929" s="24"/>
      <c r="AB1929" s="24"/>
      <c r="AC1929" s="24"/>
      <c r="AD1929" s="24"/>
      <c r="AE1929" s="24"/>
      <c r="AF1929" s="24"/>
      <c r="AG1929" s="24"/>
      <c r="AH1929" s="24"/>
      <c r="AI1929" s="24"/>
      <c r="AJ1929" s="24"/>
      <c r="AK1929" s="24"/>
      <c r="AL1929" s="24"/>
      <c r="AM1929" s="24"/>
      <c r="AN1929" s="24"/>
      <c r="AO1929" s="24"/>
      <c r="AP1929" s="24"/>
      <c r="AQ1929" s="24"/>
      <c r="AR1929" s="54"/>
    </row>
    <row r="1930">
      <c r="A1930" s="57"/>
      <c r="B1930" s="24"/>
      <c r="C1930" s="24"/>
      <c r="D1930" s="24"/>
      <c r="E1930" s="24"/>
      <c r="F1930" s="24"/>
      <c r="G1930" s="24"/>
      <c r="H1930" s="24"/>
      <c r="I1930" s="24"/>
      <c r="J1930" s="24"/>
      <c r="K1930" s="24"/>
      <c r="L1930" s="24"/>
      <c r="M1930" s="24"/>
      <c r="N1930" s="24"/>
      <c r="O1930" s="24"/>
      <c r="P1930" s="24"/>
      <c r="Q1930" s="24"/>
      <c r="R1930" s="24"/>
      <c r="S1930" s="24"/>
      <c r="T1930" s="24"/>
      <c r="U1930" s="24"/>
      <c r="V1930" s="24"/>
      <c r="W1930" s="24"/>
      <c r="X1930" s="24"/>
      <c r="Y1930" s="24"/>
      <c r="Z1930" s="24"/>
      <c r="AA1930" s="24"/>
      <c r="AB1930" s="24"/>
      <c r="AC1930" s="24"/>
      <c r="AD1930" s="24"/>
      <c r="AE1930" s="24"/>
      <c r="AF1930" s="24"/>
      <c r="AG1930" s="24"/>
      <c r="AH1930" s="24"/>
      <c r="AI1930" s="24"/>
      <c r="AJ1930" s="24"/>
      <c r="AK1930" s="24"/>
      <c r="AL1930" s="24"/>
      <c r="AM1930" s="24"/>
      <c r="AN1930" s="24"/>
      <c r="AO1930" s="24"/>
      <c r="AP1930" s="24"/>
      <c r="AQ1930" s="24"/>
      <c r="AR1930" s="54"/>
    </row>
    <row r="1931">
      <c r="A1931" s="57"/>
      <c r="B1931" s="24"/>
      <c r="C1931" s="24"/>
      <c r="D1931" s="24"/>
      <c r="E1931" s="24"/>
      <c r="F1931" s="24"/>
      <c r="G1931" s="24"/>
      <c r="H1931" s="24"/>
      <c r="I1931" s="24"/>
      <c r="J1931" s="24"/>
      <c r="K1931" s="24"/>
      <c r="L1931" s="24"/>
      <c r="M1931" s="24"/>
      <c r="N1931" s="24"/>
      <c r="O1931" s="24"/>
      <c r="P1931" s="24"/>
      <c r="Q1931" s="24"/>
      <c r="R1931" s="24"/>
      <c r="S1931" s="24"/>
      <c r="T1931" s="24"/>
      <c r="U1931" s="24"/>
      <c r="V1931" s="24"/>
      <c r="W1931" s="24"/>
      <c r="X1931" s="24"/>
      <c r="Y1931" s="24"/>
      <c r="Z1931" s="24"/>
      <c r="AA1931" s="24"/>
      <c r="AB1931" s="24"/>
      <c r="AC1931" s="24"/>
      <c r="AD1931" s="24"/>
      <c r="AE1931" s="24"/>
      <c r="AF1931" s="24"/>
      <c r="AG1931" s="24"/>
      <c r="AH1931" s="24"/>
      <c r="AI1931" s="24"/>
      <c r="AJ1931" s="24"/>
      <c r="AK1931" s="24"/>
      <c r="AL1931" s="24"/>
      <c r="AM1931" s="24"/>
      <c r="AN1931" s="24"/>
      <c r="AO1931" s="24"/>
      <c r="AP1931" s="24"/>
      <c r="AQ1931" s="24"/>
      <c r="AR1931" s="54"/>
    </row>
    <row r="1932">
      <c r="A1932" s="57"/>
      <c r="B1932" s="24"/>
      <c r="C1932" s="24"/>
      <c r="D1932" s="24"/>
      <c r="E1932" s="24"/>
      <c r="F1932" s="24"/>
      <c r="G1932" s="24"/>
      <c r="H1932" s="24"/>
      <c r="I1932" s="24"/>
      <c r="J1932" s="24"/>
      <c r="K1932" s="24"/>
      <c r="L1932" s="24"/>
      <c r="M1932" s="24"/>
      <c r="N1932" s="24"/>
      <c r="O1932" s="24"/>
      <c r="P1932" s="24"/>
      <c r="Q1932" s="24"/>
      <c r="R1932" s="24"/>
      <c r="S1932" s="24"/>
      <c r="T1932" s="24"/>
      <c r="U1932" s="24"/>
      <c r="V1932" s="24"/>
      <c r="W1932" s="24"/>
      <c r="X1932" s="24"/>
      <c r="Y1932" s="24"/>
      <c r="Z1932" s="24"/>
      <c r="AA1932" s="24"/>
      <c r="AB1932" s="24"/>
      <c r="AC1932" s="24"/>
      <c r="AD1932" s="24"/>
      <c r="AE1932" s="24"/>
      <c r="AF1932" s="24"/>
      <c r="AG1932" s="24"/>
      <c r="AH1932" s="24"/>
      <c r="AI1932" s="24"/>
      <c r="AJ1932" s="24"/>
      <c r="AK1932" s="24"/>
      <c r="AL1932" s="24"/>
      <c r="AM1932" s="24"/>
      <c r="AN1932" s="24"/>
      <c r="AO1932" s="24"/>
      <c r="AP1932" s="24"/>
      <c r="AQ1932" s="24"/>
      <c r="AR1932" s="54"/>
    </row>
    <row r="1933">
      <c r="A1933" s="57"/>
      <c r="B1933" s="24"/>
      <c r="C1933" s="24"/>
      <c r="D1933" s="24"/>
      <c r="E1933" s="24"/>
      <c r="F1933" s="24"/>
      <c r="G1933" s="24"/>
      <c r="H1933" s="24"/>
      <c r="I1933" s="24"/>
      <c r="J1933" s="24"/>
      <c r="K1933" s="24"/>
      <c r="L1933" s="24"/>
      <c r="M1933" s="24"/>
      <c r="N1933" s="24"/>
      <c r="O1933" s="24"/>
      <c r="P1933" s="24"/>
      <c r="Q1933" s="24"/>
      <c r="R1933" s="24"/>
      <c r="S1933" s="24"/>
      <c r="T1933" s="24"/>
      <c r="U1933" s="24"/>
      <c r="V1933" s="24"/>
      <c r="W1933" s="24"/>
      <c r="X1933" s="24"/>
      <c r="Y1933" s="24"/>
      <c r="Z1933" s="24"/>
      <c r="AA1933" s="24"/>
      <c r="AB1933" s="24"/>
      <c r="AC1933" s="24"/>
      <c r="AD1933" s="24"/>
      <c r="AE1933" s="24"/>
      <c r="AF1933" s="24"/>
      <c r="AG1933" s="24"/>
      <c r="AH1933" s="24"/>
      <c r="AI1933" s="24"/>
      <c r="AJ1933" s="24"/>
      <c r="AK1933" s="24"/>
      <c r="AL1933" s="24"/>
      <c r="AM1933" s="24"/>
      <c r="AN1933" s="24"/>
      <c r="AO1933" s="24"/>
      <c r="AP1933" s="24"/>
      <c r="AQ1933" s="24"/>
      <c r="AR1933" s="54"/>
    </row>
    <row r="1934">
      <c r="A1934" s="57"/>
      <c r="B1934" s="24"/>
      <c r="C1934" s="24"/>
      <c r="D1934" s="24"/>
      <c r="E1934" s="24"/>
      <c r="F1934" s="24"/>
      <c r="G1934" s="24"/>
      <c r="H1934" s="24"/>
      <c r="I1934" s="24"/>
      <c r="J1934" s="24"/>
      <c r="K1934" s="24"/>
      <c r="L1934" s="24"/>
      <c r="M1934" s="24"/>
      <c r="N1934" s="24"/>
      <c r="O1934" s="24"/>
      <c r="P1934" s="24"/>
      <c r="Q1934" s="24"/>
      <c r="R1934" s="24"/>
      <c r="S1934" s="24"/>
      <c r="T1934" s="24"/>
      <c r="U1934" s="24"/>
      <c r="V1934" s="24"/>
      <c r="W1934" s="24"/>
      <c r="X1934" s="24"/>
      <c r="Y1934" s="24"/>
      <c r="Z1934" s="24"/>
      <c r="AA1934" s="24"/>
      <c r="AB1934" s="24"/>
      <c r="AC1934" s="24"/>
      <c r="AD1934" s="24"/>
      <c r="AE1934" s="24"/>
      <c r="AF1934" s="24"/>
      <c r="AG1934" s="24"/>
      <c r="AH1934" s="24"/>
      <c r="AI1934" s="24"/>
      <c r="AJ1934" s="24"/>
      <c r="AK1934" s="24"/>
      <c r="AL1934" s="24"/>
      <c r="AM1934" s="24"/>
      <c r="AN1934" s="24"/>
      <c r="AO1934" s="24"/>
      <c r="AP1934" s="24"/>
      <c r="AQ1934" s="24"/>
      <c r="AR1934" s="54"/>
    </row>
    <row r="1935">
      <c r="A1935" s="57"/>
      <c r="B1935" s="24"/>
      <c r="C1935" s="24"/>
      <c r="D1935" s="24"/>
      <c r="E1935" s="24"/>
      <c r="F1935" s="24"/>
      <c r="G1935" s="24"/>
      <c r="H1935" s="24"/>
      <c r="I1935" s="24"/>
      <c r="J1935" s="24"/>
      <c r="K1935" s="24"/>
      <c r="L1935" s="24"/>
      <c r="M1935" s="24"/>
      <c r="N1935" s="24"/>
      <c r="O1935" s="24"/>
      <c r="P1935" s="24"/>
      <c r="Q1935" s="24"/>
      <c r="R1935" s="24"/>
      <c r="S1935" s="24"/>
      <c r="T1935" s="24"/>
      <c r="U1935" s="24"/>
      <c r="V1935" s="24"/>
      <c r="W1935" s="24"/>
      <c r="X1935" s="24"/>
      <c r="Y1935" s="24"/>
      <c r="Z1935" s="24"/>
      <c r="AA1935" s="24"/>
      <c r="AB1935" s="24"/>
      <c r="AC1935" s="24"/>
      <c r="AD1935" s="24"/>
      <c r="AE1935" s="24"/>
      <c r="AF1935" s="24"/>
      <c r="AG1935" s="24"/>
      <c r="AH1935" s="24"/>
      <c r="AI1935" s="24"/>
      <c r="AJ1935" s="24"/>
      <c r="AK1935" s="24"/>
      <c r="AL1935" s="24"/>
      <c r="AM1935" s="24"/>
      <c r="AN1935" s="24"/>
      <c r="AO1935" s="24"/>
      <c r="AP1935" s="24"/>
      <c r="AQ1935" s="24"/>
      <c r="AR1935" s="54"/>
    </row>
    <row r="1936">
      <c r="A1936" s="57"/>
      <c r="B1936" s="24"/>
      <c r="C1936" s="24"/>
      <c r="D1936" s="24"/>
      <c r="E1936" s="24"/>
      <c r="F1936" s="24"/>
      <c r="G1936" s="24"/>
      <c r="H1936" s="24"/>
      <c r="I1936" s="24"/>
      <c r="J1936" s="24"/>
      <c r="K1936" s="24"/>
      <c r="L1936" s="24"/>
      <c r="M1936" s="24"/>
      <c r="N1936" s="24"/>
      <c r="O1936" s="24"/>
      <c r="P1936" s="24"/>
      <c r="Q1936" s="24"/>
      <c r="R1936" s="24"/>
      <c r="S1936" s="24"/>
      <c r="T1936" s="24"/>
      <c r="U1936" s="24"/>
      <c r="V1936" s="24"/>
      <c r="W1936" s="24"/>
      <c r="X1936" s="24"/>
      <c r="Y1936" s="24"/>
      <c r="Z1936" s="24"/>
      <c r="AA1936" s="24"/>
      <c r="AB1936" s="24"/>
      <c r="AC1936" s="24"/>
      <c r="AD1936" s="24"/>
      <c r="AE1936" s="24"/>
      <c r="AF1936" s="24"/>
      <c r="AG1936" s="24"/>
      <c r="AH1936" s="24"/>
      <c r="AI1936" s="24"/>
      <c r="AJ1936" s="24"/>
      <c r="AK1936" s="24"/>
      <c r="AL1936" s="24"/>
      <c r="AM1936" s="24"/>
      <c r="AN1936" s="24"/>
      <c r="AO1936" s="24"/>
      <c r="AP1936" s="24"/>
      <c r="AQ1936" s="24"/>
      <c r="AR1936" s="54"/>
    </row>
    <row r="1937">
      <c r="A1937" s="57"/>
      <c r="B1937" s="24"/>
      <c r="C1937" s="24"/>
      <c r="D1937" s="24"/>
      <c r="E1937" s="24"/>
      <c r="F1937" s="24"/>
      <c r="G1937" s="24"/>
      <c r="H1937" s="24"/>
      <c r="I1937" s="24"/>
      <c r="J1937" s="24"/>
      <c r="K1937" s="24"/>
      <c r="L1937" s="24"/>
      <c r="M1937" s="24"/>
      <c r="N1937" s="24"/>
      <c r="O1937" s="24"/>
      <c r="P1937" s="24"/>
      <c r="Q1937" s="24"/>
      <c r="R1937" s="24"/>
      <c r="S1937" s="24"/>
      <c r="T1937" s="24"/>
      <c r="U1937" s="24"/>
      <c r="V1937" s="24"/>
      <c r="W1937" s="24"/>
      <c r="X1937" s="24"/>
      <c r="Y1937" s="24"/>
      <c r="Z1937" s="24"/>
      <c r="AA1937" s="24"/>
      <c r="AB1937" s="24"/>
      <c r="AC1937" s="24"/>
      <c r="AD1937" s="24"/>
      <c r="AE1937" s="24"/>
      <c r="AF1937" s="24"/>
      <c r="AG1937" s="24"/>
      <c r="AH1937" s="24"/>
      <c r="AI1937" s="24"/>
      <c r="AJ1937" s="24"/>
      <c r="AK1937" s="24"/>
      <c r="AL1937" s="24"/>
      <c r="AM1937" s="24"/>
      <c r="AN1937" s="24"/>
      <c r="AO1937" s="24"/>
      <c r="AP1937" s="24"/>
      <c r="AQ1937" s="24"/>
      <c r="AR1937" s="54"/>
    </row>
    <row r="1938">
      <c r="A1938" s="57"/>
      <c r="B1938" s="24"/>
      <c r="C1938" s="24"/>
      <c r="D1938" s="24"/>
      <c r="E1938" s="24"/>
      <c r="F1938" s="24"/>
      <c r="G1938" s="24"/>
      <c r="H1938" s="24"/>
      <c r="I1938" s="24"/>
      <c r="J1938" s="24"/>
      <c r="K1938" s="24"/>
      <c r="L1938" s="24"/>
      <c r="M1938" s="24"/>
      <c r="N1938" s="24"/>
      <c r="O1938" s="24"/>
      <c r="P1938" s="24"/>
      <c r="Q1938" s="24"/>
      <c r="R1938" s="24"/>
      <c r="S1938" s="24"/>
      <c r="T1938" s="24"/>
      <c r="U1938" s="24"/>
      <c r="V1938" s="24"/>
      <c r="W1938" s="24"/>
      <c r="X1938" s="24"/>
      <c r="Y1938" s="24"/>
      <c r="Z1938" s="24"/>
      <c r="AA1938" s="24"/>
      <c r="AB1938" s="24"/>
      <c r="AC1938" s="24"/>
      <c r="AD1938" s="24"/>
      <c r="AE1938" s="24"/>
      <c r="AF1938" s="24"/>
      <c r="AG1938" s="24"/>
      <c r="AH1938" s="24"/>
      <c r="AI1938" s="24"/>
      <c r="AJ1938" s="24"/>
      <c r="AK1938" s="24"/>
      <c r="AL1938" s="24"/>
      <c r="AM1938" s="24"/>
      <c r="AN1938" s="24"/>
      <c r="AO1938" s="24"/>
      <c r="AP1938" s="24"/>
      <c r="AQ1938" s="24"/>
      <c r="AR1938" s="54"/>
    </row>
    <row r="1939">
      <c r="A1939" s="57"/>
      <c r="B1939" s="24"/>
      <c r="C1939" s="24"/>
      <c r="D1939" s="24"/>
      <c r="E1939" s="24"/>
      <c r="F1939" s="24"/>
      <c r="G1939" s="24"/>
      <c r="H1939" s="24"/>
      <c r="I1939" s="24"/>
      <c r="J1939" s="24"/>
      <c r="K1939" s="24"/>
      <c r="L1939" s="24"/>
      <c r="M1939" s="24"/>
      <c r="N1939" s="24"/>
      <c r="O1939" s="24"/>
      <c r="P1939" s="24"/>
      <c r="Q1939" s="24"/>
      <c r="R1939" s="24"/>
      <c r="S1939" s="24"/>
      <c r="T1939" s="24"/>
      <c r="U1939" s="24"/>
      <c r="V1939" s="24"/>
      <c r="W1939" s="24"/>
      <c r="X1939" s="24"/>
      <c r="Y1939" s="24"/>
      <c r="Z1939" s="24"/>
      <c r="AA1939" s="24"/>
      <c r="AB1939" s="24"/>
      <c r="AC1939" s="24"/>
      <c r="AD1939" s="24"/>
      <c r="AE1939" s="24"/>
      <c r="AF1939" s="24"/>
      <c r="AG1939" s="24"/>
      <c r="AH1939" s="24"/>
      <c r="AI1939" s="24"/>
      <c r="AJ1939" s="24"/>
      <c r="AK1939" s="24"/>
      <c r="AL1939" s="24"/>
      <c r="AM1939" s="24"/>
      <c r="AN1939" s="24"/>
      <c r="AO1939" s="24"/>
      <c r="AP1939" s="24"/>
      <c r="AQ1939" s="24"/>
      <c r="AR1939" s="54"/>
    </row>
    <row r="1940">
      <c r="A1940" s="57"/>
      <c r="B1940" s="24"/>
      <c r="C1940" s="24"/>
      <c r="D1940" s="24"/>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c r="AA1940" s="24"/>
      <c r="AB1940" s="24"/>
      <c r="AC1940" s="24"/>
      <c r="AD1940" s="24"/>
      <c r="AE1940" s="24"/>
      <c r="AF1940" s="24"/>
      <c r="AG1940" s="24"/>
      <c r="AH1940" s="24"/>
      <c r="AI1940" s="24"/>
      <c r="AJ1940" s="24"/>
      <c r="AK1940" s="24"/>
      <c r="AL1940" s="24"/>
      <c r="AM1940" s="24"/>
      <c r="AN1940" s="24"/>
      <c r="AO1940" s="24"/>
      <c r="AP1940" s="24"/>
      <c r="AQ1940" s="24"/>
      <c r="AR1940" s="54"/>
    </row>
    <row r="1941">
      <c r="A1941" s="57"/>
      <c r="B1941" s="24"/>
      <c r="C1941" s="24"/>
      <c r="D1941" s="24"/>
      <c r="E1941" s="24"/>
      <c r="F1941" s="24"/>
      <c r="G1941" s="24"/>
      <c r="H1941" s="24"/>
      <c r="I1941" s="24"/>
      <c r="J1941" s="24"/>
      <c r="K1941" s="24"/>
      <c r="L1941" s="24"/>
      <c r="M1941" s="24"/>
      <c r="N1941" s="24"/>
      <c r="O1941" s="24"/>
      <c r="P1941" s="24"/>
      <c r="Q1941" s="24"/>
      <c r="R1941" s="24"/>
      <c r="S1941" s="24"/>
      <c r="T1941" s="24"/>
      <c r="U1941" s="24"/>
      <c r="V1941" s="24"/>
      <c r="W1941" s="24"/>
      <c r="X1941" s="24"/>
      <c r="Y1941" s="24"/>
      <c r="Z1941" s="24"/>
      <c r="AA1941" s="24"/>
      <c r="AB1941" s="24"/>
      <c r="AC1941" s="24"/>
      <c r="AD1941" s="24"/>
      <c r="AE1941" s="24"/>
      <c r="AF1941" s="24"/>
      <c r="AG1941" s="24"/>
      <c r="AH1941" s="24"/>
      <c r="AI1941" s="24"/>
      <c r="AJ1941" s="24"/>
      <c r="AK1941" s="24"/>
      <c r="AL1941" s="24"/>
      <c r="AM1941" s="24"/>
      <c r="AN1941" s="24"/>
      <c r="AO1941" s="24"/>
      <c r="AP1941" s="24"/>
      <c r="AQ1941" s="24"/>
      <c r="AR1941" s="54"/>
    </row>
    <row r="1942">
      <c r="A1942" s="57"/>
      <c r="B1942" s="24"/>
      <c r="C1942" s="24"/>
      <c r="D1942" s="24"/>
      <c r="E1942" s="24"/>
      <c r="F1942" s="24"/>
      <c r="G1942" s="24"/>
      <c r="H1942" s="24"/>
      <c r="I1942" s="24"/>
      <c r="J1942" s="24"/>
      <c r="K1942" s="24"/>
      <c r="L1942" s="24"/>
      <c r="M1942" s="24"/>
      <c r="N1942" s="24"/>
      <c r="O1942" s="24"/>
      <c r="P1942" s="24"/>
      <c r="Q1942" s="24"/>
      <c r="R1942" s="24"/>
      <c r="S1942" s="24"/>
      <c r="T1942" s="24"/>
      <c r="U1942" s="24"/>
      <c r="V1942" s="24"/>
      <c r="W1942" s="24"/>
      <c r="X1942" s="24"/>
      <c r="Y1942" s="24"/>
      <c r="Z1942" s="24"/>
      <c r="AA1942" s="24"/>
      <c r="AB1942" s="24"/>
      <c r="AC1942" s="24"/>
      <c r="AD1942" s="24"/>
      <c r="AE1942" s="24"/>
      <c r="AF1942" s="24"/>
      <c r="AG1942" s="24"/>
      <c r="AH1942" s="24"/>
      <c r="AI1942" s="24"/>
      <c r="AJ1942" s="24"/>
      <c r="AK1942" s="24"/>
      <c r="AL1942" s="24"/>
      <c r="AM1942" s="24"/>
      <c r="AN1942" s="24"/>
      <c r="AO1942" s="24"/>
      <c r="AP1942" s="24"/>
      <c r="AQ1942" s="24"/>
      <c r="AR1942" s="54"/>
    </row>
    <row r="1943">
      <c r="A1943" s="57"/>
      <c r="B1943" s="24"/>
      <c r="C1943" s="24"/>
      <c r="D1943" s="24"/>
      <c r="E1943" s="24"/>
      <c r="F1943" s="24"/>
      <c r="G1943" s="24"/>
      <c r="H1943" s="24"/>
      <c r="I1943" s="24"/>
      <c r="J1943" s="24"/>
      <c r="K1943" s="24"/>
      <c r="L1943" s="24"/>
      <c r="M1943" s="24"/>
      <c r="N1943" s="24"/>
      <c r="O1943" s="24"/>
      <c r="P1943" s="24"/>
      <c r="Q1943" s="24"/>
      <c r="R1943" s="24"/>
      <c r="S1943" s="24"/>
      <c r="T1943" s="24"/>
      <c r="U1943" s="24"/>
      <c r="V1943" s="24"/>
      <c r="W1943" s="24"/>
      <c r="X1943" s="24"/>
      <c r="Y1943" s="24"/>
      <c r="Z1943" s="24"/>
      <c r="AA1943" s="24"/>
      <c r="AB1943" s="24"/>
      <c r="AC1943" s="24"/>
      <c r="AD1943" s="24"/>
      <c r="AE1943" s="24"/>
      <c r="AF1943" s="24"/>
      <c r="AG1943" s="24"/>
      <c r="AH1943" s="24"/>
      <c r="AI1943" s="24"/>
      <c r="AJ1943" s="24"/>
      <c r="AK1943" s="24"/>
      <c r="AL1943" s="24"/>
      <c r="AM1943" s="24"/>
      <c r="AN1943" s="24"/>
      <c r="AO1943" s="24"/>
      <c r="AP1943" s="24"/>
      <c r="AQ1943" s="24"/>
      <c r="AR1943" s="54"/>
    </row>
    <row r="1944">
      <c r="A1944" s="57"/>
      <c r="B1944" s="24"/>
      <c r="C1944" s="24"/>
      <c r="D1944" s="24"/>
      <c r="E1944" s="24"/>
      <c r="F1944" s="24"/>
      <c r="G1944" s="24"/>
      <c r="H1944" s="24"/>
      <c r="I1944" s="24"/>
      <c r="J1944" s="24"/>
      <c r="K1944" s="24"/>
      <c r="L1944" s="24"/>
      <c r="M1944" s="24"/>
      <c r="N1944" s="24"/>
      <c r="O1944" s="24"/>
      <c r="P1944" s="24"/>
      <c r="Q1944" s="24"/>
      <c r="R1944" s="24"/>
      <c r="S1944" s="24"/>
      <c r="T1944" s="24"/>
      <c r="U1944" s="24"/>
      <c r="V1944" s="24"/>
      <c r="W1944" s="24"/>
      <c r="X1944" s="24"/>
      <c r="Y1944" s="24"/>
      <c r="Z1944" s="24"/>
      <c r="AA1944" s="24"/>
      <c r="AB1944" s="24"/>
      <c r="AC1944" s="24"/>
      <c r="AD1944" s="24"/>
      <c r="AE1944" s="24"/>
      <c r="AF1944" s="24"/>
      <c r="AG1944" s="24"/>
      <c r="AH1944" s="24"/>
      <c r="AI1944" s="24"/>
      <c r="AJ1944" s="24"/>
      <c r="AK1944" s="24"/>
      <c r="AL1944" s="24"/>
      <c r="AM1944" s="24"/>
      <c r="AN1944" s="24"/>
      <c r="AO1944" s="24"/>
      <c r="AP1944" s="24"/>
      <c r="AQ1944" s="24"/>
      <c r="AR1944" s="54"/>
    </row>
    <row r="1945">
      <c r="A1945" s="57"/>
      <c r="B1945" s="24"/>
      <c r="C1945" s="24"/>
      <c r="D1945" s="24"/>
      <c r="E1945" s="24"/>
      <c r="F1945" s="24"/>
      <c r="G1945" s="24"/>
      <c r="H1945" s="24"/>
      <c r="I1945" s="24"/>
      <c r="J1945" s="24"/>
      <c r="K1945" s="24"/>
      <c r="L1945" s="24"/>
      <c r="M1945" s="24"/>
      <c r="N1945" s="24"/>
      <c r="O1945" s="24"/>
      <c r="P1945" s="24"/>
      <c r="Q1945" s="24"/>
      <c r="R1945" s="24"/>
      <c r="S1945" s="24"/>
      <c r="T1945" s="24"/>
      <c r="U1945" s="24"/>
      <c r="V1945" s="24"/>
      <c r="W1945" s="24"/>
      <c r="X1945" s="24"/>
      <c r="Y1945" s="24"/>
      <c r="Z1945" s="24"/>
      <c r="AA1945" s="24"/>
      <c r="AB1945" s="24"/>
      <c r="AC1945" s="24"/>
      <c r="AD1945" s="24"/>
      <c r="AE1945" s="24"/>
      <c r="AF1945" s="24"/>
      <c r="AG1945" s="24"/>
      <c r="AH1945" s="24"/>
      <c r="AI1945" s="24"/>
      <c r="AJ1945" s="24"/>
      <c r="AK1945" s="24"/>
      <c r="AL1945" s="24"/>
      <c r="AM1945" s="24"/>
      <c r="AN1945" s="24"/>
      <c r="AO1945" s="24"/>
      <c r="AP1945" s="24"/>
      <c r="AQ1945" s="24"/>
      <c r="AR1945" s="54"/>
    </row>
    <row r="1946">
      <c r="A1946" s="57"/>
      <c r="B1946" s="24"/>
      <c r="C1946" s="24"/>
      <c r="D1946" s="24"/>
      <c r="E1946" s="24"/>
      <c r="F1946" s="24"/>
      <c r="G1946" s="24"/>
      <c r="H1946" s="24"/>
      <c r="I1946" s="24"/>
      <c r="J1946" s="24"/>
      <c r="K1946" s="24"/>
      <c r="L1946" s="24"/>
      <c r="M1946" s="24"/>
      <c r="N1946" s="24"/>
      <c r="O1946" s="24"/>
      <c r="P1946" s="24"/>
      <c r="Q1946" s="24"/>
      <c r="R1946" s="24"/>
      <c r="S1946" s="24"/>
      <c r="T1946" s="24"/>
      <c r="U1946" s="24"/>
      <c r="V1946" s="24"/>
      <c r="W1946" s="24"/>
      <c r="X1946" s="24"/>
      <c r="Y1946" s="24"/>
      <c r="Z1946" s="24"/>
      <c r="AA1946" s="24"/>
      <c r="AB1946" s="24"/>
      <c r="AC1946" s="24"/>
      <c r="AD1946" s="24"/>
      <c r="AE1946" s="24"/>
      <c r="AF1946" s="24"/>
      <c r="AG1946" s="24"/>
      <c r="AH1946" s="24"/>
      <c r="AI1946" s="24"/>
      <c r="AJ1946" s="24"/>
      <c r="AK1946" s="24"/>
      <c r="AL1946" s="24"/>
      <c r="AM1946" s="24"/>
      <c r="AN1946" s="24"/>
      <c r="AO1946" s="24"/>
      <c r="AP1946" s="24"/>
      <c r="AQ1946" s="24"/>
      <c r="AR1946" s="54"/>
    </row>
    <row r="1947">
      <c r="A1947" s="57"/>
      <c r="B1947" s="24"/>
      <c r="C1947" s="24"/>
      <c r="D1947" s="24"/>
      <c r="E1947" s="24"/>
      <c r="F1947" s="24"/>
      <c r="G1947" s="24"/>
      <c r="H1947" s="24"/>
      <c r="I1947" s="24"/>
      <c r="J1947" s="24"/>
      <c r="K1947" s="24"/>
      <c r="L1947" s="24"/>
      <c r="M1947" s="24"/>
      <c r="N1947" s="24"/>
      <c r="O1947" s="24"/>
      <c r="P1947" s="24"/>
      <c r="Q1947" s="24"/>
      <c r="R1947" s="24"/>
      <c r="S1947" s="24"/>
      <c r="T1947" s="24"/>
      <c r="U1947" s="24"/>
      <c r="V1947" s="24"/>
      <c r="W1947" s="24"/>
      <c r="X1947" s="24"/>
      <c r="Y1947" s="24"/>
      <c r="Z1947" s="24"/>
      <c r="AA1947" s="24"/>
      <c r="AB1947" s="24"/>
      <c r="AC1947" s="24"/>
      <c r="AD1947" s="24"/>
      <c r="AE1947" s="24"/>
      <c r="AF1947" s="24"/>
      <c r="AG1947" s="24"/>
      <c r="AH1947" s="24"/>
      <c r="AI1947" s="24"/>
      <c r="AJ1947" s="24"/>
      <c r="AK1947" s="24"/>
      <c r="AL1947" s="24"/>
      <c r="AM1947" s="24"/>
      <c r="AN1947" s="24"/>
      <c r="AO1947" s="24"/>
      <c r="AP1947" s="24"/>
      <c r="AQ1947" s="24"/>
      <c r="AR1947" s="54"/>
    </row>
    <row r="1948">
      <c r="A1948" s="57"/>
      <c r="B1948" s="24"/>
      <c r="C1948" s="24"/>
      <c r="D1948" s="24"/>
      <c r="E1948" s="24"/>
      <c r="F1948" s="24"/>
      <c r="G1948" s="24"/>
      <c r="H1948" s="24"/>
      <c r="I1948" s="24"/>
      <c r="J1948" s="24"/>
      <c r="K1948" s="24"/>
      <c r="L1948" s="24"/>
      <c r="M1948" s="24"/>
      <c r="N1948" s="24"/>
      <c r="O1948" s="24"/>
      <c r="P1948" s="24"/>
      <c r="Q1948" s="24"/>
      <c r="R1948" s="24"/>
      <c r="S1948" s="24"/>
      <c r="T1948" s="24"/>
      <c r="U1948" s="24"/>
      <c r="V1948" s="24"/>
      <c r="W1948" s="24"/>
      <c r="X1948" s="24"/>
      <c r="Y1948" s="24"/>
      <c r="Z1948" s="24"/>
      <c r="AA1948" s="24"/>
      <c r="AB1948" s="24"/>
      <c r="AC1948" s="24"/>
      <c r="AD1948" s="24"/>
      <c r="AE1948" s="24"/>
      <c r="AF1948" s="24"/>
      <c r="AG1948" s="24"/>
      <c r="AH1948" s="24"/>
      <c r="AI1948" s="24"/>
      <c r="AJ1948" s="24"/>
      <c r="AK1948" s="24"/>
      <c r="AL1948" s="24"/>
      <c r="AM1948" s="24"/>
      <c r="AN1948" s="24"/>
      <c r="AO1948" s="24"/>
      <c r="AP1948" s="24"/>
      <c r="AQ1948" s="24"/>
      <c r="AR1948" s="54"/>
    </row>
    <row r="1949">
      <c r="A1949" s="57"/>
      <c r="B1949" s="24"/>
      <c r="C1949" s="24"/>
      <c r="D1949" s="24"/>
      <c r="E1949" s="24"/>
      <c r="F1949" s="24"/>
      <c r="G1949" s="24"/>
      <c r="H1949" s="24"/>
      <c r="I1949" s="24"/>
      <c r="J1949" s="24"/>
      <c r="K1949" s="24"/>
      <c r="L1949" s="24"/>
      <c r="M1949" s="24"/>
      <c r="N1949" s="24"/>
      <c r="O1949" s="24"/>
      <c r="P1949" s="24"/>
      <c r="Q1949" s="24"/>
      <c r="R1949" s="24"/>
      <c r="S1949" s="24"/>
      <c r="T1949" s="24"/>
      <c r="U1949" s="24"/>
      <c r="V1949" s="24"/>
      <c r="W1949" s="24"/>
      <c r="X1949" s="24"/>
      <c r="Y1949" s="24"/>
      <c r="Z1949" s="24"/>
      <c r="AA1949" s="24"/>
      <c r="AB1949" s="24"/>
      <c r="AC1949" s="24"/>
      <c r="AD1949" s="24"/>
      <c r="AE1949" s="24"/>
      <c r="AF1949" s="24"/>
      <c r="AG1949" s="24"/>
      <c r="AH1949" s="24"/>
      <c r="AI1949" s="24"/>
      <c r="AJ1949" s="24"/>
      <c r="AK1949" s="24"/>
      <c r="AL1949" s="24"/>
      <c r="AM1949" s="24"/>
      <c r="AN1949" s="24"/>
      <c r="AO1949" s="24"/>
      <c r="AP1949" s="24"/>
      <c r="AQ1949" s="24"/>
      <c r="AR1949" s="54"/>
    </row>
    <row r="1950">
      <c r="A1950" s="57"/>
      <c r="B1950" s="24"/>
      <c r="C1950" s="24"/>
      <c r="D1950" s="24"/>
      <c r="E1950" s="24"/>
      <c r="F1950" s="24"/>
      <c r="G1950" s="24"/>
      <c r="H1950" s="24"/>
      <c r="I1950" s="24"/>
      <c r="J1950" s="24"/>
      <c r="K1950" s="24"/>
      <c r="L1950" s="24"/>
      <c r="M1950" s="24"/>
      <c r="N1950" s="24"/>
      <c r="O1950" s="24"/>
      <c r="P1950" s="24"/>
      <c r="Q1950" s="24"/>
      <c r="R1950" s="24"/>
      <c r="S1950" s="24"/>
      <c r="T1950" s="24"/>
      <c r="U1950" s="24"/>
      <c r="V1950" s="24"/>
      <c r="W1950" s="24"/>
      <c r="X1950" s="24"/>
      <c r="Y1950" s="24"/>
      <c r="Z1950" s="24"/>
      <c r="AA1950" s="24"/>
      <c r="AB1950" s="24"/>
      <c r="AC1950" s="24"/>
      <c r="AD1950" s="24"/>
      <c r="AE1950" s="24"/>
      <c r="AF1950" s="24"/>
      <c r="AG1950" s="24"/>
      <c r="AH1950" s="24"/>
      <c r="AI1950" s="24"/>
      <c r="AJ1950" s="24"/>
      <c r="AK1950" s="24"/>
      <c r="AL1950" s="24"/>
      <c r="AM1950" s="24"/>
      <c r="AN1950" s="24"/>
      <c r="AO1950" s="24"/>
      <c r="AP1950" s="24"/>
      <c r="AQ1950" s="24"/>
      <c r="AR1950" s="54"/>
    </row>
    <row r="1951">
      <c r="A1951" s="57"/>
      <c r="B1951" s="24"/>
      <c r="C1951" s="24"/>
      <c r="D1951" s="24"/>
      <c r="E1951" s="24"/>
      <c r="F1951" s="24"/>
      <c r="G1951" s="24"/>
      <c r="H1951" s="24"/>
      <c r="I1951" s="24"/>
      <c r="J1951" s="24"/>
      <c r="K1951" s="24"/>
      <c r="L1951" s="24"/>
      <c r="M1951" s="24"/>
      <c r="N1951" s="24"/>
      <c r="O1951" s="24"/>
      <c r="P1951" s="24"/>
      <c r="Q1951" s="24"/>
      <c r="R1951" s="24"/>
      <c r="S1951" s="24"/>
      <c r="T1951" s="24"/>
      <c r="U1951" s="24"/>
      <c r="V1951" s="24"/>
      <c r="W1951" s="24"/>
      <c r="X1951" s="24"/>
      <c r="Y1951" s="24"/>
      <c r="Z1951" s="24"/>
      <c r="AA1951" s="24"/>
      <c r="AB1951" s="24"/>
      <c r="AC1951" s="24"/>
      <c r="AD1951" s="24"/>
      <c r="AE1951" s="24"/>
      <c r="AF1951" s="24"/>
      <c r="AG1951" s="24"/>
      <c r="AH1951" s="24"/>
      <c r="AI1951" s="24"/>
      <c r="AJ1951" s="24"/>
      <c r="AK1951" s="24"/>
      <c r="AL1951" s="24"/>
      <c r="AM1951" s="24"/>
      <c r="AN1951" s="24"/>
      <c r="AO1951" s="24"/>
      <c r="AP1951" s="24"/>
      <c r="AQ1951" s="24"/>
      <c r="AR1951" s="54"/>
    </row>
    <row r="1952">
      <c r="A1952" s="57"/>
      <c r="B1952" s="24"/>
      <c r="C1952" s="24"/>
      <c r="D1952" s="24"/>
      <c r="E1952" s="24"/>
      <c r="F1952" s="24"/>
      <c r="G1952" s="24"/>
      <c r="H1952" s="24"/>
      <c r="I1952" s="24"/>
      <c r="J1952" s="24"/>
      <c r="K1952" s="24"/>
      <c r="L1952" s="24"/>
      <c r="M1952" s="24"/>
      <c r="N1952" s="24"/>
      <c r="O1952" s="24"/>
      <c r="P1952" s="24"/>
      <c r="Q1952" s="24"/>
      <c r="R1952" s="24"/>
      <c r="S1952" s="24"/>
      <c r="T1952" s="24"/>
      <c r="U1952" s="24"/>
      <c r="V1952" s="24"/>
      <c r="W1952" s="24"/>
      <c r="X1952" s="24"/>
      <c r="Y1952" s="24"/>
      <c r="Z1952" s="24"/>
      <c r="AA1952" s="24"/>
      <c r="AB1952" s="24"/>
      <c r="AC1952" s="24"/>
      <c r="AD1952" s="24"/>
      <c r="AE1952" s="24"/>
      <c r="AF1952" s="24"/>
      <c r="AG1952" s="24"/>
      <c r="AH1952" s="24"/>
      <c r="AI1952" s="24"/>
      <c r="AJ1952" s="24"/>
      <c r="AK1952" s="24"/>
      <c r="AL1952" s="24"/>
      <c r="AM1952" s="24"/>
      <c r="AN1952" s="24"/>
      <c r="AO1952" s="24"/>
      <c r="AP1952" s="24"/>
      <c r="AQ1952" s="24"/>
      <c r="AR1952" s="54"/>
    </row>
    <row r="1953">
      <c r="A1953" s="57"/>
      <c r="B1953" s="24"/>
      <c r="C1953" s="24"/>
      <c r="D1953" s="24"/>
      <c r="E1953" s="24"/>
      <c r="F1953" s="24"/>
      <c r="G1953" s="24"/>
      <c r="H1953" s="24"/>
      <c r="I1953" s="24"/>
      <c r="J1953" s="24"/>
      <c r="K1953" s="24"/>
      <c r="L1953" s="24"/>
      <c r="M1953" s="24"/>
      <c r="N1953" s="24"/>
      <c r="O1953" s="24"/>
      <c r="P1953" s="24"/>
      <c r="Q1953" s="24"/>
      <c r="R1953" s="24"/>
      <c r="S1953" s="24"/>
      <c r="T1953" s="24"/>
      <c r="U1953" s="24"/>
      <c r="V1953" s="24"/>
      <c r="W1953" s="24"/>
      <c r="X1953" s="24"/>
      <c r="Y1953" s="24"/>
      <c r="Z1953" s="24"/>
      <c r="AA1953" s="24"/>
      <c r="AB1953" s="24"/>
      <c r="AC1953" s="24"/>
      <c r="AD1953" s="24"/>
      <c r="AE1953" s="24"/>
      <c r="AF1953" s="24"/>
      <c r="AG1953" s="24"/>
      <c r="AH1953" s="24"/>
      <c r="AI1953" s="24"/>
      <c r="AJ1953" s="24"/>
      <c r="AK1953" s="24"/>
      <c r="AL1953" s="24"/>
      <c r="AM1953" s="24"/>
      <c r="AN1953" s="24"/>
      <c r="AO1953" s="24"/>
      <c r="AP1953" s="24"/>
      <c r="AQ1953" s="24"/>
      <c r="AR1953" s="54"/>
    </row>
    <row r="1954">
      <c r="A1954" s="57"/>
      <c r="B1954" s="24"/>
      <c r="C1954" s="24"/>
      <c r="D1954" s="24"/>
      <c r="E1954" s="24"/>
      <c r="F1954" s="24"/>
      <c r="G1954" s="24"/>
      <c r="H1954" s="24"/>
      <c r="I1954" s="24"/>
      <c r="J1954" s="24"/>
      <c r="K1954" s="24"/>
      <c r="L1954" s="24"/>
      <c r="M1954" s="24"/>
      <c r="N1954" s="24"/>
      <c r="O1954" s="24"/>
      <c r="P1954" s="24"/>
      <c r="Q1954" s="24"/>
      <c r="R1954" s="24"/>
      <c r="S1954" s="24"/>
      <c r="T1954" s="24"/>
      <c r="U1954" s="24"/>
      <c r="V1954" s="24"/>
      <c r="W1954" s="24"/>
      <c r="X1954" s="24"/>
      <c r="Y1954" s="24"/>
      <c r="Z1954" s="24"/>
      <c r="AA1954" s="24"/>
      <c r="AB1954" s="24"/>
      <c r="AC1954" s="24"/>
      <c r="AD1954" s="24"/>
      <c r="AE1954" s="24"/>
      <c r="AF1954" s="24"/>
      <c r="AG1954" s="24"/>
      <c r="AH1954" s="24"/>
      <c r="AI1954" s="24"/>
      <c r="AJ1954" s="24"/>
      <c r="AK1954" s="24"/>
      <c r="AL1954" s="24"/>
      <c r="AM1954" s="24"/>
      <c r="AN1954" s="24"/>
      <c r="AO1954" s="24"/>
      <c r="AP1954" s="24"/>
      <c r="AQ1954" s="24"/>
      <c r="AR1954" s="54"/>
    </row>
    <row r="1955">
      <c r="A1955" s="57"/>
      <c r="B1955" s="24"/>
      <c r="C1955" s="24"/>
      <c r="D1955" s="24"/>
      <c r="E1955" s="24"/>
      <c r="F1955" s="24"/>
      <c r="G1955" s="24"/>
      <c r="H1955" s="24"/>
      <c r="I1955" s="24"/>
      <c r="J1955" s="24"/>
      <c r="K1955" s="24"/>
      <c r="L1955" s="24"/>
      <c r="M1955" s="24"/>
      <c r="N1955" s="24"/>
      <c r="O1955" s="24"/>
      <c r="P1955" s="24"/>
      <c r="Q1955" s="24"/>
      <c r="R1955" s="24"/>
      <c r="S1955" s="24"/>
      <c r="T1955" s="24"/>
      <c r="U1955" s="24"/>
      <c r="V1955" s="24"/>
      <c r="W1955" s="24"/>
      <c r="X1955" s="24"/>
      <c r="Y1955" s="24"/>
      <c r="Z1955" s="24"/>
      <c r="AA1955" s="24"/>
      <c r="AB1955" s="24"/>
      <c r="AC1955" s="24"/>
      <c r="AD1955" s="24"/>
      <c r="AE1955" s="24"/>
      <c r="AF1955" s="24"/>
      <c r="AG1955" s="24"/>
      <c r="AH1955" s="24"/>
      <c r="AI1955" s="24"/>
      <c r="AJ1955" s="24"/>
      <c r="AK1955" s="24"/>
      <c r="AL1955" s="24"/>
      <c r="AM1955" s="24"/>
      <c r="AN1955" s="24"/>
      <c r="AO1955" s="24"/>
      <c r="AP1955" s="24"/>
      <c r="AQ1955" s="24"/>
      <c r="AR1955" s="54"/>
    </row>
    <row r="1956">
      <c r="A1956" s="57"/>
      <c r="B1956" s="24"/>
      <c r="C1956" s="24"/>
      <c r="D1956" s="24"/>
      <c r="E1956" s="24"/>
      <c r="F1956" s="24"/>
      <c r="G1956" s="24"/>
      <c r="H1956" s="24"/>
      <c r="I1956" s="24"/>
      <c r="J1956" s="24"/>
      <c r="K1956" s="24"/>
      <c r="L1956" s="24"/>
      <c r="M1956" s="24"/>
      <c r="N1956" s="24"/>
      <c r="O1956" s="24"/>
      <c r="P1956" s="24"/>
      <c r="Q1956" s="24"/>
      <c r="R1956" s="24"/>
      <c r="S1956" s="24"/>
      <c r="T1956" s="24"/>
      <c r="U1956" s="24"/>
      <c r="V1956" s="24"/>
      <c r="W1956" s="24"/>
      <c r="X1956" s="24"/>
      <c r="Y1956" s="24"/>
      <c r="Z1956" s="24"/>
      <c r="AA1956" s="24"/>
      <c r="AB1956" s="24"/>
      <c r="AC1956" s="24"/>
      <c r="AD1956" s="24"/>
      <c r="AE1956" s="24"/>
      <c r="AF1956" s="24"/>
      <c r="AG1956" s="24"/>
      <c r="AH1956" s="24"/>
      <c r="AI1956" s="24"/>
      <c r="AJ1956" s="24"/>
      <c r="AK1956" s="24"/>
      <c r="AL1956" s="24"/>
      <c r="AM1956" s="24"/>
      <c r="AN1956" s="24"/>
      <c r="AO1956" s="24"/>
      <c r="AP1956" s="24"/>
      <c r="AQ1956" s="24"/>
      <c r="AR1956" s="54"/>
    </row>
    <row r="1957">
      <c r="A1957" s="57"/>
      <c r="B1957" s="24"/>
      <c r="C1957" s="24"/>
      <c r="D1957" s="24"/>
      <c r="E1957" s="24"/>
      <c r="F1957" s="24"/>
      <c r="G1957" s="24"/>
      <c r="H1957" s="24"/>
      <c r="I1957" s="24"/>
      <c r="J1957" s="24"/>
      <c r="K1957" s="24"/>
      <c r="L1957" s="24"/>
      <c r="M1957" s="24"/>
      <c r="N1957" s="24"/>
      <c r="O1957" s="24"/>
      <c r="P1957" s="24"/>
      <c r="Q1957" s="24"/>
      <c r="R1957" s="24"/>
      <c r="S1957" s="24"/>
      <c r="T1957" s="24"/>
      <c r="U1957" s="24"/>
      <c r="V1957" s="24"/>
      <c r="W1957" s="24"/>
      <c r="X1957" s="24"/>
      <c r="Y1957" s="24"/>
      <c r="Z1957" s="24"/>
      <c r="AA1957" s="24"/>
      <c r="AB1957" s="24"/>
      <c r="AC1957" s="24"/>
      <c r="AD1957" s="24"/>
      <c r="AE1957" s="24"/>
      <c r="AF1957" s="24"/>
      <c r="AG1957" s="24"/>
      <c r="AH1957" s="24"/>
      <c r="AI1957" s="24"/>
      <c r="AJ1957" s="24"/>
      <c r="AK1957" s="24"/>
      <c r="AL1957" s="24"/>
      <c r="AM1957" s="24"/>
      <c r="AN1957" s="24"/>
      <c r="AO1957" s="24"/>
      <c r="AP1957" s="24"/>
      <c r="AQ1957" s="24"/>
      <c r="AR1957" s="54"/>
    </row>
    <row r="1958">
      <c r="A1958" s="57"/>
      <c r="B1958" s="24"/>
      <c r="C1958" s="24"/>
      <c r="D1958" s="24"/>
      <c r="E1958" s="24"/>
      <c r="F1958" s="24"/>
      <c r="G1958" s="24"/>
      <c r="H1958" s="24"/>
      <c r="I1958" s="24"/>
      <c r="J1958" s="24"/>
      <c r="K1958" s="24"/>
      <c r="L1958" s="24"/>
      <c r="M1958" s="24"/>
      <c r="N1958" s="24"/>
      <c r="O1958" s="24"/>
      <c r="P1958" s="24"/>
      <c r="Q1958" s="24"/>
      <c r="R1958" s="24"/>
      <c r="S1958" s="24"/>
      <c r="T1958" s="24"/>
      <c r="U1958" s="24"/>
      <c r="V1958" s="24"/>
      <c r="W1958" s="24"/>
      <c r="X1958" s="24"/>
      <c r="Y1958" s="24"/>
      <c r="Z1958" s="24"/>
      <c r="AA1958" s="24"/>
      <c r="AB1958" s="24"/>
      <c r="AC1958" s="24"/>
      <c r="AD1958" s="24"/>
      <c r="AE1958" s="24"/>
      <c r="AF1958" s="24"/>
      <c r="AG1958" s="24"/>
      <c r="AH1958" s="24"/>
      <c r="AI1958" s="24"/>
      <c r="AJ1958" s="24"/>
      <c r="AK1958" s="24"/>
      <c r="AL1958" s="24"/>
      <c r="AM1958" s="24"/>
      <c r="AN1958" s="24"/>
      <c r="AO1958" s="24"/>
      <c r="AP1958" s="24"/>
      <c r="AQ1958" s="24"/>
      <c r="AR1958" s="54"/>
    </row>
    <row r="1959">
      <c r="A1959" s="57"/>
      <c r="B1959" s="24"/>
      <c r="C1959" s="24"/>
      <c r="D1959" s="24"/>
      <c r="E1959" s="24"/>
      <c r="F1959" s="24"/>
      <c r="G1959" s="24"/>
      <c r="H1959" s="24"/>
      <c r="I1959" s="24"/>
      <c r="J1959" s="24"/>
      <c r="K1959" s="24"/>
      <c r="L1959" s="24"/>
      <c r="M1959" s="24"/>
      <c r="N1959" s="24"/>
      <c r="O1959" s="24"/>
      <c r="P1959" s="24"/>
      <c r="Q1959" s="24"/>
      <c r="R1959" s="24"/>
      <c r="S1959" s="24"/>
      <c r="T1959" s="24"/>
      <c r="U1959" s="24"/>
      <c r="V1959" s="24"/>
      <c r="W1959" s="24"/>
      <c r="X1959" s="24"/>
      <c r="Y1959" s="24"/>
      <c r="Z1959" s="24"/>
      <c r="AA1959" s="24"/>
      <c r="AB1959" s="24"/>
      <c r="AC1959" s="24"/>
      <c r="AD1959" s="24"/>
      <c r="AE1959" s="24"/>
      <c r="AF1959" s="24"/>
      <c r="AG1959" s="24"/>
      <c r="AH1959" s="24"/>
      <c r="AI1959" s="24"/>
      <c r="AJ1959" s="24"/>
      <c r="AK1959" s="24"/>
      <c r="AL1959" s="24"/>
      <c r="AM1959" s="24"/>
      <c r="AN1959" s="24"/>
      <c r="AO1959" s="24"/>
      <c r="AP1959" s="24"/>
      <c r="AQ1959" s="24"/>
      <c r="AR1959" s="54"/>
    </row>
    <row r="1960">
      <c r="A1960" s="57"/>
      <c r="B1960" s="24"/>
      <c r="C1960" s="24"/>
      <c r="D1960" s="24"/>
      <c r="E1960" s="24"/>
      <c r="F1960" s="24"/>
      <c r="G1960" s="24"/>
      <c r="H1960" s="24"/>
      <c r="I1960" s="24"/>
      <c r="J1960" s="24"/>
      <c r="K1960" s="24"/>
      <c r="L1960" s="24"/>
      <c r="M1960" s="24"/>
      <c r="N1960" s="24"/>
      <c r="O1960" s="24"/>
      <c r="P1960" s="24"/>
      <c r="Q1960" s="24"/>
      <c r="R1960" s="24"/>
      <c r="S1960" s="24"/>
      <c r="T1960" s="24"/>
      <c r="U1960" s="24"/>
      <c r="V1960" s="24"/>
      <c r="W1960" s="24"/>
      <c r="X1960" s="24"/>
      <c r="Y1960" s="24"/>
      <c r="Z1960" s="24"/>
      <c r="AA1960" s="24"/>
      <c r="AB1960" s="24"/>
      <c r="AC1960" s="24"/>
      <c r="AD1960" s="24"/>
      <c r="AE1960" s="24"/>
      <c r="AF1960" s="24"/>
      <c r="AG1960" s="24"/>
      <c r="AH1960" s="24"/>
      <c r="AI1960" s="24"/>
      <c r="AJ1960" s="24"/>
      <c r="AK1960" s="24"/>
      <c r="AL1960" s="24"/>
      <c r="AM1960" s="24"/>
      <c r="AN1960" s="24"/>
      <c r="AO1960" s="24"/>
      <c r="AP1960" s="24"/>
      <c r="AQ1960" s="24"/>
      <c r="AR1960" s="54"/>
    </row>
    <row r="1961">
      <c r="A1961" s="57"/>
      <c r="B1961" s="24"/>
      <c r="C1961" s="24"/>
      <c r="D1961" s="24"/>
      <c r="E1961" s="24"/>
      <c r="F1961" s="24"/>
      <c r="G1961" s="24"/>
      <c r="H1961" s="24"/>
      <c r="I1961" s="24"/>
      <c r="J1961" s="24"/>
      <c r="K1961" s="24"/>
      <c r="L1961" s="24"/>
      <c r="M1961" s="24"/>
      <c r="N1961" s="24"/>
      <c r="O1961" s="24"/>
      <c r="P1961" s="24"/>
      <c r="Q1961" s="24"/>
      <c r="R1961" s="24"/>
      <c r="S1961" s="24"/>
      <c r="T1961" s="24"/>
      <c r="U1961" s="24"/>
      <c r="V1961" s="24"/>
      <c r="W1961" s="24"/>
      <c r="X1961" s="24"/>
      <c r="Y1961" s="24"/>
      <c r="Z1961" s="24"/>
      <c r="AA1961" s="24"/>
      <c r="AB1961" s="24"/>
      <c r="AC1961" s="24"/>
      <c r="AD1961" s="24"/>
      <c r="AE1961" s="24"/>
      <c r="AF1961" s="24"/>
      <c r="AG1961" s="24"/>
      <c r="AH1961" s="24"/>
      <c r="AI1961" s="24"/>
      <c r="AJ1961" s="24"/>
      <c r="AK1961" s="24"/>
      <c r="AL1961" s="24"/>
      <c r="AM1961" s="24"/>
      <c r="AN1961" s="24"/>
      <c r="AO1961" s="24"/>
      <c r="AP1961" s="24"/>
      <c r="AQ1961" s="24"/>
      <c r="AR1961" s="54"/>
    </row>
    <row r="1962">
      <c r="A1962" s="57"/>
      <c r="B1962" s="24"/>
      <c r="C1962" s="24"/>
      <c r="D1962" s="24"/>
      <c r="E1962" s="24"/>
      <c r="F1962" s="24"/>
      <c r="G1962" s="24"/>
      <c r="H1962" s="24"/>
      <c r="I1962" s="24"/>
      <c r="J1962" s="24"/>
      <c r="K1962" s="24"/>
      <c r="L1962" s="24"/>
      <c r="M1962" s="24"/>
      <c r="N1962" s="24"/>
      <c r="O1962" s="24"/>
      <c r="P1962" s="24"/>
      <c r="Q1962" s="24"/>
      <c r="R1962" s="24"/>
      <c r="S1962" s="24"/>
      <c r="T1962" s="24"/>
      <c r="U1962" s="24"/>
      <c r="V1962" s="24"/>
      <c r="W1962" s="24"/>
      <c r="X1962" s="24"/>
      <c r="Y1962" s="24"/>
      <c r="Z1962" s="24"/>
      <c r="AA1962" s="24"/>
      <c r="AB1962" s="24"/>
      <c r="AC1962" s="24"/>
      <c r="AD1962" s="24"/>
      <c r="AE1962" s="24"/>
      <c r="AF1962" s="24"/>
      <c r="AG1962" s="24"/>
      <c r="AH1962" s="24"/>
      <c r="AI1962" s="24"/>
      <c r="AJ1962" s="24"/>
      <c r="AK1962" s="24"/>
      <c r="AL1962" s="24"/>
      <c r="AM1962" s="24"/>
      <c r="AN1962" s="24"/>
      <c r="AO1962" s="24"/>
      <c r="AP1962" s="24"/>
      <c r="AQ1962" s="24"/>
      <c r="AR1962" s="54"/>
    </row>
    <row r="1963">
      <c r="A1963" s="57"/>
      <c r="B1963" s="24"/>
      <c r="C1963" s="24"/>
      <c r="D1963" s="24"/>
      <c r="E1963" s="24"/>
      <c r="F1963" s="24"/>
      <c r="G1963" s="24"/>
      <c r="H1963" s="24"/>
      <c r="I1963" s="24"/>
      <c r="J1963" s="24"/>
      <c r="K1963" s="24"/>
      <c r="L1963" s="24"/>
      <c r="M1963" s="24"/>
      <c r="N1963" s="24"/>
      <c r="O1963" s="24"/>
      <c r="P1963" s="24"/>
      <c r="Q1963" s="24"/>
      <c r="R1963" s="24"/>
      <c r="S1963" s="24"/>
      <c r="T1963" s="24"/>
      <c r="U1963" s="24"/>
      <c r="V1963" s="24"/>
      <c r="W1963" s="24"/>
      <c r="X1963" s="24"/>
      <c r="Y1963" s="24"/>
      <c r="Z1963" s="24"/>
      <c r="AA1963" s="24"/>
      <c r="AB1963" s="24"/>
      <c r="AC1963" s="24"/>
      <c r="AD1963" s="24"/>
      <c r="AE1963" s="24"/>
      <c r="AF1963" s="24"/>
      <c r="AG1963" s="24"/>
      <c r="AH1963" s="24"/>
      <c r="AI1963" s="24"/>
      <c r="AJ1963" s="24"/>
      <c r="AK1963" s="24"/>
      <c r="AL1963" s="24"/>
      <c r="AM1963" s="24"/>
      <c r="AN1963" s="24"/>
      <c r="AO1963" s="24"/>
      <c r="AP1963" s="24"/>
      <c r="AQ1963" s="24"/>
      <c r="AR1963" s="54"/>
    </row>
    <row r="1964">
      <c r="A1964" s="57"/>
      <c r="B1964" s="24"/>
      <c r="C1964" s="24"/>
      <c r="D1964" s="24"/>
      <c r="E1964" s="24"/>
      <c r="F1964" s="24"/>
      <c r="G1964" s="24"/>
      <c r="H1964" s="24"/>
      <c r="I1964" s="24"/>
      <c r="J1964" s="24"/>
      <c r="K1964" s="24"/>
      <c r="L1964" s="24"/>
      <c r="M1964" s="24"/>
      <c r="N1964" s="24"/>
      <c r="O1964" s="24"/>
      <c r="P1964" s="24"/>
      <c r="Q1964" s="24"/>
      <c r="R1964" s="24"/>
      <c r="S1964" s="24"/>
      <c r="T1964" s="24"/>
      <c r="U1964" s="24"/>
      <c r="V1964" s="24"/>
      <c r="W1964" s="24"/>
      <c r="X1964" s="24"/>
      <c r="Y1964" s="24"/>
      <c r="Z1964" s="24"/>
      <c r="AA1964" s="24"/>
      <c r="AB1964" s="24"/>
      <c r="AC1964" s="24"/>
      <c r="AD1964" s="24"/>
      <c r="AE1964" s="24"/>
      <c r="AF1964" s="24"/>
      <c r="AG1964" s="24"/>
      <c r="AH1964" s="24"/>
      <c r="AI1964" s="24"/>
      <c r="AJ1964" s="24"/>
      <c r="AK1964" s="24"/>
      <c r="AL1964" s="24"/>
      <c r="AM1964" s="24"/>
      <c r="AN1964" s="24"/>
      <c r="AO1964" s="24"/>
      <c r="AP1964" s="24"/>
      <c r="AQ1964" s="24"/>
      <c r="AR1964" s="54"/>
    </row>
    <row r="1965">
      <c r="A1965" s="57"/>
      <c r="B1965" s="24"/>
      <c r="C1965" s="24"/>
      <c r="D1965" s="24"/>
      <c r="E1965" s="24"/>
      <c r="F1965" s="24"/>
      <c r="G1965" s="24"/>
      <c r="H1965" s="24"/>
      <c r="I1965" s="24"/>
      <c r="J1965" s="24"/>
      <c r="K1965" s="24"/>
      <c r="L1965" s="24"/>
      <c r="M1965" s="24"/>
      <c r="N1965" s="24"/>
      <c r="O1965" s="24"/>
      <c r="P1965" s="24"/>
      <c r="Q1965" s="24"/>
      <c r="R1965" s="24"/>
      <c r="S1965" s="24"/>
      <c r="T1965" s="24"/>
      <c r="U1965" s="24"/>
      <c r="V1965" s="24"/>
      <c r="W1965" s="24"/>
      <c r="X1965" s="24"/>
      <c r="Y1965" s="24"/>
      <c r="Z1965" s="24"/>
      <c r="AA1965" s="24"/>
      <c r="AB1965" s="24"/>
      <c r="AC1965" s="24"/>
      <c r="AD1965" s="24"/>
      <c r="AE1965" s="24"/>
      <c r="AF1965" s="24"/>
      <c r="AG1965" s="24"/>
      <c r="AH1965" s="24"/>
      <c r="AI1965" s="24"/>
      <c r="AJ1965" s="24"/>
      <c r="AK1965" s="24"/>
      <c r="AL1965" s="24"/>
      <c r="AM1965" s="24"/>
      <c r="AN1965" s="24"/>
      <c r="AO1965" s="24"/>
      <c r="AP1965" s="24"/>
      <c r="AQ1965" s="24"/>
      <c r="AR1965" s="54"/>
    </row>
    <row r="1966">
      <c r="A1966" s="57"/>
      <c r="B1966" s="24"/>
      <c r="C1966" s="24"/>
      <c r="D1966" s="24"/>
      <c r="E1966" s="24"/>
      <c r="F1966" s="24"/>
      <c r="G1966" s="24"/>
      <c r="H1966" s="24"/>
      <c r="I1966" s="24"/>
      <c r="J1966" s="24"/>
      <c r="K1966" s="24"/>
      <c r="L1966" s="24"/>
      <c r="M1966" s="24"/>
      <c r="N1966" s="24"/>
      <c r="O1966" s="24"/>
      <c r="P1966" s="24"/>
      <c r="Q1966" s="24"/>
      <c r="R1966" s="24"/>
      <c r="S1966" s="24"/>
      <c r="T1966" s="24"/>
      <c r="U1966" s="24"/>
      <c r="V1966" s="24"/>
      <c r="W1966" s="24"/>
      <c r="X1966" s="24"/>
      <c r="Y1966" s="24"/>
      <c r="Z1966" s="24"/>
      <c r="AA1966" s="24"/>
      <c r="AB1966" s="24"/>
      <c r="AC1966" s="24"/>
      <c r="AD1966" s="24"/>
      <c r="AE1966" s="24"/>
      <c r="AF1966" s="24"/>
      <c r="AG1966" s="24"/>
      <c r="AH1966" s="24"/>
      <c r="AI1966" s="24"/>
      <c r="AJ1966" s="24"/>
      <c r="AK1966" s="24"/>
      <c r="AL1966" s="24"/>
      <c r="AM1966" s="24"/>
      <c r="AN1966" s="24"/>
      <c r="AO1966" s="24"/>
      <c r="AP1966" s="24"/>
      <c r="AQ1966" s="24"/>
      <c r="AR1966" s="54"/>
    </row>
    <row r="1967">
      <c r="A1967" s="57"/>
      <c r="B1967" s="24"/>
      <c r="C1967" s="24"/>
      <c r="D1967" s="24"/>
      <c r="E1967" s="24"/>
      <c r="F1967" s="24"/>
      <c r="G1967" s="24"/>
      <c r="H1967" s="24"/>
      <c r="I1967" s="24"/>
      <c r="J1967" s="24"/>
      <c r="K1967" s="24"/>
      <c r="L1967" s="24"/>
      <c r="M1967" s="24"/>
      <c r="N1967" s="24"/>
      <c r="O1967" s="24"/>
      <c r="P1967" s="24"/>
      <c r="Q1967" s="24"/>
      <c r="R1967" s="24"/>
      <c r="S1967" s="24"/>
      <c r="T1967" s="24"/>
      <c r="U1967" s="24"/>
      <c r="V1967" s="24"/>
      <c r="W1967" s="24"/>
      <c r="X1967" s="24"/>
      <c r="Y1967" s="24"/>
      <c r="Z1967" s="24"/>
      <c r="AA1967" s="24"/>
      <c r="AB1967" s="24"/>
      <c r="AC1967" s="24"/>
      <c r="AD1967" s="24"/>
      <c r="AE1967" s="24"/>
      <c r="AF1967" s="24"/>
      <c r="AG1967" s="24"/>
      <c r="AH1967" s="24"/>
      <c r="AI1967" s="24"/>
      <c r="AJ1967" s="24"/>
      <c r="AK1967" s="24"/>
      <c r="AL1967" s="24"/>
      <c r="AM1967" s="24"/>
      <c r="AN1967" s="24"/>
      <c r="AO1967" s="24"/>
      <c r="AP1967" s="24"/>
      <c r="AQ1967" s="24"/>
      <c r="AR1967" s="54"/>
    </row>
    <row r="1968">
      <c r="A1968" s="57"/>
      <c r="B1968" s="24"/>
      <c r="C1968" s="24"/>
      <c r="D1968" s="24"/>
      <c r="E1968" s="24"/>
      <c r="F1968" s="24"/>
      <c r="G1968" s="24"/>
      <c r="H1968" s="24"/>
      <c r="I1968" s="24"/>
      <c r="J1968" s="24"/>
      <c r="K1968" s="24"/>
      <c r="L1968" s="24"/>
      <c r="M1968" s="24"/>
      <c r="N1968" s="24"/>
      <c r="O1968" s="24"/>
      <c r="P1968" s="24"/>
      <c r="Q1968" s="24"/>
      <c r="R1968" s="24"/>
      <c r="S1968" s="24"/>
      <c r="T1968" s="24"/>
      <c r="U1968" s="24"/>
      <c r="V1968" s="24"/>
      <c r="W1968" s="24"/>
      <c r="X1968" s="24"/>
      <c r="Y1968" s="24"/>
      <c r="Z1968" s="24"/>
      <c r="AA1968" s="24"/>
      <c r="AB1968" s="24"/>
      <c r="AC1968" s="24"/>
      <c r="AD1968" s="24"/>
      <c r="AE1968" s="24"/>
      <c r="AF1968" s="24"/>
      <c r="AG1968" s="24"/>
      <c r="AH1968" s="24"/>
      <c r="AI1968" s="24"/>
      <c r="AJ1968" s="24"/>
      <c r="AK1968" s="24"/>
      <c r="AL1968" s="24"/>
      <c r="AM1968" s="24"/>
      <c r="AN1968" s="24"/>
      <c r="AO1968" s="24"/>
      <c r="AP1968" s="24"/>
      <c r="AQ1968" s="24"/>
      <c r="AR1968" s="54"/>
    </row>
    <row r="1969">
      <c r="A1969" s="57"/>
      <c r="B1969" s="24"/>
      <c r="C1969" s="24"/>
      <c r="D1969" s="24"/>
      <c r="E1969" s="24"/>
      <c r="F1969" s="24"/>
      <c r="G1969" s="24"/>
      <c r="H1969" s="24"/>
      <c r="I1969" s="24"/>
      <c r="J1969" s="24"/>
      <c r="K1969" s="24"/>
      <c r="L1969" s="24"/>
      <c r="M1969" s="24"/>
      <c r="N1969" s="24"/>
      <c r="O1969" s="24"/>
      <c r="P1969" s="24"/>
      <c r="Q1969" s="24"/>
      <c r="R1969" s="24"/>
      <c r="S1969" s="24"/>
      <c r="T1969" s="24"/>
      <c r="U1969" s="24"/>
      <c r="V1969" s="24"/>
      <c r="W1969" s="24"/>
      <c r="X1969" s="24"/>
      <c r="Y1969" s="24"/>
      <c r="Z1969" s="24"/>
      <c r="AA1969" s="24"/>
      <c r="AB1969" s="24"/>
      <c r="AC1969" s="24"/>
      <c r="AD1969" s="24"/>
      <c r="AE1969" s="24"/>
      <c r="AF1969" s="24"/>
      <c r="AG1969" s="24"/>
      <c r="AH1969" s="24"/>
      <c r="AI1969" s="24"/>
      <c r="AJ1969" s="24"/>
      <c r="AK1969" s="24"/>
      <c r="AL1969" s="24"/>
      <c r="AM1969" s="24"/>
      <c r="AN1969" s="24"/>
      <c r="AO1969" s="24"/>
      <c r="AP1969" s="24"/>
      <c r="AQ1969" s="24"/>
      <c r="AR1969" s="54"/>
    </row>
    <row r="1970">
      <c r="A1970" s="57"/>
      <c r="B1970" s="24"/>
      <c r="C1970" s="24"/>
      <c r="D1970" s="24"/>
      <c r="E1970" s="24"/>
      <c r="F1970" s="24"/>
      <c r="G1970" s="24"/>
      <c r="H1970" s="24"/>
      <c r="I1970" s="24"/>
      <c r="J1970" s="24"/>
      <c r="K1970" s="24"/>
      <c r="L1970" s="24"/>
      <c r="M1970" s="24"/>
      <c r="N1970" s="24"/>
      <c r="O1970" s="24"/>
      <c r="P1970" s="24"/>
      <c r="Q1970" s="24"/>
      <c r="R1970" s="24"/>
      <c r="S1970" s="24"/>
      <c r="T1970" s="24"/>
      <c r="U1970" s="24"/>
      <c r="V1970" s="24"/>
      <c r="W1970" s="24"/>
      <c r="X1970" s="24"/>
      <c r="Y1970" s="24"/>
      <c r="Z1970" s="24"/>
      <c r="AA1970" s="24"/>
      <c r="AB1970" s="24"/>
      <c r="AC1970" s="24"/>
      <c r="AD1970" s="24"/>
      <c r="AE1970" s="24"/>
      <c r="AF1970" s="24"/>
      <c r="AG1970" s="24"/>
      <c r="AH1970" s="24"/>
      <c r="AI1970" s="24"/>
      <c r="AJ1970" s="24"/>
      <c r="AK1970" s="24"/>
      <c r="AL1970" s="24"/>
      <c r="AM1970" s="24"/>
      <c r="AN1970" s="24"/>
      <c r="AO1970" s="24"/>
      <c r="AP1970" s="24"/>
      <c r="AQ1970" s="24"/>
      <c r="AR1970" s="54"/>
    </row>
    <row r="1971">
      <c r="A1971" s="57"/>
      <c r="B1971" s="24"/>
      <c r="C1971" s="24"/>
      <c r="D1971" s="24"/>
      <c r="E1971" s="24"/>
      <c r="F1971" s="24"/>
      <c r="G1971" s="24"/>
      <c r="H1971" s="24"/>
      <c r="I1971" s="24"/>
      <c r="J1971" s="24"/>
      <c r="K1971" s="24"/>
      <c r="L1971" s="24"/>
      <c r="M1971" s="24"/>
      <c r="N1971" s="24"/>
      <c r="O1971" s="24"/>
      <c r="P1971" s="24"/>
      <c r="Q1971" s="24"/>
      <c r="R1971" s="24"/>
      <c r="S1971" s="24"/>
      <c r="T1971" s="24"/>
      <c r="U1971" s="24"/>
      <c r="V1971" s="24"/>
      <c r="W1971" s="24"/>
      <c r="X1971" s="24"/>
      <c r="Y1971" s="24"/>
      <c r="Z1971" s="24"/>
      <c r="AA1971" s="24"/>
      <c r="AB1971" s="24"/>
      <c r="AC1971" s="24"/>
      <c r="AD1971" s="24"/>
      <c r="AE1971" s="24"/>
      <c r="AF1971" s="24"/>
      <c r="AG1971" s="24"/>
      <c r="AH1971" s="24"/>
      <c r="AI1971" s="24"/>
      <c r="AJ1971" s="24"/>
      <c r="AK1971" s="24"/>
      <c r="AL1971" s="24"/>
      <c r="AM1971" s="24"/>
      <c r="AN1971" s="24"/>
      <c r="AO1971" s="24"/>
      <c r="AP1971" s="24"/>
      <c r="AQ1971" s="24"/>
      <c r="AR1971" s="54"/>
    </row>
    <row r="1972">
      <c r="A1972" s="57"/>
      <c r="B1972" s="24"/>
      <c r="C1972" s="24"/>
      <c r="D1972" s="24"/>
      <c r="E1972" s="24"/>
      <c r="F1972" s="24"/>
      <c r="G1972" s="24"/>
      <c r="H1972" s="24"/>
      <c r="I1972" s="24"/>
      <c r="J1972" s="24"/>
      <c r="K1972" s="24"/>
      <c r="L1972" s="24"/>
      <c r="M1972" s="24"/>
      <c r="N1972" s="24"/>
      <c r="O1972" s="24"/>
      <c r="P1972" s="24"/>
      <c r="Q1972" s="24"/>
      <c r="R1972" s="24"/>
      <c r="S1972" s="24"/>
      <c r="T1972" s="24"/>
      <c r="U1972" s="24"/>
      <c r="V1972" s="24"/>
      <c r="W1972" s="24"/>
      <c r="X1972" s="24"/>
      <c r="Y1972" s="24"/>
      <c r="Z1972" s="24"/>
      <c r="AA1972" s="24"/>
      <c r="AB1972" s="24"/>
      <c r="AC1972" s="24"/>
      <c r="AD1972" s="24"/>
      <c r="AE1972" s="24"/>
      <c r="AF1972" s="24"/>
      <c r="AG1972" s="24"/>
      <c r="AH1972" s="24"/>
      <c r="AI1972" s="24"/>
      <c r="AJ1972" s="24"/>
      <c r="AK1972" s="24"/>
      <c r="AL1972" s="24"/>
      <c r="AM1972" s="24"/>
      <c r="AN1972" s="24"/>
      <c r="AO1972" s="24"/>
      <c r="AP1972" s="24"/>
      <c r="AQ1972" s="24"/>
      <c r="AR1972" s="54"/>
    </row>
    <row r="1973">
      <c r="A1973" s="57"/>
      <c r="B1973" s="24"/>
      <c r="C1973" s="24"/>
      <c r="D1973" s="24"/>
      <c r="E1973" s="24"/>
      <c r="F1973" s="24"/>
      <c r="G1973" s="24"/>
      <c r="H1973" s="24"/>
      <c r="I1973" s="24"/>
      <c r="J1973" s="24"/>
      <c r="K1973" s="24"/>
      <c r="L1973" s="24"/>
      <c r="M1973" s="24"/>
      <c r="N1973" s="24"/>
      <c r="O1973" s="24"/>
      <c r="P1973" s="24"/>
      <c r="Q1973" s="24"/>
      <c r="R1973" s="24"/>
      <c r="S1973" s="24"/>
      <c r="T1973" s="24"/>
      <c r="U1973" s="24"/>
      <c r="V1973" s="24"/>
      <c r="W1973" s="24"/>
      <c r="X1973" s="24"/>
      <c r="Y1973" s="24"/>
      <c r="Z1973" s="24"/>
      <c r="AA1973" s="24"/>
      <c r="AB1973" s="24"/>
      <c r="AC1973" s="24"/>
      <c r="AD1973" s="24"/>
      <c r="AE1973" s="24"/>
      <c r="AF1973" s="24"/>
      <c r="AG1973" s="24"/>
      <c r="AH1973" s="24"/>
      <c r="AI1973" s="24"/>
      <c r="AJ1973" s="24"/>
      <c r="AK1973" s="24"/>
      <c r="AL1973" s="24"/>
      <c r="AM1973" s="24"/>
      <c r="AN1973" s="24"/>
      <c r="AO1973" s="24"/>
      <c r="AP1973" s="24"/>
      <c r="AQ1973" s="24"/>
      <c r="AR1973" s="54"/>
    </row>
    <row r="1974">
      <c r="A1974" s="57"/>
      <c r="B1974" s="24"/>
      <c r="C1974" s="24"/>
      <c r="D1974" s="24"/>
      <c r="E1974" s="24"/>
      <c r="F1974" s="24"/>
      <c r="G1974" s="24"/>
      <c r="H1974" s="24"/>
      <c r="I1974" s="24"/>
      <c r="J1974" s="24"/>
      <c r="K1974" s="24"/>
      <c r="L1974" s="24"/>
      <c r="M1974" s="24"/>
      <c r="N1974" s="24"/>
      <c r="O1974" s="24"/>
      <c r="P1974" s="24"/>
      <c r="Q1974" s="24"/>
      <c r="R1974" s="24"/>
      <c r="S1974" s="24"/>
      <c r="T1974" s="24"/>
      <c r="U1974" s="24"/>
      <c r="V1974" s="24"/>
      <c r="W1974" s="24"/>
      <c r="X1974" s="24"/>
      <c r="Y1974" s="24"/>
      <c r="Z1974" s="24"/>
      <c r="AA1974" s="24"/>
      <c r="AB1974" s="24"/>
      <c r="AC1974" s="24"/>
      <c r="AD1974" s="24"/>
      <c r="AE1974" s="24"/>
      <c r="AF1974" s="24"/>
      <c r="AG1974" s="24"/>
      <c r="AH1974" s="24"/>
      <c r="AI1974" s="24"/>
      <c r="AJ1974" s="24"/>
      <c r="AK1974" s="24"/>
      <c r="AL1974" s="24"/>
      <c r="AM1974" s="24"/>
      <c r="AN1974" s="24"/>
      <c r="AO1974" s="24"/>
      <c r="AP1974" s="24"/>
      <c r="AQ1974" s="24"/>
      <c r="AR1974" s="54"/>
    </row>
    <row r="1975">
      <c r="A1975" s="57"/>
      <c r="B1975" s="24"/>
      <c r="C1975" s="24"/>
      <c r="D1975" s="24"/>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c r="AA1975" s="24"/>
      <c r="AB1975" s="24"/>
      <c r="AC1975" s="24"/>
      <c r="AD1975" s="24"/>
      <c r="AE1975" s="24"/>
      <c r="AF1975" s="24"/>
      <c r="AG1975" s="24"/>
      <c r="AH1975" s="24"/>
      <c r="AI1975" s="24"/>
      <c r="AJ1975" s="24"/>
      <c r="AK1975" s="24"/>
      <c r="AL1975" s="24"/>
      <c r="AM1975" s="24"/>
      <c r="AN1975" s="24"/>
      <c r="AO1975" s="24"/>
      <c r="AP1975" s="24"/>
      <c r="AQ1975" s="24"/>
      <c r="AR1975" s="54"/>
    </row>
    <row r="1976">
      <c r="A1976" s="57"/>
      <c r="B1976" s="24"/>
      <c r="C1976" s="24"/>
      <c r="D1976" s="24"/>
      <c r="E1976" s="24"/>
      <c r="F1976" s="24"/>
      <c r="G1976" s="24"/>
      <c r="H1976" s="24"/>
      <c r="I1976" s="24"/>
      <c r="J1976" s="24"/>
      <c r="K1976" s="24"/>
      <c r="L1976" s="24"/>
      <c r="M1976" s="24"/>
      <c r="N1976" s="24"/>
      <c r="O1976" s="24"/>
      <c r="P1976" s="24"/>
      <c r="Q1976" s="24"/>
      <c r="R1976" s="24"/>
      <c r="S1976" s="24"/>
      <c r="T1976" s="24"/>
      <c r="U1976" s="24"/>
      <c r="V1976" s="24"/>
      <c r="W1976" s="24"/>
      <c r="X1976" s="24"/>
      <c r="Y1976" s="24"/>
      <c r="Z1976" s="24"/>
      <c r="AA1976" s="24"/>
      <c r="AB1976" s="24"/>
      <c r="AC1976" s="24"/>
      <c r="AD1976" s="24"/>
      <c r="AE1976" s="24"/>
      <c r="AF1976" s="24"/>
      <c r="AG1976" s="24"/>
      <c r="AH1976" s="24"/>
      <c r="AI1976" s="24"/>
      <c r="AJ1976" s="24"/>
      <c r="AK1976" s="24"/>
      <c r="AL1976" s="24"/>
      <c r="AM1976" s="24"/>
      <c r="AN1976" s="24"/>
      <c r="AO1976" s="24"/>
      <c r="AP1976" s="24"/>
      <c r="AQ1976" s="24"/>
      <c r="AR1976" s="54"/>
    </row>
    <row r="1977">
      <c r="A1977" s="57"/>
      <c r="B1977" s="24"/>
      <c r="C1977" s="24"/>
      <c r="D1977" s="24"/>
      <c r="E1977" s="24"/>
      <c r="F1977" s="24"/>
      <c r="G1977" s="24"/>
      <c r="H1977" s="24"/>
      <c r="I1977" s="24"/>
      <c r="J1977" s="24"/>
      <c r="K1977" s="24"/>
      <c r="L1977" s="24"/>
      <c r="M1977" s="24"/>
      <c r="N1977" s="24"/>
      <c r="O1977" s="24"/>
      <c r="P1977" s="24"/>
      <c r="Q1977" s="24"/>
      <c r="R1977" s="24"/>
      <c r="S1977" s="24"/>
      <c r="T1977" s="24"/>
      <c r="U1977" s="24"/>
      <c r="V1977" s="24"/>
      <c r="W1977" s="24"/>
      <c r="X1977" s="24"/>
      <c r="Y1977" s="24"/>
      <c r="Z1977" s="24"/>
      <c r="AA1977" s="24"/>
      <c r="AB1977" s="24"/>
      <c r="AC1977" s="24"/>
      <c r="AD1977" s="24"/>
      <c r="AE1977" s="24"/>
      <c r="AF1977" s="24"/>
      <c r="AG1977" s="24"/>
      <c r="AH1977" s="24"/>
      <c r="AI1977" s="24"/>
      <c r="AJ1977" s="24"/>
      <c r="AK1977" s="24"/>
      <c r="AL1977" s="24"/>
      <c r="AM1977" s="24"/>
      <c r="AN1977" s="24"/>
      <c r="AO1977" s="24"/>
      <c r="AP1977" s="24"/>
      <c r="AQ1977" s="24"/>
      <c r="AR1977" s="54"/>
    </row>
    <row r="1978">
      <c r="A1978" s="57"/>
      <c r="B1978" s="24"/>
      <c r="C1978" s="24"/>
      <c r="D1978" s="24"/>
      <c r="E1978" s="24"/>
      <c r="F1978" s="24"/>
      <c r="G1978" s="24"/>
      <c r="H1978" s="24"/>
      <c r="I1978" s="24"/>
      <c r="J1978" s="24"/>
      <c r="K1978" s="24"/>
      <c r="L1978" s="24"/>
      <c r="M1978" s="24"/>
      <c r="N1978" s="24"/>
      <c r="O1978" s="24"/>
      <c r="P1978" s="24"/>
      <c r="Q1978" s="24"/>
      <c r="R1978" s="24"/>
      <c r="S1978" s="24"/>
      <c r="T1978" s="24"/>
      <c r="U1978" s="24"/>
      <c r="V1978" s="24"/>
      <c r="W1978" s="24"/>
      <c r="X1978" s="24"/>
      <c r="Y1978" s="24"/>
      <c r="Z1978" s="24"/>
      <c r="AA1978" s="24"/>
      <c r="AB1978" s="24"/>
      <c r="AC1978" s="24"/>
      <c r="AD1978" s="24"/>
      <c r="AE1978" s="24"/>
      <c r="AF1978" s="24"/>
      <c r="AG1978" s="24"/>
      <c r="AH1978" s="24"/>
      <c r="AI1978" s="24"/>
      <c r="AJ1978" s="24"/>
      <c r="AK1978" s="24"/>
      <c r="AL1978" s="24"/>
      <c r="AM1978" s="24"/>
      <c r="AN1978" s="24"/>
      <c r="AO1978" s="24"/>
      <c r="AP1978" s="24"/>
      <c r="AQ1978" s="24"/>
      <c r="AR1978" s="54"/>
    </row>
    <row r="1979">
      <c r="A1979" s="57"/>
      <c r="B1979" s="24"/>
      <c r="C1979" s="24"/>
      <c r="D1979" s="24"/>
      <c r="E1979" s="24"/>
      <c r="F1979" s="24"/>
      <c r="G1979" s="24"/>
      <c r="H1979" s="24"/>
      <c r="I1979" s="24"/>
      <c r="J1979" s="24"/>
      <c r="K1979" s="24"/>
      <c r="L1979" s="24"/>
      <c r="M1979" s="24"/>
      <c r="N1979" s="24"/>
      <c r="O1979" s="24"/>
      <c r="P1979" s="24"/>
      <c r="Q1979" s="24"/>
      <c r="R1979" s="24"/>
      <c r="S1979" s="24"/>
      <c r="T1979" s="24"/>
      <c r="U1979" s="24"/>
      <c r="V1979" s="24"/>
      <c r="W1979" s="24"/>
      <c r="X1979" s="24"/>
      <c r="Y1979" s="24"/>
      <c r="Z1979" s="24"/>
      <c r="AA1979" s="24"/>
      <c r="AB1979" s="24"/>
      <c r="AC1979" s="24"/>
      <c r="AD1979" s="24"/>
      <c r="AE1979" s="24"/>
      <c r="AF1979" s="24"/>
      <c r="AG1979" s="24"/>
      <c r="AH1979" s="24"/>
      <c r="AI1979" s="24"/>
      <c r="AJ1979" s="24"/>
      <c r="AK1979" s="24"/>
      <c r="AL1979" s="24"/>
      <c r="AM1979" s="24"/>
      <c r="AN1979" s="24"/>
      <c r="AO1979" s="24"/>
      <c r="AP1979" s="24"/>
      <c r="AQ1979" s="24"/>
      <c r="AR1979" s="54"/>
    </row>
    <row r="1980">
      <c r="A1980" s="57"/>
      <c r="B1980" s="24"/>
      <c r="C1980" s="24"/>
      <c r="D1980" s="24"/>
      <c r="E1980" s="24"/>
      <c r="F1980" s="24"/>
      <c r="G1980" s="24"/>
      <c r="H1980" s="24"/>
      <c r="I1980" s="24"/>
      <c r="J1980" s="24"/>
      <c r="K1980" s="24"/>
      <c r="L1980" s="24"/>
      <c r="M1980" s="24"/>
      <c r="N1980" s="24"/>
      <c r="O1980" s="24"/>
      <c r="P1980" s="24"/>
      <c r="Q1980" s="24"/>
      <c r="R1980" s="24"/>
      <c r="S1980" s="24"/>
      <c r="T1980" s="24"/>
      <c r="U1980" s="24"/>
      <c r="V1980" s="24"/>
      <c r="W1980" s="24"/>
      <c r="X1980" s="24"/>
      <c r="Y1980" s="24"/>
      <c r="Z1980" s="24"/>
      <c r="AA1980" s="24"/>
      <c r="AB1980" s="24"/>
      <c r="AC1980" s="24"/>
      <c r="AD1980" s="24"/>
      <c r="AE1980" s="24"/>
      <c r="AF1980" s="24"/>
      <c r="AG1980" s="24"/>
      <c r="AH1980" s="24"/>
      <c r="AI1980" s="24"/>
      <c r="AJ1980" s="24"/>
      <c r="AK1980" s="24"/>
      <c r="AL1980" s="24"/>
      <c r="AM1980" s="24"/>
      <c r="AN1980" s="24"/>
      <c r="AO1980" s="24"/>
      <c r="AP1980" s="24"/>
      <c r="AQ1980" s="24"/>
      <c r="AR1980" s="54"/>
    </row>
    <row r="1981">
      <c r="A1981" s="57"/>
      <c r="B1981" s="24"/>
      <c r="C1981" s="24"/>
      <c r="D1981" s="24"/>
      <c r="E1981" s="24"/>
      <c r="F1981" s="24"/>
      <c r="G1981" s="24"/>
      <c r="H1981" s="24"/>
      <c r="I1981" s="24"/>
      <c r="J1981" s="24"/>
      <c r="K1981" s="24"/>
      <c r="L1981" s="24"/>
      <c r="M1981" s="24"/>
      <c r="N1981" s="24"/>
      <c r="O1981" s="24"/>
      <c r="P1981" s="24"/>
      <c r="Q1981" s="24"/>
      <c r="R1981" s="24"/>
      <c r="S1981" s="24"/>
      <c r="T1981" s="24"/>
      <c r="U1981" s="24"/>
      <c r="V1981" s="24"/>
      <c r="W1981" s="24"/>
      <c r="X1981" s="24"/>
      <c r="Y1981" s="24"/>
      <c r="Z1981" s="24"/>
      <c r="AA1981" s="24"/>
      <c r="AB1981" s="24"/>
      <c r="AC1981" s="24"/>
      <c r="AD1981" s="24"/>
      <c r="AE1981" s="24"/>
      <c r="AF1981" s="24"/>
      <c r="AG1981" s="24"/>
      <c r="AH1981" s="24"/>
      <c r="AI1981" s="24"/>
      <c r="AJ1981" s="24"/>
      <c r="AK1981" s="24"/>
      <c r="AL1981" s="24"/>
      <c r="AM1981" s="24"/>
      <c r="AN1981" s="24"/>
      <c r="AO1981" s="24"/>
      <c r="AP1981" s="24"/>
      <c r="AQ1981" s="24"/>
      <c r="AR1981" s="54"/>
    </row>
    <row r="1982">
      <c r="A1982" s="57"/>
      <c r="B1982" s="24"/>
      <c r="C1982" s="24"/>
      <c r="D1982" s="24"/>
      <c r="E1982" s="24"/>
      <c r="F1982" s="24"/>
      <c r="G1982" s="24"/>
      <c r="H1982" s="24"/>
      <c r="I1982" s="24"/>
      <c r="J1982" s="24"/>
      <c r="K1982" s="24"/>
      <c r="L1982" s="24"/>
      <c r="M1982" s="24"/>
      <c r="N1982" s="24"/>
      <c r="O1982" s="24"/>
      <c r="P1982" s="24"/>
      <c r="Q1982" s="24"/>
      <c r="R1982" s="24"/>
      <c r="S1982" s="24"/>
      <c r="T1982" s="24"/>
      <c r="U1982" s="24"/>
      <c r="V1982" s="24"/>
      <c r="W1982" s="24"/>
      <c r="X1982" s="24"/>
      <c r="Y1982" s="24"/>
      <c r="Z1982" s="24"/>
      <c r="AA1982" s="24"/>
      <c r="AB1982" s="24"/>
      <c r="AC1982" s="24"/>
      <c r="AD1982" s="24"/>
      <c r="AE1982" s="24"/>
      <c r="AF1982" s="24"/>
      <c r="AG1982" s="24"/>
      <c r="AH1982" s="24"/>
      <c r="AI1982" s="24"/>
      <c r="AJ1982" s="24"/>
      <c r="AK1982" s="24"/>
      <c r="AL1982" s="24"/>
      <c r="AM1982" s="24"/>
      <c r="AN1982" s="24"/>
      <c r="AO1982" s="24"/>
      <c r="AP1982" s="24"/>
      <c r="AQ1982" s="24"/>
      <c r="AR1982" s="54"/>
    </row>
    <row r="1983">
      <c r="A1983" s="57"/>
      <c r="B1983" s="24"/>
      <c r="C1983" s="24"/>
      <c r="D1983" s="24"/>
      <c r="E1983" s="24"/>
      <c r="F1983" s="24"/>
      <c r="G1983" s="24"/>
      <c r="H1983" s="24"/>
      <c r="I1983" s="24"/>
      <c r="J1983" s="24"/>
      <c r="K1983" s="24"/>
      <c r="L1983" s="24"/>
      <c r="M1983" s="24"/>
      <c r="N1983" s="24"/>
      <c r="O1983" s="24"/>
      <c r="P1983" s="24"/>
      <c r="Q1983" s="24"/>
      <c r="R1983" s="24"/>
      <c r="S1983" s="24"/>
      <c r="T1983" s="24"/>
      <c r="U1983" s="24"/>
      <c r="V1983" s="24"/>
      <c r="W1983" s="24"/>
      <c r="X1983" s="24"/>
      <c r="Y1983" s="24"/>
      <c r="Z1983" s="24"/>
      <c r="AA1983" s="24"/>
      <c r="AB1983" s="24"/>
      <c r="AC1983" s="24"/>
      <c r="AD1983" s="24"/>
      <c r="AE1983" s="24"/>
      <c r="AF1983" s="24"/>
      <c r="AG1983" s="24"/>
      <c r="AH1983" s="24"/>
      <c r="AI1983" s="24"/>
      <c r="AJ1983" s="24"/>
      <c r="AK1983" s="24"/>
      <c r="AL1983" s="24"/>
      <c r="AM1983" s="24"/>
      <c r="AN1983" s="24"/>
      <c r="AO1983" s="24"/>
      <c r="AP1983" s="24"/>
      <c r="AQ1983" s="24"/>
      <c r="AR1983" s="54"/>
    </row>
    <row r="1984">
      <c r="A1984" s="57"/>
      <c r="B1984" s="24"/>
      <c r="C1984" s="24"/>
      <c r="D1984" s="24"/>
      <c r="E1984" s="24"/>
      <c r="F1984" s="24"/>
      <c r="G1984" s="24"/>
      <c r="H1984" s="24"/>
      <c r="I1984" s="24"/>
      <c r="J1984" s="24"/>
      <c r="K1984" s="24"/>
      <c r="L1984" s="24"/>
      <c r="M1984" s="24"/>
      <c r="N1984" s="24"/>
      <c r="O1984" s="24"/>
      <c r="P1984" s="24"/>
      <c r="Q1984" s="24"/>
      <c r="R1984" s="24"/>
      <c r="S1984" s="24"/>
      <c r="T1984" s="24"/>
      <c r="U1984" s="24"/>
      <c r="V1984" s="24"/>
      <c r="W1984" s="24"/>
      <c r="X1984" s="24"/>
      <c r="Y1984" s="24"/>
      <c r="Z1984" s="24"/>
      <c r="AA1984" s="24"/>
      <c r="AB1984" s="24"/>
      <c r="AC1984" s="24"/>
      <c r="AD1984" s="24"/>
      <c r="AE1984" s="24"/>
      <c r="AF1984" s="24"/>
      <c r="AG1984" s="24"/>
      <c r="AH1984" s="24"/>
      <c r="AI1984" s="24"/>
      <c r="AJ1984" s="24"/>
      <c r="AK1984" s="24"/>
      <c r="AL1984" s="24"/>
      <c r="AM1984" s="24"/>
      <c r="AN1984" s="24"/>
      <c r="AO1984" s="24"/>
      <c r="AP1984" s="24"/>
      <c r="AQ1984" s="24"/>
      <c r="AR1984" s="54"/>
    </row>
    <row r="1985">
      <c r="A1985" s="57"/>
      <c r="B1985" s="24"/>
      <c r="C1985" s="24"/>
      <c r="D1985" s="24"/>
      <c r="E1985" s="24"/>
      <c r="F1985" s="24"/>
      <c r="G1985" s="24"/>
      <c r="H1985" s="24"/>
      <c r="I1985" s="24"/>
      <c r="J1985" s="24"/>
      <c r="K1985" s="24"/>
      <c r="L1985" s="24"/>
      <c r="M1985" s="24"/>
      <c r="N1985" s="24"/>
      <c r="O1985" s="24"/>
      <c r="P1985" s="24"/>
      <c r="Q1985" s="24"/>
      <c r="R1985" s="24"/>
      <c r="S1985" s="24"/>
      <c r="T1985" s="24"/>
      <c r="U1985" s="24"/>
      <c r="V1985" s="24"/>
      <c r="W1985" s="24"/>
      <c r="X1985" s="24"/>
      <c r="Y1985" s="24"/>
      <c r="Z1985" s="24"/>
      <c r="AA1985" s="24"/>
      <c r="AB1985" s="24"/>
      <c r="AC1985" s="24"/>
      <c r="AD1985" s="24"/>
      <c r="AE1985" s="24"/>
      <c r="AF1985" s="24"/>
      <c r="AG1985" s="24"/>
      <c r="AH1985" s="24"/>
      <c r="AI1985" s="24"/>
      <c r="AJ1985" s="24"/>
      <c r="AK1985" s="24"/>
      <c r="AL1985" s="24"/>
      <c r="AM1985" s="24"/>
      <c r="AN1985" s="24"/>
      <c r="AO1985" s="24"/>
      <c r="AP1985" s="24"/>
      <c r="AQ1985" s="24"/>
      <c r="AR1985" s="54"/>
    </row>
    <row r="1986">
      <c r="A1986" s="57"/>
      <c r="B1986" s="24"/>
      <c r="C1986" s="24"/>
      <c r="D1986" s="24"/>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c r="AA1986" s="24"/>
      <c r="AB1986" s="24"/>
      <c r="AC1986" s="24"/>
      <c r="AD1986" s="24"/>
      <c r="AE1986" s="24"/>
      <c r="AF1986" s="24"/>
      <c r="AG1986" s="24"/>
      <c r="AH1986" s="24"/>
      <c r="AI1986" s="24"/>
      <c r="AJ1986" s="24"/>
      <c r="AK1986" s="24"/>
      <c r="AL1986" s="24"/>
      <c r="AM1986" s="24"/>
      <c r="AN1986" s="24"/>
      <c r="AO1986" s="24"/>
      <c r="AP1986" s="24"/>
      <c r="AQ1986" s="24"/>
      <c r="AR1986" s="54"/>
    </row>
    <row r="1987">
      <c r="A1987" s="57"/>
      <c r="B1987" s="24"/>
      <c r="C1987" s="24"/>
      <c r="D1987" s="24"/>
      <c r="E1987" s="24"/>
      <c r="F1987" s="24"/>
      <c r="G1987" s="24"/>
      <c r="H1987" s="24"/>
      <c r="I1987" s="24"/>
      <c r="J1987" s="24"/>
      <c r="K1987" s="24"/>
      <c r="L1987" s="24"/>
      <c r="M1987" s="24"/>
      <c r="N1987" s="24"/>
      <c r="O1987" s="24"/>
      <c r="P1987" s="24"/>
      <c r="Q1987" s="24"/>
      <c r="R1987" s="24"/>
      <c r="S1987" s="24"/>
      <c r="T1987" s="24"/>
      <c r="U1987" s="24"/>
      <c r="V1987" s="24"/>
      <c r="W1987" s="24"/>
      <c r="X1987" s="24"/>
      <c r="Y1987" s="24"/>
      <c r="Z1987" s="24"/>
      <c r="AA1987" s="24"/>
      <c r="AB1987" s="24"/>
      <c r="AC1987" s="24"/>
      <c r="AD1987" s="24"/>
      <c r="AE1987" s="24"/>
      <c r="AF1987" s="24"/>
      <c r="AG1987" s="24"/>
      <c r="AH1987" s="24"/>
      <c r="AI1987" s="24"/>
      <c r="AJ1987" s="24"/>
      <c r="AK1987" s="24"/>
      <c r="AL1987" s="24"/>
      <c r="AM1987" s="24"/>
      <c r="AN1987" s="24"/>
      <c r="AO1987" s="24"/>
      <c r="AP1987" s="24"/>
      <c r="AQ1987" s="24"/>
      <c r="AR1987" s="54"/>
    </row>
    <row r="1988">
      <c r="A1988" s="57"/>
      <c r="B1988" s="24"/>
      <c r="C1988" s="24"/>
      <c r="D1988" s="24"/>
      <c r="E1988" s="24"/>
      <c r="F1988" s="24"/>
      <c r="G1988" s="24"/>
      <c r="H1988" s="24"/>
      <c r="I1988" s="24"/>
      <c r="J1988" s="24"/>
      <c r="K1988" s="24"/>
      <c r="L1988" s="24"/>
      <c r="M1988" s="24"/>
      <c r="N1988" s="24"/>
      <c r="O1988" s="24"/>
      <c r="P1988" s="24"/>
      <c r="Q1988" s="24"/>
      <c r="R1988" s="24"/>
      <c r="S1988" s="24"/>
      <c r="T1988" s="24"/>
      <c r="U1988" s="24"/>
      <c r="V1988" s="24"/>
      <c r="W1988" s="24"/>
      <c r="X1988" s="24"/>
      <c r="Y1988" s="24"/>
      <c r="Z1988" s="24"/>
      <c r="AA1988" s="24"/>
      <c r="AB1988" s="24"/>
      <c r="AC1988" s="24"/>
      <c r="AD1988" s="24"/>
      <c r="AE1988" s="24"/>
      <c r="AF1988" s="24"/>
      <c r="AG1988" s="24"/>
      <c r="AH1988" s="24"/>
      <c r="AI1988" s="24"/>
      <c r="AJ1988" s="24"/>
      <c r="AK1988" s="24"/>
      <c r="AL1988" s="24"/>
      <c r="AM1988" s="24"/>
      <c r="AN1988" s="24"/>
      <c r="AO1988" s="24"/>
      <c r="AP1988" s="24"/>
      <c r="AQ1988" s="24"/>
      <c r="AR1988" s="54"/>
    </row>
    <row r="1989">
      <c r="A1989" s="57"/>
      <c r="B1989" s="24"/>
      <c r="C1989" s="24"/>
      <c r="D1989" s="24"/>
      <c r="E1989" s="24"/>
      <c r="F1989" s="24"/>
      <c r="G1989" s="24"/>
      <c r="H1989" s="24"/>
      <c r="I1989" s="24"/>
      <c r="J1989" s="24"/>
      <c r="K1989" s="24"/>
      <c r="L1989" s="24"/>
      <c r="M1989" s="24"/>
      <c r="N1989" s="24"/>
      <c r="O1989" s="24"/>
      <c r="P1989" s="24"/>
      <c r="Q1989" s="24"/>
      <c r="R1989" s="24"/>
      <c r="S1989" s="24"/>
      <c r="T1989" s="24"/>
      <c r="U1989" s="24"/>
      <c r="V1989" s="24"/>
      <c r="W1989" s="24"/>
      <c r="X1989" s="24"/>
      <c r="Y1989" s="24"/>
      <c r="Z1989" s="24"/>
      <c r="AA1989" s="24"/>
      <c r="AB1989" s="24"/>
      <c r="AC1989" s="24"/>
      <c r="AD1989" s="24"/>
      <c r="AE1989" s="24"/>
      <c r="AF1989" s="24"/>
      <c r="AG1989" s="24"/>
      <c r="AH1989" s="24"/>
      <c r="AI1989" s="24"/>
      <c r="AJ1989" s="24"/>
      <c r="AK1989" s="24"/>
      <c r="AL1989" s="24"/>
      <c r="AM1989" s="24"/>
      <c r="AN1989" s="24"/>
      <c r="AO1989" s="24"/>
      <c r="AP1989" s="24"/>
      <c r="AQ1989" s="24"/>
      <c r="AR1989" s="54"/>
    </row>
    <row r="1990">
      <c r="A1990" s="57"/>
      <c r="B1990" s="24"/>
      <c r="C1990" s="24"/>
      <c r="D1990" s="24"/>
      <c r="E1990" s="24"/>
      <c r="F1990" s="24"/>
      <c r="G1990" s="24"/>
      <c r="H1990" s="24"/>
      <c r="I1990" s="24"/>
      <c r="J1990" s="24"/>
      <c r="K1990" s="24"/>
      <c r="L1990" s="24"/>
      <c r="M1990" s="24"/>
      <c r="N1990" s="24"/>
      <c r="O1990" s="24"/>
      <c r="P1990" s="24"/>
      <c r="Q1990" s="24"/>
      <c r="R1990" s="24"/>
      <c r="S1990" s="24"/>
      <c r="T1990" s="24"/>
      <c r="U1990" s="24"/>
      <c r="V1990" s="24"/>
      <c r="W1990" s="24"/>
      <c r="X1990" s="24"/>
      <c r="Y1990" s="24"/>
      <c r="Z1990" s="24"/>
      <c r="AA1990" s="24"/>
      <c r="AB1990" s="24"/>
      <c r="AC1990" s="24"/>
      <c r="AD1990" s="24"/>
      <c r="AE1990" s="24"/>
      <c r="AF1990" s="24"/>
      <c r="AG1990" s="24"/>
      <c r="AH1990" s="24"/>
      <c r="AI1990" s="24"/>
      <c r="AJ1990" s="24"/>
      <c r="AK1990" s="24"/>
      <c r="AL1990" s="24"/>
      <c r="AM1990" s="24"/>
      <c r="AN1990" s="24"/>
      <c r="AO1990" s="24"/>
      <c r="AP1990" s="24"/>
      <c r="AQ1990" s="24"/>
      <c r="AR1990" s="54"/>
    </row>
    <row r="1991">
      <c r="A1991" s="57"/>
      <c r="B1991" s="24"/>
      <c r="C1991" s="24"/>
      <c r="D1991" s="24"/>
      <c r="E1991" s="24"/>
      <c r="F1991" s="24"/>
      <c r="G1991" s="24"/>
      <c r="H1991" s="24"/>
      <c r="I1991" s="24"/>
      <c r="J1991" s="24"/>
      <c r="K1991" s="24"/>
      <c r="L1991" s="24"/>
      <c r="M1991" s="24"/>
      <c r="N1991" s="24"/>
      <c r="O1991" s="24"/>
      <c r="P1991" s="24"/>
      <c r="Q1991" s="24"/>
      <c r="R1991" s="24"/>
      <c r="S1991" s="24"/>
      <c r="T1991" s="24"/>
      <c r="U1991" s="24"/>
      <c r="V1991" s="24"/>
      <c r="W1991" s="24"/>
      <c r="X1991" s="24"/>
      <c r="Y1991" s="24"/>
      <c r="Z1991" s="24"/>
      <c r="AA1991" s="24"/>
      <c r="AB1991" s="24"/>
      <c r="AC1991" s="24"/>
      <c r="AD1991" s="24"/>
      <c r="AE1991" s="24"/>
      <c r="AF1991" s="24"/>
      <c r="AG1991" s="24"/>
      <c r="AH1991" s="24"/>
      <c r="AI1991" s="24"/>
      <c r="AJ1991" s="24"/>
      <c r="AK1991" s="24"/>
      <c r="AL1991" s="24"/>
      <c r="AM1991" s="24"/>
      <c r="AN1991" s="24"/>
      <c r="AO1991" s="24"/>
      <c r="AP1991" s="24"/>
      <c r="AQ1991" s="24"/>
      <c r="AR1991" s="54"/>
    </row>
    <row r="1992">
      <c r="A1992" s="57"/>
      <c r="B1992" s="24"/>
      <c r="C1992" s="24"/>
      <c r="D1992" s="24"/>
      <c r="E1992" s="24"/>
      <c r="F1992" s="24"/>
      <c r="G1992" s="24"/>
      <c r="H1992" s="24"/>
      <c r="I1992" s="24"/>
      <c r="J1992" s="24"/>
      <c r="K1992" s="24"/>
      <c r="L1992" s="24"/>
      <c r="M1992" s="24"/>
      <c r="N1992" s="24"/>
      <c r="O1992" s="24"/>
      <c r="P1992" s="24"/>
      <c r="Q1992" s="24"/>
      <c r="R1992" s="24"/>
      <c r="S1992" s="24"/>
      <c r="T1992" s="24"/>
      <c r="U1992" s="24"/>
      <c r="V1992" s="24"/>
      <c r="W1992" s="24"/>
      <c r="X1992" s="24"/>
      <c r="Y1992" s="24"/>
      <c r="Z1992" s="24"/>
      <c r="AA1992" s="24"/>
      <c r="AB1992" s="24"/>
      <c r="AC1992" s="24"/>
      <c r="AD1992" s="24"/>
      <c r="AE1992" s="24"/>
      <c r="AF1992" s="24"/>
      <c r="AG1992" s="24"/>
      <c r="AH1992" s="24"/>
      <c r="AI1992" s="24"/>
      <c r="AJ1992" s="24"/>
      <c r="AK1992" s="24"/>
      <c r="AL1992" s="24"/>
      <c r="AM1992" s="24"/>
      <c r="AN1992" s="24"/>
      <c r="AO1992" s="24"/>
      <c r="AP1992" s="24"/>
      <c r="AQ1992" s="24"/>
      <c r="AR1992" s="54"/>
    </row>
    <row r="1993">
      <c r="A1993" s="57"/>
      <c r="B1993" s="24"/>
      <c r="C1993" s="24"/>
      <c r="D1993" s="24"/>
      <c r="E1993" s="24"/>
      <c r="F1993" s="24"/>
      <c r="G1993" s="24"/>
      <c r="H1993" s="24"/>
      <c r="I1993" s="24"/>
      <c r="J1993" s="24"/>
      <c r="K1993" s="24"/>
      <c r="L1993" s="24"/>
      <c r="M1993" s="24"/>
      <c r="N1993" s="24"/>
      <c r="O1993" s="24"/>
      <c r="P1993" s="24"/>
      <c r="Q1993" s="24"/>
      <c r="R1993" s="24"/>
      <c r="S1993" s="24"/>
      <c r="T1993" s="24"/>
      <c r="U1993" s="24"/>
      <c r="V1993" s="24"/>
      <c r="W1993" s="24"/>
      <c r="X1993" s="24"/>
      <c r="Y1993" s="24"/>
      <c r="Z1993" s="24"/>
      <c r="AA1993" s="24"/>
      <c r="AB1993" s="24"/>
      <c r="AC1993" s="24"/>
      <c r="AD1993" s="24"/>
      <c r="AE1993" s="24"/>
      <c r="AF1993" s="24"/>
      <c r="AG1993" s="24"/>
      <c r="AH1993" s="24"/>
      <c r="AI1993" s="24"/>
      <c r="AJ1993" s="24"/>
      <c r="AK1993" s="24"/>
      <c r="AL1993" s="24"/>
      <c r="AM1993" s="24"/>
      <c r="AN1993" s="24"/>
      <c r="AO1993" s="24"/>
      <c r="AP1993" s="24"/>
      <c r="AQ1993" s="24"/>
      <c r="AR1993" s="54"/>
    </row>
    <row r="1994">
      <c r="A1994" s="57"/>
      <c r="B1994" s="24"/>
      <c r="C1994" s="24"/>
      <c r="D1994" s="24"/>
      <c r="E1994" s="24"/>
      <c r="F1994" s="24"/>
      <c r="G1994" s="24"/>
      <c r="H1994" s="24"/>
      <c r="I1994" s="24"/>
      <c r="J1994" s="24"/>
      <c r="K1994" s="24"/>
      <c r="L1994" s="24"/>
      <c r="M1994" s="24"/>
      <c r="N1994" s="24"/>
      <c r="O1994" s="24"/>
      <c r="P1994" s="24"/>
      <c r="Q1994" s="24"/>
      <c r="R1994" s="24"/>
      <c r="S1994" s="24"/>
      <c r="T1994" s="24"/>
      <c r="U1994" s="24"/>
      <c r="V1994" s="24"/>
      <c r="W1994" s="24"/>
      <c r="X1994" s="24"/>
      <c r="Y1994" s="24"/>
      <c r="Z1994" s="24"/>
      <c r="AA1994" s="24"/>
      <c r="AB1994" s="24"/>
      <c r="AC1994" s="24"/>
      <c r="AD1994" s="24"/>
      <c r="AE1994" s="24"/>
      <c r="AF1994" s="24"/>
      <c r="AG1994" s="24"/>
      <c r="AH1994" s="24"/>
      <c r="AI1994" s="24"/>
      <c r="AJ1994" s="24"/>
      <c r="AK1994" s="24"/>
      <c r="AL1994" s="24"/>
      <c r="AM1994" s="24"/>
      <c r="AN1994" s="24"/>
      <c r="AO1994" s="24"/>
      <c r="AP1994" s="24"/>
      <c r="AQ1994" s="24"/>
      <c r="AR1994" s="54"/>
    </row>
    <row r="1995">
      <c r="A1995" s="57"/>
      <c r="B1995" s="24"/>
      <c r="C1995" s="24"/>
      <c r="D1995" s="24"/>
      <c r="E1995" s="24"/>
      <c r="F1995" s="24"/>
      <c r="G1995" s="24"/>
      <c r="H1995" s="24"/>
      <c r="I1995" s="24"/>
      <c r="J1995" s="24"/>
      <c r="K1995" s="24"/>
      <c r="L1995" s="24"/>
      <c r="M1995" s="24"/>
      <c r="N1995" s="24"/>
      <c r="O1995" s="24"/>
      <c r="P1995" s="24"/>
      <c r="Q1995" s="24"/>
      <c r="R1995" s="24"/>
      <c r="S1995" s="24"/>
      <c r="T1995" s="24"/>
      <c r="U1995" s="24"/>
      <c r="V1995" s="24"/>
      <c r="W1995" s="24"/>
      <c r="X1995" s="24"/>
      <c r="Y1995" s="24"/>
      <c r="Z1995" s="24"/>
      <c r="AA1995" s="24"/>
      <c r="AB1995" s="24"/>
      <c r="AC1995" s="24"/>
      <c r="AD1995" s="24"/>
      <c r="AE1995" s="24"/>
      <c r="AF1995" s="24"/>
      <c r="AG1995" s="24"/>
      <c r="AH1995" s="24"/>
      <c r="AI1995" s="24"/>
      <c r="AJ1995" s="24"/>
      <c r="AK1995" s="24"/>
      <c r="AL1995" s="24"/>
      <c r="AM1995" s="24"/>
      <c r="AN1995" s="24"/>
      <c r="AO1995" s="24"/>
      <c r="AP1995" s="24"/>
      <c r="AQ1995" s="24"/>
      <c r="AR1995" s="54"/>
    </row>
    <row r="1996">
      <c r="A1996" s="57"/>
      <c r="B1996" s="24"/>
      <c r="C1996" s="24"/>
      <c r="D1996" s="24"/>
      <c r="E1996" s="24"/>
      <c r="F1996" s="24"/>
      <c r="G1996" s="24"/>
      <c r="H1996" s="24"/>
      <c r="I1996" s="24"/>
      <c r="J1996" s="24"/>
      <c r="K1996" s="24"/>
      <c r="L1996" s="24"/>
      <c r="M1996" s="24"/>
      <c r="N1996" s="24"/>
      <c r="O1996" s="24"/>
      <c r="P1996" s="24"/>
      <c r="Q1996" s="24"/>
      <c r="R1996" s="24"/>
      <c r="S1996" s="24"/>
      <c r="T1996" s="24"/>
      <c r="U1996" s="24"/>
      <c r="V1996" s="24"/>
      <c r="W1996" s="24"/>
      <c r="X1996" s="24"/>
      <c r="Y1996" s="24"/>
      <c r="Z1996" s="24"/>
      <c r="AA1996" s="24"/>
      <c r="AB1996" s="24"/>
      <c r="AC1996" s="24"/>
      <c r="AD1996" s="24"/>
      <c r="AE1996" s="24"/>
      <c r="AF1996" s="24"/>
      <c r="AG1996" s="24"/>
      <c r="AH1996" s="24"/>
      <c r="AI1996" s="24"/>
      <c r="AJ1996" s="24"/>
      <c r="AK1996" s="24"/>
      <c r="AL1996" s="24"/>
      <c r="AM1996" s="24"/>
      <c r="AN1996" s="24"/>
      <c r="AO1996" s="24"/>
      <c r="AP1996" s="24"/>
      <c r="AQ1996" s="24"/>
      <c r="AR1996" s="54"/>
    </row>
    <row r="1997">
      <c r="A1997" s="57"/>
      <c r="B1997" s="24"/>
      <c r="C1997" s="24"/>
      <c r="D1997" s="24"/>
      <c r="E1997" s="24"/>
      <c r="F1997" s="24"/>
      <c r="G1997" s="24"/>
      <c r="H1997" s="24"/>
      <c r="I1997" s="24"/>
      <c r="J1997" s="24"/>
      <c r="K1997" s="24"/>
      <c r="L1997" s="24"/>
      <c r="M1997" s="24"/>
      <c r="N1997" s="24"/>
      <c r="O1997" s="24"/>
      <c r="P1997" s="24"/>
      <c r="Q1997" s="24"/>
      <c r="R1997" s="24"/>
      <c r="S1997" s="24"/>
      <c r="T1997" s="24"/>
      <c r="U1997" s="24"/>
      <c r="V1997" s="24"/>
      <c r="W1997" s="24"/>
      <c r="X1997" s="24"/>
      <c r="Y1997" s="24"/>
      <c r="Z1997" s="24"/>
      <c r="AA1997" s="24"/>
      <c r="AB1997" s="24"/>
      <c r="AC1997" s="24"/>
      <c r="AD1997" s="24"/>
      <c r="AE1997" s="24"/>
      <c r="AF1997" s="24"/>
      <c r="AG1997" s="24"/>
      <c r="AH1997" s="24"/>
      <c r="AI1997" s="24"/>
      <c r="AJ1997" s="24"/>
      <c r="AK1997" s="24"/>
      <c r="AL1997" s="24"/>
      <c r="AM1997" s="24"/>
      <c r="AN1997" s="24"/>
      <c r="AO1997" s="24"/>
      <c r="AP1997" s="24"/>
      <c r="AQ1997" s="24"/>
      <c r="AR1997" s="54"/>
    </row>
    <row r="1998">
      <c r="A1998" s="57"/>
      <c r="B1998" s="24"/>
      <c r="C1998" s="24"/>
      <c r="D1998" s="24"/>
      <c r="E1998" s="24"/>
      <c r="F1998" s="24"/>
      <c r="G1998" s="24"/>
      <c r="H1998" s="24"/>
      <c r="I1998" s="24"/>
      <c r="J1998" s="24"/>
      <c r="K1998" s="24"/>
      <c r="L1998" s="24"/>
      <c r="M1998" s="24"/>
      <c r="N1998" s="24"/>
      <c r="O1998" s="24"/>
      <c r="P1998" s="24"/>
      <c r="Q1998" s="24"/>
      <c r="R1998" s="24"/>
      <c r="S1998" s="24"/>
      <c r="T1998" s="24"/>
      <c r="U1998" s="24"/>
      <c r="V1998" s="24"/>
      <c r="W1998" s="24"/>
      <c r="X1998" s="24"/>
      <c r="Y1998" s="24"/>
      <c r="Z1998" s="24"/>
      <c r="AA1998" s="24"/>
      <c r="AB1998" s="24"/>
      <c r="AC1998" s="24"/>
      <c r="AD1998" s="24"/>
      <c r="AE1998" s="24"/>
      <c r="AF1998" s="24"/>
      <c r="AG1998" s="24"/>
      <c r="AH1998" s="24"/>
      <c r="AI1998" s="24"/>
      <c r="AJ1998" s="24"/>
      <c r="AK1998" s="24"/>
      <c r="AL1998" s="24"/>
      <c r="AM1998" s="24"/>
      <c r="AN1998" s="24"/>
      <c r="AO1998" s="24"/>
      <c r="AP1998" s="24"/>
      <c r="AQ1998" s="24"/>
      <c r="AR1998" s="54"/>
    </row>
    <row r="1999">
      <c r="A1999" s="57"/>
      <c r="B1999" s="24"/>
      <c r="C1999" s="24"/>
      <c r="D1999" s="24"/>
      <c r="E1999" s="24"/>
      <c r="F1999" s="24"/>
      <c r="G1999" s="24"/>
      <c r="H1999" s="24"/>
      <c r="I1999" s="24"/>
      <c r="J1999" s="24"/>
      <c r="K1999" s="24"/>
      <c r="L1999" s="24"/>
      <c r="M1999" s="24"/>
      <c r="N1999" s="24"/>
      <c r="O1999" s="24"/>
      <c r="P1999" s="24"/>
      <c r="Q1999" s="24"/>
      <c r="R1999" s="24"/>
      <c r="S1999" s="24"/>
      <c r="T1999" s="24"/>
      <c r="U1999" s="24"/>
      <c r="V1999" s="24"/>
      <c r="W1999" s="24"/>
      <c r="X1999" s="24"/>
      <c r="Y1999" s="24"/>
      <c r="Z1999" s="24"/>
      <c r="AA1999" s="24"/>
      <c r="AB1999" s="24"/>
      <c r="AC1999" s="24"/>
      <c r="AD1999" s="24"/>
      <c r="AE1999" s="24"/>
      <c r="AF1999" s="24"/>
      <c r="AG1999" s="24"/>
      <c r="AH1999" s="24"/>
      <c r="AI1999" s="24"/>
      <c r="AJ1999" s="24"/>
      <c r="AK1999" s="24"/>
      <c r="AL1999" s="24"/>
      <c r="AM1999" s="24"/>
      <c r="AN1999" s="24"/>
      <c r="AO1999" s="24"/>
      <c r="AP1999" s="24"/>
      <c r="AQ1999" s="24"/>
      <c r="AR1999" s="54"/>
    </row>
    <row r="2000">
      <c r="A2000" s="57"/>
      <c r="B2000" s="24"/>
      <c r="C2000" s="24"/>
      <c r="D2000" s="24"/>
      <c r="E2000" s="24"/>
      <c r="F2000" s="24"/>
      <c r="G2000" s="24"/>
      <c r="H2000" s="24"/>
      <c r="I2000" s="24"/>
      <c r="J2000" s="24"/>
      <c r="K2000" s="24"/>
      <c r="L2000" s="24"/>
      <c r="M2000" s="24"/>
      <c r="N2000" s="24"/>
      <c r="O2000" s="24"/>
      <c r="P2000" s="24"/>
      <c r="Q2000" s="24"/>
      <c r="R2000" s="24"/>
      <c r="S2000" s="24"/>
      <c r="T2000" s="24"/>
      <c r="U2000" s="24"/>
      <c r="V2000" s="24"/>
      <c r="W2000" s="24"/>
      <c r="X2000" s="24"/>
      <c r="Y2000" s="24"/>
      <c r="Z2000" s="24"/>
      <c r="AA2000" s="24"/>
      <c r="AB2000" s="24"/>
      <c r="AC2000" s="24"/>
      <c r="AD2000" s="24"/>
      <c r="AE2000" s="24"/>
      <c r="AF2000" s="24"/>
      <c r="AG2000" s="24"/>
      <c r="AH2000" s="24"/>
      <c r="AI2000" s="24"/>
      <c r="AJ2000" s="24"/>
      <c r="AK2000" s="24"/>
      <c r="AL2000" s="24"/>
      <c r="AM2000" s="24"/>
      <c r="AN2000" s="24"/>
      <c r="AO2000" s="24"/>
      <c r="AP2000" s="24"/>
      <c r="AQ2000" s="24"/>
      <c r="AR2000" s="54"/>
    </row>
    <row r="2001">
      <c r="A2001" s="57"/>
      <c r="B2001" s="24"/>
      <c r="C2001" s="24"/>
      <c r="D2001" s="24"/>
      <c r="E2001" s="24"/>
      <c r="F2001" s="24"/>
      <c r="G2001" s="24"/>
      <c r="H2001" s="24"/>
      <c r="I2001" s="24"/>
      <c r="J2001" s="24"/>
      <c r="K2001" s="24"/>
      <c r="L2001" s="24"/>
      <c r="M2001" s="24"/>
      <c r="N2001" s="24"/>
      <c r="O2001" s="24"/>
      <c r="P2001" s="24"/>
      <c r="Q2001" s="24"/>
      <c r="R2001" s="24"/>
      <c r="S2001" s="24"/>
      <c r="T2001" s="24"/>
      <c r="U2001" s="24"/>
      <c r="V2001" s="24"/>
      <c r="W2001" s="24"/>
      <c r="X2001" s="24"/>
      <c r="Y2001" s="24"/>
      <c r="Z2001" s="24"/>
      <c r="AA2001" s="24"/>
      <c r="AB2001" s="24"/>
      <c r="AC2001" s="24"/>
      <c r="AD2001" s="24"/>
      <c r="AE2001" s="24"/>
      <c r="AF2001" s="24"/>
      <c r="AG2001" s="24"/>
      <c r="AH2001" s="24"/>
      <c r="AI2001" s="24"/>
      <c r="AJ2001" s="24"/>
      <c r="AK2001" s="24"/>
      <c r="AL2001" s="24"/>
      <c r="AM2001" s="24"/>
      <c r="AN2001" s="24"/>
      <c r="AO2001" s="24"/>
      <c r="AP2001" s="24"/>
      <c r="AQ2001" s="24"/>
      <c r="AR2001" s="54"/>
    </row>
    <row r="2002">
      <c r="A2002" s="57"/>
      <c r="B2002" s="24"/>
      <c r="C2002" s="24"/>
      <c r="D2002" s="24"/>
      <c r="E2002" s="24"/>
      <c r="F2002" s="24"/>
      <c r="G2002" s="24"/>
      <c r="H2002" s="24"/>
      <c r="I2002" s="24"/>
      <c r="J2002" s="24"/>
      <c r="K2002" s="24"/>
      <c r="L2002" s="24"/>
      <c r="M2002" s="24"/>
      <c r="N2002" s="24"/>
      <c r="O2002" s="24"/>
      <c r="P2002" s="24"/>
      <c r="Q2002" s="24"/>
      <c r="R2002" s="24"/>
      <c r="S2002" s="24"/>
      <c r="T2002" s="24"/>
      <c r="U2002" s="24"/>
      <c r="V2002" s="24"/>
      <c r="W2002" s="24"/>
      <c r="X2002" s="24"/>
      <c r="Y2002" s="24"/>
      <c r="Z2002" s="24"/>
      <c r="AA2002" s="24"/>
      <c r="AB2002" s="24"/>
      <c r="AC2002" s="24"/>
      <c r="AD2002" s="24"/>
      <c r="AE2002" s="24"/>
      <c r="AF2002" s="24"/>
      <c r="AG2002" s="24"/>
      <c r="AH2002" s="24"/>
      <c r="AI2002" s="24"/>
      <c r="AJ2002" s="24"/>
      <c r="AK2002" s="24"/>
      <c r="AL2002" s="24"/>
      <c r="AM2002" s="24"/>
      <c r="AN2002" s="24"/>
      <c r="AO2002" s="24"/>
      <c r="AP2002" s="24"/>
      <c r="AQ2002" s="24"/>
      <c r="AR2002" s="54"/>
    </row>
    <row r="2003">
      <c r="A2003" s="57"/>
      <c r="B2003" s="24"/>
      <c r="C2003" s="24"/>
      <c r="D2003" s="24"/>
      <c r="E2003" s="24"/>
      <c r="F2003" s="24"/>
      <c r="G2003" s="24"/>
      <c r="H2003" s="24"/>
      <c r="I2003" s="24"/>
      <c r="J2003" s="24"/>
      <c r="K2003" s="24"/>
      <c r="L2003" s="24"/>
      <c r="M2003" s="24"/>
      <c r="N2003" s="24"/>
      <c r="O2003" s="24"/>
      <c r="P2003" s="24"/>
      <c r="Q2003" s="24"/>
      <c r="R2003" s="24"/>
      <c r="S2003" s="24"/>
      <c r="T2003" s="24"/>
      <c r="U2003" s="24"/>
      <c r="V2003" s="24"/>
      <c r="W2003" s="24"/>
      <c r="X2003" s="24"/>
      <c r="Y2003" s="24"/>
      <c r="Z2003" s="24"/>
      <c r="AA2003" s="24"/>
      <c r="AB2003" s="24"/>
      <c r="AC2003" s="24"/>
      <c r="AD2003" s="24"/>
      <c r="AE2003" s="24"/>
      <c r="AF2003" s="24"/>
      <c r="AG2003" s="24"/>
      <c r="AH2003" s="24"/>
      <c r="AI2003" s="24"/>
      <c r="AJ2003" s="24"/>
      <c r="AK2003" s="24"/>
      <c r="AL2003" s="24"/>
      <c r="AM2003" s="24"/>
      <c r="AN2003" s="24"/>
      <c r="AO2003" s="24"/>
      <c r="AP2003" s="24"/>
      <c r="AQ2003" s="24"/>
      <c r="AR2003" s="54"/>
    </row>
    <row r="2004">
      <c r="A2004" s="57"/>
      <c r="B2004" s="24"/>
      <c r="C2004" s="24"/>
      <c r="D2004" s="24"/>
      <c r="E2004" s="24"/>
      <c r="F2004" s="24"/>
      <c r="G2004" s="24"/>
      <c r="H2004" s="24"/>
      <c r="I2004" s="24"/>
      <c r="J2004" s="24"/>
      <c r="K2004" s="24"/>
      <c r="L2004" s="24"/>
      <c r="M2004" s="24"/>
      <c r="N2004" s="24"/>
      <c r="O2004" s="24"/>
      <c r="P2004" s="24"/>
      <c r="Q2004" s="24"/>
      <c r="R2004" s="24"/>
      <c r="S2004" s="24"/>
      <c r="T2004" s="24"/>
      <c r="U2004" s="24"/>
      <c r="V2004" s="24"/>
      <c r="W2004" s="24"/>
      <c r="X2004" s="24"/>
      <c r="Y2004" s="24"/>
      <c r="Z2004" s="24"/>
      <c r="AA2004" s="24"/>
      <c r="AB2004" s="24"/>
      <c r="AC2004" s="24"/>
      <c r="AD2004" s="24"/>
      <c r="AE2004" s="24"/>
      <c r="AF2004" s="24"/>
      <c r="AG2004" s="24"/>
      <c r="AH2004" s="24"/>
      <c r="AI2004" s="24"/>
      <c r="AJ2004" s="24"/>
      <c r="AK2004" s="24"/>
      <c r="AL2004" s="24"/>
      <c r="AM2004" s="24"/>
      <c r="AN2004" s="24"/>
      <c r="AO2004" s="24"/>
      <c r="AP2004" s="24"/>
      <c r="AQ2004" s="24"/>
      <c r="AR2004" s="54"/>
    </row>
    <row r="2005">
      <c r="A2005" s="57"/>
      <c r="B2005" s="24"/>
      <c r="C2005" s="24"/>
      <c r="D2005" s="24"/>
      <c r="E2005" s="24"/>
      <c r="F2005" s="24"/>
      <c r="G2005" s="24"/>
      <c r="H2005" s="24"/>
      <c r="I2005" s="24"/>
      <c r="J2005" s="24"/>
      <c r="K2005" s="24"/>
      <c r="L2005" s="24"/>
      <c r="M2005" s="24"/>
      <c r="N2005" s="24"/>
      <c r="O2005" s="24"/>
      <c r="P2005" s="24"/>
      <c r="Q2005" s="24"/>
      <c r="R2005" s="24"/>
      <c r="S2005" s="24"/>
      <c r="T2005" s="24"/>
      <c r="U2005" s="24"/>
      <c r="V2005" s="24"/>
      <c r="W2005" s="24"/>
      <c r="X2005" s="24"/>
      <c r="Y2005" s="24"/>
      <c r="Z2005" s="24"/>
      <c r="AA2005" s="24"/>
      <c r="AB2005" s="24"/>
      <c r="AC2005" s="24"/>
      <c r="AD2005" s="24"/>
      <c r="AE2005" s="24"/>
      <c r="AF2005" s="24"/>
      <c r="AG2005" s="24"/>
      <c r="AH2005" s="24"/>
      <c r="AI2005" s="24"/>
      <c r="AJ2005" s="24"/>
      <c r="AK2005" s="24"/>
      <c r="AL2005" s="24"/>
      <c r="AM2005" s="24"/>
      <c r="AN2005" s="24"/>
      <c r="AO2005" s="24"/>
      <c r="AP2005" s="24"/>
      <c r="AQ2005" s="24"/>
      <c r="AR2005" s="54"/>
    </row>
    <row r="2006">
      <c r="A2006" s="57"/>
      <c r="B2006" s="24"/>
      <c r="C2006" s="24"/>
      <c r="D2006" s="24"/>
      <c r="E2006" s="24"/>
      <c r="F2006" s="24"/>
      <c r="G2006" s="24"/>
      <c r="H2006" s="24"/>
      <c r="I2006" s="24"/>
      <c r="J2006" s="24"/>
      <c r="K2006" s="24"/>
      <c r="L2006" s="24"/>
      <c r="M2006" s="24"/>
      <c r="N2006" s="24"/>
      <c r="O2006" s="24"/>
      <c r="P2006" s="24"/>
      <c r="Q2006" s="24"/>
      <c r="R2006" s="24"/>
      <c r="S2006" s="24"/>
      <c r="T2006" s="24"/>
      <c r="U2006" s="24"/>
      <c r="V2006" s="24"/>
      <c r="W2006" s="24"/>
      <c r="X2006" s="24"/>
      <c r="Y2006" s="24"/>
      <c r="Z2006" s="24"/>
      <c r="AA2006" s="24"/>
      <c r="AB2006" s="24"/>
      <c r="AC2006" s="24"/>
      <c r="AD2006" s="24"/>
      <c r="AE2006" s="24"/>
      <c r="AF2006" s="24"/>
      <c r="AG2006" s="24"/>
      <c r="AH2006" s="24"/>
      <c r="AI2006" s="24"/>
      <c r="AJ2006" s="24"/>
      <c r="AK2006" s="24"/>
      <c r="AL2006" s="24"/>
      <c r="AM2006" s="24"/>
      <c r="AN2006" s="24"/>
      <c r="AO2006" s="24"/>
      <c r="AP2006" s="24"/>
      <c r="AQ2006" s="24"/>
      <c r="AR2006" s="54"/>
    </row>
    <row r="2007">
      <c r="A2007" s="57"/>
      <c r="B2007" s="24"/>
      <c r="C2007" s="24"/>
      <c r="D2007" s="24"/>
      <c r="E2007" s="24"/>
      <c r="F2007" s="24"/>
      <c r="G2007" s="24"/>
      <c r="H2007" s="24"/>
      <c r="I2007" s="24"/>
      <c r="J2007" s="24"/>
      <c r="K2007" s="24"/>
      <c r="L2007" s="24"/>
      <c r="M2007" s="24"/>
      <c r="N2007" s="24"/>
      <c r="O2007" s="24"/>
      <c r="P2007" s="24"/>
      <c r="Q2007" s="24"/>
      <c r="R2007" s="24"/>
      <c r="S2007" s="24"/>
      <c r="T2007" s="24"/>
      <c r="U2007" s="24"/>
      <c r="V2007" s="24"/>
      <c r="W2007" s="24"/>
      <c r="X2007" s="24"/>
      <c r="Y2007" s="24"/>
      <c r="Z2007" s="24"/>
      <c r="AA2007" s="24"/>
      <c r="AB2007" s="24"/>
      <c r="AC2007" s="24"/>
      <c r="AD2007" s="24"/>
      <c r="AE2007" s="24"/>
      <c r="AF2007" s="24"/>
      <c r="AG2007" s="24"/>
      <c r="AH2007" s="24"/>
      <c r="AI2007" s="24"/>
      <c r="AJ2007" s="24"/>
      <c r="AK2007" s="24"/>
      <c r="AL2007" s="24"/>
      <c r="AM2007" s="24"/>
      <c r="AN2007" s="24"/>
      <c r="AO2007" s="24"/>
      <c r="AP2007" s="24"/>
      <c r="AQ2007" s="24"/>
      <c r="AR2007" s="54"/>
    </row>
    <row r="2008">
      <c r="A2008" s="57"/>
      <c r="B2008" s="24"/>
      <c r="C2008" s="24"/>
      <c r="D2008" s="24"/>
      <c r="E2008" s="24"/>
      <c r="F2008" s="24"/>
      <c r="G2008" s="24"/>
      <c r="H2008" s="24"/>
      <c r="I2008" s="24"/>
      <c r="J2008" s="24"/>
      <c r="K2008" s="24"/>
      <c r="L2008" s="24"/>
      <c r="M2008" s="24"/>
      <c r="N2008" s="24"/>
      <c r="O2008" s="24"/>
      <c r="P2008" s="24"/>
      <c r="Q2008" s="24"/>
      <c r="R2008" s="24"/>
      <c r="S2008" s="24"/>
      <c r="T2008" s="24"/>
      <c r="U2008" s="24"/>
      <c r="V2008" s="24"/>
      <c r="W2008" s="24"/>
      <c r="X2008" s="24"/>
      <c r="Y2008" s="24"/>
      <c r="Z2008" s="24"/>
      <c r="AA2008" s="24"/>
      <c r="AB2008" s="24"/>
      <c r="AC2008" s="24"/>
      <c r="AD2008" s="24"/>
      <c r="AE2008" s="24"/>
      <c r="AF2008" s="24"/>
      <c r="AG2008" s="24"/>
      <c r="AH2008" s="24"/>
      <c r="AI2008" s="24"/>
      <c r="AJ2008" s="24"/>
      <c r="AK2008" s="24"/>
      <c r="AL2008" s="24"/>
      <c r="AM2008" s="24"/>
      <c r="AN2008" s="24"/>
      <c r="AO2008" s="24"/>
      <c r="AP2008" s="24"/>
      <c r="AQ2008" s="24"/>
      <c r="AR2008" s="54"/>
    </row>
    <row r="2009">
      <c r="A2009" s="57"/>
      <c r="B2009" s="24"/>
      <c r="C2009" s="24"/>
      <c r="D2009" s="24"/>
      <c r="E2009" s="24"/>
      <c r="F2009" s="24"/>
      <c r="G2009" s="24"/>
      <c r="H2009" s="24"/>
      <c r="I2009" s="24"/>
      <c r="J2009" s="24"/>
      <c r="K2009" s="24"/>
      <c r="L2009" s="24"/>
      <c r="M2009" s="24"/>
      <c r="N2009" s="24"/>
      <c r="O2009" s="24"/>
      <c r="P2009" s="24"/>
      <c r="Q2009" s="24"/>
      <c r="R2009" s="24"/>
      <c r="S2009" s="24"/>
      <c r="T2009" s="24"/>
      <c r="U2009" s="24"/>
      <c r="V2009" s="24"/>
      <c r="W2009" s="24"/>
      <c r="X2009" s="24"/>
      <c r="Y2009" s="24"/>
      <c r="Z2009" s="24"/>
      <c r="AA2009" s="24"/>
      <c r="AB2009" s="24"/>
      <c r="AC2009" s="24"/>
      <c r="AD2009" s="24"/>
      <c r="AE2009" s="24"/>
      <c r="AF2009" s="24"/>
      <c r="AG2009" s="24"/>
      <c r="AH2009" s="24"/>
      <c r="AI2009" s="24"/>
      <c r="AJ2009" s="24"/>
      <c r="AK2009" s="24"/>
      <c r="AL2009" s="24"/>
      <c r="AM2009" s="24"/>
      <c r="AN2009" s="24"/>
      <c r="AO2009" s="24"/>
      <c r="AP2009" s="24"/>
      <c r="AQ2009" s="24"/>
      <c r="AR2009" s="54"/>
    </row>
    <row r="2010">
      <c r="A2010" s="57"/>
      <c r="B2010" s="24"/>
      <c r="C2010" s="24"/>
      <c r="D2010" s="24"/>
      <c r="E2010" s="24"/>
      <c r="F2010" s="24"/>
      <c r="G2010" s="24"/>
      <c r="H2010" s="24"/>
      <c r="I2010" s="24"/>
      <c r="J2010" s="24"/>
      <c r="K2010" s="24"/>
      <c r="L2010" s="24"/>
      <c r="M2010" s="24"/>
      <c r="N2010" s="24"/>
      <c r="O2010" s="24"/>
      <c r="P2010" s="24"/>
      <c r="Q2010" s="24"/>
      <c r="R2010" s="24"/>
      <c r="S2010" s="24"/>
      <c r="T2010" s="24"/>
      <c r="U2010" s="24"/>
      <c r="V2010" s="24"/>
      <c r="W2010" s="24"/>
      <c r="X2010" s="24"/>
      <c r="Y2010" s="24"/>
      <c r="Z2010" s="24"/>
      <c r="AA2010" s="24"/>
      <c r="AB2010" s="24"/>
      <c r="AC2010" s="24"/>
      <c r="AD2010" s="24"/>
      <c r="AE2010" s="24"/>
      <c r="AF2010" s="24"/>
      <c r="AG2010" s="24"/>
      <c r="AH2010" s="24"/>
      <c r="AI2010" s="24"/>
      <c r="AJ2010" s="24"/>
      <c r="AK2010" s="24"/>
      <c r="AL2010" s="24"/>
      <c r="AM2010" s="24"/>
      <c r="AN2010" s="24"/>
      <c r="AO2010" s="24"/>
      <c r="AP2010" s="24"/>
      <c r="AQ2010" s="24"/>
      <c r="AR2010" s="54"/>
    </row>
    <row r="2011">
      <c r="A2011" s="57"/>
      <c r="B2011" s="24"/>
      <c r="C2011" s="24"/>
      <c r="D2011" s="24"/>
      <c r="E2011" s="24"/>
      <c r="F2011" s="24"/>
      <c r="G2011" s="24"/>
      <c r="H2011" s="24"/>
      <c r="I2011" s="24"/>
      <c r="J2011" s="24"/>
      <c r="K2011" s="24"/>
      <c r="L2011" s="24"/>
      <c r="M2011" s="24"/>
      <c r="N2011" s="24"/>
      <c r="O2011" s="24"/>
      <c r="P2011" s="24"/>
      <c r="Q2011" s="24"/>
      <c r="R2011" s="24"/>
      <c r="S2011" s="24"/>
      <c r="T2011" s="24"/>
      <c r="U2011" s="24"/>
      <c r="V2011" s="24"/>
      <c r="W2011" s="24"/>
      <c r="X2011" s="24"/>
      <c r="Y2011" s="24"/>
      <c r="Z2011" s="24"/>
      <c r="AA2011" s="24"/>
      <c r="AB2011" s="24"/>
      <c r="AC2011" s="24"/>
      <c r="AD2011" s="24"/>
      <c r="AE2011" s="24"/>
      <c r="AF2011" s="24"/>
      <c r="AG2011" s="24"/>
      <c r="AH2011" s="24"/>
      <c r="AI2011" s="24"/>
      <c r="AJ2011" s="24"/>
      <c r="AK2011" s="24"/>
      <c r="AL2011" s="24"/>
      <c r="AM2011" s="24"/>
      <c r="AN2011" s="24"/>
      <c r="AO2011" s="24"/>
      <c r="AP2011" s="24"/>
      <c r="AQ2011" s="24"/>
      <c r="AR2011" s="54"/>
    </row>
    <row r="2012">
      <c r="A2012" s="57"/>
      <c r="B2012" s="24"/>
      <c r="C2012" s="24"/>
      <c r="D2012" s="24"/>
      <c r="E2012" s="24"/>
      <c r="F2012" s="24"/>
      <c r="G2012" s="24"/>
      <c r="H2012" s="24"/>
      <c r="I2012" s="24"/>
      <c r="J2012" s="24"/>
      <c r="K2012" s="24"/>
      <c r="L2012" s="24"/>
      <c r="M2012" s="24"/>
      <c r="N2012" s="24"/>
      <c r="O2012" s="24"/>
      <c r="P2012" s="24"/>
      <c r="Q2012" s="24"/>
      <c r="R2012" s="24"/>
      <c r="S2012" s="24"/>
      <c r="T2012" s="24"/>
      <c r="U2012" s="24"/>
      <c r="V2012" s="24"/>
      <c r="W2012" s="24"/>
      <c r="X2012" s="24"/>
      <c r="Y2012" s="24"/>
      <c r="Z2012" s="24"/>
      <c r="AA2012" s="24"/>
      <c r="AB2012" s="24"/>
      <c r="AC2012" s="24"/>
      <c r="AD2012" s="24"/>
      <c r="AE2012" s="24"/>
      <c r="AF2012" s="24"/>
      <c r="AG2012" s="24"/>
      <c r="AH2012" s="24"/>
      <c r="AI2012" s="24"/>
      <c r="AJ2012" s="24"/>
      <c r="AK2012" s="24"/>
      <c r="AL2012" s="24"/>
      <c r="AM2012" s="24"/>
      <c r="AN2012" s="24"/>
      <c r="AO2012" s="24"/>
      <c r="AP2012" s="24"/>
      <c r="AQ2012" s="24"/>
      <c r="AR2012" s="54"/>
    </row>
    <row r="2013">
      <c r="A2013" s="57"/>
      <c r="B2013" s="24"/>
      <c r="C2013" s="24"/>
      <c r="D2013" s="24"/>
      <c r="E2013" s="24"/>
      <c r="F2013" s="24"/>
      <c r="G2013" s="24"/>
      <c r="H2013" s="24"/>
      <c r="I2013" s="24"/>
      <c r="J2013" s="24"/>
      <c r="K2013" s="24"/>
      <c r="L2013" s="24"/>
      <c r="M2013" s="24"/>
      <c r="N2013" s="24"/>
      <c r="O2013" s="24"/>
      <c r="P2013" s="24"/>
      <c r="Q2013" s="24"/>
      <c r="R2013" s="24"/>
      <c r="S2013" s="24"/>
      <c r="T2013" s="24"/>
      <c r="U2013" s="24"/>
      <c r="V2013" s="24"/>
      <c r="W2013" s="24"/>
      <c r="X2013" s="24"/>
      <c r="Y2013" s="24"/>
      <c r="Z2013" s="24"/>
      <c r="AA2013" s="24"/>
      <c r="AB2013" s="24"/>
      <c r="AC2013" s="24"/>
      <c r="AD2013" s="24"/>
      <c r="AE2013" s="24"/>
      <c r="AF2013" s="24"/>
      <c r="AG2013" s="24"/>
      <c r="AH2013" s="24"/>
      <c r="AI2013" s="24"/>
      <c r="AJ2013" s="24"/>
      <c r="AK2013" s="24"/>
      <c r="AL2013" s="24"/>
      <c r="AM2013" s="24"/>
      <c r="AN2013" s="24"/>
      <c r="AO2013" s="24"/>
      <c r="AP2013" s="24"/>
      <c r="AQ2013" s="24"/>
      <c r="AR2013" s="54"/>
    </row>
    <row r="2014">
      <c r="A2014" s="57"/>
      <c r="B2014" s="24"/>
      <c r="C2014" s="24"/>
      <c r="D2014" s="24"/>
      <c r="E2014" s="24"/>
      <c r="F2014" s="24"/>
      <c r="G2014" s="24"/>
      <c r="H2014" s="24"/>
      <c r="I2014" s="24"/>
      <c r="J2014" s="24"/>
      <c r="K2014" s="24"/>
      <c r="L2014" s="24"/>
      <c r="M2014" s="24"/>
      <c r="N2014" s="24"/>
      <c r="O2014" s="24"/>
      <c r="P2014" s="24"/>
      <c r="Q2014" s="24"/>
      <c r="R2014" s="24"/>
      <c r="S2014" s="24"/>
      <c r="T2014" s="24"/>
      <c r="U2014" s="24"/>
      <c r="V2014" s="24"/>
      <c r="W2014" s="24"/>
      <c r="X2014" s="24"/>
      <c r="Y2014" s="24"/>
      <c r="Z2014" s="24"/>
      <c r="AA2014" s="24"/>
      <c r="AB2014" s="24"/>
      <c r="AC2014" s="24"/>
      <c r="AD2014" s="24"/>
      <c r="AE2014" s="24"/>
      <c r="AF2014" s="24"/>
      <c r="AG2014" s="24"/>
      <c r="AH2014" s="24"/>
      <c r="AI2014" s="24"/>
      <c r="AJ2014" s="24"/>
      <c r="AK2014" s="24"/>
      <c r="AL2014" s="24"/>
      <c r="AM2014" s="24"/>
      <c r="AN2014" s="24"/>
      <c r="AO2014" s="24"/>
      <c r="AP2014" s="24"/>
      <c r="AQ2014" s="24"/>
      <c r="AR2014" s="54"/>
    </row>
    <row r="2015">
      <c r="A2015" s="57"/>
      <c r="B2015" s="24"/>
      <c r="C2015" s="24"/>
      <c r="D2015" s="24"/>
      <c r="E2015" s="24"/>
      <c r="F2015" s="24"/>
      <c r="G2015" s="24"/>
      <c r="H2015" s="24"/>
      <c r="I2015" s="24"/>
      <c r="J2015" s="24"/>
      <c r="K2015" s="24"/>
      <c r="L2015" s="24"/>
      <c r="M2015" s="24"/>
      <c r="N2015" s="24"/>
      <c r="O2015" s="24"/>
      <c r="P2015" s="24"/>
      <c r="Q2015" s="24"/>
      <c r="R2015" s="24"/>
      <c r="S2015" s="24"/>
      <c r="T2015" s="24"/>
      <c r="U2015" s="24"/>
      <c r="V2015" s="24"/>
      <c r="W2015" s="24"/>
      <c r="X2015" s="24"/>
      <c r="Y2015" s="24"/>
      <c r="Z2015" s="24"/>
      <c r="AA2015" s="24"/>
      <c r="AB2015" s="24"/>
      <c r="AC2015" s="24"/>
      <c r="AD2015" s="24"/>
      <c r="AE2015" s="24"/>
      <c r="AF2015" s="24"/>
      <c r="AG2015" s="24"/>
      <c r="AH2015" s="24"/>
      <c r="AI2015" s="24"/>
      <c r="AJ2015" s="24"/>
      <c r="AK2015" s="24"/>
      <c r="AL2015" s="24"/>
      <c r="AM2015" s="24"/>
      <c r="AN2015" s="24"/>
      <c r="AO2015" s="24"/>
      <c r="AP2015" s="24"/>
      <c r="AQ2015" s="24"/>
      <c r="AR2015" s="54"/>
    </row>
    <row r="2016">
      <c r="A2016" s="57"/>
      <c r="B2016" s="24"/>
      <c r="C2016" s="24"/>
      <c r="D2016" s="24"/>
      <c r="E2016" s="24"/>
      <c r="F2016" s="24"/>
      <c r="G2016" s="24"/>
      <c r="H2016" s="24"/>
      <c r="I2016" s="24"/>
      <c r="J2016" s="24"/>
      <c r="K2016" s="24"/>
      <c r="L2016" s="24"/>
      <c r="M2016" s="24"/>
      <c r="N2016" s="24"/>
      <c r="O2016" s="24"/>
      <c r="P2016" s="24"/>
      <c r="Q2016" s="24"/>
      <c r="R2016" s="24"/>
      <c r="S2016" s="24"/>
      <c r="T2016" s="24"/>
      <c r="U2016" s="24"/>
      <c r="V2016" s="24"/>
      <c r="W2016" s="24"/>
      <c r="X2016" s="24"/>
      <c r="Y2016" s="24"/>
      <c r="Z2016" s="24"/>
      <c r="AA2016" s="24"/>
      <c r="AB2016" s="24"/>
      <c r="AC2016" s="24"/>
      <c r="AD2016" s="24"/>
      <c r="AE2016" s="24"/>
      <c r="AF2016" s="24"/>
      <c r="AG2016" s="24"/>
      <c r="AH2016" s="24"/>
      <c r="AI2016" s="24"/>
      <c r="AJ2016" s="24"/>
      <c r="AK2016" s="24"/>
      <c r="AL2016" s="24"/>
      <c r="AM2016" s="24"/>
      <c r="AN2016" s="24"/>
      <c r="AO2016" s="24"/>
      <c r="AP2016" s="24"/>
      <c r="AQ2016" s="24"/>
      <c r="AR2016" s="54"/>
    </row>
    <row r="2017">
      <c r="A2017" s="57"/>
      <c r="B2017" s="24"/>
      <c r="C2017" s="24"/>
      <c r="D2017" s="24"/>
      <c r="E2017" s="24"/>
      <c r="F2017" s="24"/>
      <c r="G2017" s="24"/>
      <c r="H2017" s="24"/>
      <c r="I2017" s="24"/>
      <c r="J2017" s="24"/>
      <c r="K2017" s="24"/>
      <c r="L2017" s="24"/>
      <c r="M2017" s="24"/>
      <c r="N2017" s="24"/>
      <c r="O2017" s="24"/>
      <c r="P2017" s="24"/>
      <c r="Q2017" s="24"/>
      <c r="R2017" s="24"/>
      <c r="S2017" s="24"/>
      <c r="T2017" s="24"/>
      <c r="U2017" s="24"/>
      <c r="V2017" s="24"/>
      <c r="W2017" s="24"/>
      <c r="X2017" s="24"/>
      <c r="Y2017" s="24"/>
      <c r="Z2017" s="24"/>
      <c r="AA2017" s="24"/>
      <c r="AB2017" s="24"/>
      <c r="AC2017" s="24"/>
      <c r="AD2017" s="24"/>
      <c r="AE2017" s="24"/>
      <c r="AF2017" s="24"/>
      <c r="AG2017" s="24"/>
      <c r="AH2017" s="24"/>
      <c r="AI2017" s="24"/>
      <c r="AJ2017" s="24"/>
      <c r="AK2017" s="24"/>
      <c r="AL2017" s="24"/>
      <c r="AM2017" s="24"/>
      <c r="AN2017" s="24"/>
      <c r="AO2017" s="24"/>
      <c r="AP2017" s="24"/>
      <c r="AQ2017" s="24"/>
      <c r="AR2017" s="54"/>
    </row>
    <row r="2018">
      <c r="A2018" s="57"/>
      <c r="B2018" s="24"/>
      <c r="C2018" s="24"/>
      <c r="D2018" s="24"/>
      <c r="E2018" s="24"/>
      <c r="F2018" s="24"/>
      <c r="G2018" s="24"/>
      <c r="H2018" s="24"/>
      <c r="I2018" s="24"/>
      <c r="J2018" s="24"/>
      <c r="K2018" s="24"/>
      <c r="L2018" s="24"/>
      <c r="M2018" s="24"/>
      <c r="N2018" s="24"/>
      <c r="O2018" s="24"/>
      <c r="P2018" s="24"/>
      <c r="Q2018" s="24"/>
      <c r="R2018" s="24"/>
      <c r="S2018" s="24"/>
      <c r="T2018" s="24"/>
      <c r="U2018" s="24"/>
      <c r="V2018" s="24"/>
      <c r="W2018" s="24"/>
      <c r="X2018" s="24"/>
      <c r="Y2018" s="24"/>
      <c r="Z2018" s="24"/>
      <c r="AA2018" s="24"/>
      <c r="AB2018" s="24"/>
      <c r="AC2018" s="24"/>
      <c r="AD2018" s="24"/>
      <c r="AE2018" s="24"/>
      <c r="AF2018" s="24"/>
      <c r="AG2018" s="24"/>
      <c r="AH2018" s="24"/>
      <c r="AI2018" s="24"/>
      <c r="AJ2018" s="24"/>
      <c r="AK2018" s="24"/>
      <c r="AL2018" s="24"/>
      <c r="AM2018" s="24"/>
      <c r="AN2018" s="24"/>
      <c r="AO2018" s="24"/>
      <c r="AP2018" s="24"/>
      <c r="AQ2018" s="24"/>
      <c r="AR2018" s="54"/>
    </row>
    <row r="2019">
      <c r="A2019" s="57"/>
      <c r="B2019" s="24"/>
      <c r="C2019" s="24"/>
      <c r="D2019" s="24"/>
      <c r="E2019" s="24"/>
      <c r="F2019" s="24"/>
      <c r="G2019" s="24"/>
      <c r="H2019" s="24"/>
      <c r="I2019" s="24"/>
      <c r="J2019" s="24"/>
      <c r="K2019" s="24"/>
      <c r="L2019" s="24"/>
      <c r="M2019" s="24"/>
      <c r="N2019" s="24"/>
      <c r="O2019" s="24"/>
      <c r="P2019" s="24"/>
      <c r="Q2019" s="24"/>
      <c r="R2019" s="24"/>
      <c r="S2019" s="24"/>
      <c r="T2019" s="24"/>
      <c r="U2019" s="24"/>
      <c r="V2019" s="24"/>
      <c r="W2019" s="24"/>
      <c r="X2019" s="24"/>
      <c r="Y2019" s="24"/>
      <c r="Z2019" s="24"/>
      <c r="AA2019" s="24"/>
      <c r="AB2019" s="24"/>
      <c r="AC2019" s="24"/>
      <c r="AD2019" s="24"/>
      <c r="AE2019" s="24"/>
      <c r="AF2019" s="24"/>
      <c r="AG2019" s="24"/>
      <c r="AH2019" s="24"/>
      <c r="AI2019" s="24"/>
      <c r="AJ2019" s="24"/>
      <c r="AK2019" s="24"/>
      <c r="AL2019" s="24"/>
      <c r="AM2019" s="24"/>
      <c r="AN2019" s="24"/>
      <c r="AO2019" s="24"/>
      <c r="AP2019" s="24"/>
      <c r="AQ2019" s="24"/>
      <c r="AR2019" s="54"/>
    </row>
    <row r="2020">
      <c r="A2020" s="57"/>
      <c r="B2020" s="24"/>
      <c r="C2020" s="24"/>
      <c r="D2020" s="24"/>
      <c r="E2020" s="24"/>
      <c r="F2020" s="24"/>
      <c r="G2020" s="24"/>
      <c r="H2020" s="24"/>
      <c r="I2020" s="24"/>
      <c r="J2020" s="24"/>
      <c r="K2020" s="24"/>
      <c r="L2020" s="24"/>
      <c r="M2020" s="24"/>
      <c r="N2020" s="24"/>
      <c r="O2020" s="24"/>
      <c r="P2020" s="24"/>
      <c r="Q2020" s="24"/>
      <c r="R2020" s="24"/>
      <c r="S2020" s="24"/>
      <c r="T2020" s="24"/>
      <c r="U2020" s="24"/>
      <c r="V2020" s="24"/>
      <c r="W2020" s="24"/>
      <c r="X2020" s="24"/>
      <c r="Y2020" s="24"/>
      <c r="Z2020" s="24"/>
      <c r="AA2020" s="24"/>
      <c r="AB2020" s="24"/>
      <c r="AC2020" s="24"/>
      <c r="AD2020" s="24"/>
      <c r="AE2020" s="24"/>
      <c r="AF2020" s="24"/>
      <c r="AG2020" s="24"/>
      <c r="AH2020" s="24"/>
      <c r="AI2020" s="24"/>
      <c r="AJ2020" s="24"/>
      <c r="AK2020" s="24"/>
      <c r="AL2020" s="24"/>
      <c r="AM2020" s="24"/>
      <c r="AN2020" s="24"/>
      <c r="AO2020" s="24"/>
      <c r="AP2020" s="24"/>
      <c r="AQ2020" s="24"/>
      <c r="AR2020" s="54"/>
    </row>
    <row r="2021">
      <c r="A2021" s="57"/>
      <c r="B2021" s="24"/>
      <c r="C2021" s="24"/>
      <c r="D2021" s="24"/>
      <c r="E2021" s="24"/>
      <c r="F2021" s="24"/>
      <c r="G2021" s="24"/>
      <c r="H2021" s="24"/>
      <c r="I2021" s="24"/>
      <c r="J2021" s="24"/>
      <c r="K2021" s="24"/>
      <c r="L2021" s="24"/>
      <c r="M2021" s="24"/>
      <c r="N2021" s="24"/>
      <c r="O2021" s="24"/>
      <c r="P2021" s="24"/>
      <c r="Q2021" s="24"/>
      <c r="R2021" s="24"/>
      <c r="S2021" s="24"/>
      <c r="T2021" s="24"/>
      <c r="U2021" s="24"/>
      <c r="V2021" s="24"/>
      <c r="W2021" s="24"/>
      <c r="X2021" s="24"/>
      <c r="Y2021" s="24"/>
      <c r="Z2021" s="24"/>
      <c r="AA2021" s="24"/>
      <c r="AB2021" s="24"/>
      <c r="AC2021" s="24"/>
      <c r="AD2021" s="24"/>
      <c r="AE2021" s="24"/>
      <c r="AF2021" s="24"/>
      <c r="AG2021" s="24"/>
      <c r="AH2021" s="24"/>
      <c r="AI2021" s="24"/>
      <c r="AJ2021" s="24"/>
      <c r="AK2021" s="24"/>
      <c r="AL2021" s="24"/>
      <c r="AM2021" s="24"/>
      <c r="AN2021" s="24"/>
      <c r="AO2021" s="24"/>
      <c r="AP2021" s="24"/>
      <c r="AQ2021" s="24"/>
      <c r="AR2021" s="54"/>
    </row>
    <row r="2022">
      <c r="A2022" s="57"/>
      <c r="B2022" s="24"/>
      <c r="C2022" s="24"/>
      <c r="D2022" s="24"/>
      <c r="E2022" s="24"/>
      <c r="F2022" s="24"/>
      <c r="G2022" s="24"/>
      <c r="H2022" s="24"/>
      <c r="I2022" s="24"/>
      <c r="J2022" s="24"/>
      <c r="K2022" s="24"/>
      <c r="L2022" s="24"/>
      <c r="M2022" s="24"/>
      <c r="N2022" s="24"/>
      <c r="O2022" s="24"/>
      <c r="P2022" s="24"/>
      <c r="Q2022" s="24"/>
      <c r="R2022" s="24"/>
      <c r="S2022" s="24"/>
      <c r="T2022" s="24"/>
      <c r="U2022" s="24"/>
      <c r="V2022" s="24"/>
      <c r="W2022" s="24"/>
      <c r="X2022" s="24"/>
      <c r="Y2022" s="24"/>
      <c r="Z2022" s="24"/>
      <c r="AA2022" s="24"/>
      <c r="AB2022" s="24"/>
      <c r="AC2022" s="24"/>
      <c r="AD2022" s="24"/>
      <c r="AE2022" s="24"/>
      <c r="AF2022" s="24"/>
      <c r="AG2022" s="24"/>
      <c r="AH2022" s="24"/>
      <c r="AI2022" s="24"/>
      <c r="AJ2022" s="24"/>
      <c r="AK2022" s="24"/>
      <c r="AL2022" s="24"/>
      <c r="AM2022" s="24"/>
      <c r="AN2022" s="24"/>
      <c r="AO2022" s="24"/>
      <c r="AP2022" s="24"/>
      <c r="AQ2022" s="24"/>
      <c r="AR2022" s="54"/>
    </row>
    <row r="2023">
      <c r="A2023" s="57"/>
      <c r="B2023" s="24"/>
      <c r="C2023" s="24"/>
      <c r="D2023" s="24"/>
      <c r="E2023" s="24"/>
      <c r="F2023" s="24"/>
      <c r="G2023" s="24"/>
      <c r="H2023" s="24"/>
      <c r="I2023" s="24"/>
      <c r="J2023" s="24"/>
      <c r="K2023" s="24"/>
      <c r="L2023" s="24"/>
      <c r="M2023" s="24"/>
      <c r="N2023" s="24"/>
      <c r="O2023" s="24"/>
      <c r="P2023" s="24"/>
      <c r="Q2023" s="24"/>
      <c r="R2023" s="24"/>
      <c r="S2023" s="24"/>
      <c r="T2023" s="24"/>
      <c r="U2023" s="24"/>
      <c r="V2023" s="24"/>
      <c r="W2023" s="24"/>
      <c r="X2023" s="24"/>
      <c r="Y2023" s="24"/>
      <c r="Z2023" s="24"/>
      <c r="AA2023" s="24"/>
      <c r="AB2023" s="24"/>
      <c r="AC2023" s="24"/>
      <c r="AD2023" s="24"/>
      <c r="AE2023" s="24"/>
      <c r="AF2023" s="24"/>
      <c r="AG2023" s="24"/>
      <c r="AH2023" s="24"/>
      <c r="AI2023" s="24"/>
      <c r="AJ2023" s="24"/>
      <c r="AK2023" s="24"/>
      <c r="AL2023" s="24"/>
      <c r="AM2023" s="24"/>
      <c r="AN2023" s="24"/>
      <c r="AO2023" s="24"/>
      <c r="AP2023" s="24"/>
      <c r="AQ2023" s="24"/>
      <c r="AR2023" s="54"/>
    </row>
    <row r="2024">
      <c r="A2024" s="57"/>
      <c r="B2024" s="24"/>
      <c r="C2024" s="24"/>
      <c r="D2024" s="24"/>
      <c r="E2024" s="24"/>
      <c r="F2024" s="24"/>
      <c r="G2024" s="24"/>
      <c r="H2024" s="24"/>
      <c r="I2024" s="24"/>
      <c r="J2024" s="24"/>
      <c r="K2024" s="24"/>
      <c r="L2024" s="24"/>
      <c r="M2024" s="24"/>
      <c r="N2024" s="24"/>
      <c r="O2024" s="24"/>
      <c r="P2024" s="24"/>
      <c r="Q2024" s="24"/>
      <c r="R2024" s="24"/>
      <c r="S2024" s="24"/>
      <c r="T2024" s="24"/>
      <c r="U2024" s="24"/>
      <c r="V2024" s="24"/>
      <c r="W2024" s="24"/>
      <c r="X2024" s="24"/>
      <c r="Y2024" s="24"/>
      <c r="Z2024" s="24"/>
      <c r="AA2024" s="24"/>
      <c r="AB2024" s="24"/>
      <c r="AC2024" s="24"/>
      <c r="AD2024" s="24"/>
      <c r="AE2024" s="24"/>
      <c r="AF2024" s="24"/>
      <c r="AG2024" s="24"/>
      <c r="AH2024" s="24"/>
      <c r="AI2024" s="24"/>
      <c r="AJ2024" s="24"/>
      <c r="AK2024" s="24"/>
      <c r="AL2024" s="24"/>
      <c r="AM2024" s="24"/>
      <c r="AN2024" s="24"/>
      <c r="AO2024" s="24"/>
      <c r="AP2024" s="24"/>
      <c r="AQ2024" s="24"/>
      <c r="AR2024" s="54"/>
    </row>
    <row r="2025">
      <c r="A2025" s="57"/>
      <c r="B2025" s="24"/>
      <c r="C2025" s="24"/>
      <c r="D2025" s="24"/>
      <c r="E2025" s="24"/>
      <c r="F2025" s="24"/>
      <c r="G2025" s="24"/>
      <c r="H2025" s="24"/>
      <c r="I2025" s="24"/>
      <c r="J2025" s="24"/>
      <c r="K2025" s="24"/>
      <c r="L2025" s="24"/>
      <c r="M2025" s="24"/>
      <c r="N2025" s="24"/>
      <c r="O2025" s="24"/>
      <c r="P2025" s="24"/>
      <c r="Q2025" s="24"/>
      <c r="R2025" s="24"/>
      <c r="S2025" s="24"/>
      <c r="T2025" s="24"/>
      <c r="U2025" s="24"/>
      <c r="V2025" s="24"/>
      <c r="W2025" s="24"/>
      <c r="X2025" s="24"/>
      <c r="Y2025" s="24"/>
      <c r="Z2025" s="24"/>
      <c r="AA2025" s="24"/>
      <c r="AB2025" s="24"/>
      <c r="AC2025" s="24"/>
      <c r="AD2025" s="24"/>
      <c r="AE2025" s="24"/>
      <c r="AF2025" s="24"/>
      <c r="AG2025" s="24"/>
      <c r="AH2025" s="24"/>
      <c r="AI2025" s="24"/>
      <c r="AJ2025" s="24"/>
      <c r="AK2025" s="24"/>
      <c r="AL2025" s="24"/>
      <c r="AM2025" s="24"/>
      <c r="AN2025" s="24"/>
      <c r="AO2025" s="24"/>
      <c r="AP2025" s="24"/>
      <c r="AQ2025" s="24"/>
      <c r="AR2025" s="54"/>
    </row>
    <row r="2026">
      <c r="A2026" s="57"/>
      <c r="B2026" s="24"/>
      <c r="C2026" s="24"/>
      <c r="D2026" s="24"/>
      <c r="E2026" s="24"/>
      <c r="F2026" s="24"/>
      <c r="G2026" s="24"/>
      <c r="H2026" s="24"/>
      <c r="I2026" s="24"/>
      <c r="J2026" s="24"/>
      <c r="K2026" s="24"/>
      <c r="L2026" s="24"/>
      <c r="M2026" s="24"/>
      <c r="N2026" s="24"/>
      <c r="O2026" s="24"/>
      <c r="P2026" s="24"/>
      <c r="Q2026" s="24"/>
      <c r="R2026" s="24"/>
      <c r="S2026" s="24"/>
      <c r="T2026" s="24"/>
      <c r="U2026" s="24"/>
      <c r="V2026" s="24"/>
      <c r="W2026" s="24"/>
      <c r="X2026" s="24"/>
      <c r="Y2026" s="24"/>
      <c r="Z2026" s="24"/>
      <c r="AA2026" s="24"/>
      <c r="AB2026" s="24"/>
      <c r="AC2026" s="24"/>
      <c r="AD2026" s="24"/>
      <c r="AE2026" s="24"/>
      <c r="AF2026" s="24"/>
      <c r="AG2026" s="24"/>
      <c r="AH2026" s="24"/>
      <c r="AI2026" s="24"/>
      <c r="AJ2026" s="24"/>
      <c r="AK2026" s="24"/>
      <c r="AL2026" s="24"/>
      <c r="AM2026" s="24"/>
      <c r="AN2026" s="24"/>
      <c r="AO2026" s="24"/>
      <c r="AP2026" s="24"/>
      <c r="AQ2026" s="24"/>
      <c r="AR2026" s="54"/>
    </row>
    <row r="2027">
      <c r="A2027" s="57"/>
      <c r="B2027" s="24"/>
      <c r="C2027" s="24"/>
      <c r="D2027" s="24"/>
      <c r="E2027" s="24"/>
      <c r="F2027" s="24"/>
      <c r="G2027" s="24"/>
      <c r="H2027" s="24"/>
      <c r="I2027" s="24"/>
      <c r="J2027" s="24"/>
      <c r="K2027" s="24"/>
      <c r="L2027" s="24"/>
      <c r="M2027" s="24"/>
      <c r="N2027" s="24"/>
      <c r="O2027" s="24"/>
      <c r="P2027" s="24"/>
      <c r="Q2027" s="24"/>
      <c r="R2027" s="24"/>
      <c r="S2027" s="24"/>
      <c r="T2027" s="24"/>
      <c r="U2027" s="24"/>
      <c r="V2027" s="24"/>
      <c r="W2027" s="24"/>
      <c r="X2027" s="24"/>
      <c r="Y2027" s="24"/>
      <c r="Z2027" s="24"/>
      <c r="AA2027" s="24"/>
      <c r="AB2027" s="24"/>
      <c r="AC2027" s="24"/>
      <c r="AD2027" s="24"/>
      <c r="AE2027" s="24"/>
      <c r="AF2027" s="24"/>
      <c r="AG2027" s="24"/>
      <c r="AH2027" s="24"/>
      <c r="AI2027" s="24"/>
      <c r="AJ2027" s="24"/>
      <c r="AK2027" s="24"/>
      <c r="AL2027" s="24"/>
      <c r="AM2027" s="24"/>
      <c r="AN2027" s="24"/>
      <c r="AO2027" s="24"/>
      <c r="AP2027" s="24"/>
      <c r="AQ2027" s="24"/>
      <c r="AR2027" s="54"/>
    </row>
    <row r="2028">
      <c r="A2028" s="57"/>
      <c r="B2028" s="24"/>
      <c r="C2028" s="24"/>
      <c r="D2028" s="24"/>
      <c r="E2028" s="24"/>
      <c r="F2028" s="24"/>
      <c r="G2028" s="24"/>
      <c r="H2028" s="24"/>
      <c r="I2028" s="24"/>
      <c r="J2028" s="24"/>
      <c r="K2028" s="24"/>
      <c r="L2028" s="24"/>
      <c r="M2028" s="24"/>
      <c r="N2028" s="24"/>
      <c r="O2028" s="24"/>
      <c r="P2028" s="24"/>
      <c r="Q2028" s="24"/>
      <c r="R2028" s="24"/>
      <c r="S2028" s="24"/>
      <c r="T2028" s="24"/>
      <c r="U2028" s="24"/>
      <c r="V2028" s="24"/>
      <c r="W2028" s="24"/>
      <c r="X2028" s="24"/>
      <c r="Y2028" s="24"/>
      <c r="Z2028" s="24"/>
      <c r="AA2028" s="24"/>
      <c r="AB2028" s="24"/>
      <c r="AC2028" s="24"/>
      <c r="AD2028" s="24"/>
      <c r="AE2028" s="24"/>
      <c r="AF2028" s="24"/>
      <c r="AG2028" s="24"/>
      <c r="AH2028" s="24"/>
      <c r="AI2028" s="24"/>
      <c r="AJ2028" s="24"/>
      <c r="AK2028" s="24"/>
      <c r="AL2028" s="24"/>
      <c r="AM2028" s="24"/>
      <c r="AN2028" s="24"/>
      <c r="AO2028" s="24"/>
      <c r="AP2028" s="24"/>
      <c r="AQ2028" s="24"/>
      <c r="AR2028" s="54"/>
    </row>
    <row r="2029">
      <c r="A2029" s="57"/>
      <c r="B2029" s="24"/>
      <c r="C2029" s="24"/>
      <c r="D2029" s="24"/>
      <c r="E2029" s="24"/>
      <c r="F2029" s="24"/>
      <c r="G2029" s="24"/>
      <c r="H2029" s="24"/>
      <c r="I2029" s="24"/>
      <c r="J2029" s="24"/>
      <c r="K2029" s="24"/>
      <c r="L2029" s="24"/>
      <c r="M2029" s="24"/>
      <c r="N2029" s="24"/>
      <c r="O2029" s="24"/>
      <c r="P2029" s="24"/>
      <c r="Q2029" s="24"/>
      <c r="R2029" s="24"/>
      <c r="S2029" s="24"/>
      <c r="T2029" s="24"/>
      <c r="U2029" s="24"/>
      <c r="V2029" s="24"/>
      <c r="W2029" s="24"/>
      <c r="X2029" s="24"/>
      <c r="Y2029" s="24"/>
      <c r="Z2029" s="24"/>
      <c r="AA2029" s="24"/>
      <c r="AB2029" s="24"/>
      <c r="AC2029" s="24"/>
      <c r="AD2029" s="24"/>
      <c r="AE2029" s="24"/>
      <c r="AF2029" s="24"/>
      <c r="AG2029" s="24"/>
      <c r="AH2029" s="24"/>
      <c r="AI2029" s="24"/>
      <c r="AJ2029" s="24"/>
      <c r="AK2029" s="24"/>
      <c r="AL2029" s="24"/>
      <c r="AM2029" s="24"/>
      <c r="AN2029" s="24"/>
      <c r="AO2029" s="24"/>
      <c r="AP2029" s="24"/>
      <c r="AQ2029" s="24"/>
      <c r="AR2029" s="54"/>
    </row>
    <row r="2030">
      <c r="A2030" s="57"/>
      <c r="B2030" s="24"/>
      <c r="C2030" s="24"/>
      <c r="D2030" s="24"/>
      <c r="E2030" s="24"/>
      <c r="F2030" s="24"/>
      <c r="G2030" s="24"/>
      <c r="H2030" s="24"/>
      <c r="I2030" s="24"/>
      <c r="J2030" s="24"/>
      <c r="K2030" s="24"/>
      <c r="L2030" s="24"/>
      <c r="M2030" s="24"/>
      <c r="N2030" s="24"/>
      <c r="O2030" s="24"/>
      <c r="P2030" s="24"/>
      <c r="Q2030" s="24"/>
      <c r="R2030" s="24"/>
      <c r="S2030" s="24"/>
      <c r="T2030" s="24"/>
      <c r="U2030" s="24"/>
      <c r="V2030" s="24"/>
      <c r="W2030" s="24"/>
      <c r="X2030" s="24"/>
      <c r="Y2030" s="24"/>
      <c r="Z2030" s="24"/>
      <c r="AA2030" s="24"/>
      <c r="AB2030" s="24"/>
      <c r="AC2030" s="24"/>
      <c r="AD2030" s="24"/>
      <c r="AE2030" s="24"/>
      <c r="AF2030" s="24"/>
      <c r="AG2030" s="24"/>
      <c r="AH2030" s="24"/>
      <c r="AI2030" s="24"/>
      <c r="AJ2030" s="24"/>
      <c r="AK2030" s="24"/>
      <c r="AL2030" s="24"/>
      <c r="AM2030" s="24"/>
      <c r="AN2030" s="24"/>
      <c r="AO2030" s="24"/>
      <c r="AP2030" s="24"/>
      <c r="AQ2030" s="24"/>
      <c r="AR2030" s="54"/>
    </row>
    <row r="2031">
      <c r="A2031" s="57"/>
      <c r="B2031" s="24"/>
      <c r="C2031" s="24"/>
      <c r="D2031" s="24"/>
      <c r="E2031" s="24"/>
      <c r="F2031" s="24"/>
      <c r="G2031" s="24"/>
      <c r="H2031" s="24"/>
      <c r="I2031" s="24"/>
      <c r="J2031" s="24"/>
      <c r="K2031" s="24"/>
      <c r="L2031" s="24"/>
      <c r="M2031" s="24"/>
      <c r="N2031" s="24"/>
      <c r="O2031" s="24"/>
      <c r="P2031" s="24"/>
      <c r="Q2031" s="24"/>
      <c r="R2031" s="24"/>
      <c r="S2031" s="24"/>
      <c r="T2031" s="24"/>
      <c r="U2031" s="24"/>
      <c r="V2031" s="24"/>
      <c r="W2031" s="24"/>
      <c r="X2031" s="24"/>
      <c r="Y2031" s="24"/>
      <c r="Z2031" s="24"/>
      <c r="AA2031" s="24"/>
      <c r="AB2031" s="24"/>
      <c r="AC2031" s="24"/>
      <c r="AD2031" s="24"/>
      <c r="AE2031" s="24"/>
      <c r="AF2031" s="24"/>
      <c r="AG2031" s="24"/>
      <c r="AH2031" s="24"/>
      <c r="AI2031" s="24"/>
      <c r="AJ2031" s="24"/>
      <c r="AK2031" s="24"/>
      <c r="AL2031" s="24"/>
      <c r="AM2031" s="24"/>
      <c r="AN2031" s="24"/>
      <c r="AO2031" s="24"/>
      <c r="AP2031" s="24"/>
      <c r="AQ2031" s="24"/>
      <c r="AR2031" s="54"/>
    </row>
    <row r="2032">
      <c r="A2032" s="57"/>
      <c r="B2032" s="24"/>
      <c r="C2032" s="24"/>
      <c r="D2032" s="24"/>
      <c r="E2032" s="24"/>
      <c r="F2032" s="24"/>
      <c r="G2032" s="24"/>
      <c r="H2032" s="24"/>
      <c r="I2032" s="24"/>
      <c r="J2032" s="24"/>
      <c r="K2032" s="24"/>
      <c r="L2032" s="24"/>
      <c r="M2032" s="24"/>
      <c r="N2032" s="24"/>
      <c r="O2032" s="24"/>
      <c r="P2032" s="24"/>
      <c r="Q2032" s="24"/>
      <c r="R2032" s="24"/>
      <c r="S2032" s="24"/>
      <c r="T2032" s="24"/>
      <c r="U2032" s="24"/>
      <c r="V2032" s="24"/>
      <c r="W2032" s="24"/>
      <c r="X2032" s="24"/>
      <c r="Y2032" s="24"/>
      <c r="Z2032" s="24"/>
      <c r="AA2032" s="24"/>
      <c r="AB2032" s="24"/>
      <c r="AC2032" s="24"/>
      <c r="AD2032" s="24"/>
      <c r="AE2032" s="24"/>
      <c r="AF2032" s="24"/>
      <c r="AG2032" s="24"/>
      <c r="AH2032" s="24"/>
      <c r="AI2032" s="24"/>
      <c r="AJ2032" s="24"/>
      <c r="AK2032" s="24"/>
      <c r="AL2032" s="24"/>
      <c r="AM2032" s="24"/>
      <c r="AN2032" s="24"/>
      <c r="AO2032" s="24"/>
      <c r="AP2032" s="24"/>
      <c r="AQ2032" s="24"/>
      <c r="AR2032" s="54"/>
    </row>
    <row r="2033">
      <c r="A2033" s="57"/>
      <c r="B2033" s="24"/>
      <c r="C2033" s="24"/>
      <c r="D2033" s="24"/>
      <c r="E2033" s="24"/>
      <c r="F2033" s="24"/>
      <c r="G2033" s="24"/>
      <c r="H2033" s="24"/>
      <c r="I2033" s="24"/>
      <c r="J2033" s="24"/>
      <c r="K2033" s="24"/>
      <c r="L2033" s="24"/>
      <c r="M2033" s="24"/>
      <c r="N2033" s="24"/>
      <c r="O2033" s="24"/>
      <c r="P2033" s="24"/>
      <c r="Q2033" s="24"/>
      <c r="R2033" s="24"/>
      <c r="S2033" s="24"/>
      <c r="T2033" s="24"/>
      <c r="U2033" s="24"/>
      <c r="V2033" s="24"/>
      <c r="W2033" s="24"/>
      <c r="X2033" s="24"/>
      <c r="Y2033" s="24"/>
      <c r="Z2033" s="24"/>
      <c r="AA2033" s="24"/>
      <c r="AB2033" s="24"/>
      <c r="AC2033" s="24"/>
      <c r="AD2033" s="24"/>
      <c r="AE2033" s="24"/>
      <c r="AF2033" s="24"/>
      <c r="AG2033" s="24"/>
      <c r="AH2033" s="24"/>
      <c r="AI2033" s="24"/>
      <c r="AJ2033" s="24"/>
      <c r="AK2033" s="24"/>
      <c r="AL2033" s="24"/>
      <c r="AM2033" s="24"/>
      <c r="AN2033" s="24"/>
      <c r="AO2033" s="24"/>
      <c r="AP2033" s="24"/>
      <c r="AQ2033" s="24"/>
      <c r="AR2033" s="54"/>
    </row>
    <row r="2034">
      <c r="A2034" s="57"/>
      <c r="B2034" s="24"/>
      <c r="C2034" s="24"/>
      <c r="D2034" s="24"/>
      <c r="E2034" s="24"/>
      <c r="F2034" s="24"/>
      <c r="G2034" s="24"/>
      <c r="H2034" s="24"/>
      <c r="I2034" s="24"/>
      <c r="J2034" s="24"/>
      <c r="K2034" s="24"/>
      <c r="L2034" s="24"/>
      <c r="M2034" s="24"/>
      <c r="N2034" s="24"/>
      <c r="O2034" s="24"/>
      <c r="P2034" s="24"/>
      <c r="Q2034" s="24"/>
      <c r="R2034" s="24"/>
      <c r="S2034" s="24"/>
      <c r="T2034" s="24"/>
      <c r="U2034" s="24"/>
      <c r="V2034" s="24"/>
      <c r="W2034" s="24"/>
      <c r="X2034" s="24"/>
      <c r="Y2034" s="24"/>
      <c r="Z2034" s="24"/>
      <c r="AA2034" s="24"/>
      <c r="AB2034" s="24"/>
      <c r="AC2034" s="24"/>
      <c r="AD2034" s="24"/>
      <c r="AE2034" s="24"/>
      <c r="AF2034" s="24"/>
      <c r="AG2034" s="24"/>
      <c r="AH2034" s="24"/>
      <c r="AI2034" s="24"/>
      <c r="AJ2034" s="24"/>
      <c r="AK2034" s="24"/>
      <c r="AL2034" s="24"/>
      <c r="AM2034" s="24"/>
      <c r="AN2034" s="24"/>
      <c r="AO2034" s="24"/>
      <c r="AP2034" s="24"/>
      <c r="AQ2034" s="24"/>
      <c r="AR2034" s="54"/>
    </row>
    <row r="2035">
      <c r="A2035" s="57"/>
      <c r="B2035" s="24"/>
      <c r="C2035" s="24"/>
      <c r="D2035" s="24"/>
      <c r="E2035" s="24"/>
      <c r="F2035" s="24"/>
      <c r="G2035" s="24"/>
      <c r="H2035" s="24"/>
      <c r="I2035" s="24"/>
      <c r="J2035" s="24"/>
      <c r="K2035" s="24"/>
      <c r="L2035" s="24"/>
      <c r="M2035" s="24"/>
      <c r="N2035" s="24"/>
      <c r="O2035" s="24"/>
      <c r="P2035" s="24"/>
      <c r="Q2035" s="24"/>
      <c r="R2035" s="24"/>
      <c r="S2035" s="24"/>
      <c r="T2035" s="24"/>
      <c r="U2035" s="24"/>
      <c r="V2035" s="24"/>
      <c r="W2035" s="24"/>
      <c r="X2035" s="24"/>
      <c r="Y2035" s="24"/>
      <c r="Z2035" s="24"/>
      <c r="AA2035" s="24"/>
      <c r="AB2035" s="24"/>
      <c r="AC2035" s="24"/>
      <c r="AD2035" s="24"/>
      <c r="AE2035" s="24"/>
      <c r="AF2035" s="24"/>
      <c r="AG2035" s="24"/>
      <c r="AH2035" s="24"/>
      <c r="AI2035" s="24"/>
      <c r="AJ2035" s="24"/>
      <c r="AK2035" s="24"/>
      <c r="AL2035" s="24"/>
      <c r="AM2035" s="24"/>
      <c r="AN2035" s="24"/>
      <c r="AO2035" s="24"/>
      <c r="AP2035" s="24"/>
      <c r="AQ2035" s="24"/>
      <c r="AR2035" s="54"/>
    </row>
    <row r="2036">
      <c r="A2036" s="57"/>
      <c r="B2036" s="24"/>
      <c r="C2036" s="24"/>
      <c r="D2036" s="24"/>
      <c r="E2036" s="24"/>
      <c r="F2036" s="24"/>
      <c r="G2036" s="24"/>
      <c r="H2036" s="24"/>
      <c r="I2036" s="24"/>
      <c r="J2036" s="24"/>
      <c r="K2036" s="24"/>
      <c r="L2036" s="24"/>
      <c r="M2036" s="24"/>
      <c r="N2036" s="24"/>
      <c r="O2036" s="24"/>
      <c r="P2036" s="24"/>
      <c r="Q2036" s="24"/>
      <c r="R2036" s="24"/>
      <c r="S2036" s="24"/>
      <c r="T2036" s="24"/>
      <c r="U2036" s="24"/>
      <c r="V2036" s="24"/>
      <c r="W2036" s="24"/>
      <c r="X2036" s="24"/>
      <c r="Y2036" s="24"/>
      <c r="Z2036" s="24"/>
      <c r="AA2036" s="24"/>
      <c r="AB2036" s="24"/>
      <c r="AC2036" s="24"/>
      <c r="AD2036" s="24"/>
      <c r="AE2036" s="24"/>
      <c r="AF2036" s="24"/>
      <c r="AG2036" s="24"/>
      <c r="AH2036" s="24"/>
      <c r="AI2036" s="24"/>
      <c r="AJ2036" s="24"/>
      <c r="AK2036" s="24"/>
      <c r="AL2036" s="24"/>
      <c r="AM2036" s="24"/>
      <c r="AN2036" s="24"/>
      <c r="AO2036" s="24"/>
      <c r="AP2036" s="24"/>
      <c r="AQ2036" s="24"/>
      <c r="AR2036" s="54"/>
    </row>
    <row r="2037">
      <c r="A2037" s="57"/>
      <c r="B2037" s="24"/>
      <c r="C2037" s="24"/>
      <c r="D2037" s="24"/>
      <c r="E2037" s="24"/>
      <c r="F2037" s="24"/>
      <c r="G2037" s="24"/>
      <c r="H2037" s="24"/>
      <c r="I2037" s="24"/>
      <c r="J2037" s="24"/>
      <c r="K2037" s="24"/>
      <c r="L2037" s="24"/>
      <c r="M2037" s="24"/>
      <c r="N2037" s="24"/>
      <c r="O2037" s="24"/>
      <c r="P2037" s="24"/>
      <c r="Q2037" s="24"/>
      <c r="R2037" s="24"/>
      <c r="S2037" s="24"/>
      <c r="T2037" s="24"/>
      <c r="U2037" s="24"/>
      <c r="V2037" s="24"/>
      <c r="W2037" s="24"/>
      <c r="X2037" s="24"/>
      <c r="Y2037" s="24"/>
      <c r="Z2037" s="24"/>
      <c r="AA2037" s="24"/>
      <c r="AB2037" s="24"/>
      <c r="AC2037" s="24"/>
      <c r="AD2037" s="24"/>
      <c r="AE2037" s="24"/>
      <c r="AF2037" s="24"/>
      <c r="AG2037" s="24"/>
      <c r="AH2037" s="24"/>
      <c r="AI2037" s="24"/>
      <c r="AJ2037" s="24"/>
      <c r="AK2037" s="24"/>
      <c r="AL2037" s="24"/>
      <c r="AM2037" s="24"/>
      <c r="AN2037" s="24"/>
      <c r="AO2037" s="24"/>
      <c r="AP2037" s="24"/>
      <c r="AQ2037" s="24"/>
      <c r="AR2037" s="54"/>
    </row>
    <row r="2038">
      <c r="A2038" s="57"/>
      <c r="B2038" s="24"/>
      <c r="C2038" s="24"/>
      <c r="D2038" s="24"/>
      <c r="E2038" s="24"/>
      <c r="F2038" s="24"/>
      <c r="G2038" s="24"/>
      <c r="H2038" s="24"/>
      <c r="I2038" s="24"/>
      <c r="J2038" s="24"/>
      <c r="K2038" s="24"/>
      <c r="L2038" s="24"/>
      <c r="M2038" s="24"/>
      <c r="N2038" s="24"/>
      <c r="O2038" s="24"/>
      <c r="P2038" s="24"/>
      <c r="Q2038" s="24"/>
      <c r="R2038" s="24"/>
      <c r="S2038" s="24"/>
      <c r="T2038" s="24"/>
      <c r="U2038" s="24"/>
      <c r="V2038" s="24"/>
      <c r="W2038" s="24"/>
      <c r="X2038" s="24"/>
      <c r="Y2038" s="24"/>
      <c r="Z2038" s="24"/>
      <c r="AA2038" s="24"/>
      <c r="AB2038" s="24"/>
      <c r="AC2038" s="24"/>
      <c r="AD2038" s="24"/>
      <c r="AE2038" s="24"/>
      <c r="AF2038" s="24"/>
      <c r="AG2038" s="24"/>
      <c r="AH2038" s="24"/>
      <c r="AI2038" s="24"/>
      <c r="AJ2038" s="24"/>
      <c r="AK2038" s="24"/>
      <c r="AL2038" s="24"/>
      <c r="AM2038" s="24"/>
      <c r="AN2038" s="24"/>
      <c r="AO2038" s="24"/>
      <c r="AP2038" s="24"/>
      <c r="AQ2038" s="24"/>
      <c r="AR2038" s="54"/>
    </row>
    <row r="2039">
      <c r="A2039" s="57"/>
      <c r="B2039" s="24"/>
      <c r="C2039" s="24"/>
      <c r="D2039" s="24"/>
      <c r="E2039" s="24"/>
      <c r="F2039" s="24"/>
      <c r="G2039" s="24"/>
      <c r="H2039" s="24"/>
      <c r="I2039" s="24"/>
      <c r="J2039" s="24"/>
      <c r="K2039" s="24"/>
      <c r="L2039" s="24"/>
      <c r="M2039" s="24"/>
      <c r="N2039" s="24"/>
      <c r="O2039" s="24"/>
      <c r="P2039" s="24"/>
      <c r="Q2039" s="24"/>
      <c r="R2039" s="24"/>
      <c r="S2039" s="24"/>
      <c r="T2039" s="24"/>
      <c r="U2039" s="24"/>
      <c r="V2039" s="24"/>
      <c r="W2039" s="24"/>
      <c r="X2039" s="24"/>
      <c r="Y2039" s="24"/>
      <c r="Z2039" s="24"/>
      <c r="AA2039" s="24"/>
      <c r="AB2039" s="24"/>
      <c r="AC2039" s="24"/>
      <c r="AD2039" s="24"/>
      <c r="AE2039" s="24"/>
      <c r="AF2039" s="24"/>
      <c r="AG2039" s="24"/>
      <c r="AH2039" s="24"/>
      <c r="AI2039" s="24"/>
      <c r="AJ2039" s="24"/>
      <c r="AK2039" s="24"/>
      <c r="AL2039" s="24"/>
      <c r="AM2039" s="24"/>
      <c r="AN2039" s="24"/>
      <c r="AO2039" s="24"/>
      <c r="AP2039" s="24"/>
      <c r="AQ2039" s="24"/>
      <c r="AR2039" s="54"/>
    </row>
    <row r="2040">
      <c r="A2040" s="57"/>
      <c r="B2040" s="24"/>
      <c r="C2040" s="24"/>
      <c r="D2040" s="24"/>
      <c r="E2040" s="24"/>
      <c r="F2040" s="24"/>
      <c r="G2040" s="24"/>
      <c r="H2040" s="24"/>
      <c r="I2040" s="24"/>
      <c r="J2040" s="24"/>
      <c r="K2040" s="24"/>
      <c r="L2040" s="24"/>
      <c r="M2040" s="24"/>
      <c r="N2040" s="24"/>
      <c r="O2040" s="24"/>
      <c r="P2040" s="24"/>
      <c r="Q2040" s="24"/>
      <c r="R2040" s="24"/>
      <c r="S2040" s="24"/>
      <c r="T2040" s="24"/>
      <c r="U2040" s="24"/>
      <c r="V2040" s="24"/>
      <c r="W2040" s="24"/>
      <c r="X2040" s="24"/>
      <c r="Y2040" s="24"/>
      <c r="Z2040" s="24"/>
      <c r="AA2040" s="24"/>
      <c r="AB2040" s="24"/>
      <c r="AC2040" s="24"/>
      <c r="AD2040" s="24"/>
      <c r="AE2040" s="24"/>
      <c r="AF2040" s="24"/>
      <c r="AG2040" s="24"/>
      <c r="AH2040" s="24"/>
      <c r="AI2040" s="24"/>
      <c r="AJ2040" s="24"/>
      <c r="AK2040" s="24"/>
      <c r="AL2040" s="24"/>
      <c r="AM2040" s="24"/>
      <c r="AN2040" s="24"/>
      <c r="AO2040" s="24"/>
      <c r="AP2040" s="24"/>
      <c r="AQ2040" s="24"/>
      <c r="AR2040" s="54"/>
    </row>
    <row r="2041">
      <c r="A2041" s="57"/>
      <c r="B2041" s="24"/>
      <c r="C2041" s="24"/>
      <c r="D2041" s="24"/>
      <c r="E2041" s="24"/>
      <c r="F2041" s="24"/>
      <c r="G2041" s="24"/>
      <c r="H2041" s="24"/>
      <c r="I2041" s="24"/>
      <c r="J2041" s="24"/>
      <c r="K2041" s="24"/>
      <c r="L2041" s="24"/>
      <c r="M2041" s="24"/>
      <c r="N2041" s="24"/>
      <c r="O2041" s="24"/>
      <c r="P2041" s="24"/>
      <c r="Q2041" s="24"/>
      <c r="R2041" s="24"/>
      <c r="S2041" s="24"/>
      <c r="T2041" s="24"/>
      <c r="U2041" s="24"/>
      <c r="V2041" s="24"/>
      <c r="W2041" s="24"/>
      <c r="X2041" s="24"/>
      <c r="Y2041" s="24"/>
      <c r="Z2041" s="24"/>
      <c r="AA2041" s="24"/>
      <c r="AB2041" s="24"/>
      <c r="AC2041" s="24"/>
      <c r="AD2041" s="24"/>
      <c r="AE2041" s="24"/>
      <c r="AF2041" s="24"/>
      <c r="AG2041" s="24"/>
      <c r="AH2041" s="24"/>
      <c r="AI2041" s="24"/>
      <c r="AJ2041" s="24"/>
      <c r="AK2041" s="24"/>
      <c r="AL2041" s="24"/>
      <c r="AM2041" s="24"/>
      <c r="AN2041" s="24"/>
      <c r="AO2041" s="24"/>
      <c r="AP2041" s="24"/>
      <c r="AQ2041" s="24"/>
      <c r="AR2041" s="54"/>
    </row>
    <row r="2042">
      <c r="A2042" s="57"/>
      <c r="B2042" s="24"/>
      <c r="C2042" s="24"/>
      <c r="D2042" s="24"/>
      <c r="E2042" s="24"/>
      <c r="F2042" s="24"/>
      <c r="G2042" s="24"/>
      <c r="H2042" s="24"/>
      <c r="I2042" s="24"/>
      <c r="J2042" s="24"/>
      <c r="K2042" s="24"/>
      <c r="L2042" s="24"/>
      <c r="M2042" s="24"/>
      <c r="N2042" s="24"/>
      <c r="O2042" s="24"/>
      <c r="P2042" s="24"/>
      <c r="Q2042" s="24"/>
      <c r="R2042" s="24"/>
      <c r="S2042" s="24"/>
      <c r="T2042" s="24"/>
      <c r="U2042" s="24"/>
      <c r="V2042" s="24"/>
      <c r="W2042" s="24"/>
      <c r="X2042" s="24"/>
      <c r="Y2042" s="24"/>
      <c r="Z2042" s="24"/>
      <c r="AA2042" s="24"/>
      <c r="AB2042" s="24"/>
      <c r="AC2042" s="24"/>
      <c r="AD2042" s="24"/>
      <c r="AE2042" s="24"/>
      <c r="AF2042" s="24"/>
      <c r="AG2042" s="24"/>
      <c r="AH2042" s="24"/>
      <c r="AI2042" s="24"/>
      <c r="AJ2042" s="24"/>
      <c r="AK2042" s="24"/>
      <c r="AL2042" s="24"/>
      <c r="AM2042" s="24"/>
      <c r="AN2042" s="24"/>
      <c r="AO2042" s="24"/>
      <c r="AP2042" s="24"/>
      <c r="AQ2042" s="24"/>
      <c r="AR2042" s="54"/>
    </row>
    <row r="2043">
      <c r="A2043" s="57"/>
      <c r="B2043" s="24"/>
      <c r="C2043" s="24"/>
      <c r="D2043" s="24"/>
      <c r="E2043" s="24"/>
      <c r="F2043" s="24"/>
      <c r="G2043" s="24"/>
      <c r="H2043" s="24"/>
      <c r="I2043" s="24"/>
      <c r="J2043" s="24"/>
      <c r="K2043" s="24"/>
      <c r="L2043" s="24"/>
      <c r="M2043" s="24"/>
      <c r="N2043" s="24"/>
      <c r="O2043" s="24"/>
      <c r="P2043" s="24"/>
      <c r="Q2043" s="24"/>
      <c r="R2043" s="24"/>
      <c r="S2043" s="24"/>
      <c r="T2043" s="24"/>
      <c r="U2043" s="24"/>
      <c r="V2043" s="24"/>
      <c r="W2043" s="24"/>
      <c r="X2043" s="24"/>
      <c r="Y2043" s="24"/>
      <c r="Z2043" s="24"/>
      <c r="AA2043" s="24"/>
      <c r="AB2043" s="24"/>
      <c r="AC2043" s="24"/>
      <c r="AD2043" s="24"/>
      <c r="AE2043" s="24"/>
      <c r="AF2043" s="24"/>
      <c r="AG2043" s="24"/>
      <c r="AH2043" s="24"/>
      <c r="AI2043" s="24"/>
      <c r="AJ2043" s="24"/>
      <c r="AK2043" s="24"/>
      <c r="AL2043" s="24"/>
      <c r="AM2043" s="24"/>
      <c r="AN2043" s="24"/>
      <c r="AO2043" s="24"/>
      <c r="AP2043" s="24"/>
      <c r="AQ2043" s="24"/>
      <c r="AR2043" s="54"/>
    </row>
    <row r="2044">
      <c r="A2044" s="57"/>
      <c r="B2044" s="24"/>
      <c r="C2044" s="24"/>
      <c r="D2044" s="24"/>
      <c r="E2044" s="24"/>
      <c r="F2044" s="24"/>
      <c r="G2044" s="24"/>
      <c r="H2044" s="24"/>
      <c r="I2044" s="24"/>
      <c r="J2044" s="24"/>
      <c r="K2044" s="24"/>
      <c r="L2044" s="24"/>
      <c r="M2044" s="24"/>
      <c r="N2044" s="24"/>
      <c r="O2044" s="24"/>
      <c r="P2044" s="24"/>
      <c r="Q2044" s="24"/>
      <c r="R2044" s="24"/>
      <c r="S2044" s="24"/>
      <c r="T2044" s="24"/>
      <c r="U2044" s="24"/>
      <c r="V2044" s="24"/>
      <c r="W2044" s="24"/>
      <c r="X2044" s="24"/>
      <c r="Y2044" s="24"/>
      <c r="Z2044" s="24"/>
      <c r="AA2044" s="24"/>
      <c r="AB2044" s="24"/>
      <c r="AC2044" s="24"/>
      <c r="AD2044" s="24"/>
      <c r="AE2044" s="24"/>
      <c r="AF2044" s="24"/>
      <c r="AG2044" s="24"/>
      <c r="AH2044" s="24"/>
      <c r="AI2044" s="24"/>
      <c r="AJ2044" s="24"/>
      <c r="AK2044" s="24"/>
      <c r="AL2044" s="24"/>
      <c r="AM2044" s="24"/>
      <c r="AN2044" s="24"/>
      <c r="AO2044" s="24"/>
      <c r="AP2044" s="24"/>
      <c r="AQ2044" s="24"/>
      <c r="AR2044" s="54"/>
    </row>
    <row r="2045">
      <c r="A2045" s="57"/>
      <c r="B2045" s="24"/>
      <c r="C2045" s="24"/>
      <c r="D2045" s="24"/>
      <c r="E2045" s="24"/>
      <c r="F2045" s="24"/>
      <c r="G2045" s="24"/>
      <c r="H2045" s="24"/>
      <c r="I2045" s="24"/>
      <c r="J2045" s="24"/>
      <c r="K2045" s="24"/>
      <c r="L2045" s="24"/>
      <c r="M2045" s="24"/>
      <c r="N2045" s="24"/>
      <c r="O2045" s="24"/>
      <c r="P2045" s="24"/>
      <c r="Q2045" s="24"/>
      <c r="R2045" s="24"/>
      <c r="S2045" s="24"/>
      <c r="T2045" s="24"/>
      <c r="U2045" s="24"/>
      <c r="V2045" s="24"/>
      <c r="W2045" s="24"/>
      <c r="X2045" s="24"/>
      <c r="Y2045" s="24"/>
      <c r="Z2045" s="24"/>
      <c r="AA2045" s="24"/>
      <c r="AB2045" s="24"/>
      <c r="AC2045" s="24"/>
      <c r="AD2045" s="24"/>
      <c r="AE2045" s="24"/>
      <c r="AF2045" s="24"/>
      <c r="AG2045" s="24"/>
      <c r="AH2045" s="24"/>
      <c r="AI2045" s="24"/>
      <c r="AJ2045" s="24"/>
      <c r="AK2045" s="24"/>
      <c r="AL2045" s="24"/>
      <c r="AM2045" s="24"/>
      <c r="AN2045" s="24"/>
      <c r="AO2045" s="24"/>
      <c r="AP2045" s="24"/>
      <c r="AQ2045" s="24"/>
      <c r="AR2045" s="54"/>
    </row>
    <row r="2046">
      <c r="A2046" s="57"/>
      <c r="B2046" s="24"/>
      <c r="C2046" s="24"/>
      <c r="D2046" s="24"/>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c r="AA2046" s="24"/>
      <c r="AB2046" s="24"/>
      <c r="AC2046" s="24"/>
      <c r="AD2046" s="24"/>
      <c r="AE2046" s="24"/>
      <c r="AF2046" s="24"/>
      <c r="AG2046" s="24"/>
      <c r="AH2046" s="24"/>
      <c r="AI2046" s="24"/>
      <c r="AJ2046" s="24"/>
      <c r="AK2046" s="24"/>
      <c r="AL2046" s="24"/>
      <c r="AM2046" s="24"/>
      <c r="AN2046" s="24"/>
      <c r="AO2046" s="24"/>
      <c r="AP2046" s="24"/>
      <c r="AQ2046" s="24"/>
      <c r="AR2046" s="54"/>
    </row>
    <row r="2047">
      <c r="A2047" s="57"/>
      <c r="B2047" s="24"/>
      <c r="C2047" s="24"/>
      <c r="D2047" s="24"/>
      <c r="E2047" s="24"/>
      <c r="F2047" s="24"/>
      <c r="G2047" s="24"/>
      <c r="H2047" s="24"/>
      <c r="I2047" s="24"/>
      <c r="J2047" s="24"/>
      <c r="K2047" s="24"/>
      <c r="L2047" s="24"/>
      <c r="M2047" s="24"/>
      <c r="N2047" s="24"/>
      <c r="O2047" s="24"/>
      <c r="P2047" s="24"/>
      <c r="Q2047" s="24"/>
      <c r="R2047" s="24"/>
      <c r="S2047" s="24"/>
      <c r="T2047" s="24"/>
      <c r="U2047" s="24"/>
      <c r="V2047" s="24"/>
      <c r="W2047" s="24"/>
      <c r="X2047" s="24"/>
      <c r="Y2047" s="24"/>
      <c r="Z2047" s="24"/>
      <c r="AA2047" s="24"/>
      <c r="AB2047" s="24"/>
      <c r="AC2047" s="24"/>
      <c r="AD2047" s="24"/>
      <c r="AE2047" s="24"/>
      <c r="AF2047" s="24"/>
      <c r="AG2047" s="24"/>
      <c r="AH2047" s="24"/>
      <c r="AI2047" s="24"/>
      <c r="AJ2047" s="24"/>
      <c r="AK2047" s="24"/>
      <c r="AL2047" s="24"/>
      <c r="AM2047" s="24"/>
      <c r="AN2047" s="24"/>
      <c r="AO2047" s="24"/>
      <c r="AP2047" s="24"/>
      <c r="AQ2047" s="24"/>
      <c r="AR2047" s="54"/>
    </row>
    <row r="2048">
      <c r="A2048" s="57"/>
      <c r="B2048" s="24"/>
      <c r="C2048" s="24"/>
      <c r="D2048" s="24"/>
      <c r="E2048" s="24"/>
      <c r="F2048" s="24"/>
      <c r="G2048" s="24"/>
      <c r="H2048" s="24"/>
      <c r="I2048" s="24"/>
      <c r="J2048" s="24"/>
      <c r="K2048" s="24"/>
      <c r="L2048" s="24"/>
      <c r="M2048" s="24"/>
      <c r="N2048" s="24"/>
      <c r="O2048" s="24"/>
      <c r="P2048" s="24"/>
      <c r="Q2048" s="24"/>
      <c r="R2048" s="24"/>
      <c r="S2048" s="24"/>
      <c r="T2048" s="24"/>
      <c r="U2048" s="24"/>
      <c r="V2048" s="24"/>
      <c r="W2048" s="24"/>
      <c r="X2048" s="24"/>
      <c r="Y2048" s="24"/>
      <c r="Z2048" s="24"/>
      <c r="AA2048" s="24"/>
      <c r="AB2048" s="24"/>
      <c r="AC2048" s="24"/>
      <c r="AD2048" s="24"/>
      <c r="AE2048" s="24"/>
      <c r="AF2048" s="24"/>
      <c r="AG2048" s="24"/>
      <c r="AH2048" s="24"/>
      <c r="AI2048" s="24"/>
      <c r="AJ2048" s="24"/>
      <c r="AK2048" s="24"/>
      <c r="AL2048" s="24"/>
      <c r="AM2048" s="24"/>
      <c r="AN2048" s="24"/>
      <c r="AO2048" s="24"/>
      <c r="AP2048" s="24"/>
      <c r="AQ2048" s="24"/>
      <c r="AR2048" s="54"/>
    </row>
    <row r="2049">
      <c r="A2049" s="57"/>
      <c r="B2049" s="24"/>
      <c r="C2049" s="24"/>
      <c r="D2049" s="24"/>
      <c r="E2049" s="24"/>
      <c r="F2049" s="24"/>
      <c r="G2049" s="24"/>
      <c r="H2049" s="24"/>
      <c r="I2049" s="24"/>
      <c r="J2049" s="24"/>
      <c r="K2049" s="24"/>
      <c r="L2049" s="24"/>
      <c r="M2049" s="24"/>
      <c r="N2049" s="24"/>
      <c r="O2049" s="24"/>
      <c r="P2049" s="24"/>
      <c r="Q2049" s="24"/>
      <c r="R2049" s="24"/>
      <c r="S2049" s="24"/>
      <c r="T2049" s="24"/>
      <c r="U2049" s="24"/>
      <c r="V2049" s="24"/>
      <c r="W2049" s="24"/>
      <c r="X2049" s="24"/>
      <c r="Y2049" s="24"/>
      <c r="Z2049" s="24"/>
      <c r="AA2049" s="24"/>
      <c r="AB2049" s="24"/>
      <c r="AC2049" s="24"/>
      <c r="AD2049" s="24"/>
      <c r="AE2049" s="24"/>
      <c r="AF2049" s="24"/>
      <c r="AG2049" s="24"/>
      <c r="AH2049" s="24"/>
      <c r="AI2049" s="24"/>
      <c r="AJ2049" s="24"/>
      <c r="AK2049" s="24"/>
      <c r="AL2049" s="24"/>
      <c r="AM2049" s="24"/>
      <c r="AN2049" s="24"/>
      <c r="AO2049" s="24"/>
      <c r="AP2049" s="24"/>
      <c r="AQ2049" s="24"/>
      <c r="AR2049" s="54"/>
    </row>
    <row r="2050">
      <c r="A2050" s="57"/>
      <c r="B2050" s="24"/>
      <c r="C2050" s="24"/>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c r="AA2050" s="24"/>
      <c r="AB2050" s="24"/>
      <c r="AC2050" s="24"/>
      <c r="AD2050" s="24"/>
      <c r="AE2050" s="24"/>
      <c r="AF2050" s="24"/>
      <c r="AG2050" s="24"/>
      <c r="AH2050" s="24"/>
      <c r="AI2050" s="24"/>
      <c r="AJ2050" s="24"/>
      <c r="AK2050" s="24"/>
      <c r="AL2050" s="24"/>
      <c r="AM2050" s="24"/>
      <c r="AN2050" s="24"/>
      <c r="AO2050" s="24"/>
      <c r="AP2050" s="24"/>
      <c r="AQ2050" s="24"/>
      <c r="AR2050" s="54"/>
    </row>
    <row r="2051">
      <c r="A2051" s="57"/>
      <c r="B2051" s="24"/>
      <c r="C2051" s="24"/>
      <c r="D2051" s="24"/>
      <c r="E2051" s="24"/>
      <c r="F2051" s="24"/>
      <c r="G2051" s="24"/>
      <c r="H2051" s="24"/>
      <c r="I2051" s="24"/>
      <c r="J2051" s="24"/>
      <c r="K2051" s="24"/>
      <c r="L2051" s="24"/>
      <c r="M2051" s="24"/>
      <c r="N2051" s="24"/>
      <c r="O2051" s="24"/>
      <c r="P2051" s="24"/>
      <c r="Q2051" s="24"/>
      <c r="R2051" s="24"/>
      <c r="S2051" s="24"/>
      <c r="T2051" s="24"/>
      <c r="U2051" s="24"/>
      <c r="V2051" s="24"/>
      <c r="W2051" s="24"/>
      <c r="X2051" s="24"/>
      <c r="Y2051" s="24"/>
      <c r="Z2051" s="24"/>
      <c r="AA2051" s="24"/>
      <c r="AB2051" s="24"/>
      <c r="AC2051" s="24"/>
      <c r="AD2051" s="24"/>
      <c r="AE2051" s="24"/>
      <c r="AF2051" s="24"/>
      <c r="AG2051" s="24"/>
      <c r="AH2051" s="24"/>
      <c r="AI2051" s="24"/>
      <c r="AJ2051" s="24"/>
      <c r="AK2051" s="24"/>
      <c r="AL2051" s="24"/>
      <c r="AM2051" s="24"/>
      <c r="AN2051" s="24"/>
      <c r="AO2051" s="24"/>
      <c r="AP2051" s="24"/>
      <c r="AQ2051" s="24"/>
      <c r="AR2051" s="54"/>
    </row>
    <row r="2052">
      <c r="A2052" s="57"/>
      <c r="B2052" s="24"/>
      <c r="C2052" s="24"/>
      <c r="D2052" s="24"/>
      <c r="E2052" s="24"/>
      <c r="F2052" s="24"/>
      <c r="G2052" s="24"/>
      <c r="H2052" s="24"/>
      <c r="I2052" s="24"/>
      <c r="J2052" s="24"/>
      <c r="K2052" s="24"/>
      <c r="L2052" s="24"/>
      <c r="M2052" s="24"/>
      <c r="N2052" s="24"/>
      <c r="O2052" s="24"/>
      <c r="P2052" s="24"/>
      <c r="Q2052" s="24"/>
      <c r="R2052" s="24"/>
      <c r="S2052" s="24"/>
      <c r="T2052" s="24"/>
      <c r="U2052" s="24"/>
      <c r="V2052" s="24"/>
      <c r="W2052" s="24"/>
      <c r="X2052" s="24"/>
      <c r="Y2052" s="24"/>
      <c r="Z2052" s="24"/>
      <c r="AA2052" s="24"/>
      <c r="AB2052" s="24"/>
      <c r="AC2052" s="24"/>
      <c r="AD2052" s="24"/>
      <c r="AE2052" s="24"/>
      <c r="AF2052" s="24"/>
      <c r="AG2052" s="24"/>
      <c r="AH2052" s="24"/>
      <c r="AI2052" s="24"/>
      <c r="AJ2052" s="24"/>
      <c r="AK2052" s="24"/>
      <c r="AL2052" s="24"/>
      <c r="AM2052" s="24"/>
      <c r="AN2052" s="24"/>
      <c r="AO2052" s="24"/>
      <c r="AP2052" s="24"/>
      <c r="AQ2052" s="24"/>
      <c r="AR2052" s="54"/>
    </row>
    <row r="2053">
      <c r="A2053" s="57"/>
      <c r="B2053" s="24"/>
      <c r="C2053" s="24"/>
      <c r="D2053" s="24"/>
      <c r="E2053" s="24"/>
      <c r="F2053" s="24"/>
      <c r="G2053" s="24"/>
      <c r="H2053" s="24"/>
      <c r="I2053" s="24"/>
      <c r="J2053" s="24"/>
      <c r="K2053" s="24"/>
      <c r="L2053" s="24"/>
      <c r="M2053" s="24"/>
      <c r="N2053" s="24"/>
      <c r="O2053" s="24"/>
      <c r="P2053" s="24"/>
      <c r="Q2053" s="24"/>
      <c r="R2053" s="24"/>
      <c r="S2053" s="24"/>
      <c r="T2053" s="24"/>
      <c r="U2053" s="24"/>
      <c r="V2053" s="24"/>
      <c r="W2053" s="24"/>
      <c r="X2053" s="24"/>
      <c r="Y2053" s="24"/>
      <c r="Z2053" s="24"/>
      <c r="AA2053" s="24"/>
      <c r="AB2053" s="24"/>
      <c r="AC2053" s="24"/>
      <c r="AD2053" s="24"/>
      <c r="AE2053" s="24"/>
      <c r="AF2053" s="24"/>
      <c r="AG2053" s="24"/>
      <c r="AH2053" s="24"/>
      <c r="AI2053" s="24"/>
      <c r="AJ2053" s="24"/>
      <c r="AK2053" s="24"/>
      <c r="AL2053" s="24"/>
      <c r="AM2053" s="24"/>
      <c r="AN2053" s="24"/>
      <c r="AO2053" s="24"/>
      <c r="AP2053" s="24"/>
      <c r="AQ2053" s="24"/>
      <c r="AR2053" s="54"/>
    </row>
    <row r="2054">
      <c r="A2054" s="57"/>
      <c r="B2054" s="24"/>
      <c r="C2054" s="24"/>
      <c r="D2054" s="24"/>
      <c r="E2054" s="24"/>
      <c r="F2054" s="24"/>
      <c r="G2054" s="24"/>
      <c r="H2054" s="24"/>
      <c r="I2054" s="24"/>
      <c r="J2054" s="24"/>
      <c r="K2054" s="24"/>
      <c r="L2054" s="24"/>
      <c r="M2054" s="24"/>
      <c r="N2054" s="24"/>
      <c r="O2054" s="24"/>
      <c r="P2054" s="24"/>
      <c r="Q2054" s="24"/>
      <c r="R2054" s="24"/>
      <c r="S2054" s="24"/>
      <c r="T2054" s="24"/>
      <c r="U2054" s="24"/>
      <c r="V2054" s="24"/>
      <c r="W2054" s="24"/>
      <c r="X2054" s="24"/>
      <c r="Y2054" s="24"/>
      <c r="Z2054" s="24"/>
      <c r="AA2054" s="24"/>
      <c r="AB2054" s="24"/>
      <c r="AC2054" s="24"/>
      <c r="AD2054" s="24"/>
      <c r="AE2054" s="24"/>
      <c r="AF2054" s="24"/>
      <c r="AG2054" s="24"/>
      <c r="AH2054" s="24"/>
      <c r="AI2054" s="24"/>
      <c r="AJ2054" s="24"/>
      <c r="AK2054" s="24"/>
      <c r="AL2054" s="24"/>
      <c r="AM2054" s="24"/>
      <c r="AN2054" s="24"/>
      <c r="AO2054" s="24"/>
      <c r="AP2054" s="24"/>
      <c r="AQ2054" s="24"/>
      <c r="AR2054" s="54"/>
    </row>
    <row r="2055">
      <c r="A2055" s="57"/>
      <c r="B2055" s="24"/>
      <c r="C2055" s="24"/>
      <c r="D2055" s="24"/>
      <c r="E2055" s="24"/>
      <c r="F2055" s="24"/>
      <c r="G2055" s="24"/>
      <c r="H2055" s="24"/>
      <c r="I2055" s="24"/>
      <c r="J2055" s="24"/>
      <c r="K2055" s="24"/>
      <c r="L2055" s="24"/>
      <c r="M2055" s="24"/>
      <c r="N2055" s="24"/>
      <c r="O2055" s="24"/>
      <c r="P2055" s="24"/>
      <c r="Q2055" s="24"/>
      <c r="R2055" s="24"/>
      <c r="S2055" s="24"/>
      <c r="T2055" s="24"/>
      <c r="U2055" s="24"/>
      <c r="V2055" s="24"/>
      <c r="W2055" s="24"/>
      <c r="X2055" s="24"/>
      <c r="Y2055" s="24"/>
      <c r="Z2055" s="24"/>
      <c r="AA2055" s="24"/>
      <c r="AB2055" s="24"/>
      <c r="AC2055" s="24"/>
      <c r="AD2055" s="24"/>
      <c r="AE2055" s="24"/>
      <c r="AF2055" s="24"/>
      <c r="AG2055" s="24"/>
      <c r="AH2055" s="24"/>
      <c r="AI2055" s="24"/>
      <c r="AJ2055" s="24"/>
      <c r="AK2055" s="24"/>
      <c r="AL2055" s="24"/>
      <c r="AM2055" s="24"/>
      <c r="AN2055" s="24"/>
      <c r="AO2055" s="24"/>
      <c r="AP2055" s="24"/>
      <c r="AQ2055" s="24"/>
      <c r="AR2055" s="54"/>
    </row>
    <row r="2056">
      <c r="A2056" s="57"/>
      <c r="B2056" s="24"/>
      <c r="C2056" s="24"/>
      <c r="D2056" s="24"/>
      <c r="E2056" s="24"/>
      <c r="F2056" s="24"/>
      <c r="G2056" s="24"/>
      <c r="H2056" s="24"/>
      <c r="I2056" s="24"/>
      <c r="J2056" s="24"/>
      <c r="K2056" s="24"/>
      <c r="L2056" s="24"/>
      <c r="M2056" s="24"/>
      <c r="N2056" s="24"/>
      <c r="O2056" s="24"/>
      <c r="P2056" s="24"/>
      <c r="Q2056" s="24"/>
      <c r="R2056" s="24"/>
      <c r="S2056" s="24"/>
      <c r="T2056" s="24"/>
      <c r="U2056" s="24"/>
      <c r="V2056" s="24"/>
      <c r="W2056" s="24"/>
      <c r="X2056" s="24"/>
      <c r="Y2056" s="24"/>
      <c r="Z2056" s="24"/>
      <c r="AA2056" s="24"/>
      <c r="AB2056" s="24"/>
      <c r="AC2056" s="24"/>
      <c r="AD2056" s="24"/>
      <c r="AE2056" s="24"/>
      <c r="AF2056" s="24"/>
      <c r="AG2056" s="24"/>
      <c r="AH2056" s="24"/>
      <c r="AI2056" s="24"/>
      <c r="AJ2056" s="24"/>
      <c r="AK2056" s="24"/>
      <c r="AL2056" s="24"/>
      <c r="AM2056" s="24"/>
      <c r="AN2056" s="24"/>
      <c r="AO2056" s="24"/>
      <c r="AP2056" s="24"/>
      <c r="AQ2056" s="24"/>
      <c r="AR2056" s="54"/>
    </row>
    <row r="2057">
      <c r="A2057" s="57"/>
      <c r="B2057" s="24"/>
      <c r="C2057" s="24"/>
      <c r="D2057" s="24"/>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c r="AA2057" s="24"/>
      <c r="AB2057" s="24"/>
      <c r="AC2057" s="24"/>
      <c r="AD2057" s="24"/>
      <c r="AE2057" s="24"/>
      <c r="AF2057" s="24"/>
      <c r="AG2057" s="24"/>
      <c r="AH2057" s="24"/>
      <c r="AI2057" s="24"/>
      <c r="AJ2057" s="24"/>
      <c r="AK2057" s="24"/>
      <c r="AL2057" s="24"/>
      <c r="AM2057" s="24"/>
      <c r="AN2057" s="24"/>
      <c r="AO2057" s="24"/>
      <c r="AP2057" s="24"/>
      <c r="AQ2057" s="24"/>
      <c r="AR2057" s="54"/>
    </row>
    <row r="2058">
      <c r="A2058" s="57"/>
      <c r="B2058" s="24"/>
      <c r="C2058" s="24"/>
      <c r="D2058" s="24"/>
      <c r="E2058" s="24"/>
      <c r="F2058" s="24"/>
      <c r="G2058" s="24"/>
      <c r="H2058" s="24"/>
      <c r="I2058" s="24"/>
      <c r="J2058" s="24"/>
      <c r="K2058" s="24"/>
      <c r="L2058" s="24"/>
      <c r="M2058" s="24"/>
      <c r="N2058" s="24"/>
      <c r="O2058" s="24"/>
      <c r="P2058" s="24"/>
      <c r="Q2058" s="24"/>
      <c r="R2058" s="24"/>
      <c r="S2058" s="24"/>
      <c r="T2058" s="24"/>
      <c r="U2058" s="24"/>
      <c r="V2058" s="24"/>
      <c r="W2058" s="24"/>
      <c r="X2058" s="24"/>
      <c r="Y2058" s="24"/>
      <c r="Z2058" s="24"/>
      <c r="AA2058" s="24"/>
      <c r="AB2058" s="24"/>
      <c r="AC2058" s="24"/>
      <c r="AD2058" s="24"/>
      <c r="AE2058" s="24"/>
      <c r="AF2058" s="24"/>
      <c r="AG2058" s="24"/>
      <c r="AH2058" s="24"/>
      <c r="AI2058" s="24"/>
      <c r="AJ2058" s="24"/>
      <c r="AK2058" s="24"/>
      <c r="AL2058" s="24"/>
      <c r="AM2058" s="24"/>
      <c r="AN2058" s="24"/>
      <c r="AO2058" s="24"/>
      <c r="AP2058" s="24"/>
      <c r="AQ2058" s="24"/>
      <c r="AR2058" s="54"/>
    </row>
    <row r="2059">
      <c r="A2059" s="57"/>
      <c r="B2059" s="24"/>
      <c r="C2059" s="24"/>
      <c r="D2059" s="24"/>
      <c r="E2059" s="24"/>
      <c r="F2059" s="24"/>
      <c r="G2059" s="24"/>
      <c r="H2059" s="24"/>
      <c r="I2059" s="24"/>
      <c r="J2059" s="24"/>
      <c r="K2059" s="24"/>
      <c r="L2059" s="24"/>
      <c r="M2059" s="24"/>
      <c r="N2059" s="24"/>
      <c r="O2059" s="24"/>
      <c r="P2059" s="24"/>
      <c r="Q2059" s="24"/>
      <c r="R2059" s="24"/>
      <c r="S2059" s="24"/>
      <c r="T2059" s="24"/>
      <c r="U2059" s="24"/>
      <c r="V2059" s="24"/>
      <c r="W2059" s="24"/>
      <c r="X2059" s="24"/>
      <c r="Y2059" s="24"/>
      <c r="Z2059" s="24"/>
      <c r="AA2059" s="24"/>
      <c r="AB2059" s="24"/>
      <c r="AC2059" s="24"/>
      <c r="AD2059" s="24"/>
      <c r="AE2059" s="24"/>
      <c r="AF2059" s="24"/>
      <c r="AG2059" s="24"/>
      <c r="AH2059" s="24"/>
      <c r="AI2059" s="24"/>
      <c r="AJ2059" s="24"/>
      <c r="AK2059" s="24"/>
      <c r="AL2059" s="24"/>
      <c r="AM2059" s="24"/>
      <c r="AN2059" s="24"/>
      <c r="AO2059" s="24"/>
      <c r="AP2059" s="24"/>
      <c r="AQ2059" s="24"/>
      <c r="AR2059" s="54"/>
    </row>
    <row r="2060">
      <c r="A2060" s="57"/>
      <c r="B2060" s="24"/>
      <c r="C2060" s="24"/>
      <c r="D2060" s="24"/>
      <c r="E2060" s="24"/>
      <c r="F2060" s="24"/>
      <c r="G2060" s="24"/>
      <c r="H2060" s="24"/>
      <c r="I2060" s="24"/>
      <c r="J2060" s="24"/>
      <c r="K2060" s="24"/>
      <c r="L2060" s="24"/>
      <c r="M2060" s="24"/>
      <c r="N2060" s="24"/>
      <c r="O2060" s="24"/>
      <c r="P2060" s="24"/>
      <c r="Q2060" s="24"/>
      <c r="R2060" s="24"/>
      <c r="S2060" s="24"/>
      <c r="T2060" s="24"/>
      <c r="U2060" s="24"/>
      <c r="V2060" s="24"/>
      <c r="W2060" s="24"/>
      <c r="X2060" s="24"/>
      <c r="Y2060" s="24"/>
      <c r="Z2060" s="24"/>
      <c r="AA2060" s="24"/>
      <c r="AB2060" s="24"/>
      <c r="AC2060" s="24"/>
      <c r="AD2060" s="24"/>
      <c r="AE2060" s="24"/>
      <c r="AF2060" s="24"/>
      <c r="AG2060" s="24"/>
      <c r="AH2060" s="24"/>
      <c r="AI2060" s="24"/>
      <c r="AJ2060" s="24"/>
      <c r="AK2060" s="24"/>
      <c r="AL2060" s="24"/>
      <c r="AM2060" s="24"/>
      <c r="AN2060" s="24"/>
      <c r="AO2060" s="24"/>
      <c r="AP2060" s="24"/>
      <c r="AQ2060" s="24"/>
      <c r="AR2060" s="54"/>
    </row>
    <row r="2061">
      <c r="A2061" s="57"/>
      <c r="B2061" s="24"/>
      <c r="C2061" s="24"/>
      <c r="D2061" s="24"/>
      <c r="E2061" s="24"/>
      <c r="F2061" s="24"/>
      <c r="G2061" s="24"/>
      <c r="H2061" s="24"/>
      <c r="I2061" s="24"/>
      <c r="J2061" s="24"/>
      <c r="K2061" s="24"/>
      <c r="L2061" s="24"/>
      <c r="M2061" s="24"/>
      <c r="N2061" s="24"/>
      <c r="O2061" s="24"/>
      <c r="P2061" s="24"/>
      <c r="Q2061" s="24"/>
      <c r="R2061" s="24"/>
      <c r="S2061" s="24"/>
      <c r="T2061" s="24"/>
      <c r="U2061" s="24"/>
      <c r="V2061" s="24"/>
      <c r="W2061" s="24"/>
      <c r="X2061" s="24"/>
      <c r="Y2061" s="24"/>
      <c r="Z2061" s="24"/>
      <c r="AA2061" s="24"/>
      <c r="AB2061" s="24"/>
      <c r="AC2061" s="24"/>
      <c r="AD2061" s="24"/>
      <c r="AE2061" s="24"/>
      <c r="AF2061" s="24"/>
      <c r="AG2061" s="24"/>
      <c r="AH2061" s="24"/>
      <c r="AI2061" s="24"/>
      <c r="AJ2061" s="24"/>
      <c r="AK2061" s="24"/>
      <c r="AL2061" s="24"/>
      <c r="AM2061" s="24"/>
      <c r="AN2061" s="24"/>
      <c r="AO2061" s="24"/>
      <c r="AP2061" s="24"/>
      <c r="AQ2061" s="24"/>
      <c r="AR2061" s="54"/>
    </row>
    <row r="2062">
      <c r="A2062" s="57"/>
      <c r="B2062" s="24"/>
      <c r="C2062" s="24"/>
      <c r="D2062" s="24"/>
      <c r="E2062" s="24"/>
      <c r="F2062" s="24"/>
      <c r="G2062" s="24"/>
      <c r="H2062" s="24"/>
      <c r="I2062" s="24"/>
      <c r="J2062" s="24"/>
      <c r="K2062" s="24"/>
      <c r="L2062" s="24"/>
      <c r="M2062" s="24"/>
      <c r="N2062" s="24"/>
      <c r="O2062" s="24"/>
      <c r="P2062" s="24"/>
      <c r="Q2062" s="24"/>
      <c r="R2062" s="24"/>
      <c r="S2062" s="24"/>
      <c r="T2062" s="24"/>
      <c r="U2062" s="24"/>
      <c r="V2062" s="24"/>
      <c r="W2062" s="24"/>
      <c r="X2062" s="24"/>
      <c r="Y2062" s="24"/>
      <c r="Z2062" s="24"/>
      <c r="AA2062" s="24"/>
      <c r="AB2062" s="24"/>
      <c r="AC2062" s="24"/>
      <c r="AD2062" s="24"/>
      <c r="AE2062" s="24"/>
      <c r="AF2062" s="24"/>
      <c r="AG2062" s="24"/>
      <c r="AH2062" s="24"/>
      <c r="AI2062" s="24"/>
      <c r="AJ2062" s="24"/>
      <c r="AK2062" s="24"/>
      <c r="AL2062" s="24"/>
      <c r="AM2062" s="24"/>
      <c r="AN2062" s="24"/>
      <c r="AO2062" s="24"/>
      <c r="AP2062" s="24"/>
      <c r="AQ2062" s="24"/>
      <c r="AR2062" s="54"/>
    </row>
    <row r="2063">
      <c r="A2063" s="57"/>
      <c r="B2063" s="24"/>
      <c r="C2063" s="24"/>
      <c r="D2063" s="24"/>
      <c r="E2063" s="24"/>
      <c r="F2063" s="24"/>
      <c r="G2063" s="24"/>
      <c r="H2063" s="24"/>
      <c r="I2063" s="24"/>
      <c r="J2063" s="24"/>
      <c r="K2063" s="24"/>
      <c r="L2063" s="24"/>
      <c r="M2063" s="24"/>
      <c r="N2063" s="24"/>
      <c r="O2063" s="24"/>
      <c r="P2063" s="24"/>
      <c r="Q2063" s="24"/>
      <c r="R2063" s="24"/>
      <c r="S2063" s="24"/>
      <c r="T2063" s="24"/>
      <c r="U2063" s="24"/>
      <c r="V2063" s="24"/>
      <c r="W2063" s="24"/>
      <c r="X2063" s="24"/>
      <c r="Y2063" s="24"/>
      <c r="Z2063" s="24"/>
      <c r="AA2063" s="24"/>
      <c r="AB2063" s="24"/>
      <c r="AC2063" s="24"/>
      <c r="AD2063" s="24"/>
      <c r="AE2063" s="24"/>
      <c r="AF2063" s="24"/>
      <c r="AG2063" s="24"/>
      <c r="AH2063" s="24"/>
      <c r="AI2063" s="24"/>
      <c r="AJ2063" s="24"/>
      <c r="AK2063" s="24"/>
      <c r="AL2063" s="24"/>
      <c r="AM2063" s="24"/>
      <c r="AN2063" s="24"/>
      <c r="AO2063" s="24"/>
      <c r="AP2063" s="24"/>
      <c r="AQ2063" s="24"/>
      <c r="AR2063" s="54"/>
    </row>
    <row r="2064">
      <c r="A2064" s="57"/>
      <c r="B2064" s="24"/>
      <c r="C2064" s="24"/>
      <c r="D2064" s="24"/>
      <c r="E2064" s="24"/>
      <c r="F2064" s="24"/>
      <c r="G2064" s="24"/>
      <c r="H2064" s="24"/>
      <c r="I2064" s="24"/>
      <c r="J2064" s="24"/>
      <c r="K2064" s="24"/>
      <c r="L2064" s="24"/>
      <c r="M2064" s="24"/>
      <c r="N2064" s="24"/>
      <c r="O2064" s="24"/>
      <c r="P2064" s="24"/>
      <c r="Q2064" s="24"/>
      <c r="R2064" s="24"/>
      <c r="S2064" s="24"/>
      <c r="T2064" s="24"/>
      <c r="U2064" s="24"/>
      <c r="V2064" s="24"/>
      <c r="W2064" s="24"/>
      <c r="X2064" s="24"/>
      <c r="Y2064" s="24"/>
      <c r="Z2064" s="24"/>
      <c r="AA2064" s="24"/>
      <c r="AB2064" s="24"/>
      <c r="AC2064" s="24"/>
      <c r="AD2064" s="24"/>
      <c r="AE2064" s="24"/>
      <c r="AF2064" s="24"/>
      <c r="AG2064" s="24"/>
      <c r="AH2064" s="24"/>
      <c r="AI2064" s="24"/>
      <c r="AJ2064" s="24"/>
      <c r="AK2064" s="24"/>
      <c r="AL2064" s="24"/>
      <c r="AM2064" s="24"/>
      <c r="AN2064" s="24"/>
      <c r="AO2064" s="24"/>
      <c r="AP2064" s="24"/>
      <c r="AQ2064" s="24"/>
      <c r="AR2064" s="54"/>
    </row>
    <row r="2065">
      <c r="A2065" s="57"/>
      <c r="B2065" s="24"/>
      <c r="C2065" s="24"/>
      <c r="D2065" s="24"/>
      <c r="E2065" s="24"/>
      <c r="F2065" s="24"/>
      <c r="G2065" s="24"/>
      <c r="H2065" s="24"/>
      <c r="I2065" s="24"/>
      <c r="J2065" s="24"/>
      <c r="K2065" s="24"/>
      <c r="L2065" s="24"/>
      <c r="M2065" s="24"/>
      <c r="N2065" s="24"/>
      <c r="O2065" s="24"/>
      <c r="P2065" s="24"/>
      <c r="Q2065" s="24"/>
      <c r="R2065" s="24"/>
      <c r="S2065" s="24"/>
      <c r="T2065" s="24"/>
      <c r="U2065" s="24"/>
      <c r="V2065" s="24"/>
      <c r="W2065" s="24"/>
      <c r="X2065" s="24"/>
      <c r="Y2065" s="24"/>
      <c r="Z2065" s="24"/>
      <c r="AA2065" s="24"/>
      <c r="AB2065" s="24"/>
      <c r="AC2065" s="24"/>
      <c r="AD2065" s="24"/>
      <c r="AE2065" s="24"/>
      <c r="AF2065" s="24"/>
      <c r="AG2065" s="24"/>
      <c r="AH2065" s="24"/>
      <c r="AI2065" s="24"/>
      <c r="AJ2065" s="24"/>
      <c r="AK2065" s="24"/>
      <c r="AL2065" s="24"/>
      <c r="AM2065" s="24"/>
      <c r="AN2065" s="24"/>
      <c r="AO2065" s="24"/>
      <c r="AP2065" s="24"/>
      <c r="AQ2065" s="24"/>
      <c r="AR2065" s="54"/>
    </row>
    <row r="2066">
      <c r="A2066" s="57"/>
      <c r="B2066" s="24"/>
      <c r="C2066" s="24"/>
      <c r="D2066" s="24"/>
      <c r="E2066" s="24"/>
      <c r="F2066" s="24"/>
      <c r="G2066" s="24"/>
      <c r="H2066" s="24"/>
      <c r="I2066" s="24"/>
      <c r="J2066" s="24"/>
      <c r="K2066" s="24"/>
      <c r="L2066" s="24"/>
      <c r="M2066" s="24"/>
      <c r="N2066" s="24"/>
      <c r="O2066" s="24"/>
      <c r="P2066" s="24"/>
      <c r="Q2066" s="24"/>
      <c r="R2066" s="24"/>
      <c r="S2066" s="24"/>
      <c r="T2066" s="24"/>
      <c r="U2066" s="24"/>
      <c r="V2066" s="24"/>
      <c r="W2066" s="24"/>
      <c r="X2066" s="24"/>
      <c r="Y2066" s="24"/>
      <c r="Z2066" s="24"/>
      <c r="AA2066" s="24"/>
      <c r="AB2066" s="24"/>
      <c r="AC2066" s="24"/>
      <c r="AD2066" s="24"/>
      <c r="AE2066" s="24"/>
      <c r="AF2066" s="24"/>
      <c r="AG2066" s="24"/>
      <c r="AH2066" s="24"/>
      <c r="AI2066" s="24"/>
      <c r="AJ2066" s="24"/>
      <c r="AK2066" s="24"/>
      <c r="AL2066" s="24"/>
      <c r="AM2066" s="24"/>
      <c r="AN2066" s="24"/>
      <c r="AO2066" s="24"/>
      <c r="AP2066" s="24"/>
      <c r="AQ2066" s="24"/>
      <c r="AR2066" s="54"/>
    </row>
    <row r="2067">
      <c r="A2067" s="57"/>
      <c r="B2067" s="24"/>
      <c r="C2067" s="24"/>
      <c r="D2067" s="24"/>
      <c r="E2067" s="24"/>
      <c r="F2067" s="24"/>
      <c r="G2067" s="24"/>
      <c r="H2067" s="24"/>
      <c r="I2067" s="24"/>
      <c r="J2067" s="24"/>
      <c r="K2067" s="24"/>
      <c r="L2067" s="24"/>
      <c r="M2067" s="24"/>
      <c r="N2067" s="24"/>
      <c r="O2067" s="24"/>
      <c r="P2067" s="24"/>
      <c r="Q2067" s="24"/>
      <c r="R2067" s="24"/>
      <c r="S2067" s="24"/>
      <c r="T2067" s="24"/>
      <c r="U2067" s="24"/>
      <c r="V2067" s="24"/>
      <c r="W2067" s="24"/>
      <c r="X2067" s="24"/>
      <c r="Y2067" s="24"/>
      <c r="Z2067" s="24"/>
      <c r="AA2067" s="24"/>
      <c r="AB2067" s="24"/>
      <c r="AC2067" s="24"/>
      <c r="AD2067" s="24"/>
      <c r="AE2067" s="24"/>
      <c r="AF2067" s="24"/>
      <c r="AG2067" s="24"/>
      <c r="AH2067" s="24"/>
      <c r="AI2067" s="24"/>
      <c r="AJ2067" s="24"/>
      <c r="AK2067" s="24"/>
      <c r="AL2067" s="24"/>
      <c r="AM2067" s="24"/>
      <c r="AN2067" s="24"/>
      <c r="AO2067" s="24"/>
      <c r="AP2067" s="24"/>
      <c r="AQ2067" s="24"/>
      <c r="AR2067" s="54"/>
    </row>
    <row r="2068">
      <c r="A2068" s="57"/>
      <c r="B2068" s="24"/>
      <c r="C2068" s="24"/>
      <c r="D2068" s="24"/>
      <c r="E2068" s="24"/>
      <c r="F2068" s="24"/>
      <c r="G2068" s="24"/>
      <c r="H2068" s="24"/>
      <c r="I2068" s="24"/>
      <c r="J2068" s="24"/>
      <c r="K2068" s="24"/>
      <c r="L2068" s="24"/>
      <c r="M2068" s="24"/>
      <c r="N2068" s="24"/>
      <c r="O2068" s="24"/>
      <c r="P2068" s="24"/>
      <c r="Q2068" s="24"/>
      <c r="R2068" s="24"/>
      <c r="S2068" s="24"/>
      <c r="T2068" s="24"/>
      <c r="U2068" s="24"/>
      <c r="V2068" s="24"/>
      <c r="W2068" s="24"/>
      <c r="X2068" s="24"/>
      <c r="Y2068" s="24"/>
      <c r="Z2068" s="24"/>
      <c r="AA2068" s="24"/>
      <c r="AB2068" s="24"/>
      <c r="AC2068" s="24"/>
      <c r="AD2068" s="24"/>
      <c r="AE2068" s="24"/>
      <c r="AF2068" s="24"/>
      <c r="AG2068" s="24"/>
      <c r="AH2068" s="24"/>
      <c r="AI2068" s="24"/>
      <c r="AJ2068" s="24"/>
      <c r="AK2068" s="24"/>
      <c r="AL2068" s="24"/>
      <c r="AM2068" s="24"/>
      <c r="AN2068" s="24"/>
      <c r="AO2068" s="24"/>
      <c r="AP2068" s="24"/>
      <c r="AQ2068" s="24"/>
      <c r="AR2068" s="54"/>
    </row>
    <row r="2069">
      <c r="A2069" s="57"/>
      <c r="B2069" s="24"/>
      <c r="C2069" s="24"/>
      <c r="D2069" s="24"/>
      <c r="E2069" s="24"/>
      <c r="F2069" s="24"/>
      <c r="G2069" s="24"/>
      <c r="H2069" s="24"/>
      <c r="I2069" s="24"/>
      <c r="J2069" s="24"/>
      <c r="K2069" s="24"/>
      <c r="L2069" s="24"/>
      <c r="M2069" s="24"/>
      <c r="N2069" s="24"/>
      <c r="O2069" s="24"/>
      <c r="P2069" s="24"/>
      <c r="Q2069" s="24"/>
      <c r="R2069" s="24"/>
      <c r="S2069" s="24"/>
      <c r="T2069" s="24"/>
      <c r="U2069" s="24"/>
      <c r="V2069" s="24"/>
      <c r="W2069" s="24"/>
      <c r="X2069" s="24"/>
      <c r="Y2069" s="24"/>
      <c r="Z2069" s="24"/>
      <c r="AA2069" s="24"/>
      <c r="AB2069" s="24"/>
      <c r="AC2069" s="24"/>
      <c r="AD2069" s="24"/>
      <c r="AE2069" s="24"/>
      <c r="AF2069" s="24"/>
      <c r="AG2069" s="24"/>
      <c r="AH2069" s="24"/>
      <c r="AI2069" s="24"/>
      <c r="AJ2069" s="24"/>
      <c r="AK2069" s="24"/>
      <c r="AL2069" s="24"/>
      <c r="AM2069" s="24"/>
      <c r="AN2069" s="24"/>
      <c r="AO2069" s="24"/>
      <c r="AP2069" s="24"/>
      <c r="AQ2069" s="24"/>
      <c r="AR2069" s="54"/>
    </row>
    <row r="2070">
      <c r="A2070" s="57"/>
      <c r="B2070" s="24"/>
      <c r="C2070" s="24"/>
      <c r="D2070" s="24"/>
      <c r="E2070" s="24"/>
      <c r="F2070" s="24"/>
      <c r="G2070" s="24"/>
      <c r="H2070" s="24"/>
      <c r="I2070" s="24"/>
      <c r="J2070" s="24"/>
      <c r="K2070" s="24"/>
      <c r="L2070" s="24"/>
      <c r="M2070" s="24"/>
      <c r="N2070" s="24"/>
      <c r="O2070" s="24"/>
      <c r="P2070" s="24"/>
      <c r="Q2070" s="24"/>
      <c r="R2070" s="24"/>
      <c r="S2070" s="24"/>
      <c r="T2070" s="24"/>
      <c r="U2070" s="24"/>
      <c r="V2070" s="24"/>
      <c r="W2070" s="24"/>
      <c r="X2070" s="24"/>
      <c r="Y2070" s="24"/>
      <c r="Z2070" s="24"/>
      <c r="AA2070" s="24"/>
      <c r="AB2070" s="24"/>
      <c r="AC2070" s="24"/>
      <c r="AD2070" s="24"/>
      <c r="AE2070" s="24"/>
      <c r="AF2070" s="24"/>
      <c r="AG2070" s="24"/>
      <c r="AH2070" s="24"/>
      <c r="AI2070" s="24"/>
      <c r="AJ2070" s="24"/>
      <c r="AK2070" s="24"/>
      <c r="AL2070" s="24"/>
      <c r="AM2070" s="24"/>
      <c r="AN2070" s="24"/>
      <c r="AO2070" s="24"/>
      <c r="AP2070" s="24"/>
      <c r="AQ2070" s="24"/>
      <c r="AR2070" s="54"/>
    </row>
    <row r="2071">
      <c r="A2071" s="57"/>
      <c r="B2071" s="24"/>
      <c r="C2071" s="24"/>
      <c r="D2071" s="24"/>
      <c r="E2071" s="24"/>
      <c r="F2071" s="24"/>
      <c r="G2071" s="24"/>
      <c r="H2071" s="24"/>
      <c r="I2071" s="24"/>
      <c r="J2071" s="24"/>
      <c r="K2071" s="24"/>
      <c r="L2071" s="24"/>
      <c r="M2071" s="24"/>
      <c r="N2071" s="24"/>
      <c r="O2071" s="24"/>
      <c r="P2071" s="24"/>
      <c r="Q2071" s="24"/>
      <c r="R2071" s="24"/>
      <c r="S2071" s="24"/>
      <c r="T2071" s="24"/>
      <c r="U2071" s="24"/>
      <c r="V2071" s="24"/>
      <c r="W2071" s="24"/>
      <c r="X2071" s="24"/>
      <c r="Y2071" s="24"/>
      <c r="Z2071" s="24"/>
      <c r="AA2071" s="24"/>
      <c r="AB2071" s="24"/>
      <c r="AC2071" s="24"/>
      <c r="AD2071" s="24"/>
      <c r="AE2071" s="24"/>
      <c r="AF2071" s="24"/>
      <c r="AG2071" s="24"/>
      <c r="AH2071" s="24"/>
      <c r="AI2071" s="24"/>
      <c r="AJ2071" s="24"/>
      <c r="AK2071" s="24"/>
      <c r="AL2071" s="24"/>
      <c r="AM2071" s="24"/>
      <c r="AN2071" s="24"/>
      <c r="AO2071" s="24"/>
      <c r="AP2071" s="24"/>
      <c r="AQ2071" s="24"/>
      <c r="AR2071" s="54"/>
    </row>
    <row r="2072">
      <c r="A2072" s="57"/>
      <c r="B2072" s="24"/>
      <c r="C2072" s="24"/>
      <c r="D2072" s="24"/>
      <c r="E2072" s="24"/>
      <c r="F2072" s="24"/>
      <c r="G2072" s="24"/>
      <c r="H2072" s="24"/>
      <c r="I2072" s="24"/>
      <c r="J2072" s="24"/>
      <c r="K2072" s="24"/>
      <c r="L2072" s="24"/>
      <c r="M2072" s="24"/>
      <c r="N2072" s="24"/>
      <c r="O2072" s="24"/>
      <c r="P2072" s="24"/>
      <c r="Q2072" s="24"/>
      <c r="R2072" s="24"/>
      <c r="S2072" s="24"/>
      <c r="T2072" s="24"/>
      <c r="U2072" s="24"/>
      <c r="V2072" s="24"/>
      <c r="W2072" s="24"/>
      <c r="X2072" s="24"/>
      <c r="Y2072" s="24"/>
      <c r="Z2072" s="24"/>
      <c r="AA2072" s="24"/>
      <c r="AB2072" s="24"/>
      <c r="AC2072" s="24"/>
      <c r="AD2072" s="24"/>
      <c r="AE2072" s="24"/>
      <c r="AF2072" s="24"/>
      <c r="AG2072" s="24"/>
      <c r="AH2072" s="24"/>
      <c r="AI2072" s="24"/>
      <c r="AJ2072" s="24"/>
      <c r="AK2072" s="24"/>
      <c r="AL2072" s="24"/>
      <c r="AM2072" s="24"/>
      <c r="AN2072" s="24"/>
      <c r="AO2072" s="24"/>
      <c r="AP2072" s="24"/>
      <c r="AQ2072" s="24"/>
      <c r="AR2072" s="54"/>
    </row>
    <row r="2073">
      <c r="A2073" s="57"/>
      <c r="B2073" s="24"/>
      <c r="C2073" s="24"/>
      <c r="D2073" s="24"/>
      <c r="E2073" s="24"/>
      <c r="F2073" s="24"/>
      <c r="G2073" s="24"/>
      <c r="H2073" s="24"/>
      <c r="I2073" s="24"/>
      <c r="J2073" s="24"/>
      <c r="K2073" s="24"/>
      <c r="L2073" s="24"/>
      <c r="M2073" s="24"/>
      <c r="N2073" s="24"/>
      <c r="O2073" s="24"/>
      <c r="P2073" s="24"/>
      <c r="Q2073" s="24"/>
      <c r="R2073" s="24"/>
      <c r="S2073" s="24"/>
      <c r="T2073" s="24"/>
      <c r="U2073" s="24"/>
      <c r="V2073" s="24"/>
      <c r="W2073" s="24"/>
      <c r="X2073" s="24"/>
      <c r="Y2073" s="24"/>
      <c r="Z2073" s="24"/>
      <c r="AA2073" s="24"/>
      <c r="AB2073" s="24"/>
      <c r="AC2073" s="24"/>
      <c r="AD2073" s="24"/>
      <c r="AE2073" s="24"/>
      <c r="AF2073" s="24"/>
      <c r="AG2073" s="24"/>
      <c r="AH2073" s="24"/>
      <c r="AI2073" s="24"/>
      <c r="AJ2073" s="24"/>
      <c r="AK2073" s="24"/>
      <c r="AL2073" s="24"/>
      <c r="AM2073" s="24"/>
      <c r="AN2073" s="24"/>
      <c r="AO2073" s="24"/>
      <c r="AP2073" s="24"/>
      <c r="AQ2073" s="24"/>
      <c r="AR2073" s="54"/>
    </row>
    <row r="2074">
      <c r="A2074" s="57"/>
      <c r="B2074" s="24"/>
      <c r="C2074" s="24"/>
      <c r="D2074" s="24"/>
      <c r="E2074" s="24"/>
      <c r="F2074" s="24"/>
      <c r="G2074" s="24"/>
      <c r="H2074" s="24"/>
      <c r="I2074" s="24"/>
      <c r="J2074" s="24"/>
      <c r="K2074" s="24"/>
      <c r="L2074" s="24"/>
      <c r="M2074" s="24"/>
      <c r="N2074" s="24"/>
      <c r="O2074" s="24"/>
      <c r="P2074" s="24"/>
      <c r="Q2074" s="24"/>
      <c r="R2074" s="24"/>
      <c r="S2074" s="24"/>
      <c r="T2074" s="24"/>
      <c r="U2074" s="24"/>
      <c r="V2074" s="24"/>
      <c r="W2074" s="24"/>
      <c r="X2074" s="24"/>
      <c r="Y2074" s="24"/>
      <c r="Z2074" s="24"/>
      <c r="AA2074" s="24"/>
      <c r="AB2074" s="24"/>
      <c r="AC2074" s="24"/>
      <c r="AD2074" s="24"/>
      <c r="AE2074" s="24"/>
      <c r="AF2074" s="24"/>
      <c r="AG2074" s="24"/>
      <c r="AH2074" s="24"/>
      <c r="AI2074" s="24"/>
      <c r="AJ2074" s="24"/>
      <c r="AK2074" s="24"/>
      <c r="AL2074" s="24"/>
      <c r="AM2074" s="24"/>
      <c r="AN2074" s="24"/>
      <c r="AO2074" s="24"/>
      <c r="AP2074" s="24"/>
      <c r="AQ2074" s="24"/>
      <c r="AR2074" s="54"/>
    </row>
    <row r="2075">
      <c r="A2075" s="57"/>
      <c r="B2075" s="24"/>
      <c r="C2075" s="24"/>
      <c r="D2075" s="24"/>
      <c r="E2075" s="24"/>
      <c r="F2075" s="24"/>
      <c r="G2075" s="24"/>
      <c r="H2075" s="24"/>
      <c r="I2075" s="24"/>
      <c r="J2075" s="24"/>
      <c r="K2075" s="24"/>
      <c r="L2075" s="24"/>
      <c r="M2075" s="24"/>
      <c r="N2075" s="24"/>
      <c r="O2075" s="24"/>
      <c r="P2075" s="24"/>
      <c r="Q2075" s="24"/>
      <c r="R2075" s="24"/>
      <c r="S2075" s="24"/>
      <c r="T2075" s="24"/>
      <c r="U2075" s="24"/>
      <c r="V2075" s="24"/>
      <c r="W2075" s="24"/>
      <c r="X2075" s="24"/>
      <c r="Y2075" s="24"/>
      <c r="Z2075" s="24"/>
      <c r="AA2075" s="24"/>
      <c r="AB2075" s="24"/>
      <c r="AC2075" s="24"/>
      <c r="AD2075" s="24"/>
      <c r="AE2075" s="24"/>
      <c r="AF2075" s="24"/>
      <c r="AG2075" s="24"/>
      <c r="AH2075" s="24"/>
      <c r="AI2075" s="24"/>
      <c r="AJ2075" s="24"/>
      <c r="AK2075" s="24"/>
      <c r="AL2075" s="24"/>
      <c r="AM2075" s="24"/>
      <c r="AN2075" s="24"/>
      <c r="AO2075" s="24"/>
      <c r="AP2075" s="24"/>
      <c r="AQ2075" s="24"/>
      <c r="AR2075" s="54"/>
    </row>
    <row r="2076">
      <c r="A2076" s="57"/>
      <c r="B2076" s="24"/>
      <c r="C2076" s="24"/>
      <c r="D2076" s="24"/>
      <c r="E2076" s="24"/>
      <c r="F2076" s="24"/>
      <c r="G2076" s="24"/>
      <c r="H2076" s="24"/>
      <c r="I2076" s="24"/>
      <c r="J2076" s="24"/>
      <c r="K2076" s="24"/>
      <c r="L2076" s="24"/>
      <c r="M2076" s="24"/>
      <c r="N2076" s="24"/>
      <c r="O2076" s="24"/>
      <c r="P2076" s="24"/>
      <c r="Q2076" s="24"/>
      <c r="R2076" s="24"/>
      <c r="S2076" s="24"/>
      <c r="T2076" s="24"/>
      <c r="U2076" s="24"/>
      <c r="V2076" s="24"/>
      <c r="W2076" s="24"/>
      <c r="X2076" s="24"/>
      <c r="Y2076" s="24"/>
      <c r="Z2076" s="24"/>
      <c r="AA2076" s="24"/>
      <c r="AB2076" s="24"/>
      <c r="AC2076" s="24"/>
      <c r="AD2076" s="24"/>
      <c r="AE2076" s="24"/>
      <c r="AF2076" s="24"/>
      <c r="AG2076" s="24"/>
      <c r="AH2076" s="24"/>
      <c r="AI2076" s="24"/>
      <c r="AJ2076" s="24"/>
      <c r="AK2076" s="24"/>
      <c r="AL2076" s="24"/>
      <c r="AM2076" s="24"/>
      <c r="AN2076" s="24"/>
      <c r="AO2076" s="24"/>
      <c r="AP2076" s="24"/>
      <c r="AQ2076" s="24"/>
      <c r="AR2076" s="54"/>
    </row>
    <row r="2077">
      <c r="A2077" s="57"/>
      <c r="B2077" s="24"/>
      <c r="C2077" s="24"/>
      <c r="D2077" s="24"/>
      <c r="E2077" s="24"/>
      <c r="F2077" s="24"/>
      <c r="G2077" s="24"/>
      <c r="H2077" s="24"/>
      <c r="I2077" s="24"/>
      <c r="J2077" s="24"/>
      <c r="K2077" s="24"/>
      <c r="L2077" s="24"/>
      <c r="M2077" s="24"/>
      <c r="N2077" s="24"/>
      <c r="O2077" s="24"/>
      <c r="P2077" s="24"/>
      <c r="Q2077" s="24"/>
      <c r="R2077" s="24"/>
      <c r="S2077" s="24"/>
      <c r="T2077" s="24"/>
      <c r="U2077" s="24"/>
      <c r="V2077" s="24"/>
      <c r="W2077" s="24"/>
      <c r="X2077" s="24"/>
      <c r="Y2077" s="24"/>
      <c r="Z2077" s="24"/>
      <c r="AA2077" s="24"/>
      <c r="AB2077" s="24"/>
      <c r="AC2077" s="24"/>
      <c r="AD2077" s="24"/>
      <c r="AE2077" s="24"/>
      <c r="AF2077" s="24"/>
      <c r="AG2077" s="24"/>
      <c r="AH2077" s="24"/>
      <c r="AI2077" s="24"/>
      <c r="AJ2077" s="24"/>
      <c r="AK2077" s="24"/>
      <c r="AL2077" s="24"/>
      <c r="AM2077" s="24"/>
      <c r="AN2077" s="24"/>
      <c r="AO2077" s="24"/>
      <c r="AP2077" s="24"/>
      <c r="AQ2077" s="24"/>
      <c r="AR2077" s="54"/>
    </row>
    <row r="2078">
      <c r="A2078" s="57"/>
      <c r="B2078" s="24"/>
      <c r="C2078" s="24"/>
      <c r="D2078" s="24"/>
      <c r="E2078" s="24"/>
      <c r="F2078" s="24"/>
      <c r="G2078" s="24"/>
      <c r="H2078" s="24"/>
      <c r="I2078" s="24"/>
      <c r="J2078" s="24"/>
      <c r="K2078" s="24"/>
      <c r="L2078" s="24"/>
      <c r="M2078" s="24"/>
      <c r="N2078" s="24"/>
      <c r="O2078" s="24"/>
      <c r="P2078" s="24"/>
      <c r="Q2078" s="24"/>
      <c r="R2078" s="24"/>
      <c r="S2078" s="24"/>
      <c r="T2078" s="24"/>
      <c r="U2078" s="24"/>
      <c r="V2078" s="24"/>
      <c r="W2078" s="24"/>
      <c r="X2078" s="24"/>
      <c r="Y2078" s="24"/>
      <c r="Z2078" s="24"/>
      <c r="AA2078" s="24"/>
      <c r="AB2078" s="24"/>
      <c r="AC2078" s="24"/>
      <c r="AD2078" s="24"/>
      <c r="AE2078" s="24"/>
      <c r="AF2078" s="24"/>
      <c r="AG2078" s="24"/>
      <c r="AH2078" s="24"/>
      <c r="AI2078" s="24"/>
      <c r="AJ2078" s="24"/>
      <c r="AK2078" s="24"/>
      <c r="AL2078" s="24"/>
      <c r="AM2078" s="24"/>
      <c r="AN2078" s="24"/>
      <c r="AO2078" s="24"/>
      <c r="AP2078" s="24"/>
      <c r="AQ2078" s="24"/>
      <c r="AR2078" s="54"/>
    </row>
    <row r="2079">
      <c r="A2079" s="57"/>
      <c r="B2079" s="24"/>
      <c r="C2079" s="24"/>
      <c r="D2079" s="24"/>
      <c r="E2079" s="24"/>
      <c r="F2079" s="24"/>
      <c r="G2079" s="24"/>
      <c r="H2079" s="24"/>
      <c r="I2079" s="24"/>
      <c r="J2079" s="24"/>
      <c r="K2079" s="24"/>
      <c r="L2079" s="24"/>
      <c r="M2079" s="24"/>
      <c r="N2079" s="24"/>
      <c r="O2079" s="24"/>
      <c r="P2079" s="24"/>
      <c r="Q2079" s="24"/>
      <c r="R2079" s="24"/>
      <c r="S2079" s="24"/>
      <c r="T2079" s="24"/>
      <c r="U2079" s="24"/>
      <c r="V2079" s="24"/>
      <c r="W2079" s="24"/>
      <c r="X2079" s="24"/>
      <c r="Y2079" s="24"/>
      <c r="Z2079" s="24"/>
      <c r="AA2079" s="24"/>
      <c r="AB2079" s="24"/>
      <c r="AC2079" s="24"/>
      <c r="AD2079" s="24"/>
      <c r="AE2079" s="24"/>
      <c r="AF2079" s="24"/>
      <c r="AG2079" s="24"/>
      <c r="AH2079" s="24"/>
      <c r="AI2079" s="24"/>
      <c r="AJ2079" s="24"/>
      <c r="AK2079" s="24"/>
      <c r="AL2079" s="24"/>
      <c r="AM2079" s="24"/>
      <c r="AN2079" s="24"/>
      <c r="AO2079" s="24"/>
      <c r="AP2079" s="24"/>
      <c r="AQ2079" s="24"/>
      <c r="AR2079" s="54"/>
    </row>
    <row r="2080">
      <c r="A2080" s="57"/>
      <c r="B2080" s="24"/>
      <c r="C2080" s="24"/>
      <c r="D2080" s="24"/>
      <c r="E2080" s="24"/>
      <c r="F2080" s="24"/>
      <c r="G2080" s="24"/>
      <c r="H2080" s="24"/>
      <c r="I2080" s="24"/>
      <c r="J2080" s="24"/>
      <c r="K2080" s="24"/>
      <c r="L2080" s="24"/>
      <c r="M2080" s="24"/>
      <c r="N2080" s="24"/>
      <c r="O2080" s="24"/>
      <c r="P2080" s="24"/>
      <c r="Q2080" s="24"/>
      <c r="R2080" s="24"/>
      <c r="S2080" s="24"/>
      <c r="T2080" s="24"/>
      <c r="U2080" s="24"/>
      <c r="V2080" s="24"/>
      <c r="W2080" s="24"/>
      <c r="X2080" s="24"/>
      <c r="Y2080" s="24"/>
      <c r="Z2080" s="24"/>
      <c r="AA2080" s="24"/>
      <c r="AB2080" s="24"/>
      <c r="AC2080" s="24"/>
      <c r="AD2080" s="24"/>
      <c r="AE2080" s="24"/>
      <c r="AF2080" s="24"/>
      <c r="AG2080" s="24"/>
      <c r="AH2080" s="24"/>
      <c r="AI2080" s="24"/>
      <c r="AJ2080" s="24"/>
      <c r="AK2080" s="24"/>
      <c r="AL2080" s="24"/>
      <c r="AM2080" s="24"/>
      <c r="AN2080" s="24"/>
      <c r="AO2080" s="24"/>
      <c r="AP2080" s="24"/>
      <c r="AQ2080" s="24"/>
      <c r="AR2080" s="54"/>
    </row>
    <row r="2081">
      <c r="A2081" s="57"/>
      <c r="B2081" s="24"/>
      <c r="C2081" s="24"/>
      <c r="D2081" s="24"/>
      <c r="E2081" s="24"/>
      <c r="F2081" s="24"/>
      <c r="G2081" s="24"/>
      <c r="H2081" s="24"/>
      <c r="I2081" s="24"/>
      <c r="J2081" s="24"/>
      <c r="K2081" s="24"/>
      <c r="L2081" s="24"/>
      <c r="M2081" s="24"/>
      <c r="N2081" s="24"/>
      <c r="O2081" s="24"/>
      <c r="P2081" s="24"/>
      <c r="Q2081" s="24"/>
      <c r="R2081" s="24"/>
      <c r="S2081" s="24"/>
      <c r="T2081" s="24"/>
      <c r="U2081" s="24"/>
      <c r="V2081" s="24"/>
      <c r="W2081" s="24"/>
      <c r="X2081" s="24"/>
      <c r="Y2081" s="24"/>
      <c r="Z2081" s="24"/>
      <c r="AA2081" s="24"/>
      <c r="AB2081" s="24"/>
      <c r="AC2081" s="24"/>
      <c r="AD2081" s="24"/>
      <c r="AE2081" s="24"/>
      <c r="AF2081" s="24"/>
      <c r="AG2081" s="24"/>
      <c r="AH2081" s="24"/>
      <c r="AI2081" s="24"/>
      <c r="AJ2081" s="24"/>
      <c r="AK2081" s="24"/>
      <c r="AL2081" s="24"/>
      <c r="AM2081" s="24"/>
      <c r="AN2081" s="24"/>
      <c r="AO2081" s="24"/>
      <c r="AP2081" s="24"/>
      <c r="AQ2081" s="24"/>
      <c r="AR2081" s="54"/>
    </row>
    <row r="2082">
      <c r="A2082" s="57"/>
      <c r="B2082" s="24"/>
      <c r="C2082" s="24"/>
      <c r="D2082" s="24"/>
      <c r="E2082" s="24"/>
      <c r="F2082" s="24"/>
      <c r="G2082" s="24"/>
      <c r="H2082" s="24"/>
      <c r="I2082" s="24"/>
      <c r="J2082" s="24"/>
      <c r="K2082" s="24"/>
      <c r="L2082" s="24"/>
      <c r="M2082" s="24"/>
      <c r="N2082" s="24"/>
      <c r="O2082" s="24"/>
      <c r="P2082" s="24"/>
      <c r="Q2082" s="24"/>
      <c r="R2082" s="24"/>
      <c r="S2082" s="24"/>
      <c r="T2082" s="24"/>
      <c r="U2082" s="24"/>
      <c r="V2082" s="24"/>
      <c r="W2082" s="24"/>
      <c r="X2082" s="24"/>
      <c r="Y2082" s="24"/>
      <c r="Z2082" s="24"/>
      <c r="AA2082" s="24"/>
      <c r="AB2082" s="24"/>
      <c r="AC2082" s="24"/>
      <c r="AD2082" s="24"/>
      <c r="AE2082" s="24"/>
      <c r="AF2082" s="24"/>
      <c r="AG2082" s="24"/>
      <c r="AH2082" s="24"/>
      <c r="AI2082" s="24"/>
      <c r="AJ2082" s="24"/>
      <c r="AK2082" s="24"/>
      <c r="AL2082" s="24"/>
      <c r="AM2082" s="24"/>
      <c r="AN2082" s="24"/>
      <c r="AO2082" s="24"/>
      <c r="AP2082" s="24"/>
      <c r="AQ2082" s="24"/>
      <c r="AR2082" s="54"/>
    </row>
    <row r="2083">
      <c r="A2083" s="57"/>
      <c r="B2083" s="24"/>
      <c r="C2083" s="24"/>
      <c r="D2083" s="24"/>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c r="AA2083" s="24"/>
      <c r="AB2083" s="24"/>
      <c r="AC2083" s="24"/>
      <c r="AD2083" s="24"/>
      <c r="AE2083" s="24"/>
      <c r="AF2083" s="24"/>
      <c r="AG2083" s="24"/>
      <c r="AH2083" s="24"/>
      <c r="AI2083" s="24"/>
      <c r="AJ2083" s="24"/>
      <c r="AK2083" s="24"/>
      <c r="AL2083" s="24"/>
      <c r="AM2083" s="24"/>
      <c r="AN2083" s="24"/>
      <c r="AO2083" s="24"/>
      <c r="AP2083" s="24"/>
      <c r="AQ2083" s="24"/>
      <c r="AR2083" s="54"/>
    </row>
    <row r="2084">
      <c r="A2084" s="57"/>
      <c r="B2084" s="24"/>
      <c r="C2084" s="24"/>
      <c r="D2084" s="24"/>
      <c r="E2084" s="24"/>
      <c r="F2084" s="24"/>
      <c r="G2084" s="24"/>
      <c r="H2084" s="24"/>
      <c r="I2084" s="24"/>
      <c r="J2084" s="24"/>
      <c r="K2084" s="24"/>
      <c r="L2084" s="24"/>
      <c r="M2084" s="24"/>
      <c r="N2084" s="24"/>
      <c r="O2084" s="24"/>
      <c r="P2084" s="24"/>
      <c r="Q2084" s="24"/>
      <c r="R2084" s="24"/>
      <c r="S2084" s="24"/>
      <c r="T2084" s="24"/>
      <c r="U2084" s="24"/>
      <c r="V2084" s="24"/>
      <c r="W2084" s="24"/>
      <c r="X2084" s="24"/>
      <c r="Y2084" s="24"/>
      <c r="Z2084" s="24"/>
      <c r="AA2084" s="24"/>
      <c r="AB2084" s="24"/>
      <c r="AC2084" s="24"/>
      <c r="AD2084" s="24"/>
      <c r="AE2084" s="24"/>
      <c r="AF2084" s="24"/>
      <c r="AG2084" s="24"/>
      <c r="AH2084" s="24"/>
      <c r="AI2084" s="24"/>
      <c r="AJ2084" s="24"/>
      <c r="AK2084" s="24"/>
      <c r="AL2084" s="24"/>
      <c r="AM2084" s="24"/>
      <c r="AN2084" s="24"/>
      <c r="AO2084" s="24"/>
      <c r="AP2084" s="24"/>
      <c r="AQ2084" s="24"/>
      <c r="AR2084" s="54"/>
    </row>
    <row r="2085">
      <c r="A2085" s="57"/>
      <c r="B2085" s="24"/>
      <c r="C2085" s="24"/>
      <c r="D2085" s="24"/>
      <c r="E2085" s="24"/>
      <c r="F2085" s="24"/>
      <c r="G2085" s="24"/>
      <c r="H2085" s="24"/>
      <c r="I2085" s="24"/>
      <c r="J2085" s="24"/>
      <c r="K2085" s="24"/>
      <c r="L2085" s="24"/>
      <c r="M2085" s="24"/>
      <c r="N2085" s="24"/>
      <c r="O2085" s="24"/>
      <c r="P2085" s="24"/>
      <c r="Q2085" s="24"/>
      <c r="R2085" s="24"/>
      <c r="S2085" s="24"/>
      <c r="T2085" s="24"/>
      <c r="U2085" s="24"/>
      <c r="V2085" s="24"/>
      <c r="W2085" s="24"/>
      <c r="X2085" s="24"/>
      <c r="Y2085" s="24"/>
      <c r="Z2085" s="24"/>
      <c r="AA2085" s="24"/>
      <c r="AB2085" s="24"/>
      <c r="AC2085" s="24"/>
      <c r="AD2085" s="24"/>
      <c r="AE2085" s="24"/>
      <c r="AF2085" s="24"/>
      <c r="AG2085" s="24"/>
      <c r="AH2085" s="24"/>
      <c r="AI2085" s="24"/>
      <c r="AJ2085" s="24"/>
      <c r="AK2085" s="24"/>
      <c r="AL2085" s="24"/>
      <c r="AM2085" s="24"/>
      <c r="AN2085" s="24"/>
      <c r="AO2085" s="24"/>
      <c r="AP2085" s="24"/>
      <c r="AQ2085" s="24"/>
      <c r="AR2085" s="54"/>
    </row>
    <row r="2086">
      <c r="A2086" s="57"/>
      <c r="B2086" s="24"/>
      <c r="C2086" s="24"/>
      <c r="D2086" s="24"/>
      <c r="E2086" s="24"/>
      <c r="F2086" s="24"/>
      <c r="G2086" s="24"/>
      <c r="H2086" s="24"/>
      <c r="I2086" s="24"/>
      <c r="J2086" s="24"/>
      <c r="K2086" s="24"/>
      <c r="L2086" s="24"/>
      <c r="M2086" s="24"/>
      <c r="N2086" s="24"/>
      <c r="O2086" s="24"/>
      <c r="P2086" s="24"/>
      <c r="Q2086" s="24"/>
      <c r="R2086" s="24"/>
      <c r="S2086" s="24"/>
      <c r="T2086" s="24"/>
      <c r="U2086" s="24"/>
      <c r="V2086" s="24"/>
      <c r="W2086" s="24"/>
      <c r="X2086" s="24"/>
      <c r="Y2086" s="24"/>
      <c r="Z2086" s="24"/>
      <c r="AA2086" s="24"/>
      <c r="AB2086" s="24"/>
      <c r="AC2086" s="24"/>
      <c r="AD2086" s="24"/>
      <c r="AE2086" s="24"/>
      <c r="AF2086" s="24"/>
      <c r="AG2086" s="24"/>
      <c r="AH2086" s="24"/>
      <c r="AI2086" s="24"/>
      <c r="AJ2086" s="24"/>
      <c r="AK2086" s="24"/>
      <c r="AL2086" s="24"/>
      <c r="AM2086" s="24"/>
      <c r="AN2086" s="24"/>
      <c r="AO2086" s="24"/>
      <c r="AP2086" s="24"/>
      <c r="AQ2086" s="24"/>
      <c r="AR2086" s="54"/>
    </row>
    <row r="2087">
      <c r="A2087" s="57"/>
      <c r="B2087" s="24"/>
      <c r="C2087" s="24"/>
      <c r="D2087" s="24"/>
      <c r="E2087" s="24"/>
      <c r="F2087" s="24"/>
      <c r="G2087" s="24"/>
      <c r="H2087" s="24"/>
      <c r="I2087" s="24"/>
      <c r="J2087" s="24"/>
      <c r="K2087" s="24"/>
      <c r="L2087" s="24"/>
      <c r="M2087" s="24"/>
      <c r="N2087" s="24"/>
      <c r="O2087" s="24"/>
      <c r="P2087" s="24"/>
      <c r="Q2087" s="24"/>
      <c r="R2087" s="24"/>
      <c r="S2087" s="24"/>
      <c r="T2087" s="24"/>
      <c r="U2087" s="24"/>
      <c r="V2087" s="24"/>
      <c r="W2087" s="24"/>
      <c r="X2087" s="24"/>
      <c r="Y2087" s="24"/>
      <c r="Z2087" s="24"/>
      <c r="AA2087" s="24"/>
      <c r="AB2087" s="24"/>
      <c r="AC2087" s="24"/>
      <c r="AD2087" s="24"/>
      <c r="AE2087" s="24"/>
      <c r="AF2087" s="24"/>
      <c r="AG2087" s="24"/>
      <c r="AH2087" s="24"/>
      <c r="AI2087" s="24"/>
      <c r="AJ2087" s="24"/>
      <c r="AK2087" s="24"/>
      <c r="AL2087" s="24"/>
      <c r="AM2087" s="24"/>
      <c r="AN2087" s="24"/>
      <c r="AO2087" s="24"/>
      <c r="AP2087" s="24"/>
      <c r="AQ2087" s="24"/>
      <c r="AR2087" s="54"/>
    </row>
    <row r="2088">
      <c r="A2088" s="57"/>
      <c r="B2088" s="24"/>
      <c r="C2088" s="24"/>
      <c r="D2088" s="24"/>
      <c r="E2088" s="24"/>
      <c r="F2088" s="24"/>
      <c r="G2088" s="24"/>
      <c r="H2088" s="24"/>
      <c r="I2088" s="24"/>
      <c r="J2088" s="24"/>
      <c r="K2088" s="24"/>
      <c r="L2088" s="24"/>
      <c r="M2088" s="24"/>
      <c r="N2088" s="24"/>
      <c r="O2088" s="24"/>
      <c r="P2088" s="24"/>
      <c r="Q2088" s="24"/>
      <c r="R2088" s="24"/>
      <c r="S2088" s="24"/>
      <c r="T2088" s="24"/>
      <c r="U2088" s="24"/>
      <c r="V2088" s="24"/>
      <c r="W2088" s="24"/>
      <c r="X2088" s="24"/>
      <c r="Y2088" s="24"/>
      <c r="Z2088" s="24"/>
      <c r="AA2088" s="24"/>
      <c r="AB2088" s="24"/>
      <c r="AC2088" s="24"/>
      <c r="AD2088" s="24"/>
      <c r="AE2088" s="24"/>
      <c r="AF2088" s="24"/>
      <c r="AG2088" s="24"/>
      <c r="AH2088" s="24"/>
      <c r="AI2088" s="24"/>
      <c r="AJ2088" s="24"/>
      <c r="AK2088" s="24"/>
      <c r="AL2088" s="24"/>
      <c r="AM2088" s="24"/>
      <c r="AN2088" s="24"/>
      <c r="AO2088" s="24"/>
      <c r="AP2088" s="24"/>
      <c r="AQ2088" s="24"/>
      <c r="AR2088" s="54"/>
    </row>
    <row r="2089">
      <c r="A2089" s="57"/>
      <c r="B2089" s="24"/>
      <c r="C2089" s="24"/>
      <c r="D2089" s="24"/>
      <c r="E2089" s="24"/>
      <c r="F2089" s="24"/>
      <c r="G2089" s="24"/>
      <c r="H2089" s="24"/>
      <c r="I2089" s="24"/>
      <c r="J2089" s="24"/>
      <c r="K2089" s="24"/>
      <c r="L2089" s="24"/>
      <c r="M2089" s="24"/>
      <c r="N2089" s="24"/>
      <c r="O2089" s="24"/>
      <c r="P2089" s="24"/>
      <c r="Q2089" s="24"/>
      <c r="R2089" s="24"/>
      <c r="S2089" s="24"/>
      <c r="T2089" s="24"/>
      <c r="U2089" s="24"/>
      <c r="V2089" s="24"/>
      <c r="W2089" s="24"/>
      <c r="X2089" s="24"/>
      <c r="Y2089" s="24"/>
      <c r="Z2089" s="24"/>
      <c r="AA2089" s="24"/>
      <c r="AB2089" s="24"/>
      <c r="AC2089" s="24"/>
      <c r="AD2089" s="24"/>
      <c r="AE2089" s="24"/>
      <c r="AF2089" s="24"/>
      <c r="AG2089" s="24"/>
      <c r="AH2089" s="24"/>
      <c r="AI2089" s="24"/>
      <c r="AJ2089" s="24"/>
      <c r="AK2089" s="24"/>
      <c r="AL2089" s="24"/>
      <c r="AM2089" s="24"/>
      <c r="AN2089" s="24"/>
      <c r="AO2089" s="24"/>
      <c r="AP2089" s="24"/>
      <c r="AQ2089" s="24"/>
      <c r="AR2089" s="54"/>
    </row>
    <row r="2090">
      <c r="A2090" s="57"/>
      <c r="B2090" s="24"/>
      <c r="C2090" s="24"/>
      <c r="D2090" s="24"/>
      <c r="E2090" s="24"/>
      <c r="F2090" s="24"/>
      <c r="G2090" s="24"/>
      <c r="H2090" s="24"/>
      <c r="I2090" s="24"/>
      <c r="J2090" s="24"/>
      <c r="K2090" s="24"/>
      <c r="L2090" s="24"/>
      <c r="M2090" s="24"/>
      <c r="N2090" s="24"/>
      <c r="O2090" s="24"/>
      <c r="P2090" s="24"/>
      <c r="Q2090" s="24"/>
      <c r="R2090" s="24"/>
      <c r="S2090" s="24"/>
      <c r="T2090" s="24"/>
      <c r="U2090" s="24"/>
      <c r="V2090" s="24"/>
      <c r="W2090" s="24"/>
      <c r="X2090" s="24"/>
      <c r="Y2090" s="24"/>
      <c r="Z2090" s="24"/>
      <c r="AA2090" s="24"/>
      <c r="AB2090" s="24"/>
      <c r="AC2090" s="24"/>
      <c r="AD2090" s="24"/>
      <c r="AE2090" s="24"/>
      <c r="AF2090" s="24"/>
      <c r="AG2090" s="24"/>
      <c r="AH2090" s="24"/>
      <c r="AI2090" s="24"/>
      <c r="AJ2090" s="24"/>
      <c r="AK2090" s="24"/>
      <c r="AL2090" s="24"/>
      <c r="AM2090" s="24"/>
      <c r="AN2090" s="24"/>
      <c r="AO2090" s="24"/>
      <c r="AP2090" s="24"/>
      <c r="AQ2090" s="24"/>
      <c r="AR2090" s="54"/>
    </row>
    <row r="2091">
      <c r="A2091" s="57"/>
      <c r="B2091" s="24"/>
      <c r="C2091" s="24"/>
      <c r="D2091" s="24"/>
      <c r="E2091" s="24"/>
      <c r="F2091" s="24"/>
      <c r="G2091" s="24"/>
      <c r="H2091" s="24"/>
      <c r="I2091" s="24"/>
      <c r="J2091" s="24"/>
      <c r="K2091" s="24"/>
      <c r="L2091" s="24"/>
      <c r="M2091" s="24"/>
      <c r="N2091" s="24"/>
      <c r="O2091" s="24"/>
      <c r="P2091" s="24"/>
      <c r="Q2091" s="24"/>
      <c r="R2091" s="24"/>
      <c r="S2091" s="24"/>
      <c r="T2091" s="24"/>
      <c r="U2091" s="24"/>
      <c r="V2091" s="24"/>
      <c r="W2091" s="24"/>
      <c r="X2091" s="24"/>
      <c r="Y2091" s="24"/>
      <c r="Z2091" s="24"/>
      <c r="AA2091" s="24"/>
      <c r="AB2091" s="24"/>
      <c r="AC2091" s="24"/>
      <c r="AD2091" s="24"/>
      <c r="AE2091" s="24"/>
      <c r="AF2091" s="24"/>
      <c r="AG2091" s="24"/>
      <c r="AH2091" s="24"/>
      <c r="AI2091" s="24"/>
      <c r="AJ2091" s="24"/>
      <c r="AK2091" s="24"/>
      <c r="AL2091" s="24"/>
      <c r="AM2091" s="24"/>
      <c r="AN2091" s="24"/>
      <c r="AO2091" s="24"/>
      <c r="AP2091" s="24"/>
      <c r="AQ2091" s="24"/>
      <c r="AR2091" s="54"/>
    </row>
    <row r="2092">
      <c r="A2092" s="57"/>
      <c r="B2092" s="24"/>
      <c r="C2092" s="24"/>
      <c r="D2092" s="24"/>
      <c r="E2092" s="24"/>
      <c r="F2092" s="24"/>
      <c r="G2092" s="24"/>
      <c r="H2092" s="24"/>
      <c r="I2092" s="24"/>
      <c r="J2092" s="24"/>
      <c r="K2092" s="24"/>
      <c r="L2092" s="24"/>
      <c r="M2092" s="24"/>
      <c r="N2092" s="24"/>
      <c r="O2092" s="24"/>
      <c r="P2092" s="24"/>
      <c r="Q2092" s="24"/>
      <c r="R2092" s="24"/>
      <c r="S2092" s="24"/>
      <c r="T2092" s="24"/>
      <c r="U2092" s="24"/>
      <c r="V2092" s="24"/>
      <c r="W2092" s="24"/>
      <c r="X2092" s="24"/>
      <c r="Y2092" s="24"/>
      <c r="Z2092" s="24"/>
      <c r="AA2092" s="24"/>
      <c r="AB2092" s="24"/>
      <c r="AC2092" s="24"/>
      <c r="AD2092" s="24"/>
      <c r="AE2092" s="24"/>
      <c r="AF2092" s="24"/>
      <c r="AG2092" s="24"/>
      <c r="AH2092" s="24"/>
      <c r="AI2092" s="24"/>
      <c r="AJ2092" s="24"/>
      <c r="AK2092" s="24"/>
      <c r="AL2092" s="24"/>
      <c r="AM2092" s="24"/>
      <c r="AN2092" s="24"/>
      <c r="AO2092" s="24"/>
      <c r="AP2092" s="24"/>
      <c r="AQ2092" s="24"/>
      <c r="AR2092" s="54"/>
    </row>
    <row r="2093">
      <c r="A2093" s="57"/>
      <c r="B2093" s="24"/>
      <c r="C2093" s="24"/>
      <c r="D2093" s="24"/>
      <c r="E2093" s="24"/>
      <c r="F2093" s="24"/>
      <c r="G2093" s="24"/>
      <c r="H2093" s="24"/>
      <c r="I2093" s="24"/>
      <c r="J2093" s="24"/>
      <c r="K2093" s="24"/>
      <c r="L2093" s="24"/>
      <c r="M2093" s="24"/>
      <c r="N2093" s="24"/>
      <c r="O2093" s="24"/>
      <c r="P2093" s="24"/>
      <c r="Q2093" s="24"/>
      <c r="R2093" s="24"/>
      <c r="S2093" s="24"/>
      <c r="T2093" s="24"/>
      <c r="U2093" s="24"/>
      <c r="V2093" s="24"/>
      <c r="W2093" s="24"/>
      <c r="X2093" s="24"/>
      <c r="Y2093" s="24"/>
      <c r="Z2093" s="24"/>
      <c r="AA2093" s="24"/>
      <c r="AB2093" s="24"/>
      <c r="AC2093" s="24"/>
      <c r="AD2093" s="24"/>
      <c r="AE2093" s="24"/>
      <c r="AF2093" s="24"/>
      <c r="AG2093" s="24"/>
      <c r="AH2093" s="24"/>
      <c r="AI2093" s="24"/>
      <c r="AJ2093" s="24"/>
      <c r="AK2093" s="24"/>
      <c r="AL2093" s="24"/>
      <c r="AM2093" s="24"/>
      <c r="AN2093" s="24"/>
      <c r="AO2093" s="24"/>
      <c r="AP2093" s="24"/>
      <c r="AQ2093" s="24"/>
      <c r="AR2093" s="54"/>
    </row>
    <row r="2094">
      <c r="A2094" s="57"/>
      <c r="B2094" s="24"/>
      <c r="C2094" s="24"/>
      <c r="D2094" s="24"/>
      <c r="E2094" s="24"/>
      <c r="F2094" s="24"/>
      <c r="G2094" s="24"/>
      <c r="H2094" s="24"/>
      <c r="I2094" s="24"/>
      <c r="J2094" s="24"/>
      <c r="K2094" s="24"/>
      <c r="L2094" s="24"/>
      <c r="M2094" s="24"/>
      <c r="N2094" s="24"/>
      <c r="O2094" s="24"/>
      <c r="P2094" s="24"/>
      <c r="Q2094" s="24"/>
      <c r="R2094" s="24"/>
      <c r="S2094" s="24"/>
      <c r="T2094" s="24"/>
      <c r="U2094" s="24"/>
      <c r="V2094" s="24"/>
      <c r="W2094" s="24"/>
      <c r="X2094" s="24"/>
      <c r="Y2094" s="24"/>
      <c r="Z2094" s="24"/>
      <c r="AA2094" s="24"/>
      <c r="AB2094" s="24"/>
      <c r="AC2094" s="24"/>
      <c r="AD2094" s="24"/>
      <c r="AE2094" s="24"/>
      <c r="AF2094" s="24"/>
      <c r="AG2094" s="24"/>
      <c r="AH2094" s="24"/>
      <c r="AI2094" s="24"/>
      <c r="AJ2094" s="24"/>
      <c r="AK2094" s="24"/>
      <c r="AL2094" s="24"/>
      <c r="AM2094" s="24"/>
      <c r="AN2094" s="24"/>
      <c r="AO2094" s="24"/>
      <c r="AP2094" s="24"/>
      <c r="AQ2094" s="24"/>
      <c r="AR2094" s="54"/>
    </row>
    <row r="2095">
      <c r="A2095" s="57"/>
      <c r="B2095" s="24"/>
      <c r="C2095" s="24"/>
      <c r="D2095" s="24"/>
      <c r="E2095" s="24"/>
      <c r="F2095" s="24"/>
      <c r="G2095" s="24"/>
      <c r="H2095" s="24"/>
      <c r="I2095" s="24"/>
      <c r="J2095" s="24"/>
      <c r="K2095" s="24"/>
      <c r="L2095" s="24"/>
      <c r="M2095" s="24"/>
      <c r="N2095" s="24"/>
      <c r="O2095" s="24"/>
      <c r="P2095" s="24"/>
      <c r="Q2095" s="24"/>
      <c r="R2095" s="24"/>
      <c r="S2095" s="24"/>
      <c r="T2095" s="24"/>
      <c r="U2095" s="24"/>
      <c r="V2095" s="24"/>
      <c r="W2095" s="24"/>
      <c r="X2095" s="24"/>
      <c r="Y2095" s="24"/>
      <c r="Z2095" s="24"/>
      <c r="AA2095" s="24"/>
      <c r="AB2095" s="24"/>
      <c r="AC2095" s="24"/>
      <c r="AD2095" s="24"/>
      <c r="AE2095" s="24"/>
      <c r="AF2095" s="24"/>
      <c r="AG2095" s="24"/>
      <c r="AH2095" s="24"/>
      <c r="AI2095" s="24"/>
      <c r="AJ2095" s="24"/>
      <c r="AK2095" s="24"/>
      <c r="AL2095" s="24"/>
      <c r="AM2095" s="24"/>
      <c r="AN2095" s="24"/>
      <c r="AO2095" s="24"/>
      <c r="AP2095" s="24"/>
      <c r="AQ2095" s="24"/>
      <c r="AR2095" s="54"/>
    </row>
    <row r="2096">
      <c r="A2096" s="57"/>
      <c r="B2096" s="24"/>
      <c r="C2096" s="24"/>
      <c r="D2096" s="24"/>
      <c r="E2096" s="24"/>
      <c r="F2096" s="24"/>
      <c r="G2096" s="24"/>
      <c r="H2096" s="24"/>
      <c r="I2096" s="24"/>
      <c r="J2096" s="24"/>
      <c r="K2096" s="24"/>
      <c r="L2096" s="24"/>
      <c r="M2096" s="24"/>
      <c r="N2096" s="24"/>
      <c r="O2096" s="24"/>
      <c r="P2096" s="24"/>
      <c r="Q2096" s="24"/>
      <c r="R2096" s="24"/>
      <c r="S2096" s="24"/>
      <c r="T2096" s="24"/>
      <c r="U2096" s="24"/>
      <c r="V2096" s="24"/>
      <c r="W2096" s="24"/>
      <c r="X2096" s="24"/>
      <c r="Y2096" s="24"/>
      <c r="Z2096" s="24"/>
      <c r="AA2096" s="24"/>
      <c r="AB2096" s="24"/>
      <c r="AC2096" s="24"/>
      <c r="AD2096" s="24"/>
      <c r="AE2096" s="24"/>
      <c r="AF2096" s="24"/>
      <c r="AG2096" s="24"/>
      <c r="AH2096" s="24"/>
      <c r="AI2096" s="24"/>
      <c r="AJ2096" s="24"/>
      <c r="AK2096" s="24"/>
      <c r="AL2096" s="24"/>
      <c r="AM2096" s="24"/>
      <c r="AN2096" s="24"/>
      <c r="AO2096" s="24"/>
      <c r="AP2096" s="24"/>
      <c r="AQ2096" s="24"/>
      <c r="AR2096" s="54"/>
    </row>
    <row r="2097">
      <c r="A2097" s="57"/>
      <c r="B2097" s="24"/>
      <c r="C2097" s="24"/>
      <c r="D2097" s="24"/>
      <c r="E2097" s="24"/>
      <c r="F2097" s="24"/>
      <c r="G2097" s="24"/>
      <c r="H2097" s="24"/>
      <c r="I2097" s="24"/>
      <c r="J2097" s="24"/>
      <c r="K2097" s="24"/>
      <c r="L2097" s="24"/>
      <c r="M2097" s="24"/>
      <c r="N2097" s="24"/>
      <c r="O2097" s="24"/>
      <c r="P2097" s="24"/>
      <c r="Q2097" s="24"/>
      <c r="R2097" s="24"/>
      <c r="S2097" s="24"/>
      <c r="T2097" s="24"/>
      <c r="U2097" s="24"/>
      <c r="V2097" s="24"/>
      <c r="W2097" s="24"/>
      <c r="X2097" s="24"/>
      <c r="Y2097" s="24"/>
      <c r="Z2097" s="24"/>
      <c r="AA2097" s="24"/>
      <c r="AB2097" s="24"/>
      <c r="AC2097" s="24"/>
      <c r="AD2097" s="24"/>
      <c r="AE2097" s="24"/>
      <c r="AF2097" s="24"/>
      <c r="AG2097" s="24"/>
      <c r="AH2097" s="24"/>
      <c r="AI2097" s="24"/>
      <c r="AJ2097" s="24"/>
      <c r="AK2097" s="24"/>
      <c r="AL2097" s="24"/>
      <c r="AM2097" s="24"/>
      <c r="AN2097" s="24"/>
      <c r="AO2097" s="24"/>
      <c r="AP2097" s="24"/>
      <c r="AQ2097" s="24"/>
      <c r="AR2097" s="54"/>
    </row>
    <row r="2098">
      <c r="A2098" s="57"/>
      <c r="B2098" s="24"/>
      <c r="C2098" s="24"/>
      <c r="D2098" s="24"/>
      <c r="E2098" s="24"/>
      <c r="F2098" s="24"/>
      <c r="G2098" s="24"/>
      <c r="H2098" s="24"/>
      <c r="I2098" s="24"/>
      <c r="J2098" s="24"/>
      <c r="K2098" s="24"/>
      <c r="L2098" s="24"/>
      <c r="M2098" s="24"/>
      <c r="N2098" s="24"/>
      <c r="O2098" s="24"/>
      <c r="P2098" s="24"/>
      <c r="Q2098" s="24"/>
      <c r="R2098" s="24"/>
      <c r="S2098" s="24"/>
      <c r="T2098" s="24"/>
      <c r="U2098" s="24"/>
      <c r="V2098" s="24"/>
      <c r="W2098" s="24"/>
      <c r="X2098" s="24"/>
      <c r="Y2098" s="24"/>
      <c r="Z2098" s="24"/>
      <c r="AA2098" s="24"/>
      <c r="AB2098" s="24"/>
      <c r="AC2098" s="24"/>
      <c r="AD2098" s="24"/>
      <c r="AE2098" s="24"/>
      <c r="AF2098" s="24"/>
      <c r="AG2098" s="24"/>
      <c r="AH2098" s="24"/>
      <c r="AI2098" s="24"/>
      <c r="AJ2098" s="24"/>
      <c r="AK2098" s="24"/>
      <c r="AL2098" s="24"/>
      <c r="AM2098" s="24"/>
      <c r="AN2098" s="24"/>
      <c r="AO2098" s="24"/>
      <c r="AP2098" s="24"/>
      <c r="AQ2098" s="24"/>
      <c r="AR2098" s="54"/>
    </row>
    <row r="2099">
      <c r="A2099" s="57"/>
      <c r="B2099" s="24"/>
      <c r="C2099" s="24"/>
      <c r="D2099" s="24"/>
      <c r="E2099" s="24"/>
      <c r="F2099" s="24"/>
      <c r="G2099" s="24"/>
      <c r="H2099" s="24"/>
      <c r="I2099" s="24"/>
      <c r="J2099" s="24"/>
      <c r="K2099" s="24"/>
      <c r="L2099" s="24"/>
      <c r="M2099" s="24"/>
      <c r="N2099" s="24"/>
      <c r="O2099" s="24"/>
      <c r="P2099" s="24"/>
      <c r="Q2099" s="24"/>
      <c r="R2099" s="24"/>
      <c r="S2099" s="24"/>
      <c r="T2099" s="24"/>
      <c r="U2099" s="24"/>
      <c r="V2099" s="24"/>
      <c r="W2099" s="24"/>
      <c r="X2099" s="24"/>
      <c r="Y2099" s="24"/>
      <c r="Z2099" s="24"/>
      <c r="AA2099" s="24"/>
      <c r="AB2099" s="24"/>
      <c r="AC2099" s="24"/>
      <c r="AD2099" s="24"/>
      <c r="AE2099" s="24"/>
      <c r="AF2099" s="24"/>
      <c r="AG2099" s="24"/>
      <c r="AH2099" s="24"/>
      <c r="AI2099" s="24"/>
      <c r="AJ2099" s="24"/>
      <c r="AK2099" s="24"/>
      <c r="AL2099" s="24"/>
      <c r="AM2099" s="24"/>
      <c r="AN2099" s="24"/>
      <c r="AO2099" s="24"/>
      <c r="AP2099" s="24"/>
      <c r="AQ2099" s="24"/>
      <c r="AR2099" s="54"/>
    </row>
    <row r="2100">
      <c r="A2100" s="57"/>
      <c r="B2100" s="24"/>
      <c r="C2100" s="24"/>
      <c r="D2100" s="24"/>
      <c r="E2100" s="24"/>
      <c r="F2100" s="24"/>
      <c r="G2100" s="24"/>
      <c r="H2100" s="24"/>
      <c r="I2100" s="24"/>
      <c r="J2100" s="24"/>
      <c r="K2100" s="24"/>
      <c r="L2100" s="24"/>
      <c r="M2100" s="24"/>
      <c r="N2100" s="24"/>
      <c r="O2100" s="24"/>
      <c r="P2100" s="24"/>
      <c r="Q2100" s="24"/>
      <c r="R2100" s="24"/>
      <c r="S2100" s="24"/>
      <c r="T2100" s="24"/>
      <c r="U2100" s="24"/>
      <c r="V2100" s="24"/>
      <c r="W2100" s="24"/>
      <c r="X2100" s="24"/>
      <c r="Y2100" s="24"/>
      <c r="Z2100" s="24"/>
      <c r="AA2100" s="24"/>
      <c r="AB2100" s="24"/>
      <c r="AC2100" s="24"/>
      <c r="AD2100" s="24"/>
      <c r="AE2100" s="24"/>
      <c r="AF2100" s="24"/>
      <c r="AG2100" s="24"/>
      <c r="AH2100" s="24"/>
      <c r="AI2100" s="24"/>
      <c r="AJ2100" s="24"/>
      <c r="AK2100" s="24"/>
      <c r="AL2100" s="24"/>
      <c r="AM2100" s="24"/>
      <c r="AN2100" s="24"/>
      <c r="AO2100" s="24"/>
      <c r="AP2100" s="24"/>
      <c r="AQ2100" s="24"/>
      <c r="AR2100" s="54"/>
    </row>
    <row r="2101">
      <c r="A2101" s="57"/>
      <c r="B2101" s="24"/>
      <c r="C2101" s="24"/>
      <c r="D2101" s="24"/>
      <c r="E2101" s="24"/>
      <c r="F2101" s="24"/>
      <c r="G2101" s="24"/>
      <c r="H2101" s="24"/>
      <c r="I2101" s="24"/>
      <c r="J2101" s="24"/>
      <c r="K2101" s="24"/>
      <c r="L2101" s="24"/>
      <c r="M2101" s="24"/>
      <c r="N2101" s="24"/>
      <c r="O2101" s="24"/>
      <c r="P2101" s="24"/>
      <c r="Q2101" s="24"/>
      <c r="R2101" s="24"/>
      <c r="S2101" s="24"/>
      <c r="T2101" s="24"/>
      <c r="U2101" s="24"/>
      <c r="V2101" s="24"/>
      <c r="W2101" s="24"/>
      <c r="X2101" s="24"/>
      <c r="Y2101" s="24"/>
      <c r="Z2101" s="24"/>
      <c r="AA2101" s="24"/>
      <c r="AB2101" s="24"/>
      <c r="AC2101" s="24"/>
      <c r="AD2101" s="24"/>
      <c r="AE2101" s="24"/>
      <c r="AF2101" s="24"/>
      <c r="AG2101" s="24"/>
      <c r="AH2101" s="24"/>
      <c r="AI2101" s="24"/>
      <c r="AJ2101" s="24"/>
      <c r="AK2101" s="24"/>
      <c r="AL2101" s="24"/>
      <c r="AM2101" s="24"/>
      <c r="AN2101" s="24"/>
      <c r="AO2101" s="24"/>
      <c r="AP2101" s="24"/>
      <c r="AQ2101" s="24"/>
      <c r="AR2101" s="54"/>
    </row>
    <row r="2102">
      <c r="A2102" s="57"/>
      <c r="B2102" s="24"/>
      <c r="C2102" s="24"/>
      <c r="D2102" s="24"/>
      <c r="E2102" s="24"/>
      <c r="F2102" s="24"/>
      <c r="G2102" s="24"/>
      <c r="H2102" s="24"/>
      <c r="I2102" s="24"/>
      <c r="J2102" s="24"/>
      <c r="K2102" s="24"/>
      <c r="L2102" s="24"/>
      <c r="M2102" s="24"/>
      <c r="N2102" s="24"/>
      <c r="O2102" s="24"/>
      <c r="P2102" s="24"/>
      <c r="Q2102" s="24"/>
      <c r="R2102" s="24"/>
      <c r="S2102" s="24"/>
      <c r="T2102" s="24"/>
      <c r="U2102" s="24"/>
      <c r="V2102" s="24"/>
      <c r="W2102" s="24"/>
      <c r="X2102" s="24"/>
      <c r="Y2102" s="24"/>
      <c r="Z2102" s="24"/>
      <c r="AA2102" s="24"/>
      <c r="AB2102" s="24"/>
      <c r="AC2102" s="24"/>
      <c r="AD2102" s="24"/>
      <c r="AE2102" s="24"/>
      <c r="AF2102" s="24"/>
      <c r="AG2102" s="24"/>
      <c r="AH2102" s="24"/>
      <c r="AI2102" s="24"/>
      <c r="AJ2102" s="24"/>
      <c r="AK2102" s="24"/>
      <c r="AL2102" s="24"/>
      <c r="AM2102" s="24"/>
      <c r="AN2102" s="24"/>
      <c r="AO2102" s="24"/>
      <c r="AP2102" s="24"/>
      <c r="AQ2102" s="24"/>
      <c r="AR2102" s="54"/>
    </row>
    <row r="2103">
      <c r="A2103" s="57"/>
      <c r="B2103" s="24"/>
      <c r="C2103" s="24"/>
      <c r="D2103" s="24"/>
      <c r="E2103" s="24"/>
      <c r="F2103" s="24"/>
      <c r="G2103" s="24"/>
      <c r="H2103" s="24"/>
      <c r="I2103" s="24"/>
      <c r="J2103" s="24"/>
      <c r="K2103" s="24"/>
      <c r="L2103" s="24"/>
      <c r="M2103" s="24"/>
      <c r="N2103" s="24"/>
      <c r="O2103" s="24"/>
      <c r="P2103" s="24"/>
      <c r="Q2103" s="24"/>
      <c r="R2103" s="24"/>
      <c r="S2103" s="24"/>
      <c r="T2103" s="24"/>
      <c r="U2103" s="24"/>
      <c r="V2103" s="24"/>
      <c r="W2103" s="24"/>
      <c r="X2103" s="24"/>
      <c r="Y2103" s="24"/>
      <c r="Z2103" s="24"/>
      <c r="AA2103" s="24"/>
      <c r="AB2103" s="24"/>
      <c r="AC2103" s="24"/>
      <c r="AD2103" s="24"/>
      <c r="AE2103" s="24"/>
      <c r="AF2103" s="24"/>
      <c r="AG2103" s="24"/>
      <c r="AH2103" s="24"/>
      <c r="AI2103" s="24"/>
      <c r="AJ2103" s="24"/>
      <c r="AK2103" s="24"/>
      <c r="AL2103" s="24"/>
      <c r="AM2103" s="24"/>
      <c r="AN2103" s="24"/>
      <c r="AO2103" s="24"/>
      <c r="AP2103" s="24"/>
      <c r="AQ2103" s="24"/>
      <c r="AR2103" s="54"/>
    </row>
    <row r="2104">
      <c r="A2104" s="57"/>
      <c r="B2104" s="24"/>
      <c r="C2104" s="24"/>
      <c r="D2104" s="24"/>
      <c r="E2104" s="24"/>
      <c r="F2104" s="24"/>
      <c r="G2104" s="24"/>
      <c r="H2104" s="24"/>
      <c r="I2104" s="24"/>
      <c r="J2104" s="24"/>
      <c r="K2104" s="24"/>
      <c r="L2104" s="24"/>
      <c r="M2104" s="24"/>
      <c r="N2104" s="24"/>
      <c r="O2104" s="24"/>
      <c r="P2104" s="24"/>
      <c r="Q2104" s="24"/>
      <c r="R2104" s="24"/>
      <c r="S2104" s="24"/>
      <c r="T2104" s="24"/>
      <c r="U2104" s="24"/>
      <c r="V2104" s="24"/>
      <c r="W2104" s="24"/>
      <c r="X2104" s="24"/>
      <c r="Y2104" s="24"/>
      <c r="Z2104" s="24"/>
      <c r="AA2104" s="24"/>
      <c r="AB2104" s="24"/>
      <c r="AC2104" s="24"/>
      <c r="AD2104" s="24"/>
      <c r="AE2104" s="24"/>
      <c r="AF2104" s="24"/>
      <c r="AG2104" s="24"/>
      <c r="AH2104" s="24"/>
      <c r="AI2104" s="24"/>
      <c r="AJ2104" s="24"/>
      <c r="AK2104" s="24"/>
      <c r="AL2104" s="24"/>
      <c r="AM2104" s="24"/>
      <c r="AN2104" s="24"/>
      <c r="AO2104" s="24"/>
      <c r="AP2104" s="24"/>
      <c r="AQ2104" s="24"/>
      <c r="AR2104" s="54"/>
    </row>
    <row r="2105">
      <c r="A2105" s="57"/>
      <c r="B2105" s="24"/>
      <c r="C2105" s="24"/>
      <c r="D2105" s="24"/>
      <c r="E2105" s="24"/>
      <c r="F2105" s="24"/>
      <c r="G2105" s="24"/>
      <c r="H2105" s="24"/>
      <c r="I2105" s="24"/>
      <c r="J2105" s="24"/>
      <c r="K2105" s="24"/>
      <c r="L2105" s="24"/>
      <c r="M2105" s="24"/>
      <c r="N2105" s="24"/>
      <c r="O2105" s="24"/>
      <c r="P2105" s="24"/>
      <c r="Q2105" s="24"/>
      <c r="R2105" s="24"/>
      <c r="S2105" s="24"/>
      <c r="T2105" s="24"/>
      <c r="U2105" s="24"/>
      <c r="V2105" s="24"/>
      <c r="W2105" s="24"/>
      <c r="X2105" s="24"/>
      <c r="Y2105" s="24"/>
      <c r="Z2105" s="24"/>
      <c r="AA2105" s="24"/>
      <c r="AB2105" s="24"/>
      <c r="AC2105" s="24"/>
      <c r="AD2105" s="24"/>
      <c r="AE2105" s="24"/>
      <c r="AF2105" s="24"/>
      <c r="AG2105" s="24"/>
      <c r="AH2105" s="24"/>
      <c r="AI2105" s="24"/>
      <c r="AJ2105" s="24"/>
      <c r="AK2105" s="24"/>
      <c r="AL2105" s="24"/>
      <c r="AM2105" s="24"/>
      <c r="AN2105" s="24"/>
      <c r="AO2105" s="24"/>
      <c r="AP2105" s="24"/>
      <c r="AQ2105" s="24"/>
      <c r="AR2105" s="54"/>
    </row>
    <row r="2106">
      <c r="A2106" s="57"/>
      <c r="B2106" s="24"/>
      <c r="C2106" s="24"/>
      <c r="D2106" s="24"/>
      <c r="E2106" s="24"/>
      <c r="F2106" s="24"/>
      <c r="G2106" s="24"/>
      <c r="H2106" s="24"/>
      <c r="I2106" s="24"/>
      <c r="J2106" s="24"/>
      <c r="K2106" s="24"/>
      <c r="L2106" s="24"/>
      <c r="M2106" s="24"/>
      <c r="N2106" s="24"/>
      <c r="O2106" s="24"/>
      <c r="P2106" s="24"/>
      <c r="Q2106" s="24"/>
      <c r="R2106" s="24"/>
      <c r="S2106" s="24"/>
      <c r="T2106" s="24"/>
      <c r="U2106" s="24"/>
      <c r="V2106" s="24"/>
      <c r="W2106" s="24"/>
      <c r="X2106" s="24"/>
      <c r="Y2106" s="24"/>
      <c r="Z2106" s="24"/>
      <c r="AA2106" s="24"/>
      <c r="AB2106" s="24"/>
      <c r="AC2106" s="24"/>
      <c r="AD2106" s="24"/>
      <c r="AE2106" s="24"/>
      <c r="AF2106" s="24"/>
      <c r="AG2106" s="24"/>
      <c r="AH2106" s="24"/>
      <c r="AI2106" s="24"/>
      <c r="AJ2106" s="24"/>
      <c r="AK2106" s="24"/>
      <c r="AL2106" s="24"/>
      <c r="AM2106" s="24"/>
      <c r="AN2106" s="24"/>
      <c r="AO2106" s="24"/>
      <c r="AP2106" s="24"/>
      <c r="AQ2106" s="24"/>
      <c r="AR2106" s="54"/>
    </row>
    <row r="2107">
      <c r="A2107" s="57"/>
      <c r="B2107" s="24"/>
      <c r="C2107" s="24"/>
      <c r="D2107" s="24"/>
      <c r="E2107" s="24"/>
      <c r="F2107" s="24"/>
      <c r="G2107" s="24"/>
      <c r="H2107" s="24"/>
      <c r="I2107" s="24"/>
      <c r="J2107" s="24"/>
      <c r="K2107" s="24"/>
      <c r="L2107" s="24"/>
      <c r="M2107" s="24"/>
      <c r="N2107" s="24"/>
      <c r="O2107" s="24"/>
      <c r="P2107" s="24"/>
      <c r="Q2107" s="24"/>
      <c r="R2107" s="24"/>
      <c r="S2107" s="24"/>
      <c r="T2107" s="24"/>
      <c r="U2107" s="24"/>
      <c r="V2107" s="24"/>
      <c r="W2107" s="24"/>
      <c r="X2107" s="24"/>
      <c r="Y2107" s="24"/>
      <c r="Z2107" s="24"/>
      <c r="AA2107" s="24"/>
      <c r="AB2107" s="24"/>
      <c r="AC2107" s="24"/>
      <c r="AD2107" s="24"/>
      <c r="AE2107" s="24"/>
      <c r="AF2107" s="24"/>
      <c r="AG2107" s="24"/>
      <c r="AH2107" s="24"/>
      <c r="AI2107" s="24"/>
      <c r="AJ2107" s="24"/>
      <c r="AK2107" s="24"/>
      <c r="AL2107" s="24"/>
      <c r="AM2107" s="24"/>
      <c r="AN2107" s="24"/>
      <c r="AO2107" s="24"/>
      <c r="AP2107" s="24"/>
      <c r="AQ2107" s="24"/>
      <c r="AR2107" s="54"/>
    </row>
    <row r="2108">
      <c r="A2108" s="57"/>
      <c r="B2108" s="24"/>
      <c r="C2108" s="24"/>
      <c r="D2108" s="24"/>
      <c r="E2108" s="24"/>
      <c r="F2108" s="24"/>
      <c r="G2108" s="24"/>
      <c r="H2108" s="24"/>
      <c r="I2108" s="24"/>
      <c r="J2108" s="24"/>
      <c r="K2108" s="24"/>
      <c r="L2108" s="24"/>
      <c r="M2108" s="24"/>
      <c r="N2108" s="24"/>
      <c r="O2108" s="24"/>
      <c r="P2108" s="24"/>
      <c r="Q2108" s="24"/>
      <c r="R2108" s="24"/>
      <c r="S2108" s="24"/>
      <c r="T2108" s="24"/>
      <c r="U2108" s="24"/>
      <c r="V2108" s="24"/>
      <c r="W2108" s="24"/>
      <c r="X2108" s="24"/>
      <c r="Y2108" s="24"/>
      <c r="Z2108" s="24"/>
      <c r="AA2108" s="24"/>
      <c r="AB2108" s="24"/>
      <c r="AC2108" s="24"/>
      <c r="AD2108" s="24"/>
      <c r="AE2108" s="24"/>
      <c r="AF2108" s="24"/>
      <c r="AG2108" s="24"/>
      <c r="AH2108" s="24"/>
      <c r="AI2108" s="24"/>
      <c r="AJ2108" s="24"/>
      <c r="AK2108" s="24"/>
      <c r="AL2108" s="24"/>
      <c r="AM2108" s="24"/>
      <c r="AN2108" s="24"/>
      <c r="AO2108" s="24"/>
      <c r="AP2108" s="24"/>
      <c r="AQ2108" s="24"/>
      <c r="AR2108" s="54"/>
    </row>
    <row r="2109">
      <c r="A2109" s="57"/>
      <c r="B2109" s="24"/>
      <c r="C2109" s="24"/>
      <c r="D2109" s="24"/>
      <c r="E2109" s="24"/>
      <c r="F2109" s="24"/>
      <c r="G2109" s="24"/>
      <c r="H2109" s="24"/>
      <c r="I2109" s="24"/>
      <c r="J2109" s="24"/>
      <c r="K2109" s="24"/>
      <c r="L2109" s="24"/>
      <c r="M2109" s="24"/>
      <c r="N2109" s="24"/>
      <c r="O2109" s="24"/>
      <c r="P2109" s="24"/>
      <c r="Q2109" s="24"/>
      <c r="R2109" s="24"/>
      <c r="S2109" s="24"/>
      <c r="T2109" s="24"/>
      <c r="U2109" s="24"/>
      <c r="V2109" s="24"/>
      <c r="W2109" s="24"/>
      <c r="X2109" s="24"/>
      <c r="Y2109" s="24"/>
      <c r="Z2109" s="24"/>
      <c r="AA2109" s="24"/>
      <c r="AB2109" s="24"/>
      <c r="AC2109" s="24"/>
      <c r="AD2109" s="24"/>
      <c r="AE2109" s="24"/>
      <c r="AF2109" s="24"/>
      <c r="AG2109" s="24"/>
      <c r="AH2109" s="24"/>
      <c r="AI2109" s="24"/>
      <c r="AJ2109" s="24"/>
      <c r="AK2109" s="24"/>
      <c r="AL2109" s="24"/>
      <c r="AM2109" s="24"/>
      <c r="AN2109" s="24"/>
      <c r="AO2109" s="24"/>
      <c r="AP2109" s="24"/>
      <c r="AQ2109" s="24"/>
      <c r="AR2109" s="54"/>
    </row>
    <row r="2110">
      <c r="A2110" s="57"/>
      <c r="B2110" s="24"/>
      <c r="C2110" s="24"/>
      <c r="D2110" s="24"/>
      <c r="E2110" s="24"/>
      <c r="F2110" s="24"/>
      <c r="G2110" s="24"/>
      <c r="H2110" s="24"/>
      <c r="I2110" s="24"/>
      <c r="J2110" s="24"/>
      <c r="K2110" s="24"/>
      <c r="L2110" s="24"/>
      <c r="M2110" s="24"/>
      <c r="N2110" s="24"/>
      <c r="O2110" s="24"/>
      <c r="P2110" s="24"/>
      <c r="Q2110" s="24"/>
      <c r="R2110" s="24"/>
      <c r="S2110" s="24"/>
      <c r="T2110" s="24"/>
      <c r="U2110" s="24"/>
      <c r="V2110" s="24"/>
      <c r="W2110" s="24"/>
      <c r="X2110" s="24"/>
      <c r="Y2110" s="24"/>
      <c r="Z2110" s="24"/>
      <c r="AA2110" s="24"/>
      <c r="AB2110" s="24"/>
      <c r="AC2110" s="24"/>
      <c r="AD2110" s="24"/>
      <c r="AE2110" s="24"/>
      <c r="AF2110" s="24"/>
      <c r="AG2110" s="24"/>
      <c r="AH2110" s="24"/>
      <c r="AI2110" s="24"/>
      <c r="AJ2110" s="24"/>
      <c r="AK2110" s="24"/>
      <c r="AL2110" s="24"/>
      <c r="AM2110" s="24"/>
      <c r="AN2110" s="24"/>
      <c r="AO2110" s="24"/>
      <c r="AP2110" s="24"/>
      <c r="AQ2110" s="24"/>
      <c r="AR2110" s="54"/>
    </row>
    <row r="2111">
      <c r="A2111" s="57"/>
      <c r="B2111" s="24"/>
      <c r="C2111" s="24"/>
      <c r="D2111" s="24"/>
      <c r="E2111" s="24"/>
      <c r="F2111" s="24"/>
      <c r="G2111" s="24"/>
      <c r="H2111" s="24"/>
      <c r="I2111" s="24"/>
      <c r="J2111" s="24"/>
      <c r="K2111" s="24"/>
      <c r="L2111" s="24"/>
      <c r="M2111" s="24"/>
      <c r="N2111" s="24"/>
      <c r="O2111" s="24"/>
      <c r="P2111" s="24"/>
      <c r="Q2111" s="24"/>
      <c r="R2111" s="24"/>
      <c r="S2111" s="24"/>
      <c r="T2111" s="24"/>
      <c r="U2111" s="24"/>
      <c r="V2111" s="24"/>
      <c r="W2111" s="24"/>
      <c r="X2111" s="24"/>
      <c r="Y2111" s="24"/>
      <c r="Z2111" s="24"/>
      <c r="AA2111" s="24"/>
      <c r="AB2111" s="24"/>
      <c r="AC2111" s="24"/>
      <c r="AD2111" s="24"/>
      <c r="AE2111" s="24"/>
      <c r="AF2111" s="24"/>
      <c r="AG2111" s="24"/>
      <c r="AH2111" s="24"/>
      <c r="AI2111" s="24"/>
      <c r="AJ2111" s="24"/>
      <c r="AK2111" s="24"/>
      <c r="AL2111" s="24"/>
      <c r="AM2111" s="24"/>
      <c r="AN2111" s="24"/>
      <c r="AO2111" s="24"/>
      <c r="AP2111" s="24"/>
      <c r="AQ2111" s="24"/>
      <c r="AR2111" s="54"/>
    </row>
    <row r="2112">
      <c r="A2112" s="57"/>
      <c r="B2112" s="24"/>
      <c r="C2112" s="24"/>
      <c r="D2112" s="24"/>
      <c r="E2112" s="24"/>
      <c r="F2112" s="24"/>
      <c r="G2112" s="24"/>
      <c r="H2112" s="24"/>
      <c r="I2112" s="24"/>
      <c r="J2112" s="24"/>
      <c r="K2112" s="24"/>
      <c r="L2112" s="24"/>
      <c r="M2112" s="24"/>
      <c r="N2112" s="24"/>
      <c r="O2112" s="24"/>
      <c r="P2112" s="24"/>
      <c r="Q2112" s="24"/>
      <c r="R2112" s="24"/>
      <c r="S2112" s="24"/>
      <c r="T2112" s="24"/>
      <c r="U2112" s="24"/>
      <c r="V2112" s="24"/>
      <c r="W2112" s="24"/>
      <c r="X2112" s="24"/>
      <c r="Y2112" s="24"/>
      <c r="Z2112" s="24"/>
      <c r="AA2112" s="24"/>
      <c r="AB2112" s="24"/>
      <c r="AC2112" s="24"/>
      <c r="AD2112" s="24"/>
      <c r="AE2112" s="24"/>
      <c r="AF2112" s="24"/>
      <c r="AG2112" s="24"/>
      <c r="AH2112" s="24"/>
      <c r="AI2112" s="24"/>
      <c r="AJ2112" s="24"/>
      <c r="AK2112" s="24"/>
      <c r="AL2112" s="24"/>
      <c r="AM2112" s="24"/>
      <c r="AN2112" s="24"/>
      <c r="AO2112" s="24"/>
      <c r="AP2112" s="24"/>
      <c r="AQ2112" s="24"/>
      <c r="AR2112" s="54"/>
    </row>
    <row r="2113">
      <c r="A2113" s="57"/>
      <c r="B2113" s="24"/>
      <c r="C2113" s="24"/>
      <c r="D2113" s="24"/>
      <c r="E2113" s="24"/>
      <c r="F2113" s="24"/>
      <c r="G2113" s="24"/>
      <c r="H2113" s="24"/>
      <c r="I2113" s="24"/>
      <c r="J2113" s="24"/>
      <c r="K2113" s="24"/>
      <c r="L2113" s="24"/>
      <c r="M2113" s="24"/>
      <c r="N2113" s="24"/>
      <c r="O2113" s="24"/>
      <c r="P2113" s="24"/>
      <c r="Q2113" s="24"/>
      <c r="R2113" s="24"/>
      <c r="S2113" s="24"/>
      <c r="T2113" s="24"/>
      <c r="U2113" s="24"/>
      <c r="V2113" s="24"/>
      <c r="W2113" s="24"/>
      <c r="X2113" s="24"/>
      <c r="Y2113" s="24"/>
      <c r="Z2113" s="24"/>
      <c r="AA2113" s="24"/>
      <c r="AB2113" s="24"/>
      <c r="AC2113" s="24"/>
      <c r="AD2113" s="24"/>
      <c r="AE2113" s="24"/>
      <c r="AF2113" s="24"/>
      <c r="AG2113" s="24"/>
      <c r="AH2113" s="24"/>
      <c r="AI2113" s="24"/>
      <c r="AJ2113" s="24"/>
      <c r="AK2113" s="24"/>
      <c r="AL2113" s="24"/>
      <c r="AM2113" s="24"/>
      <c r="AN2113" s="24"/>
      <c r="AO2113" s="24"/>
      <c r="AP2113" s="24"/>
      <c r="AQ2113" s="24"/>
      <c r="AR2113" s="54"/>
    </row>
    <row r="2114">
      <c r="A2114" s="57"/>
      <c r="B2114" s="24"/>
      <c r="C2114" s="24"/>
      <c r="D2114" s="24"/>
      <c r="E2114" s="24"/>
      <c r="F2114" s="24"/>
      <c r="G2114" s="24"/>
      <c r="H2114" s="24"/>
      <c r="I2114" s="24"/>
      <c r="J2114" s="24"/>
      <c r="K2114" s="24"/>
      <c r="L2114" s="24"/>
      <c r="M2114" s="24"/>
      <c r="N2114" s="24"/>
      <c r="O2114" s="24"/>
      <c r="P2114" s="24"/>
      <c r="Q2114" s="24"/>
      <c r="R2114" s="24"/>
      <c r="S2114" s="24"/>
      <c r="T2114" s="24"/>
      <c r="U2114" s="24"/>
      <c r="V2114" s="24"/>
      <c r="W2114" s="24"/>
      <c r="X2114" s="24"/>
      <c r="Y2114" s="24"/>
      <c r="Z2114" s="24"/>
      <c r="AA2114" s="24"/>
      <c r="AB2114" s="24"/>
      <c r="AC2114" s="24"/>
      <c r="AD2114" s="24"/>
      <c r="AE2114" s="24"/>
      <c r="AF2114" s="24"/>
      <c r="AG2114" s="24"/>
      <c r="AH2114" s="24"/>
      <c r="AI2114" s="24"/>
      <c r="AJ2114" s="24"/>
      <c r="AK2114" s="24"/>
      <c r="AL2114" s="24"/>
      <c r="AM2114" s="24"/>
      <c r="AN2114" s="24"/>
      <c r="AO2114" s="24"/>
      <c r="AP2114" s="24"/>
      <c r="AQ2114" s="24"/>
      <c r="AR2114" s="54"/>
    </row>
    <row r="2115">
      <c r="A2115" s="57"/>
      <c r="B2115" s="24"/>
      <c r="C2115" s="24"/>
      <c r="D2115" s="24"/>
      <c r="E2115" s="24"/>
      <c r="F2115" s="24"/>
      <c r="G2115" s="24"/>
      <c r="H2115" s="24"/>
      <c r="I2115" s="24"/>
      <c r="J2115" s="24"/>
      <c r="K2115" s="24"/>
      <c r="L2115" s="24"/>
      <c r="M2115" s="24"/>
      <c r="N2115" s="24"/>
      <c r="O2115" s="24"/>
      <c r="P2115" s="24"/>
      <c r="Q2115" s="24"/>
      <c r="R2115" s="24"/>
      <c r="S2115" s="24"/>
      <c r="T2115" s="24"/>
      <c r="U2115" s="24"/>
      <c r="V2115" s="24"/>
      <c r="W2115" s="24"/>
      <c r="X2115" s="24"/>
      <c r="Y2115" s="24"/>
      <c r="Z2115" s="24"/>
      <c r="AA2115" s="24"/>
      <c r="AB2115" s="24"/>
      <c r="AC2115" s="24"/>
      <c r="AD2115" s="24"/>
      <c r="AE2115" s="24"/>
      <c r="AF2115" s="24"/>
      <c r="AG2115" s="24"/>
      <c r="AH2115" s="24"/>
      <c r="AI2115" s="24"/>
      <c r="AJ2115" s="24"/>
      <c r="AK2115" s="24"/>
      <c r="AL2115" s="24"/>
      <c r="AM2115" s="24"/>
      <c r="AN2115" s="24"/>
      <c r="AO2115" s="24"/>
      <c r="AP2115" s="24"/>
      <c r="AQ2115" s="24"/>
      <c r="AR2115" s="54"/>
    </row>
    <row r="2116">
      <c r="A2116" s="57"/>
      <c r="B2116" s="24"/>
      <c r="C2116" s="24"/>
      <c r="D2116" s="24"/>
      <c r="E2116" s="24"/>
      <c r="F2116" s="24"/>
      <c r="G2116" s="24"/>
      <c r="H2116" s="24"/>
      <c r="I2116" s="24"/>
      <c r="J2116" s="24"/>
      <c r="K2116" s="24"/>
      <c r="L2116" s="24"/>
      <c r="M2116" s="24"/>
      <c r="N2116" s="24"/>
      <c r="O2116" s="24"/>
      <c r="P2116" s="24"/>
      <c r="Q2116" s="24"/>
      <c r="R2116" s="24"/>
      <c r="S2116" s="24"/>
      <c r="T2116" s="24"/>
      <c r="U2116" s="24"/>
      <c r="V2116" s="24"/>
      <c r="W2116" s="24"/>
      <c r="X2116" s="24"/>
      <c r="Y2116" s="24"/>
      <c r="Z2116" s="24"/>
      <c r="AA2116" s="24"/>
      <c r="AB2116" s="24"/>
      <c r="AC2116" s="24"/>
      <c r="AD2116" s="24"/>
      <c r="AE2116" s="24"/>
      <c r="AF2116" s="24"/>
      <c r="AG2116" s="24"/>
      <c r="AH2116" s="24"/>
      <c r="AI2116" s="24"/>
      <c r="AJ2116" s="24"/>
      <c r="AK2116" s="24"/>
      <c r="AL2116" s="24"/>
      <c r="AM2116" s="24"/>
      <c r="AN2116" s="24"/>
      <c r="AO2116" s="24"/>
      <c r="AP2116" s="24"/>
      <c r="AQ2116" s="24"/>
      <c r="AR2116" s="54"/>
    </row>
    <row r="2117">
      <c r="A2117" s="57"/>
      <c r="B2117" s="24"/>
      <c r="C2117" s="24"/>
      <c r="D2117" s="24"/>
      <c r="E2117" s="24"/>
      <c r="F2117" s="24"/>
      <c r="G2117" s="24"/>
      <c r="H2117" s="24"/>
      <c r="I2117" s="24"/>
      <c r="J2117" s="24"/>
      <c r="K2117" s="24"/>
      <c r="L2117" s="24"/>
      <c r="M2117" s="24"/>
      <c r="N2117" s="24"/>
      <c r="O2117" s="24"/>
      <c r="P2117" s="24"/>
      <c r="Q2117" s="24"/>
      <c r="R2117" s="24"/>
      <c r="S2117" s="24"/>
      <c r="T2117" s="24"/>
      <c r="U2117" s="24"/>
      <c r="V2117" s="24"/>
      <c r="W2117" s="24"/>
      <c r="X2117" s="24"/>
      <c r="Y2117" s="24"/>
      <c r="Z2117" s="24"/>
      <c r="AA2117" s="24"/>
      <c r="AB2117" s="24"/>
      <c r="AC2117" s="24"/>
      <c r="AD2117" s="24"/>
      <c r="AE2117" s="24"/>
      <c r="AF2117" s="24"/>
      <c r="AG2117" s="24"/>
      <c r="AH2117" s="24"/>
      <c r="AI2117" s="24"/>
      <c r="AJ2117" s="24"/>
      <c r="AK2117" s="24"/>
      <c r="AL2117" s="24"/>
      <c r="AM2117" s="24"/>
      <c r="AN2117" s="24"/>
      <c r="AO2117" s="24"/>
      <c r="AP2117" s="24"/>
      <c r="AQ2117" s="24"/>
      <c r="AR2117" s="54"/>
    </row>
    <row r="2118">
      <c r="A2118" s="57"/>
      <c r="B2118" s="24"/>
      <c r="C2118" s="24"/>
      <c r="D2118" s="24"/>
      <c r="E2118" s="24"/>
      <c r="F2118" s="24"/>
      <c r="G2118" s="24"/>
      <c r="H2118" s="24"/>
      <c r="I2118" s="24"/>
      <c r="J2118" s="24"/>
      <c r="K2118" s="24"/>
      <c r="L2118" s="24"/>
      <c r="M2118" s="24"/>
      <c r="N2118" s="24"/>
      <c r="O2118" s="24"/>
      <c r="P2118" s="24"/>
      <c r="Q2118" s="24"/>
      <c r="R2118" s="24"/>
      <c r="S2118" s="24"/>
      <c r="T2118" s="24"/>
      <c r="U2118" s="24"/>
      <c r="V2118" s="24"/>
      <c r="W2118" s="24"/>
      <c r="X2118" s="24"/>
      <c r="Y2118" s="24"/>
      <c r="Z2118" s="24"/>
      <c r="AA2118" s="24"/>
      <c r="AB2118" s="24"/>
      <c r="AC2118" s="24"/>
      <c r="AD2118" s="24"/>
      <c r="AE2118" s="24"/>
      <c r="AF2118" s="24"/>
      <c r="AG2118" s="24"/>
      <c r="AH2118" s="24"/>
      <c r="AI2118" s="24"/>
      <c r="AJ2118" s="24"/>
      <c r="AK2118" s="24"/>
      <c r="AL2118" s="24"/>
      <c r="AM2118" s="24"/>
      <c r="AN2118" s="24"/>
      <c r="AO2118" s="24"/>
      <c r="AP2118" s="24"/>
      <c r="AQ2118" s="24"/>
      <c r="AR2118" s="54"/>
    </row>
    <row r="2119">
      <c r="A2119" s="57"/>
      <c r="B2119" s="24"/>
      <c r="C2119" s="24"/>
      <c r="D2119" s="24"/>
      <c r="E2119" s="24"/>
      <c r="F2119" s="24"/>
      <c r="G2119" s="24"/>
      <c r="H2119" s="24"/>
      <c r="I2119" s="24"/>
      <c r="J2119" s="24"/>
      <c r="K2119" s="24"/>
      <c r="L2119" s="24"/>
      <c r="M2119" s="24"/>
      <c r="N2119" s="24"/>
      <c r="O2119" s="24"/>
      <c r="P2119" s="24"/>
      <c r="Q2119" s="24"/>
      <c r="R2119" s="24"/>
      <c r="S2119" s="24"/>
      <c r="T2119" s="24"/>
      <c r="U2119" s="24"/>
      <c r="V2119" s="24"/>
      <c r="W2119" s="24"/>
      <c r="X2119" s="24"/>
      <c r="Y2119" s="24"/>
      <c r="Z2119" s="24"/>
      <c r="AA2119" s="24"/>
      <c r="AB2119" s="24"/>
      <c r="AC2119" s="24"/>
      <c r="AD2119" s="24"/>
      <c r="AE2119" s="24"/>
      <c r="AF2119" s="24"/>
      <c r="AG2119" s="24"/>
      <c r="AH2119" s="24"/>
      <c r="AI2119" s="24"/>
      <c r="AJ2119" s="24"/>
      <c r="AK2119" s="24"/>
      <c r="AL2119" s="24"/>
      <c r="AM2119" s="24"/>
      <c r="AN2119" s="24"/>
      <c r="AO2119" s="24"/>
      <c r="AP2119" s="24"/>
      <c r="AQ2119" s="24"/>
      <c r="AR2119" s="54"/>
    </row>
    <row r="2120">
      <c r="A2120" s="57"/>
      <c r="B2120" s="24"/>
      <c r="C2120" s="24"/>
      <c r="D2120" s="24"/>
      <c r="E2120" s="24"/>
      <c r="F2120" s="24"/>
      <c r="G2120" s="24"/>
      <c r="H2120" s="24"/>
      <c r="I2120" s="24"/>
      <c r="J2120" s="24"/>
      <c r="K2120" s="24"/>
      <c r="L2120" s="24"/>
      <c r="M2120" s="24"/>
      <c r="N2120" s="24"/>
      <c r="O2120" s="24"/>
      <c r="P2120" s="24"/>
      <c r="Q2120" s="24"/>
      <c r="R2120" s="24"/>
      <c r="S2120" s="24"/>
      <c r="T2120" s="24"/>
      <c r="U2120" s="24"/>
      <c r="V2120" s="24"/>
      <c r="W2120" s="24"/>
      <c r="X2120" s="24"/>
      <c r="Y2120" s="24"/>
      <c r="Z2120" s="24"/>
      <c r="AA2120" s="24"/>
      <c r="AB2120" s="24"/>
      <c r="AC2120" s="24"/>
      <c r="AD2120" s="24"/>
      <c r="AE2120" s="24"/>
      <c r="AF2120" s="24"/>
      <c r="AG2120" s="24"/>
      <c r="AH2120" s="24"/>
      <c r="AI2120" s="24"/>
      <c r="AJ2120" s="24"/>
      <c r="AK2120" s="24"/>
      <c r="AL2120" s="24"/>
      <c r="AM2120" s="24"/>
      <c r="AN2120" s="24"/>
      <c r="AO2120" s="24"/>
      <c r="AP2120" s="24"/>
      <c r="AQ2120" s="24"/>
      <c r="AR2120" s="54"/>
    </row>
    <row r="2121">
      <c r="A2121" s="57"/>
      <c r="B2121" s="24"/>
      <c r="C2121" s="24"/>
      <c r="D2121" s="24"/>
      <c r="E2121" s="24"/>
      <c r="F2121" s="24"/>
      <c r="G2121" s="24"/>
      <c r="H2121" s="24"/>
      <c r="I2121" s="24"/>
      <c r="J2121" s="24"/>
      <c r="K2121" s="24"/>
      <c r="L2121" s="24"/>
      <c r="M2121" s="24"/>
      <c r="N2121" s="24"/>
      <c r="O2121" s="24"/>
      <c r="P2121" s="24"/>
      <c r="Q2121" s="24"/>
      <c r="R2121" s="24"/>
      <c r="S2121" s="24"/>
      <c r="T2121" s="24"/>
      <c r="U2121" s="24"/>
      <c r="V2121" s="24"/>
      <c r="W2121" s="24"/>
      <c r="X2121" s="24"/>
      <c r="Y2121" s="24"/>
      <c r="Z2121" s="24"/>
      <c r="AA2121" s="24"/>
      <c r="AB2121" s="24"/>
      <c r="AC2121" s="24"/>
      <c r="AD2121" s="24"/>
      <c r="AE2121" s="24"/>
      <c r="AF2121" s="24"/>
      <c r="AG2121" s="24"/>
      <c r="AH2121" s="24"/>
      <c r="AI2121" s="24"/>
      <c r="AJ2121" s="24"/>
      <c r="AK2121" s="24"/>
      <c r="AL2121" s="24"/>
      <c r="AM2121" s="24"/>
      <c r="AN2121" s="24"/>
      <c r="AO2121" s="24"/>
      <c r="AP2121" s="24"/>
      <c r="AQ2121" s="24"/>
      <c r="AR2121" s="54"/>
    </row>
    <row r="2122">
      <c r="A2122" s="57"/>
      <c r="B2122" s="24"/>
      <c r="C2122" s="24"/>
      <c r="D2122" s="24"/>
      <c r="E2122" s="24"/>
      <c r="F2122" s="24"/>
      <c r="G2122" s="24"/>
      <c r="H2122" s="24"/>
      <c r="I2122" s="24"/>
      <c r="J2122" s="24"/>
      <c r="K2122" s="24"/>
      <c r="L2122" s="24"/>
      <c r="M2122" s="24"/>
      <c r="N2122" s="24"/>
      <c r="O2122" s="24"/>
      <c r="P2122" s="24"/>
      <c r="Q2122" s="24"/>
      <c r="R2122" s="24"/>
      <c r="S2122" s="24"/>
      <c r="T2122" s="24"/>
      <c r="U2122" s="24"/>
      <c r="V2122" s="24"/>
      <c r="W2122" s="24"/>
      <c r="X2122" s="24"/>
      <c r="Y2122" s="24"/>
      <c r="Z2122" s="24"/>
      <c r="AA2122" s="24"/>
      <c r="AB2122" s="24"/>
      <c r="AC2122" s="24"/>
      <c r="AD2122" s="24"/>
      <c r="AE2122" s="24"/>
      <c r="AF2122" s="24"/>
      <c r="AG2122" s="24"/>
      <c r="AH2122" s="24"/>
      <c r="AI2122" s="24"/>
      <c r="AJ2122" s="24"/>
      <c r="AK2122" s="24"/>
      <c r="AL2122" s="24"/>
      <c r="AM2122" s="24"/>
      <c r="AN2122" s="24"/>
      <c r="AO2122" s="24"/>
      <c r="AP2122" s="24"/>
      <c r="AQ2122" s="24"/>
      <c r="AR2122" s="54"/>
    </row>
    <row r="2123">
      <c r="A2123" s="57"/>
      <c r="B2123" s="24"/>
      <c r="C2123" s="24"/>
      <c r="D2123" s="24"/>
      <c r="E2123" s="24"/>
      <c r="F2123" s="24"/>
      <c r="G2123" s="24"/>
      <c r="H2123" s="24"/>
      <c r="I2123" s="24"/>
      <c r="J2123" s="24"/>
      <c r="K2123" s="24"/>
      <c r="L2123" s="24"/>
      <c r="M2123" s="24"/>
      <c r="N2123" s="24"/>
      <c r="O2123" s="24"/>
      <c r="P2123" s="24"/>
      <c r="Q2123" s="24"/>
      <c r="R2123" s="24"/>
      <c r="S2123" s="24"/>
      <c r="T2123" s="24"/>
      <c r="U2123" s="24"/>
      <c r="V2123" s="24"/>
      <c r="W2123" s="24"/>
      <c r="X2123" s="24"/>
      <c r="Y2123" s="24"/>
      <c r="Z2123" s="24"/>
      <c r="AA2123" s="24"/>
      <c r="AB2123" s="24"/>
      <c r="AC2123" s="24"/>
      <c r="AD2123" s="24"/>
      <c r="AE2123" s="24"/>
      <c r="AF2123" s="24"/>
      <c r="AG2123" s="24"/>
      <c r="AH2123" s="24"/>
      <c r="AI2123" s="24"/>
      <c r="AJ2123" s="24"/>
      <c r="AK2123" s="24"/>
      <c r="AL2123" s="24"/>
      <c r="AM2123" s="24"/>
      <c r="AN2123" s="24"/>
      <c r="AO2123" s="24"/>
      <c r="AP2123" s="24"/>
      <c r="AQ2123" s="24"/>
      <c r="AR2123" s="54"/>
    </row>
    <row r="2124">
      <c r="A2124" s="57"/>
      <c r="B2124" s="24"/>
      <c r="C2124" s="24"/>
      <c r="D2124" s="24"/>
      <c r="E2124" s="24"/>
      <c r="F2124" s="24"/>
      <c r="G2124" s="24"/>
      <c r="H2124" s="24"/>
      <c r="I2124" s="24"/>
      <c r="J2124" s="24"/>
      <c r="K2124" s="24"/>
      <c r="L2124" s="24"/>
      <c r="M2124" s="24"/>
      <c r="N2124" s="24"/>
      <c r="O2124" s="24"/>
      <c r="P2124" s="24"/>
      <c r="Q2124" s="24"/>
      <c r="R2124" s="24"/>
      <c r="S2124" s="24"/>
      <c r="T2124" s="24"/>
      <c r="U2124" s="24"/>
      <c r="V2124" s="24"/>
      <c r="W2124" s="24"/>
      <c r="X2124" s="24"/>
      <c r="Y2124" s="24"/>
      <c r="Z2124" s="24"/>
      <c r="AA2124" s="24"/>
      <c r="AB2124" s="24"/>
      <c r="AC2124" s="24"/>
      <c r="AD2124" s="24"/>
      <c r="AE2124" s="24"/>
      <c r="AF2124" s="24"/>
      <c r="AG2124" s="24"/>
      <c r="AH2124" s="24"/>
      <c r="AI2124" s="24"/>
      <c r="AJ2124" s="24"/>
      <c r="AK2124" s="24"/>
      <c r="AL2124" s="24"/>
      <c r="AM2124" s="24"/>
      <c r="AN2124" s="24"/>
      <c r="AO2124" s="24"/>
      <c r="AP2124" s="24"/>
      <c r="AQ2124" s="24"/>
      <c r="AR2124" s="54"/>
    </row>
    <row r="2125">
      <c r="A2125" s="57"/>
      <c r="B2125" s="24"/>
      <c r="C2125" s="24"/>
      <c r="D2125" s="24"/>
      <c r="E2125" s="24"/>
      <c r="F2125" s="24"/>
      <c r="G2125" s="24"/>
      <c r="H2125" s="24"/>
      <c r="I2125" s="24"/>
      <c r="J2125" s="24"/>
      <c r="K2125" s="24"/>
      <c r="L2125" s="24"/>
      <c r="M2125" s="24"/>
      <c r="N2125" s="24"/>
      <c r="O2125" s="24"/>
      <c r="P2125" s="24"/>
      <c r="Q2125" s="24"/>
      <c r="R2125" s="24"/>
      <c r="S2125" s="24"/>
      <c r="T2125" s="24"/>
      <c r="U2125" s="24"/>
      <c r="V2125" s="24"/>
      <c r="W2125" s="24"/>
      <c r="X2125" s="24"/>
      <c r="Y2125" s="24"/>
      <c r="Z2125" s="24"/>
      <c r="AA2125" s="24"/>
      <c r="AB2125" s="24"/>
      <c r="AC2125" s="24"/>
      <c r="AD2125" s="24"/>
      <c r="AE2125" s="24"/>
      <c r="AF2125" s="24"/>
      <c r="AG2125" s="24"/>
      <c r="AH2125" s="24"/>
      <c r="AI2125" s="24"/>
      <c r="AJ2125" s="24"/>
      <c r="AK2125" s="24"/>
      <c r="AL2125" s="24"/>
      <c r="AM2125" s="24"/>
      <c r="AN2125" s="24"/>
      <c r="AO2125" s="24"/>
      <c r="AP2125" s="24"/>
      <c r="AQ2125" s="24"/>
      <c r="AR2125" s="54"/>
    </row>
    <row r="2126">
      <c r="A2126" s="57"/>
      <c r="B2126" s="24"/>
      <c r="C2126" s="24"/>
      <c r="D2126" s="24"/>
      <c r="E2126" s="24"/>
      <c r="F2126" s="24"/>
      <c r="G2126" s="24"/>
      <c r="H2126" s="24"/>
      <c r="I2126" s="24"/>
      <c r="J2126" s="24"/>
      <c r="K2126" s="24"/>
      <c r="L2126" s="24"/>
      <c r="M2126" s="24"/>
      <c r="N2126" s="24"/>
      <c r="O2126" s="24"/>
      <c r="P2126" s="24"/>
      <c r="Q2126" s="24"/>
      <c r="R2126" s="24"/>
      <c r="S2126" s="24"/>
      <c r="T2126" s="24"/>
      <c r="U2126" s="24"/>
      <c r="V2126" s="24"/>
      <c r="W2126" s="24"/>
      <c r="X2126" s="24"/>
      <c r="Y2126" s="24"/>
      <c r="Z2126" s="24"/>
      <c r="AA2126" s="24"/>
      <c r="AB2126" s="24"/>
      <c r="AC2126" s="24"/>
      <c r="AD2126" s="24"/>
      <c r="AE2126" s="24"/>
      <c r="AF2126" s="24"/>
      <c r="AG2126" s="24"/>
      <c r="AH2126" s="24"/>
      <c r="AI2126" s="24"/>
      <c r="AJ2126" s="24"/>
      <c r="AK2126" s="24"/>
      <c r="AL2126" s="24"/>
      <c r="AM2126" s="24"/>
      <c r="AN2126" s="24"/>
      <c r="AO2126" s="24"/>
      <c r="AP2126" s="24"/>
      <c r="AQ2126" s="24"/>
      <c r="AR2126" s="54"/>
    </row>
    <row r="2127">
      <c r="A2127" s="57"/>
      <c r="B2127" s="24"/>
      <c r="C2127" s="24"/>
      <c r="D2127" s="24"/>
      <c r="E2127" s="24"/>
      <c r="F2127" s="24"/>
      <c r="G2127" s="24"/>
      <c r="H2127" s="24"/>
      <c r="I2127" s="24"/>
      <c r="J2127" s="24"/>
      <c r="K2127" s="24"/>
      <c r="L2127" s="24"/>
      <c r="M2127" s="24"/>
      <c r="N2127" s="24"/>
      <c r="O2127" s="24"/>
      <c r="P2127" s="24"/>
      <c r="Q2127" s="24"/>
      <c r="R2127" s="24"/>
      <c r="S2127" s="24"/>
      <c r="T2127" s="24"/>
      <c r="U2127" s="24"/>
      <c r="V2127" s="24"/>
      <c r="W2127" s="24"/>
      <c r="X2127" s="24"/>
      <c r="Y2127" s="24"/>
      <c r="Z2127" s="24"/>
      <c r="AA2127" s="24"/>
      <c r="AB2127" s="24"/>
      <c r="AC2127" s="24"/>
      <c r="AD2127" s="24"/>
      <c r="AE2127" s="24"/>
      <c r="AF2127" s="24"/>
      <c r="AG2127" s="24"/>
      <c r="AH2127" s="24"/>
      <c r="AI2127" s="24"/>
      <c r="AJ2127" s="24"/>
      <c r="AK2127" s="24"/>
      <c r="AL2127" s="24"/>
      <c r="AM2127" s="24"/>
      <c r="AN2127" s="24"/>
      <c r="AO2127" s="24"/>
      <c r="AP2127" s="24"/>
      <c r="AQ2127" s="24"/>
      <c r="AR2127" s="54"/>
    </row>
    <row r="2128">
      <c r="A2128" s="57"/>
      <c r="B2128" s="24"/>
      <c r="C2128" s="24"/>
      <c r="D2128" s="24"/>
      <c r="E2128" s="24"/>
      <c r="F2128" s="24"/>
      <c r="G2128" s="24"/>
      <c r="H2128" s="24"/>
      <c r="I2128" s="24"/>
      <c r="J2128" s="24"/>
      <c r="K2128" s="24"/>
      <c r="L2128" s="24"/>
      <c r="M2128" s="24"/>
      <c r="N2128" s="24"/>
      <c r="O2128" s="24"/>
      <c r="P2128" s="24"/>
      <c r="Q2128" s="24"/>
      <c r="R2128" s="24"/>
      <c r="S2128" s="24"/>
      <c r="T2128" s="24"/>
      <c r="U2128" s="24"/>
      <c r="V2128" s="24"/>
      <c r="W2128" s="24"/>
      <c r="X2128" s="24"/>
      <c r="Y2128" s="24"/>
      <c r="Z2128" s="24"/>
      <c r="AA2128" s="24"/>
      <c r="AB2128" s="24"/>
      <c r="AC2128" s="24"/>
      <c r="AD2128" s="24"/>
      <c r="AE2128" s="24"/>
      <c r="AF2128" s="24"/>
      <c r="AG2128" s="24"/>
      <c r="AH2128" s="24"/>
      <c r="AI2128" s="24"/>
      <c r="AJ2128" s="24"/>
      <c r="AK2128" s="24"/>
      <c r="AL2128" s="24"/>
      <c r="AM2128" s="24"/>
      <c r="AN2128" s="24"/>
      <c r="AO2128" s="24"/>
      <c r="AP2128" s="24"/>
      <c r="AQ2128" s="24"/>
      <c r="AR2128" s="54"/>
    </row>
    <row r="2129">
      <c r="A2129" s="57"/>
      <c r="B2129" s="24"/>
      <c r="C2129" s="24"/>
      <c r="D2129" s="24"/>
      <c r="E2129" s="24"/>
      <c r="F2129" s="24"/>
      <c r="G2129" s="24"/>
      <c r="H2129" s="24"/>
      <c r="I2129" s="24"/>
      <c r="J2129" s="24"/>
      <c r="K2129" s="24"/>
      <c r="L2129" s="24"/>
      <c r="M2129" s="24"/>
      <c r="N2129" s="24"/>
      <c r="O2129" s="24"/>
      <c r="P2129" s="24"/>
      <c r="Q2129" s="24"/>
      <c r="R2129" s="24"/>
      <c r="S2129" s="24"/>
      <c r="T2129" s="24"/>
      <c r="U2129" s="24"/>
      <c r="V2129" s="24"/>
      <c r="W2129" s="24"/>
      <c r="X2129" s="24"/>
      <c r="Y2129" s="24"/>
      <c r="Z2129" s="24"/>
      <c r="AA2129" s="24"/>
      <c r="AB2129" s="24"/>
      <c r="AC2129" s="24"/>
      <c r="AD2129" s="24"/>
      <c r="AE2129" s="24"/>
      <c r="AF2129" s="24"/>
      <c r="AG2129" s="24"/>
      <c r="AH2129" s="24"/>
      <c r="AI2129" s="24"/>
      <c r="AJ2129" s="24"/>
      <c r="AK2129" s="24"/>
      <c r="AL2129" s="24"/>
      <c r="AM2129" s="24"/>
      <c r="AN2129" s="24"/>
      <c r="AO2129" s="24"/>
      <c r="AP2129" s="24"/>
      <c r="AQ2129" s="24"/>
      <c r="AR2129" s="54"/>
    </row>
    <row r="2130">
      <c r="A2130" s="57"/>
      <c r="B2130" s="24"/>
      <c r="C2130" s="24"/>
      <c r="D2130" s="24"/>
      <c r="E2130" s="24"/>
      <c r="F2130" s="24"/>
      <c r="G2130" s="24"/>
      <c r="H2130" s="24"/>
      <c r="I2130" s="24"/>
      <c r="J2130" s="24"/>
      <c r="K2130" s="24"/>
      <c r="L2130" s="24"/>
      <c r="M2130" s="24"/>
      <c r="N2130" s="24"/>
      <c r="O2130" s="24"/>
      <c r="P2130" s="24"/>
      <c r="Q2130" s="24"/>
      <c r="R2130" s="24"/>
      <c r="S2130" s="24"/>
      <c r="T2130" s="24"/>
      <c r="U2130" s="24"/>
      <c r="V2130" s="24"/>
      <c r="W2130" s="24"/>
      <c r="X2130" s="24"/>
      <c r="Y2130" s="24"/>
      <c r="Z2130" s="24"/>
      <c r="AA2130" s="24"/>
      <c r="AB2130" s="24"/>
      <c r="AC2130" s="24"/>
      <c r="AD2130" s="24"/>
      <c r="AE2130" s="24"/>
      <c r="AF2130" s="24"/>
      <c r="AG2130" s="24"/>
      <c r="AH2130" s="24"/>
      <c r="AI2130" s="24"/>
      <c r="AJ2130" s="24"/>
      <c r="AK2130" s="24"/>
      <c r="AL2130" s="24"/>
      <c r="AM2130" s="24"/>
      <c r="AN2130" s="24"/>
      <c r="AO2130" s="24"/>
      <c r="AP2130" s="24"/>
      <c r="AQ2130" s="24"/>
      <c r="AR2130" s="54"/>
    </row>
    <row r="2131">
      <c r="A2131" s="57"/>
      <c r="B2131" s="24"/>
      <c r="C2131" s="24"/>
      <c r="D2131" s="24"/>
      <c r="E2131" s="24"/>
      <c r="F2131" s="24"/>
      <c r="G2131" s="24"/>
      <c r="H2131" s="24"/>
      <c r="I2131" s="24"/>
      <c r="J2131" s="24"/>
      <c r="K2131" s="24"/>
      <c r="L2131" s="24"/>
      <c r="M2131" s="24"/>
      <c r="N2131" s="24"/>
      <c r="O2131" s="24"/>
      <c r="P2131" s="24"/>
      <c r="Q2131" s="24"/>
      <c r="R2131" s="24"/>
      <c r="S2131" s="24"/>
      <c r="T2131" s="24"/>
      <c r="U2131" s="24"/>
      <c r="V2131" s="24"/>
      <c r="W2131" s="24"/>
      <c r="X2131" s="24"/>
      <c r="Y2131" s="24"/>
      <c r="Z2131" s="24"/>
      <c r="AA2131" s="24"/>
      <c r="AB2131" s="24"/>
      <c r="AC2131" s="24"/>
      <c r="AD2131" s="24"/>
      <c r="AE2131" s="24"/>
      <c r="AF2131" s="24"/>
      <c r="AG2131" s="24"/>
      <c r="AH2131" s="24"/>
      <c r="AI2131" s="24"/>
      <c r="AJ2131" s="24"/>
      <c r="AK2131" s="24"/>
      <c r="AL2131" s="24"/>
      <c r="AM2131" s="24"/>
      <c r="AN2131" s="24"/>
      <c r="AO2131" s="24"/>
      <c r="AP2131" s="24"/>
      <c r="AQ2131" s="24"/>
      <c r="AR2131" s="54"/>
    </row>
    <row r="2132">
      <c r="A2132" s="57"/>
      <c r="B2132" s="24"/>
      <c r="C2132" s="24"/>
      <c r="D2132" s="24"/>
      <c r="E2132" s="24"/>
      <c r="F2132" s="24"/>
      <c r="G2132" s="24"/>
      <c r="H2132" s="24"/>
      <c r="I2132" s="24"/>
      <c r="J2132" s="24"/>
      <c r="K2132" s="24"/>
      <c r="L2132" s="24"/>
      <c r="M2132" s="24"/>
      <c r="N2132" s="24"/>
      <c r="O2132" s="24"/>
      <c r="P2132" s="24"/>
      <c r="Q2132" s="24"/>
      <c r="R2132" s="24"/>
      <c r="S2132" s="24"/>
      <c r="T2132" s="24"/>
      <c r="U2132" s="24"/>
      <c r="V2132" s="24"/>
      <c r="W2132" s="24"/>
      <c r="X2132" s="24"/>
      <c r="Y2132" s="24"/>
      <c r="Z2132" s="24"/>
      <c r="AA2132" s="24"/>
      <c r="AB2132" s="24"/>
      <c r="AC2132" s="24"/>
      <c r="AD2132" s="24"/>
      <c r="AE2132" s="24"/>
      <c r="AF2132" s="24"/>
      <c r="AG2132" s="24"/>
      <c r="AH2132" s="24"/>
      <c r="AI2132" s="24"/>
      <c r="AJ2132" s="24"/>
      <c r="AK2132" s="24"/>
      <c r="AL2132" s="24"/>
      <c r="AM2132" s="24"/>
      <c r="AN2132" s="24"/>
      <c r="AO2132" s="24"/>
      <c r="AP2132" s="24"/>
      <c r="AQ2132" s="24"/>
      <c r="AR2132" s="54"/>
    </row>
    <row r="2133">
      <c r="A2133" s="57"/>
      <c r="B2133" s="24"/>
      <c r="C2133" s="24"/>
      <c r="D2133" s="24"/>
      <c r="E2133" s="24"/>
      <c r="F2133" s="24"/>
      <c r="G2133" s="24"/>
      <c r="H2133" s="24"/>
      <c r="I2133" s="24"/>
      <c r="J2133" s="24"/>
      <c r="K2133" s="24"/>
      <c r="L2133" s="24"/>
      <c r="M2133" s="24"/>
      <c r="N2133" s="24"/>
      <c r="O2133" s="24"/>
      <c r="P2133" s="24"/>
      <c r="Q2133" s="24"/>
      <c r="R2133" s="24"/>
      <c r="S2133" s="24"/>
      <c r="T2133" s="24"/>
      <c r="U2133" s="24"/>
      <c r="V2133" s="24"/>
      <c r="W2133" s="24"/>
      <c r="X2133" s="24"/>
      <c r="Y2133" s="24"/>
      <c r="Z2133" s="24"/>
      <c r="AA2133" s="24"/>
      <c r="AB2133" s="24"/>
      <c r="AC2133" s="24"/>
      <c r="AD2133" s="24"/>
      <c r="AE2133" s="24"/>
      <c r="AF2133" s="24"/>
      <c r="AG2133" s="24"/>
      <c r="AH2133" s="24"/>
      <c r="AI2133" s="24"/>
      <c r="AJ2133" s="24"/>
      <c r="AK2133" s="24"/>
      <c r="AL2133" s="24"/>
      <c r="AM2133" s="24"/>
      <c r="AN2133" s="24"/>
      <c r="AO2133" s="24"/>
      <c r="AP2133" s="24"/>
      <c r="AQ2133" s="24"/>
      <c r="AR2133" s="54"/>
    </row>
    <row r="2134">
      <c r="A2134" s="57"/>
      <c r="B2134" s="24"/>
      <c r="C2134" s="24"/>
      <c r="D2134" s="24"/>
      <c r="E2134" s="24"/>
      <c r="F2134" s="24"/>
      <c r="G2134" s="24"/>
      <c r="H2134" s="24"/>
      <c r="I2134" s="24"/>
      <c r="J2134" s="24"/>
      <c r="K2134" s="24"/>
      <c r="L2134" s="24"/>
      <c r="M2134" s="24"/>
      <c r="N2134" s="24"/>
      <c r="O2134" s="24"/>
      <c r="P2134" s="24"/>
      <c r="Q2134" s="24"/>
      <c r="R2134" s="24"/>
      <c r="S2134" s="24"/>
      <c r="T2134" s="24"/>
      <c r="U2134" s="24"/>
      <c r="V2134" s="24"/>
      <c r="W2134" s="24"/>
      <c r="X2134" s="24"/>
      <c r="Y2134" s="24"/>
      <c r="Z2134" s="24"/>
      <c r="AA2134" s="24"/>
      <c r="AB2134" s="24"/>
      <c r="AC2134" s="24"/>
      <c r="AD2134" s="24"/>
      <c r="AE2134" s="24"/>
      <c r="AF2134" s="24"/>
      <c r="AG2134" s="24"/>
      <c r="AH2134" s="24"/>
      <c r="AI2134" s="24"/>
      <c r="AJ2134" s="24"/>
      <c r="AK2134" s="24"/>
      <c r="AL2134" s="24"/>
      <c r="AM2134" s="24"/>
      <c r="AN2134" s="24"/>
      <c r="AO2134" s="24"/>
      <c r="AP2134" s="24"/>
      <c r="AQ2134" s="24"/>
      <c r="AR2134" s="54"/>
    </row>
    <row r="2135">
      <c r="A2135" s="57"/>
      <c r="B2135" s="24"/>
      <c r="C2135" s="24"/>
      <c r="D2135" s="24"/>
      <c r="E2135" s="24"/>
      <c r="F2135" s="24"/>
      <c r="G2135" s="24"/>
      <c r="H2135" s="24"/>
      <c r="I2135" s="24"/>
      <c r="J2135" s="24"/>
      <c r="K2135" s="24"/>
      <c r="L2135" s="24"/>
      <c r="M2135" s="24"/>
      <c r="N2135" s="24"/>
      <c r="O2135" s="24"/>
      <c r="P2135" s="24"/>
      <c r="Q2135" s="24"/>
      <c r="R2135" s="24"/>
      <c r="S2135" s="24"/>
      <c r="T2135" s="24"/>
      <c r="U2135" s="24"/>
      <c r="V2135" s="24"/>
      <c r="W2135" s="24"/>
      <c r="X2135" s="24"/>
      <c r="Y2135" s="24"/>
      <c r="Z2135" s="24"/>
      <c r="AA2135" s="24"/>
      <c r="AB2135" s="24"/>
      <c r="AC2135" s="24"/>
      <c r="AD2135" s="24"/>
      <c r="AE2135" s="24"/>
      <c r="AF2135" s="24"/>
      <c r="AG2135" s="24"/>
      <c r="AH2135" s="24"/>
      <c r="AI2135" s="24"/>
      <c r="AJ2135" s="24"/>
      <c r="AK2135" s="24"/>
      <c r="AL2135" s="24"/>
      <c r="AM2135" s="24"/>
      <c r="AN2135" s="24"/>
      <c r="AO2135" s="24"/>
      <c r="AP2135" s="24"/>
      <c r="AQ2135" s="24"/>
      <c r="AR2135" s="54"/>
    </row>
    <row r="2136">
      <c r="A2136" s="57"/>
      <c r="B2136" s="24"/>
      <c r="C2136" s="24"/>
      <c r="D2136" s="24"/>
      <c r="E2136" s="24"/>
      <c r="F2136" s="24"/>
      <c r="G2136" s="24"/>
      <c r="H2136" s="24"/>
      <c r="I2136" s="24"/>
      <c r="J2136" s="24"/>
      <c r="K2136" s="24"/>
      <c r="L2136" s="24"/>
      <c r="M2136" s="24"/>
      <c r="N2136" s="24"/>
      <c r="O2136" s="24"/>
      <c r="P2136" s="24"/>
      <c r="Q2136" s="24"/>
      <c r="R2136" s="24"/>
      <c r="S2136" s="24"/>
      <c r="T2136" s="24"/>
      <c r="U2136" s="24"/>
      <c r="V2136" s="24"/>
      <c r="W2136" s="24"/>
      <c r="X2136" s="24"/>
      <c r="Y2136" s="24"/>
      <c r="Z2136" s="24"/>
      <c r="AA2136" s="24"/>
      <c r="AB2136" s="24"/>
      <c r="AC2136" s="24"/>
      <c r="AD2136" s="24"/>
      <c r="AE2136" s="24"/>
      <c r="AF2136" s="24"/>
      <c r="AG2136" s="24"/>
      <c r="AH2136" s="24"/>
      <c r="AI2136" s="24"/>
      <c r="AJ2136" s="24"/>
      <c r="AK2136" s="24"/>
      <c r="AL2136" s="24"/>
      <c r="AM2136" s="24"/>
      <c r="AN2136" s="24"/>
      <c r="AO2136" s="24"/>
      <c r="AP2136" s="24"/>
      <c r="AQ2136" s="24"/>
      <c r="AR2136" s="54"/>
    </row>
    <row r="2137">
      <c r="A2137" s="57"/>
      <c r="B2137" s="24"/>
      <c r="C2137" s="24"/>
      <c r="D2137" s="24"/>
      <c r="E2137" s="24"/>
      <c r="F2137" s="24"/>
      <c r="G2137" s="24"/>
      <c r="H2137" s="24"/>
      <c r="I2137" s="24"/>
      <c r="J2137" s="24"/>
      <c r="K2137" s="24"/>
      <c r="L2137" s="24"/>
      <c r="M2137" s="24"/>
      <c r="N2137" s="24"/>
      <c r="O2137" s="24"/>
      <c r="P2137" s="24"/>
      <c r="Q2137" s="24"/>
      <c r="R2137" s="24"/>
      <c r="S2137" s="24"/>
      <c r="T2137" s="24"/>
      <c r="U2137" s="24"/>
      <c r="V2137" s="24"/>
      <c r="W2137" s="24"/>
      <c r="X2137" s="24"/>
      <c r="Y2137" s="24"/>
      <c r="Z2137" s="24"/>
      <c r="AA2137" s="24"/>
      <c r="AB2137" s="24"/>
      <c r="AC2137" s="24"/>
      <c r="AD2137" s="24"/>
      <c r="AE2137" s="24"/>
      <c r="AF2137" s="24"/>
      <c r="AG2137" s="24"/>
      <c r="AH2137" s="24"/>
      <c r="AI2137" s="24"/>
      <c r="AJ2137" s="24"/>
      <c r="AK2137" s="24"/>
      <c r="AL2137" s="24"/>
      <c r="AM2137" s="24"/>
      <c r="AN2137" s="24"/>
      <c r="AO2137" s="24"/>
      <c r="AP2137" s="24"/>
      <c r="AQ2137" s="24"/>
      <c r="AR2137" s="54"/>
    </row>
    <row r="2138">
      <c r="A2138" s="57"/>
      <c r="B2138" s="24"/>
      <c r="C2138" s="24"/>
      <c r="D2138" s="24"/>
      <c r="E2138" s="24"/>
      <c r="F2138" s="24"/>
      <c r="G2138" s="24"/>
      <c r="H2138" s="24"/>
      <c r="I2138" s="24"/>
      <c r="J2138" s="24"/>
      <c r="K2138" s="24"/>
      <c r="L2138" s="24"/>
      <c r="M2138" s="24"/>
      <c r="N2138" s="24"/>
      <c r="O2138" s="24"/>
      <c r="P2138" s="24"/>
      <c r="Q2138" s="24"/>
      <c r="R2138" s="24"/>
      <c r="S2138" s="24"/>
      <c r="T2138" s="24"/>
      <c r="U2138" s="24"/>
      <c r="V2138" s="24"/>
      <c r="W2138" s="24"/>
      <c r="X2138" s="24"/>
      <c r="Y2138" s="24"/>
      <c r="Z2138" s="24"/>
      <c r="AA2138" s="24"/>
      <c r="AB2138" s="24"/>
      <c r="AC2138" s="24"/>
      <c r="AD2138" s="24"/>
      <c r="AE2138" s="24"/>
      <c r="AF2138" s="24"/>
      <c r="AG2138" s="24"/>
      <c r="AH2138" s="24"/>
      <c r="AI2138" s="24"/>
      <c r="AJ2138" s="24"/>
      <c r="AK2138" s="24"/>
      <c r="AL2138" s="24"/>
      <c r="AM2138" s="24"/>
      <c r="AN2138" s="24"/>
      <c r="AO2138" s="24"/>
      <c r="AP2138" s="24"/>
      <c r="AQ2138" s="24"/>
      <c r="AR2138" s="54"/>
    </row>
    <row r="2139">
      <c r="A2139" s="57"/>
      <c r="B2139" s="24"/>
      <c r="C2139" s="24"/>
      <c r="D2139" s="24"/>
      <c r="E2139" s="24"/>
      <c r="F2139" s="24"/>
      <c r="G2139" s="24"/>
      <c r="H2139" s="24"/>
      <c r="I2139" s="24"/>
      <c r="J2139" s="24"/>
      <c r="K2139" s="24"/>
      <c r="L2139" s="24"/>
      <c r="M2139" s="24"/>
      <c r="N2139" s="24"/>
      <c r="O2139" s="24"/>
      <c r="P2139" s="24"/>
      <c r="Q2139" s="24"/>
      <c r="R2139" s="24"/>
      <c r="S2139" s="24"/>
      <c r="T2139" s="24"/>
      <c r="U2139" s="24"/>
      <c r="V2139" s="24"/>
      <c r="W2139" s="24"/>
      <c r="X2139" s="24"/>
      <c r="Y2139" s="24"/>
      <c r="Z2139" s="24"/>
      <c r="AA2139" s="24"/>
      <c r="AB2139" s="24"/>
      <c r="AC2139" s="24"/>
      <c r="AD2139" s="24"/>
      <c r="AE2139" s="24"/>
      <c r="AF2139" s="24"/>
      <c r="AG2139" s="24"/>
      <c r="AH2139" s="24"/>
      <c r="AI2139" s="24"/>
      <c r="AJ2139" s="24"/>
      <c r="AK2139" s="24"/>
      <c r="AL2139" s="24"/>
      <c r="AM2139" s="24"/>
      <c r="AN2139" s="24"/>
      <c r="AO2139" s="24"/>
      <c r="AP2139" s="24"/>
      <c r="AQ2139" s="24"/>
      <c r="AR2139" s="54"/>
    </row>
    <row r="2140">
      <c r="A2140" s="57"/>
      <c r="B2140" s="24"/>
      <c r="C2140" s="24"/>
      <c r="D2140" s="24"/>
      <c r="E2140" s="24"/>
      <c r="F2140" s="24"/>
      <c r="G2140" s="24"/>
      <c r="H2140" s="24"/>
      <c r="I2140" s="24"/>
      <c r="J2140" s="24"/>
      <c r="K2140" s="24"/>
      <c r="L2140" s="24"/>
      <c r="M2140" s="24"/>
      <c r="N2140" s="24"/>
      <c r="O2140" s="24"/>
      <c r="P2140" s="24"/>
      <c r="Q2140" s="24"/>
      <c r="R2140" s="24"/>
      <c r="S2140" s="24"/>
      <c r="T2140" s="24"/>
      <c r="U2140" s="24"/>
      <c r="V2140" s="24"/>
      <c r="W2140" s="24"/>
      <c r="X2140" s="24"/>
      <c r="Y2140" s="24"/>
      <c r="Z2140" s="24"/>
      <c r="AA2140" s="24"/>
      <c r="AB2140" s="24"/>
      <c r="AC2140" s="24"/>
      <c r="AD2140" s="24"/>
      <c r="AE2140" s="24"/>
      <c r="AF2140" s="24"/>
      <c r="AG2140" s="24"/>
      <c r="AH2140" s="24"/>
      <c r="AI2140" s="24"/>
      <c r="AJ2140" s="24"/>
      <c r="AK2140" s="24"/>
      <c r="AL2140" s="24"/>
      <c r="AM2140" s="24"/>
      <c r="AN2140" s="24"/>
      <c r="AO2140" s="24"/>
      <c r="AP2140" s="24"/>
      <c r="AQ2140" s="24"/>
      <c r="AR2140" s="54"/>
    </row>
    <row r="2141">
      <c r="A2141" s="57"/>
      <c r="B2141" s="24"/>
      <c r="C2141" s="24"/>
      <c r="D2141" s="24"/>
      <c r="E2141" s="24"/>
      <c r="F2141" s="24"/>
      <c r="G2141" s="24"/>
      <c r="H2141" s="24"/>
      <c r="I2141" s="24"/>
      <c r="J2141" s="24"/>
      <c r="K2141" s="24"/>
      <c r="L2141" s="24"/>
      <c r="M2141" s="24"/>
      <c r="N2141" s="24"/>
      <c r="O2141" s="24"/>
      <c r="P2141" s="24"/>
      <c r="Q2141" s="24"/>
      <c r="R2141" s="24"/>
      <c r="S2141" s="24"/>
      <c r="T2141" s="24"/>
      <c r="U2141" s="24"/>
      <c r="V2141" s="24"/>
      <c r="W2141" s="24"/>
      <c r="X2141" s="24"/>
      <c r="Y2141" s="24"/>
      <c r="Z2141" s="24"/>
      <c r="AA2141" s="24"/>
      <c r="AB2141" s="24"/>
      <c r="AC2141" s="24"/>
      <c r="AD2141" s="24"/>
      <c r="AE2141" s="24"/>
      <c r="AF2141" s="24"/>
      <c r="AG2141" s="24"/>
      <c r="AH2141" s="24"/>
      <c r="AI2141" s="24"/>
      <c r="AJ2141" s="24"/>
      <c r="AK2141" s="24"/>
      <c r="AL2141" s="24"/>
      <c r="AM2141" s="24"/>
      <c r="AN2141" s="24"/>
      <c r="AO2141" s="24"/>
      <c r="AP2141" s="24"/>
      <c r="AQ2141" s="24"/>
      <c r="AR2141" s="54"/>
    </row>
    <row r="2142">
      <c r="A2142" s="57"/>
      <c r="B2142" s="24"/>
      <c r="C2142" s="24"/>
      <c r="D2142" s="24"/>
      <c r="E2142" s="24"/>
      <c r="F2142" s="24"/>
      <c r="G2142" s="24"/>
      <c r="H2142" s="24"/>
      <c r="I2142" s="24"/>
      <c r="J2142" s="24"/>
      <c r="K2142" s="24"/>
      <c r="L2142" s="24"/>
      <c r="M2142" s="24"/>
      <c r="N2142" s="24"/>
      <c r="O2142" s="24"/>
      <c r="P2142" s="24"/>
      <c r="Q2142" s="24"/>
      <c r="R2142" s="24"/>
      <c r="S2142" s="24"/>
      <c r="T2142" s="24"/>
      <c r="U2142" s="24"/>
      <c r="V2142" s="24"/>
      <c r="W2142" s="24"/>
      <c r="X2142" s="24"/>
      <c r="Y2142" s="24"/>
      <c r="Z2142" s="24"/>
      <c r="AA2142" s="24"/>
      <c r="AB2142" s="24"/>
      <c r="AC2142" s="24"/>
      <c r="AD2142" s="24"/>
      <c r="AE2142" s="24"/>
      <c r="AF2142" s="24"/>
      <c r="AG2142" s="24"/>
      <c r="AH2142" s="24"/>
      <c r="AI2142" s="24"/>
      <c r="AJ2142" s="24"/>
      <c r="AK2142" s="24"/>
      <c r="AL2142" s="24"/>
      <c r="AM2142" s="24"/>
      <c r="AN2142" s="24"/>
      <c r="AO2142" s="24"/>
      <c r="AP2142" s="24"/>
      <c r="AQ2142" s="24"/>
      <c r="AR2142" s="54"/>
    </row>
    <row r="2143">
      <c r="A2143" s="57"/>
      <c r="B2143" s="24"/>
      <c r="C2143" s="24"/>
      <c r="D2143" s="24"/>
      <c r="E2143" s="24"/>
      <c r="F2143" s="24"/>
      <c r="G2143" s="24"/>
      <c r="H2143" s="24"/>
      <c r="I2143" s="24"/>
      <c r="J2143" s="24"/>
      <c r="K2143" s="24"/>
      <c r="L2143" s="24"/>
      <c r="M2143" s="24"/>
      <c r="N2143" s="24"/>
      <c r="O2143" s="24"/>
      <c r="P2143" s="24"/>
      <c r="Q2143" s="24"/>
      <c r="R2143" s="24"/>
      <c r="S2143" s="24"/>
      <c r="T2143" s="24"/>
      <c r="U2143" s="24"/>
      <c r="V2143" s="24"/>
      <c r="W2143" s="24"/>
      <c r="X2143" s="24"/>
      <c r="Y2143" s="24"/>
      <c r="Z2143" s="24"/>
      <c r="AA2143" s="24"/>
      <c r="AB2143" s="24"/>
      <c r="AC2143" s="24"/>
      <c r="AD2143" s="24"/>
      <c r="AE2143" s="24"/>
      <c r="AF2143" s="24"/>
      <c r="AG2143" s="24"/>
      <c r="AH2143" s="24"/>
      <c r="AI2143" s="24"/>
      <c r="AJ2143" s="24"/>
      <c r="AK2143" s="24"/>
      <c r="AL2143" s="24"/>
      <c r="AM2143" s="24"/>
      <c r="AN2143" s="24"/>
      <c r="AO2143" s="24"/>
      <c r="AP2143" s="24"/>
      <c r="AQ2143" s="24"/>
      <c r="AR2143" s="54"/>
    </row>
    <row r="2144">
      <c r="A2144" s="57"/>
      <c r="B2144" s="24"/>
      <c r="C2144" s="24"/>
      <c r="D2144" s="24"/>
      <c r="E2144" s="24"/>
      <c r="F2144" s="24"/>
      <c r="G2144" s="24"/>
      <c r="H2144" s="24"/>
      <c r="I2144" s="24"/>
      <c r="J2144" s="24"/>
      <c r="K2144" s="24"/>
      <c r="L2144" s="24"/>
      <c r="M2144" s="24"/>
      <c r="N2144" s="24"/>
      <c r="O2144" s="24"/>
      <c r="P2144" s="24"/>
      <c r="Q2144" s="24"/>
      <c r="R2144" s="24"/>
      <c r="S2144" s="24"/>
      <c r="T2144" s="24"/>
      <c r="U2144" s="24"/>
      <c r="V2144" s="24"/>
      <c r="W2144" s="24"/>
      <c r="X2144" s="24"/>
      <c r="Y2144" s="24"/>
      <c r="Z2144" s="24"/>
      <c r="AA2144" s="24"/>
      <c r="AB2144" s="24"/>
      <c r="AC2144" s="24"/>
      <c r="AD2144" s="24"/>
      <c r="AE2144" s="24"/>
      <c r="AF2144" s="24"/>
      <c r="AG2144" s="24"/>
      <c r="AH2144" s="24"/>
      <c r="AI2144" s="24"/>
      <c r="AJ2144" s="24"/>
      <c r="AK2144" s="24"/>
      <c r="AL2144" s="24"/>
      <c r="AM2144" s="24"/>
      <c r="AN2144" s="24"/>
      <c r="AO2144" s="24"/>
      <c r="AP2144" s="24"/>
      <c r="AQ2144" s="24"/>
      <c r="AR2144" s="54"/>
    </row>
    <row r="2145">
      <c r="A2145" s="57"/>
      <c r="B2145" s="24"/>
      <c r="C2145" s="24"/>
      <c r="D2145" s="24"/>
      <c r="E2145" s="24"/>
      <c r="F2145" s="24"/>
      <c r="G2145" s="24"/>
      <c r="H2145" s="24"/>
      <c r="I2145" s="24"/>
      <c r="J2145" s="24"/>
      <c r="K2145" s="24"/>
      <c r="L2145" s="24"/>
      <c r="M2145" s="24"/>
      <c r="N2145" s="24"/>
      <c r="O2145" s="24"/>
      <c r="P2145" s="24"/>
      <c r="Q2145" s="24"/>
      <c r="R2145" s="24"/>
      <c r="S2145" s="24"/>
      <c r="T2145" s="24"/>
      <c r="U2145" s="24"/>
      <c r="V2145" s="24"/>
      <c r="W2145" s="24"/>
      <c r="X2145" s="24"/>
      <c r="Y2145" s="24"/>
      <c r="Z2145" s="24"/>
      <c r="AA2145" s="24"/>
      <c r="AB2145" s="24"/>
      <c r="AC2145" s="24"/>
      <c r="AD2145" s="24"/>
      <c r="AE2145" s="24"/>
      <c r="AF2145" s="24"/>
      <c r="AG2145" s="24"/>
      <c r="AH2145" s="24"/>
      <c r="AI2145" s="24"/>
      <c r="AJ2145" s="24"/>
      <c r="AK2145" s="24"/>
      <c r="AL2145" s="24"/>
      <c r="AM2145" s="24"/>
      <c r="AN2145" s="24"/>
      <c r="AO2145" s="24"/>
      <c r="AP2145" s="24"/>
      <c r="AQ2145" s="24"/>
      <c r="AR2145" s="54"/>
    </row>
    <row r="2146">
      <c r="A2146" s="57"/>
      <c r="B2146" s="24"/>
      <c r="C2146" s="24"/>
      <c r="D2146" s="24"/>
      <c r="E2146" s="24"/>
      <c r="F2146" s="24"/>
      <c r="G2146" s="24"/>
      <c r="H2146" s="24"/>
      <c r="I2146" s="24"/>
      <c r="J2146" s="24"/>
      <c r="K2146" s="24"/>
      <c r="L2146" s="24"/>
      <c r="M2146" s="24"/>
      <c r="N2146" s="24"/>
      <c r="O2146" s="24"/>
      <c r="P2146" s="24"/>
      <c r="Q2146" s="24"/>
      <c r="R2146" s="24"/>
      <c r="S2146" s="24"/>
      <c r="T2146" s="24"/>
      <c r="U2146" s="24"/>
      <c r="V2146" s="24"/>
      <c r="W2146" s="24"/>
      <c r="X2146" s="24"/>
      <c r="Y2146" s="24"/>
      <c r="Z2146" s="24"/>
      <c r="AA2146" s="24"/>
      <c r="AB2146" s="24"/>
      <c r="AC2146" s="24"/>
      <c r="AD2146" s="24"/>
      <c r="AE2146" s="24"/>
      <c r="AF2146" s="24"/>
      <c r="AG2146" s="24"/>
      <c r="AH2146" s="24"/>
      <c r="AI2146" s="24"/>
      <c r="AJ2146" s="24"/>
      <c r="AK2146" s="24"/>
      <c r="AL2146" s="24"/>
      <c r="AM2146" s="24"/>
      <c r="AN2146" s="24"/>
      <c r="AO2146" s="24"/>
      <c r="AP2146" s="24"/>
      <c r="AQ2146" s="24"/>
      <c r="AR2146" s="54"/>
    </row>
    <row r="2147">
      <c r="A2147" s="57"/>
      <c r="B2147" s="24"/>
      <c r="C2147" s="24"/>
      <c r="D2147" s="24"/>
      <c r="E2147" s="24"/>
      <c r="F2147" s="24"/>
      <c r="G2147" s="24"/>
      <c r="H2147" s="24"/>
      <c r="I2147" s="24"/>
      <c r="J2147" s="24"/>
      <c r="K2147" s="24"/>
      <c r="L2147" s="24"/>
      <c r="M2147" s="24"/>
      <c r="N2147" s="24"/>
      <c r="O2147" s="24"/>
      <c r="P2147" s="24"/>
      <c r="Q2147" s="24"/>
      <c r="R2147" s="24"/>
      <c r="S2147" s="24"/>
      <c r="T2147" s="24"/>
      <c r="U2147" s="24"/>
      <c r="V2147" s="24"/>
      <c r="W2147" s="24"/>
      <c r="X2147" s="24"/>
      <c r="Y2147" s="24"/>
      <c r="Z2147" s="24"/>
      <c r="AA2147" s="24"/>
      <c r="AB2147" s="24"/>
      <c r="AC2147" s="24"/>
      <c r="AD2147" s="24"/>
      <c r="AE2147" s="24"/>
      <c r="AF2147" s="24"/>
      <c r="AG2147" s="24"/>
      <c r="AH2147" s="24"/>
      <c r="AI2147" s="24"/>
      <c r="AJ2147" s="24"/>
      <c r="AK2147" s="24"/>
      <c r="AL2147" s="24"/>
      <c r="AM2147" s="24"/>
      <c r="AN2147" s="24"/>
      <c r="AO2147" s="24"/>
      <c r="AP2147" s="24"/>
      <c r="AQ2147" s="24"/>
      <c r="AR2147" s="54"/>
    </row>
    <row r="2148">
      <c r="A2148" s="57"/>
      <c r="B2148" s="24"/>
      <c r="C2148" s="24"/>
      <c r="D2148" s="24"/>
      <c r="E2148" s="24"/>
      <c r="F2148" s="24"/>
      <c r="G2148" s="24"/>
      <c r="H2148" s="24"/>
      <c r="I2148" s="24"/>
      <c r="J2148" s="24"/>
      <c r="K2148" s="24"/>
      <c r="L2148" s="24"/>
      <c r="M2148" s="24"/>
      <c r="N2148" s="24"/>
      <c r="O2148" s="24"/>
      <c r="P2148" s="24"/>
      <c r="Q2148" s="24"/>
      <c r="R2148" s="24"/>
      <c r="S2148" s="24"/>
      <c r="T2148" s="24"/>
      <c r="U2148" s="24"/>
      <c r="V2148" s="24"/>
      <c r="W2148" s="24"/>
      <c r="X2148" s="24"/>
      <c r="Y2148" s="24"/>
      <c r="Z2148" s="24"/>
      <c r="AA2148" s="24"/>
      <c r="AB2148" s="24"/>
      <c r="AC2148" s="24"/>
      <c r="AD2148" s="24"/>
      <c r="AE2148" s="24"/>
      <c r="AF2148" s="24"/>
      <c r="AG2148" s="24"/>
      <c r="AH2148" s="24"/>
      <c r="AI2148" s="24"/>
      <c r="AJ2148" s="24"/>
      <c r="AK2148" s="24"/>
      <c r="AL2148" s="24"/>
      <c r="AM2148" s="24"/>
      <c r="AN2148" s="24"/>
      <c r="AO2148" s="24"/>
      <c r="AP2148" s="24"/>
      <c r="AQ2148" s="24"/>
      <c r="AR2148" s="54"/>
    </row>
    <row r="2149">
      <c r="A2149" s="57"/>
      <c r="B2149" s="24"/>
      <c r="C2149" s="24"/>
      <c r="D2149" s="24"/>
      <c r="E2149" s="24"/>
      <c r="F2149" s="24"/>
      <c r="G2149" s="24"/>
      <c r="H2149" s="24"/>
      <c r="I2149" s="24"/>
      <c r="J2149" s="24"/>
      <c r="K2149" s="24"/>
      <c r="L2149" s="24"/>
      <c r="M2149" s="24"/>
      <c r="N2149" s="24"/>
      <c r="O2149" s="24"/>
      <c r="P2149" s="24"/>
      <c r="Q2149" s="24"/>
      <c r="R2149" s="24"/>
      <c r="S2149" s="24"/>
      <c r="T2149" s="24"/>
      <c r="U2149" s="24"/>
      <c r="V2149" s="24"/>
      <c r="W2149" s="24"/>
      <c r="X2149" s="24"/>
      <c r="Y2149" s="24"/>
      <c r="Z2149" s="24"/>
      <c r="AA2149" s="24"/>
      <c r="AB2149" s="24"/>
      <c r="AC2149" s="24"/>
      <c r="AD2149" s="24"/>
      <c r="AE2149" s="24"/>
      <c r="AF2149" s="24"/>
      <c r="AG2149" s="24"/>
      <c r="AH2149" s="24"/>
      <c r="AI2149" s="24"/>
      <c r="AJ2149" s="24"/>
      <c r="AK2149" s="24"/>
      <c r="AL2149" s="24"/>
      <c r="AM2149" s="24"/>
      <c r="AN2149" s="24"/>
      <c r="AO2149" s="24"/>
      <c r="AP2149" s="24"/>
      <c r="AQ2149" s="24"/>
      <c r="AR2149" s="54"/>
    </row>
    <row r="2150">
      <c r="A2150" s="57"/>
      <c r="B2150" s="24"/>
      <c r="C2150" s="24"/>
      <c r="D2150" s="24"/>
      <c r="E2150" s="24"/>
      <c r="F2150" s="24"/>
      <c r="G2150" s="24"/>
      <c r="H2150" s="24"/>
      <c r="I2150" s="24"/>
      <c r="J2150" s="24"/>
      <c r="K2150" s="24"/>
      <c r="L2150" s="24"/>
      <c r="M2150" s="24"/>
      <c r="N2150" s="24"/>
      <c r="O2150" s="24"/>
      <c r="P2150" s="24"/>
      <c r="Q2150" s="24"/>
      <c r="R2150" s="24"/>
      <c r="S2150" s="24"/>
      <c r="T2150" s="24"/>
      <c r="U2150" s="24"/>
      <c r="V2150" s="24"/>
      <c r="W2150" s="24"/>
      <c r="X2150" s="24"/>
      <c r="Y2150" s="24"/>
      <c r="Z2150" s="24"/>
      <c r="AA2150" s="24"/>
      <c r="AB2150" s="24"/>
      <c r="AC2150" s="24"/>
      <c r="AD2150" s="24"/>
      <c r="AE2150" s="24"/>
      <c r="AF2150" s="24"/>
      <c r="AG2150" s="24"/>
      <c r="AH2150" s="24"/>
      <c r="AI2150" s="24"/>
      <c r="AJ2150" s="24"/>
      <c r="AK2150" s="24"/>
      <c r="AL2150" s="24"/>
      <c r="AM2150" s="24"/>
      <c r="AN2150" s="24"/>
      <c r="AO2150" s="24"/>
      <c r="AP2150" s="24"/>
      <c r="AQ2150" s="24"/>
      <c r="AR2150" s="54"/>
    </row>
    <row r="2151">
      <c r="A2151" s="57"/>
      <c r="B2151" s="24"/>
      <c r="C2151" s="24"/>
      <c r="D2151" s="24"/>
      <c r="E2151" s="24"/>
      <c r="F2151" s="24"/>
      <c r="G2151" s="24"/>
      <c r="H2151" s="24"/>
      <c r="I2151" s="24"/>
      <c r="J2151" s="24"/>
      <c r="K2151" s="24"/>
      <c r="L2151" s="24"/>
      <c r="M2151" s="24"/>
      <c r="N2151" s="24"/>
      <c r="O2151" s="24"/>
      <c r="P2151" s="24"/>
      <c r="Q2151" s="24"/>
      <c r="R2151" s="24"/>
      <c r="S2151" s="24"/>
      <c r="T2151" s="24"/>
      <c r="U2151" s="24"/>
      <c r="V2151" s="24"/>
      <c r="W2151" s="24"/>
      <c r="X2151" s="24"/>
      <c r="Y2151" s="24"/>
      <c r="Z2151" s="24"/>
      <c r="AA2151" s="24"/>
      <c r="AB2151" s="24"/>
      <c r="AC2151" s="24"/>
      <c r="AD2151" s="24"/>
      <c r="AE2151" s="24"/>
      <c r="AF2151" s="24"/>
      <c r="AG2151" s="24"/>
      <c r="AH2151" s="24"/>
      <c r="AI2151" s="24"/>
      <c r="AJ2151" s="24"/>
      <c r="AK2151" s="24"/>
      <c r="AL2151" s="24"/>
      <c r="AM2151" s="24"/>
      <c r="AN2151" s="24"/>
      <c r="AO2151" s="24"/>
      <c r="AP2151" s="24"/>
      <c r="AQ2151" s="24"/>
      <c r="AR2151" s="54"/>
    </row>
    <row r="2152">
      <c r="A2152" s="57"/>
      <c r="B2152" s="24"/>
      <c r="C2152" s="24"/>
      <c r="D2152" s="24"/>
      <c r="E2152" s="24"/>
      <c r="F2152" s="24"/>
      <c r="G2152" s="24"/>
      <c r="H2152" s="24"/>
      <c r="I2152" s="24"/>
      <c r="J2152" s="24"/>
      <c r="K2152" s="24"/>
      <c r="L2152" s="24"/>
      <c r="M2152" s="24"/>
      <c r="N2152" s="24"/>
      <c r="O2152" s="24"/>
      <c r="P2152" s="24"/>
      <c r="Q2152" s="24"/>
      <c r="R2152" s="24"/>
      <c r="S2152" s="24"/>
      <c r="T2152" s="24"/>
      <c r="U2152" s="24"/>
      <c r="V2152" s="24"/>
      <c r="W2152" s="24"/>
      <c r="X2152" s="24"/>
      <c r="Y2152" s="24"/>
      <c r="Z2152" s="24"/>
      <c r="AA2152" s="24"/>
      <c r="AB2152" s="24"/>
      <c r="AC2152" s="24"/>
      <c r="AD2152" s="24"/>
      <c r="AE2152" s="24"/>
      <c r="AF2152" s="24"/>
      <c r="AG2152" s="24"/>
      <c r="AH2152" s="24"/>
      <c r="AI2152" s="24"/>
      <c r="AJ2152" s="24"/>
      <c r="AK2152" s="24"/>
      <c r="AL2152" s="24"/>
      <c r="AM2152" s="24"/>
      <c r="AN2152" s="24"/>
      <c r="AO2152" s="24"/>
      <c r="AP2152" s="24"/>
      <c r="AQ2152" s="24"/>
      <c r="AR2152" s="54"/>
    </row>
    <row r="2153">
      <c r="A2153" s="57"/>
      <c r="B2153" s="24"/>
      <c r="C2153" s="24"/>
      <c r="D2153" s="24"/>
      <c r="E2153" s="24"/>
      <c r="F2153" s="24"/>
      <c r="G2153" s="24"/>
      <c r="H2153" s="24"/>
      <c r="I2153" s="24"/>
      <c r="J2153" s="24"/>
      <c r="K2153" s="24"/>
      <c r="L2153" s="24"/>
      <c r="M2153" s="24"/>
      <c r="N2153" s="24"/>
      <c r="O2153" s="24"/>
      <c r="P2153" s="24"/>
      <c r="Q2153" s="24"/>
      <c r="R2153" s="24"/>
      <c r="S2153" s="24"/>
      <c r="T2153" s="24"/>
      <c r="U2153" s="24"/>
      <c r="V2153" s="24"/>
      <c r="W2153" s="24"/>
      <c r="X2153" s="24"/>
      <c r="Y2153" s="24"/>
      <c r="Z2153" s="24"/>
      <c r="AA2153" s="24"/>
      <c r="AB2153" s="24"/>
      <c r="AC2153" s="24"/>
      <c r="AD2153" s="24"/>
      <c r="AE2153" s="24"/>
      <c r="AF2153" s="24"/>
      <c r="AG2153" s="24"/>
      <c r="AH2153" s="24"/>
      <c r="AI2153" s="24"/>
      <c r="AJ2153" s="24"/>
      <c r="AK2153" s="24"/>
      <c r="AL2153" s="24"/>
      <c r="AM2153" s="24"/>
      <c r="AN2153" s="24"/>
      <c r="AO2153" s="24"/>
      <c r="AP2153" s="24"/>
      <c r="AQ2153" s="24"/>
      <c r="AR2153" s="54"/>
    </row>
    <row r="2154">
      <c r="A2154" s="57"/>
      <c r="B2154" s="24"/>
      <c r="C2154" s="24"/>
      <c r="D2154" s="24"/>
      <c r="E2154" s="24"/>
      <c r="F2154" s="24"/>
      <c r="G2154" s="24"/>
      <c r="H2154" s="24"/>
      <c r="I2154" s="24"/>
      <c r="J2154" s="24"/>
      <c r="K2154" s="24"/>
      <c r="L2154" s="24"/>
      <c r="M2154" s="24"/>
      <c r="N2154" s="24"/>
      <c r="O2154" s="24"/>
      <c r="P2154" s="24"/>
      <c r="Q2154" s="24"/>
      <c r="R2154" s="24"/>
      <c r="S2154" s="24"/>
      <c r="T2154" s="24"/>
      <c r="U2154" s="24"/>
      <c r="V2154" s="24"/>
      <c r="W2154" s="24"/>
      <c r="X2154" s="24"/>
      <c r="Y2154" s="24"/>
      <c r="Z2154" s="24"/>
      <c r="AA2154" s="24"/>
      <c r="AB2154" s="24"/>
      <c r="AC2154" s="24"/>
      <c r="AD2154" s="24"/>
      <c r="AE2154" s="24"/>
      <c r="AF2154" s="24"/>
      <c r="AG2154" s="24"/>
      <c r="AH2154" s="24"/>
      <c r="AI2154" s="24"/>
      <c r="AJ2154" s="24"/>
      <c r="AK2154" s="24"/>
      <c r="AL2154" s="24"/>
      <c r="AM2154" s="24"/>
      <c r="AN2154" s="24"/>
      <c r="AO2154" s="24"/>
      <c r="AP2154" s="24"/>
      <c r="AQ2154" s="24"/>
      <c r="AR2154" s="54"/>
    </row>
    <row r="2155">
      <c r="A2155" s="57"/>
      <c r="B2155" s="24"/>
      <c r="C2155" s="24"/>
      <c r="D2155" s="24"/>
      <c r="E2155" s="24"/>
      <c r="F2155" s="24"/>
      <c r="G2155" s="24"/>
      <c r="H2155" s="24"/>
      <c r="I2155" s="24"/>
      <c r="J2155" s="24"/>
      <c r="K2155" s="24"/>
      <c r="L2155" s="24"/>
      <c r="M2155" s="24"/>
      <c r="N2155" s="24"/>
      <c r="O2155" s="24"/>
      <c r="P2155" s="24"/>
      <c r="Q2155" s="24"/>
      <c r="R2155" s="24"/>
      <c r="S2155" s="24"/>
      <c r="T2155" s="24"/>
      <c r="U2155" s="24"/>
      <c r="V2155" s="24"/>
      <c r="W2155" s="24"/>
      <c r="X2155" s="24"/>
      <c r="Y2155" s="24"/>
      <c r="Z2155" s="24"/>
      <c r="AA2155" s="24"/>
      <c r="AB2155" s="24"/>
      <c r="AC2155" s="24"/>
      <c r="AD2155" s="24"/>
      <c r="AE2155" s="24"/>
      <c r="AF2155" s="24"/>
      <c r="AG2155" s="24"/>
      <c r="AH2155" s="24"/>
      <c r="AI2155" s="24"/>
      <c r="AJ2155" s="24"/>
      <c r="AK2155" s="24"/>
      <c r="AL2155" s="24"/>
      <c r="AM2155" s="24"/>
      <c r="AN2155" s="24"/>
      <c r="AO2155" s="24"/>
      <c r="AP2155" s="24"/>
      <c r="AQ2155" s="24"/>
      <c r="AR2155" s="54"/>
    </row>
    <row r="2156">
      <c r="A2156" s="57"/>
      <c r="B2156" s="24"/>
      <c r="C2156" s="24"/>
      <c r="D2156" s="24"/>
      <c r="E2156" s="24"/>
      <c r="F2156" s="24"/>
      <c r="G2156" s="24"/>
      <c r="H2156" s="24"/>
      <c r="I2156" s="24"/>
      <c r="J2156" s="24"/>
      <c r="K2156" s="24"/>
      <c r="L2156" s="24"/>
      <c r="M2156" s="24"/>
      <c r="N2156" s="24"/>
      <c r="O2156" s="24"/>
      <c r="P2156" s="24"/>
      <c r="Q2156" s="24"/>
      <c r="R2156" s="24"/>
      <c r="S2156" s="24"/>
      <c r="T2156" s="24"/>
      <c r="U2156" s="24"/>
      <c r="V2156" s="24"/>
      <c r="W2156" s="24"/>
      <c r="X2156" s="24"/>
      <c r="Y2156" s="24"/>
      <c r="Z2156" s="24"/>
      <c r="AA2156" s="24"/>
      <c r="AB2156" s="24"/>
      <c r="AC2156" s="24"/>
      <c r="AD2156" s="24"/>
      <c r="AE2156" s="24"/>
      <c r="AF2156" s="24"/>
      <c r="AG2156" s="24"/>
      <c r="AH2156" s="24"/>
      <c r="AI2156" s="24"/>
      <c r="AJ2156" s="24"/>
      <c r="AK2156" s="24"/>
      <c r="AL2156" s="24"/>
      <c r="AM2156" s="24"/>
      <c r="AN2156" s="24"/>
      <c r="AO2156" s="24"/>
      <c r="AP2156" s="24"/>
      <c r="AQ2156" s="24"/>
      <c r="AR2156" s="54"/>
    </row>
    <row r="2157">
      <c r="A2157" s="57"/>
      <c r="B2157" s="24"/>
      <c r="C2157" s="24"/>
      <c r="D2157" s="24"/>
      <c r="E2157" s="24"/>
      <c r="F2157" s="24"/>
      <c r="G2157" s="24"/>
      <c r="H2157" s="24"/>
      <c r="I2157" s="24"/>
      <c r="J2157" s="24"/>
      <c r="K2157" s="24"/>
      <c r="L2157" s="24"/>
      <c r="M2157" s="24"/>
      <c r="N2157" s="24"/>
      <c r="O2157" s="24"/>
      <c r="P2157" s="24"/>
      <c r="Q2157" s="24"/>
      <c r="R2157" s="24"/>
      <c r="S2157" s="24"/>
      <c r="T2157" s="24"/>
      <c r="U2157" s="24"/>
      <c r="V2157" s="24"/>
      <c r="W2157" s="24"/>
      <c r="X2157" s="24"/>
      <c r="Y2157" s="24"/>
      <c r="Z2157" s="24"/>
      <c r="AA2157" s="24"/>
      <c r="AB2157" s="24"/>
      <c r="AC2157" s="24"/>
      <c r="AD2157" s="24"/>
      <c r="AE2157" s="24"/>
      <c r="AF2157" s="24"/>
      <c r="AG2157" s="24"/>
      <c r="AH2157" s="24"/>
      <c r="AI2157" s="24"/>
      <c r="AJ2157" s="24"/>
      <c r="AK2157" s="24"/>
      <c r="AL2157" s="24"/>
      <c r="AM2157" s="24"/>
      <c r="AN2157" s="24"/>
      <c r="AO2157" s="24"/>
      <c r="AP2157" s="24"/>
      <c r="AQ2157" s="24"/>
      <c r="AR2157" s="54"/>
    </row>
    <row r="2158">
      <c r="A2158" s="57"/>
      <c r="B2158" s="24"/>
      <c r="C2158" s="24"/>
      <c r="D2158" s="24"/>
      <c r="E2158" s="24"/>
      <c r="F2158" s="24"/>
      <c r="G2158" s="24"/>
      <c r="H2158" s="24"/>
      <c r="I2158" s="24"/>
      <c r="J2158" s="24"/>
      <c r="K2158" s="24"/>
      <c r="L2158" s="24"/>
      <c r="M2158" s="24"/>
      <c r="N2158" s="24"/>
      <c r="O2158" s="24"/>
      <c r="P2158" s="24"/>
      <c r="Q2158" s="24"/>
      <c r="R2158" s="24"/>
      <c r="S2158" s="24"/>
      <c r="T2158" s="24"/>
      <c r="U2158" s="24"/>
      <c r="V2158" s="24"/>
      <c r="W2158" s="24"/>
      <c r="X2158" s="24"/>
      <c r="Y2158" s="24"/>
      <c r="Z2158" s="24"/>
      <c r="AA2158" s="24"/>
      <c r="AB2158" s="24"/>
      <c r="AC2158" s="24"/>
      <c r="AD2158" s="24"/>
      <c r="AE2158" s="24"/>
      <c r="AF2158" s="24"/>
      <c r="AG2158" s="24"/>
      <c r="AH2158" s="24"/>
      <c r="AI2158" s="24"/>
      <c r="AJ2158" s="24"/>
      <c r="AK2158" s="24"/>
      <c r="AL2158" s="24"/>
      <c r="AM2158" s="24"/>
      <c r="AN2158" s="24"/>
      <c r="AO2158" s="24"/>
      <c r="AP2158" s="24"/>
      <c r="AQ2158" s="24"/>
      <c r="AR2158" s="54"/>
    </row>
    <row r="2159">
      <c r="A2159" s="57"/>
      <c r="B2159" s="24"/>
      <c r="C2159" s="24"/>
      <c r="D2159" s="24"/>
      <c r="E2159" s="24"/>
      <c r="F2159" s="24"/>
      <c r="G2159" s="24"/>
      <c r="H2159" s="24"/>
      <c r="I2159" s="24"/>
      <c r="J2159" s="24"/>
      <c r="K2159" s="24"/>
      <c r="L2159" s="24"/>
      <c r="M2159" s="24"/>
      <c r="N2159" s="24"/>
      <c r="O2159" s="24"/>
      <c r="P2159" s="24"/>
      <c r="Q2159" s="24"/>
      <c r="R2159" s="24"/>
      <c r="S2159" s="24"/>
      <c r="T2159" s="24"/>
      <c r="U2159" s="24"/>
      <c r="V2159" s="24"/>
      <c r="W2159" s="24"/>
      <c r="X2159" s="24"/>
      <c r="Y2159" s="24"/>
      <c r="Z2159" s="24"/>
      <c r="AA2159" s="24"/>
      <c r="AB2159" s="24"/>
      <c r="AC2159" s="24"/>
      <c r="AD2159" s="24"/>
      <c r="AE2159" s="24"/>
      <c r="AF2159" s="24"/>
      <c r="AG2159" s="24"/>
      <c r="AH2159" s="24"/>
      <c r="AI2159" s="24"/>
      <c r="AJ2159" s="24"/>
      <c r="AK2159" s="24"/>
      <c r="AL2159" s="24"/>
      <c r="AM2159" s="24"/>
      <c r="AN2159" s="24"/>
      <c r="AO2159" s="24"/>
      <c r="AP2159" s="24"/>
      <c r="AQ2159" s="24"/>
      <c r="AR2159" s="54"/>
    </row>
    <row r="2160">
      <c r="A2160" s="57"/>
      <c r="B2160" s="24"/>
      <c r="C2160" s="24"/>
      <c r="D2160" s="24"/>
      <c r="E2160" s="24"/>
      <c r="F2160" s="24"/>
      <c r="G2160" s="24"/>
      <c r="H2160" s="24"/>
      <c r="I2160" s="24"/>
      <c r="J2160" s="24"/>
      <c r="K2160" s="24"/>
      <c r="L2160" s="24"/>
      <c r="M2160" s="24"/>
      <c r="N2160" s="24"/>
      <c r="O2160" s="24"/>
      <c r="P2160" s="24"/>
      <c r="Q2160" s="24"/>
      <c r="R2160" s="24"/>
      <c r="S2160" s="24"/>
      <c r="T2160" s="24"/>
      <c r="U2160" s="24"/>
      <c r="V2160" s="24"/>
      <c r="W2160" s="24"/>
      <c r="X2160" s="24"/>
      <c r="Y2160" s="24"/>
      <c r="Z2160" s="24"/>
      <c r="AA2160" s="24"/>
      <c r="AB2160" s="24"/>
      <c r="AC2160" s="24"/>
      <c r="AD2160" s="24"/>
      <c r="AE2160" s="24"/>
      <c r="AF2160" s="24"/>
      <c r="AG2160" s="24"/>
      <c r="AH2160" s="24"/>
      <c r="AI2160" s="24"/>
      <c r="AJ2160" s="24"/>
      <c r="AK2160" s="24"/>
      <c r="AL2160" s="24"/>
      <c r="AM2160" s="24"/>
      <c r="AN2160" s="24"/>
      <c r="AO2160" s="24"/>
      <c r="AP2160" s="24"/>
      <c r="AQ2160" s="24"/>
      <c r="AR2160" s="54"/>
    </row>
    <row r="2161">
      <c r="A2161" s="57"/>
      <c r="B2161" s="24"/>
      <c r="C2161" s="24"/>
      <c r="D2161" s="24"/>
      <c r="E2161" s="24"/>
      <c r="F2161" s="24"/>
      <c r="G2161" s="24"/>
      <c r="H2161" s="24"/>
      <c r="I2161" s="24"/>
      <c r="J2161" s="24"/>
      <c r="K2161" s="24"/>
      <c r="L2161" s="24"/>
      <c r="M2161" s="24"/>
      <c r="N2161" s="24"/>
      <c r="O2161" s="24"/>
      <c r="P2161" s="24"/>
      <c r="Q2161" s="24"/>
      <c r="R2161" s="24"/>
      <c r="S2161" s="24"/>
      <c r="T2161" s="24"/>
      <c r="U2161" s="24"/>
      <c r="V2161" s="24"/>
      <c r="W2161" s="24"/>
      <c r="X2161" s="24"/>
      <c r="Y2161" s="24"/>
      <c r="Z2161" s="24"/>
      <c r="AA2161" s="24"/>
      <c r="AB2161" s="24"/>
      <c r="AC2161" s="24"/>
      <c r="AD2161" s="24"/>
      <c r="AE2161" s="24"/>
      <c r="AF2161" s="24"/>
      <c r="AG2161" s="24"/>
      <c r="AH2161" s="24"/>
      <c r="AI2161" s="24"/>
      <c r="AJ2161" s="24"/>
      <c r="AK2161" s="24"/>
      <c r="AL2161" s="24"/>
      <c r="AM2161" s="24"/>
      <c r="AN2161" s="24"/>
      <c r="AO2161" s="24"/>
      <c r="AP2161" s="24"/>
      <c r="AQ2161" s="24"/>
      <c r="AR2161" s="54"/>
    </row>
    <row r="2162">
      <c r="A2162" s="57"/>
      <c r="B2162" s="24"/>
      <c r="C2162" s="24"/>
      <c r="D2162" s="24"/>
      <c r="E2162" s="24"/>
      <c r="F2162" s="24"/>
      <c r="G2162" s="24"/>
      <c r="H2162" s="24"/>
      <c r="I2162" s="24"/>
      <c r="J2162" s="24"/>
      <c r="K2162" s="24"/>
      <c r="L2162" s="24"/>
      <c r="M2162" s="24"/>
      <c r="N2162" s="24"/>
      <c r="O2162" s="24"/>
      <c r="P2162" s="24"/>
      <c r="Q2162" s="24"/>
      <c r="R2162" s="24"/>
      <c r="S2162" s="24"/>
      <c r="T2162" s="24"/>
      <c r="U2162" s="24"/>
      <c r="V2162" s="24"/>
      <c r="W2162" s="24"/>
      <c r="X2162" s="24"/>
      <c r="Y2162" s="24"/>
      <c r="Z2162" s="24"/>
      <c r="AA2162" s="24"/>
      <c r="AB2162" s="24"/>
      <c r="AC2162" s="24"/>
      <c r="AD2162" s="24"/>
      <c r="AE2162" s="24"/>
      <c r="AF2162" s="24"/>
      <c r="AG2162" s="24"/>
      <c r="AH2162" s="24"/>
      <c r="AI2162" s="24"/>
      <c r="AJ2162" s="24"/>
      <c r="AK2162" s="24"/>
      <c r="AL2162" s="24"/>
      <c r="AM2162" s="24"/>
      <c r="AN2162" s="24"/>
      <c r="AO2162" s="24"/>
      <c r="AP2162" s="24"/>
      <c r="AQ2162" s="24"/>
      <c r="AR2162" s="54"/>
    </row>
    <row r="2163">
      <c r="A2163" s="57"/>
      <c r="B2163" s="24"/>
      <c r="C2163" s="24"/>
      <c r="D2163" s="24"/>
      <c r="E2163" s="24"/>
      <c r="F2163" s="24"/>
      <c r="G2163" s="24"/>
      <c r="H2163" s="24"/>
      <c r="I2163" s="24"/>
      <c r="J2163" s="24"/>
      <c r="K2163" s="24"/>
      <c r="L2163" s="24"/>
      <c r="M2163" s="24"/>
      <c r="N2163" s="24"/>
      <c r="O2163" s="24"/>
      <c r="P2163" s="24"/>
      <c r="Q2163" s="24"/>
      <c r="R2163" s="24"/>
      <c r="S2163" s="24"/>
      <c r="T2163" s="24"/>
      <c r="U2163" s="24"/>
      <c r="V2163" s="24"/>
      <c r="W2163" s="24"/>
      <c r="X2163" s="24"/>
      <c r="Y2163" s="24"/>
      <c r="Z2163" s="24"/>
      <c r="AA2163" s="24"/>
      <c r="AB2163" s="24"/>
      <c r="AC2163" s="24"/>
      <c r="AD2163" s="24"/>
      <c r="AE2163" s="24"/>
      <c r="AF2163" s="24"/>
      <c r="AG2163" s="24"/>
      <c r="AH2163" s="24"/>
      <c r="AI2163" s="24"/>
      <c r="AJ2163" s="24"/>
      <c r="AK2163" s="24"/>
      <c r="AL2163" s="24"/>
      <c r="AM2163" s="24"/>
      <c r="AN2163" s="24"/>
      <c r="AO2163" s="24"/>
      <c r="AP2163" s="24"/>
      <c r="AQ2163" s="24"/>
      <c r="AR2163" s="54"/>
    </row>
    <row r="2164">
      <c r="A2164" s="57"/>
      <c r="B2164" s="24"/>
      <c r="C2164" s="24"/>
      <c r="D2164" s="24"/>
      <c r="E2164" s="24"/>
      <c r="F2164" s="24"/>
      <c r="G2164" s="24"/>
      <c r="H2164" s="24"/>
      <c r="I2164" s="24"/>
      <c r="J2164" s="24"/>
      <c r="K2164" s="24"/>
      <c r="L2164" s="24"/>
      <c r="M2164" s="24"/>
      <c r="N2164" s="24"/>
      <c r="O2164" s="24"/>
      <c r="P2164" s="24"/>
      <c r="Q2164" s="24"/>
      <c r="R2164" s="24"/>
      <c r="S2164" s="24"/>
      <c r="T2164" s="24"/>
      <c r="U2164" s="24"/>
      <c r="V2164" s="24"/>
      <c r="W2164" s="24"/>
      <c r="X2164" s="24"/>
      <c r="Y2164" s="24"/>
      <c r="Z2164" s="24"/>
      <c r="AA2164" s="24"/>
      <c r="AB2164" s="24"/>
      <c r="AC2164" s="24"/>
      <c r="AD2164" s="24"/>
      <c r="AE2164" s="24"/>
      <c r="AF2164" s="24"/>
      <c r="AG2164" s="24"/>
      <c r="AH2164" s="24"/>
      <c r="AI2164" s="24"/>
      <c r="AJ2164" s="24"/>
      <c r="AK2164" s="24"/>
      <c r="AL2164" s="24"/>
      <c r="AM2164" s="24"/>
      <c r="AN2164" s="24"/>
      <c r="AO2164" s="24"/>
      <c r="AP2164" s="24"/>
      <c r="AQ2164" s="24"/>
      <c r="AR2164" s="54"/>
    </row>
    <row r="2165">
      <c r="A2165" s="57"/>
      <c r="B2165" s="24"/>
      <c r="C2165" s="24"/>
      <c r="D2165" s="24"/>
      <c r="E2165" s="24"/>
      <c r="F2165" s="24"/>
      <c r="G2165" s="24"/>
      <c r="H2165" s="24"/>
      <c r="I2165" s="24"/>
      <c r="J2165" s="24"/>
      <c r="K2165" s="24"/>
      <c r="L2165" s="24"/>
      <c r="M2165" s="24"/>
      <c r="N2165" s="24"/>
      <c r="O2165" s="24"/>
      <c r="P2165" s="24"/>
      <c r="Q2165" s="24"/>
      <c r="R2165" s="24"/>
      <c r="S2165" s="24"/>
      <c r="T2165" s="24"/>
      <c r="U2165" s="24"/>
      <c r="V2165" s="24"/>
      <c r="W2165" s="24"/>
      <c r="X2165" s="24"/>
      <c r="Y2165" s="24"/>
      <c r="Z2165" s="24"/>
      <c r="AA2165" s="24"/>
      <c r="AB2165" s="24"/>
      <c r="AC2165" s="24"/>
      <c r="AD2165" s="24"/>
      <c r="AE2165" s="24"/>
      <c r="AF2165" s="24"/>
      <c r="AG2165" s="24"/>
      <c r="AH2165" s="24"/>
      <c r="AI2165" s="24"/>
      <c r="AJ2165" s="24"/>
      <c r="AK2165" s="24"/>
      <c r="AL2165" s="24"/>
      <c r="AM2165" s="24"/>
      <c r="AN2165" s="24"/>
      <c r="AO2165" s="24"/>
      <c r="AP2165" s="24"/>
      <c r="AQ2165" s="24"/>
      <c r="AR2165" s="54"/>
    </row>
    <row r="2166">
      <c r="A2166" s="57"/>
      <c r="B2166" s="24"/>
      <c r="C2166" s="24"/>
      <c r="D2166" s="24"/>
      <c r="E2166" s="24"/>
      <c r="F2166" s="24"/>
      <c r="G2166" s="24"/>
      <c r="H2166" s="24"/>
      <c r="I2166" s="24"/>
      <c r="J2166" s="24"/>
      <c r="K2166" s="24"/>
      <c r="L2166" s="24"/>
      <c r="M2166" s="24"/>
      <c r="N2166" s="24"/>
      <c r="O2166" s="24"/>
      <c r="P2166" s="24"/>
      <c r="Q2166" s="24"/>
      <c r="R2166" s="24"/>
      <c r="S2166" s="24"/>
      <c r="T2166" s="24"/>
      <c r="U2166" s="24"/>
      <c r="V2166" s="24"/>
      <c r="W2166" s="24"/>
      <c r="X2166" s="24"/>
      <c r="Y2166" s="24"/>
      <c r="Z2166" s="24"/>
      <c r="AA2166" s="24"/>
      <c r="AB2166" s="24"/>
      <c r="AC2166" s="24"/>
      <c r="AD2166" s="24"/>
      <c r="AE2166" s="24"/>
      <c r="AF2166" s="24"/>
      <c r="AG2166" s="24"/>
      <c r="AH2166" s="24"/>
      <c r="AI2166" s="24"/>
      <c r="AJ2166" s="24"/>
      <c r="AK2166" s="24"/>
      <c r="AL2166" s="24"/>
      <c r="AM2166" s="24"/>
      <c r="AN2166" s="24"/>
      <c r="AO2166" s="24"/>
      <c r="AP2166" s="24"/>
      <c r="AQ2166" s="24"/>
      <c r="AR2166" s="54"/>
    </row>
    <row r="2167">
      <c r="A2167" s="57"/>
      <c r="B2167" s="24"/>
      <c r="C2167" s="24"/>
      <c r="D2167" s="24"/>
      <c r="E2167" s="24"/>
      <c r="F2167" s="24"/>
      <c r="G2167" s="24"/>
      <c r="H2167" s="24"/>
      <c r="I2167" s="24"/>
      <c r="J2167" s="24"/>
      <c r="K2167" s="24"/>
      <c r="L2167" s="24"/>
      <c r="M2167" s="24"/>
      <c r="N2167" s="24"/>
      <c r="O2167" s="24"/>
      <c r="P2167" s="24"/>
      <c r="Q2167" s="24"/>
      <c r="R2167" s="24"/>
      <c r="S2167" s="24"/>
      <c r="T2167" s="24"/>
      <c r="U2167" s="24"/>
      <c r="V2167" s="24"/>
      <c r="W2167" s="24"/>
      <c r="X2167" s="24"/>
      <c r="Y2167" s="24"/>
      <c r="Z2167" s="24"/>
      <c r="AA2167" s="24"/>
      <c r="AB2167" s="24"/>
      <c r="AC2167" s="24"/>
      <c r="AD2167" s="24"/>
      <c r="AE2167" s="24"/>
      <c r="AF2167" s="24"/>
      <c r="AG2167" s="24"/>
      <c r="AH2167" s="24"/>
      <c r="AI2167" s="24"/>
      <c r="AJ2167" s="24"/>
      <c r="AK2167" s="24"/>
      <c r="AL2167" s="24"/>
      <c r="AM2167" s="24"/>
      <c r="AN2167" s="24"/>
      <c r="AO2167" s="24"/>
      <c r="AP2167" s="24"/>
      <c r="AQ2167" s="24"/>
      <c r="AR2167" s="54"/>
    </row>
    <row r="2168">
      <c r="A2168" s="57"/>
      <c r="B2168" s="24"/>
      <c r="C2168" s="24"/>
      <c r="D2168" s="24"/>
      <c r="E2168" s="24"/>
      <c r="F2168" s="24"/>
      <c r="G2168" s="24"/>
      <c r="H2168" s="24"/>
      <c r="I2168" s="24"/>
      <c r="J2168" s="24"/>
      <c r="K2168" s="24"/>
      <c r="L2168" s="24"/>
      <c r="M2168" s="24"/>
      <c r="N2168" s="24"/>
      <c r="O2168" s="24"/>
      <c r="P2168" s="24"/>
      <c r="Q2168" s="24"/>
      <c r="R2168" s="24"/>
      <c r="S2168" s="24"/>
      <c r="T2168" s="24"/>
      <c r="U2168" s="24"/>
      <c r="V2168" s="24"/>
      <c r="W2168" s="24"/>
      <c r="X2168" s="24"/>
      <c r="Y2168" s="24"/>
      <c r="Z2168" s="24"/>
      <c r="AA2168" s="24"/>
      <c r="AB2168" s="24"/>
      <c r="AC2168" s="24"/>
      <c r="AD2168" s="24"/>
      <c r="AE2168" s="24"/>
      <c r="AF2168" s="24"/>
      <c r="AG2168" s="24"/>
      <c r="AH2168" s="24"/>
      <c r="AI2168" s="24"/>
      <c r="AJ2168" s="24"/>
      <c r="AK2168" s="24"/>
      <c r="AL2168" s="24"/>
      <c r="AM2168" s="24"/>
      <c r="AN2168" s="24"/>
      <c r="AO2168" s="24"/>
      <c r="AP2168" s="24"/>
      <c r="AQ2168" s="24"/>
      <c r="AR2168" s="54"/>
    </row>
    <row r="2169">
      <c r="A2169" s="57"/>
      <c r="B2169" s="24"/>
      <c r="C2169" s="24"/>
      <c r="D2169" s="24"/>
      <c r="E2169" s="24"/>
      <c r="F2169" s="24"/>
      <c r="G2169" s="24"/>
      <c r="H2169" s="24"/>
      <c r="I2169" s="24"/>
      <c r="J2169" s="24"/>
      <c r="K2169" s="24"/>
      <c r="L2169" s="24"/>
      <c r="M2169" s="24"/>
      <c r="N2169" s="24"/>
      <c r="O2169" s="24"/>
      <c r="P2169" s="24"/>
      <c r="Q2169" s="24"/>
      <c r="R2169" s="24"/>
      <c r="S2169" s="24"/>
      <c r="T2169" s="24"/>
      <c r="U2169" s="24"/>
      <c r="V2169" s="24"/>
      <c r="W2169" s="24"/>
      <c r="X2169" s="24"/>
      <c r="Y2169" s="24"/>
      <c r="Z2169" s="24"/>
      <c r="AA2169" s="24"/>
      <c r="AB2169" s="24"/>
      <c r="AC2169" s="24"/>
      <c r="AD2169" s="24"/>
      <c r="AE2169" s="24"/>
      <c r="AF2169" s="24"/>
      <c r="AG2169" s="24"/>
      <c r="AH2169" s="24"/>
      <c r="AI2169" s="24"/>
      <c r="AJ2169" s="24"/>
      <c r="AK2169" s="24"/>
      <c r="AL2169" s="24"/>
      <c r="AM2169" s="24"/>
      <c r="AN2169" s="24"/>
      <c r="AO2169" s="24"/>
      <c r="AP2169" s="24"/>
      <c r="AQ2169" s="24"/>
      <c r="AR2169" s="54"/>
    </row>
    <row r="2170">
      <c r="A2170" s="57"/>
      <c r="B2170" s="24"/>
      <c r="C2170" s="24"/>
      <c r="D2170" s="24"/>
      <c r="E2170" s="24"/>
      <c r="F2170" s="24"/>
      <c r="G2170" s="24"/>
      <c r="H2170" s="24"/>
      <c r="I2170" s="24"/>
      <c r="J2170" s="24"/>
      <c r="K2170" s="24"/>
      <c r="L2170" s="24"/>
      <c r="M2170" s="24"/>
      <c r="N2170" s="24"/>
      <c r="O2170" s="24"/>
      <c r="P2170" s="24"/>
      <c r="Q2170" s="24"/>
      <c r="R2170" s="24"/>
      <c r="S2170" s="24"/>
      <c r="T2170" s="24"/>
      <c r="U2170" s="24"/>
      <c r="V2170" s="24"/>
      <c r="W2170" s="24"/>
      <c r="X2170" s="24"/>
      <c r="Y2170" s="24"/>
      <c r="Z2170" s="24"/>
      <c r="AA2170" s="24"/>
      <c r="AB2170" s="24"/>
      <c r="AC2170" s="24"/>
      <c r="AD2170" s="24"/>
      <c r="AE2170" s="24"/>
      <c r="AF2170" s="24"/>
      <c r="AG2170" s="24"/>
      <c r="AH2170" s="24"/>
      <c r="AI2170" s="24"/>
      <c r="AJ2170" s="24"/>
      <c r="AK2170" s="24"/>
      <c r="AL2170" s="24"/>
      <c r="AM2170" s="24"/>
      <c r="AN2170" s="24"/>
      <c r="AO2170" s="24"/>
      <c r="AP2170" s="24"/>
      <c r="AQ2170" s="24"/>
      <c r="AR2170" s="54"/>
    </row>
    <row r="2171">
      <c r="A2171" s="57"/>
      <c r="B2171" s="24"/>
      <c r="C2171" s="24"/>
      <c r="D2171" s="24"/>
      <c r="E2171" s="24"/>
      <c r="F2171" s="24"/>
      <c r="G2171" s="24"/>
      <c r="H2171" s="24"/>
      <c r="I2171" s="24"/>
      <c r="J2171" s="24"/>
      <c r="K2171" s="24"/>
      <c r="L2171" s="24"/>
      <c r="M2171" s="24"/>
      <c r="N2171" s="24"/>
      <c r="O2171" s="24"/>
      <c r="P2171" s="24"/>
      <c r="Q2171" s="24"/>
      <c r="R2171" s="24"/>
      <c r="S2171" s="24"/>
      <c r="T2171" s="24"/>
      <c r="U2171" s="24"/>
      <c r="V2171" s="24"/>
      <c r="W2171" s="24"/>
      <c r="X2171" s="24"/>
      <c r="Y2171" s="24"/>
      <c r="Z2171" s="24"/>
      <c r="AA2171" s="24"/>
      <c r="AB2171" s="24"/>
      <c r="AC2171" s="24"/>
      <c r="AD2171" s="24"/>
      <c r="AE2171" s="24"/>
      <c r="AF2171" s="24"/>
      <c r="AG2171" s="24"/>
      <c r="AH2171" s="24"/>
      <c r="AI2171" s="24"/>
      <c r="AJ2171" s="24"/>
      <c r="AK2171" s="24"/>
      <c r="AL2171" s="24"/>
      <c r="AM2171" s="24"/>
      <c r="AN2171" s="24"/>
      <c r="AO2171" s="24"/>
      <c r="AP2171" s="24"/>
      <c r="AQ2171" s="24"/>
      <c r="AR2171" s="54"/>
    </row>
    <row r="2172">
      <c r="A2172" s="57"/>
      <c r="B2172" s="24"/>
      <c r="C2172" s="24"/>
      <c r="D2172" s="24"/>
      <c r="E2172" s="24"/>
      <c r="F2172" s="24"/>
      <c r="G2172" s="24"/>
      <c r="H2172" s="24"/>
      <c r="I2172" s="24"/>
      <c r="J2172" s="24"/>
      <c r="K2172" s="24"/>
      <c r="L2172" s="24"/>
      <c r="M2172" s="24"/>
      <c r="N2172" s="24"/>
      <c r="O2172" s="24"/>
      <c r="P2172" s="24"/>
      <c r="Q2172" s="24"/>
      <c r="R2172" s="24"/>
      <c r="S2172" s="24"/>
      <c r="T2172" s="24"/>
      <c r="U2172" s="24"/>
      <c r="V2172" s="24"/>
      <c r="W2172" s="24"/>
      <c r="X2172" s="24"/>
      <c r="Y2172" s="24"/>
      <c r="Z2172" s="24"/>
      <c r="AA2172" s="24"/>
      <c r="AB2172" s="24"/>
      <c r="AC2172" s="24"/>
      <c r="AD2172" s="24"/>
      <c r="AE2172" s="24"/>
      <c r="AF2172" s="24"/>
      <c r="AG2172" s="24"/>
      <c r="AH2172" s="24"/>
      <c r="AI2172" s="24"/>
      <c r="AJ2172" s="24"/>
      <c r="AK2172" s="24"/>
      <c r="AL2172" s="24"/>
      <c r="AM2172" s="24"/>
      <c r="AN2172" s="24"/>
      <c r="AO2172" s="24"/>
      <c r="AP2172" s="24"/>
      <c r="AQ2172" s="24"/>
      <c r="AR2172" s="54"/>
    </row>
    <row r="2173">
      <c r="A2173" s="57"/>
      <c r="B2173" s="24"/>
      <c r="C2173" s="24"/>
      <c r="D2173" s="24"/>
      <c r="E2173" s="24"/>
      <c r="F2173" s="24"/>
      <c r="G2173" s="24"/>
      <c r="H2173" s="24"/>
      <c r="I2173" s="24"/>
      <c r="J2173" s="24"/>
      <c r="K2173" s="24"/>
      <c r="L2173" s="24"/>
      <c r="M2173" s="24"/>
      <c r="N2173" s="24"/>
      <c r="O2173" s="24"/>
      <c r="P2173" s="24"/>
      <c r="Q2173" s="24"/>
      <c r="R2173" s="24"/>
      <c r="S2173" s="24"/>
      <c r="T2173" s="24"/>
      <c r="U2173" s="24"/>
      <c r="V2173" s="24"/>
      <c r="W2173" s="24"/>
      <c r="X2173" s="24"/>
      <c r="Y2173" s="24"/>
      <c r="Z2173" s="24"/>
      <c r="AA2173" s="24"/>
      <c r="AB2173" s="24"/>
      <c r="AC2173" s="24"/>
      <c r="AD2173" s="24"/>
      <c r="AE2173" s="24"/>
      <c r="AF2173" s="24"/>
      <c r="AG2173" s="24"/>
      <c r="AH2173" s="24"/>
      <c r="AI2173" s="24"/>
      <c r="AJ2173" s="24"/>
      <c r="AK2173" s="24"/>
      <c r="AL2173" s="24"/>
      <c r="AM2173" s="24"/>
      <c r="AN2173" s="24"/>
      <c r="AO2173" s="24"/>
      <c r="AP2173" s="24"/>
      <c r="AQ2173" s="24"/>
      <c r="AR2173" s="54"/>
    </row>
    <row r="2174">
      <c r="A2174" s="57"/>
      <c r="B2174" s="24"/>
      <c r="C2174" s="24"/>
      <c r="D2174" s="24"/>
      <c r="E2174" s="24"/>
      <c r="F2174" s="24"/>
      <c r="G2174" s="24"/>
      <c r="H2174" s="24"/>
      <c r="I2174" s="24"/>
      <c r="J2174" s="24"/>
      <c r="K2174" s="24"/>
      <c r="L2174" s="24"/>
      <c r="M2174" s="24"/>
      <c r="N2174" s="24"/>
      <c r="O2174" s="24"/>
      <c r="P2174" s="24"/>
      <c r="Q2174" s="24"/>
      <c r="R2174" s="24"/>
      <c r="S2174" s="24"/>
      <c r="T2174" s="24"/>
      <c r="U2174" s="24"/>
      <c r="V2174" s="24"/>
      <c r="W2174" s="24"/>
      <c r="X2174" s="24"/>
      <c r="Y2174" s="24"/>
      <c r="Z2174" s="24"/>
      <c r="AA2174" s="24"/>
      <c r="AB2174" s="24"/>
      <c r="AC2174" s="24"/>
      <c r="AD2174" s="24"/>
      <c r="AE2174" s="24"/>
      <c r="AF2174" s="24"/>
      <c r="AG2174" s="24"/>
      <c r="AH2174" s="24"/>
      <c r="AI2174" s="24"/>
      <c r="AJ2174" s="24"/>
      <c r="AK2174" s="24"/>
      <c r="AL2174" s="24"/>
      <c r="AM2174" s="24"/>
      <c r="AN2174" s="24"/>
      <c r="AO2174" s="24"/>
      <c r="AP2174" s="24"/>
      <c r="AQ2174" s="24"/>
      <c r="AR2174" s="54"/>
    </row>
    <row r="2175">
      <c r="A2175" s="57"/>
      <c r="B2175" s="24"/>
      <c r="C2175" s="24"/>
      <c r="D2175" s="24"/>
      <c r="E2175" s="24"/>
      <c r="F2175" s="24"/>
      <c r="G2175" s="24"/>
      <c r="H2175" s="24"/>
      <c r="I2175" s="24"/>
      <c r="J2175" s="24"/>
      <c r="K2175" s="24"/>
      <c r="L2175" s="24"/>
      <c r="M2175" s="24"/>
      <c r="N2175" s="24"/>
      <c r="O2175" s="24"/>
      <c r="P2175" s="24"/>
      <c r="Q2175" s="24"/>
      <c r="R2175" s="24"/>
      <c r="S2175" s="24"/>
      <c r="T2175" s="24"/>
      <c r="U2175" s="24"/>
      <c r="V2175" s="24"/>
      <c r="W2175" s="24"/>
      <c r="X2175" s="24"/>
      <c r="Y2175" s="24"/>
      <c r="Z2175" s="24"/>
      <c r="AA2175" s="24"/>
      <c r="AB2175" s="24"/>
      <c r="AC2175" s="24"/>
      <c r="AD2175" s="24"/>
      <c r="AE2175" s="24"/>
      <c r="AF2175" s="24"/>
      <c r="AG2175" s="24"/>
      <c r="AH2175" s="24"/>
      <c r="AI2175" s="24"/>
      <c r="AJ2175" s="24"/>
      <c r="AK2175" s="24"/>
      <c r="AL2175" s="24"/>
      <c r="AM2175" s="24"/>
      <c r="AN2175" s="24"/>
      <c r="AO2175" s="24"/>
      <c r="AP2175" s="24"/>
      <c r="AQ2175" s="24"/>
      <c r="AR2175" s="54"/>
    </row>
    <row r="2176">
      <c r="A2176" s="57"/>
      <c r="B2176" s="24"/>
      <c r="C2176" s="24"/>
      <c r="D2176" s="24"/>
      <c r="E2176" s="24"/>
      <c r="F2176" s="24"/>
      <c r="G2176" s="24"/>
      <c r="H2176" s="24"/>
      <c r="I2176" s="24"/>
      <c r="J2176" s="24"/>
      <c r="K2176" s="24"/>
      <c r="L2176" s="24"/>
      <c r="M2176" s="24"/>
      <c r="N2176" s="24"/>
      <c r="O2176" s="24"/>
      <c r="P2176" s="24"/>
      <c r="Q2176" s="24"/>
      <c r="R2176" s="24"/>
      <c r="S2176" s="24"/>
      <c r="T2176" s="24"/>
      <c r="U2176" s="24"/>
      <c r="V2176" s="24"/>
      <c r="W2176" s="24"/>
      <c r="X2176" s="24"/>
      <c r="Y2176" s="24"/>
      <c r="Z2176" s="24"/>
      <c r="AA2176" s="24"/>
      <c r="AB2176" s="24"/>
      <c r="AC2176" s="24"/>
      <c r="AD2176" s="24"/>
      <c r="AE2176" s="24"/>
      <c r="AF2176" s="24"/>
      <c r="AG2176" s="24"/>
      <c r="AH2176" s="24"/>
      <c r="AI2176" s="24"/>
      <c r="AJ2176" s="24"/>
      <c r="AK2176" s="24"/>
      <c r="AL2176" s="24"/>
      <c r="AM2176" s="24"/>
      <c r="AN2176" s="24"/>
      <c r="AO2176" s="24"/>
      <c r="AP2176" s="24"/>
      <c r="AQ2176" s="24"/>
      <c r="AR2176" s="54"/>
    </row>
    <row r="2177">
      <c r="A2177" s="57"/>
      <c r="B2177" s="24"/>
      <c r="C2177" s="24"/>
      <c r="D2177" s="24"/>
      <c r="E2177" s="24"/>
      <c r="F2177" s="24"/>
      <c r="G2177" s="24"/>
      <c r="H2177" s="24"/>
      <c r="I2177" s="24"/>
      <c r="J2177" s="24"/>
      <c r="K2177" s="24"/>
      <c r="L2177" s="24"/>
      <c r="M2177" s="24"/>
      <c r="N2177" s="24"/>
      <c r="O2177" s="24"/>
      <c r="P2177" s="24"/>
      <c r="Q2177" s="24"/>
      <c r="R2177" s="24"/>
      <c r="S2177" s="24"/>
      <c r="T2177" s="24"/>
      <c r="U2177" s="24"/>
      <c r="V2177" s="24"/>
      <c r="W2177" s="24"/>
      <c r="X2177" s="24"/>
      <c r="Y2177" s="24"/>
      <c r="Z2177" s="24"/>
      <c r="AA2177" s="24"/>
      <c r="AB2177" s="24"/>
      <c r="AC2177" s="24"/>
      <c r="AD2177" s="24"/>
      <c r="AE2177" s="24"/>
      <c r="AF2177" s="24"/>
      <c r="AG2177" s="24"/>
      <c r="AH2177" s="24"/>
      <c r="AI2177" s="24"/>
      <c r="AJ2177" s="24"/>
      <c r="AK2177" s="24"/>
      <c r="AL2177" s="24"/>
      <c r="AM2177" s="24"/>
      <c r="AN2177" s="24"/>
      <c r="AO2177" s="24"/>
      <c r="AP2177" s="24"/>
      <c r="AQ2177" s="24"/>
      <c r="AR2177" s="54"/>
    </row>
    <row r="2178">
      <c r="A2178" s="57"/>
      <c r="B2178" s="24"/>
      <c r="C2178" s="24"/>
      <c r="D2178" s="24"/>
      <c r="E2178" s="24"/>
      <c r="F2178" s="24"/>
      <c r="G2178" s="24"/>
      <c r="H2178" s="24"/>
      <c r="I2178" s="24"/>
      <c r="J2178" s="24"/>
      <c r="K2178" s="24"/>
      <c r="L2178" s="24"/>
      <c r="M2178" s="24"/>
      <c r="N2178" s="24"/>
      <c r="O2178" s="24"/>
      <c r="P2178" s="24"/>
      <c r="Q2178" s="24"/>
      <c r="R2178" s="24"/>
      <c r="S2178" s="24"/>
      <c r="T2178" s="24"/>
      <c r="U2178" s="24"/>
      <c r="V2178" s="24"/>
      <c r="W2178" s="24"/>
      <c r="X2178" s="24"/>
      <c r="Y2178" s="24"/>
      <c r="Z2178" s="24"/>
      <c r="AA2178" s="24"/>
      <c r="AB2178" s="24"/>
      <c r="AC2178" s="24"/>
      <c r="AD2178" s="24"/>
      <c r="AE2178" s="24"/>
      <c r="AF2178" s="24"/>
      <c r="AG2178" s="24"/>
      <c r="AH2178" s="24"/>
      <c r="AI2178" s="24"/>
      <c r="AJ2178" s="24"/>
      <c r="AK2178" s="24"/>
      <c r="AL2178" s="24"/>
      <c r="AM2178" s="24"/>
      <c r="AN2178" s="24"/>
      <c r="AO2178" s="24"/>
      <c r="AP2178" s="24"/>
      <c r="AQ2178" s="24"/>
      <c r="AR2178" s="54"/>
    </row>
    <row r="2179">
      <c r="A2179" s="57"/>
      <c r="B2179" s="24"/>
      <c r="C2179" s="24"/>
      <c r="D2179" s="24"/>
      <c r="E2179" s="24"/>
      <c r="F2179" s="24"/>
      <c r="G2179" s="24"/>
      <c r="H2179" s="24"/>
      <c r="I2179" s="24"/>
      <c r="J2179" s="24"/>
      <c r="K2179" s="24"/>
      <c r="L2179" s="24"/>
      <c r="M2179" s="24"/>
      <c r="N2179" s="24"/>
      <c r="O2179" s="24"/>
      <c r="P2179" s="24"/>
      <c r="Q2179" s="24"/>
      <c r="R2179" s="24"/>
      <c r="S2179" s="24"/>
      <c r="T2179" s="24"/>
      <c r="U2179" s="24"/>
      <c r="V2179" s="24"/>
      <c r="W2179" s="24"/>
      <c r="X2179" s="24"/>
      <c r="Y2179" s="24"/>
      <c r="Z2179" s="24"/>
      <c r="AA2179" s="24"/>
      <c r="AB2179" s="24"/>
      <c r="AC2179" s="24"/>
      <c r="AD2179" s="24"/>
      <c r="AE2179" s="24"/>
      <c r="AF2179" s="24"/>
      <c r="AG2179" s="24"/>
      <c r="AH2179" s="24"/>
      <c r="AI2179" s="24"/>
      <c r="AJ2179" s="24"/>
      <c r="AK2179" s="24"/>
      <c r="AL2179" s="24"/>
      <c r="AM2179" s="24"/>
      <c r="AN2179" s="24"/>
      <c r="AO2179" s="24"/>
      <c r="AP2179" s="24"/>
      <c r="AQ2179" s="24"/>
      <c r="AR2179" s="54"/>
    </row>
    <row r="2180">
      <c r="A2180" s="57"/>
      <c r="B2180" s="24"/>
      <c r="C2180" s="24"/>
      <c r="D2180" s="24"/>
      <c r="E2180" s="24"/>
      <c r="F2180" s="24"/>
      <c r="G2180" s="24"/>
      <c r="H2180" s="24"/>
      <c r="I2180" s="24"/>
      <c r="J2180" s="24"/>
      <c r="K2180" s="24"/>
      <c r="L2180" s="24"/>
      <c r="M2180" s="24"/>
      <c r="N2180" s="24"/>
      <c r="O2180" s="24"/>
      <c r="P2180" s="24"/>
      <c r="Q2180" s="24"/>
      <c r="R2180" s="24"/>
      <c r="S2180" s="24"/>
      <c r="T2180" s="24"/>
      <c r="U2180" s="24"/>
      <c r="V2180" s="24"/>
      <c r="W2180" s="24"/>
      <c r="X2180" s="24"/>
      <c r="Y2180" s="24"/>
      <c r="Z2180" s="24"/>
      <c r="AA2180" s="24"/>
      <c r="AB2180" s="24"/>
      <c r="AC2180" s="24"/>
      <c r="AD2180" s="24"/>
      <c r="AE2180" s="24"/>
      <c r="AF2180" s="24"/>
      <c r="AG2180" s="24"/>
      <c r="AH2180" s="24"/>
      <c r="AI2180" s="24"/>
      <c r="AJ2180" s="24"/>
      <c r="AK2180" s="24"/>
      <c r="AL2180" s="24"/>
      <c r="AM2180" s="24"/>
      <c r="AN2180" s="24"/>
      <c r="AO2180" s="24"/>
      <c r="AP2180" s="24"/>
      <c r="AQ2180" s="24"/>
      <c r="AR2180" s="54"/>
    </row>
    <row r="2181">
      <c r="A2181" s="57"/>
      <c r="B2181" s="24"/>
      <c r="C2181" s="24"/>
      <c r="D2181" s="24"/>
      <c r="E2181" s="24"/>
      <c r="F2181" s="24"/>
      <c r="G2181" s="24"/>
      <c r="H2181" s="24"/>
      <c r="I2181" s="24"/>
      <c r="J2181" s="24"/>
      <c r="K2181" s="24"/>
      <c r="L2181" s="24"/>
      <c r="M2181" s="24"/>
      <c r="N2181" s="24"/>
      <c r="O2181" s="24"/>
      <c r="P2181" s="24"/>
      <c r="Q2181" s="24"/>
      <c r="R2181" s="24"/>
      <c r="S2181" s="24"/>
      <c r="T2181" s="24"/>
      <c r="U2181" s="24"/>
      <c r="V2181" s="24"/>
      <c r="W2181" s="24"/>
      <c r="X2181" s="24"/>
      <c r="Y2181" s="24"/>
      <c r="Z2181" s="24"/>
      <c r="AA2181" s="24"/>
      <c r="AB2181" s="24"/>
      <c r="AC2181" s="24"/>
      <c r="AD2181" s="24"/>
      <c r="AE2181" s="24"/>
      <c r="AF2181" s="24"/>
      <c r="AG2181" s="24"/>
      <c r="AH2181" s="24"/>
      <c r="AI2181" s="24"/>
      <c r="AJ2181" s="24"/>
      <c r="AK2181" s="24"/>
      <c r="AL2181" s="24"/>
      <c r="AM2181" s="24"/>
      <c r="AN2181" s="24"/>
      <c r="AO2181" s="24"/>
      <c r="AP2181" s="24"/>
      <c r="AQ2181" s="24"/>
      <c r="AR2181" s="54"/>
    </row>
    <row r="2182">
      <c r="A2182" s="57"/>
      <c r="B2182" s="24"/>
      <c r="C2182" s="24"/>
      <c r="D2182" s="24"/>
      <c r="E2182" s="24"/>
      <c r="F2182" s="24"/>
      <c r="G2182" s="24"/>
      <c r="H2182" s="24"/>
      <c r="I2182" s="24"/>
      <c r="J2182" s="24"/>
      <c r="K2182" s="24"/>
      <c r="L2182" s="24"/>
      <c r="M2182" s="24"/>
      <c r="N2182" s="24"/>
      <c r="O2182" s="24"/>
      <c r="P2182" s="24"/>
      <c r="Q2182" s="24"/>
      <c r="R2182" s="24"/>
      <c r="S2182" s="24"/>
      <c r="T2182" s="24"/>
      <c r="U2182" s="24"/>
      <c r="V2182" s="24"/>
      <c r="W2182" s="24"/>
      <c r="X2182" s="24"/>
      <c r="Y2182" s="24"/>
      <c r="Z2182" s="24"/>
      <c r="AA2182" s="24"/>
      <c r="AB2182" s="24"/>
      <c r="AC2182" s="24"/>
      <c r="AD2182" s="24"/>
      <c r="AE2182" s="24"/>
      <c r="AF2182" s="24"/>
      <c r="AG2182" s="24"/>
      <c r="AH2182" s="24"/>
      <c r="AI2182" s="24"/>
      <c r="AJ2182" s="24"/>
      <c r="AK2182" s="24"/>
      <c r="AL2182" s="24"/>
      <c r="AM2182" s="24"/>
      <c r="AN2182" s="24"/>
      <c r="AO2182" s="24"/>
      <c r="AP2182" s="24"/>
      <c r="AQ2182" s="24"/>
      <c r="AR2182" s="54"/>
    </row>
    <row r="2183">
      <c r="A2183" s="57"/>
      <c r="B2183" s="24"/>
      <c r="C2183" s="24"/>
      <c r="D2183" s="24"/>
      <c r="E2183" s="24"/>
      <c r="F2183" s="24"/>
      <c r="G2183" s="24"/>
      <c r="H2183" s="24"/>
      <c r="I2183" s="24"/>
      <c r="J2183" s="24"/>
      <c r="K2183" s="24"/>
      <c r="L2183" s="24"/>
      <c r="M2183" s="24"/>
      <c r="N2183" s="24"/>
      <c r="O2183" s="24"/>
      <c r="P2183" s="24"/>
      <c r="Q2183" s="24"/>
      <c r="R2183" s="24"/>
      <c r="S2183" s="24"/>
      <c r="T2183" s="24"/>
      <c r="U2183" s="24"/>
      <c r="V2183" s="24"/>
      <c r="W2183" s="24"/>
      <c r="X2183" s="24"/>
      <c r="Y2183" s="24"/>
      <c r="Z2183" s="24"/>
      <c r="AA2183" s="24"/>
      <c r="AB2183" s="24"/>
      <c r="AC2183" s="24"/>
      <c r="AD2183" s="24"/>
      <c r="AE2183" s="24"/>
      <c r="AF2183" s="24"/>
      <c r="AG2183" s="24"/>
      <c r="AH2183" s="24"/>
      <c r="AI2183" s="24"/>
      <c r="AJ2183" s="24"/>
      <c r="AK2183" s="24"/>
      <c r="AL2183" s="24"/>
      <c r="AM2183" s="24"/>
      <c r="AN2183" s="24"/>
      <c r="AO2183" s="24"/>
      <c r="AP2183" s="24"/>
      <c r="AQ2183" s="24"/>
      <c r="AR2183" s="54"/>
    </row>
    <row r="2184">
      <c r="A2184" s="57"/>
      <c r="B2184" s="24"/>
      <c r="C2184" s="24"/>
      <c r="D2184" s="24"/>
      <c r="E2184" s="24"/>
      <c r="F2184" s="24"/>
      <c r="G2184" s="24"/>
      <c r="H2184" s="24"/>
      <c r="I2184" s="24"/>
      <c r="J2184" s="24"/>
      <c r="K2184" s="24"/>
      <c r="L2184" s="24"/>
      <c r="M2184" s="24"/>
      <c r="N2184" s="24"/>
      <c r="O2184" s="24"/>
      <c r="P2184" s="24"/>
      <c r="Q2184" s="24"/>
      <c r="R2184" s="24"/>
      <c r="S2184" s="24"/>
      <c r="T2184" s="24"/>
      <c r="U2184" s="24"/>
      <c r="V2184" s="24"/>
      <c r="W2184" s="24"/>
      <c r="X2184" s="24"/>
      <c r="Y2184" s="24"/>
      <c r="Z2184" s="24"/>
      <c r="AA2184" s="24"/>
      <c r="AB2184" s="24"/>
      <c r="AC2184" s="24"/>
      <c r="AD2184" s="24"/>
      <c r="AE2184" s="24"/>
      <c r="AF2184" s="24"/>
      <c r="AG2184" s="24"/>
      <c r="AH2184" s="24"/>
      <c r="AI2184" s="24"/>
      <c r="AJ2184" s="24"/>
      <c r="AK2184" s="24"/>
      <c r="AL2184" s="24"/>
      <c r="AM2184" s="24"/>
      <c r="AN2184" s="24"/>
      <c r="AO2184" s="24"/>
      <c r="AP2184" s="24"/>
      <c r="AQ2184" s="24"/>
      <c r="AR2184" s="54"/>
    </row>
    <row r="2185">
      <c r="A2185" s="57"/>
      <c r="B2185" s="24"/>
      <c r="C2185" s="24"/>
      <c r="D2185" s="24"/>
      <c r="E2185" s="24"/>
      <c r="F2185" s="24"/>
      <c r="G2185" s="24"/>
      <c r="H2185" s="24"/>
      <c r="I2185" s="24"/>
      <c r="J2185" s="24"/>
      <c r="K2185" s="24"/>
      <c r="L2185" s="24"/>
      <c r="M2185" s="24"/>
      <c r="N2185" s="24"/>
      <c r="O2185" s="24"/>
      <c r="P2185" s="24"/>
      <c r="Q2185" s="24"/>
      <c r="R2185" s="24"/>
      <c r="S2185" s="24"/>
      <c r="T2185" s="24"/>
      <c r="U2185" s="24"/>
      <c r="V2185" s="24"/>
      <c r="W2185" s="24"/>
      <c r="X2185" s="24"/>
      <c r="Y2185" s="24"/>
      <c r="Z2185" s="24"/>
      <c r="AA2185" s="24"/>
      <c r="AB2185" s="24"/>
      <c r="AC2185" s="24"/>
      <c r="AD2185" s="24"/>
      <c r="AE2185" s="24"/>
      <c r="AF2185" s="24"/>
      <c r="AG2185" s="24"/>
      <c r="AH2185" s="24"/>
      <c r="AI2185" s="24"/>
      <c r="AJ2185" s="24"/>
      <c r="AK2185" s="24"/>
      <c r="AL2185" s="24"/>
      <c r="AM2185" s="24"/>
      <c r="AN2185" s="24"/>
      <c r="AO2185" s="24"/>
      <c r="AP2185" s="24"/>
      <c r="AQ2185" s="24"/>
      <c r="AR2185" s="54"/>
    </row>
    <row r="2186">
      <c r="A2186" s="57"/>
      <c r="B2186" s="24"/>
      <c r="C2186" s="24"/>
      <c r="D2186" s="24"/>
      <c r="E2186" s="24"/>
      <c r="F2186" s="24"/>
      <c r="G2186" s="24"/>
      <c r="H2186" s="24"/>
      <c r="I2186" s="24"/>
      <c r="J2186" s="24"/>
      <c r="K2186" s="24"/>
      <c r="L2186" s="24"/>
      <c r="M2186" s="24"/>
      <c r="N2186" s="24"/>
      <c r="O2186" s="24"/>
      <c r="P2186" s="24"/>
      <c r="Q2186" s="24"/>
      <c r="R2186" s="24"/>
      <c r="S2186" s="24"/>
      <c r="T2186" s="24"/>
      <c r="U2186" s="24"/>
      <c r="V2186" s="24"/>
      <c r="W2186" s="24"/>
      <c r="X2186" s="24"/>
      <c r="Y2186" s="24"/>
      <c r="Z2186" s="24"/>
      <c r="AA2186" s="24"/>
      <c r="AB2186" s="24"/>
      <c r="AC2186" s="24"/>
      <c r="AD2186" s="24"/>
      <c r="AE2186" s="24"/>
      <c r="AF2186" s="24"/>
      <c r="AG2186" s="24"/>
      <c r="AH2186" s="24"/>
      <c r="AI2186" s="24"/>
      <c r="AJ2186" s="24"/>
      <c r="AK2186" s="24"/>
      <c r="AL2186" s="24"/>
      <c r="AM2186" s="24"/>
      <c r="AN2186" s="24"/>
      <c r="AO2186" s="24"/>
      <c r="AP2186" s="24"/>
      <c r="AQ2186" s="24"/>
      <c r="AR2186" s="54"/>
    </row>
    <row r="2187">
      <c r="A2187" s="57"/>
      <c r="B2187" s="24"/>
      <c r="C2187" s="24"/>
      <c r="D2187" s="24"/>
      <c r="E2187" s="24"/>
      <c r="F2187" s="24"/>
      <c r="G2187" s="24"/>
      <c r="H2187" s="24"/>
      <c r="I2187" s="24"/>
      <c r="J2187" s="24"/>
      <c r="K2187" s="24"/>
      <c r="L2187" s="24"/>
      <c r="M2187" s="24"/>
      <c r="N2187" s="24"/>
      <c r="O2187" s="24"/>
      <c r="P2187" s="24"/>
      <c r="Q2187" s="24"/>
      <c r="R2187" s="24"/>
      <c r="S2187" s="24"/>
      <c r="T2187" s="24"/>
      <c r="U2187" s="24"/>
      <c r="V2187" s="24"/>
      <c r="W2187" s="24"/>
      <c r="X2187" s="24"/>
      <c r="Y2187" s="24"/>
      <c r="Z2187" s="24"/>
      <c r="AA2187" s="24"/>
      <c r="AB2187" s="24"/>
      <c r="AC2187" s="24"/>
      <c r="AD2187" s="24"/>
      <c r="AE2187" s="24"/>
      <c r="AF2187" s="24"/>
      <c r="AG2187" s="24"/>
      <c r="AH2187" s="24"/>
      <c r="AI2187" s="24"/>
      <c r="AJ2187" s="24"/>
      <c r="AK2187" s="24"/>
      <c r="AL2187" s="24"/>
      <c r="AM2187" s="24"/>
      <c r="AN2187" s="24"/>
      <c r="AO2187" s="24"/>
      <c r="AP2187" s="24"/>
      <c r="AQ2187" s="24"/>
      <c r="AR2187" s="54"/>
    </row>
    <row r="2188">
      <c r="A2188" s="57"/>
      <c r="B2188" s="24"/>
      <c r="C2188" s="24"/>
      <c r="D2188" s="24"/>
      <c r="E2188" s="24"/>
      <c r="F2188" s="24"/>
      <c r="G2188" s="24"/>
      <c r="H2188" s="24"/>
      <c r="I2188" s="24"/>
      <c r="J2188" s="24"/>
      <c r="K2188" s="24"/>
      <c r="L2188" s="24"/>
      <c r="M2188" s="24"/>
      <c r="N2188" s="24"/>
      <c r="O2188" s="24"/>
      <c r="P2188" s="24"/>
      <c r="Q2188" s="24"/>
      <c r="R2188" s="24"/>
      <c r="S2188" s="24"/>
      <c r="T2188" s="24"/>
      <c r="U2188" s="24"/>
      <c r="V2188" s="24"/>
      <c r="W2188" s="24"/>
      <c r="X2188" s="24"/>
      <c r="Y2188" s="24"/>
      <c r="Z2188" s="24"/>
      <c r="AA2188" s="24"/>
      <c r="AB2188" s="24"/>
      <c r="AC2188" s="24"/>
      <c r="AD2188" s="24"/>
      <c r="AE2188" s="24"/>
      <c r="AF2188" s="24"/>
      <c r="AG2188" s="24"/>
      <c r="AH2188" s="24"/>
      <c r="AI2188" s="24"/>
      <c r="AJ2188" s="24"/>
      <c r="AK2188" s="24"/>
      <c r="AL2188" s="24"/>
      <c r="AM2188" s="24"/>
      <c r="AN2188" s="24"/>
      <c r="AO2188" s="24"/>
      <c r="AP2188" s="24"/>
      <c r="AQ2188" s="24"/>
      <c r="AR2188" s="54"/>
    </row>
    <row r="2189">
      <c r="A2189" s="57"/>
      <c r="B2189" s="24"/>
      <c r="C2189" s="24"/>
      <c r="D2189" s="24"/>
      <c r="E2189" s="24"/>
      <c r="F2189" s="24"/>
      <c r="G2189" s="24"/>
      <c r="H2189" s="24"/>
      <c r="I2189" s="24"/>
      <c r="J2189" s="24"/>
      <c r="K2189" s="24"/>
      <c r="L2189" s="24"/>
      <c r="M2189" s="24"/>
      <c r="N2189" s="24"/>
      <c r="O2189" s="24"/>
      <c r="P2189" s="24"/>
      <c r="Q2189" s="24"/>
      <c r="R2189" s="24"/>
      <c r="S2189" s="24"/>
      <c r="T2189" s="24"/>
      <c r="U2189" s="24"/>
      <c r="V2189" s="24"/>
      <c r="W2189" s="24"/>
      <c r="X2189" s="24"/>
      <c r="Y2189" s="24"/>
      <c r="Z2189" s="24"/>
      <c r="AA2189" s="24"/>
      <c r="AB2189" s="24"/>
      <c r="AC2189" s="24"/>
      <c r="AD2189" s="24"/>
      <c r="AE2189" s="24"/>
      <c r="AF2189" s="24"/>
      <c r="AG2189" s="24"/>
      <c r="AH2189" s="24"/>
      <c r="AI2189" s="24"/>
      <c r="AJ2189" s="24"/>
      <c r="AK2189" s="24"/>
      <c r="AL2189" s="24"/>
      <c r="AM2189" s="24"/>
      <c r="AN2189" s="24"/>
      <c r="AO2189" s="24"/>
      <c r="AP2189" s="24"/>
      <c r="AQ2189" s="24"/>
      <c r="AR2189" s="54"/>
    </row>
    <row r="2190">
      <c r="A2190" s="57"/>
      <c r="B2190" s="24"/>
      <c r="C2190" s="24"/>
      <c r="D2190" s="24"/>
      <c r="E2190" s="24"/>
      <c r="F2190" s="24"/>
      <c r="G2190" s="24"/>
      <c r="H2190" s="24"/>
      <c r="I2190" s="24"/>
      <c r="J2190" s="24"/>
      <c r="K2190" s="24"/>
      <c r="L2190" s="24"/>
      <c r="M2190" s="24"/>
      <c r="N2190" s="24"/>
      <c r="O2190" s="24"/>
      <c r="P2190" s="24"/>
      <c r="Q2190" s="24"/>
      <c r="R2190" s="24"/>
      <c r="S2190" s="24"/>
      <c r="T2190" s="24"/>
      <c r="U2190" s="24"/>
      <c r="V2190" s="24"/>
      <c r="W2190" s="24"/>
      <c r="X2190" s="24"/>
      <c r="Y2190" s="24"/>
      <c r="Z2190" s="24"/>
      <c r="AA2190" s="24"/>
      <c r="AB2190" s="24"/>
      <c r="AC2190" s="24"/>
      <c r="AD2190" s="24"/>
      <c r="AE2190" s="24"/>
      <c r="AF2190" s="24"/>
      <c r="AG2190" s="24"/>
      <c r="AH2190" s="24"/>
      <c r="AI2190" s="24"/>
      <c r="AJ2190" s="24"/>
      <c r="AK2190" s="24"/>
      <c r="AL2190" s="24"/>
      <c r="AM2190" s="24"/>
      <c r="AN2190" s="24"/>
      <c r="AO2190" s="24"/>
      <c r="AP2190" s="24"/>
      <c r="AQ2190" s="24"/>
      <c r="AR2190" s="54"/>
    </row>
    <row r="2191">
      <c r="A2191" s="57"/>
      <c r="B2191" s="24"/>
      <c r="C2191" s="24"/>
      <c r="D2191" s="24"/>
      <c r="E2191" s="24"/>
      <c r="F2191" s="24"/>
      <c r="G2191" s="24"/>
      <c r="H2191" s="24"/>
      <c r="I2191" s="24"/>
      <c r="J2191" s="24"/>
      <c r="K2191" s="24"/>
      <c r="L2191" s="24"/>
      <c r="M2191" s="24"/>
      <c r="N2191" s="24"/>
      <c r="O2191" s="24"/>
      <c r="P2191" s="24"/>
      <c r="Q2191" s="24"/>
      <c r="R2191" s="24"/>
      <c r="S2191" s="24"/>
      <c r="T2191" s="24"/>
      <c r="U2191" s="24"/>
      <c r="V2191" s="24"/>
      <c r="W2191" s="24"/>
      <c r="X2191" s="24"/>
      <c r="Y2191" s="24"/>
      <c r="Z2191" s="24"/>
      <c r="AA2191" s="24"/>
      <c r="AB2191" s="24"/>
      <c r="AC2191" s="24"/>
      <c r="AD2191" s="24"/>
      <c r="AE2191" s="24"/>
      <c r="AF2191" s="24"/>
      <c r="AG2191" s="24"/>
      <c r="AH2191" s="24"/>
      <c r="AI2191" s="24"/>
      <c r="AJ2191" s="24"/>
      <c r="AK2191" s="24"/>
      <c r="AL2191" s="24"/>
      <c r="AM2191" s="24"/>
      <c r="AN2191" s="24"/>
      <c r="AO2191" s="24"/>
      <c r="AP2191" s="24"/>
      <c r="AQ2191" s="24"/>
      <c r="AR2191" s="54"/>
    </row>
    <row r="2192">
      <c r="A2192" s="57"/>
      <c r="B2192" s="24"/>
      <c r="C2192" s="24"/>
      <c r="D2192" s="24"/>
      <c r="E2192" s="24"/>
      <c r="F2192" s="24"/>
      <c r="G2192" s="24"/>
      <c r="H2192" s="24"/>
      <c r="I2192" s="24"/>
      <c r="J2192" s="24"/>
      <c r="K2192" s="24"/>
      <c r="L2192" s="24"/>
      <c r="M2192" s="24"/>
      <c r="N2192" s="24"/>
      <c r="O2192" s="24"/>
      <c r="P2192" s="24"/>
      <c r="Q2192" s="24"/>
      <c r="R2192" s="24"/>
      <c r="S2192" s="24"/>
      <c r="T2192" s="24"/>
      <c r="U2192" s="24"/>
      <c r="V2192" s="24"/>
      <c r="W2192" s="24"/>
      <c r="X2192" s="24"/>
      <c r="Y2192" s="24"/>
      <c r="Z2192" s="24"/>
      <c r="AA2192" s="24"/>
      <c r="AB2192" s="24"/>
      <c r="AC2192" s="24"/>
      <c r="AD2192" s="24"/>
      <c r="AE2192" s="24"/>
      <c r="AF2192" s="24"/>
      <c r="AG2192" s="24"/>
      <c r="AH2192" s="24"/>
      <c r="AI2192" s="24"/>
      <c r="AJ2192" s="24"/>
      <c r="AK2192" s="24"/>
      <c r="AL2192" s="24"/>
      <c r="AM2192" s="24"/>
      <c r="AN2192" s="24"/>
      <c r="AO2192" s="24"/>
      <c r="AP2192" s="24"/>
      <c r="AQ2192" s="24"/>
      <c r="AR2192" s="54"/>
    </row>
    <row r="2193">
      <c r="A2193" s="57"/>
      <c r="B2193" s="24"/>
      <c r="C2193" s="24"/>
      <c r="D2193" s="24"/>
      <c r="E2193" s="24"/>
      <c r="F2193" s="24"/>
      <c r="G2193" s="24"/>
      <c r="H2193" s="24"/>
      <c r="I2193" s="24"/>
      <c r="J2193" s="24"/>
      <c r="K2193" s="24"/>
      <c r="L2193" s="24"/>
      <c r="M2193" s="24"/>
      <c r="N2193" s="24"/>
      <c r="O2193" s="24"/>
      <c r="P2193" s="24"/>
      <c r="Q2193" s="24"/>
      <c r="R2193" s="24"/>
      <c r="S2193" s="24"/>
      <c r="T2193" s="24"/>
      <c r="U2193" s="24"/>
      <c r="V2193" s="24"/>
      <c r="W2193" s="24"/>
      <c r="X2193" s="24"/>
      <c r="Y2193" s="24"/>
      <c r="Z2193" s="24"/>
      <c r="AA2193" s="24"/>
      <c r="AB2193" s="24"/>
      <c r="AC2193" s="24"/>
      <c r="AD2193" s="24"/>
      <c r="AE2193" s="24"/>
      <c r="AF2193" s="24"/>
      <c r="AG2193" s="24"/>
      <c r="AH2193" s="24"/>
      <c r="AI2193" s="24"/>
      <c r="AJ2193" s="24"/>
      <c r="AK2193" s="24"/>
      <c r="AL2193" s="24"/>
      <c r="AM2193" s="24"/>
      <c r="AN2193" s="24"/>
      <c r="AO2193" s="24"/>
      <c r="AP2193" s="24"/>
      <c r="AQ2193" s="24"/>
      <c r="AR2193" s="54"/>
    </row>
    <row r="2194">
      <c r="A2194" s="57"/>
      <c r="B2194" s="24"/>
      <c r="C2194" s="24"/>
      <c r="D2194" s="24"/>
      <c r="E2194" s="24"/>
      <c r="F2194" s="24"/>
      <c r="G2194" s="24"/>
      <c r="H2194" s="24"/>
      <c r="I2194" s="24"/>
      <c r="J2194" s="24"/>
      <c r="K2194" s="24"/>
      <c r="L2194" s="24"/>
      <c r="M2194" s="24"/>
      <c r="N2194" s="24"/>
      <c r="O2194" s="24"/>
      <c r="P2194" s="24"/>
      <c r="Q2194" s="24"/>
      <c r="R2194" s="24"/>
      <c r="S2194" s="24"/>
      <c r="T2194" s="24"/>
      <c r="U2194" s="24"/>
      <c r="V2194" s="24"/>
      <c r="W2194" s="24"/>
      <c r="X2194" s="24"/>
      <c r="Y2194" s="24"/>
      <c r="Z2194" s="24"/>
      <c r="AA2194" s="24"/>
      <c r="AB2194" s="24"/>
      <c r="AC2194" s="24"/>
      <c r="AD2194" s="24"/>
      <c r="AE2194" s="24"/>
      <c r="AF2194" s="24"/>
      <c r="AG2194" s="24"/>
      <c r="AH2194" s="24"/>
      <c r="AI2194" s="24"/>
      <c r="AJ2194" s="24"/>
      <c r="AK2194" s="24"/>
      <c r="AL2194" s="24"/>
      <c r="AM2194" s="24"/>
      <c r="AN2194" s="24"/>
      <c r="AO2194" s="24"/>
      <c r="AP2194" s="24"/>
      <c r="AQ2194" s="24"/>
      <c r="AR2194" s="54"/>
    </row>
    <row r="2195">
      <c r="A2195" s="57"/>
      <c r="B2195" s="24"/>
      <c r="C2195" s="24"/>
      <c r="D2195" s="24"/>
      <c r="E2195" s="24"/>
      <c r="F2195" s="24"/>
      <c r="G2195" s="24"/>
      <c r="H2195" s="24"/>
      <c r="I2195" s="24"/>
      <c r="J2195" s="24"/>
      <c r="K2195" s="24"/>
      <c r="L2195" s="24"/>
      <c r="M2195" s="24"/>
      <c r="N2195" s="24"/>
      <c r="O2195" s="24"/>
      <c r="P2195" s="24"/>
      <c r="Q2195" s="24"/>
      <c r="R2195" s="24"/>
      <c r="S2195" s="24"/>
      <c r="T2195" s="24"/>
      <c r="U2195" s="24"/>
      <c r="V2195" s="24"/>
      <c r="W2195" s="24"/>
      <c r="X2195" s="24"/>
      <c r="Y2195" s="24"/>
      <c r="Z2195" s="24"/>
      <c r="AA2195" s="24"/>
      <c r="AB2195" s="24"/>
      <c r="AC2195" s="24"/>
      <c r="AD2195" s="24"/>
      <c r="AE2195" s="24"/>
      <c r="AF2195" s="24"/>
      <c r="AG2195" s="24"/>
      <c r="AH2195" s="24"/>
      <c r="AI2195" s="24"/>
      <c r="AJ2195" s="24"/>
      <c r="AK2195" s="24"/>
      <c r="AL2195" s="24"/>
      <c r="AM2195" s="24"/>
      <c r="AN2195" s="24"/>
      <c r="AO2195" s="24"/>
      <c r="AP2195" s="24"/>
      <c r="AQ2195" s="24"/>
      <c r="AR2195" s="54"/>
    </row>
    <row r="2196">
      <c r="A2196" s="57"/>
      <c r="B2196" s="24"/>
      <c r="C2196" s="24"/>
      <c r="D2196" s="24"/>
      <c r="E2196" s="24"/>
      <c r="F2196" s="24"/>
      <c r="G2196" s="24"/>
      <c r="H2196" s="24"/>
      <c r="I2196" s="24"/>
      <c r="J2196" s="24"/>
      <c r="K2196" s="24"/>
      <c r="L2196" s="24"/>
      <c r="M2196" s="24"/>
      <c r="N2196" s="24"/>
      <c r="O2196" s="24"/>
      <c r="P2196" s="24"/>
      <c r="Q2196" s="24"/>
      <c r="R2196" s="24"/>
      <c r="S2196" s="24"/>
      <c r="T2196" s="24"/>
      <c r="U2196" s="24"/>
      <c r="V2196" s="24"/>
      <c r="W2196" s="24"/>
      <c r="X2196" s="24"/>
      <c r="Y2196" s="24"/>
      <c r="Z2196" s="24"/>
      <c r="AA2196" s="24"/>
      <c r="AB2196" s="24"/>
      <c r="AC2196" s="24"/>
      <c r="AD2196" s="24"/>
      <c r="AE2196" s="24"/>
      <c r="AF2196" s="24"/>
      <c r="AG2196" s="24"/>
      <c r="AH2196" s="24"/>
      <c r="AI2196" s="24"/>
      <c r="AJ2196" s="24"/>
      <c r="AK2196" s="24"/>
      <c r="AL2196" s="24"/>
      <c r="AM2196" s="24"/>
      <c r="AN2196" s="24"/>
      <c r="AO2196" s="24"/>
      <c r="AP2196" s="24"/>
      <c r="AQ2196" s="24"/>
      <c r="AR2196" s="54"/>
    </row>
    <row r="2197">
      <c r="A2197" s="57"/>
      <c r="B2197" s="24"/>
      <c r="C2197" s="24"/>
      <c r="D2197" s="24"/>
      <c r="E2197" s="24"/>
      <c r="F2197" s="24"/>
      <c r="G2197" s="24"/>
      <c r="H2197" s="24"/>
      <c r="I2197" s="24"/>
      <c r="J2197" s="24"/>
      <c r="K2197" s="24"/>
      <c r="L2197" s="24"/>
      <c r="M2197" s="24"/>
      <c r="N2197" s="24"/>
      <c r="O2197" s="24"/>
      <c r="P2197" s="24"/>
      <c r="Q2197" s="24"/>
      <c r="R2197" s="24"/>
      <c r="S2197" s="24"/>
      <c r="T2197" s="24"/>
      <c r="U2197" s="24"/>
      <c r="V2197" s="24"/>
      <c r="W2197" s="24"/>
      <c r="X2197" s="24"/>
      <c r="Y2197" s="24"/>
      <c r="Z2197" s="24"/>
      <c r="AA2197" s="24"/>
      <c r="AB2197" s="24"/>
      <c r="AC2197" s="24"/>
      <c r="AD2197" s="24"/>
      <c r="AE2197" s="24"/>
      <c r="AF2197" s="24"/>
      <c r="AG2197" s="24"/>
      <c r="AH2197" s="24"/>
      <c r="AI2197" s="24"/>
      <c r="AJ2197" s="24"/>
      <c r="AK2197" s="24"/>
      <c r="AL2197" s="24"/>
      <c r="AM2197" s="24"/>
      <c r="AN2197" s="24"/>
      <c r="AO2197" s="24"/>
      <c r="AP2197" s="24"/>
      <c r="AQ2197" s="24"/>
      <c r="AR2197" s="54"/>
    </row>
    <row r="2198">
      <c r="A2198" s="57"/>
      <c r="B2198" s="24"/>
      <c r="C2198" s="24"/>
      <c r="D2198" s="24"/>
      <c r="E2198" s="24"/>
      <c r="F2198" s="24"/>
      <c r="G2198" s="24"/>
      <c r="H2198" s="24"/>
      <c r="I2198" s="24"/>
      <c r="J2198" s="24"/>
      <c r="K2198" s="24"/>
      <c r="L2198" s="24"/>
      <c r="M2198" s="24"/>
      <c r="N2198" s="24"/>
      <c r="O2198" s="24"/>
      <c r="P2198" s="24"/>
      <c r="Q2198" s="24"/>
      <c r="R2198" s="24"/>
      <c r="S2198" s="24"/>
      <c r="T2198" s="24"/>
      <c r="U2198" s="24"/>
      <c r="V2198" s="24"/>
      <c r="W2198" s="24"/>
      <c r="X2198" s="24"/>
      <c r="Y2198" s="24"/>
      <c r="Z2198" s="24"/>
      <c r="AA2198" s="24"/>
      <c r="AB2198" s="24"/>
      <c r="AC2198" s="24"/>
      <c r="AD2198" s="24"/>
      <c r="AE2198" s="24"/>
      <c r="AF2198" s="24"/>
      <c r="AG2198" s="24"/>
      <c r="AH2198" s="24"/>
      <c r="AI2198" s="24"/>
      <c r="AJ2198" s="24"/>
      <c r="AK2198" s="24"/>
      <c r="AL2198" s="24"/>
      <c r="AM2198" s="24"/>
      <c r="AN2198" s="24"/>
      <c r="AO2198" s="24"/>
      <c r="AP2198" s="24"/>
      <c r="AQ2198" s="24"/>
      <c r="AR2198" s="54"/>
    </row>
    <row r="2199">
      <c r="A2199" s="57"/>
      <c r="B2199" s="24"/>
      <c r="C2199" s="24"/>
      <c r="D2199" s="24"/>
      <c r="E2199" s="24"/>
      <c r="F2199" s="24"/>
      <c r="G2199" s="24"/>
      <c r="H2199" s="24"/>
      <c r="I2199" s="24"/>
      <c r="J2199" s="24"/>
      <c r="K2199" s="24"/>
      <c r="L2199" s="24"/>
      <c r="M2199" s="24"/>
      <c r="N2199" s="24"/>
      <c r="O2199" s="24"/>
      <c r="P2199" s="24"/>
      <c r="Q2199" s="24"/>
      <c r="R2199" s="24"/>
      <c r="S2199" s="24"/>
      <c r="T2199" s="24"/>
      <c r="U2199" s="24"/>
      <c r="V2199" s="24"/>
      <c r="W2199" s="24"/>
      <c r="X2199" s="24"/>
      <c r="Y2199" s="24"/>
      <c r="Z2199" s="24"/>
      <c r="AA2199" s="24"/>
      <c r="AB2199" s="24"/>
      <c r="AC2199" s="24"/>
      <c r="AD2199" s="24"/>
      <c r="AE2199" s="24"/>
      <c r="AF2199" s="24"/>
      <c r="AG2199" s="24"/>
      <c r="AH2199" s="24"/>
      <c r="AI2199" s="24"/>
      <c r="AJ2199" s="24"/>
      <c r="AK2199" s="24"/>
      <c r="AL2199" s="24"/>
      <c r="AM2199" s="24"/>
      <c r="AN2199" s="24"/>
      <c r="AO2199" s="24"/>
      <c r="AP2199" s="24"/>
      <c r="AQ2199" s="24"/>
      <c r="AR2199" s="54"/>
    </row>
    <row r="2200">
      <c r="A2200" s="57"/>
      <c r="B2200" s="24"/>
      <c r="C2200" s="24"/>
      <c r="D2200" s="24"/>
      <c r="E2200" s="24"/>
      <c r="F2200" s="24"/>
      <c r="G2200" s="24"/>
      <c r="H2200" s="24"/>
      <c r="I2200" s="24"/>
      <c r="J2200" s="24"/>
      <c r="K2200" s="24"/>
      <c r="L2200" s="24"/>
      <c r="M2200" s="24"/>
      <c r="N2200" s="24"/>
      <c r="O2200" s="24"/>
      <c r="P2200" s="24"/>
      <c r="Q2200" s="24"/>
      <c r="R2200" s="24"/>
      <c r="S2200" s="24"/>
      <c r="T2200" s="24"/>
      <c r="U2200" s="24"/>
      <c r="V2200" s="24"/>
      <c r="W2200" s="24"/>
      <c r="X2200" s="24"/>
      <c r="Y2200" s="24"/>
      <c r="Z2200" s="24"/>
      <c r="AA2200" s="24"/>
      <c r="AB2200" s="24"/>
      <c r="AC2200" s="24"/>
      <c r="AD2200" s="24"/>
      <c r="AE2200" s="24"/>
      <c r="AF2200" s="24"/>
      <c r="AG2200" s="24"/>
      <c r="AH2200" s="24"/>
      <c r="AI2200" s="24"/>
      <c r="AJ2200" s="24"/>
      <c r="AK2200" s="24"/>
      <c r="AL2200" s="24"/>
      <c r="AM2200" s="24"/>
      <c r="AN2200" s="24"/>
      <c r="AO2200" s="24"/>
      <c r="AP2200" s="24"/>
      <c r="AQ2200" s="24"/>
      <c r="AR2200" s="54"/>
    </row>
    <row r="2201">
      <c r="A2201" s="57"/>
      <c r="B2201" s="24"/>
      <c r="C2201" s="24"/>
      <c r="D2201" s="24"/>
      <c r="E2201" s="24"/>
      <c r="F2201" s="24"/>
      <c r="G2201" s="24"/>
      <c r="H2201" s="24"/>
      <c r="I2201" s="24"/>
      <c r="J2201" s="24"/>
      <c r="K2201" s="24"/>
      <c r="L2201" s="24"/>
      <c r="M2201" s="24"/>
      <c r="N2201" s="24"/>
      <c r="O2201" s="24"/>
      <c r="P2201" s="24"/>
      <c r="Q2201" s="24"/>
      <c r="R2201" s="24"/>
      <c r="S2201" s="24"/>
      <c r="T2201" s="24"/>
      <c r="U2201" s="24"/>
      <c r="V2201" s="24"/>
      <c r="W2201" s="24"/>
      <c r="X2201" s="24"/>
      <c r="Y2201" s="24"/>
      <c r="Z2201" s="24"/>
      <c r="AA2201" s="24"/>
      <c r="AB2201" s="24"/>
      <c r="AC2201" s="24"/>
      <c r="AD2201" s="24"/>
      <c r="AE2201" s="24"/>
      <c r="AF2201" s="24"/>
      <c r="AG2201" s="24"/>
      <c r="AH2201" s="24"/>
      <c r="AI2201" s="24"/>
      <c r="AJ2201" s="24"/>
      <c r="AK2201" s="24"/>
      <c r="AL2201" s="24"/>
      <c r="AM2201" s="24"/>
      <c r="AN2201" s="24"/>
      <c r="AO2201" s="24"/>
      <c r="AP2201" s="24"/>
      <c r="AQ2201" s="24"/>
      <c r="AR2201" s="54"/>
    </row>
    <row r="2202">
      <c r="A2202" s="57"/>
      <c r="B2202" s="24"/>
      <c r="C2202" s="24"/>
      <c r="D2202" s="24"/>
      <c r="E2202" s="24"/>
      <c r="F2202" s="24"/>
      <c r="G2202" s="24"/>
      <c r="H2202" s="24"/>
      <c r="I2202" s="24"/>
      <c r="J2202" s="24"/>
      <c r="K2202" s="24"/>
      <c r="L2202" s="24"/>
      <c r="M2202" s="24"/>
      <c r="N2202" s="24"/>
      <c r="O2202" s="24"/>
      <c r="P2202" s="24"/>
      <c r="Q2202" s="24"/>
      <c r="R2202" s="24"/>
      <c r="S2202" s="24"/>
      <c r="T2202" s="24"/>
      <c r="U2202" s="24"/>
      <c r="V2202" s="24"/>
      <c r="W2202" s="24"/>
      <c r="X2202" s="24"/>
      <c r="Y2202" s="24"/>
      <c r="Z2202" s="24"/>
      <c r="AA2202" s="24"/>
      <c r="AB2202" s="24"/>
      <c r="AC2202" s="24"/>
      <c r="AD2202" s="24"/>
      <c r="AE2202" s="24"/>
      <c r="AF2202" s="24"/>
      <c r="AG2202" s="24"/>
      <c r="AH2202" s="24"/>
      <c r="AI2202" s="24"/>
      <c r="AJ2202" s="24"/>
      <c r="AK2202" s="24"/>
      <c r="AL2202" s="24"/>
      <c r="AM2202" s="24"/>
      <c r="AN2202" s="24"/>
      <c r="AO2202" s="24"/>
      <c r="AP2202" s="24"/>
      <c r="AQ2202" s="24"/>
      <c r="AR2202" s="54"/>
    </row>
    <row r="2203">
      <c r="A2203" s="57"/>
      <c r="B2203" s="24"/>
      <c r="C2203" s="24"/>
      <c r="D2203" s="24"/>
      <c r="E2203" s="24"/>
      <c r="F2203" s="24"/>
      <c r="G2203" s="24"/>
      <c r="H2203" s="24"/>
      <c r="I2203" s="24"/>
      <c r="J2203" s="24"/>
      <c r="K2203" s="24"/>
      <c r="L2203" s="24"/>
      <c r="M2203" s="24"/>
      <c r="N2203" s="24"/>
      <c r="O2203" s="24"/>
      <c r="P2203" s="24"/>
      <c r="Q2203" s="24"/>
      <c r="R2203" s="24"/>
      <c r="S2203" s="24"/>
      <c r="T2203" s="24"/>
      <c r="U2203" s="24"/>
      <c r="V2203" s="24"/>
      <c r="W2203" s="24"/>
      <c r="X2203" s="24"/>
      <c r="Y2203" s="24"/>
      <c r="Z2203" s="24"/>
      <c r="AA2203" s="24"/>
      <c r="AB2203" s="24"/>
      <c r="AC2203" s="24"/>
      <c r="AD2203" s="24"/>
      <c r="AE2203" s="24"/>
      <c r="AF2203" s="24"/>
      <c r="AG2203" s="24"/>
      <c r="AH2203" s="24"/>
      <c r="AI2203" s="24"/>
      <c r="AJ2203" s="24"/>
      <c r="AK2203" s="24"/>
      <c r="AL2203" s="24"/>
      <c r="AM2203" s="24"/>
      <c r="AN2203" s="24"/>
      <c r="AO2203" s="24"/>
      <c r="AP2203" s="24"/>
      <c r="AQ2203" s="24"/>
      <c r="AR2203" s="54"/>
    </row>
    <row r="2204">
      <c r="A2204" s="57"/>
      <c r="B2204" s="24"/>
      <c r="C2204" s="24"/>
      <c r="D2204" s="24"/>
      <c r="E2204" s="24"/>
      <c r="F2204" s="24"/>
      <c r="G2204" s="24"/>
      <c r="H2204" s="24"/>
      <c r="I2204" s="24"/>
      <c r="J2204" s="24"/>
      <c r="K2204" s="24"/>
      <c r="L2204" s="24"/>
      <c r="M2204" s="24"/>
      <c r="N2204" s="24"/>
      <c r="O2204" s="24"/>
      <c r="P2204" s="24"/>
      <c r="Q2204" s="24"/>
      <c r="R2204" s="24"/>
      <c r="S2204" s="24"/>
      <c r="T2204" s="24"/>
      <c r="U2204" s="24"/>
      <c r="V2204" s="24"/>
      <c r="W2204" s="24"/>
      <c r="X2204" s="24"/>
      <c r="Y2204" s="24"/>
      <c r="Z2204" s="24"/>
      <c r="AA2204" s="24"/>
      <c r="AB2204" s="24"/>
      <c r="AC2204" s="24"/>
      <c r="AD2204" s="24"/>
      <c r="AE2204" s="24"/>
      <c r="AF2204" s="24"/>
      <c r="AG2204" s="24"/>
      <c r="AH2204" s="24"/>
      <c r="AI2204" s="24"/>
      <c r="AJ2204" s="24"/>
      <c r="AK2204" s="24"/>
      <c r="AL2204" s="24"/>
      <c r="AM2204" s="24"/>
      <c r="AN2204" s="24"/>
      <c r="AO2204" s="24"/>
      <c r="AP2204" s="24"/>
      <c r="AQ2204" s="24"/>
      <c r="AR2204" s="54"/>
    </row>
    <row r="2205">
      <c r="A2205" s="57"/>
      <c r="B2205" s="24"/>
      <c r="C2205" s="24"/>
      <c r="D2205" s="24"/>
      <c r="E2205" s="24"/>
      <c r="F2205" s="24"/>
      <c r="G2205" s="24"/>
      <c r="H2205" s="24"/>
      <c r="I2205" s="24"/>
      <c r="J2205" s="24"/>
      <c r="K2205" s="24"/>
      <c r="L2205" s="24"/>
      <c r="M2205" s="24"/>
      <c r="N2205" s="24"/>
      <c r="O2205" s="24"/>
      <c r="P2205" s="24"/>
      <c r="Q2205" s="24"/>
      <c r="R2205" s="24"/>
      <c r="S2205" s="24"/>
      <c r="T2205" s="24"/>
      <c r="U2205" s="24"/>
      <c r="V2205" s="24"/>
      <c r="W2205" s="24"/>
      <c r="X2205" s="24"/>
      <c r="Y2205" s="24"/>
      <c r="Z2205" s="24"/>
      <c r="AA2205" s="24"/>
      <c r="AB2205" s="24"/>
      <c r="AC2205" s="24"/>
      <c r="AD2205" s="24"/>
      <c r="AE2205" s="24"/>
      <c r="AF2205" s="24"/>
      <c r="AG2205" s="24"/>
      <c r="AH2205" s="24"/>
      <c r="AI2205" s="24"/>
      <c r="AJ2205" s="24"/>
      <c r="AK2205" s="24"/>
      <c r="AL2205" s="24"/>
      <c r="AM2205" s="24"/>
      <c r="AN2205" s="24"/>
      <c r="AO2205" s="24"/>
      <c r="AP2205" s="24"/>
      <c r="AQ2205" s="24"/>
      <c r="AR2205" s="54"/>
    </row>
    <row r="2206">
      <c r="A2206" s="57"/>
      <c r="B2206" s="24"/>
      <c r="C2206" s="24"/>
      <c r="D2206" s="24"/>
      <c r="E2206" s="24"/>
      <c r="F2206" s="24"/>
      <c r="G2206" s="24"/>
      <c r="H2206" s="24"/>
      <c r="I2206" s="24"/>
      <c r="J2206" s="24"/>
      <c r="K2206" s="24"/>
      <c r="L2206" s="24"/>
      <c r="M2206" s="24"/>
      <c r="N2206" s="24"/>
      <c r="O2206" s="24"/>
      <c r="P2206" s="24"/>
      <c r="Q2206" s="24"/>
      <c r="R2206" s="24"/>
      <c r="S2206" s="24"/>
      <c r="T2206" s="24"/>
      <c r="U2206" s="24"/>
      <c r="V2206" s="24"/>
      <c r="W2206" s="24"/>
      <c r="X2206" s="24"/>
      <c r="Y2206" s="24"/>
      <c r="Z2206" s="24"/>
      <c r="AA2206" s="24"/>
      <c r="AB2206" s="24"/>
      <c r="AC2206" s="24"/>
      <c r="AD2206" s="24"/>
      <c r="AE2206" s="24"/>
      <c r="AF2206" s="24"/>
      <c r="AG2206" s="24"/>
      <c r="AH2206" s="24"/>
      <c r="AI2206" s="24"/>
      <c r="AJ2206" s="24"/>
      <c r="AK2206" s="24"/>
      <c r="AL2206" s="24"/>
      <c r="AM2206" s="24"/>
      <c r="AN2206" s="24"/>
      <c r="AO2206" s="24"/>
      <c r="AP2206" s="24"/>
      <c r="AQ2206" s="24"/>
      <c r="AR2206" s="54"/>
    </row>
    <row r="2207">
      <c r="A2207" s="57"/>
      <c r="B2207" s="24"/>
      <c r="C2207" s="24"/>
      <c r="D2207" s="24"/>
      <c r="E2207" s="24"/>
      <c r="F2207" s="24"/>
      <c r="G2207" s="24"/>
      <c r="H2207" s="24"/>
      <c r="I2207" s="24"/>
      <c r="J2207" s="24"/>
      <c r="K2207" s="24"/>
      <c r="L2207" s="24"/>
      <c r="M2207" s="24"/>
      <c r="N2207" s="24"/>
      <c r="O2207" s="24"/>
      <c r="P2207" s="24"/>
      <c r="Q2207" s="24"/>
      <c r="R2207" s="24"/>
      <c r="S2207" s="24"/>
      <c r="T2207" s="24"/>
      <c r="U2207" s="24"/>
      <c r="V2207" s="24"/>
      <c r="W2207" s="24"/>
      <c r="X2207" s="24"/>
      <c r="Y2207" s="24"/>
      <c r="Z2207" s="24"/>
      <c r="AA2207" s="24"/>
      <c r="AB2207" s="24"/>
      <c r="AC2207" s="24"/>
      <c r="AD2207" s="24"/>
      <c r="AE2207" s="24"/>
      <c r="AF2207" s="24"/>
      <c r="AG2207" s="24"/>
      <c r="AH2207" s="24"/>
      <c r="AI2207" s="24"/>
      <c r="AJ2207" s="24"/>
      <c r="AK2207" s="24"/>
      <c r="AL2207" s="24"/>
      <c r="AM2207" s="24"/>
      <c r="AN2207" s="24"/>
      <c r="AO2207" s="24"/>
      <c r="AP2207" s="24"/>
      <c r="AQ2207" s="24"/>
      <c r="AR2207" s="54"/>
    </row>
    <row r="2208">
      <c r="A2208" s="57"/>
      <c r="B2208" s="24"/>
      <c r="C2208" s="24"/>
      <c r="D2208" s="24"/>
      <c r="E2208" s="24"/>
      <c r="F2208" s="24"/>
      <c r="G2208" s="24"/>
      <c r="H2208" s="24"/>
      <c r="I2208" s="24"/>
      <c r="J2208" s="24"/>
      <c r="K2208" s="24"/>
      <c r="L2208" s="24"/>
      <c r="M2208" s="24"/>
      <c r="N2208" s="24"/>
      <c r="O2208" s="24"/>
      <c r="P2208" s="24"/>
      <c r="Q2208" s="24"/>
      <c r="R2208" s="24"/>
      <c r="S2208" s="24"/>
      <c r="T2208" s="24"/>
      <c r="U2208" s="24"/>
      <c r="V2208" s="24"/>
      <c r="W2208" s="24"/>
      <c r="X2208" s="24"/>
      <c r="Y2208" s="24"/>
      <c r="Z2208" s="24"/>
      <c r="AA2208" s="24"/>
      <c r="AB2208" s="24"/>
      <c r="AC2208" s="24"/>
      <c r="AD2208" s="24"/>
      <c r="AE2208" s="24"/>
      <c r="AF2208" s="24"/>
      <c r="AG2208" s="24"/>
      <c r="AH2208" s="24"/>
      <c r="AI2208" s="24"/>
      <c r="AJ2208" s="24"/>
      <c r="AK2208" s="24"/>
      <c r="AL2208" s="24"/>
      <c r="AM2208" s="24"/>
      <c r="AN2208" s="24"/>
      <c r="AO2208" s="24"/>
      <c r="AP2208" s="24"/>
      <c r="AQ2208" s="24"/>
      <c r="AR2208" s="54"/>
    </row>
    <row r="2209">
      <c r="A2209" s="57"/>
      <c r="B2209" s="24"/>
      <c r="C2209" s="24"/>
      <c r="D2209" s="24"/>
      <c r="E2209" s="24"/>
      <c r="F2209" s="24"/>
      <c r="G2209" s="24"/>
      <c r="H2209" s="24"/>
      <c r="I2209" s="24"/>
      <c r="J2209" s="24"/>
      <c r="K2209" s="24"/>
      <c r="L2209" s="24"/>
      <c r="M2209" s="24"/>
      <c r="N2209" s="24"/>
      <c r="O2209" s="24"/>
      <c r="P2209" s="24"/>
      <c r="Q2209" s="24"/>
      <c r="R2209" s="24"/>
      <c r="S2209" s="24"/>
      <c r="T2209" s="24"/>
      <c r="U2209" s="24"/>
      <c r="V2209" s="24"/>
      <c r="W2209" s="24"/>
      <c r="X2209" s="24"/>
      <c r="Y2209" s="24"/>
      <c r="Z2209" s="24"/>
      <c r="AA2209" s="24"/>
      <c r="AB2209" s="24"/>
      <c r="AC2209" s="24"/>
      <c r="AD2209" s="24"/>
      <c r="AE2209" s="24"/>
      <c r="AF2209" s="24"/>
      <c r="AG2209" s="24"/>
      <c r="AH2209" s="24"/>
      <c r="AI2209" s="24"/>
      <c r="AJ2209" s="24"/>
      <c r="AK2209" s="24"/>
      <c r="AL2209" s="24"/>
      <c r="AM2209" s="24"/>
      <c r="AN2209" s="24"/>
      <c r="AO2209" s="24"/>
      <c r="AP2209" s="24"/>
      <c r="AQ2209" s="24"/>
      <c r="AR2209" s="54"/>
    </row>
    <row r="2210">
      <c r="A2210" s="57"/>
      <c r="B2210" s="24"/>
      <c r="C2210" s="24"/>
      <c r="D2210" s="24"/>
      <c r="E2210" s="24"/>
      <c r="F2210" s="24"/>
      <c r="G2210" s="24"/>
      <c r="H2210" s="24"/>
      <c r="I2210" s="24"/>
      <c r="J2210" s="24"/>
      <c r="K2210" s="24"/>
      <c r="L2210" s="24"/>
      <c r="M2210" s="24"/>
      <c r="N2210" s="24"/>
      <c r="O2210" s="24"/>
      <c r="P2210" s="24"/>
      <c r="Q2210" s="24"/>
      <c r="R2210" s="24"/>
      <c r="S2210" s="24"/>
      <c r="T2210" s="24"/>
      <c r="U2210" s="24"/>
      <c r="V2210" s="24"/>
      <c r="W2210" s="24"/>
      <c r="X2210" s="24"/>
      <c r="Y2210" s="24"/>
      <c r="Z2210" s="24"/>
      <c r="AA2210" s="24"/>
      <c r="AB2210" s="24"/>
      <c r="AC2210" s="24"/>
      <c r="AD2210" s="24"/>
      <c r="AE2210" s="24"/>
      <c r="AF2210" s="24"/>
      <c r="AG2210" s="24"/>
      <c r="AH2210" s="24"/>
      <c r="AI2210" s="24"/>
      <c r="AJ2210" s="24"/>
      <c r="AK2210" s="24"/>
      <c r="AL2210" s="24"/>
      <c r="AM2210" s="24"/>
      <c r="AN2210" s="24"/>
      <c r="AO2210" s="24"/>
      <c r="AP2210" s="24"/>
      <c r="AQ2210" s="24"/>
      <c r="AR2210" s="54"/>
    </row>
    <row r="2211">
      <c r="A2211" s="57"/>
      <c r="B2211" s="24"/>
      <c r="C2211" s="24"/>
      <c r="D2211" s="24"/>
      <c r="E2211" s="24"/>
      <c r="F2211" s="24"/>
      <c r="G2211" s="24"/>
      <c r="H2211" s="24"/>
      <c r="I2211" s="24"/>
      <c r="J2211" s="24"/>
      <c r="K2211" s="24"/>
      <c r="L2211" s="24"/>
      <c r="M2211" s="24"/>
      <c r="N2211" s="24"/>
      <c r="O2211" s="24"/>
      <c r="P2211" s="24"/>
      <c r="Q2211" s="24"/>
      <c r="R2211" s="24"/>
      <c r="S2211" s="24"/>
      <c r="T2211" s="24"/>
      <c r="U2211" s="24"/>
      <c r="V2211" s="24"/>
      <c r="W2211" s="24"/>
      <c r="X2211" s="24"/>
      <c r="Y2211" s="24"/>
      <c r="Z2211" s="24"/>
      <c r="AA2211" s="24"/>
      <c r="AB2211" s="24"/>
      <c r="AC2211" s="24"/>
      <c r="AD2211" s="24"/>
      <c r="AE2211" s="24"/>
      <c r="AF2211" s="24"/>
      <c r="AG2211" s="24"/>
      <c r="AH2211" s="24"/>
      <c r="AI2211" s="24"/>
      <c r="AJ2211" s="24"/>
      <c r="AK2211" s="24"/>
      <c r="AL2211" s="24"/>
      <c r="AM2211" s="24"/>
      <c r="AN2211" s="24"/>
      <c r="AO2211" s="24"/>
      <c r="AP2211" s="24"/>
      <c r="AQ2211" s="24"/>
      <c r="AR2211" s="54"/>
    </row>
    <row r="2212">
      <c r="A2212" s="57"/>
      <c r="B2212" s="24"/>
      <c r="C2212" s="24"/>
      <c r="D2212" s="24"/>
      <c r="E2212" s="24"/>
      <c r="F2212" s="24"/>
      <c r="G2212" s="24"/>
      <c r="H2212" s="24"/>
      <c r="I2212" s="24"/>
      <c r="J2212" s="24"/>
      <c r="K2212" s="24"/>
      <c r="L2212" s="24"/>
      <c r="M2212" s="24"/>
      <c r="N2212" s="24"/>
      <c r="O2212" s="24"/>
      <c r="P2212" s="24"/>
      <c r="Q2212" s="24"/>
      <c r="R2212" s="24"/>
      <c r="S2212" s="24"/>
      <c r="T2212" s="24"/>
      <c r="U2212" s="24"/>
      <c r="V2212" s="24"/>
      <c r="W2212" s="24"/>
      <c r="X2212" s="24"/>
      <c r="Y2212" s="24"/>
      <c r="Z2212" s="24"/>
      <c r="AA2212" s="24"/>
      <c r="AB2212" s="24"/>
      <c r="AC2212" s="24"/>
      <c r="AD2212" s="24"/>
      <c r="AE2212" s="24"/>
      <c r="AF2212" s="24"/>
      <c r="AG2212" s="24"/>
      <c r="AH2212" s="24"/>
      <c r="AI2212" s="24"/>
      <c r="AJ2212" s="24"/>
      <c r="AK2212" s="24"/>
      <c r="AL2212" s="24"/>
      <c r="AM2212" s="24"/>
      <c r="AN2212" s="24"/>
      <c r="AO2212" s="24"/>
      <c r="AP2212" s="24"/>
      <c r="AQ2212" s="24"/>
      <c r="AR2212" s="54"/>
    </row>
    <row r="2213">
      <c r="A2213" s="57"/>
      <c r="B2213" s="24"/>
      <c r="C2213" s="24"/>
      <c r="D2213" s="24"/>
      <c r="E2213" s="24"/>
      <c r="F2213" s="24"/>
      <c r="G2213" s="24"/>
      <c r="H2213" s="24"/>
      <c r="I2213" s="24"/>
      <c r="J2213" s="24"/>
      <c r="K2213" s="24"/>
      <c r="L2213" s="24"/>
      <c r="M2213" s="24"/>
      <c r="N2213" s="24"/>
      <c r="O2213" s="24"/>
      <c r="P2213" s="24"/>
      <c r="Q2213" s="24"/>
      <c r="R2213" s="24"/>
      <c r="S2213" s="24"/>
      <c r="T2213" s="24"/>
      <c r="U2213" s="24"/>
      <c r="V2213" s="24"/>
      <c r="W2213" s="24"/>
      <c r="X2213" s="24"/>
      <c r="Y2213" s="24"/>
      <c r="Z2213" s="24"/>
      <c r="AA2213" s="24"/>
      <c r="AB2213" s="24"/>
      <c r="AC2213" s="24"/>
      <c r="AD2213" s="24"/>
      <c r="AE2213" s="24"/>
      <c r="AF2213" s="24"/>
      <c r="AG2213" s="24"/>
      <c r="AH2213" s="24"/>
      <c r="AI2213" s="24"/>
      <c r="AJ2213" s="24"/>
      <c r="AK2213" s="24"/>
      <c r="AL2213" s="24"/>
      <c r="AM2213" s="24"/>
      <c r="AN2213" s="24"/>
      <c r="AO2213" s="24"/>
      <c r="AP2213" s="24"/>
      <c r="AQ2213" s="24"/>
      <c r="AR2213" s="54"/>
    </row>
    <row r="2214">
      <c r="A2214" s="57"/>
      <c r="B2214" s="24"/>
      <c r="C2214" s="24"/>
      <c r="D2214" s="24"/>
      <c r="E2214" s="24"/>
      <c r="F2214" s="24"/>
      <c r="G2214" s="24"/>
      <c r="H2214" s="24"/>
      <c r="I2214" s="24"/>
      <c r="J2214" s="24"/>
      <c r="K2214" s="24"/>
      <c r="L2214" s="24"/>
      <c r="M2214" s="24"/>
      <c r="N2214" s="24"/>
      <c r="O2214" s="24"/>
      <c r="P2214" s="24"/>
      <c r="Q2214" s="24"/>
      <c r="R2214" s="24"/>
      <c r="S2214" s="24"/>
      <c r="T2214" s="24"/>
      <c r="U2214" s="24"/>
      <c r="V2214" s="24"/>
      <c r="W2214" s="24"/>
      <c r="X2214" s="24"/>
      <c r="Y2214" s="24"/>
      <c r="Z2214" s="24"/>
      <c r="AA2214" s="24"/>
      <c r="AB2214" s="24"/>
      <c r="AC2214" s="24"/>
      <c r="AD2214" s="24"/>
      <c r="AE2214" s="24"/>
      <c r="AF2214" s="24"/>
      <c r="AG2214" s="24"/>
      <c r="AH2214" s="24"/>
      <c r="AI2214" s="24"/>
      <c r="AJ2214" s="24"/>
      <c r="AK2214" s="24"/>
      <c r="AL2214" s="24"/>
      <c r="AM2214" s="24"/>
      <c r="AN2214" s="24"/>
      <c r="AO2214" s="24"/>
      <c r="AP2214" s="24"/>
      <c r="AQ2214" s="24"/>
      <c r="AR2214" s="54"/>
    </row>
    <row r="2215">
      <c r="A2215" s="57"/>
      <c r="B2215" s="24"/>
      <c r="C2215" s="24"/>
      <c r="D2215" s="24"/>
      <c r="E2215" s="24"/>
      <c r="F2215" s="24"/>
      <c r="G2215" s="24"/>
      <c r="H2215" s="24"/>
      <c r="I2215" s="24"/>
      <c r="J2215" s="24"/>
      <c r="K2215" s="24"/>
      <c r="L2215" s="24"/>
      <c r="M2215" s="24"/>
      <c r="N2215" s="24"/>
      <c r="O2215" s="24"/>
      <c r="P2215" s="24"/>
      <c r="Q2215" s="24"/>
      <c r="R2215" s="24"/>
      <c r="S2215" s="24"/>
      <c r="T2215" s="24"/>
      <c r="U2215" s="24"/>
      <c r="V2215" s="24"/>
      <c r="W2215" s="24"/>
      <c r="X2215" s="24"/>
      <c r="Y2215" s="24"/>
      <c r="Z2215" s="24"/>
      <c r="AA2215" s="24"/>
      <c r="AB2215" s="24"/>
      <c r="AC2215" s="24"/>
      <c r="AD2215" s="24"/>
      <c r="AE2215" s="24"/>
      <c r="AF2215" s="24"/>
      <c r="AG2215" s="24"/>
      <c r="AH2215" s="24"/>
      <c r="AI2215" s="24"/>
      <c r="AJ2215" s="24"/>
      <c r="AK2215" s="24"/>
      <c r="AL2215" s="24"/>
      <c r="AM2215" s="24"/>
      <c r="AN2215" s="24"/>
      <c r="AO2215" s="24"/>
      <c r="AP2215" s="24"/>
      <c r="AQ2215" s="24"/>
      <c r="AR2215" s="54"/>
    </row>
    <row r="2216">
      <c r="A2216" s="57"/>
      <c r="B2216" s="24"/>
      <c r="C2216" s="24"/>
      <c r="D2216" s="24"/>
      <c r="E2216" s="24"/>
      <c r="F2216" s="24"/>
      <c r="G2216" s="24"/>
      <c r="H2216" s="24"/>
      <c r="I2216" s="24"/>
      <c r="J2216" s="24"/>
      <c r="K2216" s="24"/>
      <c r="L2216" s="24"/>
      <c r="M2216" s="24"/>
      <c r="N2216" s="24"/>
      <c r="O2216" s="24"/>
      <c r="P2216" s="24"/>
      <c r="Q2216" s="24"/>
      <c r="R2216" s="24"/>
      <c r="S2216" s="24"/>
      <c r="T2216" s="24"/>
      <c r="U2216" s="24"/>
      <c r="V2216" s="24"/>
      <c r="W2216" s="24"/>
      <c r="X2216" s="24"/>
      <c r="Y2216" s="24"/>
      <c r="Z2216" s="24"/>
      <c r="AA2216" s="24"/>
      <c r="AB2216" s="24"/>
      <c r="AC2216" s="24"/>
      <c r="AD2216" s="24"/>
      <c r="AE2216" s="24"/>
      <c r="AF2216" s="24"/>
      <c r="AG2216" s="24"/>
      <c r="AH2216" s="24"/>
      <c r="AI2216" s="24"/>
      <c r="AJ2216" s="24"/>
      <c r="AK2216" s="24"/>
      <c r="AL2216" s="24"/>
      <c r="AM2216" s="24"/>
      <c r="AN2216" s="24"/>
      <c r="AO2216" s="24"/>
      <c r="AP2216" s="24"/>
      <c r="AQ2216" s="24"/>
      <c r="AR2216" s="54"/>
    </row>
    <row r="2217">
      <c r="A2217" s="57"/>
      <c r="B2217" s="24"/>
      <c r="C2217" s="24"/>
      <c r="D2217" s="24"/>
      <c r="E2217" s="24"/>
      <c r="F2217" s="24"/>
      <c r="G2217" s="24"/>
      <c r="H2217" s="24"/>
      <c r="I2217" s="24"/>
      <c r="J2217" s="24"/>
      <c r="K2217" s="24"/>
      <c r="L2217" s="24"/>
      <c r="M2217" s="24"/>
      <c r="N2217" s="24"/>
      <c r="O2217" s="24"/>
      <c r="P2217" s="24"/>
      <c r="Q2217" s="24"/>
      <c r="R2217" s="24"/>
      <c r="S2217" s="24"/>
      <c r="T2217" s="24"/>
      <c r="U2217" s="24"/>
      <c r="V2217" s="24"/>
      <c r="W2217" s="24"/>
      <c r="X2217" s="24"/>
      <c r="Y2217" s="24"/>
      <c r="Z2217" s="24"/>
      <c r="AA2217" s="24"/>
      <c r="AB2217" s="24"/>
      <c r="AC2217" s="24"/>
      <c r="AD2217" s="24"/>
      <c r="AE2217" s="24"/>
      <c r="AF2217" s="24"/>
      <c r="AG2217" s="24"/>
      <c r="AH2217" s="24"/>
      <c r="AI2217" s="24"/>
      <c r="AJ2217" s="24"/>
      <c r="AK2217" s="24"/>
      <c r="AL2217" s="24"/>
      <c r="AM2217" s="24"/>
      <c r="AN2217" s="24"/>
      <c r="AO2217" s="24"/>
      <c r="AP2217" s="24"/>
      <c r="AQ2217" s="24"/>
      <c r="AR2217" s="54"/>
    </row>
    <row r="2218">
      <c r="A2218" s="57"/>
      <c r="B2218" s="24"/>
      <c r="C2218" s="24"/>
      <c r="D2218" s="24"/>
      <c r="E2218" s="24"/>
      <c r="F2218" s="24"/>
      <c r="G2218" s="24"/>
      <c r="H2218" s="24"/>
      <c r="I2218" s="24"/>
      <c r="J2218" s="24"/>
      <c r="K2218" s="24"/>
      <c r="L2218" s="24"/>
      <c r="M2218" s="24"/>
      <c r="N2218" s="24"/>
      <c r="O2218" s="24"/>
      <c r="P2218" s="24"/>
      <c r="Q2218" s="24"/>
      <c r="R2218" s="24"/>
      <c r="S2218" s="24"/>
      <c r="T2218" s="24"/>
      <c r="U2218" s="24"/>
      <c r="V2218" s="24"/>
      <c r="W2218" s="24"/>
      <c r="X2218" s="24"/>
      <c r="Y2218" s="24"/>
      <c r="Z2218" s="24"/>
      <c r="AA2218" s="24"/>
      <c r="AB2218" s="24"/>
      <c r="AC2218" s="24"/>
      <c r="AD2218" s="24"/>
      <c r="AE2218" s="24"/>
      <c r="AF2218" s="24"/>
      <c r="AG2218" s="24"/>
      <c r="AH2218" s="24"/>
      <c r="AI2218" s="24"/>
      <c r="AJ2218" s="24"/>
      <c r="AK2218" s="24"/>
      <c r="AL2218" s="24"/>
      <c r="AM2218" s="24"/>
      <c r="AN2218" s="24"/>
      <c r="AO2218" s="24"/>
      <c r="AP2218" s="24"/>
      <c r="AQ2218" s="24"/>
      <c r="AR2218" s="54"/>
    </row>
    <row r="2219">
      <c r="A2219" s="57"/>
      <c r="B2219" s="24"/>
      <c r="C2219" s="24"/>
      <c r="D2219" s="24"/>
      <c r="E2219" s="24"/>
      <c r="F2219" s="24"/>
      <c r="G2219" s="24"/>
      <c r="H2219" s="24"/>
      <c r="I2219" s="24"/>
      <c r="J2219" s="24"/>
      <c r="K2219" s="24"/>
      <c r="L2219" s="24"/>
      <c r="M2219" s="24"/>
      <c r="N2219" s="24"/>
      <c r="O2219" s="24"/>
      <c r="P2219" s="24"/>
      <c r="Q2219" s="24"/>
      <c r="R2219" s="24"/>
      <c r="S2219" s="24"/>
      <c r="T2219" s="24"/>
      <c r="U2219" s="24"/>
      <c r="V2219" s="24"/>
      <c r="W2219" s="24"/>
      <c r="X2219" s="24"/>
      <c r="Y2219" s="24"/>
      <c r="Z2219" s="24"/>
      <c r="AA2219" s="24"/>
      <c r="AB2219" s="24"/>
      <c r="AC2219" s="24"/>
      <c r="AD2219" s="24"/>
      <c r="AE2219" s="24"/>
      <c r="AF2219" s="24"/>
      <c r="AG2219" s="24"/>
      <c r="AH2219" s="24"/>
      <c r="AI2219" s="24"/>
      <c r="AJ2219" s="24"/>
      <c r="AK2219" s="24"/>
      <c r="AL2219" s="24"/>
      <c r="AM2219" s="24"/>
      <c r="AN2219" s="24"/>
      <c r="AO2219" s="24"/>
      <c r="AP2219" s="24"/>
      <c r="AQ2219" s="24"/>
      <c r="AR2219" s="54"/>
    </row>
    <row r="2220">
      <c r="A2220" s="57"/>
      <c r="B2220" s="24"/>
      <c r="C2220" s="24"/>
      <c r="D2220" s="24"/>
      <c r="E2220" s="24"/>
      <c r="F2220" s="24"/>
      <c r="G2220" s="24"/>
      <c r="H2220" s="24"/>
      <c r="I2220" s="24"/>
      <c r="J2220" s="24"/>
      <c r="K2220" s="24"/>
      <c r="L2220" s="24"/>
      <c r="M2220" s="24"/>
      <c r="N2220" s="24"/>
      <c r="O2220" s="24"/>
      <c r="P2220" s="24"/>
      <c r="Q2220" s="24"/>
      <c r="R2220" s="24"/>
      <c r="S2220" s="24"/>
      <c r="T2220" s="24"/>
      <c r="U2220" s="24"/>
      <c r="V2220" s="24"/>
      <c r="W2220" s="24"/>
      <c r="X2220" s="24"/>
      <c r="Y2220" s="24"/>
      <c r="Z2220" s="24"/>
      <c r="AA2220" s="24"/>
      <c r="AB2220" s="24"/>
      <c r="AC2220" s="24"/>
      <c r="AD2220" s="24"/>
      <c r="AE2220" s="24"/>
      <c r="AF2220" s="24"/>
      <c r="AG2220" s="24"/>
      <c r="AH2220" s="24"/>
      <c r="AI2220" s="24"/>
      <c r="AJ2220" s="24"/>
      <c r="AK2220" s="24"/>
      <c r="AL2220" s="24"/>
      <c r="AM2220" s="24"/>
      <c r="AN2220" s="24"/>
      <c r="AO2220" s="24"/>
      <c r="AP2220" s="24"/>
      <c r="AQ2220" s="24"/>
      <c r="AR2220" s="54"/>
    </row>
    <row r="2221">
      <c r="A2221" s="57"/>
      <c r="B2221" s="24"/>
      <c r="C2221" s="24"/>
      <c r="D2221" s="24"/>
      <c r="E2221" s="24"/>
      <c r="F2221" s="24"/>
      <c r="G2221" s="24"/>
      <c r="H2221" s="24"/>
      <c r="I2221" s="24"/>
      <c r="J2221" s="24"/>
      <c r="K2221" s="24"/>
      <c r="L2221" s="24"/>
      <c r="M2221" s="24"/>
      <c r="N2221" s="24"/>
      <c r="O2221" s="24"/>
      <c r="P2221" s="24"/>
      <c r="Q2221" s="24"/>
      <c r="R2221" s="24"/>
      <c r="S2221" s="24"/>
      <c r="T2221" s="24"/>
      <c r="U2221" s="24"/>
      <c r="V2221" s="24"/>
      <c r="W2221" s="24"/>
      <c r="X2221" s="24"/>
      <c r="Y2221" s="24"/>
      <c r="Z2221" s="24"/>
      <c r="AA2221" s="24"/>
      <c r="AB2221" s="24"/>
      <c r="AC2221" s="24"/>
      <c r="AD2221" s="24"/>
      <c r="AE2221" s="24"/>
      <c r="AF2221" s="24"/>
      <c r="AG2221" s="24"/>
      <c r="AH2221" s="24"/>
      <c r="AI2221" s="24"/>
      <c r="AJ2221" s="24"/>
      <c r="AK2221" s="24"/>
      <c r="AL2221" s="24"/>
      <c r="AM2221" s="24"/>
      <c r="AN2221" s="24"/>
      <c r="AO2221" s="24"/>
      <c r="AP2221" s="24"/>
      <c r="AQ2221" s="24"/>
      <c r="AR2221" s="54"/>
    </row>
    <row r="2222">
      <c r="A2222" s="57"/>
      <c r="B2222" s="24"/>
      <c r="C2222" s="24"/>
      <c r="D2222" s="24"/>
      <c r="E2222" s="24"/>
      <c r="F2222" s="24"/>
      <c r="G2222" s="24"/>
      <c r="H2222" s="24"/>
      <c r="I2222" s="24"/>
      <c r="J2222" s="24"/>
      <c r="K2222" s="24"/>
      <c r="L2222" s="24"/>
      <c r="M2222" s="24"/>
      <c r="N2222" s="24"/>
      <c r="O2222" s="24"/>
      <c r="P2222" s="24"/>
      <c r="Q2222" s="24"/>
      <c r="R2222" s="24"/>
      <c r="S2222" s="24"/>
      <c r="T2222" s="24"/>
      <c r="U2222" s="24"/>
      <c r="V2222" s="24"/>
      <c r="W2222" s="24"/>
      <c r="X2222" s="24"/>
      <c r="Y2222" s="24"/>
      <c r="Z2222" s="24"/>
      <c r="AA2222" s="24"/>
      <c r="AB2222" s="24"/>
      <c r="AC2222" s="24"/>
      <c r="AD2222" s="24"/>
      <c r="AE2222" s="24"/>
      <c r="AF2222" s="24"/>
      <c r="AG2222" s="24"/>
      <c r="AH2222" s="24"/>
      <c r="AI2222" s="24"/>
      <c r="AJ2222" s="24"/>
      <c r="AK2222" s="24"/>
      <c r="AL2222" s="24"/>
      <c r="AM2222" s="24"/>
      <c r="AN2222" s="24"/>
      <c r="AO2222" s="24"/>
      <c r="AP2222" s="24"/>
      <c r="AQ2222" s="24"/>
      <c r="AR2222" s="54"/>
    </row>
    <row r="2223">
      <c r="A2223" s="57"/>
      <c r="B2223" s="24"/>
      <c r="C2223" s="24"/>
      <c r="D2223" s="24"/>
      <c r="E2223" s="24"/>
      <c r="F2223" s="24"/>
      <c r="G2223" s="24"/>
      <c r="H2223" s="24"/>
      <c r="I2223" s="24"/>
      <c r="J2223" s="24"/>
      <c r="K2223" s="24"/>
      <c r="L2223" s="24"/>
      <c r="M2223" s="24"/>
      <c r="N2223" s="24"/>
      <c r="O2223" s="24"/>
      <c r="P2223" s="24"/>
      <c r="Q2223" s="24"/>
      <c r="R2223" s="24"/>
      <c r="S2223" s="24"/>
      <c r="T2223" s="24"/>
      <c r="U2223" s="24"/>
      <c r="V2223" s="24"/>
      <c r="W2223" s="24"/>
      <c r="X2223" s="24"/>
      <c r="Y2223" s="24"/>
      <c r="Z2223" s="24"/>
      <c r="AA2223" s="24"/>
      <c r="AB2223" s="24"/>
      <c r="AC2223" s="24"/>
      <c r="AD2223" s="24"/>
      <c r="AE2223" s="24"/>
      <c r="AF2223" s="24"/>
      <c r="AG2223" s="24"/>
      <c r="AH2223" s="24"/>
      <c r="AI2223" s="24"/>
      <c r="AJ2223" s="24"/>
      <c r="AK2223" s="24"/>
      <c r="AL2223" s="24"/>
      <c r="AM2223" s="24"/>
      <c r="AN2223" s="24"/>
      <c r="AO2223" s="24"/>
      <c r="AP2223" s="24"/>
      <c r="AQ2223" s="24"/>
      <c r="AR2223" s="54"/>
    </row>
    <row r="2224">
      <c r="A2224" s="57"/>
      <c r="B2224" s="24"/>
      <c r="C2224" s="24"/>
      <c r="D2224" s="24"/>
      <c r="E2224" s="24"/>
      <c r="F2224" s="24"/>
      <c r="G2224" s="24"/>
      <c r="H2224" s="24"/>
      <c r="I2224" s="24"/>
      <c r="J2224" s="24"/>
      <c r="K2224" s="24"/>
      <c r="L2224" s="24"/>
      <c r="M2224" s="24"/>
      <c r="N2224" s="24"/>
      <c r="O2224" s="24"/>
      <c r="P2224" s="24"/>
      <c r="Q2224" s="24"/>
      <c r="R2224" s="24"/>
      <c r="S2224" s="24"/>
      <c r="T2224" s="24"/>
      <c r="U2224" s="24"/>
      <c r="V2224" s="24"/>
      <c r="W2224" s="24"/>
      <c r="X2224" s="24"/>
      <c r="Y2224" s="24"/>
      <c r="Z2224" s="24"/>
      <c r="AA2224" s="24"/>
      <c r="AB2224" s="24"/>
      <c r="AC2224" s="24"/>
      <c r="AD2224" s="24"/>
      <c r="AE2224" s="24"/>
      <c r="AF2224" s="24"/>
      <c r="AG2224" s="24"/>
      <c r="AH2224" s="24"/>
      <c r="AI2224" s="24"/>
      <c r="AJ2224" s="24"/>
      <c r="AK2224" s="24"/>
      <c r="AL2224" s="24"/>
      <c r="AM2224" s="24"/>
      <c r="AN2224" s="24"/>
      <c r="AO2224" s="24"/>
      <c r="AP2224" s="24"/>
      <c r="AQ2224" s="24"/>
      <c r="AR2224" s="54"/>
    </row>
    <row r="2225">
      <c r="A2225" s="57"/>
      <c r="B2225" s="24"/>
      <c r="C2225" s="24"/>
      <c r="D2225" s="24"/>
      <c r="E2225" s="24"/>
      <c r="F2225" s="24"/>
      <c r="G2225" s="24"/>
      <c r="H2225" s="24"/>
      <c r="I2225" s="24"/>
      <c r="J2225" s="24"/>
      <c r="K2225" s="24"/>
      <c r="L2225" s="24"/>
      <c r="M2225" s="24"/>
      <c r="N2225" s="24"/>
      <c r="O2225" s="24"/>
      <c r="P2225" s="24"/>
      <c r="Q2225" s="24"/>
      <c r="R2225" s="24"/>
      <c r="S2225" s="24"/>
      <c r="T2225" s="24"/>
      <c r="U2225" s="24"/>
      <c r="V2225" s="24"/>
      <c r="W2225" s="24"/>
      <c r="X2225" s="24"/>
      <c r="Y2225" s="24"/>
      <c r="Z2225" s="24"/>
      <c r="AA2225" s="24"/>
      <c r="AB2225" s="24"/>
      <c r="AC2225" s="24"/>
      <c r="AD2225" s="24"/>
      <c r="AE2225" s="24"/>
      <c r="AF2225" s="24"/>
      <c r="AG2225" s="24"/>
      <c r="AH2225" s="24"/>
      <c r="AI2225" s="24"/>
      <c r="AJ2225" s="24"/>
      <c r="AK2225" s="24"/>
      <c r="AL2225" s="24"/>
      <c r="AM2225" s="24"/>
      <c r="AN2225" s="24"/>
      <c r="AO2225" s="24"/>
      <c r="AP2225" s="24"/>
      <c r="AQ2225" s="24"/>
      <c r="AR2225" s="54"/>
    </row>
    <row r="2226">
      <c r="A2226" s="57"/>
      <c r="B2226" s="24"/>
      <c r="C2226" s="24"/>
      <c r="D2226" s="24"/>
      <c r="E2226" s="24"/>
      <c r="F2226" s="24"/>
      <c r="G2226" s="24"/>
      <c r="H2226" s="24"/>
      <c r="I2226" s="24"/>
      <c r="J2226" s="24"/>
      <c r="K2226" s="24"/>
      <c r="L2226" s="24"/>
      <c r="M2226" s="24"/>
      <c r="N2226" s="24"/>
      <c r="O2226" s="24"/>
      <c r="P2226" s="24"/>
      <c r="Q2226" s="24"/>
      <c r="R2226" s="24"/>
      <c r="S2226" s="24"/>
      <c r="T2226" s="24"/>
      <c r="U2226" s="24"/>
      <c r="V2226" s="24"/>
      <c r="W2226" s="24"/>
      <c r="X2226" s="24"/>
      <c r="Y2226" s="24"/>
      <c r="Z2226" s="24"/>
      <c r="AA2226" s="24"/>
      <c r="AB2226" s="24"/>
      <c r="AC2226" s="24"/>
      <c r="AD2226" s="24"/>
      <c r="AE2226" s="24"/>
      <c r="AF2226" s="24"/>
      <c r="AG2226" s="24"/>
      <c r="AH2226" s="24"/>
      <c r="AI2226" s="24"/>
      <c r="AJ2226" s="24"/>
      <c r="AK2226" s="24"/>
      <c r="AL2226" s="24"/>
      <c r="AM2226" s="24"/>
      <c r="AN2226" s="24"/>
      <c r="AO2226" s="24"/>
      <c r="AP2226" s="24"/>
      <c r="AQ2226" s="24"/>
      <c r="AR2226" s="54"/>
    </row>
    <row r="2227">
      <c r="A2227" s="57"/>
      <c r="B2227" s="24"/>
      <c r="C2227" s="24"/>
      <c r="D2227" s="24"/>
      <c r="E2227" s="24"/>
      <c r="F2227" s="24"/>
      <c r="G2227" s="24"/>
      <c r="H2227" s="24"/>
      <c r="I2227" s="24"/>
      <c r="J2227" s="24"/>
      <c r="K2227" s="24"/>
      <c r="L2227" s="24"/>
      <c r="M2227" s="24"/>
      <c r="N2227" s="24"/>
      <c r="O2227" s="24"/>
      <c r="P2227" s="24"/>
      <c r="Q2227" s="24"/>
      <c r="R2227" s="24"/>
      <c r="S2227" s="24"/>
      <c r="T2227" s="24"/>
      <c r="U2227" s="24"/>
      <c r="V2227" s="24"/>
      <c r="W2227" s="24"/>
      <c r="X2227" s="24"/>
      <c r="Y2227" s="24"/>
      <c r="Z2227" s="24"/>
      <c r="AA2227" s="24"/>
      <c r="AB2227" s="24"/>
      <c r="AC2227" s="24"/>
      <c r="AD2227" s="24"/>
      <c r="AE2227" s="24"/>
      <c r="AF2227" s="24"/>
      <c r="AG2227" s="24"/>
      <c r="AH2227" s="24"/>
      <c r="AI2227" s="24"/>
      <c r="AJ2227" s="24"/>
      <c r="AK2227" s="24"/>
      <c r="AL2227" s="24"/>
      <c r="AM2227" s="24"/>
      <c r="AN2227" s="24"/>
      <c r="AO2227" s="24"/>
      <c r="AP2227" s="24"/>
      <c r="AQ2227" s="24"/>
      <c r="AR2227" s="54"/>
    </row>
    <row r="2228">
      <c r="A2228" s="57"/>
      <c r="B2228" s="24"/>
      <c r="C2228" s="24"/>
      <c r="D2228" s="24"/>
      <c r="E2228" s="24"/>
      <c r="F2228" s="24"/>
      <c r="G2228" s="24"/>
      <c r="H2228" s="24"/>
      <c r="I2228" s="24"/>
      <c r="J2228" s="24"/>
      <c r="K2228" s="24"/>
      <c r="L2228" s="24"/>
      <c r="M2228" s="24"/>
      <c r="N2228" s="24"/>
      <c r="O2228" s="24"/>
      <c r="P2228" s="24"/>
      <c r="Q2228" s="24"/>
      <c r="R2228" s="24"/>
      <c r="S2228" s="24"/>
      <c r="T2228" s="24"/>
      <c r="U2228" s="24"/>
      <c r="V2228" s="24"/>
      <c r="W2228" s="24"/>
      <c r="X2228" s="24"/>
      <c r="Y2228" s="24"/>
      <c r="Z2228" s="24"/>
      <c r="AA2228" s="24"/>
      <c r="AB2228" s="24"/>
      <c r="AC2228" s="24"/>
      <c r="AD2228" s="24"/>
      <c r="AE2228" s="24"/>
      <c r="AF2228" s="24"/>
      <c r="AG2228" s="24"/>
      <c r="AH2228" s="24"/>
      <c r="AI2228" s="24"/>
      <c r="AJ2228" s="24"/>
      <c r="AK2228" s="24"/>
      <c r="AL2228" s="24"/>
      <c r="AM2228" s="24"/>
      <c r="AN2228" s="24"/>
      <c r="AO2228" s="24"/>
      <c r="AP2228" s="24"/>
      <c r="AQ2228" s="24"/>
      <c r="AR2228" s="54"/>
    </row>
    <row r="2229">
      <c r="A2229" s="57"/>
      <c r="B2229" s="24"/>
      <c r="C2229" s="24"/>
      <c r="D2229" s="24"/>
      <c r="E2229" s="24"/>
      <c r="F2229" s="24"/>
      <c r="G2229" s="24"/>
      <c r="H2229" s="24"/>
      <c r="I2229" s="24"/>
      <c r="J2229" s="24"/>
      <c r="K2229" s="24"/>
      <c r="L2229" s="24"/>
      <c r="M2229" s="24"/>
      <c r="N2229" s="24"/>
      <c r="O2229" s="24"/>
      <c r="P2229" s="24"/>
      <c r="Q2229" s="24"/>
      <c r="R2229" s="24"/>
      <c r="S2229" s="24"/>
      <c r="T2229" s="24"/>
      <c r="U2229" s="24"/>
      <c r="V2229" s="24"/>
      <c r="W2229" s="24"/>
      <c r="X2229" s="24"/>
      <c r="Y2229" s="24"/>
      <c r="Z2229" s="24"/>
      <c r="AA2229" s="24"/>
      <c r="AB2229" s="24"/>
      <c r="AC2229" s="24"/>
      <c r="AD2229" s="24"/>
      <c r="AE2229" s="24"/>
      <c r="AF2229" s="24"/>
      <c r="AG2229" s="24"/>
      <c r="AH2229" s="24"/>
      <c r="AI2229" s="24"/>
      <c r="AJ2229" s="24"/>
      <c r="AK2229" s="24"/>
      <c r="AL2229" s="24"/>
      <c r="AM2229" s="24"/>
      <c r="AN2229" s="24"/>
      <c r="AO2229" s="24"/>
      <c r="AP2229" s="24"/>
      <c r="AQ2229" s="24"/>
      <c r="AR2229" s="54"/>
    </row>
    <row r="2230">
      <c r="A2230" s="57"/>
      <c r="B2230" s="24"/>
      <c r="C2230" s="24"/>
      <c r="D2230" s="24"/>
      <c r="E2230" s="24"/>
      <c r="F2230" s="24"/>
      <c r="G2230" s="24"/>
      <c r="H2230" s="24"/>
      <c r="I2230" s="24"/>
      <c r="J2230" s="24"/>
      <c r="K2230" s="24"/>
      <c r="L2230" s="24"/>
      <c r="M2230" s="24"/>
      <c r="N2230" s="24"/>
      <c r="O2230" s="24"/>
      <c r="P2230" s="24"/>
      <c r="Q2230" s="24"/>
      <c r="R2230" s="24"/>
      <c r="S2230" s="24"/>
      <c r="T2230" s="24"/>
      <c r="U2230" s="24"/>
      <c r="V2230" s="24"/>
      <c r="W2230" s="24"/>
      <c r="X2230" s="24"/>
      <c r="Y2230" s="24"/>
      <c r="Z2230" s="24"/>
      <c r="AA2230" s="24"/>
      <c r="AB2230" s="24"/>
      <c r="AC2230" s="24"/>
      <c r="AD2230" s="24"/>
      <c r="AE2230" s="24"/>
      <c r="AF2230" s="24"/>
      <c r="AG2230" s="24"/>
      <c r="AH2230" s="24"/>
      <c r="AI2230" s="24"/>
      <c r="AJ2230" s="24"/>
      <c r="AK2230" s="24"/>
      <c r="AL2230" s="24"/>
      <c r="AM2230" s="24"/>
      <c r="AN2230" s="24"/>
      <c r="AO2230" s="24"/>
      <c r="AP2230" s="24"/>
      <c r="AQ2230" s="24"/>
      <c r="AR2230" s="54"/>
    </row>
    <row r="2231">
      <c r="A2231" s="57"/>
      <c r="B2231" s="24"/>
      <c r="C2231" s="24"/>
      <c r="D2231" s="24"/>
      <c r="E2231" s="24"/>
      <c r="F2231" s="24"/>
      <c r="G2231" s="24"/>
      <c r="H2231" s="24"/>
      <c r="I2231" s="24"/>
      <c r="J2231" s="24"/>
      <c r="K2231" s="24"/>
      <c r="L2231" s="24"/>
      <c r="M2231" s="24"/>
      <c r="N2231" s="24"/>
      <c r="O2231" s="24"/>
      <c r="P2231" s="24"/>
      <c r="Q2231" s="24"/>
      <c r="R2231" s="24"/>
      <c r="S2231" s="24"/>
      <c r="T2231" s="24"/>
      <c r="U2231" s="24"/>
      <c r="V2231" s="24"/>
      <c r="W2231" s="24"/>
      <c r="X2231" s="24"/>
      <c r="Y2231" s="24"/>
      <c r="Z2231" s="24"/>
      <c r="AA2231" s="24"/>
      <c r="AB2231" s="24"/>
      <c r="AC2231" s="24"/>
      <c r="AD2231" s="24"/>
      <c r="AE2231" s="24"/>
      <c r="AF2231" s="24"/>
      <c r="AG2231" s="24"/>
      <c r="AH2231" s="24"/>
      <c r="AI2231" s="24"/>
      <c r="AJ2231" s="24"/>
      <c r="AK2231" s="24"/>
      <c r="AL2231" s="24"/>
      <c r="AM2231" s="24"/>
      <c r="AN2231" s="24"/>
      <c r="AO2231" s="24"/>
      <c r="AP2231" s="24"/>
      <c r="AQ2231" s="24"/>
      <c r="AR2231" s="54"/>
    </row>
    <row r="2232">
      <c r="A2232" s="57"/>
      <c r="B2232" s="24"/>
      <c r="C2232" s="24"/>
      <c r="D2232" s="24"/>
      <c r="E2232" s="24"/>
      <c r="F2232" s="24"/>
      <c r="G2232" s="24"/>
      <c r="H2232" s="24"/>
      <c r="I2232" s="24"/>
      <c r="J2232" s="24"/>
      <c r="K2232" s="24"/>
      <c r="L2232" s="24"/>
      <c r="M2232" s="24"/>
      <c r="N2232" s="24"/>
      <c r="O2232" s="24"/>
      <c r="P2232" s="24"/>
      <c r="Q2232" s="24"/>
      <c r="R2232" s="24"/>
      <c r="S2232" s="24"/>
      <c r="T2232" s="24"/>
      <c r="U2232" s="24"/>
      <c r="V2232" s="24"/>
      <c r="W2232" s="24"/>
      <c r="X2232" s="24"/>
      <c r="Y2232" s="24"/>
      <c r="Z2232" s="24"/>
      <c r="AA2232" s="24"/>
      <c r="AB2232" s="24"/>
      <c r="AC2232" s="24"/>
      <c r="AD2232" s="24"/>
      <c r="AE2232" s="24"/>
      <c r="AF2232" s="24"/>
      <c r="AG2232" s="24"/>
      <c r="AH2232" s="24"/>
      <c r="AI2232" s="24"/>
      <c r="AJ2232" s="24"/>
      <c r="AK2232" s="24"/>
      <c r="AL2232" s="24"/>
      <c r="AM2232" s="24"/>
      <c r="AN2232" s="24"/>
      <c r="AO2232" s="24"/>
      <c r="AP2232" s="24"/>
      <c r="AQ2232" s="24"/>
      <c r="AR2232" s="54"/>
    </row>
    <row r="2233">
      <c r="A2233" s="57"/>
      <c r="B2233" s="24"/>
      <c r="C2233" s="24"/>
      <c r="D2233" s="24"/>
      <c r="E2233" s="24"/>
      <c r="F2233" s="24"/>
      <c r="G2233" s="24"/>
      <c r="H2233" s="24"/>
      <c r="I2233" s="24"/>
      <c r="J2233" s="24"/>
      <c r="K2233" s="24"/>
      <c r="L2233" s="24"/>
      <c r="M2233" s="24"/>
      <c r="N2233" s="24"/>
      <c r="O2233" s="24"/>
      <c r="P2233" s="24"/>
      <c r="Q2233" s="24"/>
      <c r="R2233" s="24"/>
      <c r="S2233" s="24"/>
      <c r="T2233" s="24"/>
      <c r="U2233" s="24"/>
      <c r="V2233" s="24"/>
      <c r="W2233" s="24"/>
      <c r="X2233" s="24"/>
      <c r="Y2233" s="24"/>
      <c r="Z2233" s="24"/>
      <c r="AA2233" s="24"/>
      <c r="AB2233" s="24"/>
      <c r="AC2233" s="24"/>
      <c r="AD2233" s="24"/>
      <c r="AE2233" s="24"/>
      <c r="AF2233" s="24"/>
      <c r="AG2233" s="24"/>
      <c r="AH2233" s="24"/>
      <c r="AI2233" s="24"/>
      <c r="AJ2233" s="24"/>
      <c r="AK2233" s="24"/>
      <c r="AL2233" s="24"/>
      <c r="AM2233" s="24"/>
      <c r="AN2233" s="24"/>
      <c r="AO2233" s="24"/>
      <c r="AP2233" s="24"/>
      <c r="AQ2233" s="24"/>
      <c r="AR2233" s="54"/>
    </row>
    <row r="2234">
      <c r="A2234" s="57"/>
      <c r="B2234" s="24"/>
      <c r="C2234" s="24"/>
      <c r="D2234" s="24"/>
      <c r="E2234" s="24"/>
      <c r="F2234" s="24"/>
      <c r="G2234" s="24"/>
      <c r="H2234" s="24"/>
      <c r="I2234" s="24"/>
      <c r="J2234" s="24"/>
      <c r="K2234" s="24"/>
      <c r="L2234" s="24"/>
      <c r="M2234" s="24"/>
      <c r="N2234" s="24"/>
      <c r="O2234" s="24"/>
      <c r="P2234" s="24"/>
      <c r="Q2234" s="24"/>
      <c r="R2234" s="24"/>
      <c r="S2234" s="24"/>
      <c r="T2234" s="24"/>
      <c r="U2234" s="24"/>
      <c r="V2234" s="24"/>
      <c r="W2234" s="24"/>
      <c r="X2234" s="24"/>
      <c r="Y2234" s="24"/>
      <c r="Z2234" s="24"/>
      <c r="AA2234" s="24"/>
      <c r="AB2234" s="24"/>
      <c r="AC2234" s="24"/>
      <c r="AD2234" s="24"/>
      <c r="AE2234" s="24"/>
      <c r="AF2234" s="24"/>
      <c r="AG2234" s="24"/>
      <c r="AH2234" s="24"/>
      <c r="AI2234" s="24"/>
      <c r="AJ2234" s="24"/>
      <c r="AK2234" s="24"/>
      <c r="AL2234" s="24"/>
      <c r="AM2234" s="24"/>
      <c r="AN2234" s="24"/>
      <c r="AO2234" s="24"/>
      <c r="AP2234" s="24"/>
      <c r="AQ2234" s="24"/>
      <c r="AR2234" s="54"/>
    </row>
    <row r="2235">
      <c r="A2235" s="57"/>
      <c r="B2235" s="24"/>
      <c r="C2235" s="24"/>
      <c r="D2235" s="24"/>
      <c r="E2235" s="24"/>
      <c r="F2235" s="24"/>
      <c r="G2235" s="24"/>
      <c r="H2235" s="24"/>
      <c r="I2235" s="24"/>
      <c r="J2235" s="24"/>
      <c r="K2235" s="24"/>
      <c r="L2235" s="24"/>
      <c r="M2235" s="24"/>
      <c r="N2235" s="24"/>
      <c r="O2235" s="24"/>
      <c r="P2235" s="24"/>
      <c r="Q2235" s="24"/>
      <c r="R2235" s="24"/>
      <c r="S2235" s="24"/>
      <c r="T2235" s="24"/>
      <c r="U2235" s="24"/>
      <c r="V2235" s="24"/>
      <c r="W2235" s="24"/>
      <c r="X2235" s="24"/>
      <c r="Y2235" s="24"/>
      <c r="Z2235" s="24"/>
      <c r="AA2235" s="24"/>
      <c r="AB2235" s="24"/>
      <c r="AC2235" s="24"/>
      <c r="AD2235" s="24"/>
      <c r="AE2235" s="24"/>
      <c r="AF2235" s="24"/>
      <c r="AG2235" s="24"/>
      <c r="AH2235" s="24"/>
      <c r="AI2235" s="24"/>
      <c r="AJ2235" s="24"/>
      <c r="AK2235" s="24"/>
      <c r="AL2235" s="24"/>
      <c r="AM2235" s="24"/>
      <c r="AN2235" s="24"/>
      <c r="AO2235" s="24"/>
      <c r="AP2235" s="24"/>
      <c r="AQ2235" s="24"/>
      <c r="AR2235" s="54"/>
    </row>
    <row r="2236">
      <c r="A2236" s="57"/>
      <c r="B2236" s="24"/>
      <c r="C2236" s="24"/>
      <c r="D2236" s="24"/>
      <c r="E2236" s="24"/>
      <c r="F2236" s="24"/>
      <c r="G2236" s="24"/>
      <c r="H2236" s="24"/>
      <c r="I2236" s="24"/>
      <c r="J2236" s="24"/>
      <c r="K2236" s="24"/>
      <c r="L2236" s="24"/>
      <c r="M2236" s="24"/>
      <c r="N2236" s="24"/>
      <c r="O2236" s="24"/>
      <c r="P2236" s="24"/>
      <c r="Q2236" s="24"/>
      <c r="R2236" s="24"/>
      <c r="S2236" s="24"/>
      <c r="T2236" s="24"/>
      <c r="U2236" s="24"/>
      <c r="V2236" s="24"/>
      <c r="W2236" s="24"/>
      <c r="X2236" s="24"/>
      <c r="Y2236" s="24"/>
      <c r="Z2236" s="24"/>
      <c r="AA2236" s="24"/>
      <c r="AB2236" s="24"/>
      <c r="AC2236" s="24"/>
      <c r="AD2236" s="24"/>
      <c r="AE2236" s="24"/>
      <c r="AF2236" s="24"/>
      <c r="AG2236" s="24"/>
      <c r="AH2236" s="24"/>
      <c r="AI2236" s="24"/>
      <c r="AJ2236" s="24"/>
      <c r="AK2236" s="24"/>
      <c r="AL2236" s="24"/>
      <c r="AM2236" s="24"/>
      <c r="AN2236" s="24"/>
      <c r="AO2236" s="24"/>
      <c r="AP2236" s="24"/>
      <c r="AQ2236" s="24"/>
      <c r="AR2236" s="54"/>
    </row>
    <row r="2237">
      <c r="A2237" s="57"/>
      <c r="B2237" s="24"/>
      <c r="C2237" s="24"/>
      <c r="D2237" s="24"/>
      <c r="E2237" s="24"/>
      <c r="F2237" s="24"/>
      <c r="G2237" s="24"/>
      <c r="H2237" s="24"/>
      <c r="I2237" s="24"/>
      <c r="J2237" s="24"/>
      <c r="K2237" s="24"/>
      <c r="L2237" s="24"/>
      <c r="M2237" s="24"/>
      <c r="N2237" s="24"/>
      <c r="O2237" s="24"/>
      <c r="P2237" s="24"/>
      <c r="Q2237" s="24"/>
      <c r="R2237" s="24"/>
      <c r="S2237" s="24"/>
      <c r="T2237" s="24"/>
      <c r="U2237" s="24"/>
      <c r="V2237" s="24"/>
      <c r="W2237" s="24"/>
      <c r="X2237" s="24"/>
      <c r="Y2237" s="24"/>
      <c r="Z2237" s="24"/>
      <c r="AA2237" s="24"/>
      <c r="AB2237" s="24"/>
      <c r="AC2237" s="24"/>
      <c r="AD2237" s="24"/>
      <c r="AE2237" s="24"/>
      <c r="AF2237" s="24"/>
      <c r="AG2237" s="24"/>
      <c r="AH2237" s="24"/>
      <c r="AI2237" s="24"/>
      <c r="AJ2237" s="24"/>
      <c r="AK2237" s="24"/>
      <c r="AL2237" s="24"/>
      <c r="AM2237" s="24"/>
      <c r="AN2237" s="24"/>
      <c r="AO2237" s="24"/>
      <c r="AP2237" s="24"/>
      <c r="AQ2237" s="24"/>
      <c r="AR2237" s="54"/>
    </row>
    <row r="2238">
      <c r="A2238" s="57"/>
      <c r="B2238" s="24"/>
      <c r="C2238" s="24"/>
      <c r="D2238" s="24"/>
      <c r="E2238" s="24"/>
      <c r="F2238" s="24"/>
      <c r="G2238" s="24"/>
      <c r="H2238" s="24"/>
      <c r="I2238" s="24"/>
      <c r="J2238" s="24"/>
      <c r="K2238" s="24"/>
      <c r="L2238" s="24"/>
      <c r="M2238" s="24"/>
      <c r="N2238" s="24"/>
      <c r="O2238" s="24"/>
      <c r="P2238" s="24"/>
      <c r="Q2238" s="24"/>
      <c r="R2238" s="24"/>
      <c r="S2238" s="24"/>
      <c r="T2238" s="24"/>
      <c r="U2238" s="24"/>
      <c r="V2238" s="24"/>
      <c r="W2238" s="24"/>
      <c r="X2238" s="24"/>
      <c r="Y2238" s="24"/>
      <c r="Z2238" s="24"/>
      <c r="AA2238" s="24"/>
      <c r="AB2238" s="24"/>
      <c r="AC2238" s="24"/>
      <c r="AD2238" s="24"/>
      <c r="AE2238" s="24"/>
      <c r="AF2238" s="24"/>
      <c r="AG2238" s="24"/>
      <c r="AH2238" s="24"/>
      <c r="AI2238" s="24"/>
      <c r="AJ2238" s="24"/>
      <c r="AK2238" s="24"/>
      <c r="AL2238" s="24"/>
      <c r="AM2238" s="24"/>
      <c r="AN2238" s="24"/>
      <c r="AO2238" s="24"/>
      <c r="AP2238" s="24"/>
      <c r="AQ2238" s="24"/>
      <c r="AR2238" s="54"/>
    </row>
    <row r="2239">
      <c r="A2239" s="57"/>
      <c r="B2239" s="24"/>
      <c r="C2239" s="24"/>
      <c r="D2239" s="24"/>
      <c r="E2239" s="24"/>
      <c r="F2239" s="24"/>
      <c r="G2239" s="24"/>
      <c r="H2239" s="24"/>
      <c r="I2239" s="24"/>
      <c r="J2239" s="24"/>
      <c r="K2239" s="24"/>
      <c r="L2239" s="24"/>
      <c r="M2239" s="24"/>
      <c r="N2239" s="24"/>
      <c r="O2239" s="24"/>
      <c r="P2239" s="24"/>
      <c r="Q2239" s="24"/>
      <c r="R2239" s="24"/>
      <c r="S2239" s="24"/>
      <c r="T2239" s="24"/>
      <c r="U2239" s="24"/>
      <c r="V2239" s="24"/>
      <c r="W2239" s="24"/>
      <c r="X2239" s="24"/>
      <c r="Y2239" s="24"/>
      <c r="Z2239" s="24"/>
      <c r="AA2239" s="24"/>
      <c r="AB2239" s="24"/>
      <c r="AC2239" s="24"/>
      <c r="AD2239" s="24"/>
      <c r="AE2239" s="24"/>
      <c r="AF2239" s="24"/>
      <c r="AG2239" s="24"/>
      <c r="AH2239" s="24"/>
      <c r="AI2239" s="24"/>
      <c r="AJ2239" s="24"/>
      <c r="AK2239" s="24"/>
      <c r="AL2239" s="24"/>
      <c r="AM2239" s="24"/>
      <c r="AN2239" s="24"/>
      <c r="AO2239" s="24"/>
      <c r="AP2239" s="24"/>
      <c r="AQ2239" s="24"/>
      <c r="AR2239" s="54"/>
    </row>
    <row r="2240">
      <c r="A2240" s="57"/>
      <c r="B2240" s="24"/>
      <c r="C2240" s="24"/>
      <c r="D2240" s="24"/>
      <c r="E2240" s="24"/>
      <c r="F2240" s="24"/>
      <c r="G2240" s="24"/>
      <c r="H2240" s="24"/>
      <c r="I2240" s="24"/>
      <c r="J2240" s="24"/>
      <c r="K2240" s="24"/>
      <c r="L2240" s="24"/>
      <c r="M2240" s="24"/>
      <c r="N2240" s="24"/>
      <c r="O2240" s="24"/>
      <c r="P2240" s="24"/>
      <c r="Q2240" s="24"/>
      <c r="R2240" s="24"/>
      <c r="S2240" s="24"/>
      <c r="T2240" s="24"/>
      <c r="U2240" s="24"/>
      <c r="V2240" s="24"/>
      <c r="W2240" s="24"/>
      <c r="X2240" s="24"/>
      <c r="Y2240" s="24"/>
      <c r="Z2240" s="24"/>
      <c r="AA2240" s="24"/>
      <c r="AB2240" s="24"/>
      <c r="AC2240" s="24"/>
      <c r="AD2240" s="24"/>
      <c r="AE2240" s="24"/>
      <c r="AF2240" s="24"/>
      <c r="AG2240" s="24"/>
      <c r="AH2240" s="24"/>
      <c r="AI2240" s="24"/>
      <c r="AJ2240" s="24"/>
      <c r="AK2240" s="24"/>
      <c r="AL2240" s="24"/>
      <c r="AM2240" s="24"/>
      <c r="AN2240" s="24"/>
      <c r="AO2240" s="24"/>
      <c r="AP2240" s="24"/>
      <c r="AQ2240" s="24"/>
      <c r="AR2240" s="54"/>
    </row>
    <row r="2241">
      <c r="A2241" s="57"/>
      <c r="B2241" s="24"/>
      <c r="C2241" s="24"/>
      <c r="D2241" s="24"/>
      <c r="E2241" s="24"/>
      <c r="F2241" s="24"/>
      <c r="G2241" s="24"/>
      <c r="H2241" s="24"/>
      <c r="I2241" s="24"/>
      <c r="J2241" s="24"/>
      <c r="K2241" s="24"/>
      <c r="L2241" s="24"/>
      <c r="M2241" s="24"/>
      <c r="N2241" s="24"/>
      <c r="O2241" s="24"/>
      <c r="P2241" s="24"/>
      <c r="Q2241" s="24"/>
      <c r="R2241" s="24"/>
      <c r="S2241" s="24"/>
      <c r="T2241" s="24"/>
      <c r="U2241" s="24"/>
      <c r="V2241" s="24"/>
      <c r="W2241" s="24"/>
      <c r="X2241" s="24"/>
      <c r="Y2241" s="24"/>
      <c r="Z2241" s="24"/>
      <c r="AA2241" s="24"/>
      <c r="AB2241" s="24"/>
      <c r="AC2241" s="24"/>
      <c r="AD2241" s="24"/>
      <c r="AE2241" s="24"/>
      <c r="AF2241" s="24"/>
      <c r="AG2241" s="24"/>
      <c r="AH2241" s="24"/>
      <c r="AI2241" s="24"/>
      <c r="AJ2241" s="24"/>
      <c r="AK2241" s="24"/>
      <c r="AL2241" s="24"/>
      <c r="AM2241" s="24"/>
      <c r="AN2241" s="24"/>
      <c r="AO2241" s="24"/>
      <c r="AP2241" s="24"/>
      <c r="AQ2241" s="24"/>
      <c r="AR2241" s="54"/>
    </row>
    <row r="2242">
      <c r="A2242" s="57"/>
      <c r="B2242" s="24"/>
      <c r="C2242" s="24"/>
      <c r="D2242" s="24"/>
      <c r="E2242" s="24"/>
      <c r="F2242" s="24"/>
      <c r="G2242" s="24"/>
      <c r="H2242" s="24"/>
      <c r="I2242" s="24"/>
      <c r="J2242" s="24"/>
      <c r="K2242" s="24"/>
      <c r="L2242" s="24"/>
      <c r="M2242" s="24"/>
      <c r="N2242" s="24"/>
      <c r="O2242" s="24"/>
      <c r="P2242" s="24"/>
      <c r="Q2242" s="24"/>
      <c r="R2242" s="24"/>
      <c r="S2242" s="24"/>
      <c r="T2242" s="24"/>
      <c r="U2242" s="24"/>
      <c r="V2242" s="24"/>
      <c r="W2242" s="24"/>
      <c r="X2242" s="24"/>
      <c r="Y2242" s="24"/>
      <c r="Z2242" s="24"/>
      <c r="AA2242" s="24"/>
      <c r="AB2242" s="24"/>
      <c r="AC2242" s="24"/>
      <c r="AD2242" s="24"/>
      <c r="AE2242" s="24"/>
      <c r="AF2242" s="24"/>
      <c r="AG2242" s="24"/>
      <c r="AH2242" s="24"/>
      <c r="AI2242" s="24"/>
      <c r="AJ2242" s="24"/>
      <c r="AK2242" s="24"/>
      <c r="AL2242" s="24"/>
      <c r="AM2242" s="24"/>
      <c r="AN2242" s="24"/>
      <c r="AO2242" s="24"/>
      <c r="AP2242" s="24"/>
      <c r="AQ2242" s="24"/>
      <c r="AR2242" s="54"/>
    </row>
    <row r="2243">
      <c r="A2243" s="57"/>
      <c r="B2243" s="24"/>
      <c r="C2243" s="24"/>
      <c r="D2243" s="24"/>
      <c r="E2243" s="24"/>
      <c r="F2243" s="24"/>
      <c r="G2243" s="24"/>
      <c r="H2243" s="24"/>
      <c r="I2243" s="24"/>
      <c r="J2243" s="24"/>
      <c r="K2243" s="24"/>
      <c r="L2243" s="24"/>
      <c r="M2243" s="24"/>
      <c r="N2243" s="24"/>
      <c r="O2243" s="24"/>
      <c r="P2243" s="24"/>
      <c r="Q2243" s="24"/>
      <c r="R2243" s="24"/>
      <c r="S2243" s="24"/>
      <c r="T2243" s="24"/>
      <c r="U2243" s="24"/>
      <c r="V2243" s="24"/>
      <c r="W2243" s="24"/>
      <c r="X2243" s="24"/>
      <c r="Y2243" s="24"/>
      <c r="Z2243" s="24"/>
      <c r="AA2243" s="24"/>
      <c r="AB2243" s="24"/>
      <c r="AC2243" s="24"/>
      <c r="AD2243" s="24"/>
      <c r="AE2243" s="24"/>
      <c r="AF2243" s="24"/>
      <c r="AG2243" s="24"/>
      <c r="AH2243" s="24"/>
      <c r="AI2243" s="24"/>
      <c r="AJ2243" s="24"/>
      <c r="AK2243" s="24"/>
      <c r="AL2243" s="24"/>
      <c r="AM2243" s="24"/>
      <c r="AN2243" s="24"/>
      <c r="AO2243" s="24"/>
      <c r="AP2243" s="24"/>
      <c r="AQ2243" s="24"/>
      <c r="AR2243" s="54"/>
    </row>
    <row r="2244">
      <c r="A2244" s="57"/>
      <c r="B2244" s="24"/>
      <c r="C2244" s="24"/>
      <c r="D2244" s="24"/>
      <c r="E2244" s="24"/>
      <c r="F2244" s="24"/>
      <c r="G2244" s="24"/>
      <c r="H2244" s="24"/>
      <c r="I2244" s="24"/>
      <c r="J2244" s="24"/>
      <c r="K2244" s="24"/>
      <c r="L2244" s="24"/>
      <c r="M2244" s="24"/>
      <c r="N2244" s="24"/>
      <c r="O2244" s="24"/>
      <c r="P2244" s="24"/>
      <c r="Q2244" s="24"/>
      <c r="R2244" s="24"/>
      <c r="S2244" s="24"/>
      <c r="T2244" s="24"/>
      <c r="U2244" s="24"/>
      <c r="V2244" s="24"/>
      <c r="W2244" s="24"/>
      <c r="X2244" s="24"/>
      <c r="Y2244" s="24"/>
      <c r="Z2244" s="24"/>
      <c r="AA2244" s="24"/>
      <c r="AB2244" s="24"/>
      <c r="AC2244" s="24"/>
      <c r="AD2244" s="24"/>
      <c r="AE2244" s="24"/>
      <c r="AF2244" s="24"/>
      <c r="AG2244" s="24"/>
      <c r="AH2244" s="24"/>
      <c r="AI2244" s="24"/>
      <c r="AJ2244" s="24"/>
      <c r="AK2244" s="24"/>
      <c r="AL2244" s="24"/>
      <c r="AM2244" s="24"/>
      <c r="AN2244" s="24"/>
      <c r="AO2244" s="24"/>
      <c r="AP2244" s="24"/>
      <c r="AQ2244" s="24"/>
      <c r="AR2244" s="54"/>
    </row>
    <row r="2245">
      <c r="A2245" s="57"/>
      <c r="B2245" s="24"/>
      <c r="C2245" s="24"/>
      <c r="D2245" s="24"/>
      <c r="E2245" s="24"/>
      <c r="F2245" s="24"/>
      <c r="G2245" s="24"/>
      <c r="H2245" s="24"/>
      <c r="I2245" s="24"/>
      <c r="J2245" s="24"/>
      <c r="K2245" s="24"/>
      <c r="L2245" s="24"/>
      <c r="M2245" s="24"/>
      <c r="N2245" s="24"/>
      <c r="O2245" s="24"/>
      <c r="P2245" s="24"/>
      <c r="Q2245" s="24"/>
      <c r="R2245" s="24"/>
      <c r="S2245" s="24"/>
      <c r="T2245" s="24"/>
      <c r="U2245" s="24"/>
      <c r="V2245" s="24"/>
      <c r="W2245" s="24"/>
      <c r="X2245" s="24"/>
      <c r="Y2245" s="24"/>
      <c r="Z2245" s="24"/>
      <c r="AA2245" s="24"/>
      <c r="AB2245" s="24"/>
      <c r="AC2245" s="24"/>
      <c r="AD2245" s="24"/>
      <c r="AE2245" s="24"/>
      <c r="AF2245" s="24"/>
      <c r="AG2245" s="24"/>
      <c r="AH2245" s="24"/>
      <c r="AI2245" s="24"/>
      <c r="AJ2245" s="24"/>
      <c r="AK2245" s="24"/>
      <c r="AL2245" s="24"/>
      <c r="AM2245" s="24"/>
      <c r="AN2245" s="24"/>
      <c r="AO2245" s="24"/>
      <c r="AP2245" s="24"/>
      <c r="AQ2245" s="24"/>
      <c r="AR2245" s="54"/>
    </row>
    <row r="2246">
      <c r="A2246" s="57"/>
      <c r="B2246" s="24"/>
      <c r="C2246" s="24"/>
      <c r="D2246" s="24"/>
      <c r="E2246" s="24"/>
      <c r="F2246" s="24"/>
      <c r="G2246" s="24"/>
      <c r="H2246" s="24"/>
      <c r="I2246" s="24"/>
      <c r="J2246" s="24"/>
      <c r="K2246" s="24"/>
      <c r="L2246" s="24"/>
      <c r="M2246" s="24"/>
      <c r="N2246" s="24"/>
      <c r="O2246" s="24"/>
      <c r="P2246" s="24"/>
      <c r="Q2246" s="24"/>
      <c r="R2246" s="24"/>
      <c r="S2246" s="24"/>
      <c r="T2246" s="24"/>
      <c r="U2246" s="24"/>
      <c r="V2246" s="24"/>
      <c r="W2246" s="24"/>
      <c r="X2246" s="24"/>
      <c r="Y2246" s="24"/>
      <c r="Z2246" s="24"/>
      <c r="AA2246" s="24"/>
      <c r="AB2246" s="24"/>
      <c r="AC2246" s="24"/>
      <c r="AD2246" s="24"/>
      <c r="AE2246" s="24"/>
      <c r="AF2246" s="24"/>
      <c r="AG2246" s="24"/>
      <c r="AH2246" s="24"/>
      <c r="AI2246" s="24"/>
      <c r="AJ2246" s="24"/>
      <c r="AK2246" s="24"/>
      <c r="AL2246" s="24"/>
      <c r="AM2246" s="24"/>
      <c r="AN2246" s="24"/>
      <c r="AO2246" s="24"/>
      <c r="AP2246" s="24"/>
      <c r="AQ2246" s="24"/>
      <c r="AR2246" s="54"/>
    </row>
    <row r="2247">
      <c r="A2247" s="57"/>
      <c r="B2247" s="24"/>
      <c r="C2247" s="24"/>
      <c r="D2247" s="24"/>
      <c r="E2247" s="24"/>
      <c r="F2247" s="24"/>
      <c r="G2247" s="24"/>
      <c r="H2247" s="24"/>
      <c r="I2247" s="24"/>
      <c r="J2247" s="24"/>
      <c r="K2247" s="24"/>
      <c r="L2247" s="24"/>
      <c r="M2247" s="24"/>
      <c r="N2247" s="24"/>
      <c r="O2247" s="24"/>
      <c r="P2247" s="24"/>
      <c r="Q2247" s="24"/>
      <c r="R2247" s="24"/>
      <c r="S2247" s="24"/>
      <c r="T2247" s="24"/>
      <c r="U2247" s="24"/>
      <c r="V2247" s="24"/>
      <c r="W2247" s="24"/>
      <c r="X2247" s="24"/>
      <c r="Y2247" s="24"/>
      <c r="Z2247" s="24"/>
      <c r="AA2247" s="24"/>
      <c r="AB2247" s="24"/>
      <c r="AC2247" s="24"/>
      <c r="AD2247" s="24"/>
      <c r="AE2247" s="24"/>
      <c r="AF2247" s="24"/>
      <c r="AG2247" s="24"/>
      <c r="AH2247" s="24"/>
      <c r="AI2247" s="24"/>
      <c r="AJ2247" s="24"/>
      <c r="AK2247" s="24"/>
      <c r="AL2247" s="24"/>
      <c r="AM2247" s="24"/>
      <c r="AN2247" s="24"/>
      <c r="AO2247" s="24"/>
      <c r="AP2247" s="24"/>
      <c r="AQ2247" s="24"/>
      <c r="AR2247" s="54"/>
    </row>
    <row r="2248">
      <c r="A2248" s="57"/>
      <c r="B2248" s="24"/>
      <c r="C2248" s="24"/>
      <c r="D2248" s="24"/>
      <c r="E2248" s="24"/>
      <c r="F2248" s="24"/>
      <c r="G2248" s="24"/>
      <c r="H2248" s="24"/>
      <c r="I2248" s="24"/>
      <c r="J2248" s="24"/>
      <c r="K2248" s="24"/>
      <c r="L2248" s="24"/>
      <c r="M2248" s="24"/>
      <c r="N2248" s="24"/>
      <c r="O2248" s="24"/>
      <c r="P2248" s="24"/>
      <c r="Q2248" s="24"/>
      <c r="R2248" s="24"/>
      <c r="S2248" s="24"/>
      <c r="T2248" s="24"/>
      <c r="U2248" s="24"/>
      <c r="V2248" s="24"/>
      <c r="W2248" s="24"/>
      <c r="X2248" s="24"/>
      <c r="Y2248" s="24"/>
      <c r="Z2248" s="24"/>
      <c r="AA2248" s="24"/>
      <c r="AB2248" s="24"/>
      <c r="AC2248" s="24"/>
      <c r="AD2248" s="24"/>
      <c r="AE2248" s="24"/>
      <c r="AF2248" s="24"/>
      <c r="AG2248" s="24"/>
      <c r="AH2248" s="24"/>
      <c r="AI2248" s="24"/>
      <c r="AJ2248" s="24"/>
      <c r="AK2248" s="24"/>
      <c r="AL2248" s="24"/>
      <c r="AM2248" s="24"/>
      <c r="AN2248" s="24"/>
      <c r="AO2248" s="24"/>
      <c r="AP2248" s="24"/>
      <c r="AQ2248" s="24"/>
      <c r="AR2248" s="54"/>
    </row>
    <row r="2249">
      <c r="A2249" s="57"/>
      <c r="B2249" s="24"/>
      <c r="C2249" s="24"/>
      <c r="D2249" s="24"/>
      <c r="E2249" s="24"/>
      <c r="F2249" s="24"/>
      <c r="G2249" s="24"/>
      <c r="H2249" s="24"/>
      <c r="I2249" s="24"/>
      <c r="J2249" s="24"/>
      <c r="K2249" s="24"/>
      <c r="L2249" s="24"/>
      <c r="M2249" s="24"/>
      <c r="N2249" s="24"/>
      <c r="O2249" s="24"/>
      <c r="P2249" s="24"/>
      <c r="Q2249" s="24"/>
      <c r="R2249" s="24"/>
      <c r="S2249" s="24"/>
      <c r="T2249" s="24"/>
      <c r="U2249" s="24"/>
      <c r="V2249" s="24"/>
      <c r="W2249" s="24"/>
      <c r="X2249" s="24"/>
      <c r="Y2249" s="24"/>
      <c r="Z2249" s="24"/>
      <c r="AA2249" s="24"/>
      <c r="AB2249" s="24"/>
      <c r="AC2249" s="24"/>
      <c r="AD2249" s="24"/>
      <c r="AE2249" s="24"/>
      <c r="AF2249" s="24"/>
      <c r="AG2249" s="24"/>
      <c r="AH2249" s="24"/>
      <c r="AI2249" s="24"/>
      <c r="AJ2249" s="24"/>
      <c r="AK2249" s="24"/>
      <c r="AL2249" s="24"/>
      <c r="AM2249" s="24"/>
      <c r="AN2249" s="24"/>
      <c r="AO2249" s="24"/>
      <c r="AP2249" s="24"/>
      <c r="AQ2249" s="24"/>
      <c r="AR2249" s="54"/>
    </row>
    <row r="2250">
      <c r="A2250" s="57"/>
      <c r="B2250" s="24"/>
      <c r="C2250" s="24"/>
      <c r="D2250" s="24"/>
      <c r="E2250" s="24"/>
      <c r="F2250" s="24"/>
      <c r="G2250" s="24"/>
      <c r="H2250" s="24"/>
      <c r="I2250" s="24"/>
      <c r="J2250" s="24"/>
      <c r="K2250" s="24"/>
      <c r="L2250" s="24"/>
      <c r="M2250" s="24"/>
      <c r="N2250" s="24"/>
      <c r="O2250" s="24"/>
      <c r="P2250" s="24"/>
      <c r="Q2250" s="24"/>
      <c r="R2250" s="24"/>
      <c r="S2250" s="24"/>
      <c r="T2250" s="24"/>
      <c r="U2250" s="24"/>
      <c r="V2250" s="24"/>
      <c r="W2250" s="24"/>
      <c r="X2250" s="24"/>
      <c r="Y2250" s="24"/>
      <c r="Z2250" s="24"/>
      <c r="AA2250" s="24"/>
      <c r="AB2250" s="24"/>
      <c r="AC2250" s="24"/>
      <c r="AD2250" s="24"/>
      <c r="AE2250" s="24"/>
      <c r="AF2250" s="24"/>
      <c r="AG2250" s="24"/>
      <c r="AH2250" s="24"/>
      <c r="AI2250" s="24"/>
      <c r="AJ2250" s="24"/>
      <c r="AK2250" s="24"/>
      <c r="AL2250" s="24"/>
      <c r="AM2250" s="24"/>
      <c r="AN2250" s="24"/>
      <c r="AO2250" s="24"/>
      <c r="AP2250" s="24"/>
      <c r="AQ2250" s="24"/>
      <c r="AR2250" s="54"/>
    </row>
    <row r="2251">
      <c r="A2251" s="57"/>
      <c r="B2251" s="24"/>
      <c r="C2251" s="24"/>
      <c r="D2251" s="24"/>
      <c r="E2251" s="24"/>
      <c r="F2251" s="24"/>
      <c r="G2251" s="24"/>
      <c r="H2251" s="24"/>
      <c r="I2251" s="24"/>
      <c r="J2251" s="24"/>
      <c r="K2251" s="24"/>
      <c r="L2251" s="24"/>
      <c r="M2251" s="24"/>
      <c r="N2251" s="24"/>
      <c r="O2251" s="24"/>
      <c r="P2251" s="24"/>
      <c r="Q2251" s="24"/>
      <c r="R2251" s="24"/>
      <c r="S2251" s="24"/>
      <c r="T2251" s="24"/>
      <c r="U2251" s="24"/>
      <c r="V2251" s="24"/>
      <c r="W2251" s="24"/>
      <c r="X2251" s="24"/>
      <c r="Y2251" s="24"/>
      <c r="Z2251" s="24"/>
      <c r="AA2251" s="24"/>
      <c r="AB2251" s="24"/>
      <c r="AC2251" s="24"/>
      <c r="AD2251" s="24"/>
      <c r="AE2251" s="24"/>
      <c r="AF2251" s="24"/>
      <c r="AG2251" s="24"/>
      <c r="AH2251" s="24"/>
      <c r="AI2251" s="24"/>
      <c r="AJ2251" s="24"/>
      <c r="AK2251" s="24"/>
      <c r="AL2251" s="24"/>
      <c r="AM2251" s="24"/>
      <c r="AN2251" s="24"/>
      <c r="AO2251" s="24"/>
      <c r="AP2251" s="24"/>
      <c r="AQ2251" s="24"/>
      <c r="AR2251" s="54"/>
    </row>
    <row r="2252">
      <c r="A2252" s="57"/>
      <c r="B2252" s="24"/>
      <c r="C2252" s="24"/>
      <c r="D2252" s="24"/>
      <c r="E2252" s="24"/>
      <c r="F2252" s="24"/>
      <c r="G2252" s="24"/>
      <c r="H2252" s="24"/>
      <c r="I2252" s="24"/>
      <c r="J2252" s="24"/>
      <c r="K2252" s="24"/>
      <c r="L2252" s="24"/>
      <c r="M2252" s="24"/>
      <c r="N2252" s="24"/>
      <c r="O2252" s="24"/>
      <c r="P2252" s="24"/>
      <c r="Q2252" s="24"/>
      <c r="R2252" s="24"/>
      <c r="S2252" s="24"/>
      <c r="T2252" s="24"/>
      <c r="U2252" s="24"/>
      <c r="V2252" s="24"/>
      <c r="W2252" s="24"/>
      <c r="X2252" s="24"/>
      <c r="Y2252" s="24"/>
      <c r="Z2252" s="24"/>
      <c r="AA2252" s="24"/>
      <c r="AB2252" s="24"/>
      <c r="AC2252" s="24"/>
      <c r="AD2252" s="24"/>
      <c r="AE2252" s="24"/>
      <c r="AF2252" s="24"/>
      <c r="AG2252" s="24"/>
      <c r="AH2252" s="24"/>
      <c r="AI2252" s="24"/>
      <c r="AJ2252" s="24"/>
      <c r="AK2252" s="24"/>
      <c r="AL2252" s="24"/>
      <c r="AM2252" s="24"/>
      <c r="AN2252" s="24"/>
      <c r="AO2252" s="24"/>
      <c r="AP2252" s="24"/>
      <c r="AQ2252" s="24"/>
      <c r="AR2252" s="54"/>
    </row>
    <row r="2253">
      <c r="A2253" s="57"/>
      <c r="B2253" s="24"/>
      <c r="C2253" s="24"/>
      <c r="D2253" s="24"/>
      <c r="E2253" s="24"/>
      <c r="F2253" s="24"/>
      <c r="G2253" s="24"/>
      <c r="H2253" s="24"/>
      <c r="I2253" s="24"/>
      <c r="J2253" s="24"/>
      <c r="K2253" s="24"/>
      <c r="L2253" s="24"/>
      <c r="M2253" s="24"/>
      <c r="N2253" s="24"/>
      <c r="O2253" s="24"/>
      <c r="P2253" s="24"/>
      <c r="Q2253" s="24"/>
      <c r="R2253" s="24"/>
      <c r="S2253" s="24"/>
      <c r="T2253" s="24"/>
      <c r="U2253" s="24"/>
      <c r="V2253" s="24"/>
      <c r="W2253" s="24"/>
      <c r="X2253" s="24"/>
      <c r="Y2253" s="24"/>
      <c r="Z2253" s="24"/>
      <c r="AA2253" s="24"/>
      <c r="AB2253" s="24"/>
      <c r="AC2253" s="24"/>
      <c r="AD2253" s="24"/>
      <c r="AE2253" s="24"/>
      <c r="AF2253" s="24"/>
      <c r="AG2253" s="24"/>
      <c r="AH2253" s="24"/>
      <c r="AI2253" s="24"/>
      <c r="AJ2253" s="24"/>
      <c r="AK2253" s="24"/>
      <c r="AL2253" s="24"/>
      <c r="AM2253" s="24"/>
      <c r="AN2253" s="24"/>
      <c r="AO2253" s="24"/>
      <c r="AP2253" s="24"/>
      <c r="AQ2253" s="24"/>
      <c r="AR2253" s="54"/>
    </row>
    <row r="2254">
      <c r="A2254" s="57"/>
      <c r="B2254" s="24"/>
      <c r="C2254" s="24"/>
      <c r="D2254" s="24"/>
      <c r="E2254" s="24"/>
      <c r="F2254" s="24"/>
      <c r="G2254" s="24"/>
      <c r="H2254" s="24"/>
      <c r="I2254" s="24"/>
      <c r="J2254" s="24"/>
      <c r="K2254" s="24"/>
      <c r="L2254" s="24"/>
      <c r="M2254" s="24"/>
      <c r="N2254" s="24"/>
      <c r="O2254" s="24"/>
      <c r="P2254" s="24"/>
      <c r="Q2254" s="24"/>
      <c r="R2254" s="24"/>
      <c r="S2254" s="24"/>
      <c r="T2254" s="24"/>
      <c r="U2254" s="24"/>
      <c r="V2254" s="24"/>
      <c r="W2254" s="24"/>
      <c r="X2254" s="24"/>
      <c r="Y2254" s="24"/>
      <c r="Z2254" s="24"/>
      <c r="AA2254" s="24"/>
      <c r="AB2254" s="24"/>
      <c r="AC2254" s="24"/>
      <c r="AD2254" s="24"/>
      <c r="AE2254" s="24"/>
      <c r="AF2254" s="24"/>
      <c r="AG2254" s="24"/>
      <c r="AH2254" s="24"/>
      <c r="AI2254" s="24"/>
      <c r="AJ2254" s="24"/>
      <c r="AK2254" s="24"/>
      <c r="AL2254" s="24"/>
      <c r="AM2254" s="24"/>
      <c r="AN2254" s="24"/>
      <c r="AO2254" s="24"/>
      <c r="AP2254" s="24"/>
      <c r="AQ2254" s="24"/>
      <c r="AR2254" s="54"/>
    </row>
    <row r="2255">
      <c r="A2255" s="57"/>
      <c r="B2255" s="24"/>
      <c r="C2255" s="24"/>
      <c r="D2255" s="24"/>
      <c r="E2255" s="24"/>
      <c r="F2255" s="24"/>
      <c r="G2255" s="24"/>
      <c r="H2255" s="24"/>
      <c r="I2255" s="24"/>
      <c r="J2255" s="24"/>
      <c r="K2255" s="24"/>
      <c r="L2255" s="24"/>
      <c r="M2255" s="24"/>
      <c r="N2255" s="24"/>
      <c r="O2255" s="24"/>
      <c r="P2255" s="24"/>
      <c r="Q2255" s="24"/>
      <c r="R2255" s="24"/>
      <c r="S2255" s="24"/>
      <c r="T2255" s="24"/>
      <c r="U2255" s="24"/>
      <c r="V2255" s="24"/>
      <c r="W2255" s="24"/>
      <c r="X2255" s="24"/>
      <c r="Y2255" s="24"/>
      <c r="Z2255" s="24"/>
      <c r="AA2255" s="24"/>
      <c r="AB2255" s="24"/>
      <c r="AC2255" s="24"/>
      <c r="AD2255" s="24"/>
      <c r="AE2255" s="24"/>
      <c r="AF2255" s="24"/>
      <c r="AG2255" s="24"/>
      <c r="AH2255" s="24"/>
      <c r="AI2255" s="24"/>
      <c r="AJ2255" s="24"/>
      <c r="AK2255" s="24"/>
      <c r="AL2255" s="24"/>
      <c r="AM2255" s="24"/>
      <c r="AN2255" s="24"/>
      <c r="AO2255" s="24"/>
      <c r="AP2255" s="24"/>
      <c r="AQ2255" s="24"/>
      <c r="AR2255" s="54"/>
    </row>
    <row r="2256">
      <c r="A2256" s="57"/>
      <c r="B2256" s="24"/>
      <c r="C2256" s="24"/>
      <c r="D2256" s="24"/>
      <c r="E2256" s="24"/>
      <c r="F2256" s="24"/>
      <c r="G2256" s="24"/>
      <c r="H2256" s="24"/>
      <c r="I2256" s="24"/>
      <c r="J2256" s="24"/>
      <c r="K2256" s="24"/>
      <c r="L2256" s="24"/>
      <c r="M2256" s="24"/>
      <c r="N2256" s="24"/>
      <c r="O2256" s="24"/>
      <c r="P2256" s="24"/>
      <c r="Q2256" s="24"/>
      <c r="R2256" s="24"/>
      <c r="S2256" s="24"/>
      <c r="T2256" s="24"/>
      <c r="U2256" s="24"/>
      <c r="V2256" s="24"/>
      <c r="W2256" s="24"/>
      <c r="X2256" s="24"/>
      <c r="Y2256" s="24"/>
      <c r="Z2256" s="24"/>
      <c r="AA2256" s="24"/>
      <c r="AB2256" s="24"/>
      <c r="AC2256" s="24"/>
      <c r="AD2256" s="24"/>
      <c r="AE2256" s="24"/>
      <c r="AF2256" s="24"/>
      <c r="AG2256" s="24"/>
      <c r="AH2256" s="24"/>
      <c r="AI2256" s="24"/>
      <c r="AJ2256" s="24"/>
      <c r="AK2256" s="24"/>
      <c r="AL2256" s="24"/>
      <c r="AM2256" s="24"/>
      <c r="AN2256" s="24"/>
      <c r="AO2256" s="24"/>
      <c r="AP2256" s="24"/>
      <c r="AQ2256" s="24"/>
      <c r="AR2256" s="54"/>
    </row>
    <row r="2257">
      <c r="A2257" s="57"/>
      <c r="B2257" s="24"/>
      <c r="C2257" s="24"/>
      <c r="D2257" s="24"/>
      <c r="E2257" s="24"/>
      <c r="F2257" s="24"/>
      <c r="G2257" s="24"/>
      <c r="H2257" s="24"/>
      <c r="I2257" s="24"/>
      <c r="J2257" s="24"/>
      <c r="K2257" s="24"/>
      <c r="L2257" s="24"/>
      <c r="M2257" s="24"/>
      <c r="N2257" s="24"/>
      <c r="O2257" s="24"/>
      <c r="P2257" s="24"/>
      <c r="Q2257" s="24"/>
      <c r="R2257" s="24"/>
      <c r="S2257" s="24"/>
      <c r="T2257" s="24"/>
      <c r="U2257" s="24"/>
      <c r="V2257" s="24"/>
      <c r="W2257" s="24"/>
      <c r="X2257" s="24"/>
      <c r="Y2257" s="24"/>
      <c r="Z2257" s="24"/>
      <c r="AA2257" s="24"/>
      <c r="AB2257" s="24"/>
      <c r="AC2257" s="24"/>
      <c r="AD2257" s="24"/>
      <c r="AE2257" s="24"/>
      <c r="AF2257" s="24"/>
      <c r="AG2257" s="24"/>
      <c r="AH2257" s="24"/>
      <c r="AI2257" s="24"/>
      <c r="AJ2257" s="24"/>
      <c r="AK2257" s="24"/>
      <c r="AL2257" s="24"/>
      <c r="AM2257" s="24"/>
      <c r="AN2257" s="24"/>
      <c r="AO2257" s="24"/>
      <c r="AP2257" s="24"/>
      <c r="AQ2257" s="24"/>
      <c r="AR2257" s="54"/>
    </row>
    <row r="2258">
      <c r="A2258" s="57"/>
      <c r="B2258" s="24"/>
      <c r="C2258" s="24"/>
      <c r="D2258" s="24"/>
      <c r="E2258" s="24"/>
      <c r="F2258" s="24"/>
      <c r="G2258" s="24"/>
      <c r="H2258" s="24"/>
      <c r="I2258" s="24"/>
      <c r="J2258" s="24"/>
      <c r="K2258" s="24"/>
      <c r="L2258" s="24"/>
      <c r="M2258" s="24"/>
      <c r="N2258" s="24"/>
      <c r="O2258" s="24"/>
      <c r="P2258" s="24"/>
      <c r="Q2258" s="24"/>
      <c r="R2258" s="24"/>
      <c r="S2258" s="24"/>
      <c r="T2258" s="24"/>
      <c r="U2258" s="24"/>
      <c r="V2258" s="24"/>
      <c r="W2258" s="24"/>
      <c r="X2258" s="24"/>
      <c r="Y2258" s="24"/>
      <c r="Z2258" s="24"/>
      <c r="AA2258" s="24"/>
      <c r="AB2258" s="24"/>
      <c r="AC2258" s="24"/>
      <c r="AD2258" s="24"/>
      <c r="AE2258" s="24"/>
      <c r="AF2258" s="24"/>
      <c r="AG2258" s="24"/>
      <c r="AH2258" s="24"/>
      <c r="AI2258" s="24"/>
      <c r="AJ2258" s="24"/>
      <c r="AK2258" s="24"/>
      <c r="AL2258" s="24"/>
      <c r="AM2258" s="24"/>
      <c r="AN2258" s="24"/>
      <c r="AO2258" s="24"/>
      <c r="AP2258" s="24"/>
      <c r="AQ2258" s="24"/>
      <c r="AR2258" s="54"/>
    </row>
    <row r="2259">
      <c r="A2259" s="57"/>
      <c r="B2259" s="24"/>
      <c r="C2259" s="24"/>
      <c r="D2259" s="24"/>
      <c r="E2259" s="24"/>
      <c r="F2259" s="24"/>
      <c r="G2259" s="24"/>
      <c r="H2259" s="24"/>
      <c r="I2259" s="24"/>
      <c r="J2259" s="24"/>
      <c r="K2259" s="24"/>
      <c r="L2259" s="24"/>
      <c r="M2259" s="24"/>
      <c r="N2259" s="24"/>
      <c r="O2259" s="24"/>
      <c r="P2259" s="24"/>
      <c r="Q2259" s="24"/>
      <c r="R2259" s="24"/>
      <c r="S2259" s="24"/>
      <c r="T2259" s="24"/>
      <c r="U2259" s="24"/>
      <c r="V2259" s="24"/>
      <c r="W2259" s="24"/>
      <c r="X2259" s="24"/>
      <c r="Y2259" s="24"/>
      <c r="Z2259" s="24"/>
      <c r="AA2259" s="24"/>
      <c r="AB2259" s="24"/>
      <c r="AC2259" s="24"/>
      <c r="AD2259" s="24"/>
      <c r="AE2259" s="24"/>
      <c r="AF2259" s="24"/>
      <c r="AG2259" s="24"/>
      <c r="AH2259" s="24"/>
      <c r="AI2259" s="24"/>
      <c r="AJ2259" s="24"/>
      <c r="AK2259" s="24"/>
      <c r="AL2259" s="24"/>
      <c r="AM2259" s="24"/>
      <c r="AN2259" s="24"/>
      <c r="AO2259" s="24"/>
      <c r="AP2259" s="24"/>
      <c r="AQ2259" s="24"/>
      <c r="AR2259" s="54"/>
    </row>
    <row r="2260">
      <c r="A2260" s="57"/>
      <c r="B2260" s="24"/>
      <c r="C2260" s="24"/>
      <c r="D2260" s="24"/>
      <c r="E2260" s="24"/>
      <c r="F2260" s="24"/>
      <c r="G2260" s="24"/>
      <c r="H2260" s="24"/>
      <c r="I2260" s="24"/>
      <c r="J2260" s="24"/>
      <c r="K2260" s="24"/>
      <c r="L2260" s="24"/>
      <c r="M2260" s="24"/>
      <c r="N2260" s="24"/>
      <c r="O2260" s="24"/>
      <c r="P2260" s="24"/>
      <c r="Q2260" s="24"/>
      <c r="R2260" s="24"/>
      <c r="S2260" s="24"/>
      <c r="T2260" s="24"/>
      <c r="U2260" s="24"/>
      <c r="V2260" s="24"/>
      <c r="W2260" s="24"/>
      <c r="X2260" s="24"/>
      <c r="Y2260" s="24"/>
      <c r="Z2260" s="24"/>
      <c r="AA2260" s="24"/>
      <c r="AB2260" s="24"/>
      <c r="AC2260" s="24"/>
      <c r="AD2260" s="24"/>
      <c r="AE2260" s="24"/>
      <c r="AF2260" s="24"/>
      <c r="AG2260" s="24"/>
      <c r="AH2260" s="24"/>
      <c r="AI2260" s="24"/>
      <c r="AJ2260" s="24"/>
      <c r="AK2260" s="24"/>
      <c r="AL2260" s="24"/>
      <c r="AM2260" s="24"/>
      <c r="AN2260" s="24"/>
      <c r="AO2260" s="24"/>
      <c r="AP2260" s="24"/>
      <c r="AQ2260" s="24"/>
      <c r="AR2260" s="54"/>
    </row>
    <row r="2261">
      <c r="A2261" s="57"/>
      <c r="B2261" s="24"/>
      <c r="C2261" s="24"/>
      <c r="D2261" s="24"/>
      <c r="E2261" s="24"/>
      <c r="F2261" s="24"/>
      <c r="G2261" s="24"/>
      <c r="H2261" s="24"/>
      <c r="I2261" s="24"/>
      <c r="J2261" s="24"/>
      <c r="K2261" s="24"/>
      <c r="L2261" s="24"/>
      <c r="M2261" s="24"/>
      <c r="N2261" s="24"/>
      <c r="O2261" s="24"/>
      <c r="P2261" s="24"/>
      <c r="Q2261" s="24"/>
      <c r="R2261" s="24"/>
      <c r="S2261" s="24"/>
      <c r="T2261" s="24"/>
      <c r="U2261" s="24"/>
      <c r="V2261" s="24"/>
      <c r="W2261" s="24"/>
      <c r="X2261" s="24"/>
      <c r="Y2261" s="24"/>
      <c r="Z2261" s="24"/>
      <c r="AA2261" s="24"/>
      <c r="AB2261" s="24"/>
      <c r="AC2261" s="24"/>
      <c r="AD2261" s="24"/>
      <c r="AE2261" s="24"/>
      <c r="AF2261" s="24"/>
      <c r="AG2261" s="24"/>
      <c r="AH2261" s="24"/>
      <c r="AI2261" s="24"/>
      <c r="AJ2261" s="24"/>
      <c r="AK2261" s="24"/>
      <c r="AL2261" s="24"/>
      <c r="AM2261" s="24"/>
      <c r="AN2261" s="24"/>
      <c r="AO2261" s="24"/>
      <c r="AP2261" s="24"/>
      <c r="AQ2261" s="24"/>
      <c r="AR2261" s="54"/>
    </row>
    <row r="2262">
      <c r="A2262" s="57"/>
      <c r="B2262" s="24"/>
      <c r="C2262" s="24"/>
      <c r="D2262" s="24"/>
      <c r="E2262" s="24"/>
      <c r="F2262" s="24"/>
      <c r="G2262" s="24"/>
      <c r="H2262" s="24"/>
      <c r="I2262" s="24"/>
      <c r="J2262" s="24"/>
      <c r="K2262" s="24"/>
      <c r="L2262" s="24"/>
      <c r="M2262" s="24"/>
      <c r="N2262" s="24"/>
      <c r="O2262" s="24"/>
      <c r="P2262" s="24"/>
      <c r="Q2262" s="24"/>
      <c r="R2262" s="24"/>
      <c r="S2262" s="24"/>
      <c r="T2262" s="24"/>
      <c r="U2262" s="24"/>
      <c r="V2262" s="24"/>
      <c r="W2262" s="24"/>
      <c r="X2262" s="24"/>
      <c r="Y2262" s="24"/>
      <c r="Z2262" s="24"/>
      <c r="AA2262" s="24"/>
      <c r="AB2262" s="24"/>
      <c r="AC2262" s="24"/>
      <c r="AD2262" s="24"/>
      <c r="AE2262" s="24"/>
      <c r="AF2262" s="24"/>
      <c r="AG2262" s="24"/>
      <c r="AH2262" s="24"/>
      <c r="AI2262" s="24"/>
      <c r="AJ2262" s="24"/>
      <c r="AK2262" s="24"/>
      <c r="AL2262" s="24"/>
      <c r="AM2262" s="24"/>
      <c r="AN2262" s="24"/>
      <c r="AO2262" s="24"/>
      <c r="AP2262" s="24"/>
      <c r="AQ2262" s="24"/>
      <c r="AR2262" s="54"/>
    </row>
    <row r="2263">
      <c r="A2263" s="57"/>
      <c r="B2263" s="24"/>
      <c r="C2263" s="24"/>
      <c r="D2263" s="24"/>
      <c r="E2263" s="24"/>
      <c r="F2263" s="24"/>
      <c r="G2263" s="24"/>
      <c r="H2263" s="24"/>
      <c r="I2263" s="24"/>
      <c r="J2263" s="24"/>
      <c r="K2263" s="24"/>
      <c r="L2263" s="24"/>
      <c r="M2263" s="24"/>
      <c r="N2263" s="24"/>
      <c r="O2263" s="24"/>
      <c r="P2263" s="24"/>
      <c r="Q2263" s="24"/>
      <c r="R2263" s="24"/>
      <c r="S2263" s="24"/>
      <c r="T2263" s="24"/>
      <c r="U2263" s="24"/>
      <c r="V2263" s="24"/>
      <c r="W2263" s="24"/>
      <c r="X2263" s="24"/>
      <c r="Y2263" s="24"/>
      <c r="Z2263" s="24"/>
      <c r="AA2263" s="24"/>
      <c r="AB2263" s="24"/>
      <c r="AC2263" s="24"/>
      <c r="AD2263" s="24"/>
      <c r="AE2263" s="24"/>
      <c r="AF2263" s="24"/>
      <c r="AG2263" s="24"/>
      <c r="AH2263" s="24"/>
      <c r="AI2263" s="24"/>
      <c r="AJ2263" s="24"/>
      <c r="AK2263" s="24"/>
      <c r="AL2263" s="24"/>
      <c r="AM2263" s="24"/>
      <c r="AN2263" s="24"/>
      <c r="AO2263" s="24"/>
      <c r="AP2263" s="24"/>
      <c r="AQ2263" s="24"/>
      <c r="AR2263" s="54"/>
    </row>
    <row r="2264">
      <c r="A2264" s="57"/>
      <c r="B2264" s="24"/>
      <c r="C2264" s="24"/>
      <c r="D2264" s="24"/>
      <c r="E2264" s="24"/>
      <c r="F2264" s="24"/>
      <c r="G2264" s="24"/>
      <c r="H2264" s="24"/>
      <c r="I2264" s="24"/>
      <c r="J2264" s="24"/>
      <c r="K2264" s="24"/>
      <c r="L2264" s="24"/>
      <c r="M2264" s="24"/>
      <c r="N2264" s="24"/>
      <c r="O2264" s="24"/>
      <c r="P2264" s="24"/>
      <c r="Q2264" s="24"/>
      <c r="R2264" s="24"/>
      <c r="S2264" s="24"/>
      <c r="T2264" s="24"/>
      <c r="U2264" s="24"/>
      <c r="V2264" s="24"/>
      <c r="W2264" s="24"/>
      <c r="X2264" s="24"/>
      <c r="Y2264" s="24"/>
      <c r="Z2264" s="24"/>
      <c r="AA2264" s="24"/>
      <c r="AB2264" s="24"/>
      <c r="AC2264" s="24"/>
      <c r="AD2264" s="24"/>
      <c r="AE2264" s="24"/>
      <c r="AF2264" s="24"/>
      <c r="AG2264" s="24"/>
      <c r="AH2264" s="24"/>
      <c r="AI2264" s="24"/>
      <c r="AJ2264" s="24"/>
      <c r="AK2264" s="24"/>
      <c r="AL2264" s="24"/>
      <c r="AM2264" s="24"/>
      <c r="AN2264" s="24"/>
      <c r="AO2264" s="24"/>
      <c r="AP2264" s="24"/>
      <c r="AQ2264" s="24"/>
      <c r="AR2264" s="54"/>
    </row>
    <row r="2265">
      <c r="A2265" s="57"/>
      <c r="B2265" s="24"/>
      <c r="C2265" s="24"/>
      <c r="D2265" s="24"/>
      <c r="E2265" s="24"/>
      <c r="F2265" s="24"/>
      <c r="G2265" s="24"/>
      <c r="H2265" s="24"/>
      <c r="I2265" s="24"/>
      <c r="J2265" s="24"/>
      <c r="K2265" s="24"/>
      <c r="L2265" s="24"/>
      <c r="M2265" s="24"/>
      <c r="N2265" s="24"/>
      <c r="O2265" s="24"/>
      <c r="P2265" s="24"/>
      <c r="Q2265" s="24"/>
      <c r="R2265" s="24"/>
      <c r="S2265" s="24"/>
      <c r="T2265" s="24"/>
      <c r="U2265" s="24"/>
      <c r="V2265" s="24"/>
      <c r="W2265" s="24"/>
      <c r="X2265" s="24"/>
      <c r="Y2265" s="24"/>
      <c r="Z2265" s="24"/>
      <c r="AA2265" s="24"/>
      <c r="AB2265" s="24"/>
      <c r="AC2265" s="24"/>
      <c r="AD2265" s="24"/>
      <c r="AE2265" s="24"/>
      <c r="AF2265" s="24"/>
      <c r="AG2265" s="24"/>
      <c r="AH2265" s="24"/>
      <c r="AI2265" s="24"/>
      <c r="AJ2265" s="24"/>
      <c r="AK2265" s="24"/>
      <c r="AL2265" s="24"/>
      <c r="AM2265" s="24"/>
      <c r="AN2265" s="24"/>
      <c r="AO2265" s="24"/>
      <c r="AP2265" s="24"/>
      <c r="AQ2265" s="24"/>
      <c r="AR2265" s="54"/>
    </row>
    <row r="2266">
      <c r="A2266" s="57"/>
      <c r="B2266" s="24"/>
      <c r="C2266" s="24"/>
      <c r="D2266" s="24"/>
      <c r="E2266" s="24"/>
      <c r="F2266" s="24"/>
      <c r="G2266" s="24"/>
      <c r="H2266" s="24"/>
      <c r="I2266" s="24"/>
      <c r="J2266" s="24"/>
      <c r="K2266" s="24"/>
      <c r="L2266" s="24"/>
      <c r="M2266" s="24"/>
      <c r="N2266" s="24"/>
      <c r="O2266" s="24"/>
      <c r="P2266" s="24"/>
      <c r="Q2266" s="24"/>
      <c r="R2266" s="24"/>
      <c r="S2266" s="24"/>
      <c r="T2266" s="24"/>
      <c r="U2266" s="24"/>
      <c r="V2266" s="24"/>
      <c r="W2266" s="24"/>
      <c r="X2266" s="24"/>
      <c r="Y2266" s="24"/>
      <c r="Z2266" s="24"/>
      <c r="AA2266" s="24"/>
      <c r="AB2266" s="24"/>
      <c r="AC2266" s="24"/>
      <c r="AD2266" s="24"/>
      <c r="AE2266" s="24"/>
      <c r="AF2266" s="24"/>
      <c r="AG2266" s="24"/>
      <c r="AH2266" s="24"/>
      <c r="AI2266" s="24"/>
      <c r="AJ2266" s="24"/>
      <c r="AK2266" s="24"/>
      <c r="AL2266" s="24"/>
      <c r="AM2266" s="24"/>
      <c r="AN2266" s="24"/>
      <c r="AO2266" s="24"/>
      <c r="AP2266" s="24"/>
      <c r="AQ2266" s="24"/>
      <c r="AR2266" s="54"/>
    </row>
    <row r="2267">
      <c r="A2267" s="57"/>
      <c r="B2267" s="24"/>
      <c r="C2267" s="24"/>
      <c r="D2267" s="24"/>
      <c r="E2267" s="24"/>
      <c r="F2267" s="24"/>
      <c r="G2267" s="24"/>
      <c r="H2267" s="24"/>
      <c r="I2267" s="24"/>
      <c r="J2267" s="24"/>
      <c r="K2267" s="24"/>
      <c r="L2267" s="24"/>
      <c r="M2267" s="24"/>
      <c r="N2267" s="24"/>
      <c r="O2267" s="24"/>
      <c r="P2267" s="24"/>
      <c r="Q2267" s="24"/>
      <c r="R2267" s="24"/>
      <c r="S2267" s="24"/>
      <c r="T2267" s="24"/>
      <c r="U2267" s="24"/>
      <c r="V2267" s="24"/>
      <c r="W2267" s="24"/>
      <c r="X2267" s="24"/>
      <c r="Y2267" s="24"/>
      <c r="Z2267" s="24"/>
      <c r="AA2267" s="24"/>
      <c r="AB2267" s="24"/>
      <c r="AC2267" s="24"/>
      <c r="AD2267" s="24"/>
      <c r="AE2267" s="24"/>
      <c r="AF2267" s="24"/>
      <c r="AG2267" s="24"/>
      <c r="AH2267" s="24"/>
      <c r="AI2267" s="24"/>
      <c r="AJ2267" s="24"/>
      <c r="AK2267" s="24"/>
      <c r="AL2267" s="24"/>
      <c r="AM2267" s="24"/>
      <c r="AN2267" s="24"/>
      <c r="AO2267" s="24"/>
      <c r="AP2267" s="24"/>
      <c r="AQ2267" s="24"/>
      <c r="AR2267" s="54"/>
    </row>
    <row r="2268">
      <c r="A2268" s="57"/>
      <c r="B2268" s="24"/>
      <c r="C2268" s="24"/>
      <c r="D2268" s="24"/>
      <c r="E2268" s="24"/>
      <c r="F2268" s="24"/>
      <c r="G2268" s="24"/>
      <c r="H2268" s="24"/>
      <c r="I2268" s="24"/>
      <c r="J2268" s="24"/>
      <c r="K2268" s="24"/>
      <c r="L2268" s="24"/>
      <c r="M2268" s="24"/>
      <c r="N2268" s="24"/>
      <c r="O2268" s="24"/>
      <c r="P2268" s="24"/>
      <c r="Q2268" s="24"/>
      <c r="R2268" s="24"/>
      <c r="S2268" s="24"/>
      <c r="T2268" s="24"/>
      <c r="U2268" s="24"/>
      <c r="V2268" s="24"/>
      <c r="W2268" s="24"/>
      <c r="X2268" s="24"/>
      <c r="Y2268" s="24"/>
      <c r="Z2268" s="24"/>
      <c r="AA2268" s="24"/>
      <c r="AB2268" s="24"/>
      <c r="AC2268" s="24"/>
      <c r="AD2268" s="24"/>
      <c r="AE2268" s="24"/>
      <c r="AF2268" s="24"/>
      <c r="AG2268" s="24"/>
      <c r="AH2268" s="24"/>
      <c r="AI2268" s="24"/>
      <c r="AJ2268" s="24"/>
      <c r="AK2268" s="24"/>
      <c r="AL2268" s="24"/>
      <c r="AM2268" s="24"/>
      <c r="AN2268" s="24"/>
      <c r="AO2268" s="24"/>
      <c r="AP2268" s="24"/>
      <c r="AQ2268" s="24"/>
      <c r="AR2268" s="54"/>
    </row>
    <row r="2269">
      <c r="A2269" s="57"/>
      <c r="B2269" s="24"/>
      <c r="C2269" s="24"/>
      <c r="D2269" s="24"/>
      <c r="E2269" s="24"/>
      <c r="F2269" s="24"/>
      <c r="G2269" s="24"/>
      <c r="H2269" s="24"/>
      <c r="I2269" s="24"/>
      <c r="J2269" s="24"/>
      <c r="K2269" s="24"/>
      <c r="L2269" s="24"/>
      <c r="M2269" s="24"/>
      <c r="N2269" s="24"/>
      <c r="O2269" s="24"/>
      <c r="P2269" s="24"/>
      <c r="Q2269" s="24"/>
      <c r="R2269" s="24"/>
      <c r="S2269" s="24"/>
      <c r="T2269" s="24"/>
      <c r="U2269" s="24"/>
      <c r="V2269" s="24"/>
      <c r="W2269" s="24"/>
      <c r="X2269" s="24"/>
      <c r="Y2269" s="24"/>
      <c r="Z2269" s="24"/>
      <c r="AA2269" s="24"/>
      <c r="AB2269" s="24"/>
      <c r="AC2269" s="24"/>
      <c r="AD2269" s="24"/>
      <c r="AE2269" s="24"/>
      <c r="AF2269" s="24"/>
      <c r="AG2269" s="24"/>
      <c r="AH2269" s="24"/>
      <c r="AI2269" s="24"/>
      <c r="AJ2269" s="24"/>
      <c r="AK2269" s="24"/>
      <c r="AL2269" s="24"/>
      <c r="AM2269" s="24"/>
      <c r="AN2269" s="24"/>
      <c r="AO2269" s="24"/>
      <c r="AP2269" s="24"/>
      <c r="AQ2269" s="24"/>
      <c r="AR2269" s="54"/>
    </row>
    <row r="2270">
      <c r="A2270" s="57"/>
      <c r="B2270" s="24"/>
      <c r="C2270" s="24"/>
      <c r="D2270" s="24"/>
      <c r="E2270" s="24"/>
      <c r="F2270" s="24"/>
      <c r="G2270" s="24"/>
      <c r="H2270" s="24"/>
      <c r="I2270" s="24"/>
      <c r="J2270" s="24"/>
      <c r="K2270" s="24"/>
      <c r="L2270" s="24"/>
      <c r="M2270" s="24"/>
      <c r="N2270" s="24"/>
      <c r="O2270" s="24"/>
      <c r="P2270" s="24"/>
      <c r="Q2270" s="24"/>
      <c r="R2270" s="24"/>
      <c r="S2270" s="24"/>
      <c r="T2270" s="24"/>
      <c r="U2270" s="24"/>
      <c r="V2270" s="24"/>
      <c r="W2270" s="24"/>
      <c r="X2270" s="24"/>
      <c r="Y2270" s="24"/>
      <c r="Z2270" s="24"/>
      <c r="AA2270" s="24"/>
      <c r="AB2270" s="24"/>
      <c r="AC2270" s="24"/>
      <c r="AD2270" s="24"/>
      <c r="AE2270" s="24"/>
      <c r="AF2270" s="24"/>
      <c r="AG2270" s="24"/>
      <c r="AH2270" s="24"/>
      <c r="AI2270" s="24"/>
      <c r="AJ2270" s="24"/>
      <c r="AK2270" s="24"/>
      <c r="AL2270" s="24"/>
      <c r="AM2270" s="24"/>
      <c r="AN2270" s="24"/>
      <c r="AO2270" s="24"/>
      <c r="AP2270" s="24"/>
      <c r="AQ2270" s="24"/>
      <c r="AR2270" s="54"/>
    </row>
    <row r="2271">
      <c r="A2271" s="57"/>
      <c r="B2271" s="24"/>
      <c r="C2271" s="24"/>
      <c r="D2271" s="24"/>
      <c r="E2271" s="24"/>
      <c r="F2271" s="24"/>
      <c r="G2271" s="24"/>
      <c r="H2271" s="24"/>
      <c r="I2271" s="24"/>
      <c r="J2271" s="24"/>
      <c r="K2271" s="24"/>
      <c r="L2271" s="24"/>
      <c r="M2271" s="24"/>
      <c r="N2271" s="24"/>
      <c r="O2271" s="24"/>
      <c r="P2271" s="24"/>
      <c r="Q2271" s="24"/>
      <c r="R2271" s="24"/>
      <c r="S2271" s="24"/>
      <c r="T2271" s="24"/>
      <c r="U2271" s="24"/>
      <c r="V2271" s="24"/>
      <c r="W2271" s="24"/>
      <c r="X2271" s="24"/>
      <c r="Y2271" s="24"/>
      <c r="Z2271" s="24"/>
      <c r="AA2271" s="24"/>
      <c r="AB2271" s="24"/>
      <c r="AC2271" s="24"/>
      <c r="AD2271" s="24"/>
      <c r="AE2271" s="24"/>
      <c r="AF2271" s="24"/>
      <c r="AG2271" s="24"/>
      <c r="AH2271" s="24"/>
      <c r="AI2271" s="24"/>
      <c r="AJ2271" s="24"/>
      <c r="AK2271" s="24"/>
      <c r="AL2271" s="24"/>
      <c r="AM2271" s="24"/>
      <c r="AN2271" s="24"/>
      <c r="AO2271" s="24"/>
      <c r="AP2271" s="24"/>
      <c r="AQ2271" s="24"/>
      <c r="AR2271" s="54"/>
    </row>
    <row r="2272">
      <c r="A2272" s="57"/>
      <c r="B2272" s="24"/>
      <c r="C2272" s="24"/>
      <c r="D2272" s="24"/>
      <c r="E2272" s="24"/>
      <c r="F2272" s="24"/>
      <c r="G2272" s="24"/>
      <c r="H2272" s="24"/>
      <c r="I2272" s="24"/>
      <c r="J2272" s="24"/>
      <c r="K2272" s="24"/>
      <c r="L2272" s="24"/>
      <c r="M2272" s="24"/>
      <c r="N2272" s="24"/>
      <c r="O2272" s="24"/>
      <c r="P2272" s="24"/>
      <c r="Q2272" s="24"/>
      <c r="R2272" s="24"/>
      <c r="S2272" s="24"/>
      <c r="T2272" s="24"/>
      <c r="U2272" s="24"/>
      <c r="V2272" s="24"/>
      <c r="W2272" s="24"/>
      <c r="X2272" s="24"/>
      <c r="Y2272" s="24"/>
      <c r="Z2272" s="24"/>
      <c r="AA2272" s="24"/>
      <c r="AB2272" s="24"/>
      <c r="AC2272" s="24"/>
      <c r="AD2272" s="24"/>
      <c r="AE2272" s="24"/>
      <c r="AF2272" s="24"/>
      <c r="AG2272" s="24"/>
      <c r="AH2272" s="24"/>
      <c r="AI2272" s="24"/>
      <c r="AJ2272" s="24"/>
      <c r="AK2272" s="24"/>
      <c r="AL2272" s="24"/>
      <c r="AM2272" s="24"/>
      <c r="AN2272" s="24"/>
      <c r="AO2272" s="24"/>
      <c r="AP2272" s="24"/>
      <c r="AQ2272" s="24"/>
      <c r="AR2272" s="54"/>
    </row>
    <row r="2273">
      <c r="A2273" s="57"/>
      <c r="B2273" s="24"/>
      <c r="C2273" s="24"/>
      <c r="D2273" s="24"/>
      <c r="E2273" s="24"/>
      <c r="F2273" s="24"/>
      <c r="G2273" s="24"/>
      <c r="H2273" s="24"/>
      <c r="I2273" s="24"/>
      <c r="J2273" s="24"/>
      <c r="K2273" s="24"/>
      <c r="L2273" s="24"/>
      <c r="M2273" s="24"/>
      <c r="N2273" s="24"/>
      <c r="O2273" s="24"/>
      <c r="P2273" s="24"/>
      <c r="Q2273" s="24"/>
      <c r="R2273" s="24"/>
      <c r="S2273" s="24"/>
      <c r="T2273" s="24"/>
      <c r="U2273" s="24"/>
      <c r="V2273" s="24"/>
      <c r="W2273" s="24"/>
      <c r="X2273" s="24"/>
      <c r="Y2273" s="24"/>
      <c r="Z2273" s="24"/>
      <c r="AA2273" s="24"/>
      <c r="AB2273" s="24"/>
      <c r="AC2273" s="24"/>
      <c r="AD2273" s="24"/>
      <c r="AE2273" s="24"/>
      <c r="AF2273" s="24"/>
      <c r="AG2273" s="24"/>
      <c r="AH2273" s="24"/>
      <c r="AI2273" s="24"/>
      <c r="AJ2273" s="24"/>
      <c r="AK2273" s="24"/>
      <c r="AL2273" s="24"/>
      <c r="AM2273" s="24"/>
      <c r="AN2273" s="24"/>
      <c r="AO2273" s="24"/>
      <c r="AP2273" s="24"/>
      <c r="AQ2273" s="24"/>
      <c r="AR2273" s="54"/>
    </row>
    <row r="2274">
      <c r="A2274" s="57"/>
      <c r="B2274" s="24"/>
      <c r="C2274" s="24"/>
      <c r="D2274" s="24"/>
      <c r="E2274" s="24"/>
      <c r="F2274" s="24"/>
      <c r="G2274" s="24"/>
      <c r="H2274" s="24"/>
      <c r="I2274" s="24"/>
      <c r="J2274" s="24"/>
      <c r="K2274" s="24"/>
      <c r="L2274" s="24"/>
      <c r="M2274" s="24"/>
      <c r="N2274" s="24"/>
      <c r="O2274" s="24"/>
      <c r="P2274" s="24"/>
      <c r="Q2274" s="24"/>
      <c r="R2274" s="24"/>
      <c r="S2274" s="24"/>
      <c r="T2274" s="24"/>
      <c r="U2274" s="24"/>
      <c r="V2274" s="24"/>
      <c r="W2274" s="24"/>
      <c r="X2274" s="24"/>
      <c r="Y2274" s="24"/>
      <c r="Z2274" s="24"/>
      <c r="AA2274" s="24"/>
      <c r="AB2274" s="24"/>
      <c r="AC2274" s="24"/>
      <c r="AD2274" s="24"/>
      <c r="AE2274" s="24"/>
      <c r="AF2274" s="24"/>
      <c r="AG2274" s="24"/>
      <c r="AH2274" s="24"/>
      <c r="AI2274" s="24"/>
      <c r="AJ2274" s="24"/>
      <c r="AK2274" s="24"/>
      <c r="AL2274" s="24"/>
      <c r="AM2274" s="24"/>
      <c r="AN2274" s="24"/>
      <c r="AO2274" s="24"/>
      <c r="AP2274" s="24"/>
      <c r="AQ2274" s="24"/>
      <c r="AR2274" s="54"/>
    </row>
    <row r="2275">
      <c r="A2275" s="57"/>
      <c r="B2275" s="24"/>
      <c r="C2275" s="24"/>
      <c r="D2275" s="24"/>
      <c r="E2275" s="24"/>
      <c r="F2275" s="24"/>
      <c r="G2275" s="24"/>
      <c r="H2275" s="24"/>
      <c r="I2275" s="24"/>
      <c r="J2275" s="24"/>
      <c r="K2275" s="24"/>
      <c r="L2275" s="24"/>
      <c r="M2275" s="24"/>
      <c r="N2275" s="24"/>
      <c r="O2275" s="24"/>
      <c r="P2275" s="24"/>
      <c r="Q2275" s="24"/>
      <c r="R2275" s="24"/>
      <c r="S2275" s="24"/>
      <c r="T2275" s="24"/>
      <c r="U2275" s="24"/>
      <c r="V2275" s="24"/>
      <c r="W2275" s="24"/>
      <c r="X2275" s="24"/>
      <c r="Y2275" s="24"/>
      <c r="Z2275" s="24"/>
      <c r="AA2275" s="24"/>
      <c r="AB2275" s="24"/>
      <c r="AC2275" s="24"/>
      <c r="AD2275" s="24"/>
      <c r="AE2275" s="24"/>
      <c r="AF2275" s="24"/>
      <c r="AG2275" s="24"/>
      <c r="AH2275" s="24"/>
      <c r="AI2275" s="24"/>
      <c r="AJ2275" s="24"/>
      <c r="AK2275" s="24"/>
      <c r="AL2275" s="24"/>
      <c r="AM2275" s="24"/>
      <c r="AN2275" s="24"/>
      <c r="AO2275" s="24"/>
      <c r="AP2275" s="24"/>
      <c r="AQ2275" s="24"/>
      <c r="AR2275" s="54"/>
    </row>
    <row r="2276">
      <c r="A2276" s="57"/>
      <c r="B2276" s="24"/>
      <c r="C2276" s="24"/>
      <c r="D2276" s="24"/>
      <c r="E2276" s="24"/>
      <c r="F2276" s="24"/>
      <c r="G2276" s="24"/>
      <c r="H2276" s="24"/>
      <c r="I2276" s="24"/>
      <c r="J2276" s="24"/>
      <c r="K2276" s="24"/>
      <c r="L2276" s="24"/>
      <c r="M2276" s="24"/>
      <c r="N2276" s="24"/>
      <c r="O2276" s="24"/>
      <c r="P2276" s="24"/>
      <c r="Q2276" s="24"/>
      <c r="R2276" s="24"/>
      <c r="S2276" s="24"/>
      <c r="T2276" s="24"/>
      <c r="U2276" s="24"/>
      <c r="V2276" s="24"/>
      <c r="W2276" s="24"/>
      <c r="X2276" s="24"/>
      <c r="Y2276" s="24"/>
      <c r="Z2276" s="24"/>
      <c r="AA2276" s="24"/>
      <c r="AB2276" s="24"/>
      <c r="AC2276" s="24"/>
      <c r="AD2276" s="24"/>
      <c r="AE2276" s="24"/>
      <c r="AF2276" s="24"/>
      <c r="AG2276" s="24"/>
      <c r="AH2276" s="24"/>
      <c r="AI2276" s="24"/>
      <c r="AJ2276" s="24"/>
      <c r="AK2276" s="24"/>
      <c r="AL2276" s="24"/>
      <c r="AM2276" s="24"/>
      <c r="AN2276" s="24"/>
      <c r="AO2276" s="24"/>
      <c r="AP2276" s="24"/>
      <c r="AQ2276" s="24"/>
      <c r="AR2276" s="54"/>
    </row>
    <row r="2277">
      <c r="A2277" s="57"/>
      <c r="B2277" s="24"/>
      <c r="C2277" s="24"/>
      <c r="D2277" s="24"/>
      <c r="E2277" s="24"/>
      <c r="F2277" s="24"/>
      <c r="G2277" s="24"/>
      <c r="H2277" s="24"/>
      <c r="I2277" s="24"/>
      <c r="J2277" s="24"/>
      <c r="K2277" s="24"/>
      <c r="L2277" s="24"/>
      <c r="M2277" s="24"/>
      <c r="N2277" s="24"/>
      <c r="O2277" s="24"/>
      <c r="P2277" s="24"/>
      <c r="Q2277" s="24"/>
      <c r="R2277" s="24"/>
      <c r="S2277" s="24"/>
      <c r="T2277" s="24"/>
      <c r="U2277" s="24"/>
      <c r="V2277" s="24"/>
      <c r="W2277" s="24"/>
      <c r="X2277" s="24"/>
      <c r="Y2277" s="24"/>
      <c r="Z2277" s="24"/>
      <c r="AA2277" s="24"/>
      <c r="AB2277" s="24"/>
      <c r="AC2277" s="24"/>
      <c r="AD2277" s="24"/>
      <c r="AE2277" s="24"/>
      <c r="AF2277" s="24"/>
      <c r="AG2277" s="24"/>
      <c r="AH2277" s="24"/>
      <c r="AI2277" s="24"/>
      <c r="AJ2277" s="24"/>
      <c r="AK2277" s="24"/>
      <c r="AL2277" s="24"/>
      <c r="AM2277" s="24"/>
      <c r="AN2277" s="24"/>
      <c r="AO2277" s="24"/>
      <c r="AP2277" s="24"/>
      <c r="AQ2277" s="24"/>
      <c r="AR2277" s="54"/>
    </row>
    <row r="2278">
      <c r="A2278" s="57"/>
      <c r="B2278" s="24"/>
      <c r="C2278" s="24"/>
      <c r="D2278" s="24"/>
      <c r="E2278" s="24"/>
      <c r="F2278" s="24"/>
      <c r="G2278" s="24"/>
      <c r="H2278" s="24"/>
      <c r="I2278" s="24"/>
      <c r="J2278" s="24"/>
      <c r="K2278" s="24"/>
      <c r="L2278" s="24"/>
      <c r="M2278" s="24"/>
      <c r="N2278" s="24"/>
      <c r="O2278" s="24"/>
      <c r="P2278" s="24"/>
      <c r="Q2278" s="24"/>
      <c r="R2278" s="24"/>
      <c r="S2278" s="24"/>
      <c r="T2278" s="24"/>
      <c r="U2278" s="24"/>
      <c r="V2278" s="24"/>
      <c r="W2278" s="24"/>
      <c r="X2278" s="24"/>
      <c r="Y2278" s="24"/>
      <c r="Z2278" s="24"/>
      <c r="AA2278" s="24"/>
      <c r="AB2278" s="24"/>
      <c r="AC2278" s="24"/>
      <c r="AD2278" s="24"/>
      <c r="AE2278" s="24"/>
      <c r="AF2278" s="24"/>
      <c r="AG2278" s="24"/>
      <c r="AH2278" s="24"/>
      <c r="AI2278" s="24"/>
      <c r="AJ2278" s="24"/>
      <c r="AK2278" s="24"/>
      <c r="AL2278" s="24"/>
      <c r="AM2278" s="24"/>
      <c r="AN2278" s="24"/>
      <c r="AO2278" s="24"/>
      <c r="AP2278" s="24"/>
      <c r="AQ2278" s="24"/>
      <c r="AR2278" s="54"/>
    </row>
    <row r="2279">
      <c r="A2279" s="57"/>
      <c r="B2279" s="24"/>
      <c r="C2279" s="24"/>
      <c r="D2279" s="24"/>
      <c r="E2279" s="24"/>
      <c r="F2279" s="24"/>
      <c r="G2279" s="24"/>
      <c r="H2279" s="24"/>
      <c r="I2279" s="24"/>
      <c r="J2279" s="24"/>
      <c r="K2279" s="24"/>
      <c r="L2279" s="24"/>
      <c r="M2279" s="24"/>
      <c r="N2279" s="24"/>
      <c r="O2279" s="24"/>
      <c r="P2279" s="24"/>
      <c r="Q2279" s="24"/>
      <c r="R2279" s="24"/>
      <c r="S2279" s="24"/>
      <c r="T2279" s="24"/>
      <c r="U2279" s="24"/>
      <c r="V2279" s="24"/>
      <c r="W2279" s="24"/>
      <c r="X2279" s="24"/>
      <c r="Y2279" s="24"/>
      <c r="Z2279" s="24"/>
      <c r="AA2279" s="24"/>
      <c r="AB2279" s="24"/>
      <c r="AC2279" s="24"/>
      <c r="AD2279" s="24"/>
      <c r="AE2279" s="24"/>
      <c r="AF2279" s="24"/>
      <c r="AG2279" s="24"/>
      <c r="AH2279" s="24"/>
      <c r="AI2279" s="24"/>
      <c r="AJ2279" s="24"/>
      <c r="AK2279" s="24"/>
      <c r="AL2279" s="24"/>
      <c r="AM2279" s="24"/>
      <c r="AN2279" s="24"/>
      <c r="AO2279" s="24"/>
      <c r="AP2279" s="24"/>
      <c r="AQ2279" s="24"/>
      <c r="AR2279" s="54"/>
    </row>
    <row r="2280">
      <c r="A2280" s="57"/>
      <c r="B2280" s="24"/>
      <c r="C2280" s="24"/>
      <c r="D2280" s="24"/>
      <c r="E2280" s="24"/>
      <c r="F2280" s="24"/>
      <c r="G2280" s="24"/>
      <c r="H2280" s="24"/>
      <c r="I2280" s="24"/>
      <c r="J2280" s="24"/>
      <c r="K2280" s="24"/>
      <c r="L2280" s="24"/>
      <c r="M2280" s="24"/>
      <c r="N2280" s="24"/>
      <c r="O2280" s="24"/>
      <c r="P2280" s="24"/>
      <c r="Q2280" s="24"/>
      <c r="R2280" s="24"/>
      <c r="S2280" s="24"/>
      <c r="T2280" s="24"/>
      <c r="U2280" s="24"/>
      <c r="V2280" s="24"/>
      <c r="W2280" s="24"/>
      <c r="X2280" s="24"/>
      <c r="Y2280" s="24"/>
      <c r="Z2280" s="24"/>
      <c r="AA2280" s="24"/>
      <c r="AB2280" s="24"/>
      <c r="AC2280" s="24"/>
      <c r="AD2280" s="24"/>
      <c r="AE2280" s="24"/>
      <c r="AF2280" s="24"/>
      <c r="AG2280" s="24"/>
      <c r="AH2280" s="24"/>
      <c r="AI2280" s="24"/>
      <c r="AJ2280" s="24"/>
      <c r="AK2280" s="24"/>
      <c r="AL2280" s="24"/>
      <c r="AM2280" s="24"/>
      <c r="AN2280" s="24"/>
      <c r="AO2280" s="24"/>
      <c r="AP2280" s="24"/>
      <c r="AQ2280" s="24"/>
      <c r="AR2280" s="54"/>
    </row>
    <row r="2281">
      <c r="A2281" s="57"/>
      <c r="B2281" s="24"/>
      <c r="C2281" s="24"/>
      <c r="D2281" s="24"/>
      <c r="E2281" s="24"/>
      <c r="F2281" s="24"/>
      <c r="G2281" s="24"/>
      <c r="H2281" s="24"/>
      <c r="I2281" s="24"/>
      <c r="J2281" s="24"/>
      <c r="K2281" s="24"/>
      <c r="L2281" s="24"/>
      <c r="M2281" s="24"/>
      <c r="N2281" s="24"/>
      <c r="O2281" s="24"/>
      <c r="P2281" s="24"/>
      <c r="Q2281" s="24"/>
      <c r="R2281" s="24"/>
      <c r="S2281" s="24"/>
      <c r="T2281" s="24"/>
      <c r="U2281" s="24"/>
      <c r="V2281" s="24"/>
      <c r="W2281" s="24"/>
      <c r="X2281" s="24"/>
      <c r="Y2281" s="24"/>
      <c r="Z2281" s="24"/>
      <c r="AA2281" s="24"/>
      <c r="AB2281" s="24"/>
      <c r="AC2281" s="24"/>
      <c r="AD2281" s="24"/>
      <c r="AE2281" s="24"/>
      <c r="AF2281" s="24"/>
      <c r="AG2281" s="24"/>
      <c r="AH2281" s="24"/>
      <c r="AI2281" s="24"/>
      <c r="AJ2281" s="24"/>
      <c r="AK2281" s="24"/>
      <c r="AL2281" s="24"/>
      <c r="AM2281" s="24"/>
      <c r="AN2281" s="24"/>
      <c r="AO2281" s="24"/>
      <c r="AP2281" s="24"/>
      <c r="AQ2281" s="24"/>
      <c r="AR2281" s="54"/>
    </row>
    <row r="2282">
      <c r="A2282" s="57"/>
      <c r="B2282" s="24"/>
      <c r="C2282" s="24"/>
      <c r="D2282" s="24"/>
      <c r="E2282" s="24"/>
      <c r="F2282" s="24"/>
      <c r="G2282" s="24"/>
      <c r="H2282" s="24"/>
      <c r="I2282" s="24"/>
      <c r="J2282" s="24"/>
      <c r="K2282" s="24"/>
      <c r="L2282" s="24"/>
      <c r="M2282" s="24"/>
      <c r="N2282" s="24"/>
      <c r="O2282" s="24"/>
      <c r="P2282" s="24"/>
      <c r="Q2282" s="24"/>
      <c r="R2282" s="24"/>
      <c r="S2282" s="24"/>
      <c r="T2282" s="24"/>
      <c r="U2282" s="24"/>
      <c r="V2282" s="24"/>
      <c r="W2282" s="24"/>
      <c r="X2282" s="24"/>
      <c r="Y2282" s="24"/>
      <c r="Z2282" s="24"/>
      <c r="AA2282" s="24"/>
      <c r="AB2282" s="24"/>
      <c r="AC2282" s="24"/>
      <c r="AD2282" s="24"/>
      <c r="AE2282" s="24"/>
      <c r="AF2282" s="24"/>
      <c r="AG2282" s="24"/>
      <c r="AH2282" s="24"/>
      <c r="AI2282" s="24"/>
      <c r="AJ2282" s="24"/>
      <c r="AK2282" s="24"/>
      <c r="AL2282" s="24"/>
      <c r="AM2282" s="24"/>
      <c r="AN2282" s="24"/>
      <c r="AO2282" s="24"/>
      <c r="AP2282" s="24"/>
      <c r="AQ2282" s="24"/>
      <c r="AR2282" s="54"/>
    </row>
    <row r="2283">
      <c r="A2283" s="57"/>
      <c r="B2283" s="24"/>
      <c r="C2283" s="24"/>
      <c r="D2283" s="24"/>
      <c r="E2283" s="24"/>
      <c r="F2283" s="24"/>
      <c r="G2283" s="24"/>
      <c r="H2283" s="24"/>
      <c r="I2283" s="24"/>
      <c r="J2283" s="24"/>
      <c r="K2283" s="24"/>
      <c r="L2283" s="24"/>
      <c r="M2283" s="24"/>
      <c r="N2283" s="24"/>
      <c r="O2283" s="24"/>
      <c r="P2283" s="24"/>
      <c r="Q2283" s="24"/>
      <c r="R2283" s="24"/>
      <c r="S2283" s="24"/>
      <c r="T2283" s="24"/>
      <c r="U2283" s="24"/>
      <c r="V2283" s="24"/>
      <c r="W2283" s="24"/>
      <c r="X2283" s="24"/>
      <c r="Y2283" s="24"/>
      <c r="Z2283" s="24"/>
      <c r="AA2283" s="24"/>
      <c r="AB2283" s="24"/>
      <c r="AC2283" s="24"/>
      <c r="AD2283" s="24"/>
      <c r="AE2283" s="24"/>
      <c r="AF2283" s="24"/>
      <c r="AG2283" s="24"/>
      <c r="AH2283" s="24"/>
      <c r="AI2283" s="24"/>
      <c r="AJ2283" s="24"/>
      <c r="AK2283" s="24"/>
      <c r="AL2283" s="24"/>
      <c r="AM2283" s="24"/>
      <c r="AN2283" s="24"/>
      <c r="AO2283" s="24"/>
      <c r="AP2283" s="24"/>
      <c r="AQ2283" s="24"/>
      <c r="AR2283" s="54"/>
    </row>
    <row r="2284">
      <c r="A2284" s="57"/>
      <c r="B2284" s="24"/>
      <c r="C2284" s="24"/>
      <c r="D2284" s="24"/>
      <c r="E2284" s="24"/>
      <c r="F2284" s="24"/>
      <c r="G2284" s="24"/>
      <c r="H2284" s="24"/>
      <c r="I2284" s="24"/>
      <c r="J2284" s="24"/>
      <c r="K2284" s="24"/>
      <c r="L2284" s="24"/>
      <c r="M2284" s="24"/>
      <c r="N2284" s="24"/>
      <c r="O2284" s="24"/>
      <c r="P2284" s="24"/>
      <c r="Q2284" s="24"/>
      <c r="R2284" s="24"/>
      <c r="S2284" s="24"/>
      <c r="T2284" s="24"/>
      <c r="U2284" s="24"/>
      <c r="V2284" s="24"/>
      <c r="W2284" s="24"/>
      <c r="X2284" s="24"/>
      <c r="Y2284" s="24"/>
      <c r="Z2284" s="24"/>
      <c r="AA2284" s="24"/>
      <c r="AB2284" s="24"/>
      <c r="AC2284" s="24"/>
      <c r="AD2284" s="24"/>
      <c r="AE2284" s="24"/>
      <c r="AF2284" s="24"/>
      <c r="AG2284" s="24"/>
      <c r="AH2284" s="24"/>
      <c r="AI2284" s="24"/>
      <c r="AJ2284" s="24"/>
      <c r="AK2284" s="24"/>
      <c r="AL2284" s="24"/>
      <c r="AM2284" s="24"/>
      <c r="AN2284" s="24"/>
      <c r="AO2284" s="24"/>
      <c r="AP2284" s="24"/>
      <c r="AQ2284" s="24"/>
      <c r="AR2284" s="54"/>
    </row>
    <row r="2285">
      <c r="A2285" s="57"/>
      <c r="B2285" s="24"/>
      <c r="C2285" s="24"/>
      <c r="D2285" s="24"/>
      <c r="E2285" s="24"/>
      <c r="F2285" s="24"/>
      <c r="G2285" s="24"/>
      <c r="H2285" s="24"/>
      <c r="I2285" s="24"/>
      <c r="J2285" s="24"/>
      <c r="K2285" s="24"/>
      <c r="L2285" s="24"/>
      <c r="M2285" s="24"/>
      <c r="N2285" s="24"/>
      <c r="O2285" s="24"/>
      <c r="P2285" s="24"/>
      <c r="Q2285" s="24"/>
      <c r="R2285" s="24"/>
      <c r="S2285" s="24"/>
      <c r="T2285" s="24"/>
      <c r="U2285" s="24"/>
      <c r="V2285" s="24"/>
      <c r="W2285" s="24"/>
      <c r="X2285" s="24"/>
      <c r="Y2285" s="24"/>
      <c r="Z2285" s="24"/>
      <c r="AA2285" s="24"/>
      <c r="AB2285" s="24"/>
      <c r="AC2285" s="24"/>
      <c r="AD2285" s="24"/>
      <c r="AE2285" s="24"/>
      <c r="AF2285" s="24"/>
      <c r="AG2285" s="24"/>
      <c r="AH2285" s="24"/>
      <c r="AI2285" s="24"/>
      <c r="AJ2285" s="24"/>
      <c r="AK2285" s="24"/>
      <c r="AL2285" s="24"/>
      <c r="AM2285" s="24"/>
      <c r="AN2285" s="24"/>
      <c r="AO2285" s="24"/>
      <c r="AP2285" s="24"/>
      <c r="AQ2285" s="24"/>
      <c r="AR2285" s="54"/>
    </row>
    <row r="2286">
      <c r="A2286" s="57"/>
      <c r="B2286" s="24"/>
      <c r="C2286" s="24"/>
      <c r="D2286" s="24"/>
      <c r="E2286" s="24"/>
      <c r="F2286" s="24"/>
      <c r="G2286" s="24"/>
      <c r="H2286" s="24"/>
      <c r="I2286" s="24"/>
      <c r="J2286" s="24"/>
      <c r="K2286" s="24"/>
      <c r="L2286" s="24"/>
      <c r="M2286" s="24"/>
      <c r="N2286" s="24"/>
      <c r="O2286" s="24"/>
      <c r="P2286" s="24"/>
      <c r="Q2286" s="24"/>
      <c r="R2286" s="24"/>
      <c r="S2286" s="24"/>
      <c r="T2286" s="24"/>
      <c r="U2286" s="24"/>
      <c r="V2286" s="24"/>
      <c r="W2286" s="24"/>
      <c r="X2286" s="24"/>
      <c r="Y2286" s="24"/>
      <c r="Z2286" s="24"/>
      <c r="AA2286" s="24"/>
      <c r="AB2286" s="24"/>
      <c r="AC2286" s="24"/>
      <c r="AD2286" s="24"/>
      <c r="AE2286" s="24"/>
      <c r="AF2286" s="24"/>
      <c r="AG2286" s="24"/>
      <c r="AH2286" s="24"/>
      <c r="AI2286" s="24"/>
      <c r="AJ2286" s="24"/>
      <c r="AK2286" s="24"/>
      <c r="AL2286" s="24"/>
      <c r="AM2286" s="24"/>
      <c r="AN2286" s="24"/>
      <c r="AO2286" s="24"/>
      <c r="AP2286" s="24"/>
      <c r="AQ2286" s="24"/>
      <c r="AR2286" s="54"/>
    </row>
    <row r="2287">
      <c r="A2287" s="57"/>
      <c r="B2287" s="24"/>
      <c r="C2287" s="24"/>
      <c r="D2287" s="24"/>
      <c r="E2287" s="24"/>
      <c r="F2287" s="24"/>
      <c r="G2287" s="24"/>
      <c r="H2287" s="24"/>
      <c r="I2287" s="24"/>
      <c r="J2287" s="24"/>
      <c r="K2287" s="24"/>
      <c r="L2287" s="24"/>
      <c r="M2287" s="24"/>
      <c r="N2287" s="24"/>
      <c r="O2287" s="24"/>
      <c r="P2287" s="24"/>
      <c r="Q2287" s="24"/>
      <c r="R2287" s="24"/>
      <c r="S2287" s="24"/>
      <c r="T2287" s="24"/>
      <c r="U2287" s="24"/>
      <c r="V2287" s="24"/>
      <c r="W2287" s="24"/>
      <c r="X2287" s="24"/>
      <c r="Y2287" s="24"/>
      <c r="Z2287" s="24"/>
      <c r="AA2287" s="24"/>
      <c r="AB2287" s="24"/>
      <c r="AC2287" s="24"/>
      <c r="AD2287" s="24"/>
      <c r="AE2287" s="24"/>
      <c r="AF2287" s="24"/>
      <c r="AG2287" s="24"/>
      <c r="AH2287" s="24"/>
      <c r="AI2287" s="24"/>
      <c r="AJ2287" s="24"/>
      <c r="AK2287" s="24"/>
      <c r="AL2287" s="24"/>
      <c r="AM2287" s="24"/>
      <c r="AN2287" s="24"/>
      <c r="AO2287" s="24"/>
      <c r="AP2287" s="24"/>
      <c r="AQ2287" s="24"/>
      <c r="AR2287" s="54"/>
    </row>
    <row r="2288">
      <c r="A2288" s="57"/>
      <c r="B2288" s="24"/>
      <c r="C2288" s="24"/>
      <c r="D2288" s="24"/>
      <c r="E2288" s="24"/>
      <c r="F2288" s="24"/>
      <c r="G2288" s="24"/>
      <c r="H2288" s="24"/>
      <c r="I2288" s="24"/>
      <c r="J2288" s="24"/>
      <c r="K2288" s="24"/>
      <c r="L2288" s="24"/>
      <c r="M2288" s="24"/>
      <c r="N2288" s="24"/>
      <c r="O2288" s="24"/>
      <c r="P2288" s="24"/>
      <c r="Q2288" s="24"/>
      <c r="R2288" s="24"/>
      <c r="S2288" s="24"/>
      <c r="T2288" s="24"/>
      <c r="U2288" s="24"/>
      <c r="V2288" s="24"/>
      <c r="W2288" s="24"/>
      <c r="X2288" s="24"/>
      <c r="Y2288" s="24"/>
      <c r="Z2288" s="24"/>
      <c r="AA2288" s="24"/>
      <c r="AB2288" s="24"/>
      <c r="AC2288" s="24"/>
      <c r="AD2288" s="24"/>
      <c r="AE2288" s="24"/>
      <c r="AF2288" s="24"/>
      <c r="AG2288" s="24"/>
      <c r="AH2288" s="24"/>
      <c r="AI2288" s="24"/>
      <c r="AJ2288" s="24"/>
      <c r="AK2288" s="24"/>
      <c r="AL2288" s="24"/>
      <c r="AM2288" s="24"/>
      <c r="AN2288" s="24"/>
      <c r="AO2288" s="24"/>
      <c r="AP2288" s="24"/>
      <c r="AQ2288" s="24"/>
      <c r="AR2288" s="54"/>
    </row>
    <row r="2289">
      <c r="A2289" s="57"/>
      <c r="B2289" s="24"/>
      <c r="C2289" s="24"/>
      <c r="D2289" s="24"/>
      <c r="E2289" s="24"/>
      <c r="F2289" s="24"/>
      <c r="G2289" s="24"/>
      <c r="H2289" s="24"/>
      <c r="I2289" s="24"/>
      <c r="J2289" s="24"/>
      <c r="K2289" s="24"/>
      <c r="L2289" s="24"/>
      <c r="M2289" s="24"/>
      <c r="N2289" s="24"/>
      <c r="O2289" s="24"/>
      <c r="P2289" s="24"/>
      <c r="Q2289" s="24"/>
      <c r="R2289" s="24"/>
      <c r="S2289" s="24"/>
      <c r="T2289" s="24"/>
      <c r="U2289" s="24"/>
      <c r="V2289" s="24"/>
      <c r="W2289" s="24"/>
      <c r="X2289" s="24"/>
      <c r="Y2289" s="24"/>
      <c r="Z2289" s="24"/>
      <c r="AA2289" s="24"/>
      <c r="AB2289" s="24"/>
      <c r="AC2289" s="24"/>
      <c r="AD2289" s="24"/>
      <c r="AE2289" s="24"/>
      <c r="AF2289" s="24"/>
      <c r="AG2289" s="24"/>
      <c r="AH2289" s="24"/>
      <c r="AI2289" s="24"/>
      <c r="AJ2289" s="24"/>
      <c r="AK2289" s="24"/>
      <c r="AL2289" s="24"/>
      <c r="AM2289" s="24"/>
      <c r="AN2289" s="24"/>
      <c r="AO2289" s="24"/>
      <c r="AP2289" s="24"/>
      <c r="AQ2289" s="24"/>
      <c r="AR2289" s="54"/>
    </row>
    <row r="2290">
      <c r="A2290" s="57"/>
      <c r="B2290" s="24"/>
      <c r="C2290" s="24"/>
      <c r="D2290" s="24"/>
      <c r="E2290" s="24"/>
      <c r="F2290" s="24"/>
      <c r="G2290" s="24"/>
      <c r="H2290" s="24"/>
      <c r="I2290" s="24"/>
      <c r="J2290" s="24"/>
      <c r="K2290" s="24"/>
      <c r="L2290" s="24"/>
      <c r="M2290" s="24"/>
      <c r="N2290" s="24"/>
      <c r="O2290" s="24"/>
      <c r="P2290" s="24"/>
      <c r="Q2290" s="24"/>
      <c r="R2290" s="24"/>
      <c r="S2290" s="24"/>
      <c r="T2290" s="24"/>
      <c r="U2290" s="24"/>
      <c r="V2290" s="24"/>
      <c r="W2290" s="24"/>
      <c r="X2290" s="24"/>
      <c r="Y2290" s="24"/>
      <c r="Z2290" s="24"/>
      <c r="AA2290" s="24"/>
      <c r="AB2290" s="24"/>
      <c r="AC2290" s="24"/>
      <c r="AD2290" s="24"/>
      <c r="AE2290" s="24"/>
      <c r="AF2290" s="24"/>
      <c r="AG2290" s="24"/>
      <c r="AH2290" s="24"/>
      <c r="AI2290" s="24"/>
      <c r="AJ2290" s="24"/>
      <c r="AK2290" s="24"/>
      <c r="AL2290" s="24"/>
      <c r="AM2290" s="24"/>
      <c r="AN2290" s="24"/>
      <c r="AO2290" s="24"/>
      <c r="AP2290" s="24"/>
      <c r="AQ2290" s="24"/>
      <c r="AR2290" s="54"/>
    </row>
    <row r="2291">
      <c r="A2291" s="57"/>
      <c r="B2291" s="24"/>
      <c r="C2291" s="24"/>
      <c r="D2291" s="24"/>
      <c r="E2291" s="24"/>
      <c r="F2291" s="24"/>
      <c r="G2291" s="24"/>
      <c r="H2291" s="24"/>
      <c r="I2291" s="24"/>
      <c r="J2291" s="24"/>
      <c r="K2291" s="24"/>
      <c r="L2291" s="24"/>
      <c r="M2291" s="24"/>
      <c r="N2291" s="24"/>
      <c r="O2291" s="24"/>
      <c r="P2291" s="24"/>
      <c r="Q2291" s="24"/>
      <c r="R2291" s="24"/>
      <c r="S2291" s="24"/>
      <c r="T2291" s="24"/>
      <c r="U2291" s="24"/>
      <c r="V2291" s="24"/>
      <c r="W2291" s="24"/>
      <c r="X2291" s="24"/>
      <c r="Y2291" s="24"/>
      <c r="Z2291" s="24"/>
      <c r="AA2291" s="24"/>
      <c r="AB2291" s="24"/>
      <c r="AC2291" s="24"/>
      <c r="AD2291" s="24"/>
      <c r="AE2291" s="24"/>
      <c r="AF2291" s="24"/>
      <c r="AG2291" s="24"/>
      <c r="AH2291" s="24"/>
      <c r="AI2291" s="24"/>
      <c r="AJ2291" s="24"/>
      <c r="AK2291" s="24"/>
      <c r="AL2291" s="24"/>
      <c r="AM2291" s="24"/>
      <c r="AN2291" s="24"/>
      <c r="AO2291" s="24"/>
      <c r="AP2291" s="24"/>
      <c r="AQ2291" s="24"/>
      <c r="AR2291" s="54"/>
    </row>
    <row r="2292">
      <c r="A2292" s="57"/>
      <c r="B2292" s="24"/>
      <c r="C2292" s="24"/>
      <c r="D2292" s="24"/>
      <c r="E2292" s="24"/>
      <c r="F2292" s="24"/>
      <c r="G2292" s="24"/>
      <c r="H2292" s="24"/>
      <c r="I2292" s="24"/>
      <c r="J2292" s="24"/>
      <c r="K2292" s="24"/>
      <c r="L2292" s="24"/>
      <c r="M2292" s="24"/>
      <c r="N2292" s="24"/>
      <c r="O2292" s="24"/>
      <c r="P2292" s="24"/>
      <c r="Q2292" s="24"/>
      <c r="R2292" s="24"/>
      <c r="S2292" s="24"/>
      <c r="T2292" s="24"/>
      <c r="U2292" s="24"/>
      <c r="V2292" s="24"/>
      <c r="W2292" s="24"/>
      <c r="X2292" s="24"/>
      <c r="Y2292" s="24"/>
      <c r="Z2292" s="24"/>
      <c r="AA2292" s="24"/>
      <c r="AB2292" s="24"/>
      <c r="AC2292" s="24"/>
      <c r="AD2292" s="24"/>
      <c r="AE2292" s="24"/>
      <c r="AF2292" s="24"/>
      <c r="AG2292" s="24"/>
      <c r="AH2292" s="24"/>
      <c r="AI2292" s="24"/>
      <c r="AJ2292" s="24"/>
      <c r="AK2292" s="24"/>
      <c r="AL2292" s="24"/>
      <c r="AM2292" s="24"/>
      <c r="AN2292" s="24"/>
      <c r="AO2292" s="24"/>
      <c r="AP2292" s="24"/>
      <c r="AQ2292" s="24"/>
      <c r="AR2292" s="54"/>
    </row>
    <row r="2293">
      <c r="A2293" s="57"/>
      <c r="B2293" s="24"/>
      <c r="C2293" s="24"/>
      <c r="D2293" s="24"/>
      <c r="E2293" s="24"/>
      <c r="F2293" s="24"/>
      <c r="G2293" s="24"/>
      <c r="H2293" s="24"/>
      <c r="I2293" s="24"/>
      <c r="J2293" s="24"/>
      <c r="K2293" s="24"/>
      <c r="L2293" s="24"/>
      <c r="M2293" s="24"/>
      <c r="N2293" s="24"/>
      <c r="O2293" s="24"/>
      <c r="P2293" s="24"/>
      <c r="Q2293" s="24"/>
      <c r="R2293" s="24"/>
      <c r="S2293" s="24"/>
      <c r="T2293" s="24"/>
      <c r="U2293" s="24"/>
      <c r="V2293" s="24"/>
      <c r="W2293" s="24"/>
      <c r="X2293" s="24"/>
      <c r="Y2293" s="24"/>
      <c r="Z2293" s="24"/>
      <c r="AA2293" s="24"/>
      <c r="AB2293" s="24"/>
      <c r="AC2293" s="24"/>
      <c r="AD2293" s="24"/>
      <c r="AE2293" s="24"/>
      <c r="AF2293" s="24"/>
      <c r="AG2293" s="24"/>
      <c r="AH2293" s="24"/>
      <c r="AI2293" s="24"/>
      <c r="AJ2293" s="24"/>
      <c r="AK2293" s="24"/>
      <c r="AL2293" s="24"/>
      <c r="AM2293" s="24"/>
      <c r="AN2293" s="24"/>
      <c r="AO2293" s="24"/>
      <c r="AP2293" s="24"/>
      <c r="AQ2293" s="24"/>
      <c r="AR2293" s="54"/>
    </row>
    <row r="2294">
      <c r="A2294" s="57"/>
      <c r="B2294" s="24"/>
      <c r="C2294" s="24"/>
      <c r="D2294" s="24"/>
      <c r="E2294" s="24"/>
      <c r="F2294" s="24"/>
      <c r="G2294" s="24"/>
      <c r="H2294" s="24"/>
      <c r="I2294" s="24"/>
      <c r="J2294" s="24"/>
      <c r="K2294" s="24"/>
      <c r="L2294" s="24"/>
      <c r="M2294" s="24"/>
      <c r="N2294" s="24"/>
      <c r="O2294" s="24"/>
      <c r="P2294" s="24"/>
      <c r="Q2294" s="24"/>
      <c r="R2294" s="24"/>
      <c r="S2294" s="24"/>
      <c r="T2294" s="24"/>
      <c r="U2294" s="24"/>
      <c r="V2294" s="24"/>
      <c r="W2294" s="24"/>
      <c r="X2294" s="24"/>
      <c r="Y2294" s="24"/>
      <c r="Z2294" s="24"/>
      <c r="AA2294" s="24"/>
      <c r="AB2294" s="24"/>
      <c r="AC2294" s="24"/>
      <c r="AD2294" s="24"/>
      <c r="AE2294" s="24"/>
      <c r="AF2294" s="24"/>
      <c r="AG2294" s="24"/>
      <c r="AH2294" s="24"/>
      <c r="AI2294" s="24"/>
      <c r="AJ2294" s="24"/>
      <c r="AK2294" s="24"/>
      <c r="AL2294" s="24"/>
      <c r="AM2294" s="24"/>
      <c r="AN2294" s="24"/>
      <c r="AO2294" s="24"/>
      <c r="AP2294" s="24"/>
      <c r="AQ2294" s="24"/>
      <c r="AR2294" s="54"/>
    </row>
    <row r="2295">
      <c r="A2295" s="57"/>
      <c r="B2295" s="24"/>
      <c r="C2295" s="24"/>
      <c r="D2295" s="24"/>
      <c r="E2295" s="24"/>
      <c r="F2295" s="24"/>
      <c r="G2295" s="24"/>
      <c r="H2295" s="24"/>
      <c r="I2295" s="24"/>
      <c r="J2295" s="24"/>
      <c r="K2295" s="24"/>
      <c r="L2295" s="24"/>
      <c r="M2295" s="24"/>
      <c r="N2295" s="24"/>
      <c r="O2295" s="24"/>
      <c r="P2295" s="24"/>
      <c r="Q2295" s="24"/>
      <c r="R2295" s="24"/>
      <c r="S2295" s="24"/>
      <c r="T2295" s="24"/>
      <c r="U2295" s="24"/>
      <c r="V2295" s="24"/>
      <c r="W2295" s="24"/>
      <c r="X2295" s="24"/>
      <c r="Y2295" s="24"/>
      <c r="Z2295" s="24"/>
      <c r="AA2295" s="24"/>
      <c r="AB2295" s="24"/>
      <c r="AC2295" s="24"/>
      <c r="AD2295" s="24"/>
      <c r="AE2295" s="24"/>
      <c r="AF2295" s="24"/>
      <c r="AG2295" s="24"/>
      <c r="AH2295" s="24"/>
      <c r="AI2295" s="24"/>
      <c r="AJ2295" s="24"/>
      <c r="AK2295" s="24"/>
      <c r="AL2295" s="24"/>
      <c r="AM2295" s="24"/>
      <c r="AN2295" s="24"/>
      <c r="AO2295" s="24"/>
      <c r="AP2295" s="24"/>
      <c r="AQ2295" s="24"/>
      <c r="AR2295" s="54"/>
    </row>
    <row r="2296">
      <c r="A2296" s="57"/>
      <c r="B2296" s="24"/>
      <c r="C2296" s="24"/>
      <c r="D2296" s="24"/>
      <c r="E2296" s="24"/>
      <c r="F2296" s="24"/>
      <c r="G2296" s="24"/>
      <c r="H2296" s="24"/>
      <c r="I2296" s="24"/>
      <c r="J2296" s="24"/>
      <c r="K2296" s="24"/>
      <c r="L2296" s="24"/>
      <c r="M2296" s="24"/>
      <c r="N2296" s="24"/>
      <c r="O2296" s="24"/>
      <c r="P2296" s="24"/>
      <c r="Q2296" s="24"/>
      <c r="R2296" s="24"/>
      <c r="S2296" s="24"/>
      <c r="T2296" s="24"/>
      <c r="U2296" s="24"/>
      <c r="V2296" s="24"/>
      <c r="W2296" s="24"/>
      <c r="X2296" s="24"/>
      <c r="Y2296" s="24"/>
      <c r="Z2296" s="24"/>
      <c r="AA2296" s="24"/>
      <c r="AB2296" s="24"/>
      <c r="AC2296" s="24"/>
      <c r="AD2296" s="24"/>
      <c r="AE2296" s="24"/>
      <c r="AF2296" s="24"/>
      <c r="AG2296" s="24"/>
      <c r="AH2296" s="24"/>
      <c r="AI2296" s="24"/>
      <c r="AJ2296" s="24"/>
      <c r="AK2296" s="24"/>
      <c r="AL2296" s="24"/>
      <c r="AM2296" s="24"/>
      <c r="AN2296" s="24"/>
      <c r="AO2296" s="24"/>
      <c r="AP2296" s="24"/>
      <c r="AQ2296" s="24"/>
      <c r="AR2296" s="54"/>
    </row>
    <row r="2297">
      <c r="A2297" s="57"/>
      <c r="B2297" s="24"/>
      <c r="C2297" s="24"/>
      <c r="D2297" s="24"/>
      <c r="E2297" s="24"/>
      <c r="F2297" s="24"/>
      <c r="G2297" s="24"/>
      <c r="H2297" s="24"/>
      <c r="I2297" s="24"/>
      <c r="J2297" s="24"/>
      <c r="K2297" s="24"/>
      <c r="L2297" s="24"/>
      <c r="M2297" s="24"/>
      <c r="N2297" s="24"/>
      <c r="O2297" s="24"/>
      <c r="P2297" s="24"/>
      <c r="Q2297" s="24"/>
      <c r="R2297" s="24"/>
      <c r="S2297" s="24"/>
      <c r="T2297" s="24"/>
      <c r="U2297" s="24"/>
      <c r="V2297" s="24"/>
      <c r="W2297" s="24"/>
      <c r="X2297" s="24"/>
      <c r="Y2297" s="24"/>
      <c r="Z2297" s="24"/>
      <c r="AA2297" s="24"/>
      <c r="AB2297" s="24"/>
      <c r="AC2297" s="24"/>
      <c r="AD2297" s="24"/>
      <c r="AE2297" s="24"/>
      <c r="AF2297" s="24"/>
      <c r="AG2297" s="24"/>
      <c r="AH2297" s="24"/>
      <c r="AI2297" s="24"/>
      <c r="AJ2297" s="24"/>
      <c r="AK2297" s="24"/>
      <c r="AL2297" s="24"/>
      <c r="AM2297" s="24"/>
      <c r="AN2297" s="24"/>
      <c r="AO2297" s="24"/>
      <c r="AP2297" s="24"/>
      <c r="AQ2297" s="24"/>
      <c r="AR2297" s="54"/>
    </row>
    <row r="2298">
      <c r="A2298" s="57"/>
      <c r="B2298" s="24"/>
      <c r="C2298" s="24"/>
      <c r="D2298" s="24"/>
      <c r="E2298" s="24"/>
      <c r="F2298" s="24"/>
      <c r="G2298" s="24"/>
      <c r="H2298" s="24"/>
      <c r="I2298" s="24"/>
      <c r="J2298" s="24"/>
      <c r="K2298" s="24"/>
      <c r="L2298" s="24"/>
      <c r="M2298" s="24"/>
      <c r="N2298" s="24"/>
      <c r="O2298" s="24"/>
      <c r="P2298" s="24"/>
      <c r="Q2298" s="24"/>
      <c r="R2298" s="24"/>
      <c r="S2298" s="24"/>
      <c r="T2298" s="24"/>
      <c r="U2298" s="24"/>
      <c r="V2298" s="24"/>
      <c r="W2298" s="24"/>
      <c r="X2298" s="24"/>
      <c r="Y2298" s="24"/>
      <c r="Z2298" s="24"/>
      <c r="AA2298" s="24"/>
      <c r="AB2298" s="24"/>
      <c r="AC2298" s="24"/>
      <c r="AD2298" s="24"/>
      <c r="AE2298" s="24"/>
      <c r="AF2298" s="24"/>
      <c r="AG2298" s="24"/>
      <c r="AH2298" s="24"/>
      <c r="AI2298" s="24"/>
      <c r="AJ2298" s="24"/>
      <c r="AK2298" s="24"/>
      <c r="AL2298" s="24"/>
      <c r="AM2298" s="24"/>
      <c r="AN2298" s="24"/>
      <c r="AO2298" s="24"/>
      <c r="AP2298" s="24"/>
      <c r="AQ2298" s="24"/>
      <c r="AR2298" s="54"/>
    </row>
    <row r="2299">
      <c r="A2299" s="57"/>
      <c r="B2299" s="24"/>
      <c r="C2299" s="24"/>
      <c r="D2299" s="24"/>
      <c r="E2299" s="24"/>
      <c r="F2299" s="24"/>
      <c r="G2299" s="24"/>
      <c r="H2299" s="24"/>
      <c r="I2299" s="24"/>
      <c r="J2299" s="24"/>
      <c r="K2299" s="24"/>
      <c r="L2299" s="24"/>
      <c r="M2299" s="24"/>
      <c r="N2299" s="24"/>
      <c r="O2299" s="24"/>
      <c r="P2299" s="24"/>
      <c r="Q2299" s="24"/>
      <c r="R2299" s="24"/>
      <c r="S2299" s="24"/>
      <c r="T2299" s="24"/>
      <c r="U2299" s="24"/>
      <c r="V2299" s="24"/>
      <c r="W2299" s="24"/>
      <c r="X2299" s="24"/>
      <c r="Y2299" s="24"/>
      <c r="Z2299" s="24"/>
      <c r="AA2299" s="24"/>
      <c r="AB2299" s="24"/>
      <c r="AC2299" s="24"/>
      <c r="AD2299" s="24"/>
      <c r="AE2299" s="24"/>
      <c r="AF2299" s="24"/>
      <c r="AG2299" s="24"/>
      <c r="AH2299" s="24"/>
      <c r="AI2299" s="24"/>
      <c r="AJ2299" s="24"/>
      <c r="AK2299" s="24"/>
      <c r="AL2299" s="24"/>
      <c r="AM2299" s="24"/>
      <c r="AN2299" s="24"/>
      <c r="AO2299" s="24"/>
      <c r="AP2299" s="24"/>
      <c r="AQ2299" s="24"/>
      <c r="AR2299" s="54"/>
    </row>
    <row r="2300">
      <c r="A2300" s="57"/>
      <c r="B2300" s="24"/>
      <c r="C2300" s="24"/>
      <c r="D2300" s="24"/>
      <c r="E2300" s="24"/>
      <c r="F2300" s="24"/>
      <c r="G2300" s="24"/>
      <c r="H2300" s="24"/>
      <c r="I2300" s="24"/>
      <c r="J2300" s="24"/>
      <c r="K2300" s="24"/>
      <c r="L2300" s="24"/>
      <c r="M2300" s="24"/>
      <c r="N2300" s="24"/>
      <c r="O2300" s="24"/>
      <c r="P2300" s="24"/>
      <c r="Q2300" s="24"/>
      <c r="R2300" s="24"/>
      <c r="S2300" s="24"/>
      <c r="T2300" s="24"/>
      <c r="U2300" s="24"/>
      <c r="V2300" s="24"/>
      <c r="W2300" s="24"/>
      <c r="X2300" s="24"/>
      <c r="Y2300" s="24"/>
      <c r="Z2300" s="24"/>
      <c r="AA2300" s="24"/>
      <c r="AB2300" s="24"/>
      <c r="AC2300" s="24"/>
      <c r="AD2300" s="24"/>
      <c r="AE2300" s="24"/>
      <c r="AF2300" s="24"/>
      <c r="AG2300" s="24"/>
      <c r="AH2300" s="24"/>
      <c r="AI2300" s="24"/>
      <c r="AJ2300" s="24"/>
      <c r="AK2300" s="24"/>
      <c r="AL2300" s="24"/>
      <c r="AM2300" s="24"/>
      <c r="AN2300" s="24"/>
      <c r="AO2300" s="24"/>
      <c r="AP2300" s="24"/>
      <c r="AQ2300" s="24"/>
      <c r="AR2300" s="54"/>
    </row>
    <row r="2301">
      <c r="A2301" s="57"/>
      <c r="B2301" s="24"/>
      <c r="C2301" s="24"/>
      <c r="D2301" s="24"/>
      <c r="E2301" s="24"/>
      <c r="F2301" s="24"/>
      <c r="G2301" s="24"/>
      <c r="H2301" s="24"/>
      <c r="I2301" s="24"/>
      <c r="J2301" s="24"/>
      <c r="K2301" s="24"/>
      <c r="L2301" s="24"/>
      <c r="M2301" s="24"/>
      <c r="N2301" s="24"/>
      <c r="O2301" s="24"/>
      <c r="P2301" s="24"/>
      <c r="Q2301" s="24"/>
      <c r="R2301" s="24"/>
      <c r="S2301" s="24"/>
      <c r="T2301" s="24"/>
      <c r="U2301" s="24"/>
      <c r="V2301" s="24"/>
      <c r="W2301" s="24"/>
      <c r="X2301" s="24"/>
      <c r="Y2301" s="24"/>
      <c r="Z2301" s="24"/>
      <c r="AA2301" s="24"/>
      <c r="AB2301" s="24"/>
      <c r="AC2301" s="24"/>
      <c r="AD2301" s="24"/>
      <c r="AE2301" s="24"/>
      <c r="AF2301" s="24"/>
      <c r="AG2301" s="24"/>
      <c r="AH2301" s="24"/>
      <c r="AI2301" s="24"/>
      <c r="AJ2301" s="24"/>
      <c r="AK2301" s="24"/>
      <c r="AL2301" s="24"/>
      <c r="AM2301" s="24"/>
      <c r="AN2301" s="24"/>
      <c r="AO2301" s="24"/>
      <c r="AP2301" s="24"/>
      <c r="AQ2301" s="24"/>
      <c r="AR2301" s="54"/>
    </row>
    <row r="2302">
      <c r="A2302" s="57"/>
      <c r="B2302" s="24"/>
      <c r="C2302" s="24"/>
      <c r="D2302" s="24"/>
      <c r="E2302" s="24"/>
      <c r="F2302" s="24"/>
      <c r="G2302" s="24"/>
      <c r="H2302" s="24"/>
      <c r="I2302" s="24"/>
      <c r="J2302" s="24"/>
      <c r="K2302" s="24"/>
      <c r="L2302" s="24"/>
      <c r="M2302" s="24"/>
      <c r="N2302" s="24"/>
      <c r="O2302" s="24"/>
      <c r="P2302" s="24"/>
      <c r="Q2302" s="24"/>
      <c r="R2302" s="24"/>
      <c r="S2302" s="24"/>
      <c r="T2302" s="24"/>
      <c r="U2302" s="24"/>
      <c r="V2302" s="24"/>
      <c r="W2302" s="24"/>
      <c r="X2302" s="24"/>
      <c r="Y2302" s="24"/>
      <c r="Z2302" s="24"/>
      <c r="AA2302" s="24"/>
      <c r="AB2302" s="24"/>
      <c r="AC2302" s="24"/>
      <c r="AD2302" s="24"/>
      <c r="AE2302" s="24"/>
      <c r="AF2302" s="24"/>
      <c r="AG2302" s="24"/>
      <c r="AH2302" s="24"/>
      <c r="AI2302" s="24"/>
      <c r="AJ2302" s="24"/>
      <c r="AK2302" s="24"/>
      <c r="AL2302" s="24"/>
      <c r="AM2302" s="24"/>
      <c r="AN2302" s="24"/>
      <c r="AO2302" s="24"/>
      <c r="AP2302" s="24"/>
      <c r="AQ2302" s="24"/>
      <c r="AR2302" s="54"/>
    </row>
    <row r="2303">
      <c r="A2303" s="57"/>
      <c r="B2303" s="24"/>
      <c r="C2303" s="24"/>
      <c r="D2303" s="24"/>
      <c r="E2303" s="24"/>
      <c r="F2303" s="24"/>
      <c r="G2303" s="24"/>
      <c r="H2303" s="24"/>
      <c r="I2303" s="24"/>
      <c r="J2303" s="24"/>
      <c r="K2303" s="24"/>
      <c r="L2303" s="24"/>
      <c r="M2303" s="24"/>
      <c r="N2303" s="24"/>
      <c r="O2303" s="24"/>
      <c r="P2303" s="24"/>
      <c r="Q2303" s="24"/>
      <c r="R2303" s="24"/>
      <c r="S2303" s="24"/>
      <c r="T2303" s="24"/>
      <c r="U2303" s="24"/>
      <c r="V2303" s="24"/>
      <c r="W2303" s="24"/>
      <c r="X2303" s="24"/>
      <c r="Y2303" s="24"/>
      <c r="Z2303" s="24"/>
      <c r="AA2303" s="24"/>
      <c r="AB2303" s="24"/>
      <c r="AC2303" s="24"/>
      <c r="AD2303" s="24"/>
      <c r="AE2303" s="24"/>
      <c r="AF2303" s="24"/>
      <c r="AG2303" s="24"/>
      <c r="AH2303" s="24"/>
      <c r="AI2303" s="24"/>
      <c r="AJ2303" s="24"/>
      <c r="AK2303" s="24"/>
      <c r="AL2303" s="24"/>
      <c r="AM2303" s="24"/>
      <c r="AN2303" s="24"/>
      <c r="AO2303" s="24"/>
      <c r="AP2303" s="24"/>
      <c r="AQ2303" s="24"/>
      <c r="AR2303" s="54"/>
    </row>
    <row r="2304">
      <c r="A2304" s="57"/>
      <c r="B2304" s="24"/>
      <c r="C2304" s="24"/>
      <c r="D2304" s="24"/>
      <c r="E2304" s="24"/>
      <c r="F2304" s="24"/>
      <c r="G2304" s="24"/>
      <c r="H2304" s="24"/>
      <c r="I2304" s="24"/>
      <c r="J2304" s="24"/>
      <c r="K2304" s="24"/>
      <c r="L2304" s="24"/>
      <c r="M2304" s="24"/>
      <c r="N2304" s="24"/>
      <c r="O2304" s="24"/>
      <c r="P2304" s="24"/>
      <c r="Q2304" s="24"/>
      <c r="R2304" s="24"/>
      <c r="S2304" s="24"/>
      <c r="T2304" s="24"/>
      <c r="U2304" s="24"/>
      <c r="V2304" s="24"/>
      <c r="W2304" s="24"/>
      <c r="X2304" s="24"/>
      <c r="Y2304" s="24"/>
      <c r="Z2304" s="24"/>
      <c r="AA2304" s="24"/>
      <c r="AB2304" s="24"/>
      <c r="AC2304" s="24"/>
      <c r="AD2304" s="24"/>
      <c r="AE2304" s="24"/>
      <c r="AF2304" s="24"/>
      <c r="AG2304" s="24"/>
      <c r="AH2304" s="24"/>
      <c r="AI2304" s="24"/>
      <c r="AJ2304" s="24"/>
      <c r="AK2304" s="24"/>
      <c r="AL2304" s="24"/>
      <c r="AM2304" s="24"/>
      <c r="AN2304" s="24"/>
      <c r="AO2304" s="24"/>
      <c r="AP2304" s="24"/>
      <c r="AQ2304" s="24"/>
      <c r="AR2304" s="54"/>
    </row>
    <row r="2305">
      <c r="A2305" s="57"/>
      <c r="B2305" s="24"/>
      <c r="C2305" s="24"/>
      <c r="D2305" s="24"/>
      <c r="E2305" s="24"/>
      <c r="F2305" s="24"/>
      <c r="G2305" s="24"/>
      <c r="H2305" s="24"/>
      <c r="I2305" s="24"/>
      <c r="J2305" s="24"/>
      <c r="K2305" s="24"/>
      <c r="L2305" s="24"/>
      <c r="M2305" s="24"/>
      <c r="N2305" s="24"/>
      <c r="O2305" s="24"/>
      <c r="P2305" s="24"/>
      <c r="Q2305" s="24"/>
      <c r="R2305" s="24"/>
      <c r="S2305" s="24"/>
      <c r="T2305" s="24"/>
      <c r="U2305" s="24"/>
      <c r="V2305" s="24"/>
      <c r="W2305" s="24"/>
      <c r="X2305" s="24"/>
      <c r="Y2305" s="24"/>
      <c r="Z2305" s="24"/>
      <c r="AA2305" s="24"/>
      <c r="AB2305" s="24"/>
      <c r="AC2305" s="24"/>
      <c r="AD2305" s="24"/>
      <c r="AE2305" s="24"/>
      <c r="AF2305" s="24"/>
      <c r="AG2305" s="24"/>
      <c r="AH2305" s="24"/>
      <c r="AI2305" s="24"/>
      <c r="AJ2305" s="24"/>
      <c r="AK2305" s="24"/>
      <c r="AL2305" s="24"/>
      <c r="AM2305" s="24"/>
      <c r="AN2305" s="24"/>
      <c r="AO2305" s="24"/>
      <c r="AP2305" s="24"/>
      <c r="AQ2305" s="24"/>
      <c r="AR2305" s="54"/>
    </row>
    <row r="2306">
      <c r="A2306" s="57"/>
      <c r="B2306" s="24"/>
      <c r="C2306" s="24"/>
      <c r="D2306" s="24"/>
      <c r="E2306" s="24"/>
      <c r="F2306" s="24"/>
      <c r="G2306" s="24"/>
      <c r="H2306" s="24"/>
      <c r="I2306" s="24"/>
      <c r="J2306" s="24"/>
      <c r="K2306" s="24"/>
      <c r="L2306" s="24"/>
      <c r="M2306" s="24"/>
      <c r="N2306" s="24"/>
      <c r="O2306" s="24"/>
      <c r="P2306" s="24"/>
      <c r="Q2306" s="24"/>
      <c r="R2306" s="24"/>
      <c r="S2306" s="24"/>
      <c r="T2306" s="24"/>
      <c r="U2306" s="24"/>
      <c r="V2306" s="24"/>
      <c r="W2306" s="24"/>
      <c r="X2306" s="24"/>
      <c r="Y2306" s="24"/>
      <c r="Z2306" s="24"/>
      <c r="AA2306" s="24"/>
      <c r="AB2306" s="24"/>
      <c r="AC2306" s="24"/>
      <c r="AD2306" s="24"/>
      <c r="AE2306" s="24"/>
      <c r="AF2306" s="24"/>
      <c r="AG2306" s="24"/>
      <c r="AH2306" s="24"/>
      <c r="AI2306" s="24"/>
      <c r="AJ2306" s="24"/>
      <c r="AK2306" s="24"/>
      <c r="AL2306" s="24"/>
      <c r="AM2306" s="24"/>
      <c r="AN2306" s="24"/>
      <c r="AO2306" s="24"/>
      <c r="AP2306" s="24"/>
      <c r="AQ2306" s="24"/>
      <c r="AR2306" s="54"/>
    </row>
    <row r="2307">
      <c r="A2307" s="57"/>
      <c r="B2307" s="24"/>
      <c r="C2307" s="24"/>
      <c r="D2307" s="24"/>
      <c r="E2307" s="24"/>
      <c r="F2307" s="24"/>
      <c r="G2307" s="24"/>
      <c r="H2307" s="24"/>
      <c r="I2307" s="24"/>
      <c r="J2307" s="24"/>
      <c r="K2307" s="24"/>
      <c r="L2307" s="24"/>
      <c r="M2307" s="24"/>
      <c r="N2307" s="24"/>
      <c r="O2307" s="24"/>
      <c r="P2307" s="24"/>
      <c r="Q2307" s="24"/>
      <c r="R2307" s="24"/>
      <c r="S2307" s="24"/>
      <c r="T2307" s="24"/>
      <c r="U2307" s="24"/>
      <c r="V2307" s="24"/>
      <c r="W2307" s="24"/>
      <c r="X2307" s="24"/>
      <c r="Y2307" s="24"/>
      <c r="Z2307" s="24"/>
      <c r="AA2307" s="24"/>
      <c r="AB2307" s="24"/>
      <c r="AC2307" s="24"/>
      <c r="AD2307" s="24"/>
      <c r="AE2307" s="24"/>
      <c r="AF2307" s="24"/>
      <c r="AG2307" s="24"/>
      <c r="AH2307" s="24"/>
      <c r="AI2307" s="24"/>
      <c r="AJ2307" s="24"/>
      <c r="AK2307" s="24"/>
      <c r="AL2307" s="24"/>
      <c r="AM2307" s="24"/>
      <c r="AN2307" s="24"/>
      <c r="AO2307" s="24"/>
      <c r="AP2307" s="24"/>
      <c r="AQ2307" s="24"/>
      <c r="AR2307" s="54"/>
    </row>
    <row r="2308">
      <c r="A2308" s="57"/>
      <c r="B2308" s="24"/>
      <c r="C2308" s="24"/>
      <c r="D2308" s="24"/>
      <c r="E2308" s="24"/>
      <c r="F2308" s="24"/>
      <c r="G2308" s="24"/>
      <c r="H2308" s="24"/>
      <c r="I2308" s="24"/>
      <c r="J2308" s="24"/>
      <c r="K2308" s="24"/>
      <c r="L2308" s="24"/>
      <c r="M2308" s="24"/>
      <c r="N2308" s="24"/>
      <c r="O2308" s="24"/>
      <c r="P2308" s="24"/>
      <c r="Q2308" s="24"/>
      <c r="R2308" s="24"/>
      <c r="S2308" s="24"/>
      <c r="T2308" s="24"/>
      <c r="U2308" s="24"/>
      <c r="V2308" s="24"/>
      <c r="W2308" s="24"/>
      <c r="X2308" s="24"/>
      <c r="Y2308" s="24"/>
      <c r="Z2308" s="24"/>
      <c r="AA2308" s="24"/>
      <c r="AB2308" s="24"/>
      <c r="AC2308" s="24"/>
      <c r="AD2308" s="24"/>
      <c r="AE2308" s="24"/>
      <c r="AF2308" s="24"/>
      <c r="AG2308" s="24"/>
      <c r="AH2308" s="24"/>
      <c r="AI2308" s="24"/>
      <c r="AJ2308" s="24"/>
      <c r="AK2308" s="24"/>
      <c r="AL2308" s="24"/>
      <c r="AM2308" s="24"/>
      <c r="AN2308" s="24"/>
      <c r="AO2308" s="24"/>
      <c r="AP2308" s="24"/>
      <c r="AQ2308" s="24"/>
      <c r="AR2308" s="54"/>
    </row>
    <row r="2309">
      <c r="A2309" s="57"/>
      <c r="B2309" s="24"/>
      <c r="C2309" s="24"/>
      <c r="D2309" s="24"/>
      <c r="E2309" s="24"/>
      <c r="F2309" s="24"/>
      <c r="G2309" s="24"/>
      <c r="H2309" s="24"/>
      <c r="I2309" s="24"/>
      <c r="J2309" s="24"/>
      <c r="K2309" s="24"/>
      <c r="L2309" s="24"/>
      <c r="M2309" s="24"/>
      <c r="N2309" s="24"/>
      <c r="O2309" s="24"/>
      <c r="P2309" s="24"/>
      <c r="Q2309" s="24"/>
      <c r="R2309" s="24"/>
      <c r="S2309" s="24"/>
      <c r="T2309" s="24"/>
      <c r="U2309" s="24"/>
      <c r="V2309" s="24"/>
      <c r="W2309" s="24"/>
      <c r="X2309" s="24"/>
      <c r="Y2309" s="24"/>
      <c r="Z2309" s="24"/>
      <c r="AA2309" s="24"/>
      <c r="AB2309" s="24"/>
      <c r="AC2309" s="24"/>
      <c r="AD2309" s="24"/>
      <c r="AE2309" s="24"/>
      <c r="AF2309" s="24"/>
      <c r="AG2309" s="24"/>
      <c r="AH2309" s="24"/>
      <c r="AI2309" s="24"/>
      <c r="AJ2309" s="24"/>
      <c r="AK2309" s="24"/>
      <c r="AL2309" s="24"/>
      <c r="AM2309" s="24"/>
      <c r="AN2309" s="24"/>
      <c r="AO2309" s="24"/>
      <c r="AP2309" s="24"/>
      <c r="AQ2309" s="24"/>
      <c r="AR2309" s="54"/>
    </row>
    <row r="2310">
      <c r="A2310" s="57"/>
      <c r="B2310" s="24"/>
      <c r="C2310" s="24"/>
      <c r="D2310" s="24"/>
      <c r="E2310" s="24"/>
      <c r="F2310" s="24"/>
      <c r="G2310" s="24"/>
      <c r="H2310" s="24"/>
      <c r="I2310" s="24"/>
      <c r="J2310" s="24"/>
      <c r="K2310" s="24"/>
      <c r="L2310" s="24"/>
      <c r="M2310" s="24"/>
      <c r="N2310" s="24"/>
      <c r="O2310" s="24"/>
      <c r="P2310" s="24"/>
      <c r="Q2310" s="24"/>
      <c r="R2310" s="24"/>
      <c r="S2310" s="24"/>
      <c r="T2310" s="24"/>
      <c r="U2310" s="24"/>
      <c r="V2310" s="24"/>
      <c r="W2310" s="24"/>
      <c r="X2310" s="24"/>
      <c r="Y2310" s="24"/>
      <c r="Z2310" s="24"/>
      <c r="AA2310" s="24"/>
      <c r="AB2310" s="24"/>
      <c r="AC2310" s="24"/>
      <c r="AD2310" s="24"/>
      <c r="AE2310" s="24"/>
      <c r="AF2310" s="24"/>
      <c r="AG2310" s="24"/>
      <c r="AH2310" s="24"/>
      <c r="AI2310" s="24"/>
      <c r="AJ2310" s="24"/>
      <c r="AK2310" s="24"/>
      <c r="AL2310" s="24"/>
      <c r="AM2310" s="24"/>
      <c r="AN2310" s="24"/>
      <c r="AO2310" s="24"/>
      <c r="AP2310" s="24"/>
      <c r="AQ2310" s="24"/>
      <c r="AR2310" s="54"/>
    </row>
    <row r="2311">
      <c r="A2311" s="57"/>
      <c r="B2311" s="24"/>
      <c r="C2311" s="24"/>
      <c r="D2311" s="24"/>
      <c r="E2311" s="24"/>
      <c r="F2311" s="24"/>
      <c r="G2311" s="24"/>
      <c r="H2311" s="24"/>
      <c r="I2311" s="24"/>
      <c r="J2311" s="24"/>
      <c r="K2311" s="24"/>
      <c r="L2311" s="24"/>
      <c r="M2311" s="24"/>
      <c r="N2311" s="24"/>
      <c r="O2311" s="24"/>
      <c r="P2311" s="24"/>
      <c r="Q2311" s="24"/>
      <c r="R2311" s="24"/>
      <c r="S2311" s="24"/>
      <c r="T2311" s="24"/>
      <c r="U2311" s="24"/>
      <c r="V2311" s="24"/>
      <c r="W2311" s="24"/>
      <c r="X2311" s="24"/>
      <c r="Y2311" s="24"/>
      <c r="Z2311" s="24"/>
      <c r="AA2311" s="24"/>
      <c r="AB2311" s="24"/>
      <c r="AC2311" s="24"/>
      <c r="AD2311" s="24"/>
      <c r="AE2311" s="24"/>
      <c r="AF2311" s="24"/>
      <c r="AG2311" s="24"/>
      <c r="AH2311" s="24"/>
      <c r="AI2311" s="24"/>
      <c r="AJ2311" s="24"/>
      <c r="AK2311" s="24"/>
      <c r="AL2311" s="24"/>
      <c r="AM2311" s="24"/>
      <c r="AN2311" s="24"/>
      <c r="AO2311" s="24"/>
      <c r="AP2311" s="24"/>
      <c r="AQ2311" s="24"/>
      <c r="AR2311" s="54"/>
    </row>
    <row r="2312">
      <c r="A2312" s="57"/>
      <c r="B2312" s="24"/>
      <c r="C2312" s="24"/>
      <c r="D2312" s="24"/>
      <c r="E2312" s="24"/>
      <c r="F2312" s="24"/>
      <c r="G2312" s="24"/>
      <c r="H2312" s="24"/>
      <c r="I2312" s="24"/>
      <c r="J2312" s="24"/>
      <c r="K2312" s="24"/>
      <c r="L2312" s="24"/>
      <c r="M2312" s="24"/>
      <c r="N2312" s="24"/>
      <c r="O2312" s="24"/>
      <c r="P2312" s="24"/>
      <c r="Q2312" s="24"/>
      <c r="R2312" s="24"/>
      <c r="S2312" s="24"/>
      <c r="T2312" s="24"/>
      <c r="U2312" s="24"/>
      <c r="V2312" s="24"/>
      <c r="W2312" s="24"/>
      <c r="X2312" s="24"/>
      <c r="Y2312" s="24"/>
      <c r="Z2312" s="24"/>
      <c r="AA2312" s="24"/>
      <c r="AB2312" s="24"/>
      <c r="AC2312" s="24"/>
      <c r="AD2312" s="24"/>
      <c r="AE2312" s="24"/>
      <c r="AF2312" s="24"/>
      <c r="AG2312" s="24"/>
      <c r="AH2312" s="24"/>
      <c r="AI2312" s="24"/>
      <c r="AJ2312" s="24"/>
      <c r="AK2312" s="24"/>
      <c r="AL2312" s="24"/>
      <c r="AM2312" s="24"/>
      <c r="AN2312" s="24"/>
      <c r="AO2312" s="24"/>
      <c r="AP2312" s="24"/>
      <c r="AQ2312" s="24"/>
      <c r="AR2312" s="54"/>
    </row>
    <row r="2313">
      <c r="A2313" s="57"/>
      <c r="B2313" s="24"/>
      <c r="C2313" s="24"/>
      <c r="D2313" s="24"/>
      <c r="E2313" s="24"/>
      <c r="F2313" s="24"/>
      <c r="G2313" s="24"/>
      <c r="H2313" s="24"/>
      <c r="I2313" s="24"/>
      <c r="J2313" s="24"/>
      <c r="K2313" s="24"/>
      <c r="L2313" s="24"/>
      <c r="M2313" s="24"/>
      <c r="N2313" s="24"/>
      <c r="O2313" s="24"/>
      <c r="P2313" s="24"/>
      <c r="Q2313" s="24"/>
      <c r="R2313" s="24"/>
      <c r="S2313" s="24"/>
      <c r="T2313" s="24"/>
      <c r="U2313" s="24"/>
      <c r="V2313" s="24"/>
      <c r="W2313" s="24"/>
      <c r="X2313" s="24"/>
      <c r="Y2313" s="24"/>
      <c r="Z2313" s="24"/>
      <c r="AA2313" s="24"/>
      <c r="AB2313" s="24"/>
      <c r="AC2313" s="24"/>
      <c r="AD2313" s="24"/>
      <c r="AE2313" s="24"/>
      <c r="AF2313" s="24"/>
      <c r="AG2313" s="24"/>
      <c r="AH2313" s="24"/>
      <c r="AI2313" s="24"/>
      <c r="AJ2313" s="24"/>
      <c r="AK2313" s="24"/>
      <c r="AL2313" s="24"/>
      <c r="AM2313" s="24"/>
      <c r="AN2313" s="24"/>
      <c r="AO2313" s="24"/>
      <c r="AP2313" s="24"/>
      <c r="AQ2313" s="24"/>
      <c r="AR2313" s="54"/>
    </row>
    <row r="2314">
      <c r="A2314" s="57"/>
      <c r="B2314" s="24"/>
      <c r="C2314" s="24"/>
      <c r="D2314" s="24"/>
      <c r="E2314" s="24"/>
      <c r="F2314" s="24"/>
      <c r="G2314" s="24"/>
      <c r="H2314" s="24"/>
      <c r="I2314" s="24"/>
      <c r="J2314" s="24"/>
      <c r="K2314" s="24"/>
      <c r="L2314" s="24"/>
      <c r="M2314" s="24"/>
      <c r="N2314" s="24"/>
      <c r="O2314" s="24"/>
      <c r="P2314" s="24"/>
      <c r="Q2314" s="24"/>
      <c r="R2314" s="24"/>
      <c r="S2314" s="24"/>
      <c r="T2314" s="24"/>
      <c r="U2314" s="24"/>
      <c r="V2314" s="24"/>
      <c r="W2314" s="24"/>
      <c r="X2314" s="24"/>
      <c r="Y2314" s="24"/>
      <c r="Z2314" s="24"/>
      <c r="AA2314" s="24"/>
      <c r="AB2314" s="24"/>
      <c r="AC2314" s="24"/>
      <c r="AD2314" s="24"/>
      <c r="AE2314" s="24"/>
      <c r="AF2314" s="24"/>
      <c r="AG2314" s="24"/>
      <c r="AH2314" s="24"/>
      <c r="AI2314" s="24"/>
      <c r="AJ2314" s="24"/>
      <c r="AK2314" s="24"/>
      <c r="AL2314" s="24"/>
      <c r="AM2314" s="24"/>
      <c r="AN2314" s="24"/>
      <c r="AO2314" s="24"/>
      <c r="AP2314" s="24"/>
      <c r="AQ2314" s="24"/>
      <c r="AR2314" s="54"/>
    </row>
    <row r="2315">
      <c r="A2315" s="57"/>
      <c r="B2315" s="24"/>
      <c r="C2315" s="24"/>
      <c r="D2315" s="24"/>
      <c r="E2315" s="24"/>
      <c r="F2315" s="24"/>
      <c r="G2315" s="24"/>
      <c r="H2315" s="24"/>
      <c r="I2315" s="24"/>
      <c r="J2315" s="24"/>
      <c r="K2315" s="24"/>
      <c r="L2315" s="24"/>
      <c r="M2315" s="24"/>
      <c r="N2315" s="24"/>
      <c r="O2315" s="24"/>
      <c r="P2315" s="24"/>
      <c r="Q2315" s="24"/>
      <c r="R2315" s="24"/>
      <c r="S2315" s="24"/>
      <c r="T2315" s="24"/>
      <c r="U2315" s="24"/>
      <c r="V2315" s="24"/>
      <c r="W2315" s="24"/>
      <c r="X2315" s="24"/>
      <c r="Y2315" s="24"/>
      <c r="Z2315" s="24"/>
      <c r="AA2315" s="24"/>
      <c r="AB2315" s="24"/>
      <c r="AC2315" s="24"/>
      <c r="AD2315" s="24"/>
      <c r="AE2315" s="24"/>
      <c r="AF2315" s="24"/>
      <c r="AG2315" s="24"/>
      <c r="AH2315" s="24"/>
      <c r="AI2315" s="24"/>
      <c r="AJ2315" s="24"/>
      <c r="AK2315" s="24"/>
      <c r="AL2315" s="24"/>
      <c r="AM2315" s="24"/>
      <c r="AN2315" s="24"/>
      <c r="AO2315" s="24"/>
      <c r="AP2315" s="24"/>
      <c r="AQ2315" s="24"/>
      <c r="AR2315" s="54"/>
    </row>
    <row r="2316">
      <c r="A2316" s="57"/>
      <c r="B2316" s="24"/>
      <c r="C2316" s="24"/>
      <c r="D2316" s="24"/>
      <c r="E2316" s="24"/>
      <c r="F2316" s="24"/>
      <c r="G2316" s="24"/>
      <c r="H2316" s="24"/>
      <c r="I2316" s="24"/>
      <c r="J2316" s="24"/>
      <c r="K2316" s="24"/>
      <c r="L2316" s="24"/>
      <c r="M2316" s="24"/>
      <c r="N2316" s="24"/>
      <c r="O2316" s="24"/>
      <c r="P2316" s="24"/>
      <c r="Q2316" s="24"/>
      <c r="R2316" s="24"/>
      <c r="S2316" s="24"/>
      <c r="T2316" s="24"/>
      <c r="U2316" s="24"/>
      <c r="V2316" s="24"/>
      <c r="W2316" s="24"/>
      <c r="X2316" s="24"/>
      <c r="Y2316" s="24"/>
      <c r="Z2316" s="24"/>
      <c r="AA2316" s="24"/>
      <c r="AB2316" s="24"/>
      <c r="AC2316" s="24"/>
      <c r="AD2316" s="24"/>
      <c r="AE2316" s="24"/>
      <c r="AF2316" s="24"/>
      <c r="AG2316" s="24"/>
      <c r="AH2316" s="24"/>
      <c r="AI2316" s="24"/>
      <c r="AJ2316" s="24"/>
      <c r="AK2316" s="24"/>
      <c r="AL2316" s="24"/>
      <c r="AM2316" s="24"/>
      <c r="AN2316" s="24"/>
      <c r="AO2316" s="24"/>
      <c r="AP2316" s="24"/>
      <c r="AQ2316" s="24"/>
      <c r="AR2316" s="54"/>
    </row>
    <row r="2317">
      <c r="A2317" s="57"/>
      <c r="B2317" s="24"/>
      <c r="C2317" s="24"/>
      <c r="D2317" s="24"/>
      <c r="E2317" s="24"/>
      <c r="F2317" s="24"/>
      <c r="G2317" s="24"/>
      <c r="H2317" s="24"/>
      <c r="I2317" s="24"/>
      <c r="J2317" s="24"/>
      <c r="K2317" s="24"/>
      <c r="L2317" s="24"/>
      <c r="M2317" s="24"/>
      <c r="N2317" s="24"/>
      <c r="O2317" s="24"/>
      <c r="P2317" s="24"/>
      <c r="Q2317" s="24"/>
      <c r="R2317" s="24"/>
      <c r="S2317" s="24"/>
      <c r="T2317" s="24"/>
      <c r="U2317" s="24"/>
      <c r="V2317" s="24"/>
      <c r="W2317" s="24"/>
      <c r="X2317" s="24"/>
      <c r="Y2317" s="24"/>
      <c r="Z2317" s="24"/>
      <c r="AA2317" s="24"/>
      <c r="AB2317" s="24"/>
      <c r="AC2317" s="24"/>
      <c r="AD2317" s="24"/>
      <c r="AE2317" s="24"/>
      <c r="AF2317" s="24"/>
      <c r="AG2317" s="24"/>
      <c r="AH2317" s="24"/>
      <c r="AI2317" s="24"/>
      <c r="AJ2317" s="24"/>
      <c r="AK2317" s="24"/>
      <c r="AL2317" s="24"/>
      <c r="AM2317" s="24"/>
      <c r="AN2317" s="24"/>
      <c r="AO2317" s="24"/>
      <c r="AP2317" s="24"/>
      <c r="AQ2317" s="24"/>
      <c r="AR2317" s="54"/>
    </row>
    <row r="2318">
      <c r="A2318" s="57"/>
      <c r="B2318" s="24"/>
      <c r="C2318" s="24"/>
      <c r="D2318" s="24"/>
      <c r="E2318" s="24"/>
      <c r="F2318" s="24"/>
      <c r="G2318" s="24"/>
      <c r="H2318" s="24"/>
      <c r="I2318" s="24"/>
      <c r="J2318" s="24"/>
      <c r="K2318" s="24"/>
      <c r="L2318" s="24"/>
      <c r="M2318" s="24"/>
      <c r="N2318" s="24"/>
      <c r="O2318" s="24"/>
      <c r="P2318" s="24"/>
      <c r="Q2318" s="24"/>
      <c r="R2318" s="24"/>
      <c r="S2318" s="24"/>
      <c r="T2318" s="24"/>
      <c r="U2318" s="24"/>
      <c r="V2318" s="24"/>
      <c r="W2318" s="24"/>
      <c r="X2318" s="24"/>
      <c r="Y2318" s="24"/>
      <c r="Z2318" s="24"/>
      <c r="AA2318" s="24"/>
      <c r="AB2318" s="24"/>
      <c r="AC2318" s="24"/>
      <c r="AD2318" s="24"/>
      <c r="AE2318" s="24"/>
      <c r="AF2318" s="24"/>
      <c r="AG2318" s="24"/>
      <c r="AH2318" s="24"/>
      <c r="AI2318" s="24"/>
      <c r="AJ2318" s="24"/>
      <c r="AK2318" s="24"/>
      <c r="AL2318" s="24"/>
      <c r="AM2318" s="24"/>
      <c r="AN2318" s="24"/>
      <c r="AO2318" s="24"/>
      <c r="AP2318" s="24"/>
      <c r="AQ2318" s="24"/>
      <c r="AR2318" s="54"/>
    </row>
    <row r="2319">
      <c r="A2319" s="57"/>
      <c r="B2319" s="24"/>
      <c r="C2319" s="24"/>
      <c r="D2319" s="24"/>
      <c r="E2319" s="24"/>
      <c r="F2319" s="24"/>
      <c r="G2319" s="24"/>
      <c r="H2319" s="24"/>
      <c r="I2319" s="24"/>
      <c r="J2319" s="24"/>
      <c r="K2319" s="24"/>
      <c r="L2319" s="24"/>
      <c r="M2319" s="24"/>
      <c r="N2319" s="24"/>
      <c r="O2319" s="24"/>
      <c r="P2319" s="24"/>
      <c r="Q2319" s="24"/>
      <c r="R2319" s="24"/>
      <c r="S2319" s="24"/>
      <c r="T2319" s="24"/>
      <c r="U2319" s="24"/>
      <c r="V2319" s="24"/>
      <c r="W2319" s="24"/>
      <c r="X2319" s="24"/>
      <c r="Y2319" s="24"/>
      <c r="Z2319" s="24"/>
      <c r="AA2319" s="24"/>
      <c r="AB2319" s="24"/>
      <c r="AC2319" s="24"/>
      <c r="AD2319" s="24"/>
      <c r="AE2319" s="24"/>
      <c r="AF2319" s="24"/>
      <c r="AG2319" s="24"/>
      <c r="AH2319" s="24"/>
      <c r="AI2319" s="24"/>
      <c r="AJ2319" s="24"/>
      <c r="AK2319" s="24"/>
      <c r="AL2319" s="24"/>
      <c r="AM2319" s="24"/>
      <c r="AN2319" s="24"/>
      <c r="AO2319" s="24"/>
      <c r="AP2319" s="24"/>
      <c r="AQ2319" s="24"/>
      <c r="AR2319" s="54"/>
    </row>
    <row r="2320">
      <c r="A2320" s="57"/>
      <c r="B2320" s="24"/>
      <c r="C2320" s="24"/>
      <c r="D2320" s="24"/>
      <c r="E2320" s="24"/>
      <c r="F2320" s="24"/>
      <c r="G2320" s="24"/>
      <c r="H2320" s="24"/>
      <c r="I2320" s="24"/>
      <c r="J2320" s="24"/>
      <c r="K2320" s="24"/>
      <c r="L2320" s="24"/>
      <c r="M2320" s="24"/>
      <c r="N2320" s="24"/>
      <c r="O2320" s="24"/>
      <c r="P2320" s="24"/>
      <c r="Q2320" s="24"/>
      <c r="R2320" s="24"/>
      <c r="S2320" s="24"/>
      <c r="T2320" s="24"/>
      <c r="U2320" s="24"/>
      <c r="V2320" s="24"/>
      <c r="W2320" s="24"/>
      <c r="X2320" s="24"/>
      <c r="Y2320" s="24"/>
      <c r="Z2320" s="24"/>
      <c r="AA2320" s="24"/>
      <c r="AB2320" s="24"/>
      <c r="AC2320" s="24"/>
      <c r="AD2320" s="24"/>
      <c r="AE2320" s="24"/>
      <c r="AF2320" s="24"/>
      <c r="AG2320" s="24"/>
      <c r="AH2320" s="24"/>
      <c r="AI2320" s="24"/>
      <c r="AJ2320" s="24"/>
      <c r="AK2320" s="24"/>
      <c r="AL2320" s="24"/>
      <c r="AM2320" s="24"/>
      <c r="AN2320" s="24"/>
      <c r="AO2320" s="24"/>
      <c r="AP2320" s="24"/>
      <c r="AQ2320" s="24"/>
      <c r="AR2320" s="54"/>
    </row>
    <row r="2321">
      <c r="A2321" s="57"/>
      <c r="B2321" s="24"/>
      <c r="C2321" s="24"/>
      <c r="D2321" s="24"/>
      <c r="E2321" s="24"/>
      <c r="F2321" s="24"/>
      <c r="G2321" s="24"/>
      <c r="H2321" s="24"/>
      <c r="I2321" s="24"/>
      <c r="J2321" s="24"/>
      <c r="K2321" s="24"/>
      <c r="L2321" s="24"/>
      <c r="M2321" s="24"/>
      <c r="N2321" s="24"/>
      <c r="O2321" s="24"/>
      <c r="P2321" s="24"/>
      <c r="Q2321" s="24"/>
      <c r="R2321" s="24"/>
      <c r="S2321" s="24"/>
      <c r="T2321" s="24"/>
      <c r="U2321" s="24"/>
      <c r="V2321" s="24"/>
      <c r="W2321" s="24"/>
      <c r="X2321" s="24"/>
      <c r="Y2321" s="24"/>
      <c r="Z2321" s="24"/>
      <c r="AA2321" s="24"/>
      <c r="AB2321" s="24"/>
      <c r="AC2321" s="24"/>
      <c r="AD2321" s="24"/>
      <c r="AE2321" s="24"/>
      <c r="AF2321" s="24"/>
      <c r="AG2321" s="24"/>
      <c r="AH2321" s="24"/>
      <c r="AI2321" s="24"/>
      <c r="AJ2321" s="24"/>
      <c r="AK2321" s="24"/>
      <c r="AL2321" s="24"/>
      <c r="AM2321" s="24"/>
      <c r="AN2321" s="24"/>
      <c r="AO2321" s="24"/>
      <c r="AP2321" s="24"/>
      <c r="AQ2321" s="24"/>
      <c r="AR2321" s="54"/>
    </row>
    <row r="2322">
      <c r="A2322" s="57"/>
      <c r="B2322" s="24"/>
      <c r="C2322" s="24"/>
      <c r="D2322" s="24"/>
      <c r="E2322" s="24"/>
      <c r="F2322" s="24"/>
      <c r="G2322" s="24"/>
      <c r="H2322" s="24"/>
      <c r="I2322" s="24"/>
      <c r="J2322" s="24"/>
      <c r="K2322" s="24"/>
      <c r="L2322" s="24"/>
      <c r="M2322" s="24"/>
      <c r="N2322" s="24"/>
      <c r="O2322" s="24"/>
      <c r="P2322" s="24"/>
      <c r="Q2322" s="24"/>
      <c r="R2322" s="24"/>
      <c r="S2322" s="24"/>
      <c r="T2322" s="24"/>
      <c r="U2322" s="24"/>
      <c r="V2322" s="24"/>
      <c r="W2322" s="24"/>
      <c r="X2322" s="24"/>
      <c r="Y2322" s="24"/>
      <c r="Z2322" s="24"/>
      <c r="AA2322" s="24"/>
      <c r="AB2322" s="24"/>
      <c r="AC2322" s="24"/>
      <c r="AD2322" s="24"/>
      <c r="AE2322" s="24"/>
      <c r="AF2322" s="24"/>
      <c r="AG2322" s="24"/>
      <c r="AH2322" s="24"/>
      <c r="AI2322" s="24"/>
      <c r="AJ2322" s="24"/>
      <c r="AK2322" s="24"/>
      <c r="AL2322" s="24"/>
      <c r="AM2322" s="24"/>
      <c r="AN2322" s="24"/>
      <c r="AO2322" s="24"/>
      <c r="AP2322" s="24"/>
      <c r="AQ2322" s="24"/>
      <c r="AR2322" s="54"/>
    </row>
    <row r="2323">
      <c r="A2323" s="57"/>
      <c r="B2323" s="24"/>
      <c r="C2323" s="24"/>
      <c r="D2323" s="24"/>
      <c r="E2323" s="24"/>
      <c r="F2323" s="24"/>
      <c r="G2323" s="24"/>
      <c r="H2323" s="24"/>
      <c r="I2323" s="24"/>
      <c r="J2323" s="24"/>
      <c r="K2323" s="24"/>
      <c r="L2323" s="24"/>
      <c r="M2323" s="24"/>
      <c r="N2323" s="24"/>
      <c r="O2323" s="24"/>
      <c r="P2323" s="24"/>
      <c r="Q2323" s="24"/>
      <c r="R2323" s="24"/>
      <c r="S2323" s="24"/>
      <c r="T2323" s="24"/>
      <c r="U2323" s="24"/>
      <c r="V2323" s="24"/>
      <c r="W2323" s="24"/>
      <c r="X2323" s="24"/>
      <c r="Y2323" s="24"/>
      <c r="Z2323" s="24"/>
      <c r="AA2323" s="24"/>
      <c r="AB2323" s="24"/>
      <c r="AC2323" s="24"/>
      <c r="AD2323" s="24"/>
      <c r="AE2323" s="24"/>
      <c r="AF2323" s="24"/>
      <c r="AG2323" s="24"/>
      <c r="AH2323" s="24"/>
      <c r="AI2323" s="24"/>
      <c r="AJ2323" s="24"/>
      <c r="AK2323" s="24"/>
      <c r="AL2323" s="24"/>
      <c r="AM2323" s="24"/>
      <c r="AN2323" s="24"/>
      <c r="AO2323" s="24"/>
      <c r="AP2323" s="24"/>
      <c r="AQ2323" s="24"/>
      <c r="AR2323" s="54"/>
    </row>
    <row r="2324">
      <c r="A2324" s="57"/>
      <c r="B2324" s="24"/>
      <c r="C2324" s="24"/>
      <c r="D2324" s="24"/>
      <c r="E2324" s="24"/>
      <c r="F2324" s="24"/>
      <c r="G2324" s="24"/>
      <c r="H2324" s="24"/>
      <c r="I2324" s="24"/>
      <c r="J2324" s="24"/>
      <c r="K2324" s="24"/>
      <c r="L2324" s="24"/>
      <c r="M2324" s="24"/>
      <c r="N2324" s="24"/>
      <c r="O2324" s="24"/>
      <c r="P2324" s="24"/>
      <c r="Q2324" s="24"/>
      <c r="R2324" s="24"/>
      <c r="S2324" s="24"/>
      <c r="T2324" s="24"/>
      <c r="U2324" s="24"/>
      <c r="V2324" s="24"/>
      <c r="W2324" s="24"/>
      <c r="X2324" s="24"/>
      <c r="Y2324" s="24"/>
      <c r="Z2324" s="24"/>
      <c r="AA2324" s="24"/>
      <c r="AB2324" s="24"/>
      <c r="AC2324" s="24"/>
      <c r="AD2324" s="24"/>
      <c r="AE2324" s="24"/>
      <c r="AF2324" s="24"/>
      <c r="AG2324" s="24"/>
      <c r="AH2324" s="24"/>
      <c r="AI2324" s="24"/>
      <c r="AJ2324" s="24"/>
      <c r="AK2324" s="24"/>
      <c r="AL2324" s="24"/>
      <c r="AM2324" s="24"/>
      <c r="AN2324" s="24"/>
      <c r="AO2324" s="24"/>
      <c r="AP2324" s="24"/>
      <c r="AQ2324" s="24"/>
      <c r="AR2324" s="54"/>
    </row>
    <row r="2325">
      <c r="A2325" s="57"/>
      <c r="B2325" s="24"/>
      <c r="C2325" s="24"/>
      <c r="D2325" s="24"/>
      <c r="E2325" s="24"/>
      <c r="F2325" s="24"/>
      <c r="G2325" s="24"/>
      <c r="H2325" s="24"/>
      <c r="I2325" s="24"/>
      <c r="J2325" s="24"/>
      <c r="K2325" s="24"/>
      <c r="L2325" s="24"/>
      <c r="M2325" s="24"/>
      <c r="N2325" s="24"/>
      <c r="O2325" s="24"/>
      <c r="P2325" s="24"/>
      <c r="Q2325" s="24"/>
      <c r="R2325" s="24"/>
      <c r="S2325" s="24"/>
      <c r="T2325" s="24"/>
      <c r="U2325" s="24"/>
      <c r="V2325" s="24"/>
      <c r="W2325" s="24"/>
      <c r="X2325" s="24"/>
      <c r="Y2325" s="24"/>
      <c r="Z2325" s="24"/>
      <c r="AA2325" s="24"/>
      <c r="AB2325" s="24"/>
      <c r="AC2325" s="24"/>
      <c r="AD2325" s="24"/>
      <c r="AE2325" s="24"/>
      <c r="AF2325" s="24"/>
      <c r="AG2325" s="24"/>
      <c r="AH2325" s="24"/>
      <c r="AI2325" s="24"/>
      <c r="AJ2325" s="24"/>
      <c r="AK2325" s="24"/>
      <c r="AL2325" s="24"/>
      <c r="AM2325" s="24"/>
      <c r="AN2325" s="24"/>
      <c r="AO2325" s="24"/>
      <c r="AP2325" s="24"/>
      <c r="AQ2325" s="24"/>
      <c r="AR2325" s="54"/>
    </row>
    <row r="2326">
      <c r="A2326" s="57"/>
      <c r="B2326" s="24"/>
      <c r="C2326" s="24"/>
      <c r="D2326" s="24"/>
      <c r="E2326" s="24"/>
      <c r="F2326" s="24"/>
      <c r="G2326" s="24"/>
      <c r="H2326" s="24"/>
      <c r="I2326" s="24"/>
      <c r="J2326" s="24"/>
      <c r="K2326" s="24"/>
      <c r="L2326" s="24"/>
      <c r="M2326" s="24"/>
      <c r="N2326" s="24"/>
      <c r="O2326" s="24"/>
      <c r="P2326" s="24"/>
      <c r="Q2326" s="24"/>
      <c r="R2326" s="24"/>
      <c r="S2326" s="24"/>
      <c r="T2326" s="24"/>
      <c r="U2326" s="24"/>
      <c r="V2326" s="24"/>
      <c r="W2326" s="24"/>
      <c r="X2326" s="24"/>
      <c r="Y2326" s="24"/>
      <c r="Z2326" s="24"/>
      <c r="AA2326" s="24"/>
      <c r="AB2326" s="24"/>
      <c r="AC2326" s="24"/>
      <c r="AD2326" s="24"/>
      <c r="AE2326" s="24"/>
      <c r="AF2326" s="24"/>
      <c r="AG2326" s="24"/>
      <c r="AH2326" s="24"/>
      <c r="AI2326" s="24"/>
      <c r="AJ2326" s="24"/>
      <c r="AK2326" s="24"/>
      <c r="AL2326" s="24"/>
      <c r="AM2326" s="24"/>
      <c r="AN2326" s="24"/>
      <c r="AO2326" s="24"/>
      <c r="AP2326" s="24"/>
      <c r="AQ2326" s="24"/>
      <c r="AR2326" s="54"/>
    </row>
    <row r="2327">
      <c r="A2327" s="57"/>
      <c r="B2327" s="24"/>
      <c r="C2327" s="24"/>
      <c r="D2327" s="24"/>
      <c r="E2327" s="24"/>
      <c r="F2327" s="24"/>
      <c r="G2327" s="24"/>
      <c r="H2327" s="24"/>
      <c r="I2327" s="24"/>
      <c r="J2327" s="24"/>
      <c r="K2327" s="24"/>
      <c r="L2327" s="24"/>
      <c r="M2327" s="24"/>
      <c r="N2327" s="24"/>
      <c r="O2327" s="24"/>
      <c r="P2327" s="24"/>
      <c r="Q2327" s="24"/>
      <c r="R2327" s="24"/>
      <c r="S2327" s="24"/>
      <c r="T2327" s="24"/>
      <c r="U2327" s="24"/>
      <c r="V2327" s="24"/>
      <c r="W2327" s="24"/>
      <c r="X2327" s="24"/>
      <c r="Y2327" s="24"/>
      <c r="Z2327" s="24"/>
      <c r="AA2327" s="24"/>
      <c r="AB2327" s="24"/>
      <c r="AC2327" s="24"/>
      <c r="AD2327" s="24"/>
      <c r="AE2327" s="24"/>
      <c r="AF2327" s="24"/>
      <c r="AG2327" s="24"/>
      <c r="AH2327" s="24"/>
      <c r="AI2327" s="24"/>
      <c r="AJ2327" s="24"/>
      <c r="AK2327" s="24"/>
      <c r="AL2327" s="24"/>
      <c r="AM2327" s="24"/>
      <c r="AN2327" s="24"/>
      <c r="AO2327" s="24"/>
      <c r="AP2327" s="24"/>
      <c r="AQ2327" s="24"/>
      <c r="AR2327" s="54"/>
    </row>
    <row r="2328">
      <c r="A2328" s="57"/>
      <c r="B2328" s="24"/>
      <c r="C2328" s="24"/>
      <c r="D2328" s="24"/>
      <c r="E2328" s="24"/>
      <c r="F2328" s="24"/>
      <c r="G2328" s="24"/>
      <c r="H2328" s="24"/>
      <c r="I2328" s="24"/>
      <c r="J2328" s="24"/>
      <c r="K2328" s="24"/>
      <c r="L2328" s="24"/>
      <c r="M2328" s="24"/>
      <c r="N2328" s="24"/>
      <c r="O2328" s="24"/>
      <c r="P2328" s="24"/>
      <c r="Q2328" s="24"/>
      <c r="R2328" s="24"/>
      <c r="S2328" s="24"/>
      <c r="T2328" s="24"/>
      <c r="U2328" s="24"/>
      <c r="V2328" s="24"/>
      <c r="W2328" s="24"/>
      <c r="X2328" s="24"/>
      <c r="Y2328" s="24"/>
      <c r="Z2328" s="24"/>
      <c r="AA2328" s="24"/>
      <c r="AB2328" s="24"/>
      <c r="AC2328" s="24"/>
      <c r="AD2328" s="24"/>
      <c r="AE2328" s="24"/>
      <c r="AF2328" s="24"/>
      <c r="AG2328" s="24"/>
      <c r="AH2328" s="24"/>
      <c r="AI2328" s="24"/>
      <c r="AJ2328" s="24"/>
      <c r="AK2328" s="24"/>
      <c r="AL2328" s="24"/>
      <c r="AM2328" s="24"/>
      <c r="AN2328" s="24"/>
      <c r="AO2328" s="24"/>
      <c r="AP2328" s="24"/>
      <c r="AQ2328" s="24"/>
      <c r="AR2328" s="54"/>
    </row>
    <row r="2329">
      <c r="A2329" s="57"/>
      <c r="B2329" s="24"/>
      <c r="C2329" s="24"/>
      <c r="D2329" s="24"/>
      <c r="E2329" s="24"/>
      <c r="F2329" s="24"/>
      <c r="G2329" s="24"/>
      <c r="H2329" s="24"/>
      <c r="I2329" s="24"/>
      <c r="J2329" s="24"/>
      <c r="K2329" s="24"/>
      <c r="L2329" s="24"/>
      <c r="M2329" s="24"/>
      <c r="N2329" s="24"/>
      <c r="O2329" s="24"/>
      <c r="P2329" s="24"/>
      <c r="Q2329" s="24"/>
      <c r="R2329" s="24"/>
      <c r="S2329" s="24"/>
      <c r="T2329" s="24"/>
      <c r="U2329" s="24"/>
      <c r="V2329" s="24"/>
      <c r="W2329" s="24"/>
      <c r="X2329" s="24"/>
      <c r="Y2329" s="24"/>
      <c r="Z2329" s="24"/>
      <c r="AA2329" s="24"/>
      <c r="AB2329" s="24"/>
      <c r="AC2329" s="24"/>
      <c r="AD2329" s="24"/>
      <c r="AE2329" s="24"/>
      <c r="AF2329" s="24"/>
      <c r="AG2329" s="24"/>
      <c r="AH2329" s="24"/>
      <c r="AI2329" s="24"/>
      <c r="AJ2329" s="24"/>
      <c r="AK2329" s="24"/>
      <c r="AL2329" s="24"/>
      <c r="AM2329" s="24"/>
      <c r="AN2329" s="24"/>
      <c r="AO2329" s="24"/>
      <c r="AP2329" s="24"/>
      <c r="AQ2329" s="24"/>
      <c r="AR2329" s="54"/>
    </row>
    <row r="2330">
      <c r="A2330" s="57"/>
      <c r="B2330" s="24"/>
      <c r="C2330" s="24"/>
      <c r="D2330" s="24"/>
      <c r="E2330" s="24"/>
      <c r="F2330" s="24"/>
      <c r="G2330" s="24"/>
      <c r="H2330" s="24"/>
      <c r="I2330" s="24"/>
      <c r="J2330" s="24"/>
      <c r="K2330" s="24"/>
      <c r="L2330" s="24"/>
      <c r="M2330" s="24"/>
      <c r="N2330" s="24"/>
      <c r="O2330" s="24"/>
      <c r="P2330" s="24"/>
      <c r="Q2330" s="24"/>
      <c r="R2330" s="24"/>
      <c r="S2330" s="24"/>
      <c r="T2330" s="24"/>
      <c r="U2330" s="24"/>
      <c r="V2330" s="24"/>
      <c r="W2330" s="24"/>
      <c r="X2330" s="24"/>
      <c r="Y2330" s="24"/>
      <c r="Z2330" s="24"/>
      <c r="AA2330" s="24"/>
      <c r="AB2330" s="24"/>
      <c r="AC2330" s="24"/>
      <c r="AD2330" s="24"/>
      <c r="AE2330" s="24"/>
      <c r="AF2330" s="24"/>
      <c r="AG2330" s="24"/>
      <c r="AH2330" s="24"/>
      <c r="AI2330" s="24"/>
      <c r="AJ2330" s="24"/>
      <c r="AK2330" s="24"/>
      <c r="AL2330" s="24"/>
      <c r="AM2330" s="24"/>
      <c r="AN2330" s="24"/>
      <c r="AO2330" s="24"/>
      <c r="AP2330" s="24"/>
      <c r="AQ2330" s="24"/>
      <c r="AR2330" s="54"/>
    </row>
    <row r="2331">
      <c r="A2331" s="57"/>
      <c r="B2331" s="24"/>
      <c r="C2331" s="24"/>
      <c r="D2331" s="24"/>
      <c r="E2331" s="24"/>
      <c r="F2331" s="24"/>
      <c r="G2331" s="24"/>
      <c r="H2331" s="24"/>
      <c r="I2331" s="24"/>
      <c r="J2331" s="24"/>
      <c r="K2331" s="24"/>
      <c r="L2331" s="24"/>
      <c r="M2331" s="24"/>
      <c r="N2331" s="24"/>
      <c r="O2331" s="24"/>
      <c r="P2331" s="24"/>
      <c r="Q2331" s="24"/>
      <c r="R2331" s="24"/>
      <c r="S2331" s="24"/>
      <c r="T2331" s="24"/>
      <c r="U2331" s="24"/>
      <c r="V2331" s="24"/>
      <c r="W2331" s="24"/>
      <c r="X2331" s="24"/>
      <c r="Y2331" s="24"/>
      <c r="Z2331" s="24"/>
      <c r="AA2331" s="24"/>
      <c r="AB2331" s="24"/>
      <c r="AC2331" s="24"/>
      <c r="AD2331" s="24"/>
      <c r="AE2331" s="24"/>
      <c r="AF2331" s="24"/>
      <c r="AG2331" s="24"/>
      <c r="AH2331" s="24"/>
      <c r="AI2331" s="24"/>
      <c r="AJ2331" s="24"/>
      <c r="AK2331" s="24"/>
      <c r="AL2331" s="24"/>
      <c r="AM2331" s="24"/>
      <c r="AN2331" s="24"/>
      <c r="AO2331" s="24"/>
      <c r="AP2331" s="24"/>
      <c r="AQ2331" s="24"/>
      <c r="AR2331" s="54"/>
    </row>
    <row r="2332">
      <c r="A2332" s="57"/>
      <c r="B2332" s="24"/>
      <c r="C2332" s="24"/>
      <c r="D2332" s="24"/>
      <c r="E2332" s="24"/>
      <c r="F2332" s="24"/>
      <c r="G2332" s="24"/>
      <c r="H2332" s="24"/>
      <c r="I2332" s="24"/>
      <c r="J2332" s="24"/>
      <c r="K2332" s="24"/>
      <c r="L2332" s="24"/>
      <c r="M2332" s="24"/>
      <c r="N2332" s="24"/>
      <c r="O2332" s="24"/>
      <c r="P2332" s="24"/>
      <c r="Q2332" s="24"/>
      <c r="R2332" s="24"/>
      <c r="S2332" s="24"/>
      <c r="T2332" s="24"/>
      <c r="U2332" s="24"/>
      <c r="V2332" s="24"/>
      <c r="W2332" s="24"/>
      <c r="X2332" s="24"/>
      <c r="Y2332" s="24"/>
      <c r="Z2332" s="24"/>
      <c r="AA2332" s="24"/>
      <c r="AB2332" s="24"/>
      <c r="AC2332" s="24"/>
      <c r="AD2332" s="24"/>
      <c r="AE2332" s="24"/>
      <c r="AF2332" s="24"/>
      <c r="AG2332" s="24"/>
      <c r="AH2332" s="24"/>
      <c r="AI2332" s="24"/>
      <c r="AJ2332" s="24"/>
      <c r="AK2332" s="24"/>
      <c r="AL2332" s="24"/>
      <c r="AM2332" s="24"/>
      <c r="AN2332" s="24"/>
      <c r="AO2332" s="24"/>
      <c r="AP2332" s="24"/>
      <c r="AQ2332" s="24"/>
      <c r="AR2332" s="54"/>
    </row>
    <row r="2333">
      <c r="A2333" s="57"/>
      <c r="B2333" s="24"/>
      <c r="C2333" s="24"/>
      <c r="D2333" s="24"/>
      <c r="E2333" s="24"/>
      <c r="F2333" s="24"/>
      <c r="G2333" s="24"/>
      <c r="H2333" s="24"/>
      <c r="I2333" s="24"/>
      <c r="J2333" s="24"/>
      <c r="K2333" s="24"/>
      <c r="L2333" s="24"/>
      <c r="M2333" s="24"/>
      <c r="N2333" s="24"/>
      <c r="O2333" s="24"/>
      <c r="P2333" s="24"/>
      <c r="Q2333" s="24"/>
      <c r="R2333" s="24"/>
      <c r="S2333" s="24"/>
      <c r="T2333" s="24"/>
      <c r="U2333" s="24"/>
      <c r="V2333" s="24"/>
      <c r="W2333" s="24"/>
      <c r="X2333" s="24"/>
      <c r="Y2333" s="24"/>
      <c r="Z2333" s="24"/>
      <c r="AA2333" s="24"/>
      <c r="AB2333" s="24"/>
      <c r="AC2333" s="24"/>
      <c r="AD2333" s="24"/>
      <c r="AE2333" s="24"/>
      <c r="AF2333" s="24"/>
      <c r="AG2333" s="24"/>
      <c r="AH2333" s="24"/>
      <c r="AI2333" s="24"/>
      <c r="AJ2333" s="24"/>
      <c r="AK2333" s="24"/>
      <c r="AL2333" s="24"/>
      <c r="AM2333" s="24"/>
      <c r="AN2333" s="24"/>
      <c r="AO2333" s="24"/>
      <c r="AP2333" s="24"/>
      <c r="AQ2333" s="24"/>
      <c r="AR2333" s="54"/>
    </row>
    <row r="2334">
      <c r="A2334" s="57"/>
      <c r="B2334" s="24"/>
      <c r="C2334" s="24"/>
      <c r="D2334" s="24"/>
      <c r="E2334" s="24"/>
      <c r="F2334" s="24"/>
      <c r="G2334" s="24"/>
      <c r="H2334" s="24"/>
      <c r="I2334" s="24"/>
      <c r="J2334" s="24"/>
      <c r="K2334" s="24"/>
      <c r="L2334" s="24"/>
      <c r="M2334" s="24"/>
      <c r="N2334" s="24"/>
      <c r="O2334" s="24"/>
      <c r="P2334" s="24"/>
      <c r="Q2334" s="24"/>
      <c r="R2334" s="24"/>
      <c r="S2334" s="24"/>
      <c r="T2334" s="24"/>
      <c r="U2334" s="24"/>
      <c r="V2334" s="24"/>
      <c r="W2334" s="24"/>
      <c r="X2334" s="24"/>
      <c r="Y2334" s="24"/>
      <c r="Z2334" s="24"/>
      <c r="AA2334" s="24"/>
      <c r="AB2334" s="24"/>
      <c r="AC2334" s="24"/>
      <c r="AD2334" s="24"/>
      <c r="AE2334" s="24"/>
      <c r="AF2334" s="24"/>
      <c r="AG2334" s="24"/>
      <c r="AH2334" s="24"/>
      <c r="AI2334" s="24"/>
      <c r="AJ2334" s="24"/>
      <c r="AK2334" s="24"/>
      <c r="AL2334" s="24"/>
      <c r="AM2334" s="24"/>
      <c r="AN2334" s="24"/>
      <c r="AO2334" s="24"/>
      <c r="AP2334" s="24"/>
      <c r="AQ2334" s="24"/>
      <c r="AR2334" s="54"/>
    </row>
    <row r="2335">
      <c r="A2335" s="57"/>
      <c r="B2335" s="24"/>
      <c r="C2335" s="24"/>
      <c r="D2335" s="24"/>
      <c r="E2335" s="24"/>
      <c r="F2335" s="24"/>
      <c r="G2335" s="24"/>
      <c r="H2335" s="24"/>
      <c r="I2335" s="24"/>
      <c r="J2335" s="24"/>
      <c r="K2335" s="24"/>
      <c r="L2335" s="24"/>
      <c r="M2335" s="24"/>
      <c r="N2335" s="24"/>
      <c r="O2335" s="24"/>
      <c r="P2335" s="24"/>
      <c r="Q2335" s="24"/>
      <c r="R2335" s="24"/>
      <c r="S2335" s="24"/>
      <c r="T2335" s="24"/>
      <c r="U2335" s="24"/>
      <c r="V2335" s="24"/>
      <c r="W2335" s="24"/>
      <c r="X2335" s="24"/>
      <c r="Y2335" s="24"/>
      <c r="Z2335" s="24"/>
      <c r="AA2335" s="24"/>
      <c r="AB2335" s="24"/>
      <c r="AC2335" s="24"/>
      <c r="AD2335" s="24"/>
      <c r="AE2335" s="24"/>
      <c r="AF2335" s="24"/>
      <c r="AG2335" s="24"/>
      <c r="AH2335" s="24"/>
      <c r="AI2335" s="24"/>
      <c r="AJ2335" s="24"/>
      <c r="AK2335" s="24"/>
      <c r="AL2335" s="24"/>
      <c r="AM2335" s="24"/>
      <c r="AN2335" s="24"/>
      <c r="AO2335" s="24"/>
      <c r="AP2335" s="24"/>
      <c r="AQ2335" s="24"/>
      <c r="AR2335" s="54"/>
    </row>
    <row r="2336">
      <c r="A2336" s="57"/>
      <c r="B2336" s="24"/>
      <c r="C2336" s="24"/>
      <c r="D2336" s="24"/>
      <c r="E2336" s="24"/>
      <c r="F2336" s="24"/>
      <c r="G2336" s="24"/>
      <c r="H2336" s="24"/>
      <c r="I2336" s="24"/>
      <c r="J2336" s="24"/>
      <c r="K2336" s="24"/>
      <c r="L2336" s="24"/>
      <c r="M2336" s="24"/>
      <c r="N2336" s="24"/>
      <c r="O2336" s="24"/>
      <c r="P2336" s="24"/>
      <c r="Q2336" s="24"/>
      <c r="R2336" s="24"/>
      <c r="S2336" s="24"/>
      <c r="T2336" s="24"/>
      <c r="U2336" s="24"/>
      <c r="V2336" s="24"/>
      <c r="W2336" s="24"/>
      <c r="X2336" s="24"/>
      <c r="Y2336" s="24"/>
      <c r="Z2336" s="24"/>
      <c r="AA2336" s="24"/>
      <c r="AB2336" s="24"/>
      <c r="AC2336" s="24"/>
      <c r="AD2336" s="24"/>
      <c r="AE2336" s="24"/>
      <c r="AF2336" s="24"/>
      <c r="AG2336" s="24"/>
      <c r="AH2336" s="24"/>
      <c r="AI2336" s="24"/>
      <c r="AJ2336" s="24"/>
      <c r="AK2336" s="24"/>
      <c r="AL2336" s="24"/>
      <c r="AM2336" s="24"/>
      <c r="AN2336" s="24"/>
      <c r="AO2336" s="24"/>
      <c r="AP2336" s="24"/>
      <c r="AQ2336" s="24"/>
      <c r="AR2336" s="54"/>
    </row>
    <row r="2337">
      <c r="A2337" s="57"/>
      <c r="B2337" s="24"/>
      <c r="C2337" s="24"/>
      <c r="D2337" s="24"/>
      <c r="E2337" s="24"/>
      <c r="F2337" s="24"/>
      <c r="G2337" s="24"/>
      <c r="H2337" s="24"/>
      <c r="I2337" s="24"/>
      <c r="J2337" s="24"/>
      <c r="K2337" s="24"/>
      <c r="L2337" s="24"/>
      <c r="M2337" s="24"/>
      <c r="N2337" s="24"/>
      <c r="O2337" s="24"/>
      <c r="P2337" s="24"/>
      <c r="Q2337" s="24"/>
      <c r="R2337" s="24"/>
      <c r="S2337" s="24"/>
      <c r="T2337" s="24"/>
      <c r="U2337" s="24"/>
      <c r="V2337" s="24"/>
      <c r="W2337" s="24"/>
      <c r="X2337" s="24"/>
      <c r="Y2337" s="24"/>
      <c r="Z2337" s="24"/>
      <c r="AA2337" s="24"/>
      <c r="AB2337" s="24"/>
      <c r="AC2337" s="24"/>
      <c r="AD2337" s="24"/>
      <c r="AE2337" s="24"/>
      <c r="AF2337" s="24"/>
      <c r="AG2337" s="24"/>
      <c r="AH2337" s="24"/>
      <c r="AI2337" s="24"/>
      <c r="AJ2337" s="24"/>
      <c r="AK2337" s="24"/>
      <c r="AL2337" s="24"/>
      <c r="AM2337" s="24"/>
      <c r="AN2337" s="24"/>
      <c r="AO2337" s="24"/>
      <c r="AP2337" s="24"/>
      <c r="AQ2337" s="24"/>
      <c r="AR2337" s="54"/>
    </row>
    <row r="2338">
      <c r="A2338" s="57"/>
      <c r="B2338" s="24"/>
      <c r="C2338" s="24"/>
      <c r="D2338" s="24"/>
      <c r="E2338" s="24"/>
      <c r="F2338" s="24"/>
      <c r="G2338" s="24"/>
      <c r="H2338" s="24"/>
      <c r="I2338" s="24"/>
      <c r="J2338" s="24"/>
      <c r="K2338" s="24"/>
      <c r="L2338" s="24"/>
      <c r="M2338" s="24"/>
      <c r="N2338" s="24"/>
      <c r="O2338" s="24"/>
      <c r="P2338" s="24"/>
      <c r="Q2338" s="24"/>
      <c r="R2338" s="24"/>
      <c r="S2338" s="24"/>
      <c r="T2338" s="24"/>
      <c r="U2338" s="24"/>
      <c r="V2338" s="24"/>
      <c r="W2338" s="24"/>
      <c r="X2338" s="24"/>
      <c r="Y2338" s="24"/>
      <c r="Z2338" s="24"/>
      <c r="AA2338" s="24"/>
      <c r="AB2338" s="24"/>
      <c r="AC2338" s="24"/>
      <c r="AD2338" s="24"/>
      <c r="AE2338" s="24"/>
      <c r="AF2338" s="24"/>
      <c r="AG2338" s="24"/>
      <c r="AH2338" s="24"/>
      <c r="AI2338" s="24"/>
      <c r="AJ2338" s="24"/>
      <c r="AK2338" s="24"/>
      <c r="AL2338" s="24"/>
      <c r="AM2338" s="24"/>
      <c r="AN2338" s="24"/>
      <c r="AO2338" s="24"/>
      <c r="AP2338" s="24"/>
      <c r="AQ2338" s="24"/>
      <c r="AR2338" s="54"/>
    </row>
    <row r="2339">
      <c r="A2339" s="57"/>
      <c r="B2339" s="24"/>
      <c r="C2339" s="24"/>
      <c r="D2339" s="24"/>
      <c r="E2339" s="24"/>
      <c r="F2339" s="24"/>
      <c r="G2339" s="24"/>
      <c r="H2339" s="24"/>
      <c r="I2339" s="24"/>
      <c r="J2339" s="24"/>
      <c r="K2339" s="24"/>
      <c r="L2339" s="24"/>
      <c r="M2339" s="24"/>
      <c r="N2339" s="24"/>
      <c r="O2339" s="24"/>
      <c r="P2339" s="24"/>
      <c r="Q2339" s="24"/>
      <c r="R2339" s="24"/>
      <c r="S2339" s="24"/>
      <c r="T2339" s="24"/>
      <c r="U2339" s="24"/>
      <c r="V2339" s="24"/>
      <c r="W2339" s="24"/>
      <c r="X2339" s="24"/>
      <c r="Y2339" s="24"/>
      <c r="Z2339" s="24"/>
      <c r="AA2339" s="24"/>
      <c r="AB2339" s="24"/>
      <c r="AC2339" s="24"/>
      <c r="AD2339" s="24"/>
      <c r="AE2339" s="24"/>
      <c r="AF2339" s="24"/>
      <c r="AG2339" s="24"/>
      <c r="AH2339" s="24"/>
      <c r="AI2339" s="24"/>
      <c r="AJ2339" s="24"/>
      <c r="AK2339" s="24"/>
      <c r="AL2339" s="24"/>
      <c r="AM2339" s="24"/>
      <c r="AN2339" s="24"/>
      <c r="AO2339" s="24"/>
      <c r="AP2339" s="24"/>
      <c r="AQ2339" s="24"/>
      <c r="AR2339" s="54"/>
    </row>
    <row r="2340">
      <c r="A2340" s="57"/>
      <c r="B2340" s="24"/>
      <c r="C2340" s="24"/>
      <c r="D2340" s="24"/>
      <c r="E2340" s="24"/>
      <c r="F2340" s="24"/>
      <c r="G2340" s="24"/>
      <c r="H2340" s="24"/>
      <c r="I2340" s="24"/>
      <c r="J2340" s="24"/>
      <c r="K2340" s="24"/>
      <c r="L2340" s="24"/>
      <c r="M2340" s="24"/>
      <c r="N2340" s="24"/>
      <c r="O2340" s="24"/>
      <c r="P2340" s="24"/>
      <c r="Q2340" s="24"/>
      <c r="R2340" s="24"/>
      <c r="S2340" s="24"/>
      <c r="T2340" s="24"/>
      <c r="U2340" s="24"/>
      <c r="V2340" s="24"/>
      <c r="W2340" s="24"/>
      <c r="X2340" s="24"/>
      <c r="Y2340" s="24"/>
      <c r="Z2340" s="24"/>
      <c r="AA2340" s="24"/>
      <c r="AB2340" s="24"/>
      <c r="AC2340" s="24"/>
      <c r="AD2340" s="24"/>
      <c r="AE2340" s="24"/>
      <c r="AF2340" s="24"/>
      <c r="AG2340" s="24"/>
      <c r="AH2340" s="24"/>
      <c r="AI2340" s="24"/>
      <c r="AJ2340" s="24"/>
      <c r="AK2340" s="24"/>
      <c r="AL2340" s="24"/>
      <c r="AM2340" s="24"/>
      <c r="AN2340" s="24"/>
      <c r="AO2340" s="24"/>
      <c r="AP2340" s="24"/>
      <c r="AQ2340" s="24"/>
      <c r="AR2340" s="54"/>
    </row>
    <row r="2341">
      <c r="A2341" s="57"/>
      <c r="B2341" s="24"/>
      <c r="C2341" s="24"/>
      <c r="D2341" s="24"/>
      <c r="E2341" s="24"/>
      <c r="F2341" s="24"/>
      <c r="G2341" s="24"/>
      <c r="H2341" s="24"/>
      <c r="I2341" s="24"/>
      <c r="J2341" s="24"/>
      <c r="K2341" s="24"/>
      <c r="L2341" s="24"/>
      <c r="M2341" s="24"/>
      <c r="N2341" s="24"/>
      <c r="O2341" s="24"/>
      <c r="P2341" s="24"/>
      <c r="Q2341" s="24"/>
      <c r="R2341" s="24"/>
      <c r="S2341" s="24"/>
      <c r="T2341" s="24"/>
      <c r="U2341" s="24"/>
      <c r="V2341" s="24"/>
      <c r="W2341" s="24"/>
      <c r="X2341" s="24"/>
      <c r="Y2341" s="24"/>
      <c r="Z2341" s="24"/>
      <c r="AA2341" s="24"/>
      <c r="AB2341" s="24"/>
      <c r="AC2341" s="24"/>
      <c r="AD2341" s="24"/>
      <c r="AE2341" s="24"/>
      <c r="AF2341" s="24"/>
      <c r="AG2341" s="24"/>
      <c r="AH2341" s="24"/>
      <c r="AI2341" s="24"/>
      <c r="AJ2341" s="24"/>
      <c r="AK2341" s="24"/>
      <c r="AL2341" s="24"/>
      <c r="AM2341" s="24"/>
      <c r="AN2341" s="24"/>
      <c r="AO2341" s="24"/>
      <c r="AP2341" s="24"/>
      <c r="AQ2341" s="24"/>
      <c r="AR2341" s="54"/>
    </row>
    <row r="2342">
      <c r="A2342" s="57"/>
      <c r="B2342" s="24"/>
      <c r="C2342" s="24"/>
      <c r="D2342" s="24"/>
      <c r="E2342" s="24"/>
      <c r="F2342" s="24"/>
      <c r="G2342" s="24"/>
      <c r="H2342" s="24"/>
      <c r="I2342" s="24"/>
      <c r="J2342" s="24"/>
      <c r="K2342" s="24"/>
      <c r="L2342" s="24"/>
      <c r="M2342" s="24"/>
      <c r="N2342" s="24"/>
      <c r="O2342" s="24"/>
      <c r="P2342" s="24"/>
      <c r="Q2342" s="24"/>
      <c r="R2342" s="24"/>
      <c r="S2342" s="24"/>
      <c r="T2342" s="24"/>
      <c r="U2342" s="24"/>
      <c r="V2342" s="24"/>
      <c r="W2342" s="24"/>
      <c r="X2342" s="24"/>
      <c r="Y2342" s="24"/>
      <c r="Z2342" s="24"/>
      <c r="AA2342" s="24"/>
      <c r="AB2342" s="24"/>
      <c r="AC2342" s="24"/>
      <c r="AD2342" s="24"/>
      <c r="AE2342" s="24"/>
      <c r="AF2342" s="24"/>
      <c r="AG2342" s="24"/>
      <c r="AH2342" s="24"/>
      <c r="AI2342" s="24"/>
      <c r="AJ2342" s="24"/>
      <c r="AK2342" s="24"/>
      <c r="AL2342" s="24"/>
      <c r="AM2342" s="24"/>
      <c r="AN2342" s="24"/>
      <c r="AO2342" s="24"/>
      <c r="AP2342" s="24"/>
      <c r="AQ2342" s="24"/>
      <c r="AR2342" s="54"/>
    </row>
    <row r="2343">
      <c r="A2343" s="57"/>
      <c r="B2343" s="24"/>
      <c r="C2343" s="24"/>
      <c r="D2343" s="24"/>
      <c r="E2343" s="24"/>
      <c r="F2343" s="24"/>
      <c r="G2343" s="24"/>
      <c r="H2343" s="24"/>
      <c r="I2343" s="24"/>
      <c r="J2343" s="24"/>
      <c r="K2343" s="24"/>
      <c r="L2343" s="24"/>
      <c r="M2343" s="24"/>
      <c r="N2343" s="24"/>
      <c r="O2343" s="24"/>
      <c r="P2343" s="24"/>
      <c r="Q2343" s="24"/>
      <c r="R2343" s="24"/>
      <c r="S2343" s="24"/>
      <c r="T2343" s="24"/>
      <c r="U2343" s="24"/>
      <c r="V2343" s="24"/>
      <c r="W2343" s="24"/>
      <c r="X2343" s="24"/>
      <c r="Y2343" s="24"/>
      <c r="Z2343" s="24"/>
      <c r="AA2343" s="24"/>
      <c r="AB2343" s="24"/>
      <c r="AC2343" s="24"/>
      <c r="AD2343" s="24"/>
      <c r="AE2343" s="24"/>
      <c r="AF2343" s="24"/>
      <c r="AG2343" s="24"/>
      <c r="AH2343" s="24"/>
      <c r="AI2343" s="24"/>
      <c r="AJ2343" s="24"/>
      <c r="AK2343" s="24"/>
      <c r="AL2343" s="24"/>
      <c r="AM2343" s="24"/>
      <c r="AN2343" s="24"/>
      <c r="AO2343" s="24"/>
      <c r="AP2343" s="24"/>
      <c r="AQ2343" s="24"/>
      <c r="AR2343" s="54"/>
    </row>
    <row r="2344">
      <c r="A2344" s="57"/>
      <c r="B2344" s="24"/>
      <c r="C2344" s="24"/>
      <c r="D2344" s="24"/>
      <c r="E2344" s="24"/>
      <c r="F2344" s="24"/>
      <c r="G2344" s="24"/>
      <c r="H2344" s="24"/>
      <c r="I2344" s="24"/>
      <c r="J2344" s="24"/>
      <c r="K2344" s="24"/>
      <c r="L2344" s="24"/>
      <c r="M2344" s="24"/>
      <c r="N2344" s="24"/>
      <c r="O2344" s="24"/>
      <c r="P2344" s="24"/>
      <c r="Q2344" s="24"/>
      <c r="R2344" s="24"/>
      <c r="S2344" s="24"/>
      <c r="T2344" s="24"/>
      <c r="U2344" s="24"/>
      <c r="V2344" s="24"/>
      <c r="W2344" s="24"/>
      <c r="X2344" s="24"/>
      <c r="Y2344" s="24"/>
      <c r="Z2344" s="24"/>
      <c r="AA2344" s="24"/>
      <c r="AB2344" s="24"/>
      <c r="AC2344" s="24"/>
      <c r="AD2344" s="24"/>
      <c r="AE2344" s="24"/>
      <c r="AF2344" s="24"/>
      <c r="AG2344" s="24"/>
      <c r="AH2344" s="24"/>
      <c r="AI2344" s="24"/>
      <c r="AJ2344" s="24"/>
      <c r="AK2344" s="24"/>
      <c r="AL2344" s="24"/>
      <c r="AM2344" s="24"/>
      <c r="AN2344" s="24"/>
      <c r="AO2344" s="24"/>
      <c r="AP2344" s="24"/>
      <c r="AQ2344" s="24"/>
      <c r="AR2344" s="54"/>
    </row>
    <row r="2345">
      <c r="A2345" s="57"/>
      <c r="B2345" s="24"/>
      <c r="C2345" s="24"/>
      <c r="D2345" s="24"/>
      <c r="E2345" s="24"/>
      <c r="F2345" s="24"/>
      <c r="G2345" s="24"/>
      <c r="H2345" s="24"/>
      <c r="I2345" s="24"/>
      <c r="J2345" s="24"/>
      <c r="K2345" s="24"/>
      <c r="L2345" s="24"/>
      <c r="M2345" s="24"/>
      <c r="N2345" s="24"/>
      <c r="O2345" s="24"/>
      <c r="P2345" s="24"/>
      <c r="Q2345" s="24"/>
      <c r="R2345" s="24"/>
      <c r="S2345" s="24"/>
      <c r="T2345" s="24"/>
      <c r="U2345" s="24"/>
      <c r="V2345" s="24"/>
      <c r="W2345" s="24"/>
      <c r="X2345" s="24"/>
      <c r="Y2345" s="24"/>
      <c r="Z2345" s="24"/>
      <c r="AA2345" s="24"/>
      <c r="AB2345" s="24"/>
      <c r="AC2345" s="24"/>
      <c r="AD2345" s="24"/>
      <c r="AE2345" s="24"/>
      <c r="AF2345" s="24"/>
      <c r="AG2345" s="24"/>
      <c r="AH2345" s="24"/>
      <c r="AI2345" s="24"/>
      <c r="AJ2345" s="24"/>
      <c r="AK2345" s="24"/>
      <c r="AL2345" s="24"/>
      <c r="AM2345" s="24"/>
      <c r="AN2345" s="24"/>
      <c r="AO2345" s="24"/>
      <c r="AP2345" s="24"/>
      <c r="AQ2345" s="24"/>
      <c r="AR2345" s="54"/>
    </row>
    <row r="2346">
      <c r="A2346" s="57"/>
      <c r="B2346" s="24"/>
      <c r="C2346" s="24"/>
      <c r="D2346" s="24"/>
      <c r="E2346" s="24"/>
      <c r="F2346" s="24"/>
      <c r="G2346" s="24"/>
      <c r="H2346" s="24"/>
      <c r="I2346" s="24"/>
      <c r="J2346" s="24"/>
      <c r="K2346" s="24"/>
      <c r="L2346" s="24"/>
      <c r="M2346" s="24"/>
      <c r="N2346" s="24"/>
      <c r="O2346" s="24"/>
      <c r="P2346" s="24"/>
      <c r="Q2346" s="24"/>
      <c r="R2346" s="24"/>
      <c r="S2346" s="24"/>
      <c r="T2346" s="24"/>
      <c r="U2346" s="24"/>
      <c r="V2346" s="24"/>
      <c r="W2346" s="24"/>
      <c r="X2346" s="24"/>
      <c r="Y2346" s="24"/>
      <c r="Z2346" s="24"/>
      <c r="AA2346" s="24"/>
      <c r="AB2346" s="24"/>
      <c r="AC2346" s="24"/>
      <c r="AD2346" s="24"/>
      <c r="AE2346" s="24"/>
      <c r="AF2346" s="24"/>
      <c r="AG2346" s="24"/>
      <c r="AH2346" s="24"/>
      <c r="AI2346" s="24"/>
      <c r="AJ2346" s="24"/>
      <c r="AK2346" s="24"/>
      <c r="AL2346" s="24"/>
      <c r="AM2346" s="24"/>
      <c r="AN2346" s="24"/>
      <c r="AO2346" s="24"/>
      <c r="AP2346" s="24"/>
      <c r="AQ2346" s="24"/>
      <c r="AR2346" s="54"/>
    </row>
    <row r="2347">
      <c r="A2347" s="57"/>
      <c r="B2347" s="24"/>
      <c r="C2347" s="24"/>
      <c r="D2347" s="24"/>
      <c r="E2347" s="24"/>
      <c r="F2347" s="24"/>
      <c r="G2347" s="24"/>
      <c r="H2347" s="24"/>
      <c r="I2347" s="24"/>
      <c r="J2347" s="24"/>
      <c r="K2347" s="24"/>
      <c r="L2347" s="24"/>
      <c r="M2347" s="24"/>
      <c r="N2347" s="24"/>
      <c r="O2347" s="24"/>
      <c r="P2347" s="24"/>
      <c r="Q2347" s="24"/>
      <c r="R2347" s="24"/>
      <c r="S2347" s="24"/>
      <c r="T2347" s="24"/>
      <c r="U2347" s="24"/>
      <c r="V2347" s="24"/>
      <c r="W2347" s="24"/>
      <c r="X2347" s="24"/>
      <c r="Y2347" s="24"/>
      <c r="Z2347" s="24"/>
      <c r="AA2347" s="24"/>
      <c r="AB2347" s="24"/>
      <c r="AC2347" s="24"/>
      <c r="AD2347" s="24"/>
      <c r="AE2347" s="24"/>
      <c r="AF2347" s="24"/>
      <c r="AG2347" s="24"/>
      <c r="AH2347" s="24"/>
      <c r="AI2347" s="24"/>
      <c r="AJ2347" s="24"/>
      <c r="AK2347" s="24"/>
      <c r="AL2347" s="24"/>
      <c r="AM2347" s="24"/>
      <c r="AN2347" s="24"/>
      <c r="AO2347" s="24"/>
      <c r="AP2347" s="24"/>
      <c r="AQ2347" s="24"/>
      <c r="AR2347" s="54"/>
    </row>
    <row r="2348">
      <c r="A2348" s="57"/>
      <c r="B2348" s="24"/>
      <c r="C2348" s="24"/>
      <c r="D2348" s="24"/>
      <c r="E2348" s="24"/>
      <c r="F2348" s="24"/>
      <c r="G2348" s="24"/>
      <c r="H2348" s="24"/>
      <c r="I2348" s="24"/>
      <c r="J2348" s="24"/>
      <c r="K2348" s="24"/>
      <c r="L2348" s="24"/>
      <c r="M2348" s="24"/>
      <c r="N2348" s="24"/>
      <c r="O2348" s="24"/>
      <c r="P2348" s="24"/>
      <c r="Q2348" s="24"/>
      <c r="R2348" s="24"/>
      <c r="S2348" s="24"/>
      <c r="T2348" s="24"/>
      <c r="U2348" s="24"/>
      <c r="V2348" s="24"/>
      <c r="W2348" s="24"/>
      <c r="X2348" s="24"/>
      <c r="Y2348" s="24"/>
      <c r="Z2348" s="24"/>
      <c r="AA2348" s="24"/>
      <c r="AB2348" s="24"/>
      <c r="AC2348" s="24"/>
      <c r="AD2348" s="24"/>
      <c r="AE2348" s="24"/>
      <c r="AF2348" s="24"/>
      <c r="AG2348" s="24"/>
      <c r="AH2348" s="24"/>
      <c r="AI2348" s="24"/>
      <c r="AJ2348" s="24"/>
      <c r="AK2348" s="24"/>
      <c r="AL2348" s="24"/>
      <c r="AM2348" s="24"/>
      <c r="AN2348" s="24"/>
      <c r="AO2348" s="24"/>
      <c r="AP2348" s="24"/>
      <c r="AQ2348" s="24"/>
      <c r="AR2348" s="54"/>
    </row>
    <row r="2349">
      <c r="A2349" s="57"/>
      <c r="B2349" s="24"/>
      <c r="C2349" s="24"/>
      <c r="D2349" s="24"/>
      <c r="E2349" s="24"/>
      <c r="F2349" s="24"/>
      <c r="G2349" s="24"/>
      <c r="H2349" s="24"/>
      <c r="I2349" s="24"/>
      <c r="J2349" s="24"/>
      <c r="K2349" s="24"/>
      <c r="L2349" s="24"/>
      <c r="M2349" s="24"/>
      <c r="N2349" s="24"/>
      <c r="O2349" s="24"/>
      <c r="P2349" s="24"/>
      <c r="Q2349" s="24"/>
      <c r="R2349" s="24"/>
      <c r="S2349" s="24"/>
      <c r="T2349" s="24"/>
      <c r="U2349" s="24"/>
      <c r="V2349" s="24"/>
      <c r="W2349" s="24"/>
      <c r="X2349" s="24"/>
      <c r="Y2349" s="24"/>
      <c r="Z2349" s="24"/>
      <c r="AA2349" s="24"/>
      <c r="AB2349" s="24"/>
      <c r="AC2349" s="24"/>
      <c r="AD2349" s="24"/>
      <c r="AE2349" s="24"/>
      <c r="AF2349" s="24"/>
      <c r="AG2349" s="24"/>
      <c r="AH2349" s="24"/>
      <c r="AI2349" s="24"/>
      <c r="AJ2349" s="24"/>
      <c r="AK2349" s="24"/>
      <c r="AL2349" s="24"/>
      <c r="AM2349" s="24"/>
      <c r="AN2349" s="24"/>
      <c r="AO2349" s="24"/>
      <c r="AP2349" s="24"/>
      <c r="AQ2349" s="24"/>
      <c r="AR2349" s="54"/>
    </row>
    <row r="2350">
      <c r="A2350" s="57"/>
      <c r="B2350" s="24"/>
      <c r="C2350" s="24"/>
      <c r="D2350" s="24"/>
      <c r="E2350" s="24"/>
      <c r="F2350" s="24"/>
      <c r="G2350" s="24"/>
      <c r="H2350" s="24"/>
      <c r="I2350" s="24"/>
      <c r="J2350" s="24"/>
      <c r="K2350" s="24"/>
      <c r="L2350" s="24"/>
      <c r="M2350" s="24"/>
      <c r="N2350" s="24"/>
      <c r="O2350" s="24"/>
      <c r="P2350" s="24"/>
      <c r="Q2350" s="24"/>
      <c r="R2350" s="24"/>
      <c r="S2350" s="24"/>
      <c r="T2350" s="24"/>
      <c r="U2350" s="24"/>
      <c r="V2350" s="24"/>
      <c r="W2350" s="24"/>
      <c r="X2350" s="24"/>
      <c r="Y2350" s="24"/>
      <c r="Z2350" s="24"/>
      <c r="AA2350" s="24"/>
      <c r="AB2350" s="24"/>
      <c r="AC2350" s="24"/>
      <c r="AD2350" s="24"/>
      <c r="AE2350" s="24"/>
      <c r="AF2350" s="24"/>
      <c r="AG2350" s="24"/>
      <c r="AH2350" s="24"/>
      <c r="AI2350" s="24"/>
      <c r="AJ2350" s="24"/>
      <c r="AK2350" s="24"/>
      <c r="AL2350" s="24"/>
      <c r="AM2350" s="24"/>
      <c r="AN2350" s="24"/>
      <c r="AO2350" s="24"/>
      <c r="AP2350" s="24"/>
      <c r="AQ2350" s="24"/>
      <c r="AR2350" s="54"/>
    </row>
    <row r="2351">
      <c r="A2351" s="57"/>
      <c r="B2351" s="24"/>
      <c r="C2351" s="24"/>
      <c r="D2351" s="24"/>
      <c r="E2351" s="24"/>
      <c r="F2351" s="24"/>
      <c r="G2351" s="24"/>
      <c r="H2351" s="24"/>
      <c r="I2351" s="24"/>
      <c r="J2351" s="24"/>
      <c r="K2351" s="24"/>
      <c r="L2351" s="24"/>
      <c r="M2351" s="24"/>
      <c r="N2351" s="24"/>
      <c r="O2351" s="24"/>
      <c r="P2351" s="24"/>
      <c r="Q2351" s="24"/>
      <c r="R2351" s="24"/>
      <c r="S2351" s="24"/>
      <c r="T2351" s="24"/>
      <c r="U2351" s="24"/>
      <c r="V2351" s="24"/>
      <c r="W2351" s="24"/>
      <c r="X2351" s="24"/>
      <c r="Y2351" s="24"/>
      <c r="Z2351" s="24"/>
      <c r="AA2351" s="24"/>
      <c r="AB2351" s="24"/>
      <c r="AC2351" s="24"/>
      <c r="AD2351" s="24"/>
      <c r="AE2351" s="24"/>
      <c r="AF2351" s="24"/>
      <c r="AG2351" s="24"/>
      <c r="AH2351" s="24"/>
      <c r="AI2351" s="24"/>
      <c r="AJ2351" s="24"/>
      <c r="AK2351" s="24"/>
      <c r="AL2351" s="24"/>
      <c r="AM2351" s="24"/>
      <c r="AN2351" s="24"/>
      <c r="AO2351" s="24"/>
      <c r="AP2351" s="24"/>
      <c r="AQ2351" s="24"/>
      <c r="AR2351" s="54"/>
    </row>
    <row r="2352">
      <c r="A2352" s="57"/>
      <c r="B2352" s="24"/>
      <c r="C2352" s="24"/>
      <c r="D2352" s="24"/>
      <c r="E2352" s="24"/>
      <c r="F2352" s="24"/>
      <c r="G2352" s="24"/>
      <c r="H2352" s="24"/>
      <c r="I2352" s="24"/>
      <c r="J2352" s="24"/>
      <c r="K2352" s="24"/>
      <c r="L2352" s="24"/>
      <c r="M2352" s="24"/>
      <c r="N2352" s="24"/>
      <c r="O2352" s="24"/>
      <c r="P2352" s="24"/>
      <c r="Q2352" s="24"/>
      <c r="R2352" s="24"/>
      <c r="S2352" s="24"/>
      <c r="T2352" s="24"/>
      <c r="U2352" s="24"/>
      <c r="V2352" s="24"/>
      <c r="W2352" s="24"/>
      <c r="X2352" s="24"/>
      <c r="Y2352" s="24"/>
      <c r="Z2352" s="24"/>
      <c r="AA2352" s="24"/>
      <c r="AB2352" s="24"/>
      <c r="AC2352" s="24"/>
      <c r="AD2352" s="24"/>
      <c r="AE2352" s="24"/>
      <c r="AF2352" s="24"/>
      <c r="AG2352" s="24"/>
      <c r="AH2352" s="24"/>
      <c r="AI2352" s="24"/>
      <c r="AJ2352" s="24"/>
      <c r="AK2352" s="24"/>
      <c r="AL2352" s="24"/>
      <c r="AM2352" s="24"/>
      <c r="AN2352" s="24"/>
      <c r="AO2352" s="24"/>
      <c r="AP2352" s="24"/>
      <c r="AQ2352" s="24"/>
      <c r="AR2352" s="54"/>
    </row>
    <row r="2353">
      <c r="A2353" s="57"/>
      <c r="B2353" s="24"/>
      <c r="C2353" s="24"/>
      <c r="D2353" s="24"/>
      <c r="E2353" s="24"/>
      <c r="F2353" s="24"/>
      <c r="G2353" s="24"/>
      <c r="H2353" s="24"/>
      <c r="I2353" s="24"/>
      <c r="J2353" s="24"/>
      <c r="K2353" s="24"/>
      <c r="L2353" s="24"/>
      <c r="M2353" s="24"/>
      <c r="N2353" s="24"/>
      <c r="O2353" s="24"/>
      <c r="P2353" s="24"/>
      <c r="Q2353" s="24"/>
      <c r="R2353" s="24"/>
      <c r="S2353" s="24"/>
      <c r="T2353" s="24"/>
      <c r="U2353" s="24"/>
      <c r="V2353" s="24"/>
      <c r="W2353" s="24"/>
      <c r="X2353" s="24"/>
      <c r="Y2353" s="24"/>
      <c r="Z2353" s="24"/>
      <c r="AA2353" s="24"/>
      <c r="AB2353" s="24"/>
      <c r="AC2353" s="24"/>
      <c r="AD2353" s="24"/>
      <c r="AE2353" s="24"/>
      <c r="AF2353" s="24"/>
      <c r="AG2353" s="24"/>
      <c r="AH2353" s="24"/>
      <c r="AI2353" s="24"/>
      <c r="AJ2353" s="24"/>
      <c r="AK2353" s="24"/>
      <c r="AL2353" s="24"/>
      <c r="AM2353" s="24"/>
      <c r="AN2353" s="24"/>
      <c r="AO2353" s="24"/>
      <c r="AP2353" s="24"/>
      <c r="AQ2353" s="24"/>
      <c r="AR2353" s="54"/>
    </row>
    <row r="2354">
      <c r="A2354" s="57"/>
      <c r="B2354" s="24"/>
      <c r="C2354" s="24"/>
      <c r="D2354" s="24"/>
      <c r="E2354" s="24"/>
      <c r="F2354" s="24"/>
      <c r="G2354" s="24"/>
      <c r="H2354" s="24"/>
      <c r="I2354" s="24"/>
      <c r="J2354" s="24"/>
      <c r="K2354" s="24"/>
      <c r="L2354" s="24"/>
      <c r="M2354" s="24"/>
      <c r="N2354" s="24"/>
      <c r="O2354" s="24"/>
      <c r="P2354" s="24"/>
      <c r="Q2354" s="24"/>
      <c r="R2354" s="24"/>
      <c r="S2354" s="24"/>
      <c r="T2354" s="24"/>
      <c r="U2354" s="24"/>
      <c r="V2354" s="24"/>
      <c r="W2354" s="24"/>
      <c r="X2354" s="24"/>
      <c r="Y2354" s="24"/>
      <c r="Z2354" s="24"/>
      <c r="AA2354" s="24"/>
      <c r="AB2354" s="24"/>
      <c r="AC2354" s="24"/>
      <c r="AD2354" s="24"/>
      <c r="AE2354" s="24"/>
      <c r="AF2354" s="24"/>
      <c r="AG2354" s="24"/>
      <c r="AH2354" s="24"/>
      <c r="AI2354" s="24"/>
      <c r="AJ2354" s="24"/>
      <c r="AK2354" s="24"/>
      <c r="AL2354" s="24"/>
      <c r="AM2354" s="24"/>
      <c r="AN2354" s="24"/>
      <c r="AO2354" s="24"/>
      <c r="AP2354" s="24"/>
      <c r="AQ2354" s="24"/>
      <c r="AR2354" s="54"/>
    </row>
    <row r="2355">
      <c r="A2355" s="57"/>
      <c r="B2355" s="24"/>
      <c r="C2355" s="24"/>
      <c r="D2355" s="24"/>
      <c r="E2355" s="24"/>
      <c r="F2355" s="24"/>
      <c r="G2355" s="24"/>
      <c r="H2355" s="24"/>
      <c r="I2355" s="24"/>
      <c r="J2355" s="24"/>
      <c r="K2355" s="24"/>
      <c r="L2355" s="24"/>
      <c r="M2355" s="24"/>
      <c r="N2355" s="24"/>
      <c r="O2355" s="24"/>
      <c r="P2355" s="24"/>
      <c r="Q2355" s="24"/>
      <c r="R2355" s="24"/>
      <c r="S2355" s="24"/>
      <c r="T2355" s="24"/>
      <c r="U2355" s="24"/>
      <c r="V2355" s="24"/>
      <c r="W2355" s="24"/>
      <c r="X2355" s="24"/>
      <c r="Y2355" s="24"/>
      <c r="Z2355" s="24"/>
      <c r="AA2355" s="24"/>
      <c r="AB2355" s="24"/>
      <c r="AC2355" s="24"/>
      <c r="AD2355" s="24"/>
      <c r="AE2355" s="24"/>
      <c r="AF2355" s="24"/>
      <c r="AG2355" s="24"/>
      <c r="AH2355" s="24"/>
      <c r="AI2355" s="24"/>
      <c r="AJ2355" s="24"/>
      <c r="AK2355" s="24"/>
      <c r="AL2355" s="24"/>
      <c r="AM2355" s="24"/>
      <c r="AN2355" s="24"/>
      <c r="AO2355" s="24"/>
      <c r="AP2355" s="24"/>
      <c r="AQ2355" s="24"/>
      <c r="AR2355" s="54"/>
    </row>
    <row r="2356">
      <c r="A2356" s="57"/>
      <c r="B2356" s="24"/>
      <c r="C2356" s="24"/>
      <c r="D2356" s="24"/>
      <c r="E2356" s="24"/>
      <c r="F2356" s="24"/>
      <c r="G2356" s="24"/>
      <c r="H2356" s="24"/>
      <c r="I2356" s="24"/>
      <c r="J2356" s="24"/>
      <c r="K2356" s="24"/>
      <c r="L2356" s="24"/>
      <c r="M2356" s="24"/>
      <c r="N2356" s="24"/>
      <c r="O2356" s="24"/>
      <c r="P2356" s="24"/>
      <c r="Q2356" s="24"/>
      <c r="R2356" s="24"/>
      <c r="S2356" s="24"/>
      <c r="T2356" s="24"/>
      <c r="U2356" s="24"/>
      <c r="V2356" s="24"/>
      <c r="W2356" s="24"/>
      <c r="X2356" s="24"/>
      <c r="Y2356" s="24"/>
      <c r="Z2356" s="24"/>
      <c r="AA2356" s="24"/>
      <c r="AB2356" s="24"/>
      <c r="AC2356" s="24"/>
      <c r="AD2356" s="24"/>
      <c r="AE2356" s="24"/>
      <c r="AF2356" s="24"/>
      <c r="AG2356" s="24"/>
      <c r="AH2356" s="24"/>
      <c r="AI2356" s="24"/>
      <c r="AJ2356" s="24"/>
      <c r="AK2356" s="24"/>
      <c r="AL2356" s="24"/>
      <c r="AM2356" s="24"/>
      <c r="AN2356" s="24"/>
      <c r="AO2356" s="24"/>
      <c r="AP2356" s="24"/>
      <c r="AQ2356" s="24"/>
      <c r="AR2356" s="54"/>
    </row>
    <row r="2357">
      <c r="A2357" s="57"/>
      <c r="B2357" s="24"/>
      <c r="C2357" s="24"/>
      <c r="D2357" s="24"/>
      <c r="E2357" s="24"/>
      <c r="F2357" s="24"/>
      <c r="G2357" s="24"/>
      <c r="H2357" s="24"/>
      <c r="I2357" s="24"/>
      <c r="J2357" s="24"/>
      <c r="K2357" s="24"/>
      <c r="L2357" s="24"/>
      <c r="M2357" s="24"/>
      <c r="N2357" s="24"/>
      <c r="O2357" s="24"/>
      <c r="P2357" s="24"/>
      <c r="Q2357" s="24"/>
      <c r="R2357" s="24"/>
      <c r="S2357" s="24"/>
      <c r="T2357" s="24"/>
      <c r="U2357" s="24"/>
      <c r="V2357" s="24"/>
      <c r="W2357" s="24"/>
      <c r="X2357" s="24"/>
      <c r="Y2357" s="24"/>
      <c r="Z2357" s="24"/>
      <c r="AA2357" s="24"/>
      <c r="AB2357" s="24"/>
      <c r="AC2357" s="24"/>
      <c r="AD2357" s="24"/>
      <c r="AE2357" s="24"/>
      <c r="AF2357" s="24"/>
      <c r="AG2357" s="24"/>
      <c r="AH2357" s="24"/>
      <c r="AI2357" s="24"/>
      <c r="AJ2357" s="24"/>
      <c r="AK2357" s="24"/>
      <c r="AL2357" s="24"/>
      <c r="AM2357" s="24"/>
      <c r="AN2357" s="24"/>
      <c r="AO2357" s="24"/>
      <c r="AP2357" s="24"/>
      <c r="AQ2357" s="24"/>
      <c r="AR2357" s="54"/>
    </row>
    <row r="2358">
      <c r="A2358" s="57"/>
      <c r="B2358" s="24"/>
      <c r="C2358" s="24"/>
      <c r="D2358" s="24"/>
      <c r="E2358" s="24"/>
      <c r="F2358" s="24"/>
      <c r="G2358" s="24"/>
      <c r="H2358" s="24"/>
      <c r="I2358" s="24"/>
      <c r="J2358" s="24"/>
      <c r="K2358" s="24"/>
      <c r="L2358" s="24"/>
      <c r="M2358" s="24"/>
      <c r="N2358" s="24"/>
      <c r="O2358" s="24"/>
      <c r="P2358" s="24"/>
      <c r="Q2358" s="24"/>
      <c r="R2358" s="24"/>
      <c r="S2358" s="24"/>
      <c r="T2358" s="24"/>
      <c r="U2358" s="24"/>
      <c r="V2358" s="24"/>
      <c r="W2358" s="24"/>
      <c r="X2358" s="24"/>
      <c r="Y2358" s="24"/>
      <c r="Z2358" s="24"/>
      <c r="AA2358" s="24"/>
      <c r="AB2358" s="24"/>
      <c r="AC2358" s="24"/>
      <c r="AD2358" s="24"/>
      <c r="AE2358" s="24"/>
      <c r="AF2358" s="24"/>
      <c r="AG2358" s="24"/>
      <c r="AH2358" s="24"/>
      <c r="AI2358" s="24"/>
      <c r="AJ2358" s="24"/>
      <c r="AK2358" s="24"/>
      <c r="AL2358" s="24"/>
      <c r="AM2358" s="24"/>
      <c r="AN2358" s="24"/>
      <c r="AO2358" s="24"/>
      <c r="AP2358" s="24"/>
      <c r="AQ2358" s="24"/>
      <c r="AR2358" s="54"/>
    </row>
    <row r="2359">
      <c r="A2359" s="57"/>
      <c r="B2359" s="24"/>
      <c r="C2359" s="24"/>
      <c r="D2359" s="24"/>
      <c r="E2359" s="24"/>
      <c r="F2359" s="24"/>
      <c r="G2359" s="24"/>
      <c r="H2359" s="24"/>
      <c r="I2359" s="24"/>
      <c r="J2359" s="24"/>
      <c r="K2359" s="24"/>
      <c r="L2359" s="24"/>
      <c r="M2359" s="24"/>
      <c r="N2359" s="24"/>
      <c r="O2359" s="24"/>
      <c r="P2359" s="24"/>
      <c r="Q2359" s="24"/>
      <c r="R2359" s="24"/>
      <c r="S2359" s="24"/>
      <c r="T2359" s="24"/>
      <c r="U2359" s="24"/>
      <c r="V2359" s="24"/>
      <c r="W2359" s="24"/>
      <c r="X2359" s="24"/>
      <c r="Y2359" s="24"/>
      <c r="Z2359" s="24"/>
      <c r="AA2359" s="24"/>
      <c r="AB2359" s="24"/>
      <c r="AC2359" s="24"/>
      <c r="AD2359" s="24"/>
      <c r="AE2359" s="24"/>
      <c r="AF2359" s="24"/>
      <c r="AG2359" s="24"/>
      <c r="AH2359" s="24"/>
      <c r="AI2359" s="24"/>
      <c r="AJ2359" s="24"/>
      <c r="AK2359" s="24"/>
      <c r="AL2359" s="24"/>
      <c r="AM2359" s="24"/>
      <c r="AN2359" s="24"/>
      <c r="AO2359" s="24"/>
      <c r="AP2359" s="24"/>
      <c r="AQ2359" s="24"/>
      <c r="AR2359" s="54"/>
    </row>
    <row r="2360">
      <c r="A2360" s="57"/>
      <c r="B2360" s="24"/>
      <c r="C2360" s="24"/>
      <c r="D2360" s="24"/>
      <c r="E2360" s="24"/>
      <c r="F2360" s="24"/>
      <c r="G2360" s="24"/>
      <c r="H2360" s="24"/>
      <c r="I2360" s="24"/>
      <c r="J2360" s="24"/>
      <c r="K2360" s="24"/>
      <c r="L2360" s="24"/>
      <c r="M2360" s="24"/>
      <c r="N2360" s="24"/>
      <c r="O2360" s="24"/>
      <c r="P2360" s="24"/>
      <c r="Q2360" s="24"/>
      <c r="R2360" s="24"/>
      <c r="S2360" s="24"/>
      <c r="T2360" s="24"/>
      <c r="U2360" s="24"/>
      <c r="V2360" s="24"/>
      <c r="W2360" s="24"/>
      <c r="X2360" s="24"/>
      <c r="Y2360" s="24"/>
      <c r="Z2360" s="24"/>
      <c r="AA2360" s="24"/>
      <c r="AB2360" s="24"/>
      <c r="AC2360" s="24"/>
      <c r="AD2360" s="24"/>
      <c r="AE2360" s="24"/>
      <c r="AF2360" s="24"/>
      <c r="AG2360" s="24"/>
      <c r="AH2360" s="24"/>
      <c r="AI2360" s="24"/>
      <c r="AJ2360" s="24"/>
      <c r="AK2360" s="24"/>
      <c r="AL2360" s="24"/>
      <c r="AM2360" s="24"/>
      <c r="AN2360" s="24"/>
      <c r="AO2360" s="24"/>
      <c r="AP2360" s="24"/>
      <c r="AQ2360" s="24"/>
      <c r="AR2360" s="54"/>
    </row>
    <row r="2361">
      <c r="A2361" s="57"/>
      <c r="B2361" s="24"/>
      <c r="C2361" s="24"/>
      <c r="D2361" s="24"/>
      <c r="E2361" s="24"/>
      <c r="F2361" s="24"/>
      <c r="G2361" s="24"/>
      <c r="H2361" s="24"/>
      <c r="I2361" s="24"/>
      <c r="J2361" s="24"/>
      <c r="K2361" s="24"/>
      <c r="L2361" s="24"/>
      <c r="M2361" s="24"/>
      <c r="N2361" s="24"/>
      <c r="O2361" s="24"/>
      <c r="P2361" s="24"/>
      <c r="Q2361" s="24"/>
      <c r="R2361" s="24"/>
      <c r="S2361" s="24"/>
      <c r="T2361" s="24"/>
      <c r="U2361" s="24"/>
      <c r="V2361" s="24"/>
      <c r="W2361" s="24"/>
      <c r="X2361" s="24"/>
      <c r="Y2361" s="24"/>
      <c r="Z2361" s="24"/>
      <c r="AA2361" s="24"/>
      <c r="AB2361" s="24"/>
      <c r="AC2361" s="24"/>
      <c r="AD2361" s="24"/>
      <c r="AE2361" s="24"/>
      <c r="AF2361" s="24"/>
      <c r="AG2361" s="24"/>
      <c r="AH2361" s="24"/>
      <c r="AI2361" s="24"/>
      <c r="AJ2361" s="24"/>
      <c r="AK2361" s="24"/>
      <c r="AL2361" s="24"/>
      <c r="AM2361" s="24"/>
      <c r="AN2361" s="24"/>
      <c r="AO2361" s="24"/>
      <c r="AP2361" s="24"/>
      <c r="AQ2361" s="24"/>
      <c r="AR2361" s="54"/>
    </row>
    <row r="2362">
      <c r="A2362" s="57"/>
      <c r="B2362" s="24"/>
      <c r="C2362" s="24"/>
      <c r="D2362" s="24"/>
      <c r="E2362" s="24"/>
      <c r="F2362" s="24"/>
      <c r="G2362" s="24"/>
      <c r="H2362" s="24"/>
      <c r="I2362" s="24"/>
      <c r="J2362" s="24"/>
      <c r="K2362" s="24"/>
      <c r="L2362" s="24"/>
      <c r="M2362" s="24"/>
      <c r="N2362" s="24"/>
      <c r="O2362" s="24"/>
      <c r="P2362" s="24"/>
      <c r="Q2362" s="24"/>
      <c r="R2362" s="24"/>
      <c r="S2362" s="24"/>
      <c r="T2362" s="24"/>
      <c r="U2362" s="24"/>
      <c r="V2362" s="24"/>
      <c r="W2362" s="24"/>
      <c r="X2362" s="24"/>
      <c r="Y2362" s="24"/>
      <c r="Z2362" s="24"/>
      <c r="AA2362" s="24"/>
      <c r="AB2362" s="24"/>
      <c r="AC2362" s="24"/>
      <c r="AD2362" s="24"/>
      <c r="AE2362" s="24"/>
      <c r="AF2362" s="24"/>
      <c r="AG2362" s="24"/>
      <c r="AH2362" s="24"/>
      <c r="AI2362" s="24"/>
      <c r="AJ2362" s="24"/>
      <c r="AK2362" s="24"/>
      <c r="AL2362" s="24"/>
      <c r="AM2362" s="24"/>
      <c r="AN2362" s="24"/>
      <c r="AO2362" s="24"/>
      <c r="AP2362" s="24"/>
      <c r="AQ2362" s="24"/>
      <c r="AR2362" s="54"/>
    </row>
    <row r="2363">
      <c r="A2363" s="57"/>
      <c r="B2363" s="24"/>
      <c r="C2363" s="24"/>
      <c r="D2363" s="24"/>
      <c r="E2363" s="24"/>
      <c r="F2363" s="24"/>
      <c r="G2363" s="24"/>
      <c r="H2363" s="24"/>
      <c r="I2363" s="24"/>
      <c r="J2363" s="24"/>
      <c r="K2363" s="24"/>
      <c r="L2363" s="24"/>
      <c r="M2363" s="24"/>
      <c r="N2363" s="24"/>
      <c r="O2363" s="24"/>
      <c r="P2363" s="24"/>
      <c r="Q2363" s="24"/>
      <c r="R2363" s="24"/>
      <c r="S2363" s="24"/>
      <c r="T2363" s="24"/>
      <c r="U2363" s="24"/>
      <c r="V2363" s="24"/>
      <c r="W2363" s="24"/>
      <c r="X2363" s="24"/>
      <c r="Y2363" s="24"/>
      <c r="Z2363" s="24"/>
      <c r="AA2363" s="24"/>
      <c r="AB2363" s="24"/>
      <c r="AC2363" s="24"/>
      <c r="AD2363" s="24"/>
      <c r="AE2363" s="24"/>
      <c r="AF2363" s="24"/>
      <c r="AG2363" s="24"/>
      <c r="AH2363" s="24"/>
      <c r="AI2363" s="24"/>
      <c r="AJ2363" s="24"/>
      <c r="AK2363" s="24"/>
      <c r="AL2363" s="24"/>
      <c r="AM2363" s="24"/>
      <c r="AN2363" s="24"/>
      <c r="AO2363" s="24"/>
      <c r="AP2363" s="24"/>
      <c r="AQ2363" s="24"/>
      <c r="AR2363" s="54"/>
    </row>
    <row r="2364">
      <c r="A2364" s="57"/>
      <c r="B2364" s="24"/>
      <c r="C2364" s="24"/>
      <c r="D2364" s="24"/>
      <c r="E2364" s="24"/>
      <c r="F2364" s="24"/>
      <c r="G2364" s="24"/>
      <c r="H2364" s="24"/>
      <c r="I2364" s="24"/>
      <c r="J2364" s="24"/>
      <c r="K2364" s="24"/>
      <c r="L2364" s="24"/>
      <c r="M2364" s="24"/>
      <c r="N2364" s="24"/>
      <c r="O2364" s="24"/>
      <c r="P2364" s="24"/>
      <c r="Q2364" s="24"/>
      <c r="R2364" s="24"/>
      <c r="S2364" s="24"/>
      <c r="T2364" s="24"/>
      <c r="U2364" s="24"/>
      <c r="V2364" s="24"/>
      <c r="W2364" s="24"/>
      <c r="X2364" s="24"/>
      <c r="Y2364" s="24"/>
      <c r="Z2364" s="24"/>
      <c r="AA2364" s="24"/>
      <c r="AB2364" s="24"/>
      <c r="AC2364" s="24"/>
      <c r="AD2364" s="24"/>
      <c r="AE2364" s="24"/>
      <c r="AF2364" s="24"/>
      <c r="AG2364" s="24"/>
      <c r="AH2364" s="24"/>
      <c r="AI2364" s="24"/>
      <c r="AJ2364" s="24"/>
      <c r="AK2364" s="24"/>
      <c r="AL2364" s="24"/>
      <c r="AM2364" s="24"/>
      <c r="AN2364" s="24"/>
      <c r="AO2364" s="24"/>
      <c r="AP2364" s="24"/>
      <c r="AQ2364" s="24"/>
      <c r="AR2364" s="54"/>
    </row>
    <row r="2365">
      <c r="A2365" s="57"/>
      <c r="B2365" s="24"/>
      <c r="C2365" s="24"/>
      <c r="D2365" s="24"/>
      <c r="E2365" s="24"/>
      <c r="F2365" s="24"/>
      <c r="G2365" s="24"/>
      <c r="H2365" s="24"/>
      <c r="I2365" s="24"/>
      <c r="J2365" s="24"/>
      <c r="K2365" s="24"/>
      <c r="L2365" s="24"/>
      <c r="M2365" s="24"/>
      <c r="N2365" s="24"/>
      <c r="O2365" s="24"/>
      <c r="P2365" s="24"/>
      <c r="Q2365" s="24"/>
      <c r="R2365" s="24"/>
      <c r="S2365" s="24"/>
      <c r="T2365" s="24"/>
      <c r="U2365" s="24"/>
      <c r="V2365" s="24"/>
      <c r="W2365" s="24"/>
      <c r="X2365" s="24"/>
      <c r="Y2365" s="24"/>
      <c r="Z2365" s="24"/>
      <c r="AA2365" s="24"/>
      <c r="AB2365" s="24"/>
      <c r="AC2365" s="24"/>
      <c r="AD2365" s="24"/>
      <c r="AE2365" s="24"/>
      <c r="AF2365" s="24"/>
      <c r="AG2365" s="24"/>
      <c r="AH2365" s="24"/>
      <c r="AI2365" s="24"/>
      <c r="AJ2365" s="24"/>
      <c r="AK2365" s="24"/>
      <c r="AL2365" s="24"/>
      <c r="AM2365" s="24"/>
      <c r="AN2365" s="24"/>
      <c r="AO2365" s="24"/>
      <c r="AP2365" s="24"/>
      <c r="AQ2365" s="24"/>
      <c r="AR2365" s="54"/>
    </row>
    <row r="2366">
      <c r="A2366" s="57"/>
      <c r="B2366" s="24"/>
      <c r="C2366" s="24"/>
      <c r="D2366" s="24"/>
      <c r="E2366" s="24"/>
      <c r="F2366" s="24"/>
      <c r="G2366" s="24"/>
      <c r="H2366" s="24"/>
      <c r="I2366" s="24"/>
      <c r="J2366" s="24"/>
      <c r="K2366" s="24"/>
      <c r="L2366" s="24"/>
      <c r="M2366" s="24"/>
      <c r="N2366" s="24"/>
      <c r="O2366" s="24"/>
      <c r="P2366" s="24"/>
      <c r="Q2366" s="24"/>
      <c r="R2366" s="24"/>
      <c r="S2366" s="24"/>
      <c r="T2366" s="24"/>
      <c r="U2366" s="24"/>
      <c r="V2366" s="24"/>
      <c r="W2366" s="24"/>
      <c r="X2366" s="24"/>
      <c r="Y2366" s="24"/>
      <c r="Z2366" s="24"/>
      <c r="AA2366" s="24"/>
      <c r="AB2366" s="24"/>
      <c r="AC2366" s="24"/>
      <c r="AD2366" s="24"/>
      <c r="AE2366" s="24"/>
      <c r="AF2366" s="24"/>
      <c r="AG2366" s="24"/>
      <c r="AH2366" s="24"/>
      <c r="AI2366" s="24"/>
      <c r="AJ2366" s="24"/>
      <c r="AK2366" s="24"/>
      <c r="AL2366" s="24"/>
      <c r="AM2366" s="24"/>
      <c r="AN2366" s="24"/>
      <c r="AO2366" s="24"/>
      <c r="AP2366" s="24"/>
      <c r="AQ2366" s="24"/>
      <c r="AR2366" s="54"/>
    </row>
    <row r="2367">
      <c r="A2367" s="57"/>
      <c r="B2367" s="24"/>
      <c r="C2367" s="24"/>
      <c r="D2367" s="24"/>
      <c r="E2367" s="24"/>
      <c r="F2367" s="24"/>
      <c r="G2367" s="24"/>
      <c r="H2367" s="24"/>
      <c r="I2367" s="24"/>
      <c r="J2367" s="24"/>
      <c r="K2367" s="24"/>
      <c r="L2367" s="24"/>
      <c r="M2367" s="24"/>
      <c r="N2367" s="24"/>
      <c r="O2367" s="24"/>
      <c r="P2367" s="24"/>
      <c r="Q2367" s="24"/>
      <c r="R2367" s="24"/>
      <c r="S2367" s="24"/>
      <c r="T2367" s="24"/>
      <c r="U2367" s="24"/>
      <c r="V2367" s="24"/>
      <c r="W2367" s="24"/>
      <c r="X2367" s="24"/>
      <c r="Y2367" s="24"/>
      <c r="Z2367" s="24"/>
      <c r="AA2367" s="24"/>
      <c r="AB2367" s="24"/>
      <c r="AC2367" s="24"/>
      <c r="AD2367" s="24"/>
      <c r="AE2367" s="24"/>
      <c r="AF2367" s="24"/>
      <c r="AG2367" s="24"/>
      <c r="AH2367" s="24"/>
      <c r="AI2367" s="24"/>
      <c r="AJ2367" s="24"/>
      <c r="AK2367" s="24"/>
      <c r="AL2367" s="24"/>
      <c r="AM2367" s="24"/>
      <c r="AN2367" s="24"/>
      <c r="AO2367" s="24"/>
      <c r="AP2367" s="24"/>
      <c r="AQ2367" s="24"/>
      <c r="AR2367" s="54"/>
    </row>
    <row r="2368">
      <c r="A2368" s="57"/>
      <c r="B2368" s="24"/>
      <c r="C2368" s="24"/>
      <c r="D2368" s="24"/>
      <c r="E2368" s="24"/>
      <c r="F2368" s="24"/>
      <c r="G2368" s="24"/>
      <c r="H2368" s="24"/>
      <c r="I2368" s="24"/>
      <c r="J2368" s="24"/>
      <c r="K2368" s="24"/>
      <c r="L2368" s="24"/>
      <c r="M2368" s="24"/>
      <c r="N2368" s="24"/>
      <c r="O2368" s="24"/>
      <c r="P2368" s="24"/>
      <c r="Q2368" s="24"/>
      <c r="R2368" s="24"/>
      <c r="S2368" s="24"/>
      <c r="T2368" s="24"/>
      <c r="U2368" s="24"/>
      <c r="V2368" s="24"/>
      <c r="W2368" s="24"/>
      <c r="X2368" s="24"/>
      <c r="Y2368" s="24"/>
      <c r="Z2368" s="24"/>
      <c r="AA2368" s="24"/>
      <c r="AB2368" s="24"/>
      <c r="AC2368" s="24"/>
      <c r="AD2368" s="24"/>
      <c r="AE2368" s="24"/>
      <c r="AF2368" s="24"/>
      <c r="AG2368" s="24"/>
      <c r="AH2368" s="24"/>
      <c r="AI2368" s="24"/>
      <c r="AJ2368" s="24"/>
      <c r="AK2368" s="24"/>
      <c r="AL2368" s="24"/>
      <c r="AM2368" s="24"/>
      <c r="AN2368" s="24"/>
      <c r="AO2368" s="24"/>
      <c r="AP2368" s="24"/>
      <c r="AQ2368" s="24"/>
      <c r="AR2368" s="54"/>
    </row>
    <row r="2369">
      <c r="A2369" s="57"/>
      <c r="B2369" s="24"/>
      <c r="C2369" s="24"/>
      <c r="D2369" s="24"/>
      <c r="E2369" s="24"/>
      <c r="F2369" s="24"/>
      <c r="G2369" s="24"/>
      <c r="H2369" s="24"/>
      <c r="I2369" s="24"/>
      <c r="J2369" s="24"/>
      <c r="K2369" s="24"/>
      <c r="L2369" s="24"/>
      <c r="M2369" s="24"/>
      <c r="N2369" s="24"/>
      <c r="O2369" s="24"/>
      <c r="P2369" s="24"/>
      <c r="Q2369" s="24"/>
      <c r="R2369" s="24"/>
      <c r="S2369" s="24"/>
      <c r="T2369" s="24"/>
      <c r="U2369" s="24"/>
      <c r="V2369" s="24"/>
      <c r="W2369" s="24"/>
      <c r="X2369" s="24"/>
      <c r="Y2369" s="24"/>
      <c r="Z2369" s="24"/>
      <c r="AA2369" s="24"/>
      <c r="AB2369" s="24"/>
      <c r="AC2369" s="24"/>
      <c r="AD2369" s="24"/>
      <c r="AE2369" s="24"/>
      <c r="AF2369" s="24"/>
      <c r="AG2369" s="24"/>
      <c r="AH2369" s="24"/>
      <c r="AI2369" s="24"/>
      <c r="AJ2369" s="24"/>
      <c r="AK2369" s="24"/>
      <c r="AL2369" s="24"/>
      <c r="AM2369" s="24"/>
      <c r="AN2369" s="24"/>
      <c r="AO2369" s="24"/>
      <c r="AP2369" s="24"/>
      <c r="AQ2369" s="24"/>
      <c r="AR2369" s="54"/>
    </row>
    <row r="2370">
      <c r="A2370" s="57"/>
      <c r="B2370" s="24"/>
      <c r="C2370" s="24"/>
      <c r="D2370" s="24"/>
      <c r="E2370" s="24"/>
      <c r="F2370" s="24"/>
      <c r="G2370" s="24"/>
      <c r="H2370" s="24"/>
      <c r="I2370" s="24"/>
      <c r="J2370" s="24"/>
      <c r="K2370" s="24"/>
      <c r="L2370" s="24"/>
      <c r="M2370" s="24"/>
      <c r="N2370" s="24"/>
      <c r="O2370" s="24"/>
      <c r="P2370" s="24"/>
      <c r="Q2370" s="24"/>
      <c r="R2370" s="24"/>
      <c r="S2370" s="24"/>
      <c r="T2370" s="24"/>
      <c r="U2370" s="24"/>
      <c r="V2370" s="24"/>
      <c r="W2370" s="24"/>
      <c r="X2370" s="24"/>
      <c r="Y2370" s="24"/>
      <c r="Z2370" s="24"/>
      <c r="AA2370" s="24"/>
      <c r="AB2370" s="24"/>
      <c r="AC2370" s="24"/>
      <c r="AD2370" s="24"/>
      <c r="AE2370" s="24"/>
      <c r="AF2370" s="24"/>
      <c r="AG2370" s="24"/>
      <c r="AH2370" s="24"/>
      <c r="AI2370" s="24"/>
      <c r="AJ2370" s="24"/>
      <c r="AK2370" s="24"/>
      <c r="AL2370" s="24"/>
      <c r="AM2370" s="24"/>
      <c r="AN2370" s="24"/>
      <c r="AO2370" s="24"/>
      <c r="AP2370" s="24"/>
      <c r="AQ2370" s="24"/>
      <c r="AR2370" s="54"/>
    </row>
    <row r="2371">
      <c r="A2371" s="57"/>
      <c r="B2371" s="24"/>
      <c r="C2371" s="24"/>
      <c r="D2371" s="24"/>
      <c r="E2371" s="24"/>
      <c r="F2371" s="24"/>
      <c r="G2371" s="24"/>
      <c r="H2371" s="24"/>
      <c r="I2371" s="24"/>
      <c r="J2371" s="24"/>
      <c r="K2371" s="24"/>
      <c r="L2371" s="24"/>
      <c r="M2371" s="24"/>
      <c r="N2371" s="24"/>
      <c r="O2371" s="24"/>
      <c r="P2371" s="24"/>
      <c r="Q2371" s="24"/>
      <c r="R2371" s="24"/>
      <c r="S2371" s="24"/>
      <c r="T2371" s="24"/>
      <c r="U2371" s="24"/>
      <c r="V2371" s="24"/>
      <c r="W2371" s="24"/>
      <c r="X2371" s="24"/>
      <c r="Y2371" s="24"/>
      <c r="Z2371" s="24"/>
      <c r="AA2371" s="24"/>
      <c r="AB2371" s="24"/>
      <c r="AC2371" s="24"/>
      <c r="AD2371" s="24"/>
      <c r="AE2371" s="24"/>
      <c r="AF2371" s="24"/>
      <c r="AG2371" s="24"/>
      <c r="AH2371" s="24"/>
      <c r="AI2371" s="24"/>
      <c r="AJ2371" s="24"/>
      <c r="AK2371" s="24"/>
      <c r="AL2371" s="24"/>
      <c r="AM2371" s="24"/>
      <c r="AN2371" s="24"/>
      <c r="AO2371" s="24"/>
      <c r="AP2371" s="24"/>
      <c r="AQ2371" s="24"/>
      <c r="AR2371" s="54"/>
    </row>
    <row r="2372">
      <c r="A2372" s="57"/>
      <c r="B2372" s="24"/>
      <c r="C2372" s="24"/>
      <c r="D2372" s="24"/>
      <c r="E2372" s="24"/>
      <c r="F2372" s="24"/>
      <c r="G2372" s="24"/>
      <c r="H2372" s="24"/>
      <c r="I2372" s="24"/>
      <c r="J2372" s="24"/>
      <c r="K2372" s="24"/>
      <c r="L2372" s="24"/>
      <c r="M2372" s="24"/>
      <c r="N2372" s="24"/>
      <c r="O2372" s="24"/>
      <c r="P2372" s="24"/>
      <c r="Q2372" s="24"/>
      <c r="R2372" s="24"/>
      <c r="S2372" s="24"/>
      <c r="T2372" s="24"/>
      <c r="U2372" s="24"/>
      <c r="V2372" s="24"/>
      <c r="W2372" s="24"/>
      <c r="X2372" s="24"/>
      <c r="Y2372" s="24"/>
      <c r="Z2372" s="24"/>
      <c r="AA2372" s="24"/>
      <c r="AB2372" s="24"/>
      <c r="AC2372" s="24"/>
      <c r="AD2372" s="24"/>
      <c r="AE2372" s="24"/>
      <c r="AF2372" s="24"/>
      <c r="AG2372" s="24"/>
      <c r="AH2372" s="24"/>
      <c r="AI2372" s="24"/>
      <c r="AJ2372" s="24"/>
      <c r="AK2372" s="24"/>
      <c r="AL2372" s="24"/>
      <c r="AM2372" s="24"/>
      <c r="AN2372" s="24"/>
      <c r="AO2372" s="24"/>
      <c r="AP2372" s="24"/>
      <c r="AQ2372" s="24"/>
      <c r="AR2372" s="54"/>
    </row>
    <row r="2373">
      <c r="A2373" s="57"/>
      <c r="B2373" s="24"/>
      <c r="C2373" s="24"/>
      <c r="D2373" s="24"/>
      <c r="E2373" s="24"/>
      <c r="F2373" s="24"/>
      <c r="G2373" s="24"/>
      <c r="H2373" s="24"/>
      <c r="I2373" s="24"/>
      <c r="J2373" s="24"/>
      <c r="K2373" s="24"/>
      <c r="L2373" s="24"/>
      <c r="M2373" s="24"/>
      <c r="N2373" s="24"/>
      <c r="O2373" s="24"/>
      <c r="P2373" s="24"/>
      <c r="Q2373" s="24"/>
      <c r="R2373" s="24"/>
      <c r="S2373" s="24"/>
      <c r="T2373" s="24"/>
      <c r="U2373" s="24"/>
      <c r="V2373" s="24"/>
      <c r="W2373" s="24"/>
      <c r="X2373" s="24"/>
      <c r="Y2373" s="24"/>
      <c r="Z2373" s="24"/>
      <c r="AA2373" s="24"/>
      <c r="AB2373" s="24"/>
      <c r="AC2373" s="24"/>
      <c r="AD2373" s="24"/>
      <c r="AE2373" s="24"/>
      <c r="AF2373" s="24"/>
      <c r="AG2373" s="24"/>
      <c r="AH2373" s="24"/>
      <c r="AI2373" s="24"/>
      <c r="AJ2373" s="24"/>
      <c r="AK2373" s="24"/>
      <c r="AL2373" s="24"/>
      <c r="AM2373" s="24"/>
      <c r="AN2373" s="24"/>
      <c r="AO2373" s="24"/>
      <c r="AP2373" s="24"/>
      <c r="AQ2373" s="24"/>
      <c r="AR2373" s="54"/>
    </row>
    <row r="2374">
      <c r="A2374" s="57"/>
      <c r="B2374" s="24"/>
      <c r="C2374" s="24"/>
      <c r="D2374" s="24"/>
      <c r="E2374" s="24"/>
      <c r="F2374" s="24"/>
      <c r="G2374" s="24"/>
      <c r="H2374" s="24"/>
      <c r="I2374" s="24"/>
      <c r="J2374" s="24"/>
      <c r="K2374" s="24"/>
      <c r="L2374" s="24"/>
      <c r="M2374" s="24"/>
      <c r="N2374" s="24"/>
      <c r="O2374" s="24"/>
      <c r="P2374" s="24"/>
      <c r="Q2374" s="24"/>
      <c r="R2374" s="24"/>
      <c r="S2374" s="24"/>
      <c r="T2374" s="24"/>
      <c r="U2374" s="24"/>
      <c r="V2374" s="24"/>
      <c r="W2374" s="24"/>
      <c r="X2374" s="24"/>
      <c r="Y2374" s="24"/>
      <c r="Z2374" s="24"/>
      <c r="AA2374" s="24"/>
      <c r="AB2374" s="24"/>
      <c r="AC2374" s="24"/>
      <c r="AD2374" s="24"/>
      <c r="AE2374" s="24"/>
      <c r="AF2374" s="24"/>
      <c r="AG2374" s="24"/>
      <c r="AH2374" s="24"/>
      <c r="AI2374" s="24"/>
      <c r="AJ2374" s="24"/>
      <c r="AK2374" s="24"/>
      <c r="AL2374" s="24"/>
      <c r="AM2374" s="24"/>
      <c r="AN2374" s="24"/>
      <c r="AO2374" s="24"/>
      <c r="AP2374" s="24"/>
      <c r="AQ2374" s="24"/>
      <c r="AR2374" s="54"/>
    </row>
    <row r="2375">
      <c r="A2375" s="57"/>
      <c r="B2375" s="24"/>
      <c r="C2375" s="24"/>
      <c r="D2375" s="24"/>
      <c r="E2375" s="24"/>
      <c r="F2375" s="24"/>
      <c r="G2375" s="24"/>
      <c r="H2375" s="24"/>
      <c r="I2375" s="24"/>
      <c r="J2375" s="24"/>
      <c r="K2375" s="24"/>
      <c r="L2375" s="24"/>
      <c r="M2375" s="24"/>
      <c r="N2375" s="24"/>
      <c r="O2375" s="24"/>
      <c r="P2375" s="24"/>
      <c r="Q2375" s="24"/>
      <c r="R2375" s="24"/>
      <c r="S2375" s="24"/>
      <c r="T2375" s="24"/>
      <c r="U2375" s="24"/>
      <c r="V2375" s="24"/>
      <c r="W2375" s="24"/>
      <c r="X2375" s="24"/>
      <c r="Y2375" s="24"/>
      <c r="Z2375" s="24"/>
      <c r="AA2375" s="24"/>
      <c r="AB2375" s="24"/>
      <c r="AC2375" s="24"/>
      <c r="AD2375" s="24"/>
      <c r="AE2375" s="24"/>
      <c r="AF2375" s="24"/>
      <c r="AG2375" s="24"/>
      <c r="AH2375" s="24"/>
      <c r="AI2375" s="24"/>
      <c r="AJ2375" s="24"/>
      <c r="AK2375" s="24"/>
      <c r="AL2375" s="24"/>
      <c r="AM2375" s="24"/>
      <c r="AN2375" s="24"/>
      <c r="AO2375" s="24"/>
      <c r="AP2375" s="24"/>
      <c r="AQ2375" s="24"/>
      <c r="AR2375" s="54"/>
    </row>
    <row r="2376">
      <c r="A2376" s="57"/>
      <c r="B2376" s="24"/>
      <c r="C2376" s="24"/>
      <c r="D2376" s="24"/>
      <c r="E2376" s="24"/>
      <c r="F2376" s="24"/>
      <c r="G2376" s="24"/>
      <c r="H2376" s="24"/>
      <c r="I2376" s="24"/>
      <c r="J2376" s="24"/>
      <c r="K2376" s="24"/>
      <c r="L2376" s="24"/>
      <c r="M2376" s="24"/>
      <c r="N2376" s="24"/>
      <c r="O2376" s="24"/>
      <c r="P2376" s="24"/>
      <c r="Q2376" s="24"/>
      <c r="R2376" s="24"/>
      <c r="S2376" s="24"/>
      <c r="T2376" s="24"/>
      <c r="U2376" s="24"/>
      <c r="V2376" s="24"/>
      <c r="W2376" s="24"/>
      <c r="X2376" s="24"/>
      <c r="Y2376" s="24"/>
      <c r="Z2376" s="24"/>
      <c r="AA2376" s="24"/>
      <c r="AB2376" s="24"/>
      <c r="AC2376" s="24"/>
      <c r="AD2376" s="24"/>
      <c r="AE2376" s="24"/>
      <c r="AF2376" s="24"/>
      <c r="AG2376" s="24"/>
      <c r="AH2376" s="24"/>
      <c r="AI2376" s="24"/>
      <c r="AJ2376" s="24"/>
      <c r="AK2376" s="24"/>
      <c r="AL2376" s="24"/>
      <c r="AM2376" s="24"/>
      <c r="AN2376" s="24"/>
      <c r="AO2376" s="24"/>
      <c r="AP2376" s="24"/>
      <c r="AQ2376" s="24"/>
      <c r="AR2376" s="54"/>
    </row>
    <row r="2377">
      <c r="A2377" s="57"/>
      <c r="B2377" s="24"/>
      <c r="C2377" s="24"/>
      <c r="D2377" s="24"/>
      <c r="E2377" s="24"/>
      <c r="F2377" s="24"/>
      <c r="G2377" s="24"/>
      <c r="H2377" s="24"/>
      <c r="I2377" s="24"/>
      <c r="J2377" s="24"/>
      <c r="K2377" s="24"/>
      <c r="L2377" s="24"/>
      <c r="M2377" s="24"/>
      <c r="N2377" s="24"/>
      <c r="O2377" s="24"/>
      <c r="P2377" s="24"/>
      <c r="Q2377" s="24"/>
      <c r="R2377" s="24"/>
      <c r="S2377" s="24"/>
      <c r="T2377" s="24"/>
      <c r="U2377" s="24"/>
      <c r="V2377" s="24"/>
      <c r="W2377" s="24"/>
      <c r="X2377" s="24"/>
      <c r="Y2377" s="24"/>
      <c r="Z2377" s="24"/>
      <c r="AA2377" s="24"/>
      <c r="AB2377" s="24"/>
      <c r="AC2377" s="24"/>
      <c r="AD2377" s="24"/>
      <c r="AE2377" s="24"/>
      <c r="AF2377" s="24"/>
      <c r="AG2377" s="24"/>
      <c r="AH2377" s="24"/>
      <c r="AI2377" s="24"/>
      <c r="AJ2377" s="24"/>
      <c r="AK2377" s="24"/>
      <c r="AL2377" s="24"/>
      <c r="AM2377" s="24"/>
      <c r="AN2377" s="24"/>
      <c r="AO2377" s="24"/>
      <c r="AP2377" s="24"/>
      <c r="AQ2377" s="24"/>
      <c r="AR2377" s="54"/>
    </row>
    <row r="2378">
      <c r="A2378" s="57"/>
      <c r="B2378" s="24"/>
      <c r="C2378" s="24"/>
      <c r="D2378" s="24"/>
      <c r="E2378" s="24"/>
      <c r="F2378" s="24"/>
      <c r="G2378" s="24"/>
      <c r="H2378" s="24"/>
      <c r="I2378" s="24"/>
      <c r="J2378" s="24"/>
      <c r="K2378" s="24"/>
      <c r="L2378" s="24"/>
      <c r="M2378" s="24"/>
      <c r="N2378" s="24"/>
      <c r="O2378" s="24"/>
      <c r="P2378" s="24"/>
      <c r="Q2378" s="24"/>
      <c r="R2378" s="24"/>
      <c r="S2378" s="24"/>
      <c r="T2378" s="24"/>
      <c r="U2378" s="24"/>
      <c r="V2378" s="24"/>
      <c r="W2378" s="24"/>
      <c r="X2378" s="24"/>
      <c r="Y2378" s="24"/>
      <c r="Z2378" s="24"/>
      <c r="AA2378" s="24"/>
      <c r="AB2378" s="24"/>
      <c r="AC2378" s="24"/>
      <c r="AD2378" s="24"/>
      <c r="AE2378" s="24"/>
      <c r="AF2378" s="24"/>
      <c r="AG2378" s="24"/>
      <c r="AH2378" s="24"/>
      <c r="AI2378" s="24"/>
      <c r="AJ2378" s="24"/>
      <c r="AK2378" s="24"/>
      <c r="AL2378" s="24"/>
      <c r="AM2378" s="24"/>
      <c r="AN2378" s="24"/>
      <c r="AO2378" s="24"/>
      <c r="AP2378" s="24"/>
      <c r="AQ2378" s="24"/>
      <c r="AR2378" s="54"/>
    </row>
    <row r="2379">
      <c r="A2379" s="57"/>
      <c r="B2379" s="24"/>
      <c r="C2379" s="24"/>
      <c r="D2379" s="24"/>
      <c r="E2379" s="24"/>
      <c r="F2379" s="24"/>
      <c r="G2379" s="24"/>
      <c r="H2379" s="24"/>
      <c r="I2379" s="24"/>
      <c r="J2379" s="24"/>
      <c r="K2379" s="24"/>
      <c r="L2379" s="24"/>
      <c r="M2379" s="24"/>
      <c r="N2379" s="24"/>
      <c r="O2379" s="24"/>
      <c r="P2379" s="24"/>
      <c r="Q2379" s="24"/>
      <c r="R2379" s="24"/>
      <c r="S2379" s="24"/>
      <c r="T2379" s="24"/>
      <c r="U2379" s="24"/>
      <c r="V2379" s="24"/>
      <c r="W2379" s="24"/>
      <c r="X2379" s="24"/>
      <c r="Y2379" s="24"/>
      <c r="Z2379" s="24"/>
      <c r="AA2379" s="24"/>
      <c r="AB2379" s="24"/>
      <c r="AC2379" s="24"/>
      <c r="AD2379" s="24"/>
      <c r="AE2379" s="24"/>
      <c r="AF2379" s="24"/>
      <c r="AG2379" s="24"/>
      <c r="AH2379" s="24"/>
      <c r="AI2379" s="24"/>
      <c r="AJ2379" s="24"/>
      <c r="AK2379" s="24"/>
      <c r="AL2379" s="24"/>
      <c r="AM2379" s="24"/>
      <c r="AN2379" s="24"/>
      <c r="AO2379" s="24"/>
      <c r="AP2379" s="24"/>
      <c r="AQ2379" s="24"/>
      <c r="AR2379" s="54"/>
    </row>
    <row r="2380">
      <c r="A2380" s="57"/>
      <c r="B2380" s="24"/>
      <c r="C2380" s="24"/>
      <c r="D2380" s="24"/>
      <c r="E2380" s="24"/>
      <c r="F2380" s="24"/>
      <c r="G2380" s="24"/>
      <c r="H2380" s="24"/>
      <c r="I2380" s="24"/>
      <c r="J2380" s="24"/>
      <c r="K2380" s="24"/>
      <c r="L2380" s="24"/>
      <c r="M2380" s="24"/>
      <c r="N2380" s="24"/>
      <c r="O2380" s="24"/>
      <c r="P2380" s="24"/>
      <c r="Q2380" s="24"/>
      <c r="R2380" s="24"/>
      <c r="S2380" s="24"/>
      <c r="T2380" s="24"/>
      <c r="U2380" s="24"/>
      <c r="V2380" s="24"/>
      <c r="W2380" s="24"/>
      <c r="X2380" s="24"/>
      <c r="Y2380" s="24"/>
      <c r="Z2380" s="24"/>
      <c r="AA2380" s="24"/>
      <c r="AB2380" s="24"/>
      <c r="AC2380" s="24"/>
      <c r="AD2380" s="24"/>
      <c r="AE2380" s="24"/>
      <c r="AF2380" s="24"/>
      <c r="AG2380" s="24"/>
      <c r="AH2380" s="24"/>
      <c r="AI2380" s="24"/>
      <c r="AJ2380" s="24"/>
      <c r="AK2380" s="24"/>
      <c r="AL2380" s="24"/>
      <c r="AM2380" s="24"/>
      <c r="AN2380" s="24"/>
      <c r="AO2380" s="24"/>
      <c r="AP2380" s="24"/>
      <c r="AQ2380" s="24"/>
      <c r="AR2380" s="54"/>
    </row>
    <row r="2381">
      <c r="A2381" s="57"/>
      <c r="B2381" s="24"/>
      <c r="C2381" s="24"/>
      <c r="D2381" s="24"/>
      <c r="E2381" s="24"/>
      <c r="F2381" s="24"/>
      <c r="G2381" s="24"/>
      <c r="H2381" s="24"/>
      <c r="I2381" s="24"/>
      <c r="J2381" s="24"/>
      <c r="K2381" s="24"/>
      <c r="L2381" s="24"/>
      <c r="M2381" s="24"/>
      <c r="N2381" s="24"/>
      <c r="O2381" s="24"/>
      <c r="P2381" s="24"/>
      <c r="Q2381" s="24"/>
      <c r="R2381" s="24"/>
      <c r="S2381" s="24"/>
      <c r="T2381" s="24"/>
      <c r="U2381" s="24"/>
      <c r="V2381" s="24"/>
      <c r="W2381" s="24"/>
      <c r="X2381" s="24"/>
      <c r="Y2381" s="24"/>
      <c r="Z2381" s="24"/>
      <c r="AA2381" s="24"/>
      <c r="AB2381" s="24"/>
      <c r="AC2381" s="24"/>
      <c r="AD2381" s="24"/>
      <c r="AE2381" s="24"/>
      <c r="AF2381" s="24"/>
      <c r="AG2381" s="24"/>
      <c r="AH2381" s="24"/>
      <c r="AI2381" s="24"/>
      <c r="AJ2381" s="24"/>
      <c r="AK2381" s="24"/>
      <c r="AL2381" s="24"/>
      <c r="AM2381" s="24"/>
      <c r="AN2381" s="24"/>
      <c r="AO2381" s="24"/>
      <c r="AP2381" s="24"/>
      <c r="AQ2381" s="24"/>
      <c r="AR2381" s="54"/>
    </row>
    <row r="2382">
      <c r="A2382" s="57"/>
      <c r="B2382" s="24"/>
      <c r="C2382" s="24"/>
      <c r="D2382" s="24"/>
      <c r="E2382" s="24"/>
      <c r="F2382" s="24"/>
      <c r="G2382" s="24"/>
      <c r="H2382" s="24"/>
      <c r="I2382" s="24"/>
      <c r="J2382" s="24"/>
      <c r="K2382" s="24"/>
      <c r="L2382" s="24"/>
      <c r="M2382" s="24"/>
      <c r="N2382" s="24"/>
      <c r="O2382" s="24"/>
      <c r="P2382" s="24"/>
      <c r="Q2382" s="24"/>
      <c r="R2382" s="24"/>
      <c r="S2382" s="24"/>
      <c r="T2382" s="24"/>
      <c r="U2382" s="24"/>
      <c r="V2382" s="24"/>
      <c r="W2382" s="24"/>
      <c r="X2382" s="24"/>
      <c r="Y2382" s="24"/>
      <c r="Z2382" s="24"/>
      <c r="AA2382" s="24"/>
      <c r="AB2382" s="24"/>
      <c r="AC2382" s="24"/>
      <c r="AD2382" s="24"/>
      <c r="AE2382" s="24"/>
      <c r="AF2382" s="24"/>
      <c r="AG2382" s="24"/>
      <c r="AH2382" s="24"/>
      <c r="AI2382" s="24"/>
      <c r="AJ2382" s="24"/>
      <c r="AK2382" s="24"/>
      <c r="AL2382" s="24"/>
      <c r="AM2382" s="24"/>
      <c r="AN2382" s="24"/>
      <c r="AO2382" s="24"/>
      <c r="AP2382" s="24"/>
      <c r="AQ2382" s="24"/>
      <c r="AR2382" s="54"/>
    </row>
    <row r="2383">
      <c r="A2383" s="57"/>
      <c r="B2383" s="24"/>
      <c r="C2383" s="24"/>
      <c r="D2383" s="24"/>
      <c r="E2383" s="24"/>
      <c r="F2383" s="24"/>
      <c r="G2383" s="24"/>
      <c r="H2383" s="24"/>
      <c r="I2383" s="24"/>
      <c r="J2383" s="24"/>
      <c r="K2383" s="24"/>
      <c r="L2383" s="24"/>
      <c r="M2383" s="24"/>
      <c r="N2383" s="24"/>
      <c r="O2383" s="24"/>
      <c r="P2383" s="24"/>
      <c r="Q2383" s="24"/>
      <c r="R2383" s="24"/>
      <c r="S2383" s="24"/>
      <c r="T2383" s="24"/>
      <c r="U2383" s="24"/>
      <c r="V2383" s="24"/>
      <c r="W2383" s="24"/>
      <c r="X2383" s="24"/>
      <c r="Y2383" s="24"/>
      <c r="Z2383" s="24"/>
      <c r="AA2383" s="24"/>
      <c r="AB2383" s="24"/>
      <c r="AC2383" s="24"/>
      <c r="AD2383" s="24"/>
      <c r="AE2383" s="24"/>
      <c r="AF2383" s="24"/>
      <c r="AG2383" s="24"/>
      <c r="AH2383" s="24"/>
      <c r="AI2383" s="24"/>
      <c r="AJ2383" s="24"/>
      <c r="AK2383" s="24"/>
      <c r="AL2383" s="24"/>
      <c r="AM2383" s="24"/>
      <c r="AN2383" s="24"/>
      <c r="AO2383" s="24"/>
      <c r="AP2383" s="24"/>
      <c r="AQ2383" s="24"/>
      <c r="AR2383" s="54"/>
    </row>
    <row r="2384">
      <c r="A2384" s="57"/>
      <c r="B2384" s="24"/>
      <c r="C2384" s="24"/>
      <c r="D2384" s="24"/>
      <c r="E2384" s="24"/>
      <c r="F2384" s="24"/>
      <c r="G2384" s="24"/>
      <c r="H2384" s="24"/>
      <c r="I2384" s="24"/>
      <c r="J2384" s="24"/>
      <c r="K2384" s="24"/>
      <c r="L2384" s="24"/>
      <c r="M2384" s="24"/>
      <c r="N2384" s="24"/>
      <c r="O2384" s="24"/>
      <c r="P2384" s="24"/>
      <c r="Q2384" s="24"/>
      <c r="R2384" s="24"/>
      <c r="S2384" s="24"/>
      <c r="T2384" s="24"/>
      <c r="U2384" s="24"/>
      <c r="V2384" s="24"/>
      <c r="W2384" s="24"/>
      <c r="X2384" s="24"/>
      <c r="Y2384" s="24"/>
      <c r="Z2384" s="24"/>
      <c r="AA2384" s="24"/>
      <c r="AB2384" s="24"/>
      <c r="AC2384" s="24"/>
      <c r="AD2384" s="24"/>
      <c r="AE2384" s="24"/>
      <c r="AF2384" s="24"/>
      <c r="AG2384" s="24"/>
      <c r="AH2384" s="24"/>
      <c r="AI2384" s="24"/>
      <c r="AJ2384" s="24"/>
      <c r="AK2384" s="24"/>
      <c r="AL2384" s="24"/>
      <c r="AM2384" s="24"/>
      <c r="AN2384" s="24"/>
      <c r="AO2384" s="24"/>
      <c r="AP2384" s="24"/>
      <c r="AQ2384" s="24"/>
      <c r="AR2384" s="54"/>
    </row>
    <row r="2385">
      <c r="A2385" s="57"/>
      <c r="B2385" s="24"/>
      <c r="C2385" s="24"/>
      <c r="D2385" s="24"/>
      <c r="E2385" s="24"/>
      <c r="F2385" s="24"/>
      <c r="G2385" s="24"/>
      <c r="H2385" s="24"/>
      <c r="I2385" s="24"/>
      <c r="J2385" s="24"/>
      <c r="K2385" s="24"/>
      <c r="L2385" s="24"/>
      <c r="M2385" s="24"/>
      <c r="N2385" s="24"/>
      <c r="O2385" s="24"/>
      <c r="P2385" s="24"/>
      <c r="Q2385" s="24"/>
      <c r="R2385" s="24"/>
      <c r="S2385" s="24"/>
      <c r="T2385" s="24"/>
      <c r="U2385" s="24"/>
      <c r="V2385" s="24"/>
      <c r="W2385" s="24"/>
      <c r="X2385" s="24"/>
      <c r="Y2385" s="24"/>
      <c r="Z2385" s="24"/>
      <c r="AA2385" s="24"/>
      <c r="AB2385" s="24"/>
      <c r="AC2385" s="24"/>
      <c r="AD2385" s="24"/>
      <c r="AE2385" s="24"/>
      <c r="AF2385" s="24"/>
      <c r="AG2385" s="24"/>
      <c r="AH2385" s="24"/>
      <c r="AI2385" s="24"/>
      <c r="AJ2385" s="24"/>
      <c r="AK2385" s="24"/>
      <c r="AL2385" s="24"/>
      <c r="AM2385" s="24"/>
      <c r="AN2385" s="24"/>
      <c r="AO2385" s="24"/>
      <c r="AP2385" s="24"/>
      <c r="AQ2385" s="24"/>
      <c r="AR2385" s="54"/>
    </row>
    <row r="2386">
      <c r="A2386" s="57"/>
      <c r="B2386" s="24"/>
      <c r="C2386" s="24"/>
      <c r="D2386" s="24"/>
      <c r="E2386" s="24"/>
      <c r="F2386" s="24"/>
      <c r="G2386" s="24"/>
      <c r="H2386" s="24"/>
      <c r="I2386" s="24"/>
      <c r="J2386" s="24"/>
      <c r="K2386" s="24"/>
      <c r="L2386" s="24"/>
      <c r="M2386" s="24"/>
      <c r="N2386" s="24"/>
      <c r="O2386" s="24"/>
      <c r="P2386" s="24"/>
      <c r="Q2386" s="24"/>
      <c r="R2386" s="24"/>
      <c r="S2386" s="24"/>
      <c r="T2386" s="24"/>
      <c r="U2386" s="24"/>
      <c r="V2386" s="24"/>
      <c r="W2386" s="24"/>
      <c r="X2386" s="24"/>
      <c r="Y2386" s="24"/>
      <c r="Z2386" s="24"/>
      <c r="AA2386" s="24"/>
      <c r="AB2386" s="24"/>
      <c r="AC2386" s="24"/>
      <c r="AD2386" s="24"/>
      <c r="AE2386" s="24"/>
      <c r="AF2386" s="24"/>
      <c r="AG2386" s="24"/>
      <c r="AH2386" s="24"/>
      <c r="AI2386" s="24"/>
      <c r="AJ2386" s="24"/>
      <c r="AK2386" s="24"/>
      <c r="AL2386" s="24"/>
      <c r="AM2386" s="24"/>
      <c r="AN2386" s="24"/>
      <c r="AO2386" s="24"/>
      <c r="AP2386" s="24"/>
      <c r="AQ2386" s="24"/>
      <c r="AR2386" s="54"/>
    </row>
    <row r="2387">
      <c r="A2387" s="57"/>
      <c r="B2387" s="24"/>
      <c r="C2387" s="24"/>
      <c r="D2387" s="24"/>
      <c r="E2387" s="24"/>
      <c r="F2387" s="24"/>
      <c r="G2387" s="24"/>
      <c r="H2387" s="24"/>
      <c r="I2387" s="24"/>
      <c r="J2387" s="24"/>
      <c r="K2387" s="24"/>
      <c r="L2387" s="24"/>
      <c r="M2387" s="24"/>
      <c r="N2387" s="24"/>
      <c r="O2387" s="24"/>
      <c r="P2387" s="24"/>
      <c r="Q2387" s="24"/>
      <c r="R2387" s="24"/>
      <c r="S2387" s="24"/>
      <c r="T2387" s="24"/>
      <c r="U2387" s="24"/>
      <c r="V2387" s="24"/>
      <c r="W2387" s="24"/>
      <c r="X2387" s="24"/>
      <c r="Y2387" s="24"/>
      <c r="Z2387" s="24"/>
      <c r="AA2387" s="24"/>
      <c r="AB2387" s="24"/>
      <c r="AC2387" s="24"/>
      <c r="AD2387" s="24"/>
      <c r="AE2387" s="24"/>
      <c r="AF2387" s="24"/>
      <c r="AG2387" s="24"/>
      <c r="AH2387" s="24"/>
      <c r="AI2387" s="24"/>
      <c r="AJ2387" s="24"/>
      <c r="AK2387" s="24"/>
      <c r="AL2387" s="24"/>
      <c r="AM2387" s="24"/>
      <c r="AN2387" s="24"/>
      <c r="AO2387" s="24"/>
      <c r="AP2387" s="24"/>
      <c r="AQ2387" s="24"/>
      <c r="AR2387" s="54"/>
    </row>
    <row r="2388">
      <c r="A2388" s="57"/>
      <c r="B2388" s="24"/>
      <c r="C2388" s="24"/>
      <c r="D2388" s="24"/>
      <c r="E2388" s="24"/>
      <c r="F2388" s="24"/>
      <c r="G2388" s="24"/>
      <c r="H2388" s="24"/>
      <c r="I2388" s="24"/>
      <c r="J2388" s="24"/>
      <c r="K2388" s="24"/>
      <c r="L2388" s="24"/>
      <c r="M2388" s="24"/>
      <c r="N2388" s="24"/>
      <c r="O2388" s="24"/>
      <c r="P2388" s="24"/>
      <c r="Q2388" s="24"/>
      <c r="R2388" s="24"/>
      <c r="S2388" s="24"/>
      <c r="T2388" s="24"/>
      <c r="U2388" s="24"/>
      <c r="V2388" s="24"/>
      <c r="W2388" s="24"/>
      <c r="X2388" s="24"/>
      <c r="Y2388" s="24"/>
      <c r="Z2388" s="24"/>
      <c r="AA2388" s="24"/>
      <c r="AB2388" s="24"/>
      <c r="AC2388" s="24"/>
      <c r="AD2388" s="24"/>
      <c r="AE2388" s="24"/>
      <c r="AF2388" s="24"/>
      <c r="AG2388" s="24"/>
      <c r="AH2388" s="24"/>
      <c r="AI2388" s="24"/>
      <c r="AJ2388" s="24"/>
      <c r="AK2388" s="24"/>
      <c r="AL2388" s="24"/>
      <c r="AM2388" s="24"/>
      <c r="AN2388" s="24"/>
      <c r="AO2388" s="24"/>
      <c r="AP2388" s="24"/>
      <c r="AQ2388" s="24"/>
      <c r="AR2388" s="54"/>
    </row>
    <row r="2389">
      <c r="A2389" s="57"/>
      <c r="B2389" s="24"/>
      <c r="C2389" s="24"/>
      <c r="D2389" s="24"/>
      <c r="E2389" s="24"/>
      <c r="F2389" s="24"/>
      <c r="G2389" s="24"/>
      <c r="H2389" s="24"/>
      <c r="I2389" s="24"/>
      <c r="J2389" s="24"/>
      <c r="K2389" s="24"/>
      <c r="L2389" s="24"/>
      <c r="M2389" s="24"/>
      <c r="N2389" s="24"/>
      <c r="O2389" s="24"/>
      <c r="P2389" s="24"/>
      <c r="Q2389" s="24"/>
      <c r="R2389" s="24"/>
      <c r="S2389" s="24"/>
      <c r="T2389" s="24"/>
      <c r="U2389" s="24"/>
      <c r="V2389" s="24"/>
      <c r="W2389" s="24"/>
      <c r="X2389" s="24"/>
      <c r="Y2389" s="24"/>
      <c r="Z2389" s="24"/>
      <c r="AA2389" s="24"/>
      <c r="AB2389" s="24"/>
      <c r="AC2389" s="24"/>
      <c r="AD2389" s="24"/>
      <c r="AE2389" s="24"/>
      <c r="AF2389" s="24"/>
      <c r="AG2389" s="24"/>
      <c r="AH2389" s="24"/>
      <c r="AI2389" s="24"/>
      <c r="AJ2389" s="24"/>
      <c r="AK2389" s="24"/>
      <c r="AL2389" s="24"/>
      <c r="AM2389" s="24"/>
      <c r="AN2389" s="24"/>
      <c r="AO2389" s="24"/>
      <c r="AP2389" s="24"/>
      <c r="AQ2389" s="24"/>
      <c r="AR2389" s="54"/>
    </row>
    <row r="2390">
      <c r="A2390" s="57"/>
      <c r="B2390" s="24"/>
      <c r="C2390" s="24"/>
      <c r="D2390" s="24"/>
      <c r="E2390" s="24"/>
      <c r="F2390" s="24"/>
      <c r="G2390" s="24"/>
      <c r="H2390" s="24"/>
      <c r="I2390" s="24"/>
      <c r="J2390" s="24"/>
      <c r="K2390" s="24"/>
      <c r="L2390" s="24"/>
      <c r="M2390" s="24"/>
      <c r="N2390" s="24"/>
      <c r="O2390" s="24"/>
      <c r="P2390" s="24"/>
      <c r="Q2390" s="24"/>
      <c r="R2390" s="24"/>
      <c r="S2390" s="24"/>
      <c r="T2390" s="24"/>
      <c r="U2390" s="24"/>
      <c r="V2390" s="24"/>
      <c r="W2390" s="24"/>
      <c r="X2390" s="24"/>
      <c r="Y2390" s="24"/>
      <c r="Z2390" s="24"/>
      <c r="AA2390" s="24"/>
      <c r="AB2390" s="24"/>
      <c r="AC2390" s="24"/>
      <c r="AD2390" s="24"/>
      <c r="AE2390" s="24"/>
      <c r="AF2390" s="24"/>
      <c r="AG2390" s="24"/>
      <c r="AH2390" s="24"/>
      <c r="AI2390" s="24"/>
      <c r="AJ2390" s="24"/>
      <c r="AK2390" s="24"/>
      <c r="AL2390" s="24"/>
      <c r="AM2390" s="24"/>
      <c r="AN2390" s="24"/>
      <c r="AO2390" s="24"/>
      <c r="AP2390" s="24"/>
      <c r="AQ2390" s="24"/>
      <c r="AR2390" s="54"/>
    </row>
    <row r="2391">
      <c r="A2391" s="57"/>
      <c r="B2391" s="24"/>
      <c r="C2391" s="24"/>
      <c r="D2391" s="24"/>
      <c r="E2391" s="24"/>
      <c r="F2391" s="24"/>
      <c r="G2391" s="24"/>
      <c r="H2391" s="24"/>
      <c r="I2391" s="24"/>
      <c r="J2391" s="24"/>
      <c r="K2391" s="24"/>
      <c r="L2391" s="24"/>
      <c r="M2391" s="24"/>
      <c r="N2391" s="24"/>
      <c r="O2391" s="24"/>
      <c r="P2391" s="24"/>
      <c r="Q2391" s="24"/>
      <c r="R2391" s="24"/>
      <c r="S2391" s="24"/>
      <c r="T2391" s="24"/>
      <c r="U2391" s="24"/>
      <c r="V2391" s="24"/>
      <c r="W2391" s="24"/>
      <c r="X2391" s="24"/>
      <c r="Y2391" s="24"/>
      <c r="Z2391" s="24"/>
      <c r="AA2391" s="24"/>
      <c r="AB2391" s="24"/>
      <c r="AC2391" s="24"/>
      <c r="AD2391" s="24"/>
      <c r="AE2391" s="24"/>
      <c r="AF2391" s="24"/>
      <c r="AG2391" s="24"/>
      <c r="AH2391" s="24"/>
      <c r="AI2391" s="24"/>
      <c r="AJ2391" s="24"/>
      <c r="AK2391" s="24"/>
      <c r="AL2391" s="24"/>
      <c r="AM2391" s="24"/>
      <c r="AN2391" s="24"/>
      <c r="AO2391" s="24"/>
      <c r="AP2391" s="24"/>
      <c r="AQ2391" s="24"/>
      <c r="AR2391" s="54"/>
    </row>
    <row r="2392">
      <c r="A2392" s="57"/>
      <c r="B2392" s="24"/>
      <c r="C2392" s="24"/>
      <c r="D2392" s="24"/>
      <c r="E2392" s="24"/>
      <c r="F2392" s="24"/>
      <c r="G2392" s="24"/>
      <c r="H2392" s="24"/>
      <c r="I2392" s="24"/>
      <c r="J2392" s="24"/>
      <c r="K2392" s="24"/>
      <c r="L2392" s="24"/>
      <c r="M2392" s="24"/>
      <c r="N2392" s="24"/>
      <c r="O2392" s="24"/>
      <c r="P2392" s="24"/>
      <c r="Q2392" s="24"/>
      <c r="R2392" s="24"/>
      <c r="S2392" s="24"/>
      <c r="T2392" s="24"/>
      <c r="U2392" s="24"/>
      <c r="V2392" s="24"/>
      <c r="W2392" s="24"/>
      <c r="X2392" s="24"/>
      <c r="Y2392" s="24"/>
      <c r="Z2392" s="24"/>
      <c r="AA2392" s="24"/>
      <c r="AB2392" s="24"/>
      <c r="AC2392" s="24"/>
      <c r="AD2392" s="24"/>
      <c r="AE2392" s="24"/>
      <c r="AF2392" s="24"/>
      <c r="AG2392" s="24"/>
      <c r="AH2392" s="24"/>
      <c r="AI2392" s="24"/>
      <c r="AJ2392" s="24"/>
      <c r="AK2392" s="24"/>
      <c r="AL2392" s="24"/>
      <c r="AM2392" s="24"/>
      <c r="AN2392" s="24"/>
      <c r="AO2392" s="24"/>
      <c r="AP2392" s="24"/>
      <c r="AQ2392" s="24"/>
      <c r="AR2392" s="54"/>
    </row>
    <row r="2393">
      <c r="A2393" s="57"/>
      <c r="B2393" s="24"/>
      <c r="C2393" s="24"/>
      <c r="D2393" s="24"/>
      <c r="E2393" s="24"/>
      <c r="F2393" s="24"/>
      <c r="G2393" s="24"/>
      <c r="H2393" s="24"/>
      <c r="I2393" s="24"/>
      <c r="J2393" s="24"/>
      <c r="K2393" s="24"/>
      <c r="L2393" s="24"/>
      <c r="M2393" s="24"/>
      <c r="N2393" s="24"/>
      <c r="O2393" s="24"/>
      <c r="P2393" s="24"/>
      <c r="Q2393" s="24"/>
      <c r="R2393" s="24"/>
      <c r="S2393" s="24"/>
      <c r="T2393" s="24"/>
      <c r="U2393" s="24"/>
      <c r="V2393" s="24"/>
      <c r="W2393" s="24"/>
      <c r="X2393" s="24"/>
      <c r="Y2393" s="24"/>
      <c r="Z2393" s="24"/>
      <c r="AA2393" s="24"/>
      <c r="AB2393" s="24"/>
      <c r="AC2393" s="24"/>
      <c r="AD2393" s="24"/>
      <c r="AE2393" s="24"/>
      <c r="AF2393" s="24"/>
      <c r="AG2393" s="24"/>
      <c r="AH2393" s="24"/>
      <c r="AI2393" s="24"/>
      <c r="AJ2393" s="24"/>
      <c r="AK2393" s="24"/>
      <c r="AL2393" s="24"/>
      <c r="AM2393" s="24"/>
      <c r="AN2393" s="24"/>
      <c r="AO2393" s="24"/>
      <c r="AP2393" s="24"/>
      <c r="AQ2393" s="24"/>
      <c r="AR2393" s="54"/>
    </row>
    <row r="2394">
      <c r="A2394" s="57"/>
      <c r="B2394" s="24"/>
      <c r="C2394" s="24"/>
      <c r="D2394" s="24"/>
      <c r="E2394" s="24"/>
      <c r="F2394" s="24"/>
      <c r="G2394" s="24"/>
      <c r="H2394" s="24"/>
      <c r="I2394" s="24"/>
      <c r="J2394" s="24"/>
      <c r="K2394" s="24"/>
      <c r="L2394" s="24"/>
      <c r="M2394" s="24"/>
      <c r="N2394" s="24"/>
      <c r="O2394" s="24"/>
      <c r="P2394" s="24"/>
      <c r="Q2394" s="24"/>
      <c r="R2394" s="24"/>
      <c r="S2394" s="24"/>
      <c r="T2394" s="24"/>
      <c r="U2394" s="24"/>
      <c r="V2394" s="24"/>
      <c r="W2394" s="24"/>
      <c r="X2394" s="24"/>
      <c r="Y2394" s="24"/>
      <c r="Z2394" s="24"/>
      <c r="AA2394" s="24"/>
      <c r="AB2394" s="24"/>
      <c r="AC2394" s="24"/>
      <c r="AD2394" s="24"/>
      <c r="AE2394" s="24"/>
      <c r="AF2394" s="24"/>
      <c r="AG2394" s="24"/>
      <c r="AH2394" s="24"/>
      <c r="AI2394" s="24"/>
      <c r="AJ2394" s="24"/>
      <c r="AK2394" s="24"/>
      <c r="AL2394" s="24"/>
      <c r="AM2394" s="24"/>
      <c r="AN2394" s="24"/>
      <c r="AO2394" s="24"/>
      <c r="AP2394" s="24"/>
      <c r="AQ2394" s="24"/>
      <c r="AR2394" s="54"/>
    </row>
    <row r="2395">
      <c r="A2395" s="57"/>
      <c r="B2395" s="24"/>
      <c r="C2395" s="24"/>
      <c r="D2395" s="24"/>
      <c r="E2395" s="24"/>
      <c r="F2395" s="24"/>
      <c r="G2395" s="24"/>
      <c r="H2395" s="24"/>
      <c r="I2395" s="24"/>
      <c r="J2395" s="24"/>
      <c r="K2395" s="24"/>
      <c r="L2395" s="24"/>
      <c r="M2395" s="24"/>
      <c r="N2395" s="24"/>
      <c r="O2395" s="24"/>
      <c r="P2395" s="24"/>
      <c r="Q2395" s="24"/>
      <c r="R2395" s="24"/>
      <c r="S2395" s="24"/>
      <c r="T2395" s="24"/>
      <c r="U2395" s="24"/>
      <c r="V2395" s="24"/>
      <c r="W2395" s="24"/>
      <c r="X2395" s="24"/>
      <c r="Y2395" s="24"/>
      <c r="Z2395" s="24"/>
      <c r="AA2395" s="24"/>
      <c r="AB2395" s="24"/>
      <c r="AC2395" s="24"/>
      <c r="AD2395" s="24"/>
      <c r="AE2395" s="24"/>
      <c r="AF2395" s="24"/>
      <c r="AG2395" s="24"/>
      <c r="AH2395" s="24"/>
      <c r="AI2395" s="24"/>
      <c r="AJ2395" s="24"/>
      <c r="AK2395" s="24"/>
      <c r="AL2395" s="24"/>
      <c r="AM2395" s="24"/>
      <c r="AN2395" s="24"/>
      <c r="AO2395" s="24"/>
      <c r="AP2395" s="24"/>
      <c r="AQ2395" s="24"/>
      <c r="AR2395" s="54"/>
    </row>
    <row r="2396">
      <c r="A2396" s="57"/>
      <c r="B2396" s="24"/>
      <c r="C2396" s="24"/>
      <c r="D2396" s="24"/>
      <c r="E2396" s="24"/>
      <c r="F2396" s="24"/>
      <c r="G2396" s="24"/>
      <c r="H2396" s="24"/>
      <c r="I2396" s="24"/>
      <c r="J2396" s="24"/>
      <c r="K2396" s="24"/>
      <c r="L2396" s="24"/>
      <c r="M2396" s="24"/>
      <c r="N2396" s="24"/>
      <c r="O2396" s="24"/>
      <c r="P2396" s="24"/>
      <c r="Q2396" s="24"/>
      <c r="R2396" s="24"/>
      <c r="S2396" s="24"/>
      <c r="T2396" s="24"/>
      <c r="U2396" s="24"/>
      <c r="V2396" s="24"/>
      <c r="W2396" s="24"/>
      <c r="X2396" s="24"/>
      <c r="Y2396" s="24"/>
      <c r="Z2396" s="24"/>
      <c r="AA2396" s="24"/>
      <c r="AB2396" s="24"/>
      <c r="AC2396" s="24"/>
      <c r="AD2396" s="24"/>
      <c r="AE2396" s="24"/>
      <c r="AF2396" s="24"/>
      <c r="AG2396" s="24"/>
      <c r="AH2396" s="24"/>
      <c r="AI2396" s="24"/>
      <c r="AJ2396" s="24"/>
      <c r="AK2396" s="24"/>
      <c r="AL2396" s="24"/>
      <c r="AM2396" s="24"/>
      <c r="AN2396" s="24"/>
      <c r="AO2396" s="24"/>
      <c r="AP2396" s="24"/>
      <c r="AQ2396" s="24"/>
      <c r="AR2396" s="54"/>
    </row>
    <row r="2397">
      <c r="A2397" s="57"/>
      <c r="B2397" s="24"/>
      <c r="C2397" s="24"/>
      <c r="D2397" s="24"/>
      <c r="E2397" s="24"/>
      <c r="F2397" s="24"/>
      <c r="G2397" s="24"/>
      <c r="H2397" s="24"/>
      <c r="I2397" s="24"/>
      <c r="J2397" s="24"/>
      <c r="K2397" s="24"/>
      <c r="L2397" s="24"/>
      <c r="M2397" s="24"/>
      <c r="N2397" s="24"/>
      <c r="O2397" s="24"/>
      <c r="P2397" s="24"/>
      <c r="Q2397" s="24"/>
      <c r="R2397" s="24"/>
      <c r="S2397" s="24"/>
      <c r="T2397" s="24"/>
      <c r="U2397" s="24"/>
      <c r="V2397" s="24"/>
      <c r="W2397" s="24"/>
      <c r="X2397" s="24"/>
      <c r="Y2397" s="24"/>
      <c r="Z2397" s="24"/>
      <c r="AA2397" s="24"/>
      <c r="AB2397" s="24"/>
      <c r="AC2397" s="24"/>
      <c r="AD2397" s="24"/>
      <c r="AE2397" s="24"/>
      <c r="AF2397" s="24"/>
      <c r="AG2397" s="24"/>
      <c r="AH2397" s="24"/>
      <c r="AI2397" s="24"/>
      <c r="AJ2397" s="24"/>
      <c r="AK2397" s="24"/>
      <c r="AL2397" s="24"/>
      <c r="AM2397" s="24"/>
      <c r="AN2397" s="24"/>
      <c r="AO2397" s="24"/>
      <c r="AP2397" s="24"/>
      <c r="AQ2397" s="24"/>
      <c r="AR2397" s="54"/>
    </row>
    <row r="2398">
      <c r="A2398" s="57"/>
      <c r="B2398" s="24"/>
      <c r="C2398" s="24"/>
      <c r="D2398" s="24"/>
      <c r="E2398" s="24"/>
      <c r="F2398" s="24"/>
      <c r="G2398" s="24"/>
      <c r="H2398" s="24"/>
      <c r="I2398" s="24"/>
      <c r="J2398" s="24"/>
      <c r="K2398" s="24"/>
      <c r="L2398" s="24"/>
      <c r="M2398" s="24"/>
      <c r="N2398" s="24"/>
      <c r="O2398" s="24"/>
      <c r="P2398" s="24"/>
      <c r="Q2398" s="24"/>
      <c r="R2398" s="24"/>
      <c r="S2398" s="24"/>
      <c r="T2398" s="24"/>
      <c r="U2398" s="24"/>
      <c r="V2398" s="24"/>
      <c r="W2398" s="24"/>
      <c r="X2398" s="24"/>
      <c r="Y2398" s="24"/>
      <c r="Z2398" s="24"/>
      <c r="AA2398" s="24"/>
      <c r="AB2398" s="24"/>
      <c r="AC2398" s="24"/>
      <c r="AD2398" s="24"/>
      <c r="AE2398" s="24"/>
      <c r="AF2398" s="24"/>
      <c r="AG2398" s="24"/>
      <c r="AH2398" s="24"/>
      <c r="AI2398" s="24"/>
      <c r="AJ2398" s="24"/>
      <c r="AK2398" s="24"/>
      <c r="AL2398" s="24"/>
      <c r="AM2398" s="24"/>
      <c r="AN2398" s="24"/>
      <c r="AO2398" s="24"/>
      <c r="AP2398" s="24"/>
      <c r="AQ2398" s="24"/>
      <c r="AR2398" s="54"/>
    </row>
    <row r="2399">
      <c r="A2399" s="57"/>
      <c r="B2399" s="24"/>
      <c r="C2399" s="24"/>
      <c r="D2399" s="24"/>
      <c r="E2399" s="24"/>
      <c r="F2399" s="24"/>
      <c r="G2399" s="24"/>
      <c r="H2399" s="24"/>
      <c r="I2399" s="24"/>
      <c r="J2399" s="24"/>
      <c r="K2399" s="24"/>
      <c r="L2399" s="24"/>
      <c r="M2399" s="24"/>
      <c r="N2399" s="24"/>
      <c r="O2399" s="24"/>
      <c r="P2399" s="24"/>
      <c r="Q2399" s="24"/>
      <c r="R2399" s="24"/>
      <c r="S2399" s="24"/>
      <c r="T2399" s="24"/>
      <c r="U2399" s="24"/>
      <c r="V2399" s="24"/>
      <c r="W2399" s="24"/>
      <c r="X2399" s="24"/>
      <c r="Y2399" s="24"/>
      <c r="Z2399" s="24"/>
      <c r="AA2399" s="24"/>
      <c r="AB2399" s="24"/>
      <c r="AC2399" s="24"/>
      <c r="AD2399" s="24"/>
      <c r="AE2399" s="24"/>
      <c r="AF2399" s="24"/>
      <c r="AG2399" s="24"/>
      <c r="AH2399" s="24"/>
      <c r="AI2399" s="24"/>
      <c r="AJ2399" s="24"/>
      <c r="AK2399" s="24"/>
      <c r="AL2399" s="24"/>
      <c r="AM2399" s="24"/>
      <c r="AN2399" s="24"/>
      <c r="AO2399" s="24"/>
      <c r="AP2399" s="24"/>
      <c r="AQ2399" s="24"/>
      <c r="AR2399" s="54"/>
    </row>
    <row r="2400">
      <c r="A2400" s="57"/>
      <c r="B2400" s="24"/>
      <c r="C2400" s="24"/>
      <c r="D2400" s="24"/>
      <c r="E2400" s="24"/>
      <c r="F2400" s="24"/>
      <c r="G2400" s="24"/>
      <c r="H2400" s="24"/>
      <c r="I2400" s="24"/>
      <c r="J2400" s="24"/>
      <c r="K2400" s="24"/>
      <c r="L2400" s="24"/>
      <c r="M2400" s="24"/>
      <c r="N2400" s="24"/>
      <c r="O2400" s="24"/>
      <c r="P2400" s="24"/>
      <c r="Q2400" s="24"/>
      <c r="R2400" s="24"/>
      <c r="S2400" s="24"/>
      <c r="T2400" s="24"/>
      <c r="U2400" s="24"/>
      <c r="V2400" s="24"/>
      <c r="W2400" s="24"/>
      <c r="X2400" s="24"/>
      <c r="Y2400" s="24"/>
      <c r="Z2400" s="24"/>
      <c r="AA2400" s="24"/>
      <c r="AB2400" s="24"/>
      <c r="AC2400" s="24"/>
      <c r="AD2400" s="24"/>
      <c r="AE2400" s="24"/>
      <c r="AF2400" s="24"/>
      <c r="AG2400" s="24"/>
      <c r="AH2400" s="24"/>
      <c r="AI2400" s="24"/>
      <c r="AJ2400" s="24"/>
      <c r="AK2400" s="24"/>
      <c r="AL2400" s="24"/>
      <c r="AM2400" s="24"/>
      <c r="AN2400" s="24"/>
      <c r="AO2400" s="24"/>
      <c r="AP2400" s="24"/>
      <c r="AQ2400" s="24"/>
      <c r="AR2400" s="54"/>
    </row>
    <row r="2401">
      <c r="A2401" s="57"/>
      <c r="B2401" s="24"/>
      <c r="C2401" s="24"/>
      <c r="D2401" s="24"/>
      <c r="E2401" s="24"/>
      <c r="F2401" s="24"/>
      <c r="G2401" s="24"/>
      <c r="H2401" s="24"/>
      <c r="I2401" s="24"/>
      <c r="J2401" s="24"/>
      <c r="K2401" s="24"/>
      <c r="L2401" s="24"/>
      <c r="M2401" s="24"/>
      <c r="N2401" s="24"/>
      <c r="O2401" s="24"/>
      <c r="P2401" s="24"/>
      <c r="Q2401" s="24"/>
      <c r="R2401" s="24"/>
      <c r="S2401" s="24"/>
      <c r="T2401" s="24"/>
      <c r="U2401" s="24"/>
      <c r="V2401" s="24"/>
      <c r="W2401" s="24"/>
      <c r="X2401" s="24"/>
      <c r="Y2401" s="24"/>
      <c r="Z2401" s="24"/>
      <c r="AA2401" s="24"/>
      <c r="AB2401" s="24"/>
      <c r="AC2401" s="24"/>
      <c r="AD2401" s="24"/>
      <c r="AE2401" s="24"/>
      <c r="AF2401" s="24"/>
      <c r="AG2401" s="24"/>
      <c r="AH2401" s="24"/>
      <c r="AI2401" s="24"/>
      <c r="AJ2401" s="24"/>
      <c r="AK2401" s="24"/>
      <c r="AL2401" s="24"/>
      <c r="AM2401" s="24"/>
      <c r="AN2401" s="24"/>
      <c r="AO2401" s="24"/>
      <c r="AP2401" s="24"/>
      <c r="AQ2401" s="24"/>
      <c r="AR2401" s="54"/>
    </row>
    <row r="2402">
      <c r="A2402" s="57"/>
      <c r="B2402" s="24"/>
      <c r="C2402" s="24"/>
      <c r="D2402" s="24"/>
      <c r="E2402" s="24"/>
      <c r="F2402" s="24"/>
      <c r="G2402" s="24"/>
      <c r="H2402" s="24"/>
      <c r="I2402" s="24"/>
      <c r="J2402" s="24"/>
      <c r="K2402" s="24"/>
      <c r="L2402" s="24"/>
      <c r="M2402" s="24"/>
      <c r="N2402" s="24"/>
      <c r="O2402" s="24"/>
      <c r="P2402" s="24"/>
      <c r="Q2402" s="24"/>
      <c r="R2402" s="24"/>
      <c r="S2402" s="24"/>
      <c r="T2402" s="24"/>
      <c r="U2402" s="24"/>
      <c r="V2402" s="24"/>
      <c r="W2402" s="24"/>
      <c r="X2402" s="24"/>
      <c r="Y2402" s="24"/>
      <c r="Z2402" s="24"/>
      <c r="AA2402" s="24"/>
      <c r="AB2402" s="24"/>
      <c r="AC2402" s="24"/>
      <c r="AD2402" s="24"/>
      <c r="AE2402" s="24"/>
      <c r="AF2402" s="24"/>
      <c r="AG2402" s="24"/>
      <c r="AH2402" s="24"/>
      <c r="AI2402" s="24"/>
      <c r="AJ2402" s="24"/>
      <c r="AK2402" s="24"/>
      <c r="AL2402" s="24"/>
      <c r="AM2402" s="24"/>
      <c r="AN2402" s="24"/>
      <c r="AO2402" s="24"/>
      <c r="AP2402" s="24"/>
      <c r="AQ2402" s="24"/>
      <c r="AR2402" s="54"/>
    </row>
    <row r="2403">
      <c r="A2403" s="57"/>
      <c r="B2403" s="24"/>
      <c r="C2403" s="24"/>
      <c r="D2403" s="24"/>
      <c r="E2403" s="24"/>
      <c r="F2403" s="24"/>
      <c r="G2403" s="24"/>
      <c r="H2403" s="24"/>
      <c r="I2403" s="24"/>
      <c r="J2403" s="24"/>
      <c r="K2403" s="24"/>
      <c r="L2403" s="24"/>
      <c r="M2403" s="24"/>
      <c r="N2403" s="24"/>
      <c r="O2403" s="24"/>
      <c r="P2403" s="24"/>
      <c r="Q2403" s="24"/>
      <c r="R2403" s="24"/>
      <c r="S2403" s="24"/>
      <c r="T2403" s="24"/>
      <c r="U2403" s="24"/>
      <c r="V2403" s="24"/>
      <c r="W2403" s="24"/>
      <c r="X2403" s="24"/>
      <c r="Y2403" s="24"/>
      <c r="Z2403" s="24"/>
      <c r="AA2403" s="24"/>
      <c r="AB2403" s="24"/>
      <c r="AC2403" s="24"/>
      <c r="AD2403" s="24"/>
      <c r="AE2403" s="24"/>
      <c r="AF2403" s="24"/>
      <c r="AG2403" s="24"/>
      <c r="AH2403" s="24"/>
      <c r="AI2403" s="24"/>
      <c r="AJ2403" s="24"/>
      <c r="AK2403" s="24"/>
      <c r="AL2403" s="24"/>
      <c r="AM2403" s="24"/>
      <c r="AN2403" s="24"/>
      <c r="AO2403" s="24"/>
      <c r="AP2403" s="24"/>
      <c r="AQ2403" s="24"/>
      <c r="AR2403" s="54"/>
    </row>
    <row r="2404">
      <c r="A2404" s="57"/>
      <c r="B2404" s="24"/>
      <c r="C2404" s="24"/>
      <c r="D2404" s="24"/>
      <c r="E2404" s="24"/>
      <c r="F2404" s="24"/>
      <c r="G2404" s="24"/>
      <c r="H2404" s="24"/>
      <c r="I2404" s="24"/>
      <c r="J2404" s="24"/>
      <c r="K2404" s="24"/>
      <c r="L2404" s="24"/>
      <c r="M2404" s="24"/>
      <c r="N2404" s="24"/>
      <c r="O2404" s="24"/>
      <c r="P2404" s="24"/>
      <c r="Q2404" s="24"/>
      <c r="R2404" s="24"/>
      <c r="S2404" s="24"/>
      <c r="T2404" s="24"/>
      <c r="U2404" s="24"/>
      <c r="V2404" s="24"/>
      <c r="W2404" s="24"/>
      <c r="X2404" s="24"/>
      <c r="Y2404" s="24"/>
      <c r="Z2404" s="24"/>
      <c r="AA2404" s="24"/>
      <c r="AB2404" s="24"/>
      <c r="AC2404" s="24"/>
      <c r="AD2404" s="24"/>
      <c r="AE2404" s="24"/>
      <c r="AF2404" s="24"/>
      <c r="AG2404" s="24"/>
      <c r="AH2404" s="24"/>
      <c r="AI2404" s="24"/>
      <c r="AJ2404" s="24"/>
      <c r="AK2404" s="24"/>
      <c r="AL2404" s="24"/>
      <c r="AM2404" s="24"/>
      <c r="AN2404" s="24"/>
      <c r="AO2404" s="24"/>
      <c r="AP2404" s="24"/>
      <c r="AQ2404" s="24"/>
      <c r="AR2404" s="54"/>
    </row>
    <row r="2405">
      <c r="A2405" s="57"/>
      <c r="B2405" s="24"/>
      <c r="C2405" s="24"/>
      <c r="D2405" s="24"/>
      <c r="E2405" s="24"/>
      <c r="F2405" s="24"/>
      <c r="G2405" s="24"/>
      <c r="H2405" s="24"/>
      <c r="I2405" s="24"/>
      <c r="J2405" s="24"/>
      <c r="K2405" s="24"/>
      <c r="L2405" s="24"/>
      <c r="M2405" s="24"/>
      <c r="N2405" s="24"/>
      <c r="O2405" s="24"/>
      <c r="P2405" s="24"/>
      <c r="Q2405" s="24"/>
      <c r="R2405" s="24"/>
      <c r="S2405" s="24"/>
      <c r="T2405" s="24"/>
      <c r="U2405" s="24"/>
      <c r="V2405" s="24"/>
      <c r="W2405" s="24"/>
      <c r="X2405" s="24"/>
      <c r="Y2405" s="24"/>
      <c r="Z2405" s="24"/>
      <c r="AA2405" s="24"/>
      <c r="AB2405" s="24"/>
      <c r="AC2405" s="24"/>
      <c r="AD2405" s="24"/>
      <c r="AE2405" s="24"/>
      <c r="AF2405" s="24"/>
      <c r="AG2405" s="24"/>
      <c r="AH2405" s="24"/>
      <c r="AI2405" s="24"/>
      <c r="AJ2405" s="24"/>
      <c r="AK2405" s="24"/>
      <c r="AL2405" s="24"/>
      <c r="AM2405" s="24"/>
      <c r="AN2405" s="24"/>
      <c r="AO2405" s="24"/>
      <c r="AP2405" s="24"/>
      <c r="AQ2405" s="24"/>
      <c r="AR2405" s="54"/>
    </row>
    <row r="2406">
      <c r="A2406" s="57"/>
      <c r="B2406" s="24"/>
      <c r="C2406" s="24"/>
      <c r="D2406" s="24"/>
      <c r="E2406" s="24"/>
      <c r="F2406" s="24"/>
      <c r="G2406" s="24"/>
      <c r="H2406" s="24"/>
      <c r="I2406" s="24"/>
      <c r="J2406" s="24"/>
      <c r="K2406" s="24"/>
      <c r="L2406" s="24"/>
      <c r="M2406" s="24"/>
      <c r="N2406" s="24"/>
      <c r="O2406" s="24"/>
      <c r="P2406" s="24"/>
      <c r="Q2406" s="24"/>
      <c r="R2406" s="24"/>
      <c r="S2406" s="24"/>
      <c r="T2406" s="24"/>
      <c r="U2406" s="24"/>
      <c r="V2406" s="24"/>
      <c r="W2406" s="24"/>
      <c r="X2406" s="24"/>
      <c r="Y2406" s="24"/>
      <c r="Z2406" s="24"/>
      <c r="AA2406" s="24"/>
      <c r="AB2406" s="24"/>
      <c r="AC2406" s="24"/>
      <c r="AD2406" s="24"/>
      <c r="AE2406" s="24"/>
      <c r="AF2406" s="24"/>
      <c r="AG2406" s="24"/>
      <c r="AH2406" s="24"/>
      <c r="AI2406" s="24"/>
      <c r="AJ2406" s="24"/>
      <c r="AK2406" s="24"/>
      <c r="AL2406" s="24"/>
      <c r="AM2406" s="24"/>
      <c r="AN2406" s="24"/>
      <c r="AO2406" s="24"/>
      <c r="AP2406" s="24"/>
      <c r="AQ2406" s="24"/>
      <c r="AR2406" s="54"/>
    </row>
    <row r="2407">
      <c r="A2407" s="57"/>
      <c r="B2407" s="24"/>
      <c r="C2407" s="24"/>
      <c r="D2407" s="24"/>
      <c r="E2407" s="24"/>
      <c r="F2407" s="24"/>
      <c r="G2407" s="24"/>
      <c r="H2407" s="24"/>
      <c r="I2407" s="24"/>
      <c r="J2407" s="24"/>
      <c r="K2407" s="24"/>
      <c r="L2407" s="24"/>
      <c r="M2407" s="24"/>
      <c r="N2407" s="24"/>
      <c r="O2407" s="24"/>
      <c r="P2407" s="24"/>
      <c r="Q2407" s="24"/>
      <c r="R2407" s="24"/>
      <c r="S2407" s="24"/>
      <c r="T2407" s="24"/>
      <c r="U2407" s="24"/>
      <c r="V2407" s="24"/>
      <c r="W2407" s="24"/>
      <c r="X2407" s="24"/>
      <c r="Y2407" s="24"/>
      <c r="Z2407" s="24"/>
      <c r="AA2407" s="24"/>
      <c r="AB2407" s="24"/>
      <c r="AC2407" s="24"/>
      <c r="AD2407" s="24"/>
      <c r="AE2407" s="24"/>
      <c r="AF2407" s="24"/>
      <c r="AG2407" s="24"/>
      <c r="AH2407" s="24"/>
      <c r="AI2407" s="24"/>
      <c r="AJ2407" s="24"/>
      <c r="AK2407" s="24"/>
      <c r="AL2407" s="24"/>
      <c r="AM2407" s="24"/>
      <c r="AN2407" s="24"/>
      <c r="AO2407" s="24"/>
      <c r="AP2407" s="24"/>
      <c r="AQ2407" s="24"/>
      <c r="AR2407" s="54"/>
    </row>
    <row r="2408">
      <c r="A2408" s="57"/>
      <c r="B2408" s="24"/>
      <c r="C2408" s="24"/>
      <c r="D2408" s="24"/>
      <c r="E2408" s="24"/>
      <c r="F2408" s="24"/>
      <c r="G2408" s="24"/>
      <c r="H2408" s="24"/>
      <c r="I2408" s="24"/>
      <c r="J2408" s="24"/>
      <c r="K2408" s="24"/>
      <c r="L2408" s="24"/>
      <c r="M2408" s="24"/>
      <c r="N2408" s="24"/>
      <c r="O2408" s="24"/>
      <c r="P2408" s="24"/>
      <c r="Q2408" s="24"/>
      <c r="R2408" s="24"/>
      <c r="S2408" s="24"/>
      <c r="T2408" s="24"/>
      <c r="U2408" s="24"/>
      <c r="V2408" s="24"/>
      <c r="W2408" s="24"/>
      <c r="X2408" s="24"/>
      <c r="Y2408" s="24"/>
      <c r="Z2408" s="24"/>
      <c r="AA2408" s="24"/>
      <c r="AB2408" s="24"/>
      <c r="AC2408" s="24"/>
      <c r="AD2408" s="24"/>
      <c r="AE2408" s="24"/>
      <c r="AF2408" s="24"/>
      <c r="AG2408" s="24"/>
      <c r="AH2408" s="24"/>
      <c r="AI2408" s="24"/>
      <c r="AJ2408" s="24"/>
      <c r="AK2408" s="24"/>
      <c r="AL2408" s="24"/>
      <c r="AM2408" s="24"/>
      <c r="AN2408" s="24"/>
      <c r="AO2408" s="24"/>
      <c r="AP2408" s="24"/>
      <c r="AQ2408" s="24"/>
      <c r="AR2408" s="54"/>
    </row>
    <row r="2409">
      <c r="A2409" s="57"/>
      <c r="B2409" s="24"/>
      <c r="C2409" s="24"/>
      <c r="D2409" s="24"/>
      <c r="E2409" s="24"/>
      <c r="F2409" s="24"/>
      <c r="G2409" s="24"/>
      <c r="H2409" s="24"/>
      <c r="I2409" s="24"/>
      <c r="J2409" s="24"/>
      <c r="K2409" s="24"/>
      <c r="L2409" s="24"/>
      <c r="M2409" s="24"/>
      <c r="N2409" s="24"/>
      <c r="O2409" s="24"/>
      <c r="P2409" s="24"/>
      <c r="Q2409" s="24"/>
      <c r="R2409" s="24"/>
      <c r="S2409" s="24"/>
      <c r="T2409" s="24"/>
      <c r="U2409" s="24"/>
      <c r="V2409" s="24"/>
      <c r="W2409" s="24"/>
      <c r="X2409" s="24"/>
      <c r="Y2409" s="24"/>
      <c r="Z2409" s="24"/>
      <c r="AA2409" s="24"/>
      <c r="AB2409" s="24"/>
      <c r="AC2409" s="24"/>
      <c r="AD2409" s="24"/>
      <c r="AE2409" s="24"/>
      <c r="AF2409" s="24"/>
      <c r="AG2409" s="24"/>
      <c r="AH2409" s="24"/>
      <c r="AI2409" s="24"/>
      <c r="AJ2409" s="24"/>
      <c r="AK2409" s="24"/>
      <c r="AL2409" s="24"/>
      <c r="AM2409" s="24"/>
      <c r="AN2409" s="24"/>
      <c r="AO2409" s="24"/>
      <c r="AP2409" s="24"/>
      <c r="AQ2409" s="24"/>
      <c r="AR2409" s="54"/>
    </row>
    <row r="2410">
      <c r="A2410" s="57"/>
      <c r="B2410" s="24"/>
      <c r="C2410" s="24"/>
      <c r="D2410" s="24"/>
      <c r="E2410" s="24"/>
      <c r="F2410" s="24"/>
      <c r="G2410" s="24"/>
      <c r="H2410" s="24"/>
      <c r="I2410" s="24"/>
      <c r="J2410" s="24"/>
      <c r="K2410" s="24"/>
      <c r="L2410" s="24"/>
      <c r="M2410" s="24"/>
      <c r="N2410" s="24"/>
      <c r="O2410" s="24"/>
      <c r="P2410" s="24"/>
      <c r="Q2410" s="24"/>
      <c r="R2410" s="24"/>
      <c r="S2410" s="24"/>
      <c r="T2410" s="24"/>
      <c r="U2410" s="24"/>
      <c r="V2410" s="24"/>
      <c r="W2410" s="24"/>
      <c r="X2410" s="24"/>
      <c r="Y2410" s="24"/>
      <c r="Z2410" s="24"/>
      <c r="AA2410" s="24"/>
      <c r="AB2410" s="24"/>
      <c r="AC2410" s="24"/>
      <c r="AD2410" s="24"/>
      <c r="AE2410" s="24"/>
      <c r="AF2410" s="24"/>
      <c r="AG2410" s="24"/>
      <c r="AH2410" s="24"/>
      <c r="AI2410" s="24"/>
      <c r="AJ2410" s="24"/>
      <c r="AK2410" s="24"/>
      <c r="AL2410" s="24"/>
      <c r="AM2410" s="24"/>
      <c r="AN2410" s="24"/>
      <c r="AO2410" s="24"/>
      <c r="AP2410" s="24"/>
      <c r="AQ2410" s="24"/>
      <c r="AR2410" s="54"/>
    </row>
    <row r="2411">
      <c r="A2411" s="57"/>
      <c r="B2411" s="24"/>
      <c r="C2411" s="24"/>
      <c r="D2411" s="24"/>
      <c r="E2411" s="24"/>
      <c r="F2411" s="24"/>
      <c r="G2411" s="24"/>
      <c r="H2411" s="24"/>
      <c r="I2411" s="24"/>
      <c r="J2411" s="24"/>
      <c r="K2411" s="24"/>
      <c r="L2411" s="24"/>
      <c r="M2411" s="24"/>
      <c r="N2411" s="24"/>
      <c r="O2411" s="24"/>
      <c r="P2411" s="24"/>
      <c r="Q2411" s="24"/>
      <c r="R2411" s="24"/>
      <c r="S2411" s="24"/>
      <c r="T2411" s="24"/>
      <c r="U2411" s="24"/>
      <c r="V2411" s="24"/>
      <c r="W2411" s="24"/>
      <c r="X2411" s="24"/>
      <c r="Y2411" s="24"/>
      <c r="Z2411" s="24"/>
      <c r="AA2411" s="24"/>
      <c r="AB2411" s="24"/>
      <c r="AC2411" s="24"/>
      <c r="AD2411" s="24"/>
      <c r="AE2411" s="24"/>
      <c r="AF2411" s="24"/>
      <c r="AG2411" s="24"/>
      <c r="AH2411" s="24"/>
      <c r="AI2411" s="24"/>
      <c r="AJ2411" s="24"/>
      <c r="AK2411" s="24"/>
      <c r="AL2411" s="24"/>
      <c r="AM2411" s="24"/>
      <c r="AN2411" s="24"/>
      <c r="AO2411" s="24"/>
      <c r="AP2411" s="24"/>
      <c r="AQ2411" s="24"/>
      <c r="AR2411" s="54"/>
    </row>
    <row r="2412">
      <c r="A2412" s="57"/>
      <c r="B2412" s="24"/>
      <c r="C2412" s="24"/>
      <c r="D2412" s="24"/>
      <c r="E2412" s="24"/>
      <c r="F2412" s="24"/>
      <c r="G2412" s="24"/>
      <c r="H2412" s="24"/>
      <c r="I2412" s="24"/>
      <c r="J2412" s="24"/>
      <c r="K2412" s="24"/>
      <c r="L2412" s="24"/>
      <c r="M2412" s="24"/>
      <c r="N2412" s="24"/>
      <c r="O2412" s="24"/>
      <c r="P2412" s="24"/>
      <c r="Q2412" s="24"/>
      <c r="R2412" s="24"/>
      <c r="S2412" s="24"/>
      <c r="T2412" s="24"/>
      <c r="U2412" s="24"/>
      <c r="V2412" s="24"/>
      <c r="W2412" s="24"/>
      <c r="X2412" s="24"/>
      <c r="Y2412" s="24"/>
      <c r="Z2412" s="24"/>
      <c r="AA2412" s="24"/>
      <c r="AB2412" s="24"/>
      <c r="AC2412" s="24"/>
      <c r="AD2412" s="24"/>
      <c r="AE2412" s="24"/>
      <c r="AF2412" s="24"/>
      <c r="AG2412" s="24"/>
      <c r="AH2412" s="24"/>
      <c r="AI2412" s="24"/>
      <c r="AJ2412" s="24"/>
      <c r="AK2412" s="24"/>
      <c r="AL2412" s="24"/>
      <c r="AM2412" s="24"/>
      <c r="AN2412" s="24"/>
      <c r="AO2412" s="24"/>
      <c r="AP2412" s="24"/>
      <c r="AQ2412" s="24"/>
      <c r="AR2412" s="54"/>
    </row>
    <row r="2413">
      <c r="A2413" s="57"/>
      <c r="B2413" s="24"/>
      <c r="C2413" s="24"/>
      <c r="D2413" s="24"/>
      <c r="E2413" s="24"/>
      <c r="F2413" s="24"/>
      <c r="G2413" s="24"/>
      <c r="H2413" s="24"/>
      <c r="I2413" s="24"/>
      <c r="J2413" s="24"/>
      <c r="K2413" s="24"/>
      <c r="L2413" s="24"/>
      <c r="M2413" s="24"/>
      <c r="N2413" s="24"/>
      <c r="O2413" s="24"/>
      <c r="P2413" s="24"/>
      <c r="Q2413" s="24"/>
      <c r="R2413" s="24"/>
      <c r="S2413" s="24"/>
      <c r="T2413" s="24"/>
      <c r="U2413" s="24"/>
      <c r="V2413" s="24"/>
      <c r="W2413" s="24"/>
      <c r="X2413" s="24"/>
      <c r="Y2413" s="24"/>
      <c r="Z2413" s="24"/>
      <c r="AA2413" s="24"/>
      <c r="AB2413" s="24"/>
      <c r="AC2413" s="24"/>
      <c r="AD2413" s="24"/>
      <c r="AE2413" s="24"/>
      <c r="AF2413" s="24"/>
      <c r="AG2413" s="24"/>
      <c r="AH2413" s="24"/>
      <c r="AI2413" s="24"/>
      <c r="AJ2413" s="24"/>
      <c r="AK2413" s="24"/>
      <c r="AL2413" s="24"/>
      <c r="AM2413" s="24"/>
      <c r="AN2413" s="24"/>
      <c r="AO2413" s="24"/>
      <c r="AP2413" s="24"/>
      <c r="AQ2413" s="24"/>
      <c r="AR2413" s="54"/>
    </row>
    <row r="2414">
      <c r="A2414" s="57"/>
      <c r="B2414" s="24"/>
      <c r="C2414" s="24"/>
      <c r="D2414" s="24"/>
      <c r="E2414" s="24"/>
      <c r="F2414" s="24"/>
      <c r="G2414" s="24"/>
      <c r="H2414" s="24"/>
      <c r="I2414" s="24"/>
      <c r="J2414" s="24"/>
      <c r="K2414" s="24"/>
      <c r="L2414" s="24"/>
      <c r="M2414" s="24"/>
      <c r="N2414" s="24"/>
      <c r="O2414" s="24"/>
      <c r="P2414" s="24"/>
      <c r="Q2414" s="24"/>
      <c r="R2414" s="24"/>
      <c r="S2414" s="24"/>
      <c r="T2414" s="24"/>
      <c r="U2414" s="24"/>
      <c r="V2414" s="24"/>
      <c r="W2414" s="24"/>
      <c r="X2414" s="24"/>
      <c r="Y2414" s="24"/>
      <c r="Z2414" s="24"/>
      <c r="AA2414" s="24"/>
      <c r="AB2414" s="24"/>
      <c r="AC2414" s="24"/>
      <c r="AD2414" s="24"/>
      <c r="AE2414" s="24"/>
      <c r="AF2414" s="24"/>
      <c r="AG2414" s="24"/>
      <c r="AH2414" s="24"/>
      <c r="AI2414" s="24"/>
      <c r="AJ2414" s="24"/>
      <c r="AK2414" s="24"/>
      <c r="AL2414" s="24"/>
      <c r="AM2414" s="24"/>
      <c r="AN2414" s="24"/>
      <c r="AO2414" s="24"/>
      <c r="AP2414" s="24"/>
      <c r="AQ2414" s="24"/>
      <c r="AR2414" s="54"/>
    </row>
    <row r="2415">
      <c r="A2415" s="57"/>
      <c r="B2415" s="24"/>
      <c r="C2415" s="24"/>
      <c r="D2415" s="24"/>
      <c r="E2415" s="24"/>
      <c r="F2415" s="24"/>
      <c r="G2415" s="24"/>
      <c r="H2415" s="24"/>
      <c r="I2415" s="24"/>
      <c r="J2415" s="24"/>
      <c r="K2415" s="24"/>
      <c r="L2415" s="24"/>
      <c r="M2415" s="24"/>
      <c r="N2415" s="24"/>
      <c r="O2415" s="24"/>
      <c r="P2415" s="24"/>
      <c r="Q2415" s="24"/>
      <c r="R2415" s="24"/>
      <c r="S2415" s="24"/>
      <c r="T2415" s="24"/>
      <c r="U2415" s="24"/>
      <c r="V2415" s="24"/>
      <c r="W2415" s="24"/>
      <c r="X2415" s="24"/>
      <c r="Y2415" s="24"/>
      <c r="Z2415" s="24"/>
      <c r="AA2415" s="24"/>
      <c r="AB2415" s="24"/>
      <c r="AC2415" s="24"/>
      <c r="AD2415" s="24"/>
      <c r="AE2415" s="24"/>
      <c r="AF2415" s="24"/>
      <c r="AG2415" s="24"/>
      <c r="AH2415" s="24"/>
      <c r="AI2415" s="24"/>
      <c r="AJ2415" s="24"/>
      <c r="AK2415" s="24"/>
      <c r="AL2415" s="24"/>
      <c r="AM2415" s="24"/>
      <c r="AN2415" s="24"/>
      <c r="AO2415" s="24"/>
      <c r="AP2415" s="24"/>
      <c r="AQ2415" s="24"/>
      <c r="AR2415" s="54"/>
    </row>
    <row r="2416">
      <c r="A2416" s="57"/>
      <c r="B2416" s="24"/>
      <c r="C2416" s="24"/>
      <c r="D2416" s="24"/>
      <c r="E2416" s="24"/>
      <c r="F2416" s="24"/>
      <c r="G2416" s="24"/>
      <c r="H2416" s="24"/>
      <c r="I2416" s="24"/>
      <c r="J2416" s="24"/>
      <c r="K2416" s="24"/>
      <c r="L2416" s="24"/>
      <c r="M2416" s="24"/>
      <c r="N2416" s="24"/>
      <c r="O2416" s="24"/>
      <c r="P2416" s="24"/>
      <c r="Q2416" s="24"/>
      <c r="R2416" s="24"/>
      <c r="S2416" s="24"/>
      <c r="T2416" s="24"/>
      <c r="U2416" s="24"/>
      <c r="V2416" s="24"/>
      <c r="W2416" s="24"/>
      <c r="X2416" s="24"/>
      <c r="Y2416" s="24"/>
      <c r="Z2416" s="24"/>
      <c r="AA2416" s="24"/>
      <c r="AB2416" s="24"/>
      <c r="AC2416" s="24"/>
      <c r="AD2416" s="24"/>
      <c r="AE2416" s="24"/>
      <c r="AF2416" s="24"/>
      <c r="AG2416" s="24"/>
      <c r="AH2416" s="24"/>
      <c r="AI2416" s="24"/>
      <c r="AJ2416" s="24"/>
      <c r="AK2416" s="24"/>
      <c r="AL2416" s="24"/>
      <c r="AM2416" s="24"/>
      <c r="AN2416" s="24"/>
      <c r="AO2416" s="24"/>
      <c r="AP2416" s="24"/>
      <c r="AQ2416" s="24"/>
      <c r="AR2416" s="54"/>
    </row>
    <row r="2417">
      <c r="A2417" s="57"/>
      <c r="B2417" s="24"/>
      <c r="C2417" s="24"/>
      <c r="D2417" s="24"/>
      <c r="E2417" s="24"/>
      <c r="F2417" s="24"/>
      <c r="G2417" s="24"/>
      <c r="H2417" s="24"/>
      <c r="I2417" s="24"/>
      <c r="J2417" s="24"/>
      <c r="K2417" s="24"/>
      <c r="L2417" s="24"/>
      <c r="M2417" s="24"/>
      <c r="N2417" s="24"/>
      <c r="O2417" s="24"/>
      <c r="P2417" s="24"/>
      <c r="Q2417" s="24"/>
      <c r="R2417" s="24"/>
      <c r="S2417" s="24"/>
      <c r="T2417" s="24"/>
      <c r="U2417" s="24"/>
      <c r="V2417" s="24"/>
      <c r="W2417" s="24"/>
      <c r="X2417" s="24"/>
      <c r="Y2417" s="24"/>
      <c r="Z2417" s="24"/>
      <c r="AA2417" s="24"/>
      <c r="AB2417" s="24"/>
      <c r="AC2417" s="24"/>
      <c r="AD2417" s="24"/>
      <c r="AE2417" s="24"/>
      <c r="AF2417" s="24"/>
      <c r="AG2417" s="24"/>
      <c r="AH2417" s="24"/>
      <c r="AI2417" s="24"/>
      <c r="AJ2417" s="24"/>
      <c r="AK2417" s="24"/>
      <c r="AL2417" s="24"/>
      <c r="AM2417" s="24"/>
      <c r="AN2417" s="24"/>
      <c r="AO2417" s="24"/>
      <c r="AP2417" s="24"/>
      <c r="AQ2417" s="24"/>
      <c r="AR2417" s="54"/>
    </row>
    <row r="2418">
      <c r="A2418" s="57"/>
      <c r="B2418" s="24"/>
      <c r="C2418" s="24"/>
      <c r="D2418" s="24"/>
      <c r="E2418" s="24"/>
      <c r="F2418" s="24"/>
      <c r="G2418" s="24"/>
      <c r="H2418" s="24"/>
      <c r="I2418" s="24"/>
      <c r="J2418" s="24"/>
      <c r="K2418" s="24"/>
      <c r="L2418" s="24"/>
      <c r="M2418" s="24"/>
      <c r="N2418" s="24"/>
      <c r="O2418" s="24"/>
      <c r="P2418" s="24"/>
      <c r="Q2418" s="24"/>
      <c r="R2418" s="24"/>
      <c r="S2418" s="24"/>
      <c r="T2418" s="24"/>
      <c r="U2418" s="24"/>
      <c r="V2418" s="24"/>
      <c r="W2418" s="24"/>
      <c r="X2418" s="24"/>
      <c r="Y2418" s="24"/>
      <c r="Z2418" s="24"/>
      <c r="AA2418" s="24"/>
      <c r="AB2418" s="24"/>
      <c r="AC2418" s="24"/>
      <c r="AD2418" s="24"/>
      <c r="AE2418" s="24"/>
      <c r="AF2418" s="24"/>
      <c r="AG2418" s="24"/>
      <c r="AH2418" s="24"/>
      <c r="AI2418" s="24"/>
      <c r="AJ2418" s="24"/>
      <c r="AK2418" s="24"/>
      <c r="AL2418" s="24"/>
      <c r="AM2418" s="24"/>
      <c r="AN2418" s="24"/>
      <c r="AO2418" s="24"/>
      <c r="AP2418" s="24"/>
      <c r="AQ2418" s="24"/>
      <c r="AR2418" s="54"/>
    </row>
    <row r="2419">
      <c r="A2419" s="57"/>
      <c r="B2419" s="24"/>
      <c r="C2419" s="24"/>
      <c r="D2419" s="24"/>
      <c r="E2419" s="24"/>
      <c r="F2419" s="24"/>
      <c r="G2419" s="24"/>
      <c r="H2419" s="24"/>
      <c r="I2419" s="24"/>
      <c r="J2419" s="24"/>
      <c r="K2419" s="24"/>
      <c r="L2419" s="24"/>
      <c r="M2419" s="24"/>
      <c r="N2419" s="24"/>
      <c r="O2419" s="24"/>
      <c r="P2419" s="24"/>
      <c r="Q2419" s="24"/>
      <c r="R2419" s="24"/>
      <c r="S2419" s="24"/>
      <c r="T2419" s="24"/>
      <c r="U2419" s="24"/>
      <c r="V2419" s="24"/>
      <c r="W2419" s="24"/>
      <c r="X2419" s="24"/>
      <c r="Y2419" s="24"/>
      <c r="Z2419" s="24"/>
      <c r="AA2419" s="24"/>
      <c r="AB2419" s="24"/>
      <c r="AC2419" s="24"/>
      <c r="AD2419" s="24"/>
      <c r="AE2419" s="24"/>
      <c r="AF2419" s="24"/>
      <c r="AG2419" s="24"/>
      <c r="AH2419" s="24"/>
      <c r="AI2419" s="24"/>
      <c r="AJ2419" s="24"/>
      <c r="AK2419" s="24"/>
      <c r="AL2419" s="24"/>
      <c r="AM2419" s="24"/>
      <c r="AN2419" s="24"/>
      <c r="AO2419" s="24"/>
      <c r="AP2419" s="24"/>
      <c r="AQ2419" s="24"/>
      <c r="AR2419" s="54"/>
    </row>
    <row r="2420">
      <c r="A2420" s="57"/>
      <c r="B2420" s="24"/>
      <c r="C2420" s="24"/>
      <c r="D2420" s="24"/>
      <c r="E2420" s="24"/>
      <c r="F2420" s="24"/>
      <c r="G2420" s="24"/>
      <c r="H2420" s="24"/>
      <c r="I2420" s="24"/>
      <c r="J2420" s="24"/>
      <c r="K2420" s="24"/>
      <c r="L2420" s="24"/>
      <c r="M2420" s="24"/>
      <c r="N2420" s="24"/>
      <c r="O2420" s="24"/>
      <c r="P2420" s="24"/>
      <c r="Q2420" s="24"/>
      <c r="R2420" s="24"/>
      <c r="S2420" s="24"/>
      <c r="T2420" s="24"/>
      <c r="U2420" s="24"/>
      <c r="V2420" s="24"/>
      <c r="W2420" s="24"/>
      <c r="X2420" s="24"/>
      <c r="Y2420" s="24"/>
      <c r="Z2420" s="24"/>
      <c r="AA2420" s="24"/>
      <c r="AB2420" s="24"/>
      <c r="AC2420" s="24"/>
      <c r="AD2420" s="24"/>
      <c r="AE2420" s="24"/>
      <c r="AF2420" s="24"/>
      <c r="AG2420" s="24"/>
      <c r="AH2420" s="24"/>
      <c r="AI2420" s="24"/>
      <c r="AJ2420" s="24"/>
      <c r="AK2420" s="24"/>
      <c r="AL2420" s="24"/>
      <c r="AM2420" s="24"/>
      <c r="AN2420" s="24"/>
      <c r="AO2420" s="24"/>
      <c r="AP2420" s="24"/>
      <c r="AQ2420" s="24"/>
      <c r="AR2420" s="54"/>
    </row>
    <row r="2421">
      <c r="A2421" s="57"/>
      <c r="B2421" s="24"/>
      <c r="C2421" s="24"/>
      <c r="D2421" s="24"/>
      <c r="E2421" s="24"/>
      <c r="F2421" s="24"/>
      <c r="G2421" s="24"/>
      <c r="H2421" s="24"/>
      <c r="I2421" s="24"/>
      <c r="J2421" s="24"/>
      <c r="K2421" s="24"/>
      <c r="L2421" s="24"/>
      <c r="M2421" s="24"/>
      <c r="N2421" s="24"/>
      <c r="O2421" s="24"/>
      <c r="P2421" s="24"/>
      <c r="Q2421" s="24"/>
      <c r="R2421" s="24"/>
      <c r="S2421" s="24"/>
      <c r="T2421" s="24"/>
      <c r="U2421" s="24"/>
      <c r="V2421" s="24"/>
      <c r="W2421" s="24"/>
      <c r="X2421" s="24"/>
      <c r="Y2421" s="24"/>
      <c r="Z2421" s="24"/>
      <c r="AA2421" s="24"/>
      <c r="AB2421" s="24"/>
      <c r="AC2421" s="24"/>
      <c r="AD2421" s="24"/>
      <c r="AE2421" s="24"/>
      <c r="AF2421" s="24"/>
      <c r="AG2421" s="24"/>
      <c r="AH2421" s="24"/>
      <c r="AI2421" s="24"/>
      <c r="AJ2421" s="24"/>
      <c r="AK2421" s="24"/>
      <c r="AL2421" s="24"/>
      <c r="AM2421" s="24"/>
      <c r="AN2421" s="24"/>
      <c r="AO2421" s="24"/>
      <c r="AP2421" s="24"/>
      <c r="AQ2421" s="24"/>
      <c r="AR2421" s="54"/>
    </row>
    <row r="2422">
      <c r="A2422" s="57"/>
      <c r="B2422" s="24"/>
      <c r="C2422" s="24"/>
      <c r="D2422" s="24"/>
      <c r="E2422" s="24"/>
      <c r="F2422" s="24"/>
      <c r="G2422" s="24"/>
      <c r="H2422" s="24"/>
      <c r="I2422" s="24"/>
      <c r="J2422" s="24"/>
      <c r="K2422" s="24"/>
      <c r="L2422" s="24"/>
      <c r="M2422" s="24"/>
      <c r="N2422" s="24"/>
      <c r="O2422" s="24"/>
      <c r="P2422" s="24"/>
      <c r="Q2422" s="24"/>
      <c r="R2422" s="24"/>
      <c r="S2422" s="24"/>
      <c r="T2422" s="24"/>
      <c r="U2422" s="24"/>
      <c r="V2422" s="24"/>
      <c r="W2422" s="24"/>
      <c r="X2422" s="24"/>
      <c r="Y2422" s="24"/>
      <c r="Z2422" s="24"/>
      <c r="AA2422" s="24"/>
      <c r="AB2422" s="24"/>
      <c r="AC2422" s="24"/>
      <c r="AD2422" s="24"/>
      <c r="AE2422" s="24"/>
      <c r="AF2422" s="24"/>
      <c r="AG2422" s="24"/>
      <c r="AH2422" s="24"/>
      <c r="AI2422" s="24"/>
      <c r="AJ2422" s="24"/>
      <c r="AK2422" s="24"/>
      <c r="AL2422" s="24"/>
      <c r="AM2422" s="24"/>
      <c r="AN2422" s="24"/>
      <c r="AO2422" s="24"/>
      <c r="AP2422" s="24"/>
      <c r="AQ2422" s="24"/>
      <c r="AR2422" s="54"/>
    </row>
    <row r="2423">
      <c r="A2423" s="57"/>
      <c r="B2423" s="24"/>
      <c r="C2423" s="24"/>
      <c r="D2423" s="24"/>
      <c r="E2423" s="24"/>
      <c r="F2423" s="24"/>
      <c r="G2423" s="24"/>
      <c r="H2423" s="24"/>
      <c r="I2423" s="24"/>
      <c r="J2423" s="24"/>
      <c r="K2423" s="24"/>
      <c r="L2423" s="24"/>
      <c r="M2423" s="24"/>
      <c r="N2423" s="24"/>
      <c r="O2423" s="24"/>
      <c r="P2423" s="24"/>
      <c r="Q2423" s="24"/>
      <c r="R2423" s="24"/>
      <c r="S2423" s="24"/>
      <c r="T2423" s="24"/>
      <c r="U2423" s="24"/>
      <c r="V2423" s="24"/>
      <c r="W2423" s="24"/>
      <c r="X2423" s="24"/>
      <c r="Y2423" s="24"/>
      <c r="Z2423" s="24"/>
      <c r="AA2423" s="24"/>
      <c r="AB2423" s="24"/>
      <c r="AC2423" s="24"/>
      <c r="AD2423" s="24"/>
      <c r="AE2423" s="24"/>
      <c r="AF2423" s="24"/>
      <c r="AG2423" s="24"/>
      <c r="AH2423" s="24"/>
      <c r="AI2423" s="24"/>
      <c r="AJ2423" s="24"/>
      <c r="AK2423" s="24"/>
      <c r="AL2423" s="24"/>
      <c r="AM2423" s="24"/>
      <c r="AN2423" s="24"/>
      <c r="AO2423" s="24"/>
      <c r="AP2423" s="24"/>
      <c r="AQ2423" s="24"/>
      <c r="AR2423" s="54"/>
    </row>
    <row r="2424">
      <c r="A2424" s="57"/>
      <c r="B2424" s="24"/>
      <c r="C2424" s="24"/>
      <c r="D2424" s="24"/>
      <c r="E2424" s="24"/>
      <c r="F2424" s="24"/>
      <c r="G2424" s="24"/>
      <c r="H2424" s="24"/>
      <c r="I2424" s="24"/>
      <c r="J2424" s="24"/>
      <c r="K2424" s="24"/>
      <c r="L2424" s="24"/>
      <c r="M2424" s="24"/>
      <c r="N2424" s="24"/>
      <c r="O2424" s="24"/>
      <c r="P2424" s="24"/>
      <c r="Q2424" s="24"/>
      <c r="R2424" s="24"/>
      <c r="S2424" s="24"/>
      <c r="T2424" s="24"/>
      <c r="U2424" s="24"/>
      <c r="V2424" s="24"/>
      <c r="W2424" s="24"/>
      <c r="X2424" s="24"/>
      <c r="Y2424" s="24"/>
      <c r="Z2424" s="24"/>
      <c r="AA2424" s="24"/>
      <c r="AB2424" s="24"/>
      <c r="AC2424" s="24"/>
      <c r="AD2424" s="24"/>
      <c r="AE2424" s="24"/>
      <c r="AF2424" s="24"/>
      <c r="AG2424" s="24"/>
      <c r="AH2424" s="24"/>
      <c r="AI2424" s="24"/>
      <c r="AJ2424" s="24"/>
      <c r="AK2424" s="24"/>
      <c r="AL2424" s="24"/>
      <c r="AM2424" s="24"/>
      <c r="AN2424" s="24"/>
      <c r="AO2424" s="24"/>
      <c r="AP2424" s="24"/>
      <c r="AQ2424" s="24"/>
      <c r="AR2424" s="54"/>
    </row>
    <row r="2425">
      <c r="A2425" s="57"/>
      <c r="B2425" s="24"/>
      <c r="C2425" s="24"/>
      <c r="D2425" s="24"/>
      <c r="E2425" s="24"/>
      <c r="F2425" s="24"/>
      <c r="G2425" s="24"/>
      <c r="H2425" s="24"/>
      <c r="I2425" s="24"/>
      <c r="J2425" s="24"/>
      <c r="K2425" s="24"/>
      <c r="L2425" s="24"/>
      <c r="M2425" s="24"/>
      <c r="N2425" s="24"/>
      <c r="O2425" s="24"/>
      <c r="P2425" s="24"/>
      <c r="Q2425" s="24"/>
      <c r="R2425" s="24"/>
      <c r="S2425" s="24"/>
      <c r="T2425" s="24"/>
      <c r="U2425" s="24"/>
      <c r="V2425" s="24"/>
      <c r="W2425" s="24"/>
      <c r="X2425" s="24"/>
      <c r="Y2425" s="24"/>
      <c r="Z2425" s="24"/>
      <c r="AA2425" s="24"/>
      <c r="AB2425" s="24"/>
      <c r="AC2425" s="24"/>
      <c r="AD2425" s="24"/>
      <c r="AE2425" s="24"/>
      <c r="AF2425" s="24"/>
      <c r="AG2425" s="24"/>
      <c r="AH2425" s="24"/>
      <c r="AI2425" s="24"/>
      <c r="AJ2425" s="24"/>
      <c r="AK2425" s="24"/>
      <c r="AL2425" s="24"/>
      <c r="AM2425" s="24"/>
      <c r="AN2425" s="24"/>
      <c r="AO2425" s="24"/>
      <c r="AP2425" s="24"/>
      <c r="AQ2425" s="24"/>
      <c r="AR2425" s="54"/>
    </row>
    <row r="2426">
      <c r="A2426" s="57"/>
      <c r="B2426" s="24"/>
      <c r="C2426" s="24"/>
      <c r="D2426" s="24"/>
      <c r="E2426" s="24"/>
      <c r="F2426" s="24"/>
      <c r="G2426" s="24"/>
      <c r="H2426" s="24"/>
      <c r="I2426" s="24"/>
      <c r="J2426" s="24"/>
      <c r="K2426" s="24"/>
      <c r="L2426" s="24"/>
      <c r="M2426" s="24"/>
      <c r="N2426" s="24"/>
      <c r="O2426" s="24"/>
      <c r="P2426" s="24"/>
      <c r="Q2426" s="24"/>
      <c r="R2426" s="24"/>
      <c r="S2426" s="24"/>
      <c r="T2426" s="24"/>
      <c r="U2426" s="24"/>
      <c r="V2426" s="24"/>
      <c r="W2426" s="24"/>
      <c r="X2426" s="24"/>
      <c r="Y2426" s="24"/>
      <c r="Z2426" s="24"/>
      <c r="AA2426" s="24"/>
      <c r="AB2426" s="24"/>
      <c r="AC2426" s="24"/>
      <c r="AD2426" s="24"/>
      <c r="AE2426" s="24"/>
      <c r="AF2426" s="24"/>
      <c r="AG2426" s="24"/>
      <c r="AH2426" s="24"/>
      <c r="AI2426" s="24"/>
      <c r="AJ2426" s="24"/>
      <c r="AK2426" s="24"/>
      <c r="AL2426" s="24"/>
      <c r="AM2426" s="24"/>
      <c r="AN2426" s="24"/>
      <c r="AO2426" s="24"/>
      <c r="AP2426" s="24"/>
      <c r="AQ2426" s="24"/>
      <c r="AR2426" s="54"/>
    </row>
    <row r="2427">
      <c r="A2427" s="57"/>
      <c r="B2427" s="24"/>
      <c r="C2427" s="24"/>
      <c r="D2427" s="24"/>
      <c r="E2427" s="24"/>
      <c r="F2427" s="24"/>
      <c r="G2427" s="24"/>
      <c r="H2427" s="24"/>
      <c r="I2427" s="24"/>
      <c r="J2427" s="24"/>
      <c r="K2427" s="24"/>
      <c r="L2427" s="24"/>
      <c r="M2427" s="24"/>
      <c r="N2427" s="24"/>
      <c r="O2427" s="24"/>
      <c r="P2427" s="24"/>
      <c r="Q2427" s="24"/>
      <c r="R2427" s="24"/>
      <c r="S2427" s="24"/>
      <c r="T2427" s="24"/>
      <c r="U2427" s="24"/>
      <c r="V2427" s="24"/>
      <c r="W2427" s="24"/>
      <c r="X2427" s="24"/>
      <c r="Y2427" s="24"/>
      <c r="Z2427" s="24"/>
      <c r="AA2427" s="24"/>
      <c r="AB2427" s="24"/>
      <c r="AC2427" s="24"/>
      <c r="AD2427" s="24"/>
      <c r="AE2427" s="24"/>
      <c r="AF2427" s="24"/>
      <c r="AG2427" s="24"/>
      <c r="AH2427" s="24"/>
      <c r="AI2427" s="24"/>
      <c r="AJ2427" s="24"/>
      <c r="AK2427" s="24"/>
      <c r="AL2427" s="24"/>
      <c r="AM2427" s="24"/>
      <c r="AN2427" s="24"/>
      <c r="AO2427" s="24"/>
      <c r="AP2427" s="24"/>
      <c r="AQ2427" s="24"/>
      <c r="AR2427" s="54"/>
    </row>
    <row r="2428">
      <c r="A2428" s="57"/>
      <c r="B2428" s="24"/>
      <c r="C2428" s="24"/>
      <c r="D2428" s="24"/>
      <c r="E2428" s="24"/>
      <c r="F2428" s="24"/>
      <c r="G2428" s="24"/>
      <c r="H2428" s="24"/>
      <c r="I2428" s="24"/>
      <c r="J2428" s="24"/>
      <c r="K2428" s="24"/>
      <c r="L2428" s="24"/>
      <c r="M2428" s="24"/>
      <c r="N2428" s="24"/>
      <c r="O2428" s="24"/>
      <c r="P2428" s="24"/>
      <c r="Q2428" s="24"/>
      <c r="R2428" s="24"/>
      <c r="S2428" s="24"/>
      <c r="T2428" s="24"/>
      <c r="U2428" s="24"/>
      <c r="V2428" s="24"/>
      <c r="W2428" s="24"/>
      <c r="X2428" s="24"/>
      <c r="Y2428" s="24"/>
      <c r="Z2428" s="24"/>
      <c r="AA2428" s="24"/>
      <c r="AB2428" s="24"/>
      <c r="AC2428" s="24"/>
      <c r="AD2428" s="24"/>
      <c r="AE2428" s="24"/>
      <c r="AF2428" s="24"/>
      <c r="AG2428" s="24"/>
      <c r="AH2428" s="24"/>
      <c r="AI2428" s="24"/>
      <c r="AJ2428" s="24"/>
      <c r="AK2428" s="24"/>
      <c r="AL2428" s="24"/>
      <c r="AM2428" s="24"/>
      <c r="AN2428" s="24"/>
      <c r="AO2428" s="24"/>
      <c r="AP2428" s="24"/>
      <c r="AQ2428" s="24"/>
      <c r="AR2428" s="54"/>
    </row>
    <row r="2429">
      <c r="A2429" s="57"/>
      <c r="B2429" s="24"/>
      <c r="C2429" s="24"/>
      <c r="D2429" s="24"/>
      <c r="E2429" s="24"/>
      <c r="F2429" s="24"/>
      <c r="G2429" s="24"/>
      <c r="H2429" s="24"/>
      <c r="I2429" s="24"/>
      <c r="J2429" s="24"/>
      <c r="K2429" s="24"/>
      <c r="L2429" s="24"/>
      <c r="M2429" s="24"/>
      <c r="N2429" s="24"/>
      <c r="O2429" s="24"/>
      <c r="P2429" s="24"/>
      <c r="Q2429" s="24"/>
      <c r="R2429" s="24"/>
      <c r="S2429" s="24"/>
      <c r="T2429" s="24"/>
      <c r="U2429" s="24"/>
      <c r="V2429" s="24"/>
      <c r="W2429" s="24"/>
      <c r="X2429" s="24"/>
      <c r="Y2429" s="24"/>
      <c r="Z2429" s="24"/>
      <c r="AA2429" s="24"/>
      <c r="AB2429" s="24"/>
      <c r="AC2429" s="24"/>
      <c r="AD2429" s="24"/>
      <c r="AE2429" s="24"/>
      <c r="AF2429" s="24"/>
      <c r="AG2429" s="24"/>
      <c r="AH2429" s="24"/>
      <c r="AI2429" s="24"/>
      <c r="AJ2429" s="24"/>
      <c r="AK2429" s="24"/>
      <c r="AL2429" s="24"/>
      <c r="AM2429" s="24"/>
      <c r="AN2429" s="24"/>
      <c r="AO2429" s="24"/>
      <c r="AP2429" s="24"/>
      <c r="AQ2429" s="24"/>
      <c r="AR2429" s="54"/>
    </row>
    <row r="2430">
      <c r="A2430" s="57"/>
      <c r="B2430" s="24"/>
      <c r="C2430" s="24"/>
      <c r="D2430" s="24"/>
      <c r="E2430" s="24"/>
      <c r="F2430" s="24"/>
      <c r="G2430" s="24"/>
      <c r="H2430" s="24"/>
      <c r="I2430" s="24"/>
      <c r="J2430" s="24"/>
      <c r="K2430" s="24"/>
      <c r="L2430" s="24"/>
      <c r="M2430" s="24"/>
      <c r="N2430" s="24"/>
      <c r="O2430" s="24"/>
      <c r="P2430" s="24"/>
      <c r="Q2430" s="24"/>
      <c r="R2430" s="24"/>
      <c r="S2430" s="24"/>
      <c r="T2430" s="24"/>
      <c r="U2430" s="24"/>
      <c r="V2430" s="24"/>
      <c r="W2430" s="24"/>
      <c r="X2430" s="24"/>
      <c r="Y2430" s="24"/>
      <c r="Z2430" s="24"/>
      <c r="AA2430" s="24"/>
      <c r="AB2430" s="24"/>
      <c r="AC2430" s="24"/>
      <c r="AD2430" s="24"/>
      <c r="AE2430" s="24"/>
      <c r="AF2430" s="24"/>
      <c r="AG2430" s="24"/>
      <c r="AH2430" s="24"/>
      <c r="AI2430" s="24"/>
      <c r="AJ2430" s="24"/>
      <c r="AK2430" s="24"/>
      <c r="AL2430" s="24"/>
      <c r="AM2430" s="24"/>
      <c r="AN2430" s="24"/>
      <c r="AO2430" s="24"/>
      <c r="AP2430" s="24"/>
      <c r="AQ2430" s="24"/>
      <c r="AR2430" s="54"/>
    </row>
    <row r="2431">
      <c r="A2431" s="57"/>
      <c r="B2431" s="24"/>
      <c r="C2431" s="24"/>
      <c r="D2431" s="24"/>
      <c r="E2431" s="24"/>
      <c r="F2431" s="24"/>
      <c r="G2431" s="24"/>
      <c r="H2431" s="24"/>
      <c r="I2431" s="24"/>
      <c r="J2431" s="24"/>
      <c r="K2431" s="24"/>
      <c r="L2431" s="24"/>
      <c r="M2431" s="24"/>
      <c r="N2431" s="24"/>
      <c r="O2431" s="24"/>
      <c r="P2431" s="24"/>
      <c r="Q2431" s="24"/>
      <c r="R2431" s="24"/>
      <c r="S2431" s="24"/>
      <c r="T2431" s="24"/>
      <c r="U2431" s="24"/>
      <c r="V2431" s="24"/>
      <c r="W2431" s="24"/>
      <c r="X2431" s="24"/>
      <c r="Y2431" s="24"/>
      <c r="Z2431" s="24"/>
      <c r="AA2431" s="24"/>
      <c r="AB2431" s="24"/>
      <c r="AC2431" s="24"/>
      <c r="AD2431" s="24"/>
      <c r="AE2431" s="24"/>
      <c r="AF2431" s="24"/>
      <c r="AG2431" s="24"/>
      <c r="AH2431" s="24"/>
      <c r="AI2431" s="24"/>
      <c r="AJ2431" s="24"/>
      <c r="AK2431" s="24"/>
      <c r="AL2431" s="24"/>
      <c r="AM2431" s="24"/>
      <c r="AN2431" s="24"/>
      <c r="AO2431" s="24"/>
      <c r="AP2431" s="24"/>
      <c r="AQ2431" s="24"/>
      <c r="AR2431" s="54"/>
    </row>
    <row r="2432">
      <c r="A2432" s="57"/>
      <c r="B2432" s="24"/>
      <c r="C2432" s="24"/>
      <c r="D2432" s="24"/>
      <c r="E2432" s="24"/>
      <c r="F2432" s="24"/>
      <c r="G2432" s="24"/>
      <c r="H2432" s="24"/>
      <c r="I2432" s="24"/>
      <c r="J2432" s="24"/>
      <c r="K2432" s="24"/>
      <c r="L2432" s="24"/>
      <c r="M2432" s="24"/>
      <c r="N2432" s="24"/>
      <c r="O2432" s="24"/>
      <c r="P2432" s="24"/>
      <c r="Q2432" s="24"/>
      <c r="R2432" s="24"/>
      <c r="S2432" s="24"/>
      <c r="T2432" s="24"/>
      <c r="U2432" s="24"/>
      <c r="V2432" s="24"/>
      <c r="W2432" s="24"/>
      <c r="X2432" s="24"/>
      <c r="Y2432" s="24"/>
      <c r="Z2432" s="24"/>
      <c r="AA2432" s="24"/>
      <c r="AB2432" s="24"/>
      <c r="AC2432" s="24"/>
      <c r="AD2432" s="24"/>
      <c r="AE2432" s="24"/>
      <c r="AF2432" s="24"/>
      <c r="AG2432" s="24"/>
      <c r="AH2432" s="24"/>
      <c r="AI2432" s="24"/>
      <c r="AJ2432" s="24"/>
      <c r="AK2432" s="24"/>
      <c r="AL2432" s="24"/>
      <c r="AM2432" s="24"/>
      <c r="AN2432" s="24"/>
      <c r="AO2432" s="24"/>
      <c r="AP2432" s="24"/>
      <c r="AQ2432" s="24"/>
      <c r="AR2432" s="54"/>
    </row>
    <row r="2433">
      <c r="A2433" s="57"/>
      <c r="B2433" s="24"/>
      <c r="C2433" s="24"/>
      <c r="D2433" s="24"/>
      <c r="E2433" s="24"/>
      <c r="F2433" s="24"/>
      <c r="G2433" s="24"/>
      <c r="H2433" s="24"/>
      <c r="I2433" s="24"/>
      <c r="J2433" s="24"/>
      <c r="K2433" s="24"/>
      <c r="L2433" s="24"/>
      <c r="M2433" s="24"/>
      <c r="N2433" s="24"/>
      <c r="O2433" s="24"/>
      <c r="P2433" s="24"/>
      <c r="Q2433" s="24"/>
      <c r="R2433" s="24"/>
      <c r="S2433" s="24"/>
      <c r="T2433" s="24"/>
      <c r="U2433" s="24"/>
      <c r="V2433" s="24"/>
      <c r="W2433" s="24"/>
      <c r="X2433" s="24"/>
      <c r="Y2433" s="24"/>
      <c r="Z2433" s="24"/>
      <c r="AA2433" s="24"/>
      <c r="AB2433" s="24"/>
      <c r="AC2433" s="24"/>
      <c r="AD2433" s="24"/>
      <c r="AE2433" s="24"/>
      <c r="AF2433" s="24"/>
      <c r="AG2433" s="24"/>
      <c r="AH2433" s="24"/>
      <c r="AI2433" s="24"/>
      <c r="AJ2433" s="24"/>
      <c r="AK2433" s="24"/>
      <c r="AL2433" s="24"/>
      <c r="AM2433" s="24"/>
      <c r="AN2433" s="24"/>
      <c r="AO2433" s="24"/>
      <c r="AP2433" s="24"/>
      <c r="AQ2433" s="24"/>
      <c r="AR2433" s="54"/>
    </row>
    <row r="2434">
      <c r="A2434" s="57"/>
      <c r="B2434" s="24"/>
      <c r="C2434" s="24"/>
      <c r="D2434" s="24"/>
      <c r="E2434" s="24"/>
      <c r="F2434" s="24"/>
      <c r="G2434" s="24"/>
      <c r="H2434" s="24"/>
      <c r="I2434" s="24"/>
      <c r="J2434" s="24"/>
      <c r="K2434" s="24"/>
      <c r="L2434" s="24"/>
      <c r="M2434" s="24"/>
      <c r="N2434" s="24"/>
      <c r="O2434" s="24"/>
      <c r="P2434" s="24"/>
      <c r="Q2434" s="24"/>
      <c r="R2434" s="24"/>
      <c r="S2434" s="24"/>
      <c r="T2434" s="24"/>
      <c r="U2434" s="24"/>
      <c r="V2434" s="24"/>
      <c r="W2434" s="24"/>
      <c r="X2434" s="24"/>
      <c r="Y2434" s="24"/>
      <c r="Z2434" s="24"/>
      <c r="AA2434" s="24"/>
      <c r="AB2434" s="24"/>
      <c r="AC2434" s="24"/>
      <c r="AD2434" s="24"/>
      <c r="AE2434" s="24"/>
      <c r="AF2434" s="24"/>
      <c r="AG2434" s="24"/>
      <c r="AH2434" s="24"/>
      <c r="AI2434" s="24"/>
      <c r="AJ2434" s="24"/>
      <c r="AK2434" s="24"/>
      <c r="AL2434" s="24"/>
      <c r="AM2434" s="24"/>
      <c r="AN2434" s="24"/>
      <c r="AO2434" s="24"/>
      <c r="AP2434" s="24"/>
      <c r="AQ2434" s="24"/>
      <c r="AR2434" s="54"/>
    </row>
    <row r="2435">
      <c r="A2435" s="57"/>
      <c r="B2435" s="24"/>
      <c r="C2435" s="24"/>
      <c r="D2435" s="24"/>
      <c r="E2435" s="24"/>
      <c r="F2435" s="24"/>
      <c r="G2435" s="24"/>
      <c r="H2435" s="24"/>
      <c r="I2435" s="24"/>
      <c r="J2435" s="24"/>
      <c r="K2435" s="24"/>
      <c r="L2435" s="24"/>
      <c r="M2435" s="24"/>
      <c r="N2435" s="24"/>
      <c r="O2435" s="24"/>
      <c r="P2435" s="24"/>
      <c r="Q2435" s="24"/>
      <c r="R2435" s="24"/>
      <c r="S2435" s="24"/>
      <c r="T2435" s="24"/>
      <c r="U2435" s="24"/>
      <c r="V2435" s="24"/>
      <c r="W2435" s="24"/>
      <c r="X2435" s="24"/>
      <c r="Y2435" s="24"/>
      <c r="Z2435" s="24"/>
      <c r="AA2435" s="24"/>
      <c r="AB2435" s="24"/>
      <c r="AC2435" s="24"/>
      <c r="AD2435" s="24"/>
      <c r="AE2435" s="24"/>
      <c r="AF2435" s="24"/>
      <c r="AG2435" s="24"/>
      <c r="AH2435" s="24"/>
      <c r="AI2435" s="24"/>
      <c r="AJ2435" s="24"/>
      <c r="AK2435" s="24"/>
      <c r="AL2435" s="24"/>
      <c r="AM2435" s="24"/>
      <c r="AN2435" s="24"/>
      <c r="AO2435" s="24"/>
      <c r="AP2435" s="24"/>
      <c r="AQ2435" s="24"/>
      <c r="AR2435" s="54"/>
    </row>
    <row r="2436">
      <c r="A2436" s="57"/>
      <c r="B2436" s="24"/>
      <c r="C2436" s="24"/>
      <c r="D2436" s="24"/>
      <c r="E2436" s="24"/>
      <c r="F2436" s="24"/>
      <c r="G2436" s="24"/>
      <c r="H2436" s="24"/>
      <c r="I2436" s="24"/>
      <c r="J2436" s="24"/>
      <c r="K2436" s="24"/>
      <c r="L2436" s="24"/>
      <c r="M2436" s="24"/>
      <c r="N2436" s="24"/>
      <c r="O2436" s="24"/>
      <c r="P2436" s="24"/>
      <c r="Q2436" s="24"/>
      <c r="R2436" s="24"/>
      <c r="S2436" s="24"/>
      <c r="T2436" s="24"/>
      <c r="U2436" s="24"/>
      <c r="V2436" s="24"/>
      <c r="W2436" s="24"/>
      <c r="X2436" s="24"/>
      <c r="Y2436" s="24"/>
      <c r="Z2436" s="24"/>
      <c r="AA2436" s="24"/>
      <c r="AB2436" s="24"/>
      <c r="AC2436" s="24"/>
      <c r="AD2436" s="24"/>
      <c r="AE2436" s="24"/>
      <c r="AF2436" s="24"/>
      <c r="AG2436" s="24"/>
      <c r="AH2436" s="24"/>
      <c r="AI2436" s="24"/>
      <c r="AJ2436" s="24"/>
      <c r="AK2436" s="24"/>
      <c r="AL2436" s="24"/>
      <c r="AM2436" s="24"/>
      <c r="AN2436" s="24"/>
      <c r="AO2436" s="24"/>
      <c r="AP2436" s="24"/>
      <c r="AQ2436" s="24"/>
      <c r="AR2436" s="54"/>
    </row>
    <row r="2437">
      <c r="A2437" s="57"/>
      <c r="B2437" s="24"/>
      <c r="C2437" s="24"/>
      <c r="D2437" s="24"/>
      <c r="E2437" s="24"/>
      <c r="F2437" s="24"/>
      <c r="G2437" s="24"/>
      <c r="H2437" s="24"/>
      <c r="I2437" s="24"/>
      <c r="J2437" s="24"/>
      <c r="K2437" s="24"/>
      <c r="L2437" s="24"/>
      <c r="M2437" s="24"/>
      <c r="N2437" s="24"/>
      <c r="O2437" s="24"/>
      <c r="P2437" s="24"/>
      <c r="Q2437" s="24"/>
      <c r="R2437" s="24"/>
      <c r="S2437" s="24"/>
      <c r="T2437" s="24"/>
      <c r="U2437" s="24"/>
      <c r="V2437" s="24"/>
      <c r="W2437" s="24"/>
      <c r="X2437" s="24"/>
      <c r="Y2437" s="24"/>
      <c r="Z2437" s="24"/>
      <c r="AA2437" s="24"/>
      <c r="AB2437" s="24"/>
      <c r="AC2437" s="24"/>
      <c r="AD2437" s="24"/>
      <c r="AE2437" s="24"/>
      <c r="AF2437" s="24"/>
      <c r="AG2437" s="24"/>
      <c r="AH2437" s="24"/>
      <c r="AI2437" s="24"/>
      <c r="AJ2437" s="24"/>
      <c r="AK2437" s="24"/>
      <c r="AL2437" s="24"/>
      <c r="AM2437" s="24"/>
      <c r="AN2437" s="24"/>
      <c r="AO2437" s="24"/>
      <c r="AP2437" s="24"/>
      <c r="AQ2437" s="24"/>
      <c r="AR2437" s="54"/>
    </row>
    <row r="2438">
      <c r="A2438" s="57"/>
      <c r="B2438" s="24"/>
      <c r="C2438" s="24"/>
      <c r="D2438" s="24"/>
      <c r="E2438" s="24"/>
      <c r="F2438" s="24"/>
      <c r="G2438" s="24"/>
      <c r="H2438" s="24"/>
      <c r="I2438" s="24"/>
      <c r="J2438" s="24"/>
      <c r="K2438" s="24"/>
      <c r="L2438" s="24"/>
      <c r="M2438" s="24"/>
      <c r="N2438" s="24"/>
      <c r="O2438" s="24"/>
      <c r="P2438" s="24"/>
      <c r="Q2438" s="24"/>
      <c r="R2438" s="24"/>
      <c r="S2438" s="24"/>
      <c r="T2438" s="24"/>
      <c r="U2438" s="24"/>
      <c r="V2438" s="24"/>
      <c r="W2438" s="24"/>
      <c r="X2438" s="24"/>
      <c r="Y2438" s="24"/>
      <c r="Z2438" s="24"/>
      <c r="AA2438" s="24"/>
      <c r="AB2438" s="24"/>
      <c r="AC2438" s="24"/>
      <c r="AD2438" s="24"/>
      <c r="AE2438" s="24"/>
      <c r="AF2438" s="24"/>
      <c r="AG2438" s="24"/>
      <c r="AH2438" s="24"/>
      <c r="AI2438" s="24"/>
      <c r="AJ2438" s="24"/>
      <c r="AK2438" s="24"/>
      <c r="AL2438" s="24"/>
      <c r="AM2438" s="24"/>
      <c r="AN2438" s="24"/>
      <c r="AO2438" s="24"/>
      <c r="AP2438" s="24"/>
      <c r="AQ2438" s="24"/>
      <c r="AR2438" s="54"/>
    </row>
    <row r="2439">
      <c r="A2439" s="57"/>
      <c r="B2439" s="24"/>
      <c r="C2439" s="24"/>
      <c r="D2439" s="24"/>
      <c r="E2439" s="24"/>
      <c r="F2439" s="24"/>
      <c r="G2439" s="24"/>
      <c r="H2439" s="24"/>
      <c r="I2439" s="24"/>
      <c r="J2439" s="24"/>
      <c r="K2439" s="24"/>
      <c r="L2439" s="24"/>
      <c r="M2439" s="24"/>
      <c r="N2439" s="24"/>
      <c r="O2439" s="24"/>
      <c r="P2439" s="24"/>
      <c r="Q2439" s="24"/>
      <c r="R2439" s="24"/>
      <c r="S2439" s="24"/>
      <c r="T2439" s="24"/>
      <c r="U2439" s="24"/>
      <c r="V2439" s="24"/>
      <c r="W2439" s="24"/>
      <c r="X2439" s="24"/>
      <c r="Y2439" s="24"/>
      <c r="Z2439" s="24"/>
      <c r="AA2439" s="24"/>
      <c r="AB2439" s="24"/>
      <c r="AC2439" s="24"/>
      <c r="AD2439" s="24"/>
      <c r="AE2439" s="24"/>
      <c r="AF2439" s="24"/>
      <c r="AG2439" s="24"/>
      <c r="AH2439" s="24"/>
      <c r="AI2439" s="24"/>
      <c r="AJ2439" s="24"/>
      <c r="AK2439" s="24"/>
      <c r="AL2439" s="24"/>
      <c r="AM2439" s="24"/>
      <c r="AN2439" s="24"/>
      <c r="AO2439" s="24"/>
      <c r="AP2439" s="24"/>
      <c r="AQ2439" s="24"/>
      <c r="AR2439" s="54"/>
    </row>
    <row r="2440">
      <c r="A2440" s="57"/>
      <c r="B2440" s="24"/>
      <c r="C2440" s="24"/>
      <c r="D2440" s="24"/>
      <c r="E2440" s="24"/>
      <c r="F2440" s="24"/>
      <c r="G2440" s="24"/>
      <c r="H2440" s="24"/>
      <c r="I2440" s="24"/>
      <c r="J2440" s="24"/>
      <c r="K2440" s="24"/>
      <c r="L2440" s="24"/>
      <c r="M2440" s="24"/>
      <c r="N2440" s="24"/>
      <c r="O2440" s="24"/>
      <c r="P2440" s="24"/>
      <c r="Q2440" s="24"/>
      <c r="R2440" s="24"/>
      <c r="S2440" s="24"/>
      <c r="T2440" s="24"/>
      <c r="U2440" s="24"/>
      <c r="V2440" s="24"/>
      <c r="W2440" s="24"/>
      <c r="X2440" s="24"/>
      <c r="Y2440" s="24"/>
      <c r="Z2440" s="24"/>
      <c r="AA2440" s="24"/>
      <c r="AB2440" s="24"/>
      <c r="AC2440" s="24"/>
      <c r="AD2440" s="24"/>
      <c r="AE2440" s="24"/>
      <c r="AF2440" s="24"/>
      <c r="AG2440" s="24"/>
      <c r="AH2440" s="24"/>
      <c r="AI2440" s="24"/>
      <c r="AJ2440" s="24"/>
      <c r="AK2440" s="24"/>
      <c r="AL2440" s="24"/>
      <c r="AM2440" s="24"/>
      <c r="AN2440" s="24"/>
      <c r="AO2440" s="24"/>
      <c r="AP2440" s="24"/>
      <c r="AQ2440" s="24"/>
      <c r="AR2440" s="54"/>
    </row>
    <row r="2441">
      <c r="A2441" s="57"/>
      <c r="B2441" s="24"/>
      <c r="C2441" s="24"/>
      <c r="D2441" s="24"/>
      <c r="E2441" s="24"/>
      <c r="F2441" s="24"/>
      <c r="G2441" s="24"/>
      <c r="H2441" s="24"/>
      <c r="I2441" s="24"/>
      <c r="J2441" s="24"/>
      <c r="K2441" s="24"/>
      <c r="L2441" s="24"/>
      <c r="M2441" s="24"/>
      <c r="N2441" s="24"/>
      <c r="O2441" s="24"/>
      <c r="P2441" s="24"/>
      <c r="Q2441" s="24"/>
      <c r="R2441" s="24"/>
      <c r="S2441" s="24"/>
      <c r="T2441" s="24"/>
      <c r="U2441" s="24"/>
      <c r="V2441" s="24"/>
      <c r="W2441" s="24"/>
      <c r="X2441" s="24"/>
      <c r="Y2441" s="24"/>
      <c r="Z2441" s="24"/>
      <c r="AA2441" s="24"/>
      <c r="AB2441" s="24"/>
      <c r="AC2441" s="24"/>
      <c r="AD2441" s="24"/>
      <c r="AE2441" s="24"/>
      <c r="AF2441" s="24"/>
      <c r="AG2441" s="24"/>
      <c r="AH2441" s="24"/>
      <c r="AI2441" s="24"/>
      <c r="AJ2441" s="24"/>
      <c r="AK2441" s="24"/>
      <c r="AL2441" s="24"/>
      <c r="AM2441" s="24"/>
      <c r="AN2441" s="24"/>
      <c r="AO2441" s="24"/>
      <c r="AP2441" s="24"/>
      <c r="AQ2441" s="24"/>
      <c r="AR2441" s="54"/>
    </row>
    <row r="2442">
      <c r="A2442" s="57"/>
      <c r="B2442" s="24"/>
      <c r="C2442" s="24"/>
      <c r="D2442" s="24"/>
      <c r="E2442" s="24"/>
      <c r="F2442" s="24"/>
      <c r="G2442" s="24"/>
      <c r="H2442" s="24"/>
      <c r="I2442" s="24"/>
      <c r="J2442" s="24"/>
      <c r="K2442" s="24"/>
      <c r="L2442" s="24"/>
      <c r="M2442" s="24"/>
      <c r="N2442" s="24"/>
      <c r="O2442" s="24"/>
      <c r="P2442" s="24"/>
      <c r="Q2442" s="24"/>
      <c r="R2442" s="24"/>
      <c r="S2442" s="24"/>
      <c r="T2442" s="24"/>
      <c r="U2442" s="24"/>
      <c r="V2442" s="24"/>
      <c r="W2442" s="24"/>
      <c r="X2442" s="24"/>
      <c r="Y2442" s="24"/>
      <c r="Z2442" s="24"/>
      <c r="AA2442" s="24"/>
      <c r="AB2442" s="24"/>
      <c r="AC2442" s="24"/>
      <c r="AD2442" s="24"/>
      <c r="AE2442" s="24"/>
      <c r="AF2442" s="24"/>
      <c r="AG2442" s="24"/>
      <c r="AH2442" s="24"/>
      <c r="AI2442" s="24"/>
      <c r="AJ2442" s="24"/>
      <c r="AK2442" s="24"/>
      <c r="AL2442" s="24"/>
      <c r="AM2442" s="24"/>
      <c r="AN2442" s="24"/>
      <c r="AO2442" s="24"/>
      <c r="AP2442" s="24"/>
      <c r="AQ2442" s="24"/>
      <c r="AR2442" s="54"/>
    </row>
    <row r="2443">
      <c r="A2443" s="57"/>
      <c r="B2443" s="24"/>
      <c r="C2443" s="24"/>
      <c r="D2443" s="24"/>
      <c r="E2443" s="24"/>
      <c r="F2443" s="24"/>
      <c r="G2443" s="24"/>
      <c r="H2443" s="24"/>
      <c r="I2443" s="24"/>
      <c r="J2443" s="24"/>
      <c r="K2443" s="24"/>
      <c r="L2443" s="24"/>
      <c r="M2443" s="24"/>
      <c r="N2443" s="24"/>
      <c r="O2443" s="24"/>
      <c r="P2443" s="24"/>
      <c r="Q2443" s="24"/>
      <c r="R2443" s="24"/>
      <c r="S2443" s="24"/>
      <c r="T2443" s="24"/>
      <c r="U2443" s="24"/>
      <c r="V2443" s="24"/>
      <c r="W2443" s="24"/>
      <c r="X2443" s="24"/>
      <c r="Y2443" s="24"/>
      <c r="Z2443" s="24"/>
      <c r="AA2443" s="24"/>
      <c r="AB2443" s="24"/>
      <c r="AC2443" s="24"/>
      <c r="AD2443" s="24"/>
      <c r="AE2443" s="24"/>
      <c r="AF2443" s="24"/>
      <c r="AG2443" s="24"/>
      <c r="AH2443" s="24"/>
      <c r="AI2443" s="24"/>
      <c r="AJ2443" s="24"/>
      <c r="AK2443" s="24"/>
      <c r="AL2443" s="24"/>
      <c r="AM2443" s="24"/>
      <c r="AN2443" s="24"/>
      <c r="AO2443" s="24"/>
      <c r="AP2443" s="24"/>
      <c r="AQ2443" s="24"/>
      <c r="AR2443" s="54"/>
    </row>
    <row r="2444">
      <c r="A2444" s="57"/>
      <c r="B2444" s="24"/>
      <c r="C2444" s="24"/>
      <c r="D2444" s="24"/>
      <c r="E2444" s="24"/>
      <c r="F2444" s="24"/>
      <c r="G2444" s="24"/>
      <c r="H2444" s="24"/>
      <c r="I2444" s="24"/>
      <c r="J2444" s="24"/>
      <c r="K2444" s="24"/>
      <c r="L2444" s="24"/>
      <c r="M2444" s="24"/>
      <c r="N2444" s="24"/>
      <c r="O2444" s="24"/>
      <c r="P2444" s="24"/>
      <c r="Q2444" s="24"/>
      <c r="R2444" s="24"/>
      <c r="S2444" s="24"/>
      <c r="T2444" s="24"/>
      <c r="U2444" s="24"/>
      <c r="V2444" s="24"/>
      <c r="W2444" s="24"/>
      <c r="X2444" s="24"/>
      <c r="Y2444" s="24"/>
      <c r="Z2444" s="24"/>
      <c r="AA2444" s="24"/>
      <c r="AB2444" s="24"/>
      <c r="AC2444" s="24"/>
      <c r="AD2444" s="24"/>
      <c r="AE2444" s="24"/>
      <c r="AF2444" s="24"/>
      <c r="AG2444" s="24"/>
      <c r="AH2444" s="24"/>
      <c r="AI2444" s="24"/>
      <c r="AJ2444" s="24"/>
      <c r="AK2444" s="24"/>
      <c r="AL2444" s="24"/>
      <c r="AM2444" s="24"/>
      <c r="AN2444" s="24"/>
      <c r="AO2444" s="24"/>
      <c r="AP2444" s="24"/>
      <c r="AQ2444" s="24"/>
      <c r="AR2444" s="54"/>
    </row>
    <row r="2445">
      <c r="A2445" s="57"/>
      <c r="B2445" s="24"/>
      <c r="C2445" s="24"/>
      <c r="D2445" s="24"/>
      <c r="E2445" s="24"/>
      <c r="F2445" s="24"/>
      <c r="G2445" s="24"/>
      <c r="H2445" s="24"/>
      <c r="I2445" s="24"/>
      <c r="J2445" s="24"/>
      <c r="K2445" s="24"/>
      <c r="L2445" s="24"/>
      <c r="M2445" s="24"/>
      <c r="N2445" s="24"/>
      <c r="O2445" s="24"/>
      <c r="P2445" s="24"/>
      <c r="Q2445" s="24"/>
      <c r="R2445" s="24"/>
      <c r="S2445" s="24"/>
      <c r="T2445" s="24"/>
      <c r="U2445" s="24"/>
      <c r="V2445" s="24"/>
      <c r="W2445" s="24"/>
      <c r="X2445" s="24"/>
      <c r="Y2445" s="24"/>
      <c r="Z2445" s="24"/>
      <c r="AA2445" s="24"/>
      <c r="AB2445" s="24"/>
      <c r="AC2445" s="24"/>
      <c r="AD2445" s="24"/>
      <c r="AE2445" s="24"/>
      <c r="AF2445" s="24"/>
      <c r="AG2445" s="24"/>
      <c r="AH2445" s="24"/>
      <c r="AI2445" s="24"/>
      <c r="AJ2445" s="24"/>
      <c r="AK2445" s="24"/>
      <c r="AL2445" s="24"/>
      <c r="AM2445" s="24"/>
      <c r="AN2445" s="24"/>
      <c r="AO2445" s="24"/>
      <c r="AP2445" s="24"/>
      <c r="AQ2445" s="24"/>
      <c r="AR2445" s="54"/>
    </row>
    <row r="2446">
      <c r="A2446" s="57"/>
      <c r="B2446" s="24"/>
      <c r="C2446" s="24"/>
      <c r="D2446" s="24"/>
      <c r="E2446" s="24"/>
      <c r="F2446" s="24"/>
      <c r="G2446" s="24"/>
      <c r="H2446" s="24"/>
      <c r="I2446" s="24"/>
      <c r="J2446" s="24"/>
      <c r="K2446" s="24"/>
      <c r="L2446" s="24"/>
      <c r="M2446" s="24"/>
      <c r="N2446" s="24"/>
      <c r="O2446" s="24"/>
      <c r="P2446" s="24"/>
      <c r="Q2446" s="24"/>
      <c r="R2446" s="24"/>
      <c r="S2446" s="24"/>
      <c r="T2446" s="24"/>
      <c r="U2446" s="24"/>
      <c r="V2446" s="24"/>
      <c r="W2446" s="24"/>
      <c r="X2446" s="24"/>
      <c r="Y2446" s="24"/>
      <c r="Z2446" s="24"/>
      <c r="AA2446" s="24"/>
      <c r="AB2446" s="24"/>
      <c r="AC2446" s="24"/>
      <c r="AD2446" s="24"/>
      <c r="AE2446" s="24"/>
      <c r="AF2446" s="24"/>
      <c r="AG2446" s="24"/>
      <c r="AH2446" s="24"/>
      <c r="AI2446" s="24"/>
      <c r="AJ2446" s="24"/>
      <c r="AK2446" s="24"/>
      <c r="AL2446" s="24"/>
      <c r="AM2446" s="24"/>
      <c r="AN2446" s="24"/>
      <c r="AO2446" s="24"/>
      <c r="AP2446" s="24"/>
      <c r="AQ2446" s="24"/>
      <c r="AR2446" s="54"/>
    </row>
    <row r="2447">
      <c r="A2447" s="57"/>
      <c r="B2447" s="24"/>
      <c r="C2447" s="24"/>
      <c r="D2447" s="24"/>
      <c r="E2447" s="24"/>
      <c r="F2447" s="24"/>
      <c r="G2447" s="24"/>
      <c r="H2447" s="24"/>
      <c r="I2447" s="24"/>
      <c r="J2447" s="24"/>
      <c r="K2447" s="24"/>
      <c r="L2447" s="24"/>
      <c r="M2447" s="24"/>
      <c r="N2447" s="24"/>
      <c r="O2447" s="24"/>
      <c r="P2447" s="24"/>
      <c r="Q2447" s="24"/>
      <c r="R2447" s="24"/>
      <c r="S2447" s="24"/>
      <c r="T2447" s="24"/>
      <c r="U2447" s="24"/>
      <c r="V2447" s="24"/>
      <c r="W2447" s="24"/>
      <c r="X2447" s="24"/>
      <c r="Y2447" s="24"/>
      <c r="Z2447" s="24"/>
      <c r="AA2447" s="24"/>
      <c r="AB2447" s="24"/>
      <c r="AC2447" s="24"/>
      <c r="AD2447" s="24"/>
      <c r="AE2447" s="24"/>
      <c r="AF2447" s="24"/>
      <c r="AG2447" s="24"/>
      <c r="AH2447" s="24"/>
      <c r="AI2447" s="24"/>
      <c r="AJ2447" s="24"/>
      <c r="AK2447" s="24"/>
      <c r="AL2447" s="24"/>
      <c r="AM2447" s="24"/>
      <c r="AN2447" s="24"/>
      <c r="AO2447" s="24"/>
      <c r="AP2447" s="24"/>
      <c r="AQ2447" s="24"/>
      <c r="AR2447" s="54"/>
    </row>
    <row r="2448">
      <c r="A2448" s="57"/>
      <c r="B2448" s="24"/>
      <c r="C2448" s="24"/>
      <c r="D2448" s="24"/>
      <c r="E2448" s="24"/>
      <c r="F2448" s="24"/>
      <c r="G2448" s="24"/>
      <c r="H2448" s="24"/>
      <c r="I2448" s="24"/>
      <c r="J2448" s="24"/>
      <c r="K2448" s="24"/>
      <c r="L2448" s="24"/>
      <c r="M2448" s="24"/>
      <c r="N2448" s="24"/>
      <c r="O2448" s="24"/>
      <c r="P2448" s="24"/>
      <c r="Q2448" s="24"/>
      <c r="R2448" s="24"/>
      <c r="S2448" s="24"/>
      <c r="T2448" s="24"/>
      <c r="U2448" s="24"/>
      <c r="V2448" s="24"/>
      <c r="W2448" s="24"/>
      <c r="X2448" s="24"/>
      <c r="Y2448" s="24"/>
      <c r="Z2448" s="24"/>
      <c r="AA2448" s="24"/>
      <c r="AB2448" s="24"/>
      <c r="AC2448" s="24"/>
      <c r="AD2448" s="24"/>
      <c r="AE2448" s="24"/>
      <c r="AF2448" s="24"/>
      <c r="AG2448" s="24"/>
      <c r="AH2448" s="24"/>
      <c r="AI2448" s="24"/>
      <c r="AJ2448" s="24"/>
      <c r="AK2448" s="24"/>
      <c r="AL2448" s="24"/>
      <c r="AM2448" s="24"/>
      <c r="AN2448" s="24"/>
      <c r="AO2448" s="24"/>
      <c r="AP2448" s="24"/>
      <c r="AQ2448" s="24"/>
      <c r="AR2448" s="54"/>
    </row>
    <row r="2449">
      <c r="A2449" s="57"/>
      <c r="B2449" s="24"/>
      <c r="C2449" s="24"/>
      <c r="D2449" s="24"/>
      <c r="E2449" s="24"/>
      <c r="F2449" s="24"/>
      <c r="G2449" s="24"/>
      <c r="H2449" s="24"/>
      <c r="I2449" s="24"/>
      <c r="J2449" s="24"/>
      <c r="K2449" s="24"/>
      <c r="L2449" s="24"/>
      <c r="M2449" s="24"/>
      <c r="N2449" s="24"/>
      <c r="O2449" s="24"/>
      <c r="P2449" s="24"/>
      <c r="Q2449" s="24"/>
      <c r="R2449" s="24"/>
      <c r="S2449" s="24"/>
      <c r="T2449" s="24"/>
      <c r="U2449" s="24"/>
      <c r="V2449" s="24"/>
      <c r="W2449" s="24"/>
      <c r="X2449" s="24"/>
      <c r="Y2449" s="24"/>
      <c r="Z2449" s="24"/>
      <c r="AA2449" s="24"/>
      <c r="AB2449" s="24"/>
      <c r="AC2449" s="24"/>
      <c r="AD2449" s="24"/>
      <c r="AE2449" s="24"/>
      <c r="AF2449" s="24"/>
      <c r="AG2449" s="24"/>
      <c r="AH2449" s="24"/>
      <c r="AI2449" s="24"/>
      <c r="AJ2449" s="24"/>
      <c r="AK2449" s="24"/>
      <c r="AL2449" s="24"/>
      <c r="AM2449" s="24"/>
      <c r="AN2449" s="24"/>
      <c r="AO2449" s="24"/>
      <c r="AP2449" s="24"/>
      <c r="AQ2449" s="24"/>
      <c r="AR2449" s="54"/>
    </row>
    <row r="2450">
      <c r="A2450" s="57"/>
      <c r="B2450" s="24"/>
      <c r="C2450" s="24"/>
      <c r="D2450" s="24"/>
      <c r="E2450" s="24"/>
      <c r="F2450" s="24"/>
      <c r="G2450" s="24"/>
      <c r="H2450" s="24"/>
      <c r="I2450" s="24"/>
      <c r="J2450" s="24"/>
      <c r="K2450" s="24"/>
      <c r="L2450" s="24"/>
      <c r="M2450" s="24"/>
      <c r="N2450" s="24"/>
      <c r="O2450" s="24"/>
      <c r="P2450" s="24"/>
      <c r="Q2450" s="24"/>
      <c r="R2450" s="24"/>
      <c r="S2450" s="24"/>
      <c r="T2450" s="24"/>
      <c r="U2450" s="24"/>
      <c r="V2450" s="24"/>
      <c r="W2450" s="24"/>
      <c r="X2450" s="24"/>
      <c r="Y2450" s="24"/>
      <c r="Z2450" s="24"/>
      <c r="AA2450" s="24"/>
      <c r="AB2450" s="24"/>
      <c r="AC2450" s="24"/>
      <c r="AD2450" s="24"/>
      <c r="AE2450" s="24"/>
      <c r="AF2450" s="24"/>
      <c r="AG2450" s="24"/>
      <c r="AH2450" s="24"/>
      <c r="AI2450" s="24"/>
      <c r="AJ2450" s="24"/>
      <c r="AK2450" s="24"/>
      <c r="AL2450" s="24"/>
      <c r="AM2450" s="24"/>
      <c r="AN2450" s="24"/>
      <c r="AO2450" s="24"/>
      <c r="AP2450" s="24"/>
      <c r="AQ2450" s="24"/>
      <c r="AR2450" s="54"/>
    </row>
    <row r="2451">
      <c r="A2451" s="57"/>
      <c r="B2451" s="24"/>
      <c r="C2451" s="24"/>
      <c r="D2451" s="24"/>
      <c r="E2451" s="24"/>
      <c r="F2451" s="24"/>
      <c r="G2451" s="24"/>
      <c r="H2451" s="24"/>
      <c r="I2451" s="24"/>
      <c r="J2451" s="24"/>
      <c r="K2451" s="24"/>
      <c r="L2451" s="24"/>
      <c r="M2451" s="24"/>
      <c r="N2451" s="24"/>
      <c r="O2451" s="24"/>
      <c r="P2451" s="24"/>
      <c r="Q2451" s="24"/>
      <c r="R2451" s="24"/>
      <c r="S2451" s="24"/>
      <c r="T2451" s="24"/>
      <c r="U2451" s="24"/>
      <c r="V2451" s="24"/>
      <c r="W2451" s="24"/>
      <c r="X2451" s="24"/>
      <c r="Y2451" s="24"/>
      <c r="Z2451" s="24"/>
      <c r="AA2451" s="24"/>
      <c r="AB2451" s="24"/>
      <c r="AC2451" s="24"/>
      <c r="AD2451" s="24"/>
      <c r="AE2451" s="24"/>
      <c r="AF2451" s="24"/>
      <c r="AG2451" s="24"/>
      <c r="AH2451" s="24"/>
      <c r="AI2451" s="24"/>
      <c r="AJ2451" s="24"/>
      <c r="AK2451" s="24"/>
      <c r="AL2451" s="24"/>
      <c r="AM2451" s="24"/>
      <c r="AN2451" s="24"/>
      <c r="AO2451" s="24"/>
      <c r="AP2451" s="24"/>
      <c r="AQ2451" s="24"/>
      <c r="AR2451" s="54"/>
    </row>
    <row r="2452">
      <c r="A2452" s="57"/>
      <c r="B2452" s="24"/>
      <c r="C2452" s="24"/>
      <c r="D2452" s="24"/>
      <c r="E2452" s="24"/>
      <c r="F2452" s="24"/>
      <c r="G2452" s="24"/>
      <c r="H2452" s="24"/>
      <c r="I2452" s="24"/>
      <c r="J2452" s="24"/>
      <c r="K2452" s="24"/>
      <c r="L2452" s="24"/>
      <c r="M2452" s="24"/>
      <c r="N2452" s="24"/>
      <c r="O2452" s="24"/>
      <c r="P2452" s="24"/>
      <c r="Q2452" s="24"/>
      <c r="R2452" s="24"/>
      <c r="S2452" s="24"/>
      <c r="T2452" s="24"/>
      <c r="U2452" s="24"/>
      <c r="V2452" s="24"/>
      <c r="W2452" s="24"/>
      <c r="X2452" s="24"/>
      <c r="Y2452" s="24"/>
      <c r="Z2452" s="24"/>
      <c r="AA2452" s="24"/>
      <c r="AB2452" s="24"/>
      <c r="AC2452" s="24"/>
      <c r="AD2452" s="24"/>
      <c r="AE2452" s="24"/>
      <c r="AF2452" s="24"/>
      <c r="AG2452" s="24"/>
      <c r="AH2452" s="24"/>
      <c r="AI2452" s="24"/>
      <c r="AJ2452" s="24"/>
      <c r="AK2452" s="24"/>
      <c r="AL2452" s="24"/>
      <c r="AM2452" s="24"/>
      <c r="AN2452" s="24"/>
      <c r="AO2452" s="24"/>
      <c r="AP2452" s="24"/>
      <c r="AQ2452" s="24"/>
      <c r="AR2452" s="54"/>
    </row>
    <row r="2453">
      <c r="A2453" s="57"/>
      <c r="B2453" s="24"/>
      <c r="C2453" s="24"/>
      <c r="D2453" s="24"/>
      <c r="E2453" s="24"/>
      <c r="F2453" s="24"/>
      <c r="G2453" s="24"/>
      <c r="H2453" s="24"/>
      <c r="I2453" s="24"/>
      <c r="J2453" s="24"/>
      <c r="K2453" s="24"/>
      <c r="L2453" s="24"/>
      <c r="M2453" s="24"/>
      <c r="N2453" s="24"/>
      <c r="O2453" s="24"/>
      <c r="P2453" s="24"/>
      <c r="Q2453" s="24"/>
      <c r="R2453" s="24"/>
      <c r="S2453" s="24"/>
      <c r="T2453" s="24"/>
      <c r="U2453" s="24"/>
      <c r="V2453" s="24"/>
      <c r="W2453" s="24"/>
      <c r="X2453" s="24"/>
      <c r="Y2453" s="24"/>
      <c r="Z2453" s="24"/>
      <c r="AA2453" s="24"/>
      <c r="AB2453" s="24"/>
      <c r="AC2453" s="24"/>
      <c r="AD2453" s="24"/>
      <c r="AE2453" s="24"/>
      <c r="AF2453" s="24"/>
      <c r="AG2453" s="24"/>
      <c r="AH2453" s="24"/>
      <c r="AI2453" s="24"/>
      <c r="AJ2453" s="24"/>
      <c r="AK2453" s="24"/>
      <c r="AL2453" s="24"/>
      <c r="AM2453" s="24"/>
      <c r="AN2453" s="24"/>
      <c r="AO2453" s="24"/>
      <c r="AP2453" s="24"/>
      <c r="AQ2453" s="24"/>
      <c r="AR2453" s="54"/>
    </row>
    <row r="2454">
      <c r="A2454" s="57"/>
      <c r="B2454" s="24"/>
      <c r="C2454" s="24"/>
      <c r="D2454" s="24"/>
      <c r="E2454" s="24"/>
      <c r="F2454" s="24"/>
      <c r="G2454" s="24"/>
      <c r="H2454" s="24"/>
      <c r="I2454" s="24"/>
      <c r="J2454" s="24"/>
      <c r="K2454" s="24"/>
      <c r="L2454" s="24"/>
      <c r="M2454" s="24"/>
      <c r="N2454" s="24"/>
      <c r="O2454" s="24"/>
      <c r="P2454" s="24"/>
      <c r="Q2454" s="24"/>
      <c r="R2454" s="24"/>
      <c r="S2454" s="24"/>
      <c r="T2454" s="24"/>
      <c r="U2454" s="24"/>
      <c r="V2454" s="24"/>
      <c r="W2454" s="24"/>
      <c r="X2454" s="24"/>
      <c r="Y2454" s="24"/>
      <c r="Z2454" s="24"/>
      <c r="AA2454" s="24"/>
      <c r="AB2454" s="24"/>
      <c r="AC2454" s="24"/>
      <c r="AD2454" s="24"/>
      <c r="AE2454" s="24"/>
      <c r="AF2454" s="24"/>
      <c r="AG2454" s="24"/>
      <c r="AH2454" s="24"/>
      <c r="AI2454" s="24"/>
      <c r="AJ2454" s="24"/>
      <c r="AK2454" s="24"/>
      <c r="AL2454" s="24"/>
      <c r="AM2454" s="24"/>
      <c r="AN2454" s="24"/>
      <c r="AO2454" s="24"/>
      <c r="AP2454" s="24"/>
      <c r="AQ2454" s="24"/>
      <c r="AR2454" s="54"/>
    </row>
    <row r="2455">
      <c r="A2455" s="57"/>
      <c r="B2455" s="24"/>
      <c r="C2455" s="24"/>
      <c r="D2455" s="24"/>
      <c r="E2455" s="24"/>
      <c r="F2455" s="24"/>
      <c r="G2455" s="24"/>
      <c r="H2455" s="24"/>
      <c r="I2455" s="24"/>
      <c r="J2455" s="24"/>
      <c r="K2455" s="24"/>
      <c r="L2455" s="24"/>
      <c r="M2455" s="24"/>
      <c r="N2455" s="24"/>
      <c r="O2455" s="24"/>
      <c r="P2455" s="24"/>
      <c r="Q2455" s="24"/>
      <c r="R2455" s="24"/>
      <c r="S2455" s="24"/>
      <c r="T2455" s="24"/>
      <c r="U2455" s="24"/>
      <c r="V2455" s="24"/>
      <c r="W2455" s="24"/>
      <c r="X2455" s="24"/>
      <c r="Y2455" s="24"/>
      <c r="Z2455" s="24"/>
      <c r="AA2455" s="24"/>
      <c r="AB2455" s="24"/>
      <c r="AC2455" s="24"/>
      <c r="AD2455" s="24"/>
      <c r="AE2455" s="24"/>
      <c r="AF2455" s="24"/>
      <c r="AG2455" s="24"/>
      <c r="AH2455" s="24"/>
      <c r="AI2455" s="24"/>
      <c r="AJ2455" s="24"/>
      <c r="AK2455" s="24"/>
      <c r="AL2455" s="24"/>
      <c r="AM2455" s="24"/>
      <c r="AN2455" s="24"/>
      <c r="AO2455" s="24"/>
      <c r="AP2455" s="24"/>
      <c r="AQ2455" s="24"/>
      <c r="AR2455" s="54"/>
    </row>
    <row r="2456">
      <c r="A2456" s="57"/>
      <c r="B2456" s="24"/>
      <c r="C2456" s="24"/>
      <c r="D2456" s="24"/>
      <c r="E2456" s="24"/>
      <c r="F2456" s="24"/>
      <c r="G2456" s="24"/>
      <c r="H2456" s="24"/>
      <c r="I2456" s="24"/>
      <c r="J2456" s="24"/>
      <c r="K2456" s="24"/>
      <c r="L2456" s="24"/>
      <c r="M2456" s="24"/>
      <c r="N2456" s="24"/>
      <c r="O2456" s="24"/>
      <c r="P2456" s="24"/>
      <c r="Q2456" s="24"/>
      <c r="R2456" s="24"/>
      <c r="S2456" s="24"/>
      <c r="T2456" s="24"/>
      <c r="U2456" s="24"/>
      <c r="V2456" s="24"/>
      <c r="W2456" s="24"/>
      <c r="X2456" s="24"/>
      <c r="Y2456" s="24"/>
      <c r="Z2456" s="24"/>
      <c r="AA2456" s="24"/>
      <c r="AB2456" s="24"/>
      <c r="AC2456" s="24"/>
      <c r="AD2456" s="24"/>
      <c r="AE2456" s="24"/>
      <c r="AF2456" s="24"/>
      <c r="AG2456" s="24"/>
      <c r="AH2456" s="24"/>
      <c r="AI2456" s="24"/>
      <c r="AJ2456" s="24"/>
      <c r="AK2456" s="24"/>
      <c r="AL2456" s="24"/>
      <c r="AM2456" s="24"/>
      <c r="AN2456" s="24"/>
      <c r="AO2456" s="24"/>
      <c r="AP2456" s="24"/>
      <c r="AQ2456" s="24"/>
      <c r="AR2456" s="54"/>
    </row>
    <row r="2457">
      <c r="A2457" s="57"/>
      <c r="B2457" s="24"/>
      <c r="C2457" s="24"/>
      <c r="D2457" s="24"/>
      <c r="E2457" s="24"/>
      <c r="F2457" s="24"/>
      <c r="G2457" s="24"/>
      <c r="H2457" s="24"/>
      <c r="I2457" s="24"/>
      <c r="J2457" s="24"/>
      <c r="K2457" s="24"/>
      <c r="L2457" s="24"/>
      <c r="M2457" s="24"/>
      <c r="N2457" s="24"/>
      <c r="O2457" s="24"/>
      <c r="P2457" s="24"/>
      <c r="Q2457" s="24"/>
      <c r="R2457" s="24"/>
      <c r="S2457" s="24"/>
      <c r="T2457" s="24"/>
      <c r="U2457" s="24"/>
      <c r="V2457" s="24"/>
      <c r="W2457" s="24"/>
      <c r="X2457" s="24"/>
      <c r="Y2457" s="24"/>
      <c r="Z2457" s="24"/>
      <c r="AA2457" s="24"/>
      <c r="AB2457" s="24"/>
      <c r="AC2457" s="24"/>
      <c r="AD2457" s="24"/>
      <c r="AE2457" s="24"/>
      <c r="AF2457" s="24"/>
      <c r="AG2457" s="24"/>
      <c r="AH2457" s="24"/>
      <c r="AI2457" s="24"/>
      <c r="AJ2457" s="24"/>
      <c r="AK2457" s="24"/>
      <c r="AL2457" s="24"/>
      <c r="AM2457" s="24"/>
      <c r="AN2457" s="24"/>
      <c r="AO2457" s="24"/>
      <c r="AP2457" s="24"/>
      <c r="AQ2457" s="24"/>
      <c r="AR2457" s="54"/>
    </row>
    <row r="2458">
      <c r="A2458" s="57"/>
      <c r="B2458" s="24"/>
      <c r="C2458" s="24"/>
      <c r="D2458" s="24"/>
      <c r="E2458" s="24"/>
      <c r="F2458" s="24"/>
      <c r="G2458" s="24"/>
      <c r="H2458" s="24"/>
      <c r="I2458" s="24"/>
      <c r="J2458" s="24"/>
      <c r="K2458" s="24"/>
      <c r="L2458" s="24"/>
      <c r="M2458" s="24"/>
      <c r="N2458" s="24"/>
      <c r="O2458" s="24"/>
      <c r="P2458" s="24"/>
      <c r="Q2458" s="24"/>
      <c r="R2458" s="24"/>
      <c r="S2458" s="24"/>
      <c r="T2458" s="24"/>
      <c r="U2458" s="24"/>
      <c r="V2458" s="24"/>
      <c r="W2458" s="24"/>
      <c r="X2458" s="24"/>
      <c r="Y2458" s="24"/>
      <c r="Z2458" s="24"/>
      <c r="AA2458" s="24"/>
      <c r="AB2458" s="24"/>
      <c r="AC2458" s="24"/>
      <c r="AD2458" s="24"/>
      <c r="AE2458" s="24"/>
      <c r="AF2458" s="24"/>
      <c r="AG2458" s="24"/>
      <c r="AH2458" s="24"/>
      <c r="AI2458" s="24"/>
      <c r="AJ2458" s="24"/>
      <c r="AK2458" s="24"/>
      <c r="AL2458" s="24"/>
      <c r="AM2458" s="24"/>
      <c r="AN2458" s="24"/>
      <c r="AO2458" s="24"/>
      <c r="AP2458" s="24"/>
      <c r="AQ2458" s="24"/>
      <c r="AR2458" s="54"/>
    </row>
    <row r="2459">
      <c r="A2459" s="57"/>
      <c r="B2459" s="24"/>
      <c r="C2459" s="24"/>
      <c r="D2459" s="24"/>
      <c r="E2459" s="24"/>
      <c r="F2459" s="24"/>
      <c r="G2459" s="24"/>
      <c r="H2459" s="24"/>
      <c r="I2459" s="24"/>
      <c r="J2459" s="24"/>
      <c r="K2459" s="24"/>
      <c r="L2459" s="24"/>
      <c r="M2459" s="24"/>
      <c r="N2459" s="24"/>
      <c r="O2459" s="24"/>
      <c r="P2459" s="24"/>
      <c r="Q2459" s="24"/>
      <c r="R2459" s="24"/>
      <c r="S2459" s="24"/>
      <c r="T2459" s="24"/>
      <c r="U2459" s="24"/>
      <c r="V2459" s="24"/>
      <c r="W2459" s="24"/>
      <c r="X2459" s="24"/>
      <c r="Y2459" s="24"/>
      <c r="Z2459" s="24"/>
      <c r="AA2459" s="24"/>
      <c r="AB2459" s="24"/>
      <c r="AC2459" s="24"/>
      <c r="AD2459" s="24"/>
      <c r="AE2459" s="24"/>
      <c r="AF2459" s="24"/>
      <c r="AG2459" s="24"/>
      <c r="AH2459" s="24"/>
      <c r="AI2459" s="24"/>
      <c r="AJ2459" s="24"/>
      <c r="AK2459" s="24"/>
      <c r="AL2459" s="24"/>
      <c r="AM2459" s="24"/>
      <c r="AN2459" s="24"/>
      <c r="AO2459" s="24"/>
      <c r="AP2459" s="24"/>
      <c r="AQ2459" s="24"/>
      <c r="AR2459" s="54"/>
    </row>
    <row r="2460">
      <c r="A2460" s="57"/>
      <c r="B2460" s="24"/>
      <c r="C2460" s="24"/>
      <c r="D2460" s="24"/>
      <c r="E2460" s="24"/>
      <c r="F2460" s="24"/>
      <c r="G2460" s="24"/>
      <c r="H2460" s="24"/>
      <c r="I2460" s="24"/>
      <c r="J2460" s="24"/>
      <c r="K2460" s="24"/>
      <c r="L2460" s="24"/>
      <c r="M2460" s="24"/>
      <c r="N2460" s="24"/>
      <c r="O2460" s="24"/>
      <c r="P2460" s="24"/>
      <c r="Q2460" s="24"/>
      <c r="R2460" s="24"/>
      <c r="S2460" s="24"/>
      <c r="T2460" s="24"/>
      <c r="U2460" s="24"/>
      <c r="V2460" s="24"/>
      <c r="W2460" s="24"/>
      <c r="X2460" s="24"/>
      <c r="Y2460" s="24"/>
      <c r="Z2460" s="24"/>
      <c r="AA2460" s="24"/>
      <c r="AB2460" s="24"/>
      <c r="AC2460" s="24"/>
      <c r="AD2460" s="24"/>
      <c r="AE2460" s="24"/>
      <c r="AF2460" s="24"/>
      <c r="AG2460" s="24"/>
      <c r="AH2460" s="24"/>
      <c r="AI2460" s="24"/>
      <c r="AJ2460" s="24"/>
      <c r="AK2460" s="24"/>
      <c r="AL2460" s="24"/>
      <c r="AM2460" s="24"/>
      <c r="AN2460" s="24"/>
      <c r="AO2460" s="24"/>
      <c r="AP2460" s="24"/>
      <c r="AQ2460" s="24"/>
      <c r="AR2460" s="54"/>
    </row>
    <row r="2461">
      <c r="A2461" s="57"/>
      <c r="B2461" s="24"/>
      <c r="C2461" s="24"/>
      <c r="D2461" s="24"/>
      <c r="E2461" s="24"/>
      <c r="F2461" s="24"/>
      <c r="G2461" s="24"/>
      <c r="H2461" s="24"/>
      <c r="I2461" s="24"/>
      <c r="J2461" s="24"/>
      <c r="K2461" s="24"/>
      <c r="L2461" s="24"/>
      <c r="M2461" s="24"/>
      <c r="N2461" s="24"/>
      <c r="O2461" s="24"/>
      <c r="P2461" s="24"/>
      <c r="Q2461" s="24"/>
      <c r="R2461" s="24"/>
      <c r="S2461" s="24"/>
      <c r="T2461" s="24"/>
      <c r="U2461" s="24"/>
      <c r="V2461" s="24"/>
      <c r="W2461" s="24"/>
      <c r="X2461" s="24"/>
      <c r="Y2461" s="24"/>
      <c r="Z2461" s="24"/>
      <c r="AA2461" s="24"/>
      <c r="AB2461" s="24"/>
      <c r="AC2461" s="24"/>
      <c r="AD2461" s="24"/>
      <c r="AE2461" s="24"/>
      <c r="AF2461" s="24"/>
      <c r="AG2461" s="24"/>
      <c r="AH2461" s="24"/>
      <c r="AI2461" s="24"/>
      <c r="AJ2461" s="24"/>
      <c r="AK2461" s="24"/>
      <c r="AL2461" s="24"/>
      <c r="AM2461" s="24"/>
      <c r="AN2461" s="24"/>
      <c r="AO2461" s="24"/>
      <c r="AP2461" s="24"/>
      <c r="AQ2461" s="24"/>
      <c r="AR2461" s="54"/>
    </row>
    <row r="2462">
      <c r="A2462" s="57"/>
      <c r="B2462" s="24"/>
      <c r="C2462" s="24"/>
      <c r="D2462" s="24"/>
      <c r="E2462" s="24"/>
      <c r="F2462" s="24"/>
      <c r="G2462" s="24"/>
      <c r="H2462" s="24"/>
      <c r="I2462" s="24"/>
      <c r="J2462" s="24"/>
      <c r="K2462" s="24"/>
      <c r="L2462" s="24"/>
      <c r="M2462" s="24"/>
      <c r="N2462" s="24"/>
      <c r="O2462" s="24"/>
      <c r="P2462" s="24"/>
      <c r="Q2462" s="24"/>
      <c r="R2462" s="24"/>
      <c r="S2462" s="24"/>
      <c r="T2462" s="24"/>
      <c r="U2462" s="24"/>
      <c r="V2462" s="24"/>
      <c r="W2462" s="24"/>
      <c r="X2462" s="24"/>
      <c r="Y2462" s="24"/>
      <c r="Z2462" s="24"/>
      <c r="AA2462" s="24"/>
      <c r="AB2462" s="24"/>
      <c r="AC2462" s="24"/>
      <c r="AD2462" s="24"/>
      <c r="AE2462" s="24"/>
      <c r="AF2462" s="24"/>
      <c r="AG2462" s="24"/>
      <c r="AH2462" s="24"/>
      <c r="AI2462" s="24"/>
      <c r="AJ2462" s="24"/>
      <c r="AK2462" s="24"/>
      <c r="AL2462" s="24"/>
      <c r="AM2462" s="24"/>
      <c r="AN2462" s="24"/>
      <c r="AO2462" s="24"/>
      <c r="AP2462" s="24"/>
      <c r="AQ2462" s="24"/>
      <c r="AR2462" s="54"/>
    </row>
    <row r="2463">
      <c r="A2463" s="57"/>
      <c r="B2463" s="24"/>
      <c r="C2463" s="24"/>
      <c r="D2463" s="24"/>
      <c r="E2463" s="24"/>
      <c r="F2463" s="24"/>
      <c r="G2463" s="24"/>
      <c r="H2463" s="24"/>
      <c r="I2463" s="24"/>
      <c r="J2463" s="24"/>
      <c r="K2463" s="24"/>
      <c r="L2463" s="24"/>
      <c r="M2463" s="24"/>
      <c r="N2463" s="24"/>
      <c r="O2463" s="24"/>
      <c r="P2463" s="24"/>
      <c r="Q2463" s="24"/>
      <c r="R2463" s="24"/>
      <c r="S2463" s="24"/>
      <c r="T2463" s="24"/>
      <c r="U2463" s="24"/>
      <c r="V2463" s="24"/>
      <c r="W2463" s="24"/>
      <c r="X2463" s="24"/>
      <c r="Y2463" s="24"/>
      <c r="Z2463" s="24"/>
      <c r="AA2463" s="24"/>
      <c r="AB2463" s="24"/>
      <c r="AC2463" s="24"/>
      <c r="AD2463" s="24"/>
      <c r="AE2463" s="24"/>
      <c r="AF2463" s="24"/>
      <c r="AG2463" s="24"/>
      <c r="AH2463" s="24"/>
      <c r="AI2463" s="24"/>
      <c r="AJ2463" s="24"/>
      <c r="AK2463" s="24"/>
      <c r="AL2463" s="24"/>
      <c r="AM2463" s="24"/>
      <c r="AN2463" s="24"/>
      <c r="AO2463" s="24"/>
      <c r="AP2463" s="24"/>
      <c r="AQ2463" s="24"/>
      <c r="AR2463" s="54"/>
    </row>
    <row r="2464">
      <c r="A2464" s="57"/>
      <c r="B2464" s="24"/>
      <c r="C2464" s="24"/>
      <c r="D2464" s="24"/>
      <c r="E2464" s="24"/>
      <c r="F2464" s="24"/>
      <c r="G2464" s="24"/>
      <c r="H2464" s="24"/>
      <c r="I2464" s="24"/>
      <c r="J2464" s="24"/>
      <c r="K2464" s="24"/>
      <c r="L2464" s="24"/>
      <c r="M2464" s="24"/>
      <c r="N2464" s="24"/>
      <c r="O2464" s="24"/>
      <c r="P2464" s="24"/>
      <c r="Q2464" s="24"/>
      <c r="R2464" s="24"/>
      <c r="S2464" s="24"/>
      <c r="T2464" s="24"/>
      <c r="U2464" s="24"/>
      <c r="V2464" s="24"/>
      <c r="W2464" s="24"/>
      <c r="X2464" s="24"/>
      <c r="Y2464" s="24"/>
      <c r="Z2464" s="24"/>
      <c r="AA2464" s="24"/>
      <c r="AB2464" s="24"/>
      <c r="AC2464" s="24"/>
      <c r="AD2464" s="24"/>
      <c r="AE2464" s="24"/>
      <c r="AF2464" s="24"/>
      <c r="AG2464" s="24"/>
      <c r="AH2464" s="24"/>
      <c r="AI2464" s="24"/>
      <c r="AJ2464" s="24"/>
      <c r="AK2464" s="24"/>
      <c r="AL2464" s="24"/>
      <c r="AM2464" s="24"/>
      <c r="AN2464" s="24"/>
      <c r="AO2464" s="24"/>
      <c r="AP2464" s="24"/>
      <c r="AQ2464" s="24"/>
      <c r="AR2464" s="54"/>
    </row>
    <row r="2465">
      <c r="A2465" s="57"/>
      <c r="B2465" s="24"/>
      <c r="C2465" s="24"/>
      <c r="D2465" s="24"/>
      <c r="E2465" s="24"/>
      <c r="F2465" s="24"/>
      <c r="G2465" s="24"/>
      <c r="H2465" s="24"/>
      <c r="I2465" s="24"/>
      <c r="J2465" s="24"/>
      <c r="K2465" s="24"/>
      <c r="L2465" s="24"/>
      <c r="M2465" s="24"/>
      <c r="N2465" s="24"/>
      <c r="O2465" s="24"/>
      <c r="P2465" s="24"/>
      <c r="Q2465" s="24"/>
      <c r="R2465" s="24"/>
      <c r="S2465" s="24"/>
      <c r="T2465" s="24"/>
      <c r="U2465" s="24"/>
      <c r="V2465" s="24"/>
      <c r="W2465" s="24"/>
      <c r="X2465" s="24"/>
      <c r="Y2465" s="24"/>
      <c r="Z2465" s="24"/>
      <c r="AA2465" s="24"/>
      <c r="AB2465" s="24"/>
      <c r="AC2465" s="24"/>
      <c r="AD2465" s="24"/>
      <c r="AE2465" s="24"/>
      <c r="AF2465" s="24"/>
      <c r="AG2465" s="24"/>
      <c r="AH2465" s="24"/>
      <c r="AI2465" s="24"/>
      <c r="AJ2465" s="24"/>
      <c r="AK2465" s="24"/>
      <c r="AL2465" s="24"/>
      <c r="AM2465" s="24"/>
      <c r="AN2465" s="24"/>
      <c r="AO2465" s="24"/>
      <c r="AP2465" s="24"/>
      <c r="AQ2465" s="24"/>
      <c r="AR2465" s="54"/>
    </row>
    <row r="2466">
      <c r="A2466" s="57"/>
      <c r="B2466" s="24"/>
      <c r="C2466" s="24"/>
      <c r="D2466" s="24"/>
      <c r="E2466" s="24"/>
      <c r="F2466" s="24"/>
      <c r="G2466" s="24"/>
      <c r="H2466" s="24"/>
      <c r="I2466" s="24"/>
      <c r="J2466" s="24"/>
      <c r="K2466" s="24"/>
      <c r="L2466" s="24"/>
      <c r="M2466" s="24"/>
      <c r="N2466" s="24"/>
      <c r="O2466" s="24"/>
      <c r="P2466" s="24"/>
      <c r="Q2466" s="24"/>
      <c r="R2466" s="24"/>
      <c r="S2466" s="24"/>
      <c r="T2466" s="24"/>
      <c r="U2466" s="24"/>
      <c r="V2466" s="24"/>
      <c r="W2466" s="24"/>
      <c r="X2466" s="24"/>
      <c r="Y2466" s="24"/>
      <c r="Z2466" s="24"/>
      <c r="AA2466" s="24"/>
      <c r="AB2466" s="24"/>
      <c r="AC2466" s="24"/>
      <c r="AD2466" s="24"/>
      <c r="AE2466" s="24"/>
      <c r="AF2466" s="24"/>
      <c r="AG2466" s="24"/>
      <c r="AH2466" s="24"/>
      <c r="AI2466" s="24"/>
      <c r="AJ2466" s="24"/>
      <c r="AK2466" s="24"/>
      <c r="AL2466" s="24"/>
      <c r="AM2466" s="24"/>
      <c r="AN2466" s="24"/>
      <c r="AO2466" s="24"/>
      <c r="AP2466" s="24"/>
      <c r="AQ2466" s="24"/>
      <c r="AR2466" s="54"/>
    </row>
    <row r="2467">
      <c r="A2467" s="57"/>
      <c r="B2467" s="24"/>
      <c r="C2467" s="24"/>
      <c r="D2467" s="24"/>
      <c r="E2467" s="24"/>
      <c r="F2467" s="24"/>
      <c r="G2467" s="24"/>
      <c r="H2467" s="24"/>
      <c r="I2467" s="24"/>
      <c r="J2467" s="24"/>
      <c r="K2467" s="24"/>
      <c r="L2467" s="24"/>
      <c r="M2467" s="24"/>
      <c r="N2467" s="24"/>
      <c r="O2467" s="24"/>
      <c r="P2467" s="24"/>
      <c r="Q2467" s="24"/>
      <c r="R2467" s="24"/>
      <c r="S2467" s="24"/>
      <c r="T2467" s="24"/>
      <c r="U2467" s="24"/>
      <c r="V2467" s="24"/>
      <c r="W2467" s="24"/>
      <c r="X2467" s="24"/>
      <c r="Y2467" s="24"/>
      <c r="Z2467" s="24"/>
      <c r="AA2467" s="24"/>
      <c r="AB2467" s="24"/>
      <c r="AC2467" s="24"/>
      <c r="AD2467" s="24"/>
      <c r="AE2467" s="24"/>
      <c r="AF2467" s="24"/>
      <c r="AG2467" s="24"/>
      <c r="AH2467" s="24"/>
      <c r="AI2467" s="24"/>
      <c r="AJ2467" s="24"/>
      <c r="AK2467" s="24"/>
      <c r="AL2467" s="24"/>
      <c r="AM2467" s="24"/>
      <c r="AN2467" s="24"/>
      <c r="AO2467" s="24"/>
      <c r="AP2467" s="24"/>
      <c r="AQ2467" s="24"/>
      <c r="AR2467" s="54"/>
    </row>
    <row r="2468">
      <c r="A2468" s="57"/>
      <c r="B2468" s="24"/>
      <c r="C2468" s="24"/>
      <c r="D2468" s="24"/>
      <c r="E2468" s="24"/>
      <c r="F2468" s="24"/>
      <c r="G2468" s="24"/>
      <c r="H2468" s="24"/>
      <c r="I2468" s="24"/>
      <c r="J2468" s="24"/>
      <c r="K2468" s="24"/>
      <c r="L2468" s="24"/>
      <c r="M2468" s="24"/>
      <c r="N2468" s="24"/>
      <c r="O2468" s="24"/>
      <c r="P2468" s="24"/>
      <c r="Q2468" s="24"/>
      <c r="R2468" s="24"/>
      <c r="S2468" s="24"/>
      <c r="T2468" s="24"/>
      <c r="U2468" s="24"/>
      <c r="V2468" s="24"/>
      <c r="W2468" s="24"/>
      <c r="X2468" s="24"/>
      <c r="Y2468" s="24"/>
      <c r="Z2468" s="24"/>
      <c r="AA2468" s="24"/>
      <c r="AB2468" s="24"/>
      <c r="AC2468" s="24"/>
      <c r="AD2468" s="24"/>
      <c r="AE2468" s="24"/>
      <c r="AF2468" s="24"/>
      <c r="AG2468" s="24"/>
      <c r="AH2468" s="24"/>
      <c r="AI2468" s="24"/>
      <c r="AJ2468" s="24"/>
      <c r="AK2468" s="24"/>
      <c r="AL2468" s="24"/>
      <c r="AM2468" s="24"/>
      <c r="AN2468" s="24"/>
      <c r="AO2468" s="24"/>
      <c r="AP2468" s="24"/>
      <c r="AQ2468" s="24"/>
      <c r="AR2468" s="54"/>
    </row>
    <row r="2469">
      <c r="A2469" s="57"/>
      <c r="B2469" s="24"/>
      <c r="C2469" s="24"/>
      <c r="D2469" s="24"/>
      <c r="E2469" s="24"/>
      <c r="F2469" s="24"/>
      <c r="G2469" s="24"/>
      <c r="H2469" s="24"/>
      <c r="I2469" s="24"/>
      <c r="J2469" s="24"/>
      <c r="K2469" s="24"/>
      <c r="L2469" s="24"/>
      <c r="M2469" s="24"/>
      <c r="N2469" s="24"/>
      <c r="O2469" s="24"/>
      <c r="P2469" s="24"/>
      <c r="Q2469" s="24"/>
      <c r="R2469" s="24"/>
      <c r="S2469" s="24"/>
      <c r="T2469" s="24"/>
      <c r="U2469" s="24"/>
      <c r="V2469" s="24"/>
      <c r="W2469" s="24"/>
      <c r="X2469" s="24"/>
      <c r="Y2469" s="24"/>
      <c r="Z2469" s="24"/>
      <c r="AA2469" s="24"/>
      <c r="AB2469" s="24"/>
      <c r="AC2469" s="24"/>
      <c r="AD2469" s="24"/>
      <c r="AE2469" s="24"/>
      <c r="AF2469" s="24"/>
      <c r="AG2469" s="24"/>
      <c r="AH2469" s="24"/>
      <c r="AI2469" s="24"/>
      <c r="AJ2469" s="24"/>
      <c r="AK2469" s="24"/>
      <c r="AL2469" s="24"/>
      <c r="AM2469" s="24"/>
      <c r="AN2469" s="24"/>
      <c r="AO2469" s="24"/>
      <c r="AP2469" s="24"/>
      <c r="AQ2469" s="24"/>
      <c r="AR2469" s="54"/>
    </row>
    <row r="2470">
      <c r="A2470" s="57"/>
      <c r="B2470" s="24"/>
      <c r="C2470" s="24"/>
      <c r="D2470" s="24"/>
      <c r="E2470" s="24"/>
      <c r="F2470" s="24"/>
      <c r="G2470" s="24"/>
      <c r="H2470" s="24"/>
      <c r="I2470" s="24"/>
      <c r="J2470" s="24"/>
      <c r="K2470" s="24"/>
      <c r="L2470" s="24"/>
      <c r="M2470" s="24"/>
      <c r="N2470" s="24"/>
      <c r="O2470" s="24"/>
      <c r="P2470" s="24"/>
      <c r="Q2470" s="24"/>
      <c r="R2470" s="24"/>
      <c r="S2470" s="24"/>
      <c r="T2470" s="24"/>
      <c r="U2470" s="24"/>
      <c r="V2470" s="24"/>
      <c r="W2470" s="24"/>
      <c r="X2470" s="24"/>
      <c r="Y2470" s="24"/>
      <c r="Z2470" s="24"/>
      <c r="AA2470" s="24"/>
      <c r="AB2470" s="24"/>
      <c r="AC2470" s="24"/>
      <c r="AD2470" s="24"/>
      <c r="AE2470" s="24"/>
      <c r="AF2470" s="24"/>
      <c r="AG2470" s="24"/>
      <c r="AH2470" s="24"/>
      <c r="AI2470" s="24"/>
      <c r="AJ2470" s="24"/>
      <c r="AK2470" s="24"/>
      <c r="AL2470" s="24"/>
      <c r="AM2470" s="24"/>
      <c r="AN2470" s="24"/>
      <c r="AO2470" s="24"/>
      <c r="AP2470" s="24"/>
      <c r="AQ2470" s="24"/>
      <c r="AR2470" s="54"/>
    </row>
    <row r="2471">
      <c r="A2471" s="57"/>
      <c r="B2471" s="24"/>
      <c r="C2471" s="24"/>
      <c r="D2471" s="24"/>
      <c r="E2471" s="24"/>
      <c r="F2471" s="24"/>
      <c r="G2471" s="24"/>
      <c r="H2471" s="24"/>
      <c r="I2471" s="24"/>
      <c r="J2471" s="24"/>
      <c r="K2471" s="24"/>
      <c r="L2471" s="24"/>
      <c r="M2471" s="24"/>
      <c r="N2471" s="24"/>
      <c r="O2471" s="24"/>
      <c r="P2471" s="24"/>
      <c r="Q2471" s="24"/>
      <c r="R2471" s="24"/>
      <c r="S2471" s="24"/>
      <c r="T2471" s="24"/>
      <c r="U2471" s="24"/>
      <c r="V2471" s="24"/>
      <c r="W2471" s="24"/>
      <c r="X2471" s="24"/>
      <c r="Y2471" s="24"/>
      <c r="Z2471" s="24"/>
      <c r="AA2471" s="24"/>
      <c r="AB2471" s="24"/>
      <c r="AC2471" s="24"/>
      <c r="AD2471" s="24"/>
      <c r="AE2471" s="24"/>
      <c r="AF2471" s="24"/>
      <c r="AG2471" s="24"/>
      <c r="AH2471" s="24"/>
      <c r="AI2471" s="24"/>
      <c r="AJ2471" s="24"/>
      <c r="AK2471" s="24"/>
      <c r="AL2471" s="24"/>
      <c r="AM2471" s="24"/>
      <c r="AN2471" s="24"/>
      <c r="AO2471" s="24"/>
      <c r="AP2471" s="24"/>
      <c r="AQ2471" s="24"/>
      <c r="AR2471" s="54"/>
    </row>
    <row r="2472">
      <c r="A2472" s="57"/>
      <c r="B2472" s="24"/>
      <c r="C2472" s="24"/>
      <c r="D2472" s="24"/>
      <c r="E2472" s="24"/>
      <c r="F2472" s="24"/>
      <c r="G2472" s="24"/>
      <c r="H2472" s="24"/>
      <c r="I2472" s="24"/>
      <c r="J2472" s="24"/>
      <c r="K2472" s="24"/>
      <c r="L2472" s="24"/>
      <c r="M2472" s="24"/>
      <c r="N2472" s="24"/>
      <c r="O2472" s="24"/>
      <c r="P2472" s="24"/>
      <c r="Q2472" s="24"/>
      <c r="R2472" s="24"/>
      <c r="S2472" s="24"/>
      <c r="T2472" s="24"/>
      <c r="U2472" s="24"/>
      <c r="V2472" s="24"/>
      <c r="W2472" s="24"/>
      <c r="X2472" s="24"/>
      <c r="Y2472" s="24"/>
      <c r="Z2472" s="24"/>
      <c r="AA2472" s="24"/>
      <c r="AB2472" s="24"/>
      <c r="AC2472" s="24"/>
      <c r="AD2472" s="24"/>
      <c r="AE2472" s="24"/>
      <c r="AF2472" s="24"/>
      <c r="AG2472" s="24"/>
      <c r="AH2472" s="24"/>
      <c r="AI2472" s="24"/>
      <c r="AJ2472" s="24"/>
      <c r="AK2472" s="24"/>
      <c r="AL2472" s="24"/>
      <c r="AM2472" s="24"/>
      <c r="AN2472" s="24"/>
      <c r="AO2472" s="24"/>
      <c r="AP2472" s="24"/>
      <c r="AQ2472" s="24"/>
      <c r="AR2472" s="54"/>
    </row>
    <row r="2473">
      <c r="A2473" s="57"/>
      <c r="B2473" s="24"/>
      <c r="C2473" s="24"/>
      <c r="D2473" s="24"/>
      <c r="E2473" s="24"/>
      <c r="F2473" s="24"/>
      <c r="G2473" s="24"/>
      <c r="H2473" s="24"/>
      <c r="I2473" s="24"/>
      <c r="J2473" s="24"/>
      <c r="K2473" s="24"/>
      <c r="L2473" s="24"/>
      <c r="M2473" s="24"/>
      <c r="N2473" s="24"/>
      <c r="O2473" s="24"/>
      <c r="P2473" s="24"/>
      <c r="Q2473" s="24"/>
      <c r="R2473" s="24"/>
      <c r="S2473" s="24"/>
      <c r="T2473" s="24"/>
      <c r="U2473" s="24"/>
      <c r="V2473" s="24"/>
      <c r="W2473" s="24"/>
      <c r="X2473" s="24"/>
      <c r="Y2473" s="24"/>
      <c r="Z2473" s="24"/>
      <c r="AA2473" s="24"/>
      <c r="AB2473" s="24"/>
      <c r="AC2473" s="24"/>
      <c r="AD2473" s="24"/>
      <c r="AE2473" s="24"/>
      <c r="AF2473" s="24"/>
      <c r="AG2473" s="24"/>
      <c r="AH2473" s="24"/>
      <c r="AI2473" s="24"/>
      <c r="AJ2473" s="24"/>
      <c r="AK2473" s="24"/>
      <c r="AL2473" s="24"/>
      <c r="AM2473" s="24"/>
      <c r="AN2473" s="24"/>
      <c r="AO2473" s="24"/>
      <c r="AP2473" s="24"/>
      <c r="AQ2473" s="24"/>
      <c r="AR2473" s="54"/>
    </row>
    <row r="2474">
      <c r="A2474" s="57"/>
      <c r="B2474" s="24"/>
      <c r="C2474" s="24"/>
      <c r="D2474" s="24"/>
      <c r="E2474" s="24"/>
      <c r="F2474" s="24"/>
      <c r="G2474" s="24"/>
      <c r="H2474" s="24"/>
      <c r="I2474" s="24"/>
      <c r="J2474" s="24"/>
      <c r="K2474" s="24"/>
      <c r="L2474" s="24"/>
      <c r="M2474" s="24"/>
      <c r="N2474" s="24"/>
      <c r="O2474" s="24"/>
      <c r="P2474" s="24"/>
      <c r="Q2474" s="24"/>
      <c r="R2474" s="24"/>
      <c r="S2474" s="24"/>
      <c r="T2474" s="24"/>
      <c r="U2474" s="24"/>
      <c r="V2474" s="24"/>
      <c r="W2474" s="24"/>
      <c r="X2474" s="24"/>
      <c r="Y2474" s="24"/>
      <c r="Z2474" s="24"/>
      <c r="AA2474" s="24"/>
      <c r="AB2474" s="24"/>
      <c r="AC2474" s="24"/>
      <c r="AD2474" s="24"/>
      <c r="AE2474" s="24"/>
      <c r="AF2474" s="24"/>
      <c r="AG2474" s="24"/>
      <c r="AH2474" s="24"/>
      <c r="AI2474" s="24"/>
      <c r="AJ2474" s="24"/>
      <c r="AK2474" s="24"/>
      <c r="AL2474" s="24"/>
      <c r="AM2474" s="24"/>
      <c r="AN2474" s="24"/>
      <c r="AO2474" s="24"/>
      <c r="AP2474" s="24"/>
      <c r="AQ2474" s="24"/>
      <c r="AR2474" s="54"/>
    </row>
    <row r="2475">
      <c r="A2475" s="57"/>
      <c r="B2475" s="24"/>
      <c r="C2475" s="24"/>
      <c r="D2475" s="24"/>
      <c r="E2475" s="24"/>
      <c r="F2475" s="24"/>
      <c r="G2475" s="24"/>
      <c r="H2475" s="24"/>
      <c r="I2475" s="24"/>
      <c r="J2475" s="24"/>
      <c r="K2475" s="24"/>
      <c r="L2475" s="24"/>
      <c r="M2475" s="24"/>
      <c r="N2475" s="24"/>
      <c r="O2475" s="24"/>
      <c r="P2475" s="24"/>
      <c r="Q2475" s="24"/>
      <c r="R2475" s="24"/>
      <c r="S2475" s="24"/>
      <c r="T2475" s="24"/>
      <c r="U2475" s="24"/>
      <c r="V2475" s="24"/>
      <c r="W2475" s="24"/>
      <c r="X2475" s="24"/>
      <c r="Y2475" s="24"/>
      <c r="Z2475" s="24"/>
      <c r="AA2475" s="24"/>
      <c r="AB2475" s="24"/>
      <c r="AC2475" s="24"/>
      <c r="AD2475" s="24"/>
      <c r="AE2475" s="24"/>
      <c r="AF2475" s="24"/>
      <c r="AG2475" s="24"/>
      <c r="AH2475" s="24"/>
      <c r="AI2475" s="24"/>
      <c r="AJ2475" s="24"/>
      <c r="AK2475" s="24"/>
      <c r="AL2475" s="24"/>
      <c r="AM2475" s="24"/>
      <c r="AN2475" s="24"/>
      <c r="AO2475" s="24"/>
      <c r="AP2475" s="24"/>
      <c r="AQ2475" s="24"/>
      <c r="AR2475" s="54"/>
    </row>
    <row r="2476">
      <c r="A2476" s="57"/>
      <c r="B2476" s="24"/>
      <c r="C2476" s="24"/>
      <c r="D2476" s="24"/>
      <c r="E2476" s="24"/>
      <c r="F2476" s="24"/>
      <c r="G2476" s="24"/>
      <c r="H2476" s="24"/>
      <c r="I2476" s="24"/>
      <c r="J2476" s="24"/>
      <c r="K2476" s="24"/>
      <c r="L2476" s="24"/>
      <c r="M2476" s="24"/>
      <c r="N2476" s="24"/>
      <c r="O2476" s="24"/>
      <c r="P2476" s="24"/>
      <c r="Q2476" s="24"/>
      <c r="R2476" s="24"/>
      <c r="S2476" s="24"/>
      <c r="T2476" s="24"/>
      <c r="U2476" s="24"/>
      <c r="V2476" s="24"/>
      <c r="W2476" s="24"/>
      <c r="X2476" s="24"/>
      <c r="Y2476" s="24"/>
      <c r="Z2476" s="24"/>
      <c r="AA2476" s="24"/>
      <c r="AB2476" s="24"/>
      <c r="AC2476" s="24"/>
      <c r="AD2476" s="24"/>
      <c r="AE2476" s="24"/>
      <c r="AF2476" s="24"/>
      <c r="AG2476" s="24"/>
      <c r="AH2476" s="24"/>
      <c r="AI2476" s="24"/>
      <c r="AJ2476" s="24"/>
      <c r="AK2476" s="24"/>
      <c r="AL2476" s="24"/>
      <c r="AM2476" s="24"/>
      <c r="AN2476" s="24"/>
      <c r="AO2476" s="24"/>
      <c r="AP2476" s="24"/>
      <c r="AQ2476" s="24"/>
      <c r="AR2476" s="54"/>
    </row>
    <row r="2477">
      <c r="A2477" s="57"/>
      <c r="B2477" s="24"/>
      <c r="C2477" s="24"/>
      <c r="D2477" s="24"/>
      <c r="E2477" s="24"/>
      <c r="F2477" s="24"/>
      <c r="G2477" s="24"/>
      <c r="H2477" s="24"/>
      <c r="I2477" s="24"/>
      <c r="J2477" s="24"/>
      <c r="K2477" s="24"/>
      <c r="L2477" s="24"/>
      <c r="M2477" s="24"/>
      <c r="N2477" s="24"/>
      <c r="O2477" s="24"/>
      <c r="P2477" s="24"/>
      <c r="Q2477" s="24"/>
      <c r="R2477" s="24"/>
      <c r="S2477" s="24"/>
      <c r="T2477" s="24"/>
      <c r="U2477" s="24"/>
      <c r="V2477" s="24"/>
      <c r="W2477" s="24"/>
      <c r="X2477" s="24"/>
      <c r="Y2477" s="24"/>
      <c r="Z2477" s="24"/>
      <c r="AA2477" s="24"/>
      <c r="AB2477" s="24"/>
      <c r="AC2477" s="24"/>
      <c r="AD2477" s="24"/>
      <c r="AE2477" s="24"/>
      <c r="AF2477" s="24"/>
      <c r="AG2477" s="24"/>
      <c r="AH2477" s="24"/>
      <c r="AI2477" s="24"/>
      <c r="AJ2477" s="24"/>
      <c r="AK2477" s="24"/>
      <c r="AL2477" s="24"/>
      <c r="AM2477" s="24"/>
      <c r="AN2477" s="24"/>
      <c r="AO2477" s="24"/>
      <c r="AP2477" s="24"/>
      <c r="AQ2477" s="24"/>
      <c r="AR2477" s="54"/>
    </row>
    <row r="2478">
      <c r="A2478" s="57"/>
      <c r="B2478" s="24"/>
      <c r="C2478" s="24"/>
      <c r="D2478" s="24"/>
      <c r="E2478" s="24"/>
      <c r="F2478" s="24"/>
      <c r="G2478" s="24"/>
      <c r="H2478" s="24"/>
      <c r="I2478" s="24"/>
      <c r="J2478" s="24"/>
      <c r="K2478" s="24"/>
      <c r="L2478" s="24"/>
      <c r="M2478" s="24"/>
      <c r="N2478" s="24"/>
      <c r="O2478" s="24"/>
      <c r="P2478" s="24"/>
      <c r="Q2478" s="24"/>
      <c r="R2478" s="24"/>
      <c r="S2478" s="24"/>
      <c r="T2478" s="24"/>
      <c r="U2478" s="24"/>
      <c r="V2478" s="24"/>
      <c r="W2478" s="24"/>
      <c r="X2478" s="24"/>
      <c r="Y2478" s="24"/>
      <c r="Z2478" s="24"/>
      <c r="AA2478" s="24"/>
      <c r="AB2478" s="24"/>
      <c r="AC2478" s="24"/>
      <c r="AD2478" s="24"/>
      <c r="AE2478" s="24"/>
      <c r="AF2478" s="24"/>
      <c r="AG2478" s="24"/>
      <c r="AH2478" s="24"/>
      <c r="AI2478" s="24"/>
      <c r="AJ2478" s="24"/>
      <c r="AK2478" s="24"/>
      <c r="AL2478" s="24"/>
      <c r="AM2478" s="24"/>
      <c r="AN2478" s="24"/>
      <c r="AO2478" s="24"/>
      <c r="AP2478" s="24"/>
      <c r="AQ2478" s="24"/>
      <c r="AR2478" s="54"/>
    </row>
    <row r="2479">
      <c r="A2479" s="57"/>
      <c r="B2479" s="24"/>
      <c r="C2479" s="24"/>
      <c r="D2479" s="24"/>
      <c r="E2479" s="24"/>
      <c r="F2479" s="24"/>
      <c r="G2479" s="24"/>
      <c r="H2479" s="24"/>
      <c r="I2479" s="24"/>
      <c r="J2479" s="24"/>
      <c r="K2479" s="24"/>
      <c r="L2479" s="24"/>
      <c r="M2479" s="24"/>
      <c r="N2479" s="24"/>
      <c r="O2479" s="24"/>
      <c r="P2479" s="24"/>
      <c r="Q2479" s="24"/>
      <c r="R2479" s="24"/>
      <c r="S2479" s="24"/>
      <c r="T2479" s="24"/>
      <c r="U2479" s="24"/>
      <c r="V2479" s="24"/>
      <c r="W2479" s="24"/>
      <c r="X2479" s="24"/>
      <c r="Y2479" s="24"/>
      <c r="Z2479" s="24"/>
      <c r="AA2479" s="24"/>
      <c r="AB2479" s="24"/>
      <c r="AC2479" s="24"/>
      <c r="AD2479" s="24"/>
      <c r="AE2479" s="24"/>
      <c r="AF2479" s="24"/>
      <c r="AG2479" s="24"/>
      <c r="AH2479" s="24"/>
      <c r="AI2479" s="24"/>
      <c r="AJ2479" s="24"/>
      <c r="AK2479" s="24"/>
      <c r="AL2479" s="24"/>
      <c r="AM2479" s="24"/>
      <c r="AN2479" s="24"/>
      <c r="AO2479" s="24"/>
      <c r="AP2479" s="24"/>
      <c r="AQ2479" s="24"/>
      <c r="AR2479" s="54"/>
    </row>
    <row r="2480">
      <c r="A2480" s="57"/>
      <c r="B2480" s="24"/>
      <c r="C2480" s="24"/>
      <c r="D2480" s="24"/>
      <c r="E2480" s="24"/>
      <c r="F2480" s="24"/>
      <c r="G2480" s="24"/>
      <c r="H2480" s="24"/>
      <c r="I2480" s="24"/>
      <c r="J2480" s="24"/>
      <c r="K2480" s="24"/>
      <c r="L2480" s="24"/>
      <c r="M2480" s="24"/>
      <c r="N2480" s="24"/>
      <c r="O2480" s="24"/>
      <c r="P2480" s="24"/>
      <c r="Q2480" s="24"/>
      <c r="R2480" s="24"/>
      <c r="S2480" s="24"/>
      <c r="T2480" s="24"/>
      <c r="U2480" s="24"/>
      <c r="V2480" s="24"/>
      <c r="W2480" s="24"/>
      <c r="X2480" s="24"/>
      <c r="Y2480" s="24"/>
      <c r="Z2480" s="24"/>
      <c r="AA2480" s="24"/>
      <c r="AB2480" s="24"/>
      <c r="AC2480" s="24"/>
      <c r="AD2480" s="24"/>
      <c r="AE2480" s="24"/>
      <c r="AF2480" s="24"/>
      <c r="AG2480" s="24"/>
      <c r="AH2480" s="24"/>
      <c r="AI2480" s="24"/>
      <c r="AJ2480" s="24"/>
      <c r="AK2480" s="24"/>
      <c r="AL2480" s="24"/>
      <c r="AM2480" s="24"/>
      <c r="AN2480" s="24"/>
      <c r="AO2480" s="24"/>
      <c r="AP2480" s="24"/>
      <c r="AQ2480" s="24"/>
      <c r="AR2480" s="54"/>
    </row>
    <row r="2481">
      <c r="A2481" s="57"/>
      <c r="B2481" s="24"/>
      <c r="C2481" s="24"/>
      <c r="D2481" s="24"/>
      <c r="E2481" s="24"/>
      <c r="F2481" s="24"/>
      <c r="G2481" s="24"/>
      <c r="H2481" s="24"/>
      <c r="I2481" s="24"/>
      <c r="J2481" s="24"/>
      <c r="K2481" s="24"/>
      <c r="L2481" s="24"/>
      <c r="M2481" s="24"/>
      <c r="N2481" s="24"/>
      <c r="O2481" s="24"/>
      <c r="P2481" s="24"/>
      <c r="Q2481" s="24"/>
      <c r="R2481" s="24"/>
      <c r="S2481" s="24"/>
      <c r="T2481" s="24"/>
      <c r="U2481" s="24"/>
      <c r="V2481" s="24"/>
      <c r="W2481" s="24"/>
      <c r="X2481" s="24"/>
      <c r="Y2481" s="24"/>
      <c r="Z2481" s="24"/>
      <c r="AA2481" s="24"/>
      <c r="AB2481" s="24"/>
      <c r="AC2481" s="24"/>
      <c r="AD2481" s="24"/>
      <c r="AE2481" s="24"/>
      <c r="AF2481" s="24"/>
      <c r="AG2481" s="24"/>
      <c r="AH2481" s="24"/>
      <c r="AI2481" s="24"/>
      <c r="AJ2481" s="24"/>
      <c r="AK2481" s="24"/>
      <c r="AL2481" s="24"/>
      <c r="AM2481" s="24"/>
      <c r="AN2481" s="24"/>
      <c r="AO2481" s="24"/>
      <c r="AP2481" s="24"/>
      <c r="AQ2481" s="24"/>
      <c r="AR2481" s="54"/>
    </row>
    <row r="2482">
      <c r="A2482" s="57"/>
      <c r="B2482" s="24"/>
      <c r="C2482" s="24"/>
      <c r="D2482" s="24"/>
      <c r="E2482" s="24"/>
      <c r="F2482" s="24"/>
      <c r="G2482" s="24"/>
      <c r="H2482" s="24"/>
      <c r="I2482" s="24"/>
      <c r="J2482" s="24"/>
      <c r="K2482" s="24"/>
      <c r="L2482" s="24"/>
      <c r="M2482" s="24"/>
      <c r="N2482" s="24"/>
      <c r="O2482" s="24"/>
      <c r="P2482" s="24"/>
      <c r="Q2482" s="24"/>
      <c r="R2482" s="24"/>
      <c r="S2482" s="24"/>
      <c r="T2482" s="24"/>
      <c r="U2482" s="24"/>
      <c r="V2482" s="24"/>
      <c r="W2482" s="24"/>
      <c r="X2482" s="24"/>
      <c r="Y2482" s="24"/>
      <c r="Z2482" s="24"/>
      <c r="AA2482" s="24"/>
      <c r="AB2482" s="24"/>
      <c r="AC2482" s="24"/>
      <c r="AD2482" s="24"/>
      <c r="AE2482" s="24"/>
      <c r="AF2482" s="24"/>
      <c r="AG2482" s="24"/>
      <c r="AH2482" s="24"/>
      <c r="AI2482" s="24"/>
      <c r="AJ2482" s="24"/>
      <c r="AK2482" s="24"/>
      <c r="AL2482" s="24"/>
      <c r="AM2482" s="24"/>
      <c r="AN2482" s="24"/>
      <c r="AO2482" s="24"/>
      <c r="AP2482" s="24"/>
      <c r="AQ2482" s="24"/>
      <c r="AR2482" s="54"/>
    </row>
    <row r="2483">
      <c r="A2483" s="57"/>
      <c r="B2483" s="24"/>
      <c r="C2483" s="24"/>
      <c r="D2483" s="24"/>
      <c r="E2483" s="24"/>
      <c r="F2483" s="24"/>
      <c r="G2483" s="24"/>
      <c r="H2483" s="24"/>
      <c r="I2483" s="24"/>
      <c r="J2483" s="24"/>
      <c r="K2483" s="24"/>
      <c r="L2483" s="24"/>
      <c r="M2483" s="24"/>
      <c r="N2483" s="24"/>
      <c r="O2483" s="24"/>
      <c r="P2483" s="24"/>
      <c r="Q2483" s="24"/>
      <c r="R2483" s="24"/>
      <c r="S2483" s="24"/>
      <c r="T2483" s="24"/>
      <c r="U2483" s="24"/>
      <c r="V2483" s="24"/>
      <c r="W2483" s="24"/>
      <c r="X2483" s="24"/>
      <c r="Y2483" s="24"/>
      <c r="Z2483" s="24"/>
      <c r="AA2483" s="24"/>
      <c r="AB2483" s="24"/>
      <c r="AC2483" s="24"/>
      <c r="AD2483" s="24"/>
      <c r="AE2483" s="24"/>
      <c r="AF2483" s="24"/>
      <c r="AG2483" s="24"/>
      <c r="AH2483" s="24"/>
      <c r="AI2483" s="24"/>
      <c r="AJ2483" s="24"/>
      <c r="AK2483" s="24"/>
      <c r="AL2483" s="24"/>
      <c r="AM2483" s="24"/>
      <c r="AN2483" s="24"/>
      <c r="AO2483" s="24"/>
      <c r="AP2483" s="24"/>
      <c r="AQ2483" s="24"/>
      <c r="AR2483" s="54"/>
    </row>
    <row r="2484">
      <c r="A2484" s="57"/>
      <c r="B2484" s="24"/>
      <c r="C2484" s="24"/>
      <c r="D2484" s="24"/>
      <c r="E2484" s="24"/>
      <c r="F2484" s="24"/>
      <c r="G2484" s="24"/>
      <c r="H2484" s="24"/>
      <c r="I2484" s="24"/>
      <c r="J2484" s="24"/>
      <c r="K2484" s="24"/>
      <c r="L2484" s="24"/>
      <c r="M2484" s="24"/>
      <c r="N2484" s="24"/>
      <c r="O2484" s="24"/>
      <c r="P2484" s="24"/>
      <c r="Q2484" s="24"/>
      <c r="R2484" s="24"/>
      <c r="S2484" s="24"/>
      <c r="T2484" s="24"/>
      <c r="U2484" s="24"/>
      <c r="V2484" s="24"/>
      <c r="W2484" s="24"/>
      <c r="X2484" s="24"/>
      <c r="Y2484" s="24"/>
      <c r="Z2484" s="24"/>
      <c r="AA2484" s="24"/>
      <c r="AB2484" s="24"/>
      <c r="AC2484" s="24"/>
      <c r="AD2484" s="24"/>
      <c r="AE2484" s="24"/>
      <c r="AF2484" s="24"/>
      <c r="AG2484" s="24"/>
      <c r="AH2484" s="24"/>
      <c r="AI2484" s="24"/>
      <c r="AJ2484" s="24"/>
      <c r="AK2484" s="24"/>
      <c r="AL2484" s="24"/>
      <c r="AM2484" s="24"/>
      <c r="AN2484" s="24"/>
      <c r="AO2484" s="24"/>
      <c r="AP2484" s="24"/>
      <c r="AQ2484" s="24"/>
      <c r="AR2484" s="54"/>
    </row>
    <row r="2485">
      <c r="A2485" s="57"/>
      <c r="B2485" s="24"/>
      <c r="C2485" s="24"/>
      <c r="D2485" s="24"/>
      <c r="E2485" s="24"/>
      <c r="F2485" s="24"/>
      <c r="G2485" s="24"/>
      <c r="H2485" s="24"/>
      <c r="I2485" s="24"/>
      <c r="J2485" s="24"/>
      <c r="K2485" s="24"/>
      <c r="L2485" s="24"/>
      <c r="M2485" s="24"/>
      <c r="N2485" s="24"/>
      <c r="O2485" s="24"/>
      <c r="P2485" s="24"/>
      <c r="Q2485" s="24"/>
      <c r="R2485" s="24"/>
      <c r="S2485" s="24"/>
      <c r="T2485" s="24"/>
      <c r="U2485" s="24"/>
      <c r="V2485" s="24"/>
      <c r="W2485" s="24"/>
      <c r="X2485" s="24"/>
      <c r="Y2485" s="24"/>
      <c r="Z2485" s="24"/>
      <c r="AA2485" s="24"/>
      <c r="AB2485" s="24"/>
      <c r="AC2485" s="24"/>
      <c r="AD2485" s="24"/>
      <c r="AE2485" s="24"/>
      <c r="AF2485" s="24"/>
      <c r="AG2485" s="24"/>
      <c r="AH2485" s="24"/>
      <c r="AI2485" s="24"/>
      <c r="AJ2485" s="24"/>
      <c r="AK2485" s="24"/>
      <c r="AL2485" s="24"/>
      <c r="AM2485" s="24"/>
      <c r="AN2485" s="24"/>
      <c r="AO2485" s="24"/>
      <c r="AP2485" s="24"/>
      <c r="AQ2485" s="24"/>
      <c r="AR2485" s="54"/>
    </row>
    <row r="2486">
      <c r="A2486" s="57"/>
      <c r="B2486" s="24"/>
      <c r="C2486" s="24"/>
      <c r="D2486" s="24"/>
      <c r="E2486" s="24"/>
      <c r="F2486" s="24"/>
      <c r="G2486" s="24"/>
      <c r="H2486" s="24"/>
      <c r="I2486" s="24"/>
      <c r="J2486" s="24"/>
      <c r="K2486" s="24"/>
      <c r="L2486" s="24"/>
      <c r="M2486" s="24"/>
      <c r="N2486" s="24"/>
      <c r="O2486" s="24"/>
      <c r="P2486" s="24"/>
      <c r="Q2486" s="24"/>
      <c r="R2486" s="24"/>
      <c r="S2486" s="24"/>
      <c r="T2486" s="24"/>
      <c r="U2486" s="24"/>
      <c r="V2486" s="24"/>
      <c r="W2486" s="24"/>
      <c r="X2486" s="24"/>
      <c r="Y2486" s="24"/>
      <c r="Z2486" s="24"/>
      <c r="AA2486" s="24"/>
      <c r="AB2486" s="24"/>
      <c r="AC2486" s="24"/>
      <c r="AD2486" s="24"/>
      <c r="AE2486" s="24"/>
      <c r="AF2486" s="24"/>
      <c r="AG2486" s="24"/>
      <c r="AH2486" s="24"/>
      <c r="AI2486" s="24"/>
      <c r="AJ2486" s="24"/>
      <c r="AK2486" s="24"/>
      <c r="AL2486" s="24"/>
      <c r="AM2486" s="24"/>
      <c r="AN2486" s="24"/>
      <c r="AO2486" s="24"/>
      <c r="AP2486" s="24"/>
      <c r="AQ2486" s="24"/>
      <c r="AR2486" s="54"/>
    </row>
    <row r="2487">
      <c r="A2487" s="57"/>
      <c r="B2487" s="24"/>
      <c r="C2487" s="24"/>
      <c r="D2487" s="24"/>
      <c r="E2487" s="24"/>
      <c r="F2487" s="24"/>
      <c r="G2487" s="24"/>
      <c r="H2487" s="24"/>
      <c r="I2487" s="24"/>
      <c r="J2487" s="24"/>
      <c r="K2487" s="24"/>
      <c r="L2487" s="24"/>
      <c r="M2487" s="24"/>
      <c r="N2487" s="24"/>
      <c r="O2487" s="24"/>
      <c r="P2487" s="24"/>
      <c r="Q2487" s="24"/>
      <c r="R2487" s="24"/>
      <c r="S2487" s="24"/>
      <c r="T2487" s="24"/>
      <c r="U2487" s="24"/>
      <c r="V2487" s="24"/>
      <c r="W2487" s="24"/>
      <c r="X2487" s="24"/>
      <c r="Y2487" s="24"/>
      <c r="Z2487" s="24"/>
      <c r="AA2487" s="24"/>
      <c r="AB2487" s="24"/>
      <c r="AC2487" s="24"/>
      <c r="AD2487" s="24"/>
      <c r="AE2487" s="24"/>
      <c r="AF2487" s="24"/>
      <c r="AG2487" s="24"/>
      <c r="AH2487" s="24"/>
      <c r="AI2487" s="24"/>
      <c r="AJ2487" s="24"/>
      <c r="AK2487" s="24"/>
      <c r="AL2487" s="24"/>
      <c r="AM2487" s="24"/>
      <c r="AN2487" s="24"/>
      <c r="AO2487" s="24"/>
      <c r="AP2487" s="24"/>
      <c r="AQ2487" s="24"/>
      <c r="AR2487" s="54"/>
    </row>
    <row r="2488">
      <c r="A2488" s="57"/>
      <c r="B2488" s="24"/>
      <c r="C2488" s="24"/>
      <c r="D2488" s="24"/>
      <c r="E2488" s="24"/>
      <c r="F2488" s="24"/>
      <c r="G2488" s="24"/>
      <c r="H2488" s="24"/>
      <c r="I2488" s="24"/>
      <c r="J2488" s="24"/>
      <c r="K2488" s="24"/>
      <c r="L2488" s="24"/>
      <c r="M2488" s="24"/>
      <c r="N2488" s="24"/>
      <c r="O2488" s="24"/>
      <c r="P2488" s="24"/>
      <c r="Q2488" s="24"/>
      <c r="R2488" s="24"/>
      <c r="S2488" s="24"/>
      <c r="T2488" s="24"/>
      <c r="U2488" s="24"/>
      <c r="V2488" s="24"/>
      <c r="W2488" s="24"/>
      <c r="X2488" s="24"/>
      <c r="Y2488" s="24"/>
      <c r="Z2488" s="24"/>
      <c r="AA2488" s="24"/>
      <c r="AB2488" s="24"/>
      <c r="AC2488" s="24"/>
      <c r="AD2488" s="24"/>
      <c r="AE2488" s="24"/>
      <c r="AF2488" s="24"/>
      <c r="AG2488" s="24"/>
      <c r="AH2488" s="24"/>
      <c r="AI2488" s="24"/>
      <c r="AJ2488" s="24"/>
      <c r="AK2488" s="24"/>
      <c r="AL2488" s="24"/>
      <c r="AM2488" s="24"/>
      <c r="AN2488" s="24"/>
      <c r="AO2488" s="24"/>
      <c r="AP2488" s="24"/>
      <c r="AQ2488" s="24"/>
      <c r="AR2488" s="54"/>
    </row>
    <row r="2489">
      <c r="A2489" s="57"/>
      <c r="B2489" s="24"/>
      <c r="C2489" s="24"/>
      <c r="D2489" s="24"/>
      <c r="E2489" s="24"/>
      <c r="F2489" s="24"/>
      <c r="G2489" s="24"/>
      <c r="H2489" s="24"/>
      <c r="I2489" s="24"/>
      <c r="J2489" s="24"/>
      <c r="K2489" s="24"/>
      <c r="L2489" s="24"/>
      <c r="M2489" s="24"/>
      <c r="N2489" s="24"/>
      <c r="O2489" s="24"/>
      <c r="P2489" s="24"/>
      <c r="Q2489" s="24"/>
      <c r="R2489" s="24"/>
      <c r="S2489" s="24"/>
      <c r="T2489" s="24"/>
      <c r="U2489" s="24"/>
      <c r="V2489" s="24"/>
      <c r="W2489" s="24"/>
      <c r="X2489" s="24"/>
      <c r="Y2489" s="24"/>
      <c r="Z2489" s="24"/>
      <c r="AA2489" s="24"/>
      <c r="AB2489" s="24"/>
      <c r="AC2489" s="24"/>
      <c r="AD2489" s="24"/>
      <c r="AE2489" s="24"/>
      <c r="AF2489" s="24"/>
      <c r="AG2489" s="24"/>
      <c r="AH2489" s="24"/>
      <c r="AI2489" s="24"/>
      <c r="AJ2489" s="24"/>
      <c r="AK2489" s="24"/>
      <c r="AL2489" s="24"/>
      <c r="AM2489" s="24"/>
      <c r="AN2489" s="24"/>
      <c r="AO2489" s="24"/>
      <c r="AP2489" s="24"/>
      <c r="AQ2489" s="24"/>
      <c r="AR2489" s="54"/>
    </row>
    <row r="2490">
      <c r="A2490" s="57"/>
      <c r="B2490" s="24"/>
      <c r="C2490" s="24"/>
      <c r="D2490" s="24"/>
      <c r="E2490" s="24"/>
      <c r="F2490" s="24"/>
      <c r="G2490" s="24"/>
      <c r="H2490" s="24"/>
      <c r="I2490" s="24"/>
      <c r="J2490" s="24"/>
      <c r="K2490" s="24"/>
      <c r="L2490" s="24"/>
      <c r="M2490" s="24"/>
      <c r="N2490" s="24"/>
      <c r="O2490" s="24"/>
      <c r="P2490" s="24"/>
      <c r="Q2490" s="24"/>
      <c r="R2490" s="24"/>
      <c r="S2490" s="24"/>
      <c r="T2490" s="24"/>
      <c r="U2490" s="24"/>
      <c r="V2490" s="24"/>
      <c r="W2490" s="24"/>
      <c r="X2490" s="24"/>
      <c r="Y2490" s="24"/>
      <c r="Z2490" s="24"/>
      <c r="AA2490" s="24"/>
      <c r="AB2490" s="24"/>
      <c r="AC2490" s="24"/>
      <c r="AD2490" s="24"/>
      <c r="AE2490" s="24"/>
      <c r="AF2490" s="24"/>
      <c r="AG2490" s="24"/>
      <c r="AH2490" s="24"/>
      <c r="AI2490" s="24"/>
      <c r="AJ2490" s="24"/>
      <c r="AK2490" s="24"/>
      <c r="AL2490" s="24"/>
      <c r="AM2490" s="24"/>
      <c r="AN2490" s="24"/>
      <c r="AO2490" s="24"/>
      <c r="AP2490" s="24"/>
      <c r="AQ2490" s="24"/>
      <c r="AR2490" s="54"/>
    </row>
    <row r="2491">
      <c r="A2491" s="57"/>
      <c r="B2491" s="24"/>
      <c r="C2491" s="24"/>
      <c r="D2491" s="24"/>
      <c r="E2491" s="24"/>
      <c r="F2491" s="24"/>
      <c r="G2491" s="24"/>
      <c r="H2491" s="24"/>
      <c r="I2491" s="24"/>
      <c r="J2491" s="24"/>
      <c r="K2491" s="24"/>
      <c r="L2491" s="24"/>
      <c r="M2491" s="24"/>
      <c r="N2491" s="24"/>
      <c r="O2491" s="24"/>
      <c r="P2491" s="24"/>
      <c r="Q2491" s="24"/>
      <c r="R2491" s="24"/>
      <c r="S2491" s="24"/>
      <c r="T2491" s="24"/>
      <c r="U2491" s="24"/>
      <c r="V2491" s="24"/>
      <c r="W2491" s="24"/>
      <c r="X2491" s="24"/>
      <c r="Y2491" s="24"/>
      <c r="Z2491" s="24"/>
      <c r="AA2491" s="24"/>
      <c r="AB2491" s="24"/>
      <c r="AC2491" s="24"/>
      <c r="AD2491" s="24"/>
      <c r="AE2491" s="24"/>
      <c r="AF2491" s="24"/>
      <c r="AG2491" s="24"/>
      <c r="AH2491" s="24"/>
      <c r="AI2491" s="24"/>
      <c r="AJ2491" s="24"/>
      <c r="AK2491" s="24"/>
      <c r="AL2491" s="24"/>
      <c r="AM2491" s="24"/>
      <c r="AN2491" s="24"/>
      <c r="AO2491" s="24"/>
      <c r="AP2491" s="24"/>
      <c r="AQ2491" s="24"/>
      <c r="AR2491" s="54"/>
    </row>
    <row r="2492">
      <c r="A2492" s="57"/>
      <c r="B2492" s="24"/>
      <c r="C2492" s="24"/>
      <c r="D2492" s="24"/>
      <c r="E2492" s="24"/>
      <c r="F2492" s="24"/>
      <c r="G2492" s="24"/>
      <c r="H2492" s="24"/>
      <c r="I2492" s="24"/>
      <c r="J2492" s="24"/>
      <c r="K2492" s="24"/>
      <c r="L2492" s="24"/>
      <c r="M2492" s="24"/>
      <c r="N2492" s="24"/>
      <c r="O2492" s="24"/>
      <c r="P2492" s="24"/>
      <c r="Q2492" s="24"/>
      <c r="R2492" s="24"/>
      <c r="S2492" s="24"/>
      <c r="T2492" s="24"/>
      <c r="U2492" s="24"/>
      <c r="V2492" s="24"/>
      <c r="W2492" s="24"/>
      <c r="X2492" s="24"/>
      <c r="Y2492" s="24"/>
      <c r="Z2492" s="24"/>
      <c r="AA2492" s="24"/>
      <c r="AB2492" s="24"/>
      <c r="AC2492" s="24"/>
      <c r="AD2492" s="24"/>
      <c r="AE2492" s="24"/>
      <c r="AF2492" s="24"/>
      <c r="AG2492" s="24"/>
      <c r="AH2492" s="24"/>
      <c r="AI2492" s="24"/>
      <c r="AJ2492" s="24"/>
      <c r="AK2492" s="24"/>
      <c r="AL2492" s="24"/>
      <c r="AM2492" s="24"/>
      <c r="AN2492" s="24"/>
      <c r="AO2492" s="24"/>
      <c r="AP2492" s="24"/>
      <c r="AQ2492" s="24"/>
      <c r="AR2492" s="54"/>
    </row>
    <row r="2493">
      <c r="A2493" s="57"/>
      <c r="B2493" s="24"/>
      <c r="C2493" s="24"/>
      <c r="D2493" s="24"/>
      <c r="E2493" s="24"/>
      <c r="F2493" s="24"/>
      <c r="G2493" s="24"/>
      <c r="H2493" s="24"/>
      <c r="I2493" s="24"/>
      <c r="J2493" s="24"/>
      <c r="K2493" s="24"/>
      <c r="L2493" s="24"/>
      <c r="M2493" s="24"/>
      <c r="N2493" s="24"/>
      <c r="O2493" s="24"/>
      <c r="P2493" s="24"/>
      <c r="Q2493" s="24"/>
      <c r="R2493" s="24"/>
      <c r="S2493" s="24"/>
      <c r="T2493" s="24"/>
      <c r="U2493" s="24"/>
      <c r="V2493" s="24"/>
      <c r="W2493" s="24"/>
      <c r="X2493" s="24"/>
      <c r="Y2493" s="24"/>
      <c r="Z2493" s="24"/>
      <c r="AA2493" s="24"/>
      <c r="AB2493" s="24"/>
      <c r="AC2493" s="24"/>
      <c r="AD2493" s="24"/>
      <c r="AE2493" s="24"/>
      <c r="AF2493" s="24"/>
      <c r="AG2493" s="24"/>
      <c r="AH2493" s="24"/>
      <c r="AI2493" s="24"/>
      <c r="AJ2493" s="24"/>
      <c r="AK2493" s="24"/>
      <c r="AL2493" s="24"/>
      <c r="AM2493" s="24"/>
      <c r="AN2493" s="24"/>
      <c r="AO2493" s="24"/>
      <c r="AP2493" s="24"/>
      <c r="AQ2493" s="24"/>
      <c r="AR2493" s="54"/>
    </row>
    <row r="2494">
      <c r="A2494" s="57"/>
      <c r="B2494" s="24"/>
      <c r="C2494" s="24"/>
      <c r="D2494" s="24"/>
      <c r="E2494" s="24"/>
      <c r="F2494" s="24"/>
      <c r="G2494" s="24"/>
      <c r="H2494" s="24"/>
      <c r="I2494" s="24"/>
      <c r="J2494" s="24"/>
      <c r="K2494" s="24"/>
      <c r="L2494" s="24"/>
      <c r="M2494" s="24"/>
      <c r="N2494" s="24"/>
      <c r="O2494" s="24"/>
      <c r="P2494" s="24"/>
      <c r="Q2494" s="24"/>
      <c r="R2494" s="24"/>
      <c r="S2494" s="24"/>
      <c r="T2494" s="24"/>
      <c r="U2494" s="24"/>
      <c r="V2494" s="24"/>
      <c r="W2494" s="24"/>
      <c r="X2494" s="24"/>
      <c r="Y2494" s="24"/>
      <c r="Z2494" s="24"/>
      <c r="AA2494" s="24"/>
      <c r="AB2494" s="24"/>
      <c r="AC2494" s="24"/>
      <c r="AD2494" s="24"/>
      <c r="AE2494" s="24"/>
      <c r="AF2494" s="24"/>
      <c r="AG2494" s="24"/>
      <c r="AH2494" s="24"/>
      <c r="AI2494" s="24"/>
      <c r="AJ2494" s="24"/>
      <c r="AK2494" s="24"/>
      <c r="AL2494" s="24"/>
      <c r="AM2494" s="24"/>
      <c r="AN2494" s="24"/>
      <c r="AO2494" s="24"/>
      <c r="AP2494" s="24"/>
      <c r="AQ2494" s="24"/>
      <c r="AR2494" s="54"/>
    </row>
    <row r="2495">
      <c r="A2495" s="57"/>
      <c r="B2495" s="24"/>
      <c r="C2495" s="24"/>
      <c r="D2495" s="24"/>
      <c r="E2495" s="24"/>
      <c r="F2495" s="24"/>
      <c r="G2495" s="24"/>
      <c r="H2495" s="24"/>
      <c r="I2495" s="24"/>
      <c r="J2495" s="24"/>
      <c r="K2495" s="24"/>
      <c r="L2495" s="24"/>
      <c r="M2495" s="24"/>
      <c r="N2495" s="24"/>
      <c r="O2495" s="24"/>
      <c r="P2495" s="24"/>
      <c r="Q2495" s="24"/>
      <c r="R2495" s="24"/>
      <c r="S2495" s="24"/>
      <c r="T2495" s="24"/>
      <c r="U2495" s="24"/>
      <c r="V2495" s="24"/>
      <c r="W2495" s="24"/>
      <c r="X2495" s="24"/>
      <c r="Y2495" s="24"/>
      <c r="Z2495" s="24"/>
      <c r="AA2495" s="24"/>
      <c r="AB2495" s="24"/>
      <c r="AC2495" s="24"/>
      <c r="AD2495" s="24"/>
      <c r="AE2495" s="24"/>
      <c r="AF2495" s="24"/>
      <c r="AG2495" s="24"/>
      <c r="AH2495" s="24"/>
      <c r="AI2495" s="24"/>
      <c r="AJ2495" s="24"/>
      <c r="AK2495" s="24"/>
      <c r="AL2495" s="24"/>
      <c r="AM2495" s="24"/>
      <c r="AN2495" s="24"/>
      <c r="AO2495" s="24"/>
      <c r="AP2495" s="24"/>
      <c r="AQ2495" s="24"/>
      <c r="AR2495" s="54"/>
    </row>
    <row r="2496">
      <c r="A2496" s="57"/>
      <c r="B2496" s="24"/>
      <c r="C2496" s="24"/>
      <c r="D2496" s="24"/>
      <c r="E2496" s="24"/>
      <c r="F2496" s="24"/>
      <c r="G2496" s="24"/>
      <c r="H2496" s="24"/>
      <c r="I2496" s="24"/>
      <c r="J2496" s="24"/>
      <c r="K2496" s="24"/>
      <c r="L2496" s="24"/>
      <c r="M2496" s="24"/>
      <c r="N2496" s="24"/>
      <c r="O2496" s="24"/>
      <c r="P2496" s="24"/>
      <c r="Q2496" s="24"/>
      <c r="R2496" s="24"/>
      <c r="S2496" s="24"/>
      <c r="T2496" s="24"/>
      <c r="U2496" s="24"/>
      <c r="V2496" s="24"/>
      <c r="W2496" s="24"/>
      <c r="X2496" s="24"/>
      <c r="Y2496" s="24"/>
      <c r="Z2496" s="24"/>
      <c r="AA2496" s="24"/>
      <c r="AB2496" s="24"/>
      <c r="AC2496" s="24"/>
      <c r="AD2496" s="24"/>
      <c r="AE2496" s="24"/>
      <c r="AF2496" s="24"/>
      <c r="AG2496" s="24"/>
      <c r="AH2496" s="24"/>
      <c r="AI2496" s="24"/>
      <c r="AJ2496" s="24"/>
      <c r="AK2496" s="24"/>
      <c r="AL2496" s="24"/>
      <c r="AM2496" s="24"/>
      <c r="AN2496" s="24"/>
      <c r="AO2496" s="24"/>
      <c r="AP2496" s="24"/>
      <c r="AQ2496" s="24"/>
      <c r="AR2496" s="54"/>
    </row>
    <row r="2497">
      <c r="A2497" s="57"/>
      <c r="B2497" s="24"/>
      <c r="C2497" s="24"/>
      <c r="D2497" s="24"/>
      <c r="E2497" s="24"/>
      <c r="F2497" s="24"/>
      <c r="G2497" s="24"/>
      <c r="H2497" s="24"/>
      <c r="I2497" s="24"/>
      <c r="J2497" s="24"/>
      <c r="K2497" s="24"/>
      <c r="L2497" s="24"/>
      <c r="M2497" s="24"/>
      <c r="N2497" s="24"/>
      <c r="O2497" s="24"/>
      <c r="P2497" s="24"/>
      <c r="Q2497" s="24"/>
      <c r="R2497" s="24"/>
      <c r="S2497" s="24"/>
      <c r="T2497" s="24"/>
      <c r="U2497" s="24"/>
      <c r="V2497" s="24"/>
      <c r="W2497" s="24"/>
      <c r="X2497" s="24"/>
      <c r="Y2497" s="24"/>
      <c r="Z2497" s="24"/>
      <c r="AA2497" s="24"/>
      <c r="AB2497" s="24"/>
      <c r="AC2497" s="24"/>
      <c r="AD2497" s="24"/>
      <c r="AE2497" s="24"/>
      <c r="AF2497" s="24"/>
      <c r="AG2497" s="24"/>
      <c r="AH2497" s="24"/>
      <c r="AI2497" s="24"/>
      <c r="AJ2497" s="24"/>
      <c r="AK2497" s="24"/>
      <c r="AL2497" s="24"/>
      <c r="AM2497" s="24"/>
      <c r="AN2497" s="24"/>
      <c r="AO2497" s="24"/>
      <c r="AP2497" s="24"/>
      <c r="AQ2497" s="24"/>
      <c r="AR2497" s="54"/>
    </row>
    <row r="2498">
      <c r="A2498" s="57"/>
      <c r="B2498" s="24"/>
      <c r="C2498" s="24"/>
      <c r="D2498" s="24"/>
      <c r="E2498" s="24"/>
      <c r="F2498" s="24"/>
      <c r="G2498" s="24"/>
      <c r="H2498" s="24"/>
      <c r="I2498" s="24"/>
      <c r="J2498" s="24"/>
      <c r="K2498" s="24"/>
      <c r="L2498" s="24"/>
      <c r="M2498" s="24"/>
      <c r="N2498" s="24"/>
      <c r="O2498" s="24"/>
      <c r="P2498" s="24"/>
      <c r="Q2498" s="24"/>
      <c r="R2498" s="24"/>
      <c r="S2498" s="24"/>
      <c r="T2498" s="24"/>
      <c r="U2498" s="24"/>
      <c r="V2498" s="24"/>
      <c r="W2498" s="24"/>
      <c r="X2498" s="24"/>
      <c r="Y2498" s="24"/>
      <c r="Z2498" s="24"/>
      <c r="AA2498" s="24"/>
      <c r="AB2498" s="24"/>
      <c r="AC2498" s="24"/>
      <c r="AD2498" s="24"/>
      <c r="AE2498" s="24"/>
      <c r="AF2498" s="24"/>
      <c r="AG2498" s="24"/>
      <c r="AH2498" s="24"/>
      <c r="AI2498" s="24"/>
      <c r="AJ2498" s="24"/>
      <c r="AK2498" s="24"/>
      <c r="AL2498" s="24"/>
      <c r="AM2498" s="24"/>
      <c r="AN2498" s="24"/>
      <c r="AO2498" s="24"/>
      <c r="AP2498" s="24"/>
      <c r="AQ2498" s="24"/>
      <c r="AR2498" s="54"/>
    </row>
    <row r="2499">
      <c r="A2499" s="57"/>
      <c r="B2499" s="24"/>
      <c r="C2499" s="24"/>
      <c r="D2499" s="24"/>
      <c r="E2499" s="24"/>
      <c r="F2499" s="24"/>
      <c r="G2499" s="24"/>
      <c r="H2499" s="24"/>
      <c r="I2499" s="24"/>
      <c r="J2499" s="24"/>
      <c r="K2499" s="24"/>
      <c r="L2499" s="24"/>
      <c r="M2499" s="24"/>
      <c r="N2499" s="24"/>
      <c r="O2499" s="24"/>
      <c r="P2499" s="24"/>
      <c r="Q2499" s="24"/>
      <c r="R2499" s="24"/>
      <c r="S2499" s="24"/>
      <c r="T2499" s="24"/>
      <c r="U2499" s="24"/>
      <c r="V2499" s="24"/>
      <c r="W2499" s="24"/>
      <c r="X2499" s="24"/>
      <c r="Y2499" s="24"/>
      <c r="Z2499" s="24"/>
      <c r="AA2499" s="24"/>
      <c r="AB2499" s="24"/>
      <c r="AC2499" s="24"/>
      <c r="AD2499" s="24"/>
      <c r="AE2499" s="24"/>
      <c r="AF2499" s="24"/>
      <c r="AG2499" s="24"/>
      <c r="AH2499" s="24"/>
      <c r="AI2499" s="24"/>
      <c r="AJ2499" s="24"/>
      <c r="AK2499" s="24"/>
      <c r="AL2499" s="24"/>
      <c r="AM2499" s="24"/>
      <c r="AN2499" s="24"/>
      <c r="AO2499" s="24"/>
      <c r="AP2499" s="24"/>
      <c r="AQ2499" s="24"/>
      <c r="AR2499" s="54"/>
    </row>
    <row r="2500">
      <c r="A2500" s="57"/>
      <c r="B2500" s="24"/>
      <c r="C2500" s="24"/>
      <c r="D2500" s="24"/>
      <c r="E2500" s="24"/>
      <c r="F2500" s="24"/>
      <c r="G2500" s="24"/>
      <c r="H2500" s="24"/>
      <c r="I2500" s="24"/>
      <c r="J2500" s="24"/>
      <c r="K2500" s="24"/>
      <c r="L2500" s="24"/>
      <c r="M2500" s="24"/>
      <c r="N2500" s="24"/>
      <c r="O2500" s="24"/>
      <c r="P2500" s="24"/>
      <c r="Q2500" s="24"/>
      <c r="R2500" s="24"/>
      <c r="S2500" s="24"/>
      <c r="T2500" s="24"/>
      <c r="U2500" s="24"/>
      <c r="V2500" s="24"/>
      <c r="W2500" s="24"/>
      <c r="X2500" s="24"/>
      <c r="Y2500" s="24"/>
      <c r="Z2500" s="24"/>
      <c r="AA2500" s="24"/>
      <c r="AB2500" s="24"/>
      <c r="AC2500" s="24"/>
      <c r="AD2500" s="24"/>
      <c r="AE2500" s="24"/>
      <c r="AF2500" s="24"/>
      <c r="AG2500" s="24"/>
      <c r="AH2500" s="24"/>
      <c r="AI2500" s="24"/>
      <c r="AJ2500" s="24"/>
      <c r="AK2500" s="24"/>
      <c r="AL2500" s="24"/>
      <c r="AM2500" s="24"/>
      <c r="AN2500" s="24"/>
      <c r="AO2500" s="24"/>
      <c r="AP2500" s="24"/>
      <c r="AQ2500" s="24"/>
      <c r="AR2500" s="54"/>
    </row>
    <row r="2501">
      <c r="A2501" s="57"/>
      <c r="B2501" s="24"/>
      <c r="C2501" s="24"/>
      <c r="D2501" s="24"/>
      <c r="E2501" s="24"/>
      <c r="F2501" s="24"/>
      <c r="G2501" s="24"/>
      <c r="H2501" s="24"/>
      <c r="I2501" s="24"/>
      <c r="J2501" s="24"/>
      <c r="K2501" s="24"/>
      <c r="L2501" s="24"/>
      <c r="M2501" s="24"/>
      <c r="N2501" s="24"/>
      <c r="O2501" s="24"/>
      <c r="P2501" s="24"/>
      <c r="Q2501" s="24"/>
      <c r="R2501" s="24"/>
      <c r="S2501" s="24"/>
      <c r="T2501" s="24"/>
      <c r="U2501" s="24"/>
      <c r="V2501" s="24"/>
      <c r="W2501" s="24"/>
      <c r="X2501" s="24"/>
      <c r="Y2501" s="24"/>
      <c r="Z2501" s="24"/>
      <c r="AA2501" s="24"/>
      <c r="AB2501" s="24"/>
      <c r="AC2501" s="24"/>
      <c r="AD2501" s="24"/>
      <c r="AE2501" s="24"/>
      <c r="AF2501" s="24"/>
      <c r="AG2501" s="24"/>
      <c r="AH2501" s="24"/>
      <c r="AI2501" s="24"/>
      <c r="AJ2501" s="24"/>
      <c r="AK2501" s="24"/>
      <c r="AL2501" s="24"/>
      <c r="AM2501" s="24"/>
      <c r="AN2501" s="24"/>
      <c r="AO2501" s="24"/>
      <c r="AP2501" s="24"/>
      <c r="AQ2501" s="24"/>
      <c r="AR2501" s="54"/>
    </row>
    <row r="2502">
      <c r="A2502" s="57"/>
      <c r="B2502" s="24"/>
      <c r="C2502" s="24"/>
      <c r="D2502" s="24"/>
      <c r="E2502" s="24"/>
      <c r="F2502" s="24"/>
      <c r="G2502" s="24"/>
      <c r="H2502" s="24"/>
      <c r="I2502" s="24"/>
      <c r="J2502" s="24"/>
      <c r="K2502" s="24"/>
      <c r="L2502" s="24"/>
      <c r="M2502" s="24"/>
      <c r="N2502" s="24"/>
      <c r="O2502" s="24"/>
      <c r="P2502" s="24"/>
      <c r="Q2502" s="24"/>
      <c r="R2502" s="24"/>
      <c r="S2502" s="24"/>
      <c r="T2502" s="24"/>
      <c r="U2502" s="24"/>
      <c r="V2502" s="24"/>
      <c r="W2502" s="24"/>
      <c r="X2502" s="24"/>
      <c r="Y2502" s="24"/>
      <c r="Z2502" s="24"/>
      <c r="AA2502" s="24"/>
      <c r="AB2502" s="24"/>
      <c r="AC2502" s="24"/>
      <c r="AD2502" s="24"/>
      <c r="AE2502" s="24"/>
      <c r="AF2502" s="24"/>
      <c r="AG2502" s="24"/>
      <c r="AH2502" s="24"/>
      <c r="AI2502" s="24"/>
      <c r="AJ2502" s="24"/>
      <c r="AK2502" s="24"/>
      <c r="AL2502" s="24"/>
      <c r="AM2502" s="24"/>
      <c r="AN2502" s="24"/>
      <c r="AO2502" s="24"/>
      <c r="AP2502" s="24"/>
      <c r="AQ2502" s="24"/>
      <c r="AR2502" s="54"/>
    </row>
    <row r="2503">
      <c r="A2503" s="57"/>
      <c r="B2503" s="24"/>
      <c r="C2503" s="24"/>
      <c r="D2503" s="24"/>
      <c r="E2503" s="24"/>
      <c r="F2503" s="24"/>
      <c r="G2503" s="24"/>
      <c r="H2503" s="24"/>
      <c r="I2503" s="24"/>
      <c r="J2503" s="24"/>
      <c r="K2503" s="24"/>
      <c r="L2503" s="24"/>
      <c r="M2503" s="24"/>
      <c r="N2503" s="24"/>
      <c r="O2503" s="24"/>
      <c r="P2503" s="24"/>
      <c r="Q2503" s="24"/>
      <c r="R2503" s="24"/>
      <c r="S2503" s="24"/>
      <c r="T2503" s="24"/>
      <c r="U2503" s="24"/>
      <c r="V2503" s="24"/>
      <c r="W2503" s="24"/>
      <c r="X2503" s="24"/>
      <c r="Y2503" s="24"/>
      <c r="Z2503" s="24"/>
      <c r="AA2503" s="24"/>
      <c r="AB2503" s="24"/>
      <c r="AC2503" s="24"/>
      <c r="AD2503" s="24"/>
      <c r="AE2503" s="24"/>
      <c r="AF2503" s="24"/>
      <c r="AG2503" s="24"/>
      <c r="AH2503" s="24"/>
      <c r="AI2503" s="24"/>
      <c r="AJ2503" s="24"/>
      <c r="AK2503" s="24"/>
      <c r="AL2503" s="24"/>
      <c r="AM2503" s="24"/>
      <c r="AN2503" s="24"/>
      <c r="AO2503" s="24"/>
      <c r="AP2503" s="24"/>
      <c r="AQ2503" s="24"/>
      <c r="AR2503" s="54"/>
    </row>
    <row r="2504">
      <c r="A2504" s="57"/>
      <c r="B2504" s="24"/>
      <c r="C2504" s="24"/>
      <c r="D2504" s="24"/>
      <c r="E2504" s="24"/>
      <c r="F2504" s="24"/>
      <c r="G2504" s="24"/>
      <c r="H2504" s="24"/>
      <c r="I2504" s="24"/>
      <c r="J2504" s="24"/>
      <c r="K2504" s="24"/>
      <c r="L2504" s="24"/>
      <c r="M2504" s="24"/>
      <c r="N2504" s="24"/>
      <c r="O2504" s="24"/>
      <c r="P2504" s="24"/>
      <c r="Q2504" s="24"/>
      <c r="R2504" s="24"/>
      <c r="S2504" s="24"/>
      <c r="T2504" s="24"/>
      <c r="U2504" s="24"/>
      <c r="V2504" s="24"/>
      <c r="W2504" s="24"/>
      <c r="X2504" s="24"/>
      <c r="Y2504" s="24"/>
      <c r="Z2504" s="24"/>
      <c r="AA2504" s="24"/>
      <c r="AB2504" s="24"/>
      <c r="AC2504" s="24"/>
      <c r="AD2504" s="24"/>
      <c r="AE2504" s="24"/>
      <c r="AF2504" s="24"/>
      <c r="AG2504" s="24"/>
      <c r="AH2504" s="24"/>
      <c r="AI2504" s="24"/>
      <c r="AJ2504" s="24"/>
      <c r="AK2504" s="24"/>
      <c r="AL2504" s="24"/>
      <c r="AM2504" s="24"/>
      <c r="AN2504" s="24"/>
      <c r="AO2504" s="24"/>
      <c r="AP2504" s="24"/>
      <c r="AQ2504" s="24"/>
      <c r="AR2504" s="54"/>
    </row>
    <row r="2505">
      <c r="A2505" s="57"/>
      <c r="B2505" s="24"/>
      <c r="C2505" s="24"/>
      <c r="D2505" s="24"/>
      <c r="E2505" s="24"/>
      <c r="F2505" s="24"/>
      <c r="G2505" s="24"/>
      <c r="H2505" s="24"/>
      <c r="I2505" s="24"/>
      <c r="J2505" s="24"/>
      <c r="K2505" s="24"/>
      <c r="L2505" s="24"/>
      <c r="M2505" s="24"/>
      <c r="N2505" s="24"/>
      <c r="O2505" s="24"/>
      <c r="P2505" s="24"/>
      <c r="Q2505" s="24"/>
      <c r="R2505" s="24"/>
      <c r="S2505" s="24"/>
      <c r="T2505" s="24"/>
      <c r="U2505" s="24"/>
      <c r="V2505" s="24"/>
      <c r="W2505" s="24"/>
      <c r="X2505" s="24"/>
      <c r="Y2505" s="24"/>
      <c r="Z2505" s="24"/>
      <c r="AA2505" s="24"/>
      <c r="AB2505" s="24"/>
      <c r="AC2505" s="24"/>
      <c r="AD2505" s="24"/>
      <c r="AE2505" s="24"/>
      <c r="AF2505" s="24"/>
      <c r="AG2505" s="24"/>
      <c r="AH2505" s="24"/>
      <c r="AI2505" s="24"/>
      <c r="AJ2505" s="24"/>
      <c r="AK2505" s="24"/>
      <c r="AL2505" s="24"/>
      <c r="AM2505" s="24"/>
      <c r="AN2505" s="24"/>
      <c r="AO2505" s="24"/>
      <c r="AP2505" s="24"/>
      <c r="AQ2505" s="24"/>
      <c r="AR2505" s="54"/>
    </row>
    <row r="2506">
      <c r="A2506" s="57"/>
      <c r="B2506" s="24"/>
      <c r="C2506" s="24"/>
      <c r="D2506" s="24"/>
      <c r="E2506" s="24"/>
      <c r="F2506" s="24"/>
      <c r="G2506" s="24"/>
      <c r="H2506" s="24"/>
      <c r="I2506" s="24"/>
      <c r="J2506" s="24"/>
      <c r="K2506" s="24"/>
      <c r="L2506" s="24"/>
      <c r="M2506" s="24"/>
      <c r="N2506" s="24"/>
      <c r="O2506" s="24"/>
      <c r="P2506" s="24"/>
      <c r="Q2506" s="24"/>
      <c r="R2506" s="24"/>
      <c r="S2506" s="24"/>
      <c r="T2506" s="24"/>
      <c r="U2506" s="24"/>
      <c r="V2506" s="24"/>
      <c r="W2506" s="24"/>
      <c r="X2506" s="24"/>
      <c r="Y2506" s="24"/>
      <c r="Z2506" s="24"/>
      <c r="AA2506" s="24"/>
      <c r="AB2506" s="24"/>
      <c r="AC2506" s="24"/>
      <c r="AD2506" s="24"/>
      <c r="AE2506" s="24"/>
      <c r="AF2506" s="24"/>
      <c r="AG2506" s="24"/>
      <c r="AH2506" s="24"/>
      <c r="AI2506" s="24"/>
      <c r="AJ2506" s="24"/>
      <c r="AK2506" s="24"/>
      <c r="AL2506" s="24"/>
      <c r="AM2506" s="24"/>
      <c r="AN2506" s="24"/>
      <c r="AO2506" s="24"/>
      <c r="AP2506" s="24"/>
      <c r="AQ2506" s="24"/>
      <c r="AR2506" s="54"/>
    </row>
    <row r="2507">
      <c r="A2507" s="57"/>
      <c r="B2507" s="24"/>
      <c r="C2507" s="24"/>
      <c r="D2507" s="24"/>
      <c r="E2507" s="24"/>
      <c r="F2507" s="24"/>
      <c r="G2507" s="24"/>
      <c r="H2507" s="24"/>
      <c r="I2507" s="24"/>
      <c r="J2507" s="24"/>
      <c r="K2507" s="24"/>
      <c r="L2507" s="24"/>
      <c r="M2507" s="24"/>
      <c r="N2507" s="24"/>
      <c r="O2507" s="24"/>
      <c r="P2507" s="24"/>
      <c r="Q2507" s="24"/>
      <c r="R2507" s="24"/>
      <c r="S2507" s="24"/>
      <c r="T2507" s="24"/>
      <c r="U2507" s="24"/>
      <c r="V2507" s="24"/>
      <c r="W2507" s="24"/>
      <c r="X2507" s="24"/>
      <c r="Y2507" s="24"/>
      <c r="Z2507" s="24"/>
      <c r="AA2507" s="24"/>
      <c r="AB2507" s="24"/>
      <c r="AC2507" s="24"/>
      <c r="AD2507" s="24"/>
      <c r="AE2507" s="24"/>
      <c r="AF2507" s="24"/>
      <c r="AG2507" s="24"/>
      <c r="AH2507" s="24"/>
      <c r="AI2507" s="24"/>
      <c r="AJ2507" s="24"/>
      <c r="AK2507" s="24"/>
      <c r="AL2507" s="24"/>
      <c r="AM2507" s="24"/>
      <c r="AN2507" s="24"/>
      <c r="AO2507" s="24"/>
      <c r="AP2507" s="24"/>
      <c r="AQ2507" s="24"/>
      <c r="AR2507" s="54"/>
    </row>
    <row r="2508">
      <c r="A2508" s="57"/>
      <c r="B2508" s="24"/>
      <c r="C2508" s="24"/>
      <c r="D2508" s="24"/>
      <c r="E2508" s="24"/>
      <c r="F2508" s="24"/>
      <c r="G2508" s="24"/>
      <c r="H2508" s="24"/>
      <c r="I2508" s="24"/>
      <c r="J2508" s="24"/>
      <c r="K2508" s="24"/>
      <c r="L2508" s="24"/>
      <c r="M2508" s="24"/>
      <c r="N2508" s="24"/>
      <c r="O2508" s="24"/>
      <c r="P2508" s="24"/>
      <c r="Q2508" s="24"/>
      <c r="R2508" s="24"/>
      <c r="S2508" s="24"/>
      <c r="T2508" s="24"/>
      <c r="U2508" s="24"/>
      <c r="V2508" s="24"/>
      <c r="W2508" s="24"/>
      <c r="X2508" s="24"/>
      <c r="Y2508" s="24"/>
      <c r="Z2508" s="24"/>
      <c r="AA2508" s="24"/>
      <c r="AB2508" s="24"/>
      <c r="AC2508" s="24"/>
      <c r="AD2508" s="24"/>
      <c r="AE2508" s="24"/>
      <c r="AF2508" s="24"/>
      <c r="AG2508" s="24"/>
      <c r="AH2508" s="24"/>
      <c r="AI2508" s="24"/>
      <c r="AJ2508" s="24"/>
      <c r="AK2508" s="24"/>
      <c r="AL2508" s="24"/>
      <c r="AM2508" s="24"/>
      <c r="AN2508" s="24"/>
      <c r="AO2508" s="24"/>
      <c r="AP2508" s="24"/>
      <c r="AQ2508" s="24"/>
      <c r="AR2508" s="54"/>
    </row>
    <row r="2509">
      <c r="A2509" s="57"/>
      <c r="B2509" s="24"/>
      <c r="C2509" s="24"/>
      <c r="D2509" s="24"/>
      <c r="E2509" s="24"/>
      <c r="F2509" s="24"/>
      <c r="G2509" s="24"/>
      <c r="H2509" s="24"/>
      <c r="I2509" s="24"/>
      <c r="J2509" s="24"/>
      <c r="K2509" s="24"/>
      <c r="L2509" s="24"/>
      <c r="M2509" s="24"/>
      <c r="N2509" s="24"/>
      <c r="O2509" s="24"/>
      <c r="P2509" s="24"/>
      <c r="Q2509" s="24"/>
      <c r="R2509" s="24"/>
      <c r="S2509" s="24"/>
      <c r="T2509" s="24"/>
      <c r="U2509" s="24"/>
      <c r="V2509" s="24"/>
      <c r="W2509" s="24"/>
      <c r="X2509" s="24"/>
      <c r="Y2509" s="24"/>
      <c r="Z2509" s="24"/>
      <c r="AA2509" s="24"/>
      <c r="AB2509" s="24"/>
      <c r="AC2509" s="24"/>
      <c r="AD2509" s="24"/>
      <c r="AE2509" s="24"/>
      <c r="AF2509" s="24"/>
      <c r="AG2509" s="24"/>
      <c r="AH2509" s="24"/>
      <c r="AI2509" s="24"/>
      <c r="AJ2509" s="24"/>
      <c r="AK2509" s="24"/>
      <c r="AL2509" s="24"/>
      <c r="AM2509" s="24"/>
      <c r="AN2509" s="24"/>
      <c r="AO2509" s="24"/>
      <c r="AP2509" s="24"/>
      <c r="AQ2509" s="24"/>
      <c r="AR2509" s="54"/>
    </row>
    <row r="2510">
      <c r="A2510" s="57"/>
      <c r="B2510" s="24"/>
      <c r="C2510" s="24"/>
      <c r="D2510" s="24"/>
      <c r="E2510" s="24"/>
      <c r="F2510" s="24"/>
      <c r="G2510" s="24"/>
      <c r="H2510" s="24"/>
      <c r="I2510" s="24"/>
      <c r="J2510" s="24"/>
      <c r="K2510" s="24"/>
      <c r="L2510" s="24"/>
      <c r="M2510" s="24"/>
      <c r="N2510" s="24"/>
      <c r="O2510" s="24"/>
      <c r="P2510" s="24"/>
      <c r="Q2510" s="24"/>
      <c r="R2510" s="24"/>
      <c r="S2510" s="24"/>
      <c r="T2510" s="24"/>
      <c r="U2510" s="24"/>
      <c r="V2510" s="24"/>
      <c r="W2510" s="24"/>
      <c r="X2510" s="24"/>
      <c r="Y2510" s="24"/>
      <c r="Z2510" s="24"/>
      <c r="AA2510" s="24"/>
      <c r="AB2510" s="24"/>
      <c r="AC2510" s="24"/>
      <c r="AD2510" s="24"/>
      <c r="AE2510" s="24"/>
      <c r="AF2510" s="24"/>
      <c r="AG2510" s="24"/>
      <c r="AH2510" s="24"/>
      <c r="AI2510" s="24"/>
      <c r="AJ2510" s="24"/>
      <c r="AK2510" s="24"/>
      <c r="AL2510" s="24"/>
      <c r="AM2510" s="24"/>
      <c r="AN2510" s="24"/>
      <c r="AO2510" s="24"/>
      <c r="AP2510" s="24"/>
      <c r="AQ2510" s="24"/>
      <c r="AR2510" s="54"/>
    </row>
    <row r="2511">
      <c r="A2511" s="57"/>
      <c r="B2511" s="24"/>
      <c r="C2511" s="24"/>
      <c r="D2511" s="24"/>
      <c r="E2511" s="24"/>
      <c r="F2511" s="24"/>
      <c r="G2511" s="24"/>
      <c r="H2511" s="24"/>
      <c r="I2511" s="24"/>
      <c r="J2511" s="24"/>
      <c r="K2511" s="24"/>
      <c r="L2511" s="24"/>
      <c r="M2511" s="24"/>
      <c r="N2511" s="24"/>
      <c r="O2511" s="24"/>
      <c r="P2511" s="24"/>
      <c r="Q2511" s="24"/>
      <c r="R2511" s="24"/>
      <c r="S2511" s="24"/>
      <c r="T2511" s="24"/>
      <c r="U2511" s="24"/>
      <c r="V2511" s="24"/>
      <c r="W2511" s="24"/>
      <c r="X2511" s="24"/>
      <c r="Y2511" s="24"/>
      <c r="Z2511" s="24"/>
      <c r="AA2511" s="24"/>
      <c r="AB2511" s="24"/>
      <c r="AC2511" s="24"/>
      <c r="AD2511" s="24"/>
      <c r="AE2511" s="24"/>
      <c r="AF2511" s="24"/>
      <c r="AG2511" s="24"/>
      <c r="AH2511" s="24"/>
      <c r="AI2511" s="24"/>
      <c r="AJ2511" s="24"/>
      <c r="AK2511" s="24"/>
      <c r="AL2511" s="24"/>
      <c r="AM2511" s="24"/>
      <c r="AN2511" s="24"/>
      <c r="AO2511" s="24"/>
      <c r="AP2511" s="24"/>
      <c r="AQ2511" s="24"/>
      <c r="AR2511" s="54"/>
    </row>
    <row r="2512">
      <c r="A2512" s="57"/>
      <c r="B2512" s="24"/>
      <c r="C2512" s="24"/>
      <c r="D2512" s="24"/>
      <c r="E2512" s="24"/>
      <c r="F2512" s="24"/>
      <c r="G2512" s="24"/>
      <c r="H2512" s="24"/>
      <c r="I2512" s="24"/>
      <c r="J2512" s="24"/>
      <c r="K2512" s="24"/>
      <c r="L2512" s="24"/>
      <c r="M2512" s="24"/>
      <c r="N2512" s="24"/>
      <c r="O2512" s="24"/>
      <c r="P2512" s="24"/>
      <c r="Q2512" s="24"/>
      <c r="R2512" s="24"/>
      <c r="S2512" s="24"/>
      <c r="T2512" s="24"/>
      <c r="U2512" s="24"/>
      <c r="V2512" s="24"/>
      <c r="W2512" s="24"/>
      <c r="X2512" s="24"/>
      <c r="Y2512" s="24"/>
      <c r="Z2512" s="24"/>
      <c r="AA2512" s="24"/>
      <c r="AB2512" s="24"/>
      <c r="AC2512" s="24"/>
      <c r="AD2512" s="24"/>
      <c r="AE2512" s="24"/>
      <c r="AF2512" s="24"/>
      <c r="AG2512" s="24"/>
      <c r="AH2512" s="24"/>
      <c r="AI2512" s="24"/>
      <c r="AJ2512" s="24"/>
      <c r="AK2512" s="24"/>
      <c r="AL2512" s="24"/>
      <c r="AM2512" s="24"/>
      <c r="AN2512" s="24"/>
      <c r="AO2512" s="24"/>
      <c r="AP2512" s="24"/>
      <c r="AQ2512" s="24"/>
      <c r="AR2512" s="54"/>
    </row>
    <row r="2513">
      <c r="A2513" s="57"/>
      <c r="B2513" s="24"/>
      <c r="C2513" s="24"/>
      <c r="D2513" s="24"/>
      <c r="E2513" s="24"/>
      <c r="F2513" s="24"/>
      <c r="G2513" s="24"/>
      <c r="H2513" s="24"/>
      <c r="I2513" s="24"/>
      <c r="J2513" s="24"/>
      <c r="K2513" s="24"/>
      <c r="L2513" s="24"/>
      <c r="M2513" s="24"/>
      <c r="N2513" s="24"/>
      <c r="O2513" s="24"/>
      <c r="P2513" s="24"/>
      <c r="Q2513" s="24"/>
      <c r="R2513" s="24"/>
      <c r="S2513" s="24"/>
      <c r="T2513" s="24"/>
      <c r="U2513" s="24"/>
      <c r="V2513" s="24"/>
      <c r="W2513" s="24"/>
      <c r="X2513" s="24"/>
      <c r="Y2513" s="24"/>
      <c r="Z2513" s="24"/>
      <c r="AA2513" s="24"/>
      <c r="AB2513" s="24"/>
      <c r="AC2513" s="24"/>
      <c r="AD2513" s="24"/>
      <c r="AE2513" s="24"/>
      <c r="AF2513" s="24"/>
      <c r="AG2513" s="24"/>
      <c r="AH2513" s="24"/>
      <c r="AI2513" s="24"/>
      <c r="AJ2513" s="24"/>
      <c r="AK2513" s="24"/>
      <c r="AL2513" s="24"/>
      <c r="AM2513" s="24"/>
      <c r="AN2513" s="24"/>
      <c r="AO2513" s="24"/>
      <c r="AP2513" s="24"/>
      <c r="AQ2513" s="24"/>
      <c r="AR2513" s="54"/>
    </row>
    <row r="2514">
      <c r="A2514" s="57"/>
      <c r="B2514" s="24"/>
      <c r="C2514" s="24"/>
      <c r="D2514" s="24"/>
      <c r="E2514" s="24"/>
      <c r="F2514" s="24"/>
      <c r="G2514" s="24"/>
      <c r="H2514" s="24"/>
      <c r="I2514" s="24"/>
      <c r="J2514" s="24"/>
      <c r="K2514" s="24"/>
      <c r="L2514" s="24"/>
      <c r="M2514" s="24"/>
      <c r="N2514" s="24"/>
      <c r="O2514" s="24"/>
      <c r="P2514" s="24"/>
      <c r="Q2514" s="24"/>
      <c r="R2514" s="24"/>
      <c r="S2514" s="24"/>
      <c r="T2514" s="24"/>
      <c r="U2514" s="24"/>
      <c r="V2514" s="24"/>
      <c r="W2514" s="24"/>
      <c r="X2514" s="24"/>
      <c r="Y2514" s="24"/>
      <c r="Z2514" s="24"/>
      <c r="AA2514" s="24"/>
      <c r="AB2514" s="24"/>
      <c r="AC2514" s="24"/>
      <c r="AD2514" s="24"/>
      <c r="AE2514" s="24"/>
      <c r="AF2514" s="24"/>
      <c r="AG2514" s="24"/>
      <c r="AH2514" s="24"/>
      <c r="AI2514" s="24"/>
      <c r="AJ2514" s="24"/>
      <c r="AK2514" s="24"/>
      <c r="AL2514" s="24"/>
      <c r="AM2514" s="24"/>
      <c r="AN2514" s="24"/>
      <c r="AO2514" s="24"/>
      <c r="AP2514" s="24"/>
      <c r="AQ2514" s="24"/>
      <c r="AR2514" s="54"/>
    </row>
    <row r="2515">
      <c r="A2515" s="57"/>
      <c r="B2515" s="24"/>
      <c r="C2515" s="24"/>
      <c r="D2515" s="24"/>
      <c r="E2515" s="24"/>
      <c r="F2515" s="24"/>
      <c r="G2515" s="24"/>
      <c r="H2515" s="24"/>
      <c r="I2515" s="24"/>
      <c r="J2515" s="24"/>
      <c r="K2515" s="24"/>
      <c r="L2515" s="24"/>
      <c r="M2515" s="24"/>
      <c r="N2515" s="24"/>
      <c r="O2515" s="24"/>
      <c r="P2515" s="24"/>
      <c r="Q2515" s="24"/>
      <c r="R2515" s="24"/>
      <c r="S2515" s="24"/>
      <c r="T2515" s="24"/>
      <c r="U2515" s="24"/>
      <c r="V2515" s="24"/>
      <c r="W2515" s="24"/>
      <c r="X2515" s="24"/>
      <c r="Y2515" s="24"/>
      <c r="Z2515" s="24"/>
      <c r="AA2515" s="24"/>
      <c r="AB2515" s="24"/>
      <c r="AC2515" s="24"/>
      <c r="AD2515" s="24"/>
      <c r="AE2515" s="24"/>
      <c r="AF2515" s="24"/>
      <c r="AG2515" s="24"/>
      <c r="AH2515" s="24"/>
      <c r="AI2515" s="24"/>
      <c r="AJ2515" s="24"/>
      <c r="AK2515" s="24"/>
      <c r="AL2515" s="24"/>
      <c r="AM2515" s="24"/>
      <c r="AN2515" s="24"/>
      <c r="AO2515" s="24"/>
      <c r="AP2515" s="24"/>
      <c r="AQ2515" s="24"/>
      <c r="AR2515" s="54"/>
    </row>
    <row r="2516">
      <c r="A2516" s="57"/>
      <c r="B2516" s="24"/>
      <c r="C2516" s="24"/>
      <c r="D2516" s="24"/>
      <c r="E2516" s="24"/>
      <c r="F2516" s="24"/>
      <c r="G2516" s="24"/>
      <c r="H2516" s="24"/>
      <c r="I2516" s="24"/>
      <c r="J2516" s="24"/>
      <c r="K2516" s="24"/>
      <c r="L2516" s="24"/>
      <c r="M2516" s="24"/>
      <c r="N2516" s="24"/>
      <c r="O2516" s="24"/>
      <c r="P2516" s="24"/>
      <c r="Q2516" s="24"/>
      <c r="R2516" s="24"/>
      <c r="S2516" s="24"/>
      <c r="T2516" s="24"/>
      <c r="U2516" s="24"/>
      <c r="V2516" s="24"/>
      <c r="W2516" s="24"/>
      <c r="X2516" s="24"/>
      <c r="Y2516" s="24"/>
      <c r="Z2516" s="24"/>
      <c r="AA2516" s="24"/>
      <c r="AB2516" s="24"/>
      <c r="AC2516" s="24"/>
      <c r="AD2516" s="24"/>
      <c r="AE2516" s="24"/>
      <c r="AF2516" s="24"/>
      <c r="AG2516" s="24"/>
      <c r="AH2516" s="24"/>
      <c r="AI2516" s="24"/>
      <c r="AJ2516" s="24"/>
      <c r="AK2516" s="24"/>
      <c r="AL2516" s="24"/>
      <c r="AM2516" s="24"/>
      <c r="AN2516" s="24"/>
      <c r="AO2516" s="24"/>
      <c r="AP2516" s="24"/>
      <c r="AQ2516" s="24"/>
      <c r="AR2516" s="54"/>
    </row>
    <row r="2517">
      <c r="A2517" s="57"/>
      <c r="B2517" s="24"/>
      <c r="C2517" s="24"/>
      <c r="D2517" s="24"/>
      <c r="E2517" s="24"/>
      <c r="F2517" s="24"/>
      <c r="G2517" s="24"/>
      <c r="H2517" s="24"/>
      <c r="I2517" s="24"/>
      <c r="J2517" s="24"/>
      <c r="K2517" s="24"/>
      <c r="L2517" s="24"/>
      <c r="M2517" s="24"/>
      <c r="N2517" s="24"/>
      <c r="O2517" s="24"/>
      <c r="P2517" s="24"/>
      <c r="Q2517" s="24"/>
      <c r="R2517" s="24"/>
      <c r="S2517" s="24"/>
      <c r="T2517" s="24"/>
      <c r="U2517" s="24"/>
      <c r="V2517" s="24"/>
      <c r="W2517" s="24"/>
      <c r="X2517" s="24"/>
      <c r="Y2517" s="24"/>
      <c r="Z2517" s="24"/>
      <c r="AA2517" s="24"/>
      <c r="AB2517" s="24"/>
      <c r="AC2517" s="24"/>
      <c r="AD2517" s="24"/>
      <c r="AE2517" s="24"/>
      <c r="AF2517" s="24"/>
      <c r="AG2517" s="24"/>
      <c r="AH2517" s="24"/>
      <c r="AI2517" s="24"/>
      <c r="AJ2517" s="24"/>
      <c r="AK2517" s="24"/>
      <c r="AL2517" s="24"/>
      <c r="AM2517" s="24"/>
      <c r="AN2517" s="24"/>
      <c r="AO2517" s="24"/>
      <c r="AP2517" s="24"/>
      <c r="AQ2517" s="24"/>
      <c r="AR2517" s="54"/>
    </row>
    <row r="2518">
      <c r="A2518" s="57"/>
      <c r="B2518" s="24"/>
      <c r="C2518" s="24"/>
      <c r="D2518" s="24"/>
      <c r="E2518" s="24"/>
      <c r="F2518" s="24"/>
      <c r="G2518" s="24"/>
      <c r="H2518" s="24"/>
      <c r="I2518" s="24"/>
      <c r="J2518" s="24"/>
      <c r="K2518" s="24"/>
      <c r="L2518" s="24"/>
      <c r="M2518" s="24"/>
      <c r="N2518" s="24"/>
      <c r="O2518" s="24"/>
      <c r="P2518" s="24"/>
      <c r="Q2518" s="24"/>
      <c r="R2518" s="24"/>
      <c r="S2518" s="24"/>
      <c r="T2518" s="24"/>
      <c r="U2518" s="24"/>
      <c r="V2518" s="24"/>
      <c r="W2518" s="24"/>
      <c r="X2518" s="24"/>
      <c r="Y2518" s="24"/>
      <c r="Z2518" s="24"/>
      <c r="AA2518" s="24"/>
      <c r="AB2518" s="24"/>
      <c r="AC2518" s="24"/>
      <c r="AD2518" s="24"/>
      <c r="AE2518" s="24"/>
      <c r="AF2518" s="24"/>
      <c r="AG2518" s="24"/>
      <c r="AH2518" s="24"/>
      <c r="AI2518" s="24"/>
      <c r="AJ2518" s="24"/>
      <c r="AK2518" s="24"/>
      <c r="AL2518" s="24"/>
      <c r="AM2518" s="24"/>
      <c r="AN2518" s="24"/>
      <c r="AO2518" s="24"/>
      <c r="AP2518" s="24"/>
      <c r="AQ2518" s="24"/>
      <c r="AR2518" s="54"/>
    </row>
    <row r="2519">
      <c r="A2519" s="57"/>
      <c r="B2519" s="24"/>
      <c r="C2519" s="24"/>
      <c r="D2519" s="24"/>
      <c r="E2519" s="24"/>
      <c r="F2519" s="24"/>
      <c r="G2519" s="24"/>
      <c r="H2519" s="24"/>
      <c r="I2519" s="24"/>
      <c r="J2519" s="24"/>
      <c r="K2519" s="24"/>
      <c r="L2519" s="24"/>
      <c r="M2519" s="24"/>
      <c r="N2519" s="24"/>
      <c r="O2519" s="24"/>
      <c r="P2519" s="24"/>
      <c r="Q2519" s="24"/>
      <c r="R2519" s="24"/>
      <c r="S2519" s="24"/>
      <c r="T2519" s="24"/>
      <c r="U2519" s="24"/>
      <c r="V2519" s="24"/>
      <c r="W2519" s="24"/>
      <c r="X2519" s="24"/>
      <c r="Y2519" s="24"/>
      <c r="Z2519" s="24"/>
      <c r="AA2519" s="24"/>
      <c r="AB2519" s="24"/>
      <c r="AC2519" s="24"/>
      <c r="AD2519" s="24"/>
      <c r="AE2519" s="24"/>
      <c r="AF2519" s="24"/>
      <c r="AG2519" s="24"/>
      <c r="AH2519" s="24"/>
      <c r="AI2519" s="24"/>
      <c r="AJ2519" s="24"/>
      <c r="AK2519" s="24"/>
      <c r="AL2519" s="24"/>
      <c r="AM2519" s="24"/>
      <c r="AN2519" s="24"/>
      <c r="AO2519" s="24"/>
      <c r="AP2519" s="24"/>
      <c r="AQ2519" s="24"/>
      <c r="AR2519" s="54"/>
    </row>
    <row r="2520">
      <c r="A2520" s="57"/>
      <c r="B2520" s="24"/>
      <c r="C2520" s="24"/>
      <c r="D2520" s="24"/>
      <c r="E2520" s="24"/>
      <c r="F2520" s="24"/>
      <c r="G2520" s="24"/>
      <c r="H2520" s="24"/>
      <c r="I2520" s="24"/>
      <c r="J2520" s="24"/>
      <c r="K2520" s="24"/>
      <c r="L2520" s="24"/>
      <c r="M2520" s="24"/>
      <c r="N2520" s="24"/>
      <c r="O2520" s="24"/>
      <c r="P2520" s="24"/>
      <c r="Q2520" s="24"/>
      <c r="R2520" s="24"/>
      <c r="S2520" s="24"/>
      <c r="T2520" s="24"/>
      <c r="U2520" s="24"/>
      <c r="V2520" s="24"/>
      <c r="W2520" s="24"/>
      <c r="X2520" s="24"/>
      <c r="Y2520" s="24"/>
      <c r="Z2520" s="24"/>
      <c r="AA2520" s="24"/>
      <c r="AB2520" s="24"/>
      <c r="AC2520" s="24"/>
      <c r="AD2520" s="24"/>
      <c r="AE2520" s="24"/>
      <c r="AF2520" s="24"/>
      <c r="AG2520" s="24"/>
      <c r="AH2520" s="24"/>
      <c r="AI2520" s="24"/>
      <c r="AJ2520" s="24"/>
      <c r="AK2520" s="24"/>
      <c r="AL2520" s="24"/>
      <c r="AM2520" s="24"/>
      <c r="AN2520" s="24"/>
      <c r="AO2520" s="24"/>
      <c r="AP2520" s="24"/>
      <c r="AQ2520" s="24"/>
      <c r="AR2520" s="54"/>
    </row>
    <row r="2521">
      <c r="A2521" s="57"/>
      <c r="B2521" s="24"/>
      <c r="C2521" s="24"/>
      <c r="D2521" s="24"/>
      <c r="E2521" s="24"/>
      <c r="F2521" s="24"/>
      <c r="G2521" s="24"/>
      <c r="H2521" s="24"/>
      <c r="I2521" s="24"/>
      <c r="J2521" s="24"/>
      <c r="K2521" s="24"/>
      <c r="L2521" s="24"/>
      <c r="M2521" s="24"/>
      <c r="N2521" s="24"/>
      <c r="O2521" s="24"/>
      <c r="P2521" s="24"/>
      <c r="Q2521" s="24"/>
      <c r="R2521" s="24"/>
      <c r="S2521" s="24"/>
      <c r="T2521" s="24"/>
      <c r="U2521" s="24"/>
      <c r="V2521" s="24"/>
      <c r="W2521" s="24"/>
      <c r="X2521" s="24"/>
      <c r="Y2521" s="24"/>
      <c r="Z2521" s="24"/>
      <c r="AA2521" s="24"/>
      <c r="AB2521" s="24"/>
      <c r="AC2521" s="24"/>
      <c r="AD2521" s="24"/>
      <c r="AE2521" s="24"/>
      <c r="AF2521" s="24"/>
      <c r="AG2521" s="24"/>
      <c r="AH2521" s="24"/>
      <c r="AI2521" s="24"/>
      <c r="AJ2521" s="24"/>
      <c r="AK2521" s="24"/>
      <c r="AL2521" s="24"/>
      <c r="AM2521" s="24"/>
      <c r="AN2521" s="24"/>
      <c r="AO2521" s="24"/>
      <c r="AP2521" s="24"/>
      <c r="AQ2521" s="24"/>
      <c r="AR2521" s="54"/>
    </row>
    <row r="2522">
      <c r="A2522" s="57"/>
      <c r="B2522" s="24"/>
      <c r="C2522" s="24"/>
      <c r="D2522" s="24"/>
      <c r="E2522" s="24"/>
      <c r="F2522" s="24"/>
      <c r="G2522" s="24"/>
      <c r="H2522" s="24"/>
      <c r="I2522" s="24"/>
      <c r="J2522" s="24"/>
      <c r="K2522" s="24"/>
      <c r="L2522" s="24"/>
      <c r="M2522" s="24"/>
      <c r="N2522" s="24"/>
      <c r="O2522" s="24"/>
      <c r="P2522" s="24"/>
      <c r="Q2522" s="24"/>
      <c r="R2522" s="24"/>
      <c r="S2522" s="24"/>
      <c r="T2522" s="24"/>
      <c r="U2522" s="24"/>
      <c r="V2522" s="24"/>
      <c r="W2522" s="24"/>
      <c r="X2522" s="24"/>
      <c r="Y2522" s="24"/>
      <c r="Z2522" s="24"/>
      <c r="AA2522" s="24"/>
      <c r="AB2522" s="24"/>
      <c r="AC2522" s="24"/>
      <c r="AD2522" s="24"/>
      <c r="AE2522" s="24"/>
      <c r="AF2522" s="24"/>
      <c r="AG2522" s="24"/>
      <c r="AH2522" s="24"/>
      <c r="AI2522" s="24"/>
      <c r="AJ2522" s="24"/>
      <c r="AK2522" s="24"/>
      <c r="AL2522" s="24"/>
      <c r="AM2522" s="24"/>
      <c r="AN2522" s="24"/>
      <c r="AO2522" s="24"/>
      <c r="AP2522" s="24"/>
      <c r="AQ2522" s="24"/>
      <c r="AR2522" s="54"/>
    </row>
    <row r="2523">
      <c r="A2523" s="57"/>
      <c r="B2523" s="24"/>
      <c r="C2523" s="24"/>
      <c r="D2523" s="24"/>
      <c r="E2523" s="24"/>
      <c r="F2523" s="24"/>
      <c r="G2523" s="24"/>
      <c r="H2523" s="24"/>
      <c r="I2523" s="24"/>
      <c r="J2523" s="24"/>
      <c r="K2523" s="24"/>
      <c r="L2523" s="24"/>
      <c r="M2523" s="24"/>
      <c r="N2523" s="24"/>
      <c r="O2523" s="24"/>
      <c r="P2523" s="24"/>
      <c r="Q2523" s="24"/>
      <c r="R2523" s="24"/>
      <c r="S2523" s="24"/>
      <c r="T2523" s="24"/>
      <c r="U2523" s="24"/>
      <c r="V2523" s="24"/>
      <c r="W2523" s="24"/>
      <c r="X2523" s="24"/>
      <c r="Y2523" s="24"/>
      <c r="Z2523" s="24"/>
      <c r="AA2523" s="24"/>
      <c r="AB2523" s="24"/>
      <c r="AC2523" s="24"/>
      <c r="AD2523" s="24"/>
      <c r="AE2523" s="24"/>
      <c r="AF2523" s="24"/>
      <c r="AG2523" s="24"/>
      <c r="AH2523" s="24"/>
      <c r="AI2523" s="24"/>
      <c r="AJ2523" s="24"/>
      <c r="AK2523" s="24"/>
      <c r="AL2523" s="24"/>
      <c r="AM2523" s="24"/>
      <c r="AN2523" s="24"/>
      <c r="AO2523" s="24"/>
      <c r="AP2523" s="24"/>
      <c r="AQ2523" s="24"/>
      <c r="AR2523" s="54"/>
    </row>
    <row r="2524">
      <c r="A2524" s="57"/>
      <c r="B2524" s="24"/>
      <c r="C2524" s="24"/>
      <c r="D2524" s="24"/>
      <c r="E2524" s="24"/>
      <c r="F2524" s="24"/>
      <c r="G2524" s="24"/>
      <c r="H2524" s="24"/>
      <c r="I2524" s="24"/>
      <c r="J2524" s="24"/>
      <c r="K2524" s="24"/>
      <c r="L2524" s="24"/>
      <c r="M2524" s="24"/>
      <c r="N2524" s="24"/>
      <c r="O2524" s="24"/>
      <c r="P2524" s="24"/>
      <c r="Q2524" s="24"/>
      <c r="R2524" s="24"/>
      <c r="S2524" s="24"/>
      <c r="T2524" s="24"/>
      <c r="U2524" s="24"/>
      <c r="V2524" s="24"/>
      <c r="W2524" s="24"/>
      <c r="X2524" s="24"/>
      <c r="Y2524" s="24"/>
      <c r="Z2524" s="24"/>
      <c r="AA2524" s="24"/>
      <c r="AB2524" s="24"/>
      <c r="AC2524" s="24"/>
      <c r="AD2524" s="24"/>
      <c r="AE2524" s="24"/>
      <c r="AF2524" s="24"/>
      <c r="AG2524" s="24"/>
      <c r="AH2524" s="24"/>
      <c r="AI2524" s="24"/>
      <c r="AJ2524" s="24"/>
      <c r="AK2524" s="24"/>
      <c r="AL2524" s="24"/>
      <c r="AM2524" s="24"/>
      <c r="AN2524" s="24"/>
      <c r="AO2524" s="24"/>
      <c r="AP2524" s="24"/>
      <c r="AQ2524" s="24"/>
      <c r="AR2524" s="54"/>
    </row>
    <row r="2525">
      <c r="A2525" s="57"/>
      <c r="B2525" s="24"/>
      <c r="C2525" s="24"/>
      <c r="D2525" s="24"/>
      <c r="E2525" s="24"/>
      <c r="F2525" s="24"/>
      <c r="G2525" s="24"/>
      <c r="H2525" s="24"/>
      <c r="I2525" s="24"/>
      <c r="J2525" s="24"/>
      <c r="K2525" s="24"/>
      <c r="L2525" s="24"/>
      <c r="M2525" s="24"/>
      <c r="N2525" s="24"/>
      <c r="O2525" s="24"/>
      <c r="P2525" s="24"/>
      <c r="Q2525" s="24"/>
      <c r="R2525" s="24"/>
      <c r="S2525" s="24"/>
      <c r="T2525" s="24"/>
      <c r="U2525" s="24"/>
      <c r="V2525" s="24"/>
      <c r="W2525" s="24"/>
      <c r="X2525" s="24"/>
      <c r="Y2525" s="24"/>
      <c r="Z2525" s="24"/>
      <c r="AA2525" s="24"/>
      <c r="AB2525" s="24"/>
      <c r="AC2525" s="24"/>
      <c r="AD2525" s="24"/>
      <c r="AE2525" s="24"/>
      <c r="AF2525" s="24"/>
      <c r="AG2525" s="24"/>
      <c r="AH2525" s="24"/>
      <c r="AI2525" s="24"/>
      <c r="AJ2525" s="24"/>
      <c r="AK2525" s="24"/>
      <c r="AL2525" s="24"/>
      <c r="AM2525" s="24"/>
      <c r="AN2525" s="24"/>
      <c r="AO2525" s="24"/>
      <c r="AP2525" s="24"/>
      <c r="AQ2525" s="24"/>
      <c r="AR2525" s="54"/>
    </row>
    <row r="2526">
      <c r="A2526" s="57"/>
      <c r="B2526" s="24"/>
      <c r="C2526" s="24"/>
      <c r="D2526" s="24"/>
      <c r="E2526" s="24"/>
      <c r="F2526" s="24"/>
      <c r="G2526" s="24"/>
      <c r="H2526" s="24"/>
      <c r="I2526" s="24"/>
      <c r="J2526" s="24"/>
      <c r="K2526" s="24"/>
      <c r="L2526" s="24"/>
      <c r="M2526" s="24"/>
      <c r="N2526" s="24"/>
      <c r="O2526" s="24"/>
      <c r="P2526" s="24"/>
      <c r="Q2526" s="24"/>
      <c r="R2526" s="24"/>
      <c r="S2526" s="24"/>
      <c r="T2526" s="24"/>
      <c r="U2526" s="24"/>
      <c r="V2526" s="24"/>
      <c r="W2526" s="24"/>
      <c r="X2526" s="24"/>
      <c r="Y2526" s="24"/>
      <c r="Z2526" s="24"/>
      <c r="AA2526" s="24"/>
      <c r="AB2526" s="24"/>
      <c r="AC2526" s="24"/>
      <c r="AD2526" s="24"/>
      <c r="AE2526" s="24"/>
      <c r="AF2526" s="24"/>
      <c r="AG2526" s="24"/>
      <c r="AH2526" s="24"/>
      <c r="AI2526" s="24"/>
      <c r="AJ2526" s="24"/>
      <c r="AK2526" s="24"/>
      <c r="AL2526" s="24"/>
      <c r="AM2526" s="24"/>
      <c r="AN2526" s="24"/>
      <c r="AO2526" s="24"/>
      <c r="AP2526" s="24"/>
      <c r="AQ2526" s="24"/>
      <c r="AR2526" s="54"/>
    </row>
    <row r="2527">
      <c r="A2527" s="57"/>
      <c r="B2527" s="24"/>
      <c r="C2527" s="24"/>
      <c r="D2527" s="24"/>
      <c r="E2527" s="24"/>
      <c r="F2527" s="24"/>
      <c r="G2527" s="24"/>
      <c r="H2527" s="24"/>
      <c r="I2527" s="24"/>
      <c r="J2527" s="24"/>
      <c r="K2527" s="24"/>
      <c r="L2527" s="24"/>
      <c r="M2527" s="24"/>
      <c r="N2527" s="24"/>
      <c r="O2527" s="24"/>
      <c r="P2527" s="24"/>
      <c r="Q2527" s="24"/>
      <c r="R2527" s="24"/>
      <c r="S2527" s="24"/>
      <c r="T2527" s="24"/>
      <c r="U2527" s="24"/>
      <c r="V2527" s="24"/>
      <c r="W2527" s="24"/>
      <c r="X2527" s="24"/>
      <c r="Y2527" s="24"/>
      <c r="Z2527" s="24"/>
      <c r="AA2527" s="24"/>
      <c r="AB2527" s="24"/>
      <c r="AC2527" s="24"/>
      <c r="AD2527" s="24"/>
      <c r="AE2527" s="24"/>
      <c r="AF2527" s="24"/>
      <c r="AG2527" s="24"/>
      <c r="AH2527" s="24"/>
      <c r="AI2527" s="24"/>
      <c r="AJ2527" s="24"/>
      <c r="AK2527" s="24"/>
      <c r="AL2527" s="24"/>
      <c r="AM2527" s="24"/>
      <c r="AN2527" s="24"/>
      <c r="AO2527" s="24"/>
      <c r="AP2527" s="24"/>
      <c r="AQ2527" s="24"/>
      <c r="AR2527" s="54"/>
    </row>
    <row r="2528">
      <c r="A2528" s="57"/>
      <c r="B2528" s="24"/>
      <c r="C2528" s="24"/>
      <c r="D2528" s="24"/>
      <c r="E2528" s="24"/>
      <c r="F2528" s="24"/>
      <c r="G2528" s="24"/>
      <c r="H2528" s="24"/>
      <c r="I2528" s="24"/>
      <c r="J2528" s="24"/>
      <c r="K2528" s="24"/>
      <c r="L2528" s="24"/>
      <c r="M2528" s="24"/>
      <c r="N2528" s="24"/>
      <c r="O2528" s="24"/>
      <c r="P2528" s="24"/>
      <c r="Q2528" s="24"/>
      <c r="R2528" s="24"/>
      <c r="S2528" s="24"/>
      <c r="T2528" s="24"/>
      <c r="U2528" s="24"/>
      <c r="V2528" s="24"/>
      <c r="W2528" s="24"/>
      <c r="X2528" s="24"/>
      <c r="Y2528" s="24"/>
      <c r="Z2528" s="24"/>
      <c r="AA2528" s="24"/>
      <c r="AB2528" s="24"/>
      <c r="AC2528" s="24"/>
      <c r="AD2528" s="24"/>
      <c r="AE2528" s="24"/>
      <c r="AF2528" s="24"/>
      <c r="AG2528" s="24"/>
      <c r="AH2528" s="24"/>
      <c r="AI2528" s="24"/>
      <c r="AJ2528" s="24"/>
      <c r="AK2528" s="24"/>
      <c r="AL2528" s="24"/>
      <c r="AM2528" s="24"/>
      <c r="AN2528" s="24"/>
      <c r="AO2528" s="24"/>
      <c r="AP2528" s="24"/>
      <c r="AQ2528" s="24"/>
      <c r="AR2528" s="54"/>
    </row>
    <row r="2529">
      <c r="A2529" s="57"/>
      <c r="B2529" s="24"/>
      <c r="C2529" s="24"/>
      <c r="D2529" s="24"/>
      <c r="E2529" s="24"/>
      <c r="F2529" s="24"/>
      <c r="G2529" s="24"/>
      <c r="H2529" s="24"/>
      <c r="I2529" s="24"/>
      <c r="J2529" s="24"/>
      <c r="K2529" s="24"/>
      <c r="L2529" s="24"/>
      <c r="M2529" s="24"/>
      <c r="N2529" s="24"/>
      <c r="O2529" s="24"/>
      <c r="P2529" s="24"/>
      <c r="Q2529" s="24"/>
      <c r="R2529" s="24"/>
      <c r="S2529" s="24"/>
      <c r="T2529" s="24"/>
      <c r="U2529" s="24"/>
      <c r="V2529" s="24"/>
      <c r="W2529" s="24"/>
      <c r="X2529" s="24"/>
      <c r="Y2529" s="24"/>
      <c r="Z2529" s="24"/>
      <c r="AA2529" s="24"/>
      <c r="AB2529" s="24"/>
      <c r="AC2529" s="24"/>
      <c r="AD2529" s="24"/>
      <c r="AE2529" s="24"/>
      <c r="AF2529" s="24"/>
      <c r="AG2529" s="24"/>
      <c r="AH2529" s="24"/>
      <c r="AI2529" s="24"/>
      <c r="AJ2529" s="24"/>
      <c r="AK2529" s="24"/>
      <c r="AL2529" s="24"/>
      <c r="AM2529" s="24"/>
      <c r="AN2529" s="24"/>
      <c r="AO2529" s="24"/>
      <c r="AP2529" s="24"/>
      <c r="AQ2529" s="24"/>
      <c r="AR2529" s="54"/>
    </row>
    <row r="2530">
      <c r="A2530" s="57"/>
      <c r="B2530" s="24"/>
      <c r="C2530" s="24"/>
      <c r="D2530" s="24"/>
      <c r="E2530" s="24"/>
      <c r="F2530" s="24"/>
      <c r="G2530" s="24"/>
      <c r="H2530" s="24"/>
      <c r="I2530" s="24"/>
      <c r="J2530" s="24"/>
      <c r="K2530" s="24"/>
      <c r="L2530" s="24"/>
      <c r="M2530" s="24"/>
      <c r="N2530" s="24"/>
      <c r="O2530" s="24"/>
      <c r="P2530" s="24"/>
      <c r="Q2530" s="24"/>
      <c r="R2530" s="24"/>
      <c r="S2530" s="24"/>
      <c r="T2530" s="24"/>
      <c r="U2530" s="24"/>
      <c r="V2530" s="24"/>
      <c r="W2530" s="24"/>
      <c r="X2530" s="24"/>
      <c r="Y2530" s="24"/>
      <c r="Z2530" s="24"/>
      <c r="AA2530" s="24"/>
      <c r="AB2530" s="24"/>
      <c r="AC2530" s="24"/>
      <c r="AD2530" s="24"/>
      <c r="AE2530" s="24"/>
      <c r="AF2530" s="24"/>
      <c r="AG2530" s="24"/>
      <c r="AH2530" s="24"/>
      <c r="AI2530" s="24"/>
      <c r="AJ2530" s="24"/>
      <c r="AK2530" s="24"/>
      <c r="AL2530" s="24"/>
      <c r="AM2530" s="24"/>
      <c r="AN2530" s="24"/>
      <c r="AO2530" s="24"/>
      <c r="AP2530" s="24"/>
      <c r="AQ2530" s="24"/>
      <c r="AR2530" s="54"/>
    </row>
    <row r="2531">
      <c r="A2531" s="57"/>
      <c r="B2531" s="24"/>
      <c r="C2531" s="24"/>
      <c r="D2531" s="24"/>
      <c r="E2531" s="24"/>
      <c r="F2531" s="24"/>
      <c r="G2531" s="24"/>
      <c r="H2531" s="24"/>
      <c r="I2531" s="24"/>
      <c r="J2531" s="24"/>
      <c r="K2531" s="24"/>
      <c r="L2531" s="24"/>
      <c r="M2531" s="24"/>
      <c r="N2531" s="24"/>
      <c r="O2531" s="24"/>
      <c r="P2531" s="24"/>
      <c r="Q2531" s="24"/>
      <c r="R2531" s="24"/>
      <c r="S2531" s="24"/>
      <c r="T2531" s="24"/>
      <c r="U2531" s="24"/>
      <c r="V2531" s="24"/>
      <c r="W2531" s="24"/>
      <c r="X2531" s="24"/>
      <c r="Y2531" s="24"/>
      <c r="Z2531" s="24"/>
      <c r="AA2531" s="24"/>
      <c r="AB2531" s="24"/>
      <c r="AC2531" s="24"/>
      <c r="AD2531" s="24"/>
      <c r="AE2531" s="24"/>
      <c r="AF2531" s="24"/>
      <c r="AG2531" s="24"/>
      <c r="AH2531" s="24"/>
      <c r="AI2531" s="24"/>
      <c r="AJ2531" s="24"/>
      <c r="AK2531" s="24"/>
      <c r="AL2531" s="24"/>
      <c r="AM2531" s="24"/>
      <c r="AN2531" s="24"/>
      <c r="AO2531" s="24"/>
      <c r="AP2531" s="24"/>
      <c r="AQ2531" s="24"/>
      <c r="AR2531" s="54"/>
    </row>
    <row r="2532">
      <c r="A2532" s="57"/>
      <c r="B2532" s="24"/>
      <c r="C2532" s="24"/>
      <c r="D2532" s="24"/>
      <c r="E2532" s="24"/>
      <c r="F2532" s="24"/>
      <c r="G2532" s="24"/>
      <c r="H2532" s="24"/>
      <c r="I2532" s="24"/>
      <c r="J2532" s="24"/>
      <c r="K2532" s="24"/>
      <c r="L2532" s="24"/>
      <c r="M2532" s="24"/>
      <c r="N2532" s="24"/>
      <c r="O2532" s="24"/>
      <c r="P2532" s="24"/>
      <c r="Q2532" s="24"/>
      <c r="R2532" s="24"/>
      <c r="S2532" s="24"/>
      <c r="T2532" s="24"/>
      <c r="U2532" s="24"/>
      <c r="V2532" s="24"/>
      <c r="W2532" s="24"/>
      <c r="X2532" s="24"/>
      <c r="Y2532" s="24"/>
      <c r="Z2532" s="24"/>
      <c r="AA2532" s="24"/>
      <c r="AB2532" s="24"/>
      <c r="AC2532" s="24"/>
      <c r="AD2532" s="24"/>
      <c r="AE2532" s="24"/>
      <c r="AF2532" s="24"/>
      <c r="AG2532" s="24"/>
      <c r="AH2532" s="24"/>
      <c r="AI2532" s="24"/>
      <c r="AJ2532" s="24"/>
      <c r="AK2532" s="24"/>
      <c r="AL2532" s="24"/>
      <c r="AM2532" s="24"/>
      <c r="AN2532" s="24"/>
      <c r="AO2532" s="24"/>
      <c r="AP2532" s="24"/>
      <c r="AQ2532" s="24"/>
      <c r="AR2532" s="54"/>
    </row>
    <row r="2533">
      <c r="A2533" s="57"/>
      <c r="B2533" s="24"/>
      <c r="C2533" s="24"/>
      <c r="D2533" s="24"/>
      <c r="E2533" s="24"/>
      <c r="F2533" s="24"/>
      <c r="G2533" s="24"/>
      <c r="H2533" s="24"/>
      <c r="I2533" s="24"/>
      <c r="J2533" s="24"/>
      <c r="K2533" s="24"/>
      <c r="L2533" s="24"/>
      <c r="M2533" s="24"/>
      <c r="N2533" s="24"/>
      <c r="O2533" s="24"/>
      <c r="P2533" s="24"/>
      <c r="Q2533" s="24"/>
      <c r="R2533" s="24"/>
      <c r="S2533" s="24"/>
      <c r="T2533" s="24"/>
      <c r="U2533" s="24"/>
      <c r="V2533" s="24"/>
      <c r="W2533" s="24"/>
      <c r="X2533" s="24"/>
      <c r="Y2533" s="24"/>
      <c r="Z2533" s="24"/>
      <c r="AA2533" s="24"/>
      <c r="AB2533" s="24"/>
      <c r="AC2533" s="24"/>
      <c r="AD2533" s="24"/>
      <c r="AE2533" s="24"/>
      <c r="AF2533" s="24"/>
      <c r="AG2533" s="24"/>
      <c r="AH2533" s="24"/>
      <c r="AI2533" s="24"/>
      <c r="AJ2533" s="24"/>
      <c r="AK2533" s="24"/>
      <c r="AL2533" s="24"/>
      <c r="AM2533" s="24"/>
      <c r="AN2533" s="24"/>
      <c r="AO2533" s="24"/>
      <c r="AP2533" s="24"/>
      <c r="AQ2533" s="24"/>
      <c r="AR2533" s="54"/>
    </row>
    <row r="2534">
      <c r="A2534" s="57"/>
      <c r="B2534" s="24"/>
      <c r="C2534" s="24"/>
      <c r="D2534" s="24"/>
      <c r="E2534" s="24"/>
      <c r="F2534" s="24"/>
      <c r="G2534" s="24"/>
      <c r="H2534" s="24"/>
      <c r="I2534" s="24"/>
      <c r="J2534" s="24"/>
      <c r="K2534" s="24"/>
      <c r="L2534" s="24"/>
      <c r="M2534" s="24"/>
      <c r="N2534" s="24"/>
      <c r="O2534" s="24"/>
      <c r="P2534" s="24"/>
      <c r="Q2534" s="24"/>
      <c r="R2534" s="24"/>
      <c r="S2534" s="24"/>
      <c r="T2534" s="24"/>
      <c r="U2534" s="24"/>
      <c r="V2534" s="24"/>
      <c r="W2534" s="24"/>
      <c r="X2534" s="24"/>
      <c r="Y2534" s="24"/>
      <c r="Z2534" s="24"/>
      <c r="AA2534" s="24"/>
      <c r="AB2534" s="24"/>
      <c r="AC2534" s="24"/>
      <c r="AD2534" s="24"/>
      <c r="AE2534" s="24"/>
      <c r="AF2534" s="24"/>
      <c r="AG2534" s="24"/>
      <c r="AH2534" s="24"/>
      <c r="AI2534" s="24"/>
      <c r="AJ2534" s="24"/>
      <c r="AK2534" s="24"/>
      <c r="AL2534" s="24"/>
      <c r="AM2534" s="24"/>
      <c r="AN2534" s="24"/>
      <c r="AO2534" s="24"/>
      <c r="AP2534" s="24"/>
      <c r="AQ2534" s="24"/>
      <c r="AR2534" s="54"/>
    </row>
    <row r="2535">
      <c r="A2535" s="57"/>
      <c r="B2535" s="24"/>
      <c r="C2535" s="24"/>
      <c r="D2535" s="24"/>
      <c r="E2535" s="24"/>
      <c r="F2535" s="24"/>
      <c r="G2535" s="24"/>
      <c r="H2535" s="24"/>
      <c r="I2535" s="24"/>
      <c r="J2535" s="24"/>
      <c r="K2535" s="24"/>
      <c r="L2535" s="24"/>
      <c r="M2535" s="24"/>
      <c r="N2535" s="24"/>
      <c r="O2535" s="24"/>
      <c r="P2535" s="24"/>
      <c r="Q2535" s="24"/>
      <c r="R2535" s="24"/>
      <c r="S2535" s="24"/>
      <c r="T2535" s="24"/>
      <c r="U2535" s="24"/>
      <c r="V2535" s="24"/>
      <c r="W2535" s="24"/>
      <c r="X2535" s="24"/>
      <c r="Y2535" s="24"/>
      <c r="Z2535" s="24"/>
      <c r="AA2535" s="24"/>
      <c r="AB2535" s="24"/>
      <c r="AC2535" s="24"/>
      <c r="AD2535" s="24"/>
      <c r="AE2535" s="24"/>
      <c r="AF2535" s="24"/>
      <c r="AG2535" s="24"/>
      <c r="AH2535" s="24"/>
      <c r="AI2535" s="24"/>
      <c r="AJ2535" s="24"/>
      <c r="AK2535" s="24"/>
      <c r="AL2535" s="24"/>
      <c r="AM2535" s="24"/>
      <c r="AN2535" s="24"/>
      <c r="AO2535" s="24"/>
      <c r="AP2535" s="24"/>
      <c r="AQ2535" s="24"/>
      <c r="AR2535" s="54"/>
    </row>
    <row r="2536">
      <c r="A2536" s="57"/>
      <c r="B2536" s="24"/>
      <c r="C2536" s="24"/>
      <c r="D2536" s="24"/>
      <c r="E2536" s="24"/>
      <c r="F2536" s="24"/>
      <c r="G2536" s="24"/>
      <c r="H2536" s="24"/>
      <c r="I2536" s="24"/>
      <c r="J2536" s="24"/>
      <c r="K2536" s="24"/>
      <c r="L2536" s="24"/>
      <c r="M2536" s="24"/>
      <c r="N2536" s="24"/>
      <c r="O2536" s="24"/>
      <c r="P2536" s="24"/>
      <c r="Q2536" s="24"/>
      <c r="R2536" s="24"/>
      <c r="S2536" s="24"/>
      <c r="T2536" s="24"/>
      <c r="U2536" s="24"/>
      <c r="V2536" s="24"/>
      <c r="W2536" s="24"/>
      <c r="X2536" s="24"/>
      <c r="Y2536" s="24"/>
      <c r="Z2536" s="24"/>
      <c r="AA2536" s="24"/>
      <c r="AB2536" s="24"/>
      <c r="AC2536" s="24"/>
      <c r="AD2536" s="24"/>
      <c r="AE2536" s="24"/>
      <c r="AF2536" s="24"/>
      <c r="AG2536" s="24"/>
      <c r="AH2536" s="24"/>
      <c r="AI2536" s="24"/>
      <c r="AJ2536" s="24"/>
      <c r="AK2536" s="24"/>
      <c r="AL2536" s="24"/>
      <c r="AM2536" s="24"/>
      <c r="AN2536" s="24"/>
      <c r="AO2536" s="24"/>
      <c r="AP2536" s="24"/>
      <c r="AQ2536" s="24"/>
      <c r="AR2536" s="54"/>
    </row>
    <row r="2537">
      <c r="A2537" s="57"/>
      <c r="B2537" s="24"/>
      <c r="C2537" s="24"/>
      <c r="D2537" s="24"/>
      <c r="E2537" s="24"/>
      <c r="F2537" s="24"/>
      <c r="G2537" s="24"/>
      <c r="H2537" s="24"/>
      <c r="I2537" s="24"/>
      <c r="J2537" s="24"/>
      <c r="K2537" s="24"/>
      <c r="L2537" s="24"/>
      <c r="M2537" s="24"/>
      <c r="N2537" s="24"/>
      <c r="O2537" s="24"/>
      <c r="P2537" s="24"/>
      <c r="Q2537" s="24"/>
      <c r="R2537" s="24"/>
      <c r="S2537" s="24"/>
      <c r="T2537" s="24"/>
      <c r="U2537" s="24"/>
      <c r="V2537" s="24"/>
      <c r="W2537" s="24"/>
      <c r="X2537" s="24"/>
      <c r="Y2537" s="24"/>
      <c r="Z2537" s="24"/>
      <c r="AA2537" s="24"/>
      <c r="AB2537" s="24"/>
      <c r="AC2537" s="24"/>
      <c r="AD2537" s="24"/>
      <c r="AE2537" s="24"/>
      <c r="AF2537" s="24"/>
      <c r="AG2537" s="24"/>
      <c r="AH2537" s="24"/>
      <c r="AI2537" s="24"/>
      <c r="AJ2537" s="24"/>
      <c r="AK2537" s="24"/>
      <c r="AL2537" s="24"/>
      <c r="AM2537" s="24"/>
      <c r="AN2537" s="24"/>
      <c r="AO2537" s="24"/>
      <c r="AP2537" s="24"/>
      <c r="AQ2537" s="24"/>
      <c r="AR2537" s="54"/>
    </row>
    <row r="2538">
      <c r="A2538" s="57"/>
      <c r="B2538" s="24"/>
      <c r="C2538" s="24"/>
      <c r="D2538" s="24"/>
      <c r="E2538" s="24"/>
      <c r="F2538" s="24"/>
      <c r="G2538" s="24"/>
      <c r="H2538" s="24"/>
      <c r="I2538" s="24"/>
      <c r="J2538" s="24"/>
      <c r="K2538" s="24"/>
      <c r="L2538" s="24"/>
      <c r="M2538" s="24"/>
      <c r="N2538" s="24"/>
      <c r="O2538" s="24"/>
      <c r="P2538" s="24"/>
      <c r="Q2538" s="24"/>
      <c r="R2538" s="24"/>
      <c r="S2538" s="24"/>
      <c r="T2538" s="24"/>
      <c r="U2538" s="24"/>
      <c r="V2538" s="24"/>
      <c r="W2538" s="24"/>
      <c r="X2538" s="24"/>
      <c r="Y2538" s="24"/>
      <c r="Z2538" s="24"/>
      <c r="AA2538" s="24"/>
      <c r="AB2538" s="24"/>
      <c r="AC2538" s="24"/>
      <c r="AD2538" s="24"/>
      <c r="AE2538" s="24"/>
      <c r="AF2538" s="24"/>
      <c r="AG2538" s="24"/>
      <c r="AH2538" s="24"/>
      <c r="AI2538" s="24"/>
      <c r="AJ2538" s="24"/>
      <c r="AK2538" s="24"/>
      <c r="AL2538" s="24"/>
      <c r="AM2538" s="24"/>
      <c r="AN2538" s="24"/>
      <c r="AO2538" s="24"/>
      <c r="AP2538" s="24"/>
      <c r="AQ2538" s="24"/>
      <c r="AR2538" s="54"/>
    </row>
    <row r="2539">
      <c r="A2539" s="57"/>
      <c r="B2539" s="24"/>
      <c r="C2539" s="24"/>
      <c r="D2539" s="24"/>
      <c r="E2539" s="24"/>
      <c r="F2539" s="24"/>
      <c r="G2539" s="24"/>
      <c r="H2539" s="24"/>
      <c r="I2539" s="24"/>
      <c r="J2539" s="24"/>
      <c r="K2539" s="24"/>
      <c r="L2539" s="24"/>
      <c r="M2539" s="24"/>
      <c r="N2539" s="24"/>
      <c r="O2539" s="24"/>
      <c r="P2539" s="24"/>
      <c r="Q2539" s="24"/>
      <c r="R2539" s="24"/>
      <c r="S2539" s="24"/>
      <c r="T2539" s="24"/>
      <c r="U2539" s="24"/>
      <c r="V2539" s="24"/>
      <c r="W2539" s="24"/>
      <c r="X2539" s="24"/>
      <c r="Y2539" s="24"/>
      <c r="Z2539" s="24"/>
      <c r="AA2539" s="24"/>
      <c r="AB2539" s="24"/>
      <c r="AC2539" s="24"/>
      <c r="AD2539" s="24"/>
      <c r="AE2539" s="24"/>
      <c r="AF2539" s="24"/>
      <c r="AG2539" s="24"/>
      <c r="AH2539" s="24"/>
      <c r="AI2539" s="24"/>
      <c r="AJ2539" s="24"/>
      <c r="AK2539" s="24"/>
      <c r="AL2539" s="24"/>
      <c r="AM2539" s="24"/>
      <c r="AN2539" s="24"/>
      <c r="AO2539" s="24"/>
      <c r="AP2539" s="24"/>
      <c r="AQ2539" s="24"/>
      <c r="AR2539" s="54"/>
    </row>
    <row r="2540">
      <c r="A2540" s="57"/>
      <c r="B2540" s="24"/>
      <c r="C2540" s="24"/>
      <c r="D2540" s="24"/>
      <c r="E2540" s="24"/>
      <c r="F2540" s="24"/>
      <c r="G2540" s="24"/>
      <c r="H2540" s="24"/>
      <c r="I2540" s="24"/>
      <c r="J2540" s="24"/>
      <c r="K2540" s="24"/>
      <c r="L2540" s="24"/>
      <c r="M2540" s="24"/>
      <c r="N2540" s="24"/>
      <c r="O2540" s="24"/>
      <c r="P2540" s="24"/>
      <c r="Q2540" s="24"/>
      <c r="R2540" s="24"/>
      <c r="S2540" s="24"/>
      <c r="T2540" s="24"/>
      <c r="U2540" s="24"/>
      <c r="V2540" s="24"/>
      <c r="W2540" s="24"/>
      <c r="X2540" s="24"/>
      <c r="Y2540" s="24"/>
      <c r="Z2540" s="24"/>
      <c r="AA2540" s="24"/>
      <c r="AB2540" s="24"/>
      <c r="AC2540" s="24"/>
      <c r="AD2540" s="24"/>
      <c r="AE2540" s="24"/>
      <c r="AF2540" s="24"/>
      <c r="AG2540" s="24"/>
      <c r="AH2540" s="24"/>
      <c r="AI2540" s="24"/>
      <c r="AJ2540" s="24"/>
      <c r="AK2540" s="24"/>
      <c r="AL2540" s="24"/>
      <c r="AM2540" s="24"/>
      <c r="AN2540" s="24"/>
      <c r="AO2540" s="24"/>
      <c r="AP2540" s="24"/>
      <c r="AQ2540" s="24"/>
      <c r="AR2540" s="54"/>
    </row>
    <row r="2541">
      <c r="A2541" s="57"/>
      <c r="B2541" s="24"/>
      <c r="C2541" s="24"/>
      <c r="D2541" s="24"/>
      <c r="E2541" s="24"/>
      <c r="F2541" s="24"/>
      <c r="G2541" s="24"/>
      <c r="H2541" s="24"/>
      <c r="I2541" s="24"/>
      <c r="J2541" s="24"/>
      <c r="K2541" s="24"/>
      <c r="L2541" s="24"/>
      <c r="M2541" s="24"/>
      <c r="N2541" s="24"/>
      <c r="O2541" s="24"/>
      <c r="P2541" s="24"/>
      <c r="Q2541" s="24"/>
      <c r="R2541" s="24"/>
      <c r="S2541" s="24"/>
      <c r="T2541" s="24"/>
      <c r="U2541" s="24"/>
      <c r="V2541" s="24"/>
      <c r="W2541" s="24"/>
      <c r="X2541" s="24"/>
      <c r="Y2541" s="24"/>
      <c r="Z2541" s="24"/>
      <c r="AA2541" s="24"/>
      <c r="AB2541" s="24"/>
      <c r="AC2541" s="24"/>
      <c r="AD2541" s="24"/>
      <c r="AE2541" s="24"/>
      <c r="AF2541" s="24"/>
      <c r="AG2541" s="24"/>
      <c r="AH2541" s="24"/>
      <c r="AI2541" s="24"/>
      <c r="AJ2541" s="24"/>
      <c r="AK2541" s="24"/>
      <c r="AL2541" s="24"/>
      <c r="AM2541" s="24"/>
      <c r="AN2541" s="24"/>
      <c r="AO2541" s="24"/>
      <c r="AP2541" s="24"/>
      <c r="AQ2541" s="24"/>
      <c r="AR2541" s="54"/>
    </row>
    <row r="2542">
      <c r="A2542" s="57"/>
      <c r="B2542" s="24"/>
      <c r="C2542" s="24"/>
      <c r="D2542" s="24"/>
      <c r="E2542" s="24"/>
      <c r="F2542" s="24"/>
      <c r="G2542" s="24"/>
      <c r="H2542" s="24"/>
      <c r="I2542" s="24"/>
      <c r="J2542" s="24"/>
      <c r="K2542" s="24"/>
      <c r="L2542" s="24"/>
      <c r="M2542" s="24"/>
      <c r="N2542" s="24"/>
      <c r="O2542" s="24"/>
      <c r="P2542" s="24"/>
      <c r="Q2542" s="24"/>
      <c r="R2542" s="24"/>
      <c r="S2542" s="24"/>
      <c r="T2542" s="24"/>
      <c r="U2542" s="24"/>
      <c r="V2542" s="24"/>
      <c r="W2542" s="24"/>
      <c r="X2542" s="24"/>
      <c r="Y2542" s="24"/>
      <c r="Z2542" s="24"/>
      <c r="AA2542" s="24"/>
      <c r="AB2542" s="24"/>
      <c r="AC2542" s="24"/>
      <c r="AD2542" s="24"/>
      <c r="AE2542" s="24"/>
      <c r="AF2542" s="24"/>
      <c r="AG2542" s="24"/>
      <c r="AH2542" s="24"/>
      <c r="AI2542" s="24"/>
      <c r="AJ2542" s="24"/>
      <c r="AK2542" s="24"/>
      <c r="AL2542" s="24"/>
      <c r="AM2542" s="24"/>
      <c r="AN2542" s="24"/>
      <c r="AO2542" s="24"/>
      <c r="AP2542" s="24"/>
      <c r="AQ2542" s="24"/>
      <c r="AR2542" s="54"/>
    </row>
    <row r="2543">
      <c r="A2543" s="57"/>
      <c r="B2543" s="24"/>
      <c r="C2543" s="24"/>
      <c r="D2543" s="24"/>
      <c r="E2543" s="24"/>
      <c r="F2543" s="24"/>
      <c r="G2543" s="24"/>
      <c r="H2543" s="24"/>
      <c r="I2543" s="24"/>
      <c r="J2543" s="24"/>
      <c r="K2543" s="24"/>
      <c r="L2543" s="24"/>
      <c r="M2543" s="24"/>
      <c r="N2543" s="24"/>
      <c r="O2543" s="24"/>
      <c r="P2543" s="24"/>
      <c r="Q2543" s="24"/>
      <c r="R2543" s="24"/>
      <c r="S2543" s="24"/>
      <c r="T2543" s="24"/>
      <c r="U2543" s="24"/>
      <c r="V2543" s="24"/>
      <c r="W2543" s="24"/>
      <c r="X2543" s="24"/>
      <c r="Y2543" s="24"/>
      <c r="Z2543" s="24"/>
      <c r="AA2543" s="24"/>
      <c r="AB2543" s="24"/>
      <c r="AC2543" s="24"/>
      <c r="AD2543" s="24"/>
      <c r="AE2543" s="24"/>
      <c r="AF2543" s="24"/>
      <c r="AG2543" s="24"/>
      <c r="AH2543" s="24"/>
      <c r="AI2543" s="24"/>
      <c r="AJ2543" s="24"/>
      <c r="AK2543" s="24"/>
      <c r="AL2543" s="24"/>
      <c r="AM2543" s="24"/>
      <c r="AN2543" s="24"/>
      <c r="AO2543" s="24"/>
      <c r="AP2543" s="24"/>
      <c r="AQ2543" s="24"/>
      <c r="AR2543" s="54"/>
    </row>
    <row r="2544">
      <c r="A2544" s="57"/>
      <c r="B2544" s="24"/>
      <c r="C2544" s="24"/>
      <c r="D2544" s="24"/>
      <c r="E2544" s="24"/>
      <c r="F2544" s="24"/>
      <c r="G2544" s="24"/>
      <c r="H2544" s="24"/>
      <c r="I2544" s="24"/>
      <c r="J2544" s="24"/>
      <c r="K2544" s="24"/>
      <c r="L2544" s="24"/>
      <c r="M2544" s="24"/>
      <c r="N2544" s="24"/>
      <c r="O2544" s="24"/>
      <c r="P2544" s="24"/>
      <c r="Q2544" s="24"/>
      <c r="R2544" s="24"/>
      <c r="S2544" s="24"/>
      <c r="T2544" s="24"/>
      <c r="U2544" s="24"/>
      <c r="V2544" s="24"/>
      <c r="W2544" s="24"/>
      <c r="X2544" s="24"/>
      <c r="Y2544" s="24"/>
      <c r="Z2544" s="24"/>
      <c r="AA2544" s="24"/>
      <c r="AB2544" s="24"/>
      <c r="AC2544" s="24"/>
      <c r="AD2544" s="24"/>
      <c r="AE2544" s="24"/>
      <c r="AF2544" s="24"/>
      <c r="AG2544" s="24"/>
      <c r="AH2544" s="24"/>
      <c r="AI2544" s="24"/>
      <c r="AJ2544" s="24"/>
      <c r="AK2544" s="24"/>
      <c r="AL2544" s="24"/>
      <c r="AM2544" s="24"/>
      <c r="AN2544" s="24"/>
      <c r="AO2544" s="24"/>
      <c r="AP2544" s="24"/>
      <c r="AQ2544" s="24"/>
      <c r="AR2544" s="54"/>
    </row>
    <row r="2545">
      <c r="A2545" s="57"/>
      <c r="B2545" s="24"/>
      <c r="C2545" s="24"/>
      <c r="D2545" s="24"/>
      <c r="E2545" s="24"/>
      <c r="F2545" s="24"/>
      <c r="G2545" s="24"/>
      <c r="H2545" s="24"/>
      <c r="I2545" s="24"/>
      <c r="J2545" s="24"/>
      <c r="K2545" s="24"/>
      <c r="L2545" s="24"/>
      <c r="M2545" s="24"/>
      <c r="N2545" s="24"/>
      <c r="O2545" s="24"/>
      <c r="P2545" s="24"/>
      <c r="Q2545" s="24"/>
      <c r="R2545" s="24"/>
      <c r="S2545" s="24"/>
      <c r="T2545" s="24"/>
      <c r="U2545" s="24"/>
      <c r="V2545" s="24"/>
      <c r="W2545" s="24"/>
      <c r="X2545" s="24"/>
      <c r="Y2545" s="24"/>
      <c r="Z2545" s="24"/>
      <c r="AA2545" s="24"/>
      <c r="AB2545" s="24"/>
      <c r="AC2545" s="24"/>
      <c r="AD2545" s="24"/>
      <c r="AE2545" s="24"/>
      <c r="AF2545" s="24"/>
      <c r="AG2545" s="24"/>
      <c r="AH2545" s="24"/>
      <c r="AI2545" s="24"/>
      <c r="AJ2545" s="24"/>
      <c r="AK2545" s="24"/>
      <c r="AL2545" s="24"/>
      <c r="AM2545" s="24"/>
      <c r="AN2545" s="24"/>
      <c r="AO2545" s="24"/>
      <c r="AP2545" s="24"/>
      <c r="AQ2545" s="24"/>
      <c r="AR2545" s="54"/>
    </row>
    <row r="2546">
      <c r="A2546" s="57"/>
      <c r="B2546" s="24"/>
      <c r="C2546" s="24"/>
      <c r="D2546" s="24"/>
      <c r="E2546" s="24"/>
      <c r="F2546" s="24"/>
      <c r="G2546" s="24"/>
      <c r="H2546" s="24"/>
      <c r="I2546" s="24"/>
      <c r="J2546" s="24"/>
      <c r="K2546" s="24"/>
      <c r="L2546" s="24"/>
      <c r="M2546" s="24"/>
      <c r="N2546" s="24"/>
      <c r="O2546" s="24"/>
      <c r="P2546" s="24"/>
      <c r="Q2546" s="24"/>
      <c r="R2546" s="24"/>
      <c r="S2546" s="24"/>
      <c r="T2546" s="24"/>
      <c r="U2546" s="24"/>
      <c r="V2546" s="24"/>
      <c r="W2546" s="24"/>
      <c r="X2546" s="24"/>
      <c r="Y2546" s="24"/>
      <c r="Z2546" s="24"/>
      <c r="AA2546" s="24"/>
      <c r="AB2546" s="24"/>
      <c r="AC2546" s="24"/>
      <c r="AD2546" s="24"/>
      <c r="AE2546" s="24"/>
      <c r="AF2546" s="24"/>
      <c r="AG2546" s="24"/>
      <c r="AH2546" s="24"/>
      <c r="AI2546" s="24"/>
      <c r="AJ2546" s="24"/>
      <c r="AK2546" s="24"/>
      <c r="AL2546" s="24"/>
      <c r="AM2546" s="24"/>
      <c r="AN2546" s="24"/>
      <c r="AO2546" s="24"/>
      <c r="AP2546" s="24"/>
      <c r="AQ2546" s="24"/>
      <c r="AR2546" s="54"/>
    </row>
    <row r="2547">
      <c r="A2547" s="57"/>
      <c r="B2547" s="24"/>
      <c r="C2547" s="24"/>
      <c r="D2547" s="24"/>
      <c r="E2547" s="24"/>
      <c r="F2547" s="24"/>
      <c r="G2547" s="24"/>
      <c r="H2547" s="24"/>
      <c r="I2547" s="24"/>
      <c r="J2547" s="24"/>
      <c r="K2547" s="24"/>
      <c r="L2547" s="24"/>
      <c r="M2547" s="24"/>
      <c r="N2547" s="24"/>
      <c r="O2547" s="24"/>
      <c r="P2547" s="24"/>
      <c r="Q2547" s="24"/>
      <c r="R2547" s="24"/>
      <c r="S2547" s="24"/>
      <c r="T2547" s="24"/>
      <c r="U2547" s="24"/>
      <c r="V2547" s="24"/>
      <c r="W2547" s="24"/>
      <c r="X2547" s="24"/>
      <c r="Y2547" s="24"/>
      <c r="Z2547" s="24"/>
      <c r="AA2547" s="24"/>
      <c r="AB2547" s="24"/>
      <c r="AC2547" s="24"/>
      <c r="AD2547" s="24"/>
      <c r="AE2547" s="24"/>
      <c r="AF2547" s="24"/>
      <c r="AG2547" s="24"/>
      <c r="AH2547" s="24"/>
      <c r="AI2547" s="24"/>
      <c r="AJ2547" s="24"/>
      <c r="AK2547" s="24"/>
      <c r="AL2547" s="24"/>
      <c r="AM2547" s="24"/>
      <c r="AN2547" s="24"/>
      <c r="AO2547" s="24"/>
      <c r="AP2547" s="24"/>
      <c r="AQ2547" s="24"/>
      <c r="AR2547" s="54"/>
    </row>
    <row r="2548">
      <c r="A2548" s="57"/>
      <c r="B2548" s="24"/>
      <c r="C2548" s="24"/>
      <c r="D2548" s="24"/>
      <c r="E2548" s="24"/>
      <c r="F2548" s="24"/>
      <c r="G2548" s="24"/>
      <c r="H2548" s="24"/>
      <c r="I2548" s="24"/>
      <c r="J2548" s="24"/>
      <c r="K2548" s="24"/>
      <c r="L2548" s="24"/>
      <c r="M2548" s="24"/>
      <c r="N2548" s="24"/>
      <c r="O2548" s="24"/>
      <c r="P2548" s="24"/>
      <c r="Q2548" s="24"/>
      <c r="R2548" s="24"/>
      <c r="S2548" s="24"/>
      <c r="T2548" s="24"/>
      <c r="U2548" s="24"/>
      <c r="V2548" s="24"/>
      <c r="W2548" s="24"/>
      <c r="X2548" s="24"/>
      <c r="Y2548" s="24"/>
      <c r="Z2548" s="24"/>
      <c r="AA2548" s="24"/>
      <c r="AB2548" s="24"/>
      <c r="AC2548" s="24"/>
      <c r="AD2548" s="24"/>
      <c r="AE2548" s="24"/>
      <c r="AF2548" s="24"/>
      <c r="AG2548" s="24"/>
      <c r="AH2548" s="24"/>
      <c r="AI2548" s="24"/>
      <c r="AJ2548" s="24"/>
      <c r="AK2548" s="24"/>
      <c r="AL2548" s="24"/>
      <c r="AM2548" s="24"/>
      <c r="AN2548" s="24"/>
      <c r="AO2548" s="24"/>
      <c r="AP2548" s="24"/>
      <c r="AQ2548" s="24"/>
      <c r="AR2548" s="54"/>
    </row>
    <row r="2549">
      <c r="A2549" s="57"/>
      <c r="B2549" s="24"/>
      <c r="C2549" s="24"/>
      <c r="D2549" s="24"/>
      <c r="E2549" s="24"/>
      <c r="F2549" s="24"/>
      <c r="G2549" s="24"/>
      <c r="H2549" s="24"/>
      <c r="I2549" s="24"/>
      <c r="J2549" s="24"/>
      <c r="K2549" s="24"/>
      <c r="L2549" s="24"/>
      <c r="M2549" s="24"/>
      <c r="N2549" s="24"/>
      <c r="O2549" s="24"/>
      <c r="P2549" s="24"/>
      <c r="Q2549" s="24"/>
      <c r="R2549" s="24"/>
      <c r="S2549" s="24"/>
      <c r="T2549" s="24"/>
      <c r="U2549" s="24"/>
      <c r="V2549" s="24"/>
      <c r="W2549" s="24"/>
      <c r="X2549" s="24"/>
      <c r="Y2549" s="24"/>
      <c r="Z2549" s="24"/>
      <c r="AA2549" s="24"/>
      <c r="AB2549" s="24"/>
      <c r="AC2549" s="24"/>
      <c r="AD2549" s="24"/>
      <c r="AE2549" s="24"/>
      <c r="AF2549" s="24"/>
      <c r="AG2549" s="24"/>
      <c r="AH2549" s="24"/>
      <c r="AI2549" s="24"/>
      <c r="AJ2549" s="24"/>
      <c r="AK2549" s="24"/>
      <c r="AL2549" s="24"/>
      <c r="AM2549" s="24"/>
      <c r="AN2549" s="24"/>
      <c r="AO2549" s="24"/>
      <c r="AP2549" s="24"/>
      <c r="AQ2549" s="24"/>
      <c r="AR2549" s="54"/>
    </row>
    <row r="2550">
      <c r="A2550" s="57"/>
      <c r="B2550" s="24"/>
      <c r="C2550" s="24"/>
      <c r="D2550" s="24"/>
      <c r="E2550" s="24"/>
      <c r="F2550" s="24"/>
      <c r="G2550" s="24"/>
      <c r="H2550" s="24"/>
      <c r="I2550" s="24"/>
      <c r="J2550" s="24"/>
      <c r="K2550" s="24"/>
      <c r="L2550" s="24"/>
      <c r="M2550" s="24"/>
      <c r="N2550" s="24"/>
      <c r="O2550" s="24"/>
      <c r="P2550" s="24"/>
      <c r="Q2550" s="24"/>
      <c r="R2550" s="24"/>
      <c r="S2550" s="24"/>
      <c r="T2550" s="24"/>
      <c r="U2550" s="24"/>
      <c r="V2550" s="24"/>
      <c r="W2550" s="24"/>
      <c r="X2550" s="24"/>
      <c r="Y2550" s="24"/>
      <c r="Z2550" s="24"/>
      <c r="AA2550" s="24"/>
      <c r="AB2550" s="24"/>
      <c r="AC2550" s="24"/>
      <c r="AD2550" s="24"/>
      <c r="AE2550" s="24"/>
      <c r="AF2550" s="24"/>
      <c r="AG2550" s="24"/>
      <c r="AH2550" s="24"/>
      <c r="AI2550" s="24"/>
      <c r="AJ2550" s="24"/>
      <c r="AK2550" s="24"/>
      <c r="AL2550" s="24"/>
      <c r="AM2550" s="24"/>
      <c r="AN2550" s="24"/>
      <c r="AO2550" s="24"/>
      <c r="AP2550" s="24"/>
      <c r="AQ2550" s="24"/>
      <c r="AR2550" s="54"/>
    </row>
    <row r="2551">
      <c r="A2551" s="57"/>
      <c r="B2551" s="24"/>
      <c r="C2551" s="24"/>
      <c r="D2551" s="24"/>
      <c r="E2551" s="24"/>
      <c r="F2551" s="24"/>
      <c r="G2551" s="24"/>
      <c r="H2551" s="24"/>
      <c r="I2551" s="24"/>
      <c r="J2551" s="24"/>
      <c r="K2551" s="24"/>
      <c r="L2551" s="24"/>
      <c r="M2551" s="24"/>
      <c r="N2551" s="24"/>
      <c r="O2551" s="24"/>
      <c r="P2551" s="24"/>
      <c r="Q2551" s="24"/>
      <c r="R2551" s="24"/>
      <c r="S2551" s="24"/>
      <c r="T2551" s="24"/>
      <c r="U2551" s="24"/>
      <c r="V2551" s="24"/>
      <c r="W2551" s="24"/>
      <c r="X2551" s="24"/>
      <c r="Y2551" s="24"/>
      <c r="Z2551" s="24"/>
      <c r="AA2551" s="24"/>
      <c r="AB2551" s="24"/>
      <c r="AC2551" s="24"/>
      <c r="AD2551" s="24"/>
      <c r="AE2551" s="24"/>
      <c r="AF2551" s="24"/>
      <c r="AG2551" s="24"/>
      <c r="AH2551" s="24"/>
      <c r="AI2551" s="24"/>
      <c r="AJ2551" s="24"/>
      <c r="AK2551" s="24"/>
      <c r="AL2551" s="24"/>
      <c r="AM2551" s="24"/>
      <c r="AN2551" s="24"/>
      <c r="AO2551" s="24"/>
      <c r="AP2551" s="24"/>
      <c r="AQ2551" s="24"/>
      <c r="AR2551" s="54"/>
    </row>
    <row r="2552">
      <c r="A2552" s="57"/>
      <c r="B2552" s="24"/>
      <c r="C2552" s="24"/>
      <c r="D2552" s="24"/>
      <c r="E2552" s="24"/>
      <c r="F2552" s="24"/>
      <c r="G2552" s="24"/>
      <c r="H2552" s="24"/>
      <c r="I2552" s="24"/>
      <c r="J2552" s="24"/>
      <c r="K2552" s="24"/>
      <c r="L2552" s="24"/>
      <c r="M2552" s="24"/>
      <c r="N2552" s="24"/>
      <c r="O2552" s="24"/>
      <c r="P2552" s="24"/>
      <c r="Q2552" s="24"/>
      <c r="R2552" s="24"/>
      <c r="S2552" s="24"/>
      <c r="T2552" s="24"/>
      <c r="U2552" s="24"/>
      <c r="V2552" s="24"/>
      <c r="W2552" s="24"/>
      <c r="X2552" s="24"/>
      <c r="Y2552" s="24"/>
      <c r="Z2552" s="24"/>
      <c r="AA2552" s="24"/>
      <c r="AB2552" s="24"/>
      <c r="AC2552" s="24"/>
      <c r="AD2552" s="24"/>
      <c r="AE2552" s="24"/>
      <c r="AF2552" s="24"/>
      <c r="AG2552" s="24"/>
      <c r="AH2552" s="24"/>
      <c r="AI2552" s="24"/>
      <c r="AJ2552" s="24"/>
      <c r="AK2552" s="24"/>
      <c r="AL2552" s="24"/>
      <c r="AM2552" s="24"/>
      <c r="AN2552" s="24"/>
      <c r="AO2552" s="24"/>
      <c r="AP2552" s="24"/>
      <c r="AQ2552" s="24"/>
      <c r="AR2552" s="54"/>
    </row>
    <row r="2553">
      <c r="A2553" s="57"/>
      <c r="B2553" s="24"/>
      <c r="C2553" s="24"/>
      <c r="D2553" s="24"/>
      <c r="E2553" s="24"/>
      <c r="F2553" s="24"/>
      <c r="G2553" s="24"/>
      <c r="H2553" s="24"/>
      <c r="I2553" s="24"/>
      <c r="J2553" s="24"/>
      <c r="K2553" s="24"/>
      <c r="L2553" s="24"/>
      <c r="M2553" s="24"/>
      <c r="N2553" s="24"/>
      <c r="O2553" s="24"/>
      <c r="P2553" s="24"/>
      <c r="Q2553" s="24"/>
      <c r="R2553" s="24"/>
      <c r="S2553" s="24"/>
      <c r="T2553" s="24"/>
      <c r="U2553" s="24"/>
      <c r="V2553" s="24"/>
      <c r="W2553" s="24"/>
      <c r="X2553" s="24"/>
      <c r="Y2553" s="24"/>
      <c r="Z2553" s="24"/>
      <c r="AA2553" s="24"/>
      <c r="AB2553" s="24"/>
      <c r="AC2553" s="24"/>
      <c r="AD2553" s="24"/>
      <c r="AE2553" s="24"/>
      <c r="AF2553" s="24"/>
      <c r="AG2553" s="24"/>
      <c r="AH2553" s="24"/>
      <c r="AI2553" s="24"/>
      <c r="AJ2553" s="24"/>
      <c r="AK2553" s="24"/>
      <c r="AL2553" s="24"/>
      <c r="AM2553" s="24"/>
      <c r="AN2553" s="24"/>
      <c r="AO2553" s="24"/>
      <c r="AP2553" s="24"/>
      <c r="AQ2553" s="24"/>
      <c r="AR2553" s="54"/>
    </row>
    <row r="2554">
      <c r="A2554" s="57"/>
      <c r="B2554" s="24"/>
      <c r="C2554" s="24"/>
      <c r="D2554" s="24"/>
      <c r="E2554" s="24"/>
      <c r="F2554" s="24"/>
      <c r="G2554" s="24"/>
      <c r="H2554" s="24"/>
      <c r="I2554" s="24"/>
      <c r="J2554" s="24"/>
      <c r="K2554" s="24"/>
      <c r="L2554" s="24"/>
      <c r="M2554" s="24"/>
      <c r="N2554" s="24"/>
      <c r="O2554" s="24"/>
      <c r="P2554" s="24"/>
      <c r="Q2554" s="24"/>
      <c r="R2554" s="24"/>
      <c r="S2554" s="24"/>
      <c r="T2554" s="24"/>
      <c r="U2554" s="24"/>
      <c r="V2554" s="24"/>
      <c r="W2554" s="24"/>
      <c r="X2554" s="24"/>
      <c r="Y2554" s="24"/>
      <c r="Z2554" s="24"/>
      <c r="AA2554" s="24"/>
      <c r="AB2554" s="24"/>
      <c r="AC2554" s="24"/>
      <c r="AD2554" s="24"/>
      <c r="AE2554" s="24"/>
      <c r="AF2554" s="24"/>
      <c r="AG2554" s="24"/>
      <c r="AH2554" s="24"/>
      <c r="AI2554" s="24"/>
      <c r="AJ2554" s="24"/>
      <c r="AK2554" s="24"/>
      <c r="AL2554" s="24"/>
      <c r="AM2554" s="24"/>
      <c r="AN2554" s="24"/>
      <c r="AO2554" s="24"/>
      <c r="AP2554" s="24"/>
      <c r="AQ2554" s="24"/>
      <c r="AR2554" s="54"/>
    </row>
    <row r="2555">
      <c r="A2555" s="57"/>
      <c r="B2555" s="24"/>
      <c r="C2555" s="24"/>
      <c r="D2555" s="24"/>
      <c r="E2555" s="24"/>
      <c r="F2555" s="24"/>
      <c r="G2555" s="24"/>
      <c r="H2555" s="24"/>
      <c r="I2555" s="24"/>
      <c r="J2555" s="24"/>
      <c r="K2555" s="24"/>
      <c r="L2555" s="24"/>
      <c r="M2555" s="24"/>
      <c r="N2555" s="24"/>
      <c r="O2555" s="24"/>
      <c r="P2555" s="24"/>
      <c r="Q2555" s="24"/>
      <c r="R2555" s="24"/>
      <c r="S2555" s="24"/>
      <c r="T2555" s="24"/>
      <c r="U2555" s="24"/>
      <c r="V2555" s="24"/>
      <c r="W2555" s="24"/>
      <c r="X2555" s="24"/>
      <c r="Y2555" s="24"/>
      <c r="Z2555" s="24"/>
      <c r="AA2555" s="24"/>
      <c r="AB2555" s="24"/>
      <c r="AC2555" s="24"/>
      <c r="AD2555" s="24"/>
      <c r="AE2555" s="24"/>
      <c r="AF2555" s="24"/>
      <c r="AG2555" s="24"/>
      <c r="AH2555" s="24"/>
      <c r="AI2555" s="24"/>
      <c r="AJ2555" s="24"/>
      <c r="AK2555" s="24"/>
      <c r="AL2555" s="24"/>
      <c r="AM2555" s="24"/>
      <c r="AN2555" s="24"/>
      <c r="AO2555" s="24"/>
      <c r="AP2555" s="24"/>
      <c r="AQ2555" s="24"/>
      <c r="AR2555" s="54"/>
    </row>
    <row r="2556">
      <c r="A2556" s="57"/>
      <c r="B2556" s="24"/>
      <c r="C2556" s="24"/>
      <c r="D2556" s="24"/>
      <c r="E2556" s="24"/>
      <c r="F2556" s="24"/>
      <c r="G2556" s="24"/>
      <c r="H2556" s="24"/>
      <c r="I2556" s="24"/>
      <c r="J2556" s="24"/>
      <c r="K2556" s="24"/>
      <c r="L2556" s="24"/>
      <c r="M2556" s="24"/>
      <c r="N2556" s="24"/>
      <c r="O2556" s="24"/>
      <c r="P2556" s="24"/>
      <c r="Q2556" s="24"/>
      <c r="R2556" s="24"/>
      <c r="S2556" s="24"/>
      <c r="T2556" s="24"/>
      <c r="U2556" s="24"/>
      <c r="V2556" s="24"/>
      <c r="W2556" s="24"/>
      <c r="X2556" s="24"/>
      <c r="Y2556" s="24"/>
      <c r="Z2556" s="24"/>
      <c r="AA2556" s="24"/>
      <c r="AB2556" s="24"/>
      <c r="AC2556" s="24"/>
      <c r="AD2556" s="24"/>
      <c r="AE2556" s="24"/>
      <c r="AF2556" s="24"/>
      <c r="AG2556" s="24"/>
      <c r="AH2556" s="24"/>
      <c r="AI2556" s="24"/>
      <c r="AJ2556" s="24"/>
      <c r="AK2556" s="24"/>
      <c r="AL2556" s="24"/>
      <c r="AM2556" s="24"/>
      <c r="AN2556" s="24"/>
      <c r="AO2556" s="24"/>
      <c r="AP2556" s="24"/>
      <c r="AQ2556" s="24"/>
      <c r="AR2556" s="54"/>
    </row>
    <row r="2557">
      <c r="A2557" s="57"/>
      <c r="B2557" s="24"/>
      <c r="C2557" s="24"/>
      <c r="D2557" s="24"/>
      <c r="E2557" s="24"/>
      <c r="F2557" s="24"/>
      <c r="G2557" s="24"/>
      <c r="H2557" s="24"/>
      <c r="I2557" s="24"/>
      <c r="J2557" s="24"/>
      <c r="K2557" s="24"/>
      <c r="L2557" s="24"/>
      <c r="M2557" s="24"/>
      <c r="N2557" s="24"/>
      <c r="O2557" s="24"/>
      <c r="P2557" s="24"/>
      <c r="Q2557" s="24"/>
      <c r="R2557" s="24"/>
      <c r="S2557" s="24"/>
      <c r="T2557" s="24"/>
      <c r="U2557" s="24"/>
      <c r="V2557" s="24"/>
      <c r="W2557" s="24"/>
      <c r="X2557" s="24"/>
      <c r="Y2557" s="24"/>
      <c r="Z2557" s="24"/>
      <c r="AA2557" s="24"/>
      <c r="AB2557" s="24"/>
      <c r="AC2557" s="24"/>
      <c r="AD2557" s="24"/>
      <c r="AE2557" s="24"/>
      <c r="AF2557" s="24"/>
      <c r="AG2557" s="24"/>
      <c r="AH2557" s="24"/>
      <c r="AI2557" s="24"/>
      <c r="AJ2557" s="24"/>
      <c r="AK2557" s="24"/>
      <c r="AL2557" s="24"/>
      <c r="AM2557" s="24"/>
      <c r="AN2557" s="24"/>
      <c r="AO2557" s="24"/>
      <c r="AP2557" s="24"/>
      <c r="AQ2557" s="24"/>
      <c r="AR2557" s="54"/>
    </row>
    <row r="2558">
      <c r="A2558" s="57"/>
      <c r="B2558" s="24"/>
      <c r="C2558" s="24"/>
      <c r="D2558" s="24"/>
      <c r="E2558" s="24"/>
      <c r="F2558" s="24"/>
      <c r="G2558" s="24"/>
      <c r="H2558" s="24"/>
      <c r="I2558" s="24"/>
      <c r="J2558" s="24"/>
      <c r="K2558" s="24"/>
      <c r="L2558" s="24"/>
      <c r="M2558" s="24"/>
      <c r="N2558" s="24"/>
      <c r="O2558" s="24"/>
      <c r="P2558" s="24"/>
      <c r="Q2558" s="24"/>
      <c r="R2558" s="24"/>
      <c r="S2558" s="24"/>
      <c r="T2558" s="24"/>
      <c r="U2558" s="24"/>
      <c r="V2558" s="24"/>
      <c r="W2558" s="24"/>
      <c r="X2558" s="24"/>
      <c r="Y2558" s="24"/>
      <c r="Z2558" s="24"/>
      <c r="AA2558" s="24"/>
      <c r="AB2558" s="24"/>
      <c r="AC2558" s="24"/>
      <c r="AD2558" s="24"/>
      <c r="AE2558" s="24"/>
      <c r="AF2558" s="24"/>
      <c r="AG2558" s="24"/>
      <c r="AH2558" s="24"/>
      <c r="AI2558" s="24"/>
      <c r="AJ2558" s="24"/>
      <c r="AK2558" s="24"/>
      <c r="AL2558" s="24"/>
      <c r="AM2558" s="24"/>
      <c r="AN2558" s="24"/>
      <c r="AO2558" s="24"/>
      <c r="AP2558" s="24"/>
      <c r="AQ2558" s="24"/>
      <c r="AR2558" s="54"/>
    </row>
    <row r="2559">
      <c r="A2559" s="57"/>
      <c r="B2559" s="24"/>
      <c r="C2559" s="24"/>
      <c r="D2559" s="24"/>
      <c r="E2559" s="24"/>
      <c r="F2559" s="24"/>
      <c r="G2559" s="24"/>
      <c r="H2559" s="24"/>
      <c r="I2559" s="24"/>
      <c r="J2559" s="24"/>
      <c r="K2559" s="24"/>
      <c r="L2559" s="24"/>
      <c r="M2559" s="24"/>
      <c r="N2559" s="24"/>
      <c r="O2559" s="24"/>
      <c r="P2559" s="24"/>
      <c r="Q2559" s="24"/>
      <c r="R2559" s="24"/>
      <c r="S2559" s="24"/>
      <c r="T2559" s="24"/>
      <c r="U2559" s="24"/>
      <c r="V2559" s="24"/>
      <c r="W2559" s="24"/>
      <c r="X2559" s="24"/>
      <c r="Y2559" s="24"/>
      <c r="Z2559" s="24"/>
      <c r="AA2559" s="24"/>
      <c r="AB2559" s="24"/>
      <c r="AC2559" s="24"/>
      <c r="AD2559" s="24"/>
      <c r="AE2559" s="24"/>
      <c r="AF2559" s="24"/>
      <c r="AG2559" s="24"/>
      <c r="AH2559" s="24"/>
      <c r="AI2559" s="24"/>
      <c r="AJ2559" s="24"/>
      <c r="AK2559" s="24"/>
      <c r="AL2559" s="24"/>
      <c r="AM2559" s="24"/>
      <c r="AN2559" s="24"/>
      <c r="AO2559" s="24"/>
      <c r="AP2559" s="24"/>
      <c r="AQ2559" s="24"/>
      <c r="AR2559" s="54"/>
    </row>
    <row r="2560">
      <c r="A2560" s="57"/>
      <c r="B2560" s="24"/>
      <c r="C2560" s="24"/>
      <c r="D2560" s="24"/>
      <c r="E2560" s="24"/>
      <c r="F2560" s="24"/>
      <c r="G2560" s="24"/>
      <c r="H2560" s="24"/>
      <c r="I2560" s="24"/>
      <c r="J2560" s="24"/>
      <c r="K2560" s="24"/>
      <c r="L2560" s="24"/>
      <c r="M2560" s="24"/>
      <c r="N2560" s="24"/>
      <c r="O2560" s="24"/>
      <c r="P2560" s="24"/>
      <c r="Q2560" s="24"/>
      <c r="R2560" s="24"/>
      <c r="S2560" s="24"/>
      <c r="T2560" s="24"/>
      <c r="U2560" s="24"/>
      <c r="V2560" s="24"/>
      <c r="W2560" s="24"/>
      <c r="X2560" s="24"/>
      <c r="Y2560" s="24"/>
      <c r="Z2560" s="24"/>
      <c r="AA2560" s="24"/>
      <c r="AB2560" s="24"/>
      <c r="AC2560" s="24"/>
      <c r="AD2560" s="24"/>
      <c r="AE2560" s="24"/>
      <c r="AF2560" s="24"/>
      <c r="AG2560" s="24"/>
      <c r="AH2560" s="24"/>
      <c r="AI2560" s="24"/>
      <c r="AJ2560" s="24"/>
      <c r="AK2560" s="24"/>
      <c r="AL2560" s="24"/>
      <c r="AM2560" s="24"/>
      <c r="AN2560" s="24"/>
      <c r="AO2560" s="24"/>
      <c r="AP2560" s="24"/>
      <c r="AQ2560" s="24"/>
      <c r="AR2560" s="54"/>
    </row>
    <row r="2561">
      <c r="A2561" s="57"/>
      <c r="B2561" s="24"/>
      <c r="C2561" s="24"/>
      <c r="D2561" s="24"/>
      <c r="E2561" s="24"/>
      <c r="F2561" s="24"/>
      <c r="G2561" s="24"/>
      <c r="H2561" s="24"/>
      <c r="I2561" s="24"/>
      <c r="J2561" s="24"/>
      <c r="K2561" s="24"/>
      <c r="L2561" s="24"/>
      <c r="M2561" s="24"/>
      <c r="N2561" s="24"/>
      <c r="O2561" s="24"/>
      <c r="P2561" s="24"/>
      <c r="Q2561" s="24"/>
      <c r="R2561" s="24"/>
      <c r="S2561" s="24"/>
      <c r="T2561" s="24"/>
      <c r="U2561" s="24"/>
      <c r="V2561" s="24"/>
      <c r="W2561" s="24"/>
      <c r="X2561" s="24"/>
      <c r="Y2561" s="24"/>
      <c r="Z2561" s="24"/>
      <c r="AA2561" s="24"/>
      <c r="AB2561" s="24"/>
      <c r="AC2561" s="24"/>
      <c r="AD2561" s="24"/>
      <c r="AE2561" s="24"/>
      <c r="AF2561" s="24"/>
      <c r="AG2561" s="24"/>
      <c r="AH2561" s="24"/>
      <c r="AI2561" s="24"/>
      <c r="AJ2561" s="24"/>
      <c r="AK2561" s="24"/>
      <c r="AL2561" s="24"/>
      <c r="AM2561" s="24"/>
      <c r="AN2561" s="24"/>
      <c r="AO2561" s="24"/>
      <c r="AP2561" s="24"/>
      <c r="AQ2561" s="24"/>
      <c r="AR2561" s="54"/>
    </row>
    <row r="2562">
      <c r="A2562" s="57"/>
      <c r="B2562" s="24"/>
      <c r="C2562" s="24"/>
      <c r="D2562" s="24"/>
      <c r="E2562" s="24"/>
      <c r="F2562" s="24"/>
      <c r="G2562" s="24"/>
      <c r="H2562" s="24"/>
      <c r="I2562" s="24"/>
      <c r="J2562" s="24"/>
      <c r="K2562" s="24"/>
      <c r="L2562" s="24"/>
      <c r="M2562" s="24"/>
      <c r="N2562" s="24"/>
      <c r="O2562" s="24"/>
      <c r="P2562" s="24"/>
      <c r="Q2562" s="24"/>
      <c r="R2562" s="24"/>
      <c r="S2562" s="24"/>
      <c r="T2562" s="24"/>
      <c r="U2562" s="24"/>
      <c r="V2562" s="24"/>
      <c r="W2562" s="24"/>
      <c r="X2562" s="24"/>
      <c r="Y2562" s="24"/>
      <c r="Z2562" s="24"/>
      <c r="AA2562" s="24"/>
      <c r="AB2562" s="24"/>
      <c r="AC2562" s="24"/>
      <c r="AD2562" s="24"/>
      <c r="AE2562" s="24"/>
      <c r="AF2562" s="24"/>
      <c r="AG2562" s="24"/>
      <c r="AH2562" s="24"/>
      <c r="AI2562" s="24"/>
      <c r="AJ2562" s="24"/>
      <c r="AK2562" s="24"/>
      <c r="AL2562" s="24"/>
      <c r="AM2562" s="24"/>
      <c r="AN2562" s="24"/>
      <c r="AO2562" s="24"/>
      <c r="AP2562" s="24"/>
      <c r="AQ2562" s="24"/>
      <c r="AR2562" s="54"/>
    </row>
    <row r="2563">
      <c r="A2563" s="57"/>
      <c r="B2563" s="24"/>
      <c r="C2563" s="24"/>
      <c r="D2563" s="24"/>
      <c r="E2563" s="24"/>
      <c r="F2563" s="24"/>
      <c r="G2563" s="24"/>
      <c r="H2563" s="24"/>
      <c r="I2563" s="24"/>
      <c r="J2563" s="24"/>
      <c r="K2563" s="24"/>
      <c r="L2563" s="24"/>
      <c r="M2563" s="24"/>
      <c r="N2563" s="24"/>
      <c r="O2563" s="24"/>
      <c r="P2563" s="24"/>
      <c r="Q2563" s="24"/>
      <c r="R2563" s="24"/>
      <c r="S2563" s="24"/>
      <c r="T2563" s="24"/>
      <c r="U2563" s="24"/>
      <c r="V2563" s="24"/>
      <c r="W2563" s="24"/>
      <c r="X2563" s="24"/>
      <c r="Y2563" s="24"/>
      <c r="Z2563" s="24"/>
      <c r="AA2563" s="24"/>
      <c r="AB2563" s="24"/>
      <c r="AC2563" s="24"/>
      <c r="AD2563" s="24"/>
      <c r="AE2563" s="24"/>
      <c r="AF2563" s="24"/>
      <c r="AG2563" s="24"/>
      <c r="AH2563" s="24"/>
      <c r="AI2563" s="24"/>
      <c r="AJ2563" s="24"/>
      <c r="AK2563" s="24"/>
      <c r="AL2563" s="24"/>
      <c r="AM2563" s="24"/>
      <c r="AN2563" s="24"/>
      <c r="AO2563" s="24"/>
      <c r="AP2563" s="24"/>
      <c r="AQ2563" s="24"/>
      <c r="AR2563" s="54"/>
    </row>
    <row r="2564">
      <c r="A2564" s="57"/>
      <c r="B2564" s="24"/>
      <c r="C2564" s="24"/>
      <c r="D2564" s="24"/>
      <c r="E2564" s="24"/>
      <c r="F2564" s="24"/>
      <c r="G2564" s="24"/>
      <c r="H2564" s="24"/>
      <c r="I2564" s="24"/>
      <c r="J2564" s="24"/>
      <c r="K2564" s="24"/>
      <c r="L2564" s="24"/>
      <c r="M2564" s="24"/>
      <c r="N2564" s="24"/>
      <c r="O2564" s="24"/>
      <c r="P2564" s="24"/>
      <c r="Q2564" s="24"/>
      <c r="R2564" s="24"/>
      <c r="S2564" s="24"/>
      <c r="T2564" s="24"/>
      <c r="U2564" s="24"/>
      <c r="V2564" s="24"/>
      <c r="W2564" s="24"/>
      <c r="X2564" s="24"/>
      <c r="Y2564" s="24"/>
      <c r="Z2564" s="24"/>
      <c r="AA2564" s="24"/>
      <c r="AB2564" s="24"/>
      <c r="AC2564" s="24"/>
      <c r="AD2564" s="24"/>
      <c r="AE2564" s="24"/>
      <c r="AF2564" s="24"/>
      <c r="AG2564" s="24"/>
      <c r="AH2564" s="24"/>
      <c r="AI2564" s="24"/>
      <c r="AJ2564" s="24"/>
      <c r="AK2564" s="24"/>
      <c r="AL2564" s="24"/>
      <c r="AM2564" s="24"/>
      <c r="AN2564" s="24"/>
      <c r="AO2564" s="24"/>
      <c r="AP2564" s="24"/>
      <c r="AQ2564" s="24"/>
      <c r="AR2564" s="54"/>
    </row>
    <row r="2565">
      <c r="A2565" s="57"/>
      <c r="B2565" s="24"/>
      <c r="C2565" s="24"/>
      <c r="D2565" s="24"/>
      <c r="E2565" s="24"/>
      <c r="F2565" s="24"/>
      <c r="G2565" s="24"/>
      <c r="H2565" s="24"/>
      <c r="I2565" s="24"/>
      <c r="J2565" s="24"/>
      <c r="K2565" s="24"/>
      <c r="L2565" s="24"/>
      <c r="M2565" s="24"/>
      <c r="N2565" s="24"/>
      <c r="O2565" s="24"/>
      <c r="P2565" s="24"/>
      <c r="Q2565" s="24"/>
      <c r="R2565" s="24"/>
      <c r="S2565" s="24"/>
      <c r="T2565" s="24"/>
      <c r="U2565" s="24"/>
      <c r="V2565" s="24"/>
      <c r="W2565" s="24"/>
      <c r="X2565" s="24"/>
      <c r="Y2565" s="24"/>
      <c r="Z2565" s="24"/>
      <c r="AA2565" s="24"/>
      <c r="AB2565" s="24"/>
      <c r="AC2565" s="24"/>
      <c r="AD2565" s="24"/>
      <c r="AE2565" s="24"/>
      <c r="AF2565" s="24"/>
      <c r="AG2565" s="24"/>
      <c r="AH2565" s="24"/>
      <c r="AI2565" s="24"/>
      <c r="AJ2565" s="24"/>
      <c r="AK2565" s="24"/>
      <c r="AL2565" s="24"/>
      <c r="AM2565" s="24"/>
      <c r="AN2565" s="24"/>
      <c r="AO2565" s="24"/>
      <c r="AP2565" s="24"/>
      <c r="AQ2565" s="24"/>
      <c r="AR2565" s="54"/>
    </row>
    <row r="2566">
      <c r="A2566" s="57"/>
      <c r="B2566" s="24"/>
      <c r="C2566" s="24"/>
      <c r="D2566" s="24"/>
      <c r="E2566" s="24"/>
      <c r="F2566" s="24"/>
      <c r="G2566" s="24"/>
      <c r="H2566" s="24"/>
      <c r="I2566" s="24"/>
      <c r="J2566" s="24"/>
      <c r="K2566" s="24"/>
      <c r="L2566" s="24"/>
      <c r="M2566" s="24"/>
      <c r="N2566" s="24"/>
      <c r="O2566" s="24"/>
      <c r="P2566" s="24"/>
      <c r="Q2566" s="24"/>
      <c r="R2566" s="24"/>
      <c r="S2566" s="24"/>
      <c r="T2566" s="24"/>
      <c r="U2566" s="24"/>
      <c r="V2566" s="24"/>
      <c r="W2566" s="24"/>
      <c r="X2566" s="24"/>
      <c r="Y2566" s="24"/>
      <c r="Z2566" s="24"/>
      <c r="AA2566" s="24"/>
      <c r="AB2566" s="24"/>
      <c r="AC2566" s="24"/>
      <c r="AD2566" s="24"/>
      <c r="AE2566" s="24"/>
      <c r="AF2566" s="24"/>
      <c r="AG2566" s="24"/>
      <c r="AH2566" s="24"/>
      <c r="AI2566" s="24"/>
      <c r="AJ2566" s="24"/>
      <c r="AK2566" s="24"/>
      <c r="AL2566" s="24"/>
      <c r="AM2566" s="24"/>
      <c r="AN2566" s="24"/>
      <c r="AO2566" s="24"/>
      <c r="AP2566" s="24"/>
      <c r="AQ2566" s="24"/>
      <c r="AR2566" s="54"/>
    </row>
    <row r="2567">
      <c r="A2567" s="57"/>
      <c r="B2567" s="24"/>
      <c r="C2567" s="24"/>
      <c r="D2567" s="24"/>
      <c r="E2567" s="24"/>
      <c r="F2567" s="24"/>
      <c r="G2567" s="24"/>
      <c r="H2567" s="24"/>
      <c r="I2567" s="24"/>
      <c r="J2567" s="24"/>
      <c r="K2567" s="24"/>
      <c r="L2567" s="24"/>
      <c r="M2567" s="24"/>
      <c r="N2567" s="24"/>
      <c r="O2567" s="24"/>
      <c r="P2567" s="24"/>
      <c r="Q2567" s="24"/>
      <c r="R2567" s="24"/>
      <c r="S2567" s="24"/>
      <c r="T2567" s="24"/>
      <c r="U2567" s="24"/>
      <c r="V2567" s="24"/>
      <c r="W2567" s="24"/>
      <c r="X2567" s="24"/>
      <c r="Y2567" s="24"/>
      <c r="Z2567" s="24"/>
      <c r="AA2567" s="24"/>
      <c r="AB2567" s="24"/>
      <c r="AC2567" s="24"/>
      <c r="AD2567" s="24"/>
      <c r="AE2567" s="24"/>
      <c r="AF2567" s="24"/>
      <c r="AG2567" s="24"/>
      <c r="AH2567" s="24"/>
      <c r="AI2567" s="24"/>
      <c r="AJ2567" s="24"/>
      <c r="AK2567" s="24"/>
      <c r="AL2567" s="24"/>
      <c r="AM2567" s="24"/>
      <c r="AN2567" s="24"/>
      <c r="AO2567" s="24"/>
      <c r="AP2567" s="24"/>
      <c r="AQ2567" s="24"/>
      <c r="AR2567" s="54"/>
    </row>
    <row r="2568">
      <c r="A2568" s="57"/>
      <c r="B2568" s="24"/>
      <c r="C2568" s="24"/>
      <c r="D2568" s="24"/>
      <c r="E2568" s="24"/>
      <c r="F2568" s="24"/>
      <c r="G2568" s="24"/>
      <c r="H2568" s="24"/>
      <c r="I2568" s="24"/>
      <c r="J2568" s="24"/>
      <c r="K2568" s="24"/>
      <c r="L2568" s="24"/>
      <c r="M2568" s="24"/>
      <c r="N2568" s="24"/>
      <c r="O2568" s="24"/>
      <c r="P2568" s="24"/>
      <c r="Q2568" s="24"/>
      <c r="R2568" s="24"/>
      <c r="S2568" s="24"/>
      <c r="T2568" s="24"/>
      <c r="U2568" s="24"/>
      <c r="V2568" s="24"/>
      <c r="W2568" s="24"/>
      <c r="X2568" s="24"/>
      <c r="Y2568" s="24"/>
      <c r="Z2568" s="24"/>
      <c r="AA2568" s="24"/>
      <c r="AB2568" s="24"/>
      <c r="AC2568" s="24"/>
      <c r="AD2568" s="24"/>
      <c r="AE2568" s="24"/>
      <c r="AF2568" s="24"/>
      <c r="AG2568" s="24"/>
      <c r="AH2568" s="24"/>
      <c r="AI2568" s="24"/>
      <c r="AJ2568" s="24"/>
      <c r="AK2568" s="24"/>
      <c r="AL2568" s="24"/>
      <c r="AM2568" s="24"/>
      <c r="AN2568" s="24"/>
      <c r="AO2568" s="24"/>
      <c r="AP2568" s="24"/>
      <c r="AQ2568" s="24"/>
      <c r="AR2568" s="54"/>
    </row>
    <row r="2569">
      <c r="A2569" s="57"/>
      <c r="B2569" s="24"/>
      <c r="C2569" s="24"/>
      <c r="D2569" s="24"/>
      <c r="E2569" s="24"/>
      <c r="F2569" s="24"/>
      <c r="G2569" s="24"/>
      <c r="H2569" s="24"/>
      <c r="I2569" s="24"/>
      <c r="J2569" s="24"/>
      <c r="K2569" s="24"/>
      <c r="L2569" s="24"/>
      <c r="M2569" s="24"/>
      <c r="N2569" s="24"/>
      <c r="O2569" s="24"/>
      <c r="P2569" s="24"/>
      <c r="Q2569" s="24"/>
      <c r="R2569" s="24"/>
      <c r="S2569" s="24"/>
      <c r="T2569" s="24"/>
      <c r="U2569" s="24"/>
      <c r="V2569" s="24"/>
      <c r="W2569" s="24"/>
      <c r="X2569" s="24"/>
      <c r="Y2569" s="24"/>
      <c r="Z2569" s="24"/>
      <c r="AA2569" s="24"/>
      <c r="AB2569" s="24"/>
      <c r="AC2569" s="24"/>
      <c r="AD2569" s="24"/>
      <c r="AE2569" s="24"/>
      <c r="AF2569" s="24"/>
      <c r="AG2569" s="24"/>
      <c r="AH2569" s="24"/>
      <c r="AI2569" s="24"/>
      <c r="AJ2569" s="24"/>
      <c r="AK2569" s="24"/>
      <c r="AL2569" s="24"/>
      <c r="AM2569" s="24"/>
      <c r="AN2569" s="24"/>
      <c r="AO2569" s="24"/>
      <c r="AP2569" s="24"/>
      <c r="AQ2569" s="24"/>
      <c r="AR2569" s="54"/>
    </row>
    <row r="2570">
      <c r="A2570" s="57"/>
      <c r="B2570" s="24"/>
      <c r="C2570" s="24"/>
      <c r="D2570" s="24"/>
      <c r="E2570" s="24"/>
      <c r="F2570" s="24"/>
      <c r="G2570" s="24"/>
      <c r="H2570" s="24"/>
      <c r="I2570" s="24"/>
      <c r="J2570" s="24"/>
      <c r="K2570" s="24"/>
      <c r="L2570" s="24"/>
      <c r="M2570" s="24"/>
      <c r="N2570" s="24"/>
      <c r="O2570" s="24"/>
      <c r="P2570" s="24"/>
      <c r="Q2570" s="24"/>
      <c r="R2570" s="24"/>
      <c r="S2570" s="24"/>
      <c r="T2570" s="24"/>
      <c r="U2570" s="24"/>
      <c r="V2570" s="24"/>
      <c r="W2570" s="24"/>
      <c r="X2570" s="24"/>
      <c r="Y2570" s="24"/>
      <c r="Z2570" s="24"/>
      <c r="AA2570" s="24"/>
      <c r="AB2570" s="24"/>
      <c r="AC2570" s="24"/>
      <c r="AD2570" s="24"/>
      <c r="AE2570" s="24"/>
      <c r="AF2570" s="24"/>
      <c r="AG2570" s="24"/>
      <c r="AH2570" s="24"/>
      <c r="AI2570" s="24"/>
      <c r="AJ2570" s="24"/>
      <c r="AK2570" s="24"/>
      <c r="AL2570" s="24"/>
      <c r="AM2570" s="24"/>
      <c r="AN2570" s="24"/>
      <c r="AO2570" s="24"/>
      <c r="AP2570" s="24"/>
      <c r="AQ2570" s="24"/>
      <c r="AR2570" s="54"/>
    </row>
    <row r="2571">
      <c r="A2571" s="57"/>
      <c r="B2571" s="24"/>
      <c r="C2571" s="24"/>
      <c r="D2571" s="24"/>
      <c r="E2571" s="24"/>
      <c r="F2571" s="24"/>
      <c r="G2571" s="24"/>
      <c r="H2571" s="24"/>
      <c r="I2571" s="24"/>
      <c r="J2571" s="24"/>
      <c r="K2571" s="24"/>
      <c r="L2571" s="24"/>
      <c r="M2571" s="24"/>
      <c r="N2571" s="24"/>
      <c r="O2571" s="24"/>
      <c r="P2571" s="24"/>
      <c r="Q2571" s="24"/>
      <c r="R2571" s="24"/>
      <c r="S2571" s="24"/>
      <c r="T2571" s="24"/>
      <c r="U2571" s="24"/>
      <c r="V2571" s="24"/>
      <c r="W2571" s="24"/>
      <c r="X2571" s="24"/>
      <c r="Y2571" s="24"/>
      <c r="Z2571" s="24"/>
      <c r="AA2571" s="24"/>
      <c r="AB2571" s="24"/>
      <c r="AC2571" s="24"/>
      <c r="AD2571" s="24"/>
      <c r="AE2571" s="24"/>
      <c r="AF2571" s="24"/>
      <c r="AG2571" s="24"/>
      <c r="AH2571" s="24"/>
      <c r="AI2571" s="24"/>
      <c r="AJ2571" s="24"/>
      <c r="AK2571" s="24"/>
      <c r="AL2571" s="24"/>
      <c r="AM2571" s="24"/>
      <c r="AN2571" s="24"/>
      <c r="AO2571" s="24"/>
      <c r="AP2571" s="24"/>
      <c r="AQ2571" s="24"/>
      <c r="AR2571" s="54"/>
    </row>
    <row r="2572">
      <c r="A2572" s="57"/>
      <c r="B2572" s="24"/>
      <c r="C2572" s="24"/>
      <c r="D2572" s="24"/>
      <c r="E2572" s="24"/>
      <c r="F2572" s="24"/>
      <c r="G2572" s="24"/>
      <c r="H2572" s="24"/>
      <c r="I2572" s="24"/>
      <c r="J2572" s="24"/>
      <c r="K2572" s="24"/>
      <c r="L2572" s="24"/>
      <c r="M2572" s="24"/>
      <c r="N2572" s="24"/>
      <c r="O2572" s="24"/>
      <c r="P2572" s="24"/>
      <c r="Q2572" s="24"/>
      <c r="R2572" s="24"/>
      <c r="S2572" s="24"/>
      <c r="T2572" s="24"/>
      <c r="U2572" s="24"/>
      <c r="V2572" s="24"/>
      <c r="W2572" s="24"/>
      <c r="X2572" s="24"/>
      <c r="Y2572" s="24"/>
      <c r="Z2572" s="24"/>
      <c r="AA2572" s="24"/>
      <c r="AB2572" s="24"/>
      <c r="AC2572" s="24"/>
      <c r="AD2572" s="24"/>
      <c r="AE2572" s="24"/>
      <c r="AF2572" s="24"/>
      <c r="AG2572" s="24"/>
      <c r="AH2572" s="24"/>
      <c r="AI2572" s="24"/>
      <c r="AJ2572" s="24"/>
      <c r="AK2572" s="24"/>
      <c r="AL2572" s="24"/>
      <c r="AM2572" s="24"/>
      <c r="AN2572" s="24"/>
      <c r="AO2572" s="24"/>
      <c r="AP2572" s="24"/>
      <c r="AQ2572" s="24"/>
      <c r="AR2572" s="54"/>
    </row>
    <row r="2573">
      <c r="A2573" s="57"/>
      <c r="B2573" s="24"/>
      <c r="C2573" s="24"/>
      <c r="D2573" s="24"/>
      <c r="E2573" s="24"/>
      <c r="F2573" s="24"/>
      <c r="G2573" s="24"/>
      <c r="H2573" s="24"/>
      <c r="I2573" s="24"/>
      <c r="J2573" s="24"/>
      <c r="K2573" s="24"/>
      <c r="L2573" s="24"/>
      <c r="M2573" s="24"/>
      <c r="N2573" s="24"/>
      <c r="O2573" s="24"/>
      <c r="P2573" s="24"/>
      <c r="Q2573" s="24"/>
      <c r="R2573" s="24"/>
      <c r="S2573" s="24"/>
      <c r="T2573" s="24"/>
      <c r="U2573" s="24"/>
      <c r="V2573" s="24"/>
      <c r="W2573" s="24"/>
      <c r="X2573" s="24"/>
      <c r="Y2573" s="24"/>
      <c r="Z2573" s="24"/>
      <c r="AA2573" s="24"/>
      <c r="AB2573" s="24"/>
      <c r="AC2573" s="24"/>
      <c r="AD2573" s="24"/>
      <c r="AE2573" s="24"/>
      <c r="AF2573" s="24"/>
      <c r="AG2573" s="24"/>
      <c r="AH2573" s="24"/>
      <c r="AI2573" s="24"/>
      <c r="AJ2573" s="24"/>
      <c r="AK2573" s="24"/>
      <c r="AL2573" s="24"/>
      <c r="AM2573" s="24"/>
      <c r="AN2573" s="24"/>
      <c r="AO2573" s="24"/>
      <c r="AP2573" s="24"/>
      <c r="AQ2573" s="24"/>
      <c r="AR2573" s="54"/>
    </row>
    <row r="2574">
      <c r="A2574" s="57"/>
      <c r="B2574" s="24"/>
      <c r="C2574" s="24"/>
      <c r="D2574" s="24"/>
      <c r="E2574" s="24"/>
      <c r="F2574" s="24"/>
      <c r="G2574" s="24"/>
      <c r="H2574" s="24"/>
      <c r="I2574" s="24"/>
      <c r="J2574" s="24"/>
      <c r="K2574" s="24"/>
      <c r="L2574" s="24"/>
      <c r="M2574" s="24"/>
      <c r="N2574" s="24"/>
      <c r="O2574" s="24"/>
      <c r="P2574" s="24"/>
      <c r="Q2574" s="24"/>
      <c r="R2574" s="24"/>
      <c r="S2574" s="24"/>
      <c r="T2574" s="24"/>
      <c r="U2574" s="24"/>
      <c r="V2574" s="24"/>
      <c r="W2574" s="24"/>
      <c r="X2574" s="24"/>
      <c r="Y2574" s="24"/>
      <c r="Z2574" s="24"/>
      <c r="AA2574" s="24"/>
      <c r="AB2574" s="24"/>
      <c r="AC2574" s="24"/>
      <c r="AD2574" s="24"/>
      <c r="AE2574" s="24"/>
      <c r="AF2574" s="24"/>
      <c r="AG2574" s="24"/>
      <c r="AH2574" s="24"/>
      <c r="AI2574" s="24"/>
      <c r="AJ2574" s="24"/>
      <c r="AK2574" s="24"/>
      <c r="AL2574" s="24"/>
      <c r="AM2574" s="24"/>
      <c r="AN2574" s="24"/>
      <c r="AO2574" s="24"/>
      <c r="AP2574" s="24"/>
      <c r="AQ2574" s="24"/>
      <c r="AR2574" s="54"/>
    </row>
    <row r="2575">
      <c r="A2575" s="57"/>
      <c r="B2575" s="24"/>
      <c r="C2575" s="24"/>
      <c r="D2575" s="24"/>
      <c r="E2575" s="24"/>
      <c r="F2575" s="24"/>
      <c r="G2575" s="24"/>
      <c r="H2575" s="24"/>
      <c r="I2575" s="24"/>
      <c r="J2575" s="24"/>
      <c r="K2575" s="24"/>
      <c r="L2575" s="24"/>
      <c r="M2575" s="24"/>
      <c r="N2575" s="24"/>
      <c r="O2575" s="24"/>
      <c r="P2575" s="24"/>
      <c r="Q2575" s="24"/>
      <c r="R2575" s="24"/>
      <c r="S2575" s="24"/>
      <c r="T2575" s="24"/>
      <c r="U2575" s="24"/>
      <c r="V2575" s="24"/>
      <c r="W2575" s="24"/>
      <c r="X2575" s="24"/>
      <c r="Y2575" s="24"/>
      <c r="Z2575" s="24"/>
      <c r="AA2575" s="24"/>
      <c r="AB2575" s="24"/>
      <c r="AC2575" s="24"/>
      <c r="AD2575" s="24"/>
      <c r="AE2575" s="24"/>
      <c r="AF2575" s="24"/>
      <c r="AG2575" s="24"/>
      <c r="AH2575" s="24"/>
      <c r="AI2575" s="24"/>
      <c r="AJ2575" s="24"/>
      <c r="AK2575" s="24"/>
      <c r="AL2575" s="24"/>
      <c r="AM2575" s="24"/>
      <c r="AN2575" s="24"/>
      <c r="AO2575" s="24"/>
      <c r="AP2575" s="24"/>
      <c r="AQ2575" s="24"/>
      <c r="AR2575" s="54"/>
    </row>
    <row r="2576">
      <c r="A2576" s="57"/>
      <c r="B2576" s="24"/>
      <c r="C2576" s="24"/>
      <c r="D2576" s="24"/>
      <c r="E2576" s="24"/>
      <c r="F2576" s="24"/>
      <c r="G2576" s="24"/>
      <c r="H2576" s="24"/>
      <c r="I2576" s="24"/>
      <c r="J2576" s="24"/>
      <c r="K2576" s="24"/>
      <c r="L2576" s="24"/>
      <c r="M2576" s="24"/>
      <c r="N2576" s="24"/>
      <c r="O2576" s="24"/>
      <c r="P2576" s="24"/>
      <c r="Q2576" s="24"/>
      <c r="R2576" s="24"/>
      <c r="S2576" s="24"/>
      <c r="T2576" s="24"/>
      <c r="U2576" s="24"/>
      <c r="V2576" s="24"/>
      <c r="W2576" s="24"/>
      <c r="X2576" s="24"/>
      <c r="Y2576" s="24"/>
      <c r="Z2576" s="24"/>
      <c r="AA2576" s="24"/>
      <c r="AB2576" s="24"/>
      <c r="AC2576" s="24"/>
      <c r="AD2576" s="24"/>
      <c r="AE2576" s="24"/>
      <c r="AF2576" s="24"/>
      <c r="AG2576" s="24"/>
      <c r="AH2576" s="24"/>
      <c r="AI2576" s="24"/>
      <c r="AJ2576" s="24"/>
      <c r="AK2576" s="24"/>
      <c r="AL2576" s="24"/>
      <c r="AM2576" s="24"/>
      <c r="AN2576" s="24"/>
      <c r="AO2576" s="24"/>
      <c r="AP2576" s="24"/>
      <c r="AQ2576" s="24"/>
      <c r="AR2576" s="54"/>
    </row>
    <row r="2577">
      <c r="A2577" s="57"/>
      <c r="B2577" s="24"/>
      <c r="C2577" s="24"/>
      <c r="D2577" s="24"/>
      <c r="E2577" s="24"/>
      <c r="F2577" s="24"/>
      <c r="G2577" s="24"/>
      <c r="H2577" s="24"/>
      <c r="I2577" s="24"/>
      <c r="J2577" s="24"/>
      <c r="K2577" s="24"/>
      <c r="L2577" s="24"/>
      <c r="M2577" s="24"/>
      <c r="N2577" s="24"/>
      <c r="O2577" s="24"/>
      <c r="P2577" s="24"/>
      <c r="Q2577" s="24"/>
      <c r="R2577" s="24"/>
      <c r="S2577" s="24"/>
      <c r="T2577" s="24"/>
      <c r="U2577" s="24"/>
      <c r="V2577" s="24"/>
      <c r="W2577" s="24"/>
      <c r="X2577" s="24"/>
      <c r="Y2577" s="24"/>
      <c r="Z2577" s="24"/>
      <c r="AA2577" s="24"/>
      <c r="AB2577" s="24"/>
      <c r="AC2577" s="24"/>
      <c r="AD2577" s="24"/>
      <c r="AE2577" s="24"/>
      <c r="AF2577" s="24"/>
      <c r="AG2577" s="24"/>
      <c r="AH2577" s="24"/>
      <c r="AI2577" s="24"/>
      <c r="AJ2577" s="24"/>
      <c r="AK2577" s="24"/>
      <c r="AL2577" s="24"/>
      <c r="AM2577" s="24"/>
      <c r="AN2577" s="24"/>
      <c r="AO2577" s="24"/>
      <c r="AP2577" s="24"/>
      <c r="AQ2577" s="24"/>
      <c r="AR2577" s="54"/>
    </row>
    <row r="2578">
      <c r="A2578" s="57"/>
      <c r="B2578" s="24"/>
      <c r="C2578" s="24"/>
      <c r="D2578" s="24"/>
      <c r="E2578" s="24"/>
      <c r="F2578" s="24"/>
      <c r="G2578" s="24"/>
      <c r="H2578" s="24"/>
      <c r="I2578" s="24"/>
      <c r="J2578" s="24"/>
      <c r="K2578" s="24"/>
      <c r="L2578" s="24"/>
      <c r="M2578" s="24"/>
      <c r="N2578" s="24"/>
      <c r="O2578" s="24"/>
      <c r="P2578" s="24"/>
      <c r="Q2578" s="24"/>
      <c r="R2578" s="24"/>
      <c r="S2578" s="24"/>
      <c r="T2578" s="24"/>
      <c r="U2578" s="24"/>
      <c r="V2578" s="24"/>
      <c r="W2578" s="24"/>
      <c r="X2578" s="24"/>
      <c r="Y2578" s="24"/>
      <c r="Z2578" s="24"/>
      <c r="AA2578" s="24"/>
      <c r="AB2578" s="24"/>
      <c r="AC2578" s="24"/>
      <c r="AD2578" s="24"/>
      <c r="AE2578" s="24"/>
      <c r="AF2578" s="24"/>
      <c r="AG2578" s="24"/>
      <c r="AH2578" s="24"/>
      <c r="AI2578" s="24"/>
      <c r="AJ2578" s="24"/>
      <c r="AK2578" s="24"/>
      <c r="AL2578" s="24"/>
      <c r="AM2578" s="24"/>
      <c r="AN2578" s="24"/>
      <c r="AO2578" s="24"/>
      <c r="AP2578" s="24"/>
      <c r="AQ2578" s="24"/>
      <c r="AR2578" s="54"/>
    </row>
    <row r="2579">
      <c r="A2579" s="57"/>
      <c r="B2579" s="24"/>
      <c r="C2579" s="24"/>
      <c r="D2579" s="24"/>
      <c r="E2579" s="24"/>
      <c r="F2579" s="24"/>
      <c r="G2579" s="24"/>
      <c r="H2579" s="24"/>
      <c r="I2579" s="24"/>
      <c r="J2579" s="24"/>
      <c r="K2579" s="24"/>
      <c r="L2579" s="24"/>
      <c r="M2579" s="24"/>
      <c r="N2579" s="24"/>
      <c r="O2579" s="24"/>
      <c r="P2579" s="24"/>
      <c r="Q2579" s="24"/>
      <c r="R2579" s="24"/>
      <c r="S2579" s="24"/>
      <c r="T2579" s="24"/>
      <c r="U2579" s="24"/>
      <c r="V2579" s="24"/>
      <c r="W2579" s="24"/>
      <c r="X2579" s="24"/>
      <c r="Y2579" s="24"/>
      <c r="Z2579" s="24"/>
      <c r="AA2579" s="24"/>
      <c r="AB2579" s="24"/>
      <c r="AC2579" s="24"/>
      <c r="AD2579" s="24"/>
      <c r="AE2579" s="24"/>
      <c r="AF2579" s="24"/>
      <c r="AG2579" s="24"/>
      <c r="AH2579" s="24"/>
      <c r="AI2579" s="24"/>
      <c r="AJ2579" s="24"/>
      <c r="AK2579" s="24"/>
      <c r="AL2579" s="24"/>
      <c r="AM2579" s="24"/>
      <c r="AN2579" s="24"/>
      <c r="AO2579" s="24"/>
      <c r="AP2579" s="24"/>
      <c r="AQ2579" s="24"/>
      <c r="AR2579" s="54"/>
    </row>
    <row r="2580">
      <c r="A2580" s="57"/>
      <c r="B2580" s="24"/>
      <c r="C2580" s="24"/>
      <c r="D2580" s="24"/>
      <c r="E2580" s="24"/>
      <c r="F2580" s="24"/>
      <c r="G2580" s="24"/>
      <c r="H2580" s="24"/>
      <c r="I2580" s="24"/>
      <c r="J2580" s="24"/>
      <c r="K2580" s="24"/>
      <c r="L2580" s="24"/>
      <c r="M2580" s="24"/>
      <c r="N2580" s="24"/>
      <c r="O2580" s="24"/>
      <c r="P2580" s="24"/>
      <c r="Q2580" s="24"/>
      <c r="R2580" s="24"/>
      <c r="S2580" s="24"/>
      <c r="T2580" s="24"/>
      <c r="U2580" s="24"/>
      <c r="V2580" s="24"/>
      <c r="W2580" s="24"/>
      <c r="X2580" s="24"/>
      <c r="Y2580" s="24"/>
      <c r="Z2580" s="24"/>
      <c r="AA2580" s="24"/>
      <c r="AB2580" s="24"/>
      <c r="AC2580" s="24"/>
      <c r="AD2580" s="24"/>
      <c r="AE2580" s="24"/>
      <c r="AF2580" s="24"/>
      <c r="AG2580" s="24"/>
      <c r="AH2580" s="24"/>
      <c r="AI2580" s="24"/>
      <c r="AJ2580" s="24"/>
      <c r="AK2580" s="24"/>
      <c r="AL2580" s="24"/>
      <c r="AM2580" s="24"/>
      <c r="AN2580" s="24"/>
      <c r="AO2580" s="24"/>
      <c r="AP2580" s="24"/>
      <c r="AQ2580" s="24"/>
      <c r="AR2580" s="54"/>
    </row>
    <row r="2581">
      <c r="A2581" s="57"/>
      <c r="B2581" s="24"/>
      <c r="C2581" s="24"/>
      <c r="D2581" s="24"/>
      <c r="E2581" s="24"/>
      <c r="F2581" s="24"/>
      <c r="G2581" s="24"/>
      <c r="H2581" s="24"/>
      <c r="I2581" s="24"/>
      <c r="J2581" s="24"/>
      <c r="K2581" s="24"/>
      <c r="L2581" s="24"/>
      <c r="M2581" s="24"/>
      <c r="N2581" s="24"/>
      <c r="O2581" s="24"/>
      <c r="P2581" s="24"/>
      <c r="Q2581" s="24"/>
      <c r="R2581" s="24"/>
      <c r="S2581" s="24"/>
      <c r="T2581" s="24"/>
      <c r="U2581" s="24"/>
      <c r="V2581" s="24"/>
      <c r="W2581" s="24"/>
      <c r="X2581" s="24"/>
      <c r="Y2581" s="24"/>
      <c r="Z2581" s="24"/>
      <c r="AA2581" s="24"/>
      <c r="AB2581" s="24"/>
      <c r="AC2581" s="24"/>
      <c r="AD2581" s="24"/>
      <c r="AE2581" s="24"/>
      <c r="AF2581" s="24"/>
      <c r="AG2581" s="24"/>
      <c r="AH2581" s="24"/>
      <c r="AI2581" s="24"/>
      <c r="AJ2581" s="24"/>
      <c r="AK2581" s="24"/>
      <c r="AL2581" s="24"/>
      <c r="AM2581" s="24"/>
      <c r="AN2581" s="24"/>
      <c r="AO2581" s="24"/>
      <c r="AP2581" s="24"/>
      <c r="AQ2581" s="24"/>
      <c r="AR2581" s="54"/>
    </row>
    <row r="2582">
      <c r="A2582" s="57"/>
      <c r="B2582" s="24"/>
      <c r="C2582" s="24"/>
      <c r="D2582" s="24"/>
      <c r="E2582" s="24"/>
      <c r="F2582" s="24"/>
      <c r="G2582" s="24"/>
      <c r="H2582" s="24"/>
      <c r="I2582" s="24"/>
      <c r="J2582" s="24"/>
      <c r="K2582" s="24"/>
      <c r="L2582" s="24"/>
      <c r="M2582" s="24"/>
      <c r="N2582" s="24"/>
      <c r="O2582" s="24"/>
      <c r="P2582" s="24"/>
      <c r="Q2582" s="24"/>
      <c r="R2582" s="24"/>
      <c r="S2582" s="24"/>
      <c r="T2582" s="24"/>
      <c r="U2582" s="24"/>
      <c r="V2582" s="24"/>
      <c r="W2582" s="24"/>
      <c r="X2582" s="24"/>
      <c r="Y2582" s="24"/>
      <c r="Z2582" s="24"/>
      <c r="AA2582" s="24"/>
      <c r="AB2582" s="24"/>
      <c r="AC2582" s="24"/>
      <c r="AD2582" s="24"/>
      <c r="AE2582" s="24"/>
      <c r="AF2582" s="24"/>
      <c r="AG2582" s="24"/>
      <c r="AH2582" s="24"/>
      <c r="AI2582" s="24"/>
      <c r="AJ2582" s="24"/>
      <c r="AK2582" s="24"/>
      <c r="AL2582" s="24"/>
      <c r="AM2582" s="24"/>
      <c r="AN2582" s="24"/>
      <c r="AO2582" s="24"/>
      <c r="AP2582" s="24"/>
      <c r="AQ2582" s="24"/>
      <c r="AR2582" s="54"/>
    </row>
    <row r="2583">
      <c r="A2583" s="57"/>
      <c r="B2583" s="24"/>
      <c r="C2583" s="24"/>
      <c r="D2583" s="24"/>
      <c r="E2583" s="24"/>
      <c r="F2583" s="24"/>
      <c r="G2583" s="24"/>
      <c r="H2583" s="24"/>
      <c r="I2583" s="24"/>
      <c r="J2583" s="24"/>
      <c r="K2583" s="24"/>
      <c r="L2583" s="24"/>
      <c r="M2583" s="24"/>
      <c r="N2583" s="24"/>
      <c r="O2583" s="24"/>
      <c r="P2583" s="24"/>
      <c r="Q2583" s="24"/>
      <c r="R2583" s="24"/>
      <c r="S2583" s="24"/>
      <c r="T2583" s="24"/>
      <c r="U2583" s="24"/>
      <c r="V2583" s="24"/>
      <c r="W2583" s="24"/>
      <c r="X2583" s="24"/>
      <c r="Y2583" s="24"/>
      <c r="Z2583" s="24"/>
      <c r="AA2583" s="24"/>
      <c r="AB2583" s="24"/>
      <c r="AC2583" s="24"/>
      <c r="AD2583" s="24"/>
      <c r="AE2583" s="24"/>
      <c r="AF2583" s="24"/>
      <c r="AG2583" s="24"/>
      <c r="AH2583" s="24"/>
      <c r="AI2583" s="24"/>
      <c r="AJ2583" s="24"/>
      <c r="AK2583" s="24"/>
      <c r="AL2583" s="24"/>
      <c r="AM2583" s="24"/>
      <c r="AN2583" s="24"/>
      <c r="AO2583" s="24"/>
      <c r="AP2583" s="24"/>
      <c r="AQ2583" s="24"/>
      <c r="AR2583" s="54"/>
    </row>
    <row r="2584">
      <c r="A2584" s="57"/>
      <c r="B2584" s="24"/>
      <c r="C2584" s="24"/>
      <c r="D2584" s="24"/>
      <c r="E2584" s="24"/>
      <c r="F2584" s="24"/>
      <c r="G2584" s="24"/>
      <c r="H2584" s="24"/>
      <c r="I2584" s="24"/>
      <c r="J2584" s="24"/>
      <c r="K2584" s="24"/>
      <c r="L2584" s="24"/>
      <c r="M2584" s="24"/>
      <c r="N2584" s="24"/>
      <c r="O2584" s="24"/>
      <c r="P2584" s="24"/>
      <c r="Q2584" s="24"/>
      <c r="R2584" s="24"/>
      <c r="S2584" s="24"/>
      <c r="T2584" s="24"/>
      <c r="U2584" s="24"/>
      <c r="V2584" s="24"/>
      <c r="W2584" s="24"/>
      <c r="X2584" s="24"/>
      <c r="Y2584" s="24"/>
      <c r="Z2584" s="24"/>
      <c r="AA2584" s="24"/>
      <c r="AB2584" s="24"/>
      <c r="AC2584" s="24"/>
      <c r="AD2584" s="24"/>
      <c r="AE2584" s="24"/>
      <c r="AF2584" s="24"/>
      <c r="AG2584" s="24"/>
      <c r="AH2584" s="24"/>
      <c r="AI2584" s="24"/>
      <c r="AJ2584" s="24"/>
      <c r="AK2584" s="24"/>
      <c r="AL2584" s="24"/>
      <c r="AM2584" s="24"/>
      <c r="AN2584" s="24"/>
      <c r="AO2584" s="24"/>
      <c r="AP2584" s="24"/>
      <c r="AQ2584" s="24"/>
      <c r="AR2584" s="54"/>
    </row>
    <row r="2585">
      <c r="A2585" s="57"/>
      <c r="B2585" s="24"/>
      <c r="C2585" s="24"/>
      <c r="D2585" s="24"/>
      <c r="E2585" s="24"/>
      <c r="F2585" s="24"/>
      <c r="G2585" s="24"/>
      <c r="H2585" s="24"/>
      <c r="I2585" s="24"/>
      <c r="J2585" s="24"/>
      <c r="K2585" s="24"/>
      <c r="L2585" s="24"/>
      <c r="M2585" s="24"/>
      <c r="N2585" s="24"/>
      <c r="O2585" s="24"/>
      <c r="P2585" s="24"/>
      <c r="Q2585" s="24"/>
      <c r="R2585" s="24"/>
      <c r="S2585" s="24"/>
      <c r="T2585" s="24"/>
      <c r="U2585" s="24"/>
      <c r="V2585" s="24"/>
      <c r="W2585" s="24"/>
      <c r="X2585" s="24"/>
      <c r="Y2585" s="24"/>
      <c r="Z2585" s="24"/>
      <c r="AA2585" s="24"/>
      <c r="AB2585" s="24"/>
      <c r="AC2585" s="24"/>
      <c r="AD2585" s="24"/>
      <c r="AE2585" s="24"/>
      <c r="AF2585" s="24"/>
      <c r="AG2585" s="24"/>
      <c r="AH2585" s="24"/>
      <c r="AI2585" s="24"/>
      <c r="AJ2585" s="24"/>
      <c r="AK2585" s="24"/>
      <c r="AL2585" s="24"/>
      <c r="AM2585" s="24"/>
      <c r="AN2585" s="24"/>
      <c r="AO2585" s="24"/>
      <c r="AP2585" s="24"/>
      <c r="AQ2585" s="24"/>
      <c r="AR2585" s="54"/>
    </row>
    <row r="2586">
      <c r="A2586" s="57"/>
      <c r="B2586" s="24"/>
      <c r="C2586" s="24"/>
      <c r="D2586" s="24"/>
      <c r="E2586" s="24"/>
      <c r="F2586" s="24"/>
      <c r="G2586" s="24"/>
      <c r="H2586" s="24"/>
      <c r="I2586" s="24"/>
      <c r="J2586" s="24"/>
      <c r="K2586" s="24"/>
      <c r="L2586" s="24"/>
      <c r="M2586" s="24"/>
      <c r="N2586" s="24"/>
      <c r="O2586" s="24"/>
      <c r="P2586" s="24"/>
      <c r="Q2586" s="24"/>
      <c r="R2586" s="24"/>
      <c r="S2586" s="24"/>
      <c r="T2586" s="24"/>
      <c r="U2586" s="24"/>
      <c r="V2586" s="24"/>
      <c r="W2586" s="24"/>
      <c r="X2586" s="24"/>
      <c r="Y2586" s="24"/>
      <c r="Z2586" s="24"/>
      <c r="AA2586" s="24"/>
      <c r="AB2586" s="24"/>
      <c r="AC2586" s="24"/>
      <c r="AD2586" s="24"/>
      <c r="AE2586" s="24"/>
      <c r="AF2586" s="24"/>
      <c r="AG2586" s="24"/>
      <c r="AH2586" s="24"/>
      <c r="AI2586" s="24"/>
      <c r="AJ2586" s="24"/>
      <c r="AK2586" s="24"/>
      <c r="AL2586" s="24"/>
      <c r="AM2586" s="24"/>
      <c r="AN2586" s="24"/>
      <c r="AO2586" s="24"/>
      <c r="AP2586" s="24"/>
      <c r="AQ2586" s="24"/>
      <c r="AR2586" s="54"/>
    </row>
    <row r="2587">
      <c r="A2587" s="57"/>
      <c r="B2587" s="24"/>
      <c r="C2587" s="24"/>
      <c r="D2587" s="24"/>
      <c r="E2587" s="24"/>
      <c r="F2587" s="24"/>
      <c r="G2587" s="24"/>
      <c r="H2587" s="24"/>
      <c r="I2587" s="24"/>
      <c r="J2587" s="24"/>
      <c r="K2587" s="24"/>
      <c r="L2587" s="24"/>
      <c r="M2587" s="24"/>
      <c r="N2587" s="24"/>
      <c r="O2587" s="24"/>
      <c r="P2587" s="24"/>
      <c r="Q2587" s="24"/>
      <c r="R2587" s="24"/>
      <c r="S2587" s="24"/>
      <c r="T2587" s="24"/>
      <c r="U2587" s="24"/>
      <c r="V2587" s="24"/>
      <c r="W2587" s="24"/>
      <c r="X2587" s="24"/>
      <c r="Y2587" s="24"/>
      <c r="Z2587" s="24"/>
      <c r="AA2587" s="24"/>
      <c r="AB2587" s="24"/>
      <c r="AC2587" s="24"/>
      <c r="AD2587" s="24"/>
      <c r="AE2587" s="24"/>
      <c r="AF2587" s="24"/>
      <c r="AG2587" s="24"/>
      <c r="AH2587" s="24"/>
      <c r="AI2587" s="24"/>
      <c r="AJ2587" s="24"/>
      <c r="AK2587" s="24"/>
      <c r="AL2587" s="24"/>
      <c r="AM2587" s="24"/>
      <c r="AN2587" s="24"/>
      <c r="AO2587" s="24"/>
      <c r="AP2587" s="24"/>
      <c r="AQ2587" s="24"/>
      <c r="AR2587" s="54"/>
    </row>
    <row r="2588">
      <c r="A2588" s="57"/>
      <c r="B2588" s="24"/>
      <c r="C2588" s="24"/>
      <c r="D2588" s="24"/>
      <c r="E2588" s="24"/>
      <c r="F2588" s="24"/>
      <c r="G2588" s="24"/>
      <c r="H2588" s="24"/>
      <c r="I2588" s="24"/>
      <c r="J2588" s="24"/>
      <c r="K2588" s="24"/>
      <c r="L2588" s="24"/>
      <c r="M2588" s="24"/>
      <c r="N2588" s="24"/>
      <c r="O2588" s="24"/>
      <c r="P2588" s="24"/>
      <c r="Q2588" s="24"/>
      <c r="R2588" s="24"/>
      <c r="S2588" s="24"/>
      <c r="T2588" s="24"/>
      <c r="U2588" s="24"/>
      <c r="V2588" s="24"/>
      <c r="W2588" s="24"/>
      <c r="X2588" s="24"/>
      <c r="Y2588" s="24"/>
      <c r="Z2588" s="24"/>
      <c r="AA2588" s="24"/>
      <c r="AB2588" s="24"/>
      <c r="AC2588" s="24"/>
      <c r="AD2588" s="24"/>
      <c r="AE2588" s="24"/>
      <c r="AF2588" s="24"/>
      <c r="AG2588" s="24"/>
      <c r="AH2588" s="24"/>
      <c r="AI2588" s="24"/>
      <c r="AJ2588" s="24"/>
      <c r="AK2588" s="24"/>
      <c r="AL2588" s="24"/>
      <c r="AM2588" s="24"/>
      <c r="AN2588" s="24"/>
      <c r="AO2588" s="24"/>
      <c r="AP2588" s="24"/>
      <c r="AQ2588" s="24"/>
      <c r="AR2588" s="54"/>
    </row>
    <row r="2589">
      <c r="A2589" s="57"/>
      <c r="B2589" s="24"/>
      <c r="C2589" s="24"/>
      <c r="D2589" s="24"/>
      <c r="E2589" s="24"/>
      <c r="F2589" s="24"/>
      <c r="G2589" s="24"/>
      <c r="H2589" s="24"/>
      <c r="I2589" s="24"/>
      <c r="J2589" s="24"/>
      <c r="K2589" s="24"/>
      <c r="L2589" s="24"/>
      <c r="M2589" s="24"/>
      <c r="N2589" s="24"/>
      <c r="O2589" s="24"/>
      <c r="P2589" s="24"/>
      <c r="Q2589" s="24"/>
      <c r="R2589" s="24"/>
      <c r="S2589" s="24"/>
      <c r="T2589" s="24"/>
      <c r="U2589" s="24"/>
      <c r="V2589" s="24"/>
      <c r="W2589" s="24"/>
      <c r="X2589" s="24"/>
      <c r="Y2589" s="24"/>
      <c r="Z2589" s="24"/>
      <c r="AA2589" s="24"/>
      <c r="AB2589" s="24"/>
      <c r="AC2589" s="24"/>
      <c r="AD2589" s="24"/>
      <c r="AE2589" s="24"/>
      <c r="AF2589" s="24"/>
      <c r="AG2589" s="24"/>
      <c r="AH2589" s="24"/>
      <c r="AI2589" s="24"/>
      <c r="AJ2589" s="24"/>
      <c r="AK2589" s="24"/>
      <c r="AL2589" s="24"/>
      <c r="AM2589" s="24"/>
      <c r="AN2589" s="24"/>
      <c r="AO2589" s="24"/>
      <c r="AP2589" s="24"/>
      <c r="AQ2589" s="24"/>
      <c r="AR2589" s="54"/>
    </row>
    <row r="2590">
      <c r="A2590" s="57"/>
      <c r="B2590" s="24"/>
      <c r="C2590" s="24"/>
      <c r="D2590" s="24"/>
      <c r="E2590" s="24"/>
      <c r="F2590" s="24"/>
      <c r="G2590" s="24"/>
      <c r="H2590" s="24"/>
      <c r="I2590" s="24"/>
      <c r="J2590" s="24"/>
      <c r="K2590" s="24"/>
      <c r="L2590" s="24"/>
      <c r="M2590" s="24"/>
      <c r="N2590" s="24"/>
      <c r="O2590" s="24"/>
      <c r="P2590" s="24"/>
      <c r="Q2590" s="24"/>
      <c r="R2590" s="24"/>
      <c r="S2590" s="24"/>
      <c r="T2590" s="24"/>
      <c r="U2590" s="24"/>
      <c r="V2590" s="24"/>
      <c r="W2590" s="24"/>
      <c r="X2590" s="24"/>
      <c r="Y2590" s="24"/>
      <c r="Z2590" s="24"/>
      <c r="AA2590" s="24"/>
      <c r="AB2590" s="24"/>
      <c r="AC2590" s="24"/>
      <c r="AD2590" s="24"/>
      <c r="AE2590" s="24"/>
      <c r="AF2590" s="24"/>
      <c r="AG2590" s="24"/>
      <c r="AH2590" s="24"/>
      <c r="AI2590" s="24"/>
      <c r="AJ2590" s="24"/>
      <c r="AK2590" s="24"/>
      <c r="AL2590" s="24"/>
      <c r="AM2590" s="24"/>
      <c r="AN2590" s="24"/>
      <c r="AO2590" s="24"/>
      <c r="AP2590" s="24"/>
      <c r="AQ2590" s="24"/>
      <c r="AR2590" s="54"/>
    </row>
    <row r="2591">
      <c r="A2591" s="57"/>
      <c r="B2591" s="24"/>
      <c r="C2591" s="24"/>
      <c r="D2591" s="24"/>
      <c r="E2591" s="24"/>
      <c r="F2591" s="24"/>
      <c r="G2591" s="24"/>
      <c r="H2591" s="24"/>
      <c r="I2591" s="24"/>
      <c r="J2591" s="24"/>
      <c r="K2591" s="24"/>
      <c r="L2591" s="24"/>
      <c r="M2591" s="24"/>
      <c r="N2591" s="24"/>
      <c r="O2591" s="24"/>
      <c r="P2591" s="24"/>
      <c r="Q2591" s="24"/>
      <c r="R2591" s="24"/>
      <c r="S2591" s="24"/>
      <c r="T2591" s="24"/>
      <c r="U2591" s="24"/>
      <c r="V2591" s="24"/>
      <c r="W2591" s="24"/>
      <c r="X2591" s="24"/>
      <c r="Y2591" s="24"/>
      <c r="Z2591" s="24"/>
      <c r="AA2591" s="24"/>
      <c r="AB2591" s="24"/>
      <c r="AC2591" s="24"/>
      <c r="AD2591" s="24"/>
      <c r="AE2591" s="24"/>
      <c r="AF2591" s="24"/>
      <c r="AG2591" s="24"/>
      <c r="AH2591" s="24"/>
      <c r="AI2591" s="24"/>
      <c r="AJ2591" s="24"/>
      <c r="AK2591" s="24"/>
      <c r="AL2591" s="24"/>
      <c r="AM2591" s="24"/>
      <c r="AN2591" s="24"/>
      <c r="AO2591" s="24"/>
      <c r="AP2591" s="24"/>
      <c r="AQ2591" s="24"/>
      <c r="AR2591" s="54"/>
    </row>
    <row r="2592">
      <c r="A2592" s="57"/>
      <c r="B2592" s="24"/>
      <c r="C2592" s="24"/>
      <c r="D2592" s="24"/>
      <c r="E2592" s="24"/>
      <c r="F2592" s="24"/>
      <c r="G2592" s="24"/>
      <c r="H2592" s="24"/>
      <c r="I2592" s="24"/>
      <c r="J2592" s="24"/>
      <c r="K2592" s="24"/>
      <c r="L2592" s="24"/>
      <c r="M2592" s="24"/>
      <c r="N2592" s="24"/>
      <c r="O2592" s="24"/>
      <c r="P2592" s="24"/>
      <c r="Q2592" s="24"/>
      <c r="R2592" s="24"/>
      <c r="S2592" s="24"/>
      <c r="T2592" s="24"/>
      <c r="U2592" s="24"/>
      <c r="V2592" s="24"/>
      <c r="W2592" s="24"/>
      <c r="X2592" s="24"/>
      <c r="Y2592" s="24"/>
      <c r="Z2592" s="24"/>
      <c r="AA2592" s="24"/>
      <c r="AB2592" s="24"/>
      <c r="AC2592" s="24"/>
      <c r="AD2592" s="24"/>
      <c r="AE2592" s="24"/>
      <c r="AF2592" s="24"/>
      <c r="AG2592" s="24"/>
      <c r="AH2592" s="24"/>
      <c r="AI2592" s="24"/>
      <c r="AJ2592" s="24"/>
      <c r="AK2592" s="24"/>
      <c r="AL2592" s="24"/>
      <c r="AM2592" s="24"/>
      <c r="AN2592" s="24"/>
      <c r="AO2592" s="24"/>
      <c r="AP2592" s="24"/>
      <c r="AQ2592" s="24"/>
      <c r="AR2592" s="54"/>
    </row>
    <row r="2593">
      <c r="A2593" s="57"/>
      <c r="B2593" s="24"/>
      <c r="C2593" s="24"/>
      <c r="D2593" s="24"/>
      <c r="E2593" s="24"/>
      <c r="F2593" s="24"/>
      <c r="G2593" s="24"/>
      <c r="H2593" s="24"/>
      <c r="I2593" s="24"/>
      <c r="J2593" s="24"/>
      <c r="K2593" s="24"/>
      <c r="L2593" s="24"/>
      <c r="M2593" s="24"/>
      <c r="N2593" s="24"/>
      <c r="O2593" s="24"/>
      <c r="P2593" s="24"/>
      <c r="Q2593" s="24"/>
      <c r="R2593" s="24"/>
      <c r="S2593" s="24"/>
      <c r="T2593" s="24"/>
      <c r="U2593" s="24"/>
      <c r="V2593" s="24"/>
      <c r="W2593" s="24"/>
      <c r="X2593" s="24"/>
      <c r="Y2593" s="24"/>
      <c r="Z2593" s="24"/>
      <c r="AA2593" s="24"/>
      <c r="AB2593" s="24"/>
      <c r="AC2593" s="24"/>
      <c r="AD2593" s="24"/>
      <c r="AE2593" s="24"/>
      <c r="AF2593" s="24"/>
      <c r="AG2593" s="24"/>
      <c r="AH2593" s="24"/>
      <c r="AI2593" s="24"/>
      <c r="AJ2593" s="24"/>
      <c r="AK2593" s="24"/>
      <c r="AL2593" s="24"/>
      <c r="AM2593" s="24"/>
      <c r="AN2593" s="24"/>
      <c r="AO2593" s="24"/>
      <c r="AP2593" s="24"/>
      <c r="AQ2593" s="24"/>
      <c r="AR2593" s="54"/>
    </row>
    <row r="2594">
      <c r="A2594" s="57"/>
      <c r="B2594" s="24"/>
      <c r="C2594" s="24"/>
      <c r="D2594" s="24"/>
      <c r="E2594" s="24"/>
      <c r="F2594" s="24"/>
      <c r="G2594" s="24"/>
      <c r="H2594" s="24"/>
      <c r="I2594" s="24"/>
      <c r="J2594" s="24"/>
      <c r="K2594" s="24"/>
      <c r="L2594" s="24"/>
      <c r="M2594" s="24"/>
      <c r="N2594" s="24"/>
      <c r="O2594" s="24"/>
      <c r="P2594" s="24"/>
      <c r="Q2594" s="24"/>
      <c r="R2594" s="24"/>
      <c r="S2594" s="24"/>
      <c r="T2594" s="24"/>
      <c r="U2594" s="24"/>
      <c r="V2594" s="24"/>
      <c r="W2594" s="24"/>
      <c r="X2594" s="24"/>
      <c r="Y2594" s="24"/>
      <c r="Z2594" s="24"/>
      <c r="AA2594" s="24"/>
      <c r="AB2594" s="24"/>
      <c r="AC2594" s="24"/>
      <c r="AD2594" s="24"/>
      <c r="AE2594" s="24"/>
      <c r="AF2594" s="24"/>
      <c r="AG2594" s="24"/>
      <c r="AH2594" s="24"/>
      <c r="AI2594" s="24"/>
      <c r="AJ2594" s="24"/>
      <c r="AK2594" s="24"/>
      <c r="AL2594" s="24"/>
      <c r="AM2594" s="24"/>
      <c r="AN2594" s="24"/>
      <c r="AO2594" s="24"/>
      <c r="AP2594" s="24"/>
      <c r="AQ2594" s="24"/>
      <c r="AR2594" s="54"/>
    </row>
    <row r="2595">
      <c r="A2595" s="57"/>
      <c r="B2595" s="24"/>
      <c r="C2595" s="24"/>
      <c r="D2595" s="24"/>
      <c r="E2595" s="24"/>
      <c r="F2595" s="24"/>
      <c r="G2595" s="24"/>
      <c r="H2595" s="24"/>
      <c r="I2595" s="24"/>
      <c r="J2595" s="24"/>
      <c r="K2595" s="24"/>
      <c r="L2595" s="24"/>
      <c r="M2595" s="24"/>
      <c r="N2595" s="24"/>
      <c r="O2595" s="24"/>
      <c r="P2595" s="24"/>
      <c r="Q2595" s="24"/>
      <c r="R2595" s="24"/>
      <c r="S2595" s="24"/>
      <c r="T2595" s="24"/>
      <c r="U2595" s="24"/>
      <c r="V2595" s="24"/>
      <c r="W2595" s="24"/>
      <c r="X2595" s="24"/>
      <c r="Y2595" s="24"/>
      <c r="Z2595" s="24"/>
      <c r="AA2595" s="24"/>
      <c r="AB2595" s="24"/>
      <c r="AC2595" s="24"/>
      <c r="AD2595" s="24"/>
      <c r="AE2595" s="24"/>
      <c r="AF2595" s="24"/>
      <c r="AG2595" s="24"/>
      <c r="AH2595" s="24"/>
      <c r="AI2595" s="24"/>
      <c r="AJ2595" s="24"/>
      <c r="AK2595" s="24"/>
      <c r="AL2595" s="24"/>
      <c r="AM2595" s="24"/>
      <c r="AN2595" s="24"/>
      <c r="AO2595" s="24"/>
      <c r="AP2595" s="24"/>
      <c r="AQ2595" s="24"/>
      <c r="AR2595" s="54"/>
    </row>
    <row r="2596">
      <c r="A2596" s="57"/>
      <c r="B2596" s="24"/>
      <c r="C2596" s="24"/>
      <c r="D2596" s="24"/>
      <c r="E2596" s="24"/>
      <c r="F2596" s="24"/>
      <c r="G2596" s="24"/>
      <c r="H2596" s="24"/>
      <c r="I2596" s="24"/>
      <c r="J2596" s="24"/>
      <c r="K2596" s="24"/>
      <c r="L2596" s="24"/>
      <c r="M2596" s="24"/>
      <c r="N2596" s="24"/>
      <c r="O2596" s="24"/>
      <c r="P2596" s="24"/>
      <c r="Q2596" s="24"/>
      <c r="R2596" s="24"/>
      <c r="S2596" s="24"/>
      <c r="T2596" s="24"/>
      <c r="U2596" s="24"/>
      <c r="V2596" s="24"/>
      <c r="W2596" s="24"/>
      <c r="X2596" s="24"/>
      <c r="Y2596" s="24"/>
      <c r="Z2596" s="24"/>
      <c r="AA2596" s="24"/>
      <c r="AB2596" s="24"/>
      <c r="AC2596" s="24"/>
      <c r="AD2596" s="24"/>
      <c r="AE2596" s="24"/>
      <c r="AF2596" s="24"/>
      <c r="AG2596" s="24"/>
      <c r="AH2596" s="24"/>
      <c r="AI2596" s="24"/>
      <c r="AJ2596" s="24"/>
      <c r="AK2596" s="24"/>
      <c r="AL2596" s="24"/>
      <c r="AM2596" s="24"/>
      <c r="AN2596" s="24"/>
      <c r="AO2596" s="24"/>
      <c r="AP2596" s="24"/>
      <c r="AQ2596" s="24"/>
      <c r="AR2596" s="54"/>
    </row>
    <row r="2597">
      <c r="A2597" s="57"/>
      <c r="B2597" s="24"/>
      <c r="C2597" s="24"/>
      <c r="D2597" s="24"/>
      <c r="E2597" s="24"/>
      <c r="F2597" s="24"/>
      <c r="G2597" s="24"/>
      <c r="H2597" s="24"/>
      <c r="I2597" s="24"/>
      <c r="J2597" s="24"/>
      <c r="K2597" s="24"/>
      <c r="L2597" s="24"/>
      <c r="M2597" s="24"/>
      <c r="N2597" s="24"/>
      <c r="O2597" s="24"/>
      <c r="P2597" s="24"/>
      <c r="Q2597" s="24"/>
      <c r="R2597" s="24"/>
      <c r="S2597" s="24"/>
      <c r="T2597" s="24"/>
      <c r="U2597" s="24"/>
      <c r="V2597" s="24"/>
      <c r="W2597" s="24"/>
      <c r="X2597" s="24"/>
      <c r="Y2597" s="24"/>
      <c r="Z2597" s="24"/>
      <c r="AA2597" s="24"/>
      <c r="AB2597" s="24"/>
      <c r="AC2597" s="24"/>
      <c r="AD2597" s="24"/>
      <c r="AE2597" s="24"/>
      <c r="AF2597" s="24"/>
      <c r="AG2597" s="24"/>
      <c r="AH2597" s="24"/>
      <c r="AI2597" s="24"/>
      <c r="AJ2597" s="24"/>
      <c r="AK2597" s="24"/>
      <c r="AL2597" s="24"/>
      <c r="AM2597" s="24"/>
      <c r="AN2597" s="24"/>
      <c r="AO2597" s="24"/>
      <c r="AP2597" s="24"/>
      <c r="AQ2597" s="24"/>
      <c r="AR2597" s="54"/>
    </row>
    <row r="2598">
      <c r="A2598" s="57"/>
      <c r="B2598" s="24"/>
      <c r="C2598" s="24"/>
      <c r="D2598" s="24"/>
      <c r="E2598" s="24"/>
      <c r="F2598" s="24"/>
      <c r="G2598" s="24"/>
      <c r="H2598" s="24"/>
      <c r="I2598" s="24"/>
      <c r="J2598" s="24"/>
      <c r="K2598" s="24"/>
      <c r="L2598" s="24"/>
      <c r="M2598" s="24"/>
      <c r="N2598" s="24"/>
      <c r="O2598" s="24"/>
      <c r="P2598" s="24"/>
      <c r="Q2598" s="24"/>
      <c r="R2598" s="24"/>
      <c r="S2598" s="24"/>
      <c r="T2598" s="24"/>
      <c r="U2598" s="24"/>
      <c r="V2598" s="24"/>
      <c r="W2598" s="24"/>
      <c r="X2598" s="24"/>
      <c r="Y2598" s="24"/>
      <c r="Z2598" s="24"/>
      <c r="AA2598" s="24"/>
      <c r="AB2598" s="24"/>
      <c r="AC2598" s="24"/>
      <c r="AD2598" s="24"/>
      <c r="AE2598" s="24"/>
      <c r="AF2598" s="24"/>
      <c r="AG2598" s="24"/>
      <c r="AH2598" s="24"/>
      <c r="AI2598" s="24"/>
      <c r="AJ2598" s="24"/>
      <c r="AK2598" s="24"/>
      <c r="AL2598" s="24"/>
      <c r="AM2598" s="24"/>
      <c r="AN2598" s="24"/>
      <c r="AO2598" s="24"/>
      <c r="AP2598" s="24"/>
      <c r="AQ2598" s="24"/>
      <c r="AR2598" s="54"/>
    </row>
    <row r="2599">
      <c r="A2599" s="57"/>
      <c r="B2599" s="24"/>
      <c r="C2599" s="24"/>
      <c r="D2599" s="24"/>
      <c r="E2599" s="24"/>
      <c r="F2599" s="24"/>
      <c r="G2599" s="24"/>
      <c r="H2599" s="24"/>
      <c r="I2599" s="24"/>
      <c r="J2599" s="24"/>
      <c r="K2599" s="24"/>
      <c r="L2599" s="24"/>
      <c r="M2599" s="24"/>
      <c r="N2599" s="24"/>
      <c r="O2599" s="24"/>
      <c r="P2599" s="24"/>
      <c r="Q2599" s="24"/>
      <c r="R2599" s="24"/>
      <c r="S2599" s="24"/>
      <c r="T2599" s="24"/>
      <c r="U2599" s="24"/>
      <c r="V2599" s="24"/>
      <c r="W2599" s="24"/>
      <c r="X2599" s="24"/>
      <c r="Y2599" s="24"/>
      <c r="Z2599" s="24"/>
      <c r="AA2599" s="24"/>
      <c r="AB2599" s="24"/>
      <c r="AC2599" s="24"/>
      <c r="AD2599" s="24"/>
      <c r="AE2599" s="24"/>
      <c r="AF2599" s="24"/>
      <c r="AG2599" s="24"/>
      <c r="AH2599" s="24"/>
      <c r="AI2599" s="24"/>
      <c r="AJ2599" s="24"/>
      <c r="AK2599" s="24"/>
      <c r="AL2599" s="24"/>
      <c r="AM2599" s="24"/>
      <c r="AN2599" s="24"/>
      <c r="AO2599" s="24"/>
      <c r="AP2599" s="24"/>
      <c r="AQ2599" s="24"/>
      <c r="AR2599" s="54"/>
    </row>
    <row r="2600">
      <c r="A2600" s="57"/>
      <c r="B2600" s="24"/>
      <c r="C2600" s="24"/>
      <c r="D2600" s="24"/>
      <c r="E2600" s="24"/>
      <c r="F2600" s="24"/>
      <c r="G2600" s="24"/>
      <c r="H2600" s="24"/>
      <c r="I2600" s="24"/>
      <c r="J2600" s="24"/>
      <c r="K2600" s="24"/>
      <c r="L2600" s="24"/>
      <c r="M2600" s="24"/>
      <c r="N2600" s="24"/>
      <c r="O2600" s="24"/>
      <c r="P2600" s="24"/>
      <c r="Q2600" s="24"/>
      <c r="R2600" s="24"/>
      <c r="S2600" s="24"/>
      <c r="T2600" s="24"/>
      <c r="U2600" s="24"/>
      <c r="V2600" s="24"/>
      <c r="W2600" s="24"/>
      <c r="X2600" s="24"/>
      <c r="Y2600" s="24"/>
      <c r="Z2600" s="24"/>
      <c r="AA2600" s="24"/>
      <c r="AB2600" s="24"/>
      <c r="AC2600" s="24"/>
      <c r="AD2600" s="24"/>
      <c r="AE2600" s="24"/>
      <c r="AF2600" s="24"/>
      <c r="AG2600" s="24"/>
      <c r="AH2600" s="24"/>
      <c r="AI2600" s="24"/>
      <c r="AJ2600" s="24"/>
      <c r="AK2600" s="24"/>
      <c r="AL2600" s="24"/>
      <c r="AM2600" s="24"/>
      <c r="AN2600" s="24"/>
      <c r="AO2600" s="24"/>
      <c r="AP2600" s="24"/>
      <c r="AQ2600" s="24"/>
      <c r="AR2600" s="54"/>
    </row>
    <row r="2601">
      <c r="A2601" s="57"/>
      <c r="B2601" s="24"/>
      <c r="C2601" s="24"/>
      <c r="D2601" s="24"/>
      <c r="E2601" s="24"/>
      <c r="F2601" s="24"/>
      <c r="G2601" s="24"/>
      <c r="H2601" s="24"/>
      <c r="I2601" s="24"/>
      <c r="J2601" s="24"/>
      <c r="K2601" s="24"/>
      <c r="L2601" s="24"/>
      <c r="M2601" s="24"/>
      <c r="N2601" s="24"/>
      <c r="O2601" s="24"/>
      <c r="P2601" s="24"/>
      <c r="Q2601" s="24"/>
      <c r="R2601" s="24"/>
      <c r="S2601" s="24"/>
      <c r="T2601" s="24"/>
      <c r="U2601" s="24"/>
      <c r="V2601" s="24"/>
      <c r="W2601" s="24"/>
      <c r="X2601" s="24"/>
      <c r="Y2601" s="24"/>
      <c r="Z2601" s="24"/>
      <c r="AA2601" s="24"/>
      <c r="AB2601" s="24"/>
      <c r="AC2601" s="24"/>
      <c r="AD2601" s="24"/>
      <c r="AE2601" s="24"/>
      <c r="AF2601" s="24"/>
      <c r="AG2601" s="24"/>
      <c r="AH2601" s="24"/>
      <c r="AI2601" s="24"/>
      <c r="AJ2601" s="24"/>
      <c r="AK2601" s="24"/>
      <c r="AL2601" s="24"/>
      <c r="AM2601" s="24"/>
      <c r="AN2601" s="24"/>
      <c r="AO2601" s="24"/>
      <c r="AP2601" s="24"/>
      <c r="AQ2601" s="24"/>
      <c r="AR2601" s="54"/>
    </row>
    <row r="2602">
      <c r="A2602" s="57"/>
      <c r="B2602" s="24"/>
      <c r="C2602" s="24"/>
      <c r="D2602" s="24"/>
      <c r="E2602" s="24"/>
      <c r="F2602" s="24"/>
      <c r="G2602" s="24"/>
      <c r="H2602" s="24"/>
      <c r="I2602" s="24"/>
      <c r="J2602" s="24"/>
      <c r="K2602" s="24"/>
      <c r="L2602" s="24"/>
      <c r="M2602" s="24"/>
      <c r="N2602" s="24"/>
      <c r="O2602" s="24"/>
      <c r="P2602" s="24"/>
      <c r="Q2602" s="24"/>
      <c r="R2602" s="24"/>
      <c r="S2602" s="24"/>
      <c r="T2602" s="24"/>
      <c r="U2602" s="24"/>
      <c r="V2602" s="24"/>
      <c r="W2602" s="24"/>
      <c r="X2602" s="24"/>
      <c r="Y2602" s="24"/>
      <c r="Z2602" s="24"/>
      <c r="AA2602" s="24"/>
      <c r="AB2602" s="24"/>
      <c r="AC2602" s="24"/>
      <c r="AD2602" s="24"/>
      <c r="AE2602" s="24"/>
      <c r="AF2602" s="24"/>
      <c r="AG2602" s="24"/>
      <c r="AH2602" s="24"/>
      <c r="AI2602" s="24"/>
      <c r="AJ2602" s="24"/>
      <c r="AK2602" s="24"/>
      <c r="AL2602" s="24"/>
      <c r="AM2602" s="24"/>
      <c r="AN2602" s="24"/>
      <c r="AO2602" s="24"/>
      <c r="AP2602" s="24"/>
      <c r="AQ2602" s="24"/>
      <c r="AR2602" s="54"/>
    </row>
    <row r="2603">
      <c r="A2603" s="57"/>
      <c r="B2603" s="24"/>
      <c r="C2603" s="24"/>
      <c r="D2603" s="24"/>
      <c r="E2603" s="24"/>
      <c r="F2603" s="24"/>
      <c r="G2603" s="24"/>
      <c r="H2603" s="24"/>
      <c r="I2603" s="24"/>
      <c r="J2603" s="24"/>
      <c r="K2603" s="24"/>
      <c r="L2603" s="24"/>
      <c r="M2603" s="24"/>
      <c r="N2603" s="24"/>
      <c r="O2603" s="24"/>
      <c r="P2603" s="24"/>
      <c r="Q2603" s="24"/>
      <c r="R2603" s="24"/>
      <c r="S2603" s="24"/>
      <c r="T2603" s="24"/>
      <c r="U2603" s="24"/>
      <c r="V2603" s="24"/>
      <c r="W2603" s="24"/>
      <c r="X2603" s="24"/>
      <c r="Y2603" s="24"/>
      <c r="Z2603" s="24"/>
      <c r="AA2603" s="24"/>
      <c r="AB2603" s="24"/>
      <c r="AC2603" s="24"/>
      <c r="AD2603" s="24"/>
      <c r="AE2603" s="24"/>
      <c r="AF2603" s="24"/>
      <c r="AG2603" s="24"/>
      <c r="AH2603" s="24"/>
      <c r="AI2603" s="24"/>
      <c r="AJ2603" s="24"/>
      <c r="AK2603" s="24"/>
      <c r="AL2603" s="24"/>
      <c r="AM2603" s="24"/>
      <c r="AN2603" s="24"/>
      <c r="AO2603" s="24"/>
      <c r="AP2603" s="24"/>
      <c r="AQ2603" s="24"/>
      <c r="AR2603" s="54"/>
    </row>
    <row r="2604">
      <c r="A2604" s="57"/>
      <c r="B2604" s="24"/>
      <c r="C2604" s="24"/>
      <c r="D2604" s="24"/>
      <c r="E2604" s="24"/>
      <c r="F2604" s="24"/>
      <c r="G2604" s="24"/>
      <c r="H2604" s="24"/>
      <c r="I2604" s="24"/>
      <c r="J2604" s="24"/>
      <c r="K2604" s="24"/>
      <c r="L2604" s="24"/>
      <c r="M2604" s="24"/>
      <c r="N2604" s="24"/>
      <c r="O2604" s="24"/>
      <c r="P2604" s="24"/>
      <c r="Q2604" s="24"/>
      <c r="R2604" s="24"/>
      <c r="S2604" s="24"/>
      <c r="T2604" s="24"/>
      <c r="U2604" s="24"/>
      <c r="V2604" s="24"/>
      <c r="W2604" s="24"/>
      <c r="X2604" s="24"/>
      <c r="Y2604" s="24"/>
      <c r="Z2604" s="24"/>
      <c r="AA2604" s="24"/>
      <c r="AB2604" s="24"/>
      <c r="AC2604" s="24"/>
      <c r="AD2604" s="24"/>
      <c r="AE2604" s="24"/>
      <c r="AF2604" s="24"/>
      <c r="AG2604" s="24"/>
      <c r="AH2604" s="24"/>
      <c r="AI2604" s="24"/>
      <c r="AJ2604" s="24"/>
      <c r="AK2604" s="24"/>
      <c r="AL2604" s="24"/>
      <c r="AM2604" s="24"/>
      <c r="AN2604" s="24"/>
      <c r="AO2604" s="24"/>
      <c r="AP2604" s="24"/>
      <c r="AQ2604" s="24"/>
      <c r="AR2604" s="54"/>
    </row>
    <row r="2605">
      <c r="A2605" s="57"/>
      <c r="B2605" s="24"/>
      <c r="C2605" s="24"/>
      <c r="D2605" s="24"/>
      <c r="E2605" s="24"/>
      <c r="F2605" s="24"/>
      <c r="G2605" s="24"/>
      <c r="H2605" s="24"/>
      <c r="I2605" s="24"/>
      <c r="J2605" s="24"/>
      <c r="K2605" s="24"/>
      <c r="L2605" s="24"/>
      <c r="M2605" s="24"/>
      <c r="N2605" s="24"/>
      <c r="O2605" s="24"/>
      <c r="P2605" s="24"/>
      <c r="Q2605" s="24"/>
      <c r="R2605" s="24"/>
      <c r="S2605" s="24"/>
      <c r="T2605" s="24"/>
      <c r="U2605" s="24"/>
      <c r="V2605" s="24"/>
      <c r="W2605" s="24"/>
      <c r="X2605" s="24"/>
      <c r="Y2605" s="24"/>
      <c r="Z2605" s="24"/>
      <c r="AA2605" s="24"/>
      <c r="AB2605" s="24"/>
      <c r="AC2605" s="24"/>
      <c r="AD2605" s="24"/>
      <c r="AE2605" s="24"/>
      <c r="AF2605" s="24"/>
      <c r="AG2605" s="24"/>
      <c r="AH2605" s="24"/>
      <c r="AI2605" s="24"/>
      <c r="AJ2605" s="24"/>
      <c r="AK2605" s="24"/>
      <c r="AL2605" s="24"/>
      <c r="AM2605" s="24"/>
      <c r="AN2605" s="24"/>
      <c r="AO2605" s="24"/>
      <c r="AP2605" s="24"/>
      <c r="AQ2605" s="24"/>
      <c r="AR2605" s="54"/>
    </row>
    <row r="2606">
      <c r="A2606" s="57"/>
      <c r="B2606" s="24"/>
      <c r="C2606" s="24"/>
      <c r="D2606" s="24"/>
      <c r="E2606" s="24"/>
      <c r="F2606" s="24"/>
      <c r="G2606" s="24"/>
      <c r="H2606" s="24"/>
      <c r="I2606" s="24"/>
      <c r="J2606" s="24"/>
      <c r="K2606" s="24"/>
      <c r="L2606" s="24"/>
      <c r="M2606" s="24"/>
      <c r="N2606" s="24"/>
      <c r="O2606" s="24"/>
      <c r="P2606" s="24"/>
      <c r="Q2606" s="24"/>
      <c r="R2606" s="24"/>
      <c r="S2606" s="24"/>
      <c r="T2606" s="24"/>
      <c r="U2606" s="24"/>
      <c r="V2606" s="24"/>
      <c r="W2606" s="24"/>
      <c r="X2606" s="24"/>
      <c r="Y2606" s="24"/>
      <c r="Z2606" s="24"/>
      <c r="AA2606" s="24"/>
      <c r="AB2606" s="24"/>
      <c r="AC2606" s="24"/>
      <c r="AD2606" s="24"/>
      <c r="AE2606" s="24"/>
      <c r="AF2606" s="24"/>
      <c r="AG2606" s="24"/>
      <c r="AH2606" s="24"/>
      <c r="AI2606" s="24"/>
      <c r="AJ2606" s="24"/>
      <c r="AK2606" s="24"/>
      <c r="AL2606" s="24"/>
      <c r="AM2606" s="24"/>
      <c r="AN2606" s="24"/>
      <c r="AO2606" s="24"/>
      <c r="AP2606" s="24"/>
      <c r="AQ2606" s="24"/>
      <c r="AR2606" s="54"/>
    </row>
    <row r="2607">
      <c r="A2607" s="57"/>
      <c r="B2607" s="24"/>
      <c r="C2607" s="24"/>
      <c r="D2607" s="24"/>
      <c r="E2607" s="24"/>
      <c r="F2607" s="24"/>
      <c r="G2607" s="24"/>
      <c r="H2607" s="24"/>
      <c r="I2607" s="24"/>
      <c r="J2607" s="24"/>
      <c r="K2607" s="24"/>
      <c r="L2607" s="24"/>
      <c r="M2607" s="24"/>
      <c r="N2607" s="24"/>
      <c r="O2607" s="24"/>
      <c r="P2607" s="24"/>
      <c r="Q2607" s="24"/>
      <c r="R2607" s="24"/>
      <c r="S2607" s="24"/>
      <c r="T2607" s="24"/>
      <c r="U2607" s="24"/>
      <c r="V2607" s="24"/>
      <c r="W2607" s="24"/>
      <c r="X2607" s="24"/>
      <c r="Y2607" s="24"/>
      <c r="Z2607" s="24"/>
      <c r="AA2607" s="24"/>
      <c r="AB2607" s="24"/>
      <c r="AC2607" s="24"/>
      <c r="AD2607" s="24"/>
      <c r="AE2607" s="24"/>
      <c r="AF2607" s="24"/>
      <c r="AG2607" s="24"/>
      <c r="AH2607" s="24"/>
      <c r="AI2607" s="24"/>
      <c r="AJ2607" s="24"/>
      <c r="AK2607" s="24"/>
      <c r="AL2607" s="24"/>
      <c r="AM2607" s="24"/>
      <c r="AN2607" s="24"/>
      <c r="AO2607" s="24"/>
      <c r="AP2607" s="24"/>
      <c r="AQ2607" s="24"/>
      <c r="AR2607" s="54"/>
    </row>
    <row r="2608">
      <c r="A2608" s="57"/>
      <c r="B2608" s="24"/>
      <c r="C2608" s="24"/>
      <c r="D2608" s="24"/>
      <c r="E2608" s="24"/>
      <c r="F2608" s="24"/>
      <c r="G2608" s="24"/>
      <c r="H2608" s="24"/>
      <c r="I2608" s="24"/>
      <c r="J2608" s="24"/>
      <c r="K2608" s="24"/>
      <c r="L2608" s="24"/>
      <c r="M2608" s="24"/>
      <c r="N2608" s="24"/>
      <c r="O2608" s="24"/>
      <c r="P2608" s="24"/>
      <c r="Q2608" s="24"/>
      <c r="R2608" s="24"/>
      <c r="S2608" s="24"/>
      <c r="T2608" s="24"/>
      <c r="U2608" s="24"/>
      <c r="V2608" s="24"/>
      <c r="W2608" s="24"/>
      <c r="X2608" s="24"/>
      <c r="Y2608" s="24"/>
      <c r="Z2608" s="24"/>
      <c r="AA2608" s="24"/>
      <c r="AB2608" s="24"/>
      <c r="AC2608" s="24"/>
      <c r="AD2608" s="24"/>
      <c r="AE2608" s="24"/>
      <c r="AF2608" s="24"/>
      <c r="AG2608" s="24"/>
      <c r="AH2608" s="24"/>
      <c r="AI2608" s="24"/>
      <c r="AJ2608" s="24"/>
      <c r="AK2608" s="24"/>
      <c r="AL2608" s="24"/>
      <c r="AM2608" s="24"/>
      <c r="AN2608" s="24"/>
      <c r="AO2608" s="24"/>
      <c r="AP2608" s="24"/>
      <c r="AQ2608" s="24"/>
      <c r="AR2608" s="54"/>
    </row>
    <row r="2609">
      <c r="A2609" s="57"/>
      <c r="B2609" s="24"/>
      <c r="C2609" s="24"/>
      <c r="D2609" s="24"/>
      <c r="E2609" s="24"/>
      <c r="F2609" s="24"/>
      <c r="G2609" s="24"/>
      <c r="H2609" s="24"/>
      <c r="I2609" s="24"/>
      <c r="J2609" s="24"/>
      <c r="K2609" s="24"/>
      <c r="L2609" s="24"/>
      <c r="M2609" s="24"/>
      <c r="N2609" s="24"/>
      <c r="O2609" s="24"/>
      <c r="P2609" s="24"/>
      <c r="Q2609" s="24"/>
      <c r="R2609" s="24"/>
      <c r="S2609" s="24"/>
      <c r="T2609" s="24"/>
      <c r="U2609" s="24"/>
      <c r="V2609" s="24"/>
      <c r="W2609" s="24"/>
      <c r="X2609" s="24"/>
      <c r="Y2609" s="24"/>
      <c r="Z2609" s="24"/>
      <c r="AA2609" s="24"/>
      <c r="AB2609" s="24"/>
      <c r="AC2609" s="24"/>
      <c r="AD2609" s="24"/>
      <c r="AE2609" s="24"/>
      <c r="AF2609" s="24"/>
      <c r="AG2609" s="24"/>
      <c r="AH2609" s="24"/>
      <c r="AI2609" s="24"/>
      <c r="AJ2609" s="24"/>
      <c r="AK2609" s="24"/>
      <c r="AL2609" s="24"/>
      <c r="AM2609" s="24"/>
      <c r="AN2609" s="24"/>
      <c r="AO2609" s="24"/>
      <c r="AP2609" s="24"/>
      <c r="AQ2609" s="24"/>
      <c r="AR2609" s="54"/>
    </row>
    <row r="2610">
      <c r="A2610" s="57"/>
      <c r="B2610" s="24"/>
      <c r="C2610" s="24"/>
      <c r="D2610" s="24"/>
      <c r="E2610" s="24"/>
      <c r="F2610" s="24"/>
      <c r="G2610" s="24"/>
      <c r="H2610" s="24"/>
      <c r="I2610" s="24"/>
      <c r="J2610" s="24"/>
      <c r="K2610" s="24"/>
      <c r="L2610" s="24"/>
      <c r="M2610" s="24"/>
      <c r="N2610" s="24"/>
      <c r="O2610" s="24"/>
      <c r="P2610" s="24"/>
      <c r="Q2610" s="24"/>
      <c r="R2610" s="24"/>
      <c r="S2610" s="24"/>
      <c r="T2610" s="24"/>
      <c r="U2610" s="24"/>
      <c r="V2610" s="24"/>
      <c r="W2610" s="24"/>
      <c r="X2610" s="24"/>
      <c r="Y2610" s="24"/>
      <c r="Z2610" s="24"/>
      <c r="AA2610" s="24"/>
      <c r="AB2610" s="24"/>
      <c r="AC2610" s="24"/>
      <c r="AD2610" s="24"/>
      <c r="AE2610" s="24"/>
      <c r="AF2610" s="24"/>
      <c r="AG2610" s="24"/>
      <c r="AH2610" s="24"/>
      <c r="AI2610" s="24"/>
      <c r="AJ2610" s="24"/>
      <c r="AK2610" s="24"/>
      <c r="AL2610" s="24"/>
      <c r="AM2610" s="24"/>
      <c r="AN2610" s="24"/>
      <c r="AO2610" s="24"/>
      <c r="AP2610" s="24"/>
      <c r="AQ2610" s="24"/>
      <c r="AR2610" s="54"/>
    </row>
    <row r="2611">
      <c r="A2611" s="57"/>
      <c r="B2611" s="24"/>
      <c r="C2611" s="24"/>
      <c r="D2611" s="24"/>
      <c r="E2611" s="24"/>
      <c r="F2611" s="24"/>
      <c r="G2611" s="24"/>
      <c r="H2611" s="24"/>
      <c r="I2611" s="24"/>
      <c r="J2611" s="24"/>
      <c r="K2611" s="24"/>
      <c r="L2611" s="24"/>
      <c r="M2611" s="24"/>
      <c r="N2611" s="24"/>
      <c r="O2611" s="24"/>
      <c r="P2611" s="24"/>
      <c r="Q2611" s="24"/>
      <c r="R2611" s="24"/>
      <c r="S2611" s="24"/>
      <c r="T2611" s="24"/>
      <c r="U2611" s="24"/>
      <c r="V2611" s="24"/>
      <c r="W2611" s="24"/>
      <c r="X2611" s="24"/>
      <c r="Y2611" s="24"/>
      <c r="Z2611" s="24"/>
      <c r="AA2611" s="24"/>
      <c r="AB2611" s="24"/>
      <c r="AC2611" s="24"/>
      <c r="AD2611" s="24"/>
      <c r="AE2611" s="24"/>
      <c r="AF2611" s="24"/>
      <c r="AG2611" s="24"/>
      <c r="AH2611" s="24"/>
      <c r="AI2611" s="24"/>
      <c r="AJ2611" s="24"/>
      <c r="AK2611" s="24"/>
      <c r="AL2611" s="24"/>
      <c r="AM2611" s="24"/>
      <c r="AN2611" s="24"/>
      <c r="AO2611" s="24"/>
      <c r="AP2611" s="24"/>
      <c r="AQ2611" s="24"/>
      <c r="AR2611" s="54"/>
    </row>
    <row r="2612">
      <c r="A2612" s="57"/>
      <c r="B2612" s="24"/>
      <c r="C2612" s="24"/>
      <c r="D2612" s="24"/>
      <c r="E2612" s="24"/>
      <c r="F2612" s="24"/>
      <c r="G2612" s="24"/>
      <c r="H2612" s="24"/>
      <c r="I2612" s="24"/>
      <c r="J2612" s="24"/>
      <c r="K2612" s="24"/>
      <c r="L2612" s="24"/>
      <c r="M2612" s="24"/>
      <c r="N2612" s="24"/>
      <c r="O2612" s="24"/>
      <c r="P2612" s="24"/>
      <c r="Q2612" s="24"/>
      <c r="R2612" s="24"/>
      <c r="S2612" s="24"/>
      <c r="T2612" s="24"/>
      <c r="U2612" s="24"/>
      <c r="V2612" s="24"/>
      <c r="W2612" s="24"/>
      <c r="X2612" s="24"/>
      <c r="Y2612" s="24"/>
      <c r="Z2612" s="24"/>
      <c r="AA2612" s="24"/>
      <c r="AB2612" s="24"/>
      <c r="AC2612" s="24"/>
      <c r="AD2612" s="24"/>
      <c r="AE2612" s="24"/>
      <c r="AF2612" s="24"/>
      <c r="AG2612" s="24"/>
      <c r="AH2612" s="24"/>
      <c r="AI2612" s="24"/>
      <c r="AJ2612" s="24"/>
      <c r="AK2612" s="24"/>
      <c r="AL2612" s="24"/>
      <c r="AM2612" s="24"/>
      <c r="AN2612" s="24"/>
      <c r="AO2612" s="24"/>
      <c r="AP2612" s="24"/>
      <c r="AQ2612" s="24"/>
      <c r="AR2612" s="54"/>
    </row>
    <row r="2613">
      <c r="A2613" s="57"/>
      <c r="B2613" s="24"/>
      <c r="C2613" s="24"/>
      <c r="D2613" s="24"/>
      <c r="E2613" s="24"/>
      <c r="F2613" s="24"/>
      <c r="G2613" s="24"/>
      <c r="H2613" s="24"/>
      <c r="I2613" s="24"/>
      <c r="J2613" s="24"/>
      <c r="K2613" s="24"/>
      <c r="L2613" s="24"/>
      <c r="M2613" s="24"/>
      <c r="N2613" s="24"/>
      <c r="O2613" s="24"/>
      <c r="P2613" s="24"/>
      <c r="Q2613" s="24"/>
      <c r="R2613" s="24"/>
      <c r="S2613" s="24"/>
      <c r="T2613" s="24"/>
      <c r="U2613" s="24"/>
      <c r="V2613" s="24"/>
      <c r="W2613" s="24"/>
      <c r="X2613" s="24"/>
      <c r="Y2613" s="24"/>
      <c r="Z2613" s="24"/>
      <c r="AA2613" s="24"/>
      <c r="AB2613" s="24"/>
      <c r="AC2613" s="24"/>
      <c r="AD2613" s="24"/>
      <c r="AE2613" s="24"/>
      <c r="AF2613" s="24"/>
      <c r="AG2613" s="24"/>
      <c r="AH2613" s="24"/>
      <c r="AI2613" s="24"/>
      <c r="AJ2613" s="24"/>
      <c r="AK2613" s="24"/>
      <c r="AL2613" s="24"/>
      <c r="AM2613" s="24"/>
      <c r="AN2613" s="24"/>
      <c r="AO2613" s="24"/>
      <c r="AP2613" s="24"/>
      <c r="AQ2613" s="24"/>
      <c r="AR2613" s="54"/>
    </row>
    <row r="2614">
      <c r="A2614" s="57"/>
      <c r="B2614" s="24"/>
      <c r="C2614" s="24"/>
      <c r="D2614" s="24"/>
      <c r="E2614" s="24"/>
      <c r="F2614" s="24"/>
      <c r="G2614" s="24"/>
      <c r="H2614" s="24"/>
      <c r="I2614" s="24"/>
      <c r="J2614" s="24"/>
      <c r="K2614" s="24"/>
      <c r="L2614" s="24"/>
      <c r="M2614" s="24"/>
      <c r="N2614" s="24"/>
      <c r="O2614" s="24"/>
      <c r="P2614" s="24"/>
      <c r="Q2614" s="24"/>
      <c r="R2614" s="24"/>
      <c r="S2614" s="24"/>
      <c r="T2614" s="24"/>
      <c r="U2614" s="24"/>
      <c r="V2614" s="24"/>
      <c r="W2614" s="24"/>
      <c r="X2614" s="24"/>
      <c r="Y2614" s="24"/>
      <c r="Z2614" s="24"/>
      <c r="AA2614" s="24"/>
      <c r="AB2614" s="24"/>
      <c r="AC2614" s="24"/>
      <c r="AD2614" s="24"/>
      <c r="AE2614" s="24"/>
      <c r="AF2614" s="24"/>
      <c r="AG2614" s="24"/>
      <c r="AH2614" s="24"/>
      <c r="AI2614" s="24"/>
      <c r="AJ2614" s="24"/>
      <c r="AK2614" s="24"/>
      <c r="AL2614" s="24"/>
      <c r="AM2614" s="24"/>
      <c r="AN2614" s="24"/>
      <c r="AO2614" s="24"/>
      <c r="AP2614" s="24"/>
      <c r="AQ2614" s="24"/>
      <c r="AR2614" s="54"/>
    </row>
    <row r="2615">
      <c r="A2615" s="57"/>
      <c r="B2615" s="24"/>
      <c r="C2615" s="24"/>
      <c r="D2615" s="24"/>
      <c r="E2615" s="24"/>
      <c r="F2615" s="24"/>
      <c r="G2615" s="24"/>
      <c r="H2615" s="24"/>
      <c r="I2615" s="24"/>
      <c r="J2615" s="24"/>
      <c r="K2615" s="24"/>
      <c r="L2615" s="24"/>
      <c r="M2615" s="24"/>
      <c r="N2615" s="24"/>
      <c r="O2615" s="24"/>
      <c r="P2615" s="24"/>
      <c r="Q2615" s="24"/>
      <c r="R2615" s="24"/>
      <c r="S2615" s="24"/>
      <c r="T2615" s="24"/>
      <c r="U2615" s="24"/>
      <c r="V2615" s="24"/>
      <c r="W2615" s="24"/>
      <c r="X2615" s="24"/>
      <c r="Y2615" s="24"/>
      <c r="Z2615" s="24"/>
      <c r="AA2615" s="24"/>
      <c r="AB2615" s="24"/>
      <c r="AC2615" s="24"/>
      <c r="AD2615" s="24"/>
      <c r="AE2615" s="24"/>
      <c r="AF2615" s="24"/>
      <c r="AG2615" s="24"/>
      <c r="AH2615" s="24"/>
      <c r="AI2615" s="24"/>
      <c r="AJ2615" s="24"/>
      <c r="AK2615" s="24"/>
      <c r="AL2615" s="24"/>
      <c r="AM2615" s="24"/>
      <c r="AN2615" s="24"/>
      <c r="AO2615" s="24"/>
      <c r="AP2615" s="24"/>
      <c r="AQ2615" s="24"/>
      <c r="AR2615" s="54"/>
    </row>
    <row r="2616">
      <c r="A2616" s="57"/>
      <c r="B2616" s="24"/>
      <c r="C2616" s="24"/>
      <c r="D2616" s="24"/>
      <c r="E2616" s="24"/>
      <c r="F2616" s="24"/>
      <c r="G2616" s="24"/>
      <c r="H2616" s="24"/>
      <c r="I2616" s="24"/>
      <c r="J2616" s="24"/>
      <c r="K2616" s="24"/>
      <c r="L2616" s="24"/>
      <c r="M2616" s="24"/>
      <c r="N2616" s="24"/>
      <c r="O2616" s="24"/>
      <c r="P2616" s="24"/>
      <c r="Q2616" s="24"/>
      <c r="R2616" s="24"/>
      <c r="S2616" s="24"/>
      <c r="T2616" s="24"/>
      <c r="U2616" s="24"/>
      <c r="V2616" s="24"/>
      <c r="W2616" s="24"/>
      <c r="X2616" s="24"/>
      <c r="Y2616" s="24"/>
      <c r="Z2616" s="24"/>
      <c r="AA2616" s="24"/>
      <c r="AB2616" s="24"/>
      <c r="AC2616" s="24"/>
      <c r="AD2616" s="24"/>
      <c r="AE2616" s="24"/>
      <c r="AF2616" s="24"/>
      <c r="AG2616" s="24"/>
      <c r="AH2616" s="24"/>
      <c r="AI2616" s="24"/>
      <c r="AJ2616" s="24"/>
      <c r="AK2616" s="24"/>
      <c r="AL2616" s="24"/>
      <c r="AM2616" s="24"/>
      <c r="AN2616" s="24"/>
      <c r="AO2616" s="24"/>
      <c r="AP2616" s="24"/>
      <c r="AQ2616" s="24"/>
      <c r="AR2616" s="54"/>
    </row>
    <row r="2617">
      <c r="A2617" s="57"/>
      <c r="B2617" s="24"/>
      <c r="C2617" s="24"/>
      <c r="D2617" s="24"/>
      <c r="E2617" s="24"/>
      <c r="F2617" s="24"/>
      <c r="G2617" s="24"/>
      <c r="H2617" s="24"/>
      <c r="I2617" s="24"/>
      <c r="J2617" s="24"/>
      <c r="K2617" s="24"/>
      <c r="L2617" s="24"/>
      <c r="M2617" s="24"/>
      <c r="N2617" s="24"/>
      <c r="O2617" s="24"/>
      <c r="P2617" s="24"/>
      <c r="Q2617" s="24"/>
      <c r="R2617" s="24"/>
      <c r="S2617" s="24"/>
      <c r="T2617" s="24"/>
      <c r="U2617" s="24"/>
      <c r="V2617" s="24"/>
      <c r="W2617" s="24"/>
      <c r="X2617" s="24"/>
      <c r="Y2617" s="24"/>
      <c r="Z2617" s="24"/>
      <c r="AA2617" s="24"/>
      <c r="AB2617" s="24"/>
      <c r="AC2617" s="24"/>
      <c r="AD2617" s="24"/>
      <c r="AE2617" s="24"/>
      <c r="AF2617" s="24"/>
      <c r="AG2617" s="24"/>
      <c r="AH2617" s="24"/>
      <c r="AI2617" s="24"/>
      <c r="AJ2617" s="24"/>
      <c r="AK2617" s="24"/>
      <c r="AL2617" s="24"/>
      <c r="AM2617" s="24"/>
      <c r="AN2617" s="24"/>
      <c r="AO2617" s="24"/>
      <c r="AP2617" s="24"/>
      <c r="AQ2617" s="24"/>
      <c r="AR2617" s="54"/>
    </row>
    <row r="2618">
      <c r="A2618" s="57"/>
      <c r="B2618" s="24"/>
      <c r="C2618" s="24"/>
      <c r="D2618" s="24"/>
      <c r="E2618" s="24"/>
      <c r="F2618" s="24"/>
      <c r="G2618" s="24"/>
      <c r="H2618" s="24"/>
      <c r="I2618" s="24"/>
      <c r="J2618" s="24"/>
      <c r="K2618" s="24"/>
      <c r="L2618" s="24"/>
      <c r="M2618" s="24"/>
      <c r="N2618" s="24"/>
      <c r="O2618" s="24"/>
      <c r="P2618" s="24"/>
      <c r="Q2618" s="24"/>
      <c r="R2618" s="24"/>
      <c r="S2618" s="24"/>
      <c r="T2618" s="24"/>
      <c r="U2618" s="24"/>
      <c r="V2618" s="24"/>
      <c r="W2618" s="24"/>
      <c r="X2618" s="24"/>
      <c r="Y2618" s="24"/>
      <c r="Z2618" s="24"/>
      <c r="AA2618" s="24"/>
      <c r="AB2618" s="24"/>
      <c r="AC2618" s="24"/>
      <c r="AD2618" s="24"/>
      <c r="AE2618" s="24"/>
      <c r="AF2618" s="24"/>
      <c r="AG2618" s="24"/>
      <c r="AH2618" s="24"/>
      <c r="AI2618" s="24"/>
      <c r="AJ2618" s="24"/>
      <c r="AK2618" s="24"/>
      <c r="AL2618" s="24"/>
      <c r="AM2618" s="24"/>
      <c r="AN2618" s="24"/>
      <c r="AO2618" s="24"/>
      <c r="AP2618" s="24"/>
      <c r="AQ2618" s="24"/>
      <c r="AR2618" s="54"/>
    </row>
    <row r="2619">
      <c r="A2619" s="57"/>
      <c r="B2619" s="24"/>
      <c r="C2619" s="24"/>
      <c r="D2619" s="24"/>
      <c r="E2619" s="24"/>
      <c r="F2619" s="24"/>
      <c r="G2619" s="24"/>
      <c r="H2619" s="24"/>
      <c r="I2619" s="24"/>
      <c r="J2619" s="24"/>
      <c r="K2619" s="24"/>
      <c r="L2619" s="24"/>
      <c r="M2619" s="24"/>
      <c r="N2619" s="24"/>
      <c r="O2619" s="24"/>
      <c r="P2619" s="24"/>
      <c r="Q2619" s="24"/>
      <c r="R2619" s="24"/>
      <c r="S2619" s="24"/>
      <c r="T2619" s="24"/>
      <c r="U2619" s="24"/>
      <c r="V2619" s="24"/>
      <c r="W2619" s="24"/>
      <c r="X2619" s="24"/>
      <c r="Y2619" s="24"/>
      <c r="Z2619" s="24"/>
      <c r="AA2619" s="24"/>
      <c r="AB2619" s="24"/>
      <c r="AC2619" s="24"/>
      <c r="AD2619" s="24"/>
      <c r="AE2619" s="24"/>
      <c r="AF2619" s="24"/>
      <c r="AG2619" s="24"/>
      <c r="AH2619" s="24"/>
      <c r="AI2619" s="24"/>
      <c r="AJ2619" s="24"/>
      <c r="AK2619" s="24"/>
      <c r="AL2619" s="24"/>
      <c r="AM2619" s="24"/>
      <c r="AN2619" s="24"/>
      <c r="AO2619" s="24"/>
      <c r="AP2619" s="24"/>
      <c r="AQ2619" s="24"/>
      <c r="AR2619" s="54"/>
    </row>
    <row r="2620">
      <c r="A2620" s="57"/>
      <c r="B2620" s="24"/>
      <c r="C2620" s="24"/>
      <c r="D2620" s="24"/>
      <c r="E2620" s="24"/>
      <c r="F2620" s="24"/>
      <c r="G2620" s="24"/>
      <c r="H2620" s="24"/>
      <c r="I2620" s="24"/>
      <c r="J2620" s="24"/>
      <c r="K2620" s="24"/>
      <c r="L2620" s="24"/>
      <c r="M2620" s="24"/>
      <c r="N2620" s="24"/>
      <c r="O2620" s="24"/>
      <c r="P2620" s="24"/>
      <c r="Q2620" s="24"/>
      <c r="R2620" s="24"/>
      <c r="S2620" s="24"/>
      <c r="T2620" s="24"/>
      <c r="U2620" s="24"/>
      <c r="V2620" s="24"/>
      <c r="W2620" s="24"/>
      <c r="X2620" s="24"/>
      <c r="Y2620" s="24"/>
      <c r="Z2620" s="24"/>
      <c r="AA2620" s="24"/>
      <c r="AB2620" s="24"/>
      <c r="AC2620" s="24"/>
      <c r="AD2620" s="24"/>
      <c r="AE2620" s="24"/>
      <c r="AF2620" s="24"/>
      <c r="AG2620" s="24"/>
      <c r="AH2620" s="24"/>
      <c r="AI2620" s="24"/>
      <c r="AJ2620" s="24"/>
      <c r="AK2620" s="24"/>
      <c r="AL2620" s="24"/>
      <c r="AM2620" s="24"/>
      <c r="AN2620" s="24"/>
      <c r="AO2620" s="24"/>
      <c r="AP2620" s="24"/>
      <c r="AQ2620" s="24"/>
      <c r="AR2620" s="54"/>
    </row>
    <row r="2621">
      <c r="A2621" s="57"/>
      <c r="B2621" s="24"/>
      <c r="C2621" s="24"/>
      <c r="D2621" s="24"/>
      <c r="E2621" s="24"/>
      <c r="F2621" s="24"/>
      <c r="G2621" s="24"/>
      <c r="H2621" s="24"/>
      <c r="I2621" s="24"/>
      <c r="J2621" s="24"/>
      <c r="K2621" s="24"/>
      <c r="L2621" s="24"/>
      <c r="M2621" s="24"/>
      <c r="N2621" s="24"/>
      <c r="O2621" s="24"/>
      <c r="P2621" s="24"/>
      <c r="Q2621" s="24"/>
      <c r="R2621" s="24"/>
      <c r="S2621" s="24"/>
      <c r="T2621" s="24"/>
      <c r="U2621" s="24"/>
      <c r="V2621" s="24"/>
      <c r="W2621" s="24"/>
      <c r="X2621" s="24"/>
      <c r="Y2621" s="24"/>
      <c r="Z2621" s="24"/>
      <c r="AA2621" s="24"/>
      <c r="AB2621" s="24"/>
      <c r="AC2621" s="24"/>
      <c r="AD2621" s="24"/>
      <c r="AE2621" s="24"/>
      <c r="AF2621" s="24"/>
      <c r="AG2621" s="24"/>
      <c r="AH2621" s="24"/>
      <c r="AI2621" s="24"/>
      <c r="AJ2621" s="24"/>
      <c r="AK2621" s="24"/>
      <c r="AL2621" s="24"/>
      <c r="AM2621" s="24"/>
      <c r="AN2621" s="24"/>
      <c r="AO2621" s="24"/>
      <c r="AP2621" s="24"/>
      <c r="AQ2621" s="24"/>
      <c r="AR2621" s="54"/>
    </row>
    <row r="2622">
      <c r="A2622" s="57"/>
      <c r="B2622" s="24"/>
      <c r="C2622" s="24"/>
      <c r="D2622" s="24"/>
      <c r="E2622" s="24"/>
      <c r="F2622" s="24"/>
      <c r="G2622" s="24"/>
      <c r="H2622" s="24"/>
      <c r="I2622" s="24"/>
      <c r="J2622" s="24"/>
      <c r="K2622" s="24"/>
      <c r="L2622" s="24"/>
      <c r="M2622" s="24"/>
      <c r="N2622" s="24"/>
      <c r="O2622" s="24"/>
      <c r="P2622" s="24"/>
      <c r="Q2622" s="24"/>
      <c r="R2622" s="24"/>
      <c r="S2622" s="24"/>
      <c r="T2622" s="24"/>
      <c r="U2622" s="24"/>
      <c r="V2622" s="24"/>
      <c r="W2622" s="24"/>
      <c r="X2622" s="24"/>
      <c r="Y2622" s="24"/>
      <c r="Z2622" s="24"/>
      <c r="AA2622" s="24"/>
      <c r="AB2622" s="24"/>
      <c r="AC2622" s="24"/>
      <c r="AD2622" s="24"/>
      <c r="AE2622" s="24"/>
      <c r="AF2622" s="24"/>
      <c r="AG2622" s="24"/>
      <c r="AH2622" s="24"/>
      <c r="AI2622" s="24"/>
      <c r="AJ2622" s="24"/>
      <c r="AK2622" s="24"/>
      <c r="AL2622" s="24"/>
      <c r="AM2622" s="24"/>
      <c r="AN2622" s="24"/>
      <c r="AO2622" s="24"/>
      <c r="AP2622" s="24"/>
      <c r="AQ2622" s="24"/>
      <c r="AR2622" s="54"/>
    </row>
    <row r="2623">
      <c r="A2623" s="57"/>
      <c r="B2623" s="24"/>
      <c r="C2623" s="24"/>
      <c r="D2623" s="24"/>
      <c r="E2623" s="24"/>
      <c r="F2623" s="24"/>
      <c r="G2623" s="24"/>
      <c r="H2623" s="24"/>
      <c r="I2623" s="24"/>
      <c r="J2623" s="24"/>
      <c r="K2623" s="24"/>
      <c r="L2623" s="24"/>
      <c r="M2623" s="24"/>
      <c r="N2623" s="24"/>
      <c r="O2623" s="24"/>
      <c r="P2623" s="24"/>
      <c r="Q2623" s="24"/>
      <c r="R2623" s="24"/>
      <c r="S2623" s="24"/>
      <c r="T2623" s="24"/>
      <c r="U2623" s="24"/>
      <c r="V2623" s="24"/>
      <c r="W2623" s="24"/>
      <c r="X2623" s="24"/>
      <c r="Y2623" s="24"/>
      <c r="Z2623" s="24"/>
      <c r="AA2623" s="24"/>
      <c r="AB2623" s="24"/>
      <c r="AC2623" s="24"/>
      <c r="AD2623" s="24"/>
      <c r="AE2623" s="24"/>
      <c r="AF2623" s="24"/>
      <c r="AG2623" s="24"/>
      <c r="AH2623" s="24"/>
      <c r="AI2623" s="24"/>
      <c r="AJ2623" s="24"/>
      <c r="AK2623" s="24"/>
      <c r="AL2623" s="24"/>
      <c r="AM2623" s="24"/>
      <c r="AN2623" s="24"/>
      <c r="AO2623" s="24"/>
      <c r="AP2623" s="24"/>
      <c r="AQ2623" s="24"/>
      <c r="AR2623" s="54"/>
    </row>
    <row r="2624">
      <c r="A2624" s="57"/>
      <c r="B2624" s="24"/>
      <c r="C2624" s="24"/>
      <c r="D2624" s="24"/>
      <c r="E2624" s="24"/>
      <c r="F2624" s="24"/>
      <c r="G2624" s="24"/>
      <c r="H2624" s="24"/>
      <c r="I2624" s="24"/>
      <c r="J2624" s="24"/>
      <c r="K2624" s="24"/>
      <c r="L2624" s="24"/>
      <c r="M2624" s="24"/>
      <c r="N2624" s="24"/>
      <c r="O2624" s="24"/>
      <c r="P2624" s="24"/>
      <c r="Q2624" s="24"/>
      <c r="R2624" s="24"/>
      <c r="S2624" s="24"/>
      <c r="T2624" s="24"/>
      <c r="U2624" s="24"/>
      <c r="V2624" s="24"/>
      <c r="W2624" s="24"/>
      <c r="X2624" s="24"/>
      <c r="Y2624" s="24"/>
      <c r="Z2624" s="24"/>
      <c r="AA2624" s="24"/>
      <c r="AB2624" s="24"/>
      <c r="AC2624" s="24"/>
      <c r="AD2624" s="24"/>
      <c r="AE2624" s="24"/>
      <c r="AF2624" s="24"/>
      <c r="AG2624" s="24"/>
      <c r="AH2624" s="24"/>
      <c r="AI2624" s="24"/>
      <c r="AJ2624" s="24"/>
      <c r="AK2624" s="24"/>
      <c r="AL2624" s="24"/>
      <c r="AM2624" s="24"/>
      <c r="AN2624" s="24"/>
      <c r="AO2624" s="24"/>
      <c r="AP2624" s="24"/>
      <c r="AQ2624" s="24"/>
      <c r="AR2624" s="54"/>
    </row>
    <row r="2625">
      <c r="A2625" s="57"/>
      <c r="B2625" s="24"/>
      <c r="C2625" s="24"/>
      <c r="D2625" s="24"/>
      <c r="E2625" s="24"/>
      <c r="F2625" s="24"/>
      <c r="G2625" s="24"/>
      <c r="H2625" s="24"/>
      <c r="I2625" s="24"/>
      <c r="J2625" s="24"/>
      <c r="K2625" s="24"/>
      <c r="L2625" s="24"/>
      <c r="M2625" s="24"/>
      <c r="N2625" s="24"/>
      <c r="O2625" s="24"/>
      <c r="P2625" s="24"/>
      <c r="Q2625" s="24"/>
      <c r="R2625" s="24"/>
      <c r="S2625" s="24"/>
      <c r="T2625" s="24"/>
      <c r="U2625" s="24"/>
      <c r="V2625" s="24"/>
      <c r="W2625" s="24"/>
      <c r="X2625" s="24"/>
      <c r="Y2625" s="24"/>
      <c r="Z2625" s="24"/>
      <c r="AA2625" s="24"/>
      <c r="AB2625" s="24"/>
      <c r="AC2625" s="24"/>
      <c r="AD2625" s="24"/>
      <c r="AE2625" s="24"/>
      <c r="AF2625" s="24"/>
      <c r="AG2625" s="24"/>
      <c r="AH2625" s="24"/>
      <c r="AI2625" s="24"/>
      <c r="AJ2625" s="24"/>
      <c r="AK2625" s="24"/>
      <c r="AL2625" s="24"/>
      <c r="AM2625" s="24"/>
      <c r="AN2625" s="24"/>
      <c r="AO2625" s="24"/>
      <c r="AP2625" s="24"/>
      <c r="AQ2625" s="24"/>
      <c r="AR2625" s="54"/>
    </row>
    <row r="2626">
      <c r="A2626" s="57"/>
      <c r="B2626" s="24"/>
      <c r="C2626" s="24"/>
      <c r="D2626" s="24"/>
      <c r="E2626" s="24"/>
      <c r="F2626" s="24"/>
      <c r="G2626" s="24"/>
      <c r="H2626" s="24"/>
      <c r="I2626" s="24"/>
      <c r="J2626" s="24"/>
      <c r="K2626" s="24"/>
      <c r="L2626" s="24"/>
      <c r="M2626" s="24"/>
      <c r="N2626" s="24"/>
      <c r="O2626" s="24"/>
      <c r="P2626" s="24"/>
      <c r="Q2626" s="24"/>
      <c r="R2626" s="24"/>
      <c r="S2626" s="24"/>
      <c r="T2626" s="24"/>
      <c r="U2626" s="24"/>
      <c r="V2626" s="24"/>
      <c r="W2626" s="24"/>
      <c r="X2626" s="24"/>
      <c r="Y2626" s="24"/>
      <c r="Z2626" s="24"/>
      <c r="AA2626" s="24"/>
      <c r="AB2626" s="24"/>
      <c r="AC2626" s="24"/>
      <c r="AD2626" s="24"/>
      <c r="AE2626" s="24"/>
      <c r="AF2626" s="24"/>
      <c r="AG2626" s="24"/>
      <c r="AH2626" s="24"/>
      <c r="AI2626" s="24"/>
      <c r="AJ2626" s="24"/>
      <c r="AK2626" s="24"/>
      <c r="AL2626" s="24"/>
      <c r="AM2626" s="24"/>
      <c r="AN2626" s="24"/>
      <c r="AO2626" s="24"/>
      <c r="AP2626" s="24"/>
      <c r="AQ2626" s="24"/>
      <c r="AR2626" s="54"/>
    </row>
    <row r="2627">
      <c r="A2627" s="57"/>
      <c r="B2627" s="24"/>
      <c r="C2627" s="24"/>
      <c r="D2627" s="24"/>
      <c r="E2627" s="24"/>
      <c r="F2627" s="24"/>
      <c r="G2627" s="24"/>
      <c r="H2627" s="24"/>
      <c r="I2627" s="24"/>
      <c r="J2627" s="24"/>
      <c r="K2627" s="24"/>
      <c r="L2627" s="24"/>
      <c r="M2627" s="24"/>
      <c r="N2627" s="24"/>
      <c r="O2627" s="24"/>
      <c r="P2627" s="24"/>
      <c r="Q2627" s="24"/>
      <c r="R2627" s="24"/>
      <c r="S2627" s="24"/>
      <c r="T2627" s="24"/>
      <c r="U2627" s="24"/>
      <c r="V2627" s="24"/>
      <c r="W2627" s="24"/>
      <c r="X2627" s="24"/>
      <c r="Y2627" s="24"/>
      <c r="Z2627" s="24"/>
      <c r="AA2627" s="24"/>
      <c r="AB2627" s="24"/>
      <c r="AC2627" s="24"/>
      <c r="AD2627" s="24"/>
      <c r="AE2627" s="24"/>
      <c r="AF2627" s="24"/>
      <c r="AG2627" s="24"/>
      <c r="AH2627" s="24"/>
      <c r="AI2627" s="24"/>
      <c r="AJ2627" s="24"/>
      <c r="AK2627" s="24"/>
      <c r="AL2627" s="24"/>
      <c r="AM2627" s="24"/>
      <c r="AN2627" s="24"/>
      <c r="AO2627" s="24"/>
      <c r="AP2627" s="24"/>
      <c r="AQ2627" s="24"/>
      <c r="AR2627" s="54"/>
    </row>
    <row r="2628">
      <c r="A2628" s="57"/>
      <c r="B2628" s="24"/>
      <c r="C2628" s="24"/>
      <c r="D2628" s="24"/>
      <c r="E2628" s="24"/>
      <c r="F2628" s="24"/>
      <c r="G2628" s="24"/>
      <c r="H2628" s="24"/>
      <c r="I2628" s="24"/>
      <c r="J2628" s="24"/>
      <c r="K2628" s="24"/>
      <c r="L2628" s="24"/>
      <c r="M2628" s="24"/>
      <c r="N2628" s="24"/>
      <c r="O2628" s="24"/>
      <c r="P2628" s="24"/>
      <c r="Q2628" s="24"/>
      <c r="R2628" s="24"/>
      <c r="S2628" s="24"/>
      <c r="T2628" s="24"/>
      <c r="U2628" s="24"/>
      <c r="V2628" s="24"/>
      <c r="W2628" s="24"/>
      <c r="X2628" s="24"/>
      <c r="Y2628" s="24"/>
      <c r="Z2628" s="24"/>
      <c r="AA2628" s="24"/>
      <c r="AB2628" s="24"/>
      <c r="AC2628" s="24"/>
      <c r="AD2628" s="24"/>
      <c r="AE2628" s="24"/>
      <c r="AF2628" s="24"/>
      <c r="AG2628" s="24"/>
      <c r="AH2628" s="24"/>
      <c r="AI2628" s="24"/>
      <c r="AJ2628" s="24"/>
      <c r="AK2628" s="24"/>
      <c r="AL2628" s="24"/>
      <c r="AM2628" s="24"/>
      <c r="AN2628" s="24"/>
      <c r="AO2628" s="24"/>
      <c r="AP2628" s="24"/>
      <c r="AQ2628" s="24"/>
      <c r="AR2628" s="54"/>
    </row>
    <row r="2629">
      <c r="A2629" s="57"/>
      <c r="B2629" s="24"/>
      <c r="C2629" s="24"/>
      <c r="D2629" s="24"/>
      <c r="E2629" s="24"/>
      <c r="F2629" s="24"/>
      <c r="G2629" s="24"/>
      <c r="H2629" s="24"/>
      <c r="I2629" s="24"/>
      <c r="J2629" s="24"/>
      <c r="K2629" s="24"/>
      <c r="L2629" s="24"/>
      <c r="M2629" s="24"/>
      <c r="N2629" s="24"/>
      <c r="O2629" s="24"/>
      <c r="P2629" s="24"/>
      <c r="Q2629" s="24"/>
      <c r="R2629" s="24"/>
      <c r="S2629" s="24"/>
      <c r="T2629" s="24"/>
      <c r="U2629" s="24"/>
      <c r="V2629" s="24"/>
      <c r="W2629" s="24"/>
      <c r="X2629" s="24"/>
      <c r="Y2629" s="24"/>
      <c r="Z2629" s="24"/>
      <c r="AA2629" s="24"/>
      <c r="AB2629" s="24"/>
      <c r="AC2629" s="24"/>
      <c r="AD2629" s="24"/>
      <c r="AE2629" s="24"/>
      <c r="AF2629" s="24"/>
      <c r="AG2629" s="24"/>
      <c r="AH2629" s="24"/>
      <c r="AI2629" s="24"/>
      <c r="AJ2629" s="24"/>
      <c r="AK2629" s="24"/>
      <c r="AL2629" s="24"/>
      <c r="AM2629" s="24"/>
      <c r="AN2629" s="24"/>
      <c r="AO2629" s="24"/>
      <c r="AP2629" s="24"/>
      <c r="AQ2629" s="24"/>
      <c r="AR2629" s="54"/>
    </row>
    <row r="2630">
      <c r="A2630" s="57"/>
      <c r="B2630" s="24"/>
      <c r="C2630" s="24"/>
      <c r="D2630" s="24"/>
      <c r="E2630" s="24"/>
      <c r="F2630" s="24"/>
      <c r="G2630" s="24"/>
      <c r="H2630" s="24"/>
      <c r="I2630" s="24"/>
      <c r="J2630" s="24"/>
      <c r="K2630" s="24"/>
      <c r="L2630" s="24"/>
      <c r="M2630" s="24"/>
      <c r="N2630" s="24"/>
      <c r="O2630" s="24"/>
      <c r="P2630" s="24"/>
      <c r="Q2630" s="24"/>
      <c r="R2630" s="24"/>
      <c r="S2630" s="24"/>
      <c r="T2630" s="24"/>
      <c r="U2630" s="24"/>
      <c r="V2630" s="24"/>
      <c r="W2630" s="24"/>
      <c r="X2630" s="24"/>
      <c r="Y2630" s="24"/>
      <c r="Z2630" s="24"/>
      <c r="AA2630" s="24"/>
      <c r="AB2630" s="24"/>
      <c r="AC2630" s="24"/>
      <c r="AD2630" s="24"/>
      <c r="AE2630" s="24"/>
      <c r="AF2630" s="24"/>
      <c r="AG2630" s="24"/>
      <c r="AH2630" s="24"/>
      <c r="AI2630" s="24"/>
      <c r="AJ2630" s="24"/>
      <c r="AK2630" s="24"/>
      <c r="AL2630" s="24"/>
      <c r="AM2630" s="24"/>
      <c r="AN2630" s="24"/>
      <c r="AO2630" s="24"/>
      <c r="AP2630" s="24"/>
      <c r="AQ2630" s="24"/>
      <c r="AR2630" s="54"/>
    </row>
    <row r="2631">
      <c r="A2631" s="57"/>
      <c r="B2631" s="24"/>
      <c r="C2631" s="24"/>
      <c r="D2631" s="24"/>
      <c r="E2631" s="24"/>
      <c r="F2631" s="24"/>
      <c r="G2631" s="24"/>
      <c r="H2631" s="24"/>
      <c r="I2631" s="24"/>
      <c r="J2631" s="24"/>
      <c r="K2631" s="24"/>
      <c r="L2631" s="24"/>
      <c r="M2631" s="24"/>
      <c r="N2631" s="24"/>
      <c r="O2631" s="24"/>
      <c r="P2631" s="24"/>
      <c r="Q2631" s="24"/>
      <c r="R2631" s="24"/>
      <c r="S2631" s="24"/>
      <c r="T2631" s="24"/>
      <c r="U2631" s="24"/>
      <c r="V2631" s="24"/>
      <c r="W2631" s="24"/>
      <c r="X2631" s="24"/>
      <c r="Y2631" s="24"/>
      <c r="Z2631" s="24"/>
      <c r="AA2631" s="24"/>
      <c r="AB2631" s="24"/>
      <c r="AC2631" s="24"/>
      <c r="AD2631" s="24"/>
      <c r="AE2631" s="24"/>
      <c r="AF2631" s="24"/>
      <c r="AG2631" s="24"/>
      <c r="AH2631" s="24"/>
      <c r="AI2631" s="24"/>
      <c r="AJ2631" s="24"/>
      <c r="AK2631" s="24"/>
      <c r="AL2631" s="24"/>
      <c r="AM2631" s="24"/>
      <c r="AN2631" s="24"/>
      <c r="AO2631" s="24"/>
      <c r="AP2631" s="24"/>
      <c r="AQ2631" s="24"/>
      <c r="AR2631" s="54"/>
    </row>
    <row r="2632">
      <c r="A2632" s="57"/>
      <c r="B2632" s="24"/>
      <c r="C2632" s="24"/>
      <c r="D2632" s="24"/>
      <c r="E2632" s="24"/>
      <c r="F2632" s="24"/>
      <c r="G2632" s="24"/>
      <c r="H2632" s="24"/>
      <c r="I2632" s="24"/>
      <c r="J2632" s="24"/>
      <c r="K2632" s="24"/>
      <c r="L2632" s="24"/>
      <c r="M2632" s="24"/>
      <c r="N2632" s="24"/>
      <c r="O2632" s="24"/>
      <c r="P2632" s="24"/>
      <c r="Q2632" s="24"/>
      <c r="R2632" s="24"/>
      <c r="S2632" s="24"/>
      <c r="T2632" s="24"/>
      <c r="U2632" s="24"/>
      <c r="V2632" s="24"/>
      <c r="W2632" s="24"/>
      <c r="X2632" s="24"/>
      <c r="Y2632" s="24"/>
      <c r="Z2632" s="24"/>
      <c r="AA2632" s="24"/>
      <c r="AB2632" s="24"/>
      <c r="AC2632" s="24"/>
      <c r="AD2632" s="24"/>
      <c r="AE2632" s="24"/>
      <c r="AF2632" s="24"/>
      <c r="AG2632" s="24"/>
      <c r="AH2632" s="24"/>
      <c r="AI2632" s="24"/>
      <c r="AJ2632" s="24"/>
      <c r="AK2632" s="24"/>
      <c r="AL2632" s="24"/>
      <c r="AM2632" s="24"/>
      <c r="AN2632" s="24"/>
      <c r="AO2632" s="24"/>
      <c r="AP2632" s="24"/>
      <c r="AQ2632" s="24"/>
      <c r="AR2632" s="54"/>
    </row>
    <row r="2633">
      <c r="A2633" s="57"/>
      <c r="B2633" s="24"/>
      <c r="C2633" s="24"/>
      <c r="D2633" s="24"/>
      <c r="E2633" s="24"/>
      <c r="F2633" s="24"/>
      <c r="G2633" s="24"/>
      <c r="H2633" s="24"/>
      <c r="I2633" s="24"/>
      <c r="J2633" s="24"/>
      <c r="K2633" s="24"/>
      <c r="L2633" s="24"/>
      <c r="M2633" s="24"/>
      <c r="N2633" s="24"/>
      <c r="O2633" s="24"/>
      <c r="P2633" s="24"/>
      <c r="Q2633" s="24"/>
      <c r="R2633" s="24"/>
      <c r="S2633" s="24"/>
      <c r="T2633" s="24"/>
      <c r="U2633" s="24"/>
      <c r="V2633" s="24"/>
      <c r="W2633" s="24"/>
      <c r="X2633" s="24"/>
      <c r="Y2633" s="24"/>
      <c r="Z2633" s="24"/>
      <c r="AA2633" s="24"/>
      <c r="AB2633" s="24"/>
      <c r="AC2633" s="24"/>
      <c r="AD2633" s="24"/>
      <c r="AE2633" s="24"/>
      <c r="AF2633" s="24"/>
      <c r="AG2633" s="24"/>
      <c r="AH2633" s="24"/>
      <c r="AI2633" s="24"/>
      <c r="AJ2633" s="24"/>
      <c r="AK2633" s="24"/>
      <c r="AL2633" s="24"/>
      <c r="AM2633" s="24"/>
      <c r="AN2633" s="24"/>
      <c r="AO2633" s="24"/>
      <c r="AP2633" s="24"/>
      <c r="AQ2633" s="24"/>
      <c r="AR2633" s="54"/>
    </row>
    <row r="2634">
      <c r="A2634" s="57"/>
      <c r="B2634" s="24"/>
      <c r="C2634" s="24"/>
      <c r="D2634" s="24"/>
      <c r="E2634" s="24"/>
      <c r="F2634" s="24"/>
      <c r="G2634" s="24"/>
      <c r="H2634" s="24"/>
      <c r="I2634" s="24"/>
      <c r="J2634" s="24"/>
      <c r="K2634" s="24"/>
      <c r="L2634" s="24"/>
      <c r="M2634" s="24"/>
      <c r="N2634" s="24"/>
      <c r="O2634" s="24"/>
      <c r="P2634" s="24"/>
      <c r="Q2634" s="24"/>
      <c r="R2634" s="24"/>
      <c r="S2634" s="24"/>
      <c r="T2634" s="24"/>
      <c r="U2634" s="24"/>
      <c r="V2634" s="24"/>
      <c r="W2634" s="24"/>
      <c r="X2634" s="24"/>
      <c r="Y2634" s="24"/>
      <c r="Z2634" s="24"/>
      <c r="AA2634" s="24"/>
      <c r="AB2634" s="24"/>
      <c r="AC2634" s="24"/>
      <c r="AD2634" s="24"/>
      <c r="AE2634" s="24"/>
      <c r="AF2634" s="24"/>
      <c r="AG2634" s="24"/>
      <c r="AH2634" s="24"/>
      <c r="AI2634" s="24"/>
      <c r="AJ2634" s="24"/>
      <c r="AK2634" s="24"/>
      <c r="AL2634" s="24"/>
      <c r="AM2634" s="24"/>
      <c r="AN2634" s="24"/>
      <c r="AO2634" s="24"/>
      <c r="AP2634" s="24"/>
      <c r="AQ2634" s="24"/>
      <c r="AR2634" s="54"/>
    </row>
    <row r="2635">
      <c r="A2635" s="57"/>
      <c r="B2635" s="24"/>
      <c r="C2635" s="24"/>
      <c r="D2635" s="24"/>
      <c r="E2635" s="24"/>
      <c r="F2635" s="24"/>
      <c r="G2635" s="24"/>
      <c r="H2635" s="24"/>
      <c r="I2635" s="24"/>
      <c r="J2635" s="24"/>
      <c r="K2635" s="24"/>
      <c r="L2635" s="24"/>
      <c r="M2635" s="24"/>
      <c r="N2635" s="24"/>
      <c r="O2635" s="24"/>
      <c r="P2635" s="24"/>
      <c r="Q2635" s="24"/>
      <c r="R2635" s="24"/>
      <c r="S2635" s="24"/>
      <c r="T2635" s="24"/>
      <c r="U2635" s="24"/>
      <c r="V2635" s="24"/>
      <c r="W2635" s="24"/>
      <c r="X2635" s="24"/>
      <c r="Y2635" s="24"/>
      <c r="Z2635" s="24"/>
      <c r="AA2635" s="24"/>
      <c r="AB2635" s="24"/>
      <c r="AC2635" s="24"/>
      <c r="AD2635" s="24"/>
      <c r="AE2635" s="24"/>
      <c r="AF2635" s="24"/>
      <c r="AG2635" s="24"/>
      <c r="AH2635" s="24"/>
      <c r="AI2635" s="24"/>
      <c r="AJ2635" s="24"/>
      <c r="AK2635" s="24"/>
      <c r="AL2635" s="24"/>
      <c r="AM2635" s="24"/>
      <c r="AN2635" s="24"/>
      <c r="AO2635" s="24"/>
      <c r="AP2635" s="24"/>
      <c r="AQ2635" s="24"/>
      <c r="AR2635" s="54"/>
    </row>
    <row r="2636">
      <c r="A2636" s="57"/>
      <c r="B2636" s="24"/>
      <c r="C2636" s="24"/>
      <c r="D2636" s="24"/>
      <c r="E2636" s="24"/>
      <c r="F2636" s="24"/>
      <c r="G2636" s="24"/>
      <c r="H2636" s="24"/>
      <c r="I2636" s="24"/>
      <c r="J2636" s="24"/>
      <c r="K2636" s="24"/>
      <c r="L2636" s="24"/>
      <c r="M2636" s="24"/>
      <c r="N2636" s="24"/>
      <c r="O2636" s="24"/>
      <c r="P2636" s="24"/>
      <c r="Q2636" s="24"/>
      <c r="R2636" s="24"/>
      <c r="S2636" s="24"/>
      <c r="T2636" s="24"/>
      <c r="U2636" s="24"/>
      <c r="V2636" s="24"/>
      <c r="W2636" s="24"/>
      <c r="X2636" s="24"/>
      <c r="Y2636" s="24"/>
      <c r="Z2636" s="24"/>
      <c r="AA2636" s="24"/>
      <c r="AB2636" s="24"/>
      <c r="AC2636" s="24"/>
      <c r="AD2636" s="24"/>
      <c r="AE2636" s="24"/>
      <c r="AF2636" s="24"/>
      <c r="AG2636" s="24"/>
      <c r="AH2636" s="24"/>
      <c r="AI2636" s="24"/>
      <c r="AJ2636" s="24"/>
      <c r="AK2636" s="24"/>
      <c r="AL2636" s="24"/>
      <c r="AM2636" s="24"/>
      <c r="AN2636" s="24"/>
      <c r="AO2636" s="24"/>
      <c r="AP2636" s="24"/>
      <c r="AQ2636" s="24"/>
      <c r="AR2636" s="54"/>
    </row>
    <row r="2637">
      <c r="A2637" s="57"/>
      <c r="B2637" s="24"/>
      <c r="C2637" s="24"/>
      <c r="D2637" s="24"/>
      <c r="E2637" s="24"/>
      <c r="F2637" s="24"/>
      <c r="G2637" s="24"/>
      <c r="H2637" s="24"/>
      <c r="I2637" s="24"/>
      <c r="J2637" s="24"/>
      <c r="K2637" s="24"/>
      <c r="L2637" s="24"/>
      <c r="M2637" s="24"/>
      <c r="N2637" s="24"/>
      <c r="O2637" s="24"/>
      <c r="P2637" s="24"/>
      <c r="Q2637" s="24"/>
      <c r="R2637" s="24"/>
      <c r="S2637" s="24"/>
      <c r="T2637" s="24"/>
      <c r="U2637" s="24"/>
      <c r="V2637" s="24"/>
      <c r="W2637" s="24"/>
      <c r="X2637" s="24"/>
      <c r="Y2637" s="24"/>
      <c r="Z2637" s="24"/>
      <c r="AA2637" s="24"/>
      <c r="AB2637" s="24"/>
      <c r="AC2637" s="24"/>
      <c r="AD2637" s="24"/>
      <c r="AE2637" s="24"/>
      <c r="AF2637" s="24"/>
      <c r="AG2637" s="24"/>
      <c r="AH2637" s="24"/>
      <c r="AI2637" s="24"/>
      <c r="AJ2637" s="24"/>
      <c r="AK2637" s="24"/>
      <c r="AL2637" s="24"/>
      <c r="AM2637" s="24"/>
      <c r="AN2637" s="24"/>
      <c r="AO2637" s="24"/>
      <c r="AP2637" s="24"/>
      <c r="AQ2637" s="24"/>
      <c r="AR2637" s="54"/>
    </row>
    <row r="2638">
      <c r="A2638" s="57"/>
      <c r="B2638" s="24"/>
      <c r="C2638" s="24"/>
      <c r="D2638" s="24"/>
      <c r="E2638" s="24"/>
      <c r="F2638" s="24"/>
      <c r="G2638" s="24"/>
      <c r="H2638" s="24"/>
      <c r="I2638" s="24"/>
      <c r="J2638" s="24"/>
      <c r="K2638" s="24"/>
      <c r="L2638" s="24"/>
      <c r="M2638" s="24"/>
      <c r="N2638" s="24"/>
      <c r="O2638" s="24"/>
      <c r="P2638" s="24"/>
      <c r="Q2638" s="24"/>
      <c r="R2638" s="24"/>
      <c r="S2638" s="24"/>
      <c r="T2638" s="24"/>
      <c r="U2638" s="24"/>
      <c r="V2638" s="24"/>
      <c r="W2638" s="24"/>
      <c r="X2638" s="24"/>
      <c r="Y2638" s="24"/>
      <c r="Z2638" s="24"/>
      <c r="AA2638" s="24"/>
      <c r="AB2638" s="24"/>
      <c r="AC2638" s="24"/>
      <c r="AD2638" s="24"/>
      <c r="AE2638" s="24"/>
      <c r="AF2638" s="24"/>
      <c r="AG2638" s="24"/>
      <c r="AH2638" s="24"/>
      <c r="AI2638" s="24"/>
      <c r="AJ2638" s="24"/>
      <c r="AK2638" s="24"/>
      <c r="AL2638" s="24"/>
      <c r="AM2638" s="24"/>
      <c r="AN2638" s="24"/>
      <c r="AO2638" s="24"/>
      <c r="AP2638" s="24"/>
      <c r="AQ2638" s="24"/>
      <c r="AR2638" s="54"/>
    </row>
    <row r="2639">
      <c r="A2639" s="57"/>
      <c r="B2639" s="24"/>
      <c r="C2639" s="24"/>
      <c r="D2639" s="24"/>
      <c r="E2639" s="24"/>
      <c r="F2639" s="24"/>
      <c r="G2639" s="24"/>
      <c r="H2639" s="24"/>
      <c r="I2639" s="24"/>
      <c r="J2639" s="24"/>
      <c r="K2639" s="24"/>
      <c r="L2639" s="24"/>
      <c r="M2639" s="24"/>
      <c r="N2639" s="24"/>
      <c r="O2639" s="24"/>
      <c r="P2639" s="24"/>
      <c r="Q2639" s="24"/>
      <c r="R2639" s="24"/>
      <c r="S2639" s="24"/>
      <c r="T2639" s="24"/>
      <c r="U2639" s="24"/>
      <c r="V2639" s="24"/>
      <c r="W2639" s="24"/>
      <c r="X2639" s="24"/>
      <c r="Y2639" s="24"/>
      <c r="Z2639" s="24"/>
      <c r="AA2639" s="24"/>
      <c r="AB2639" s="24"/>
      <c r="AC2639" s="24"/>
      <c r="AD2639" s="24"/>
      <c r="AE2639" s="24"/>
      <c r="AF2639" s="24"/>
      <c r="AG2639" s="24"/>
      <c r="AH2639" s="24"/>
      <c r="AI2639" s="24"/>
      <c r="AJ2639" s="24"/>
      <c r="AK2639" s="24"/>
      <c r="AL2639" s="24"/>
      <c r="AM2639" s="24"/>
      <c r="AN2639" s="24"/>
      <c r="AO2639" s="24"/>
      <c r="AP2639" s="24"/>
      <c r="AQ2639" s="24"/>
      <c r="AR2639" s="54"/>
    </row>
    <row r="2640">
      <c r="A2640" s="57"/>
      <c r="B2640" s="24"/>
      <c r="C2640" s="24"/>
      <c r="D2640" s="24"/>
      <c r="E2640" s="24"/>
      <c r="F2640" s="24"/>
      <c r="G2640" s="24"/>
      <c r="H2640" s="24"/>
      <c r="I2640" s="24"/>
      <c r="J2640" s="24"/>
      <c r="K2640" s="24"/>
      <c r="L2640" s="24"/>
      <c r="M2640" s="24"/>
      <c r="N2640" s="24"/>
      <c r="O2640" s="24"/>
      <c r="P2640" s="24"/>
      <c r="Q2640" s="24"/>
      <c r="R2640" s="24"/>
      <c r="S2640" s="24"/>
      <c r="T2640" s="24"/>
      <c r="U2640" s="24"/>
      <c r="V2640" s="24"/>
      <c r="W2640" s="24"/>
      <c r="X2640" s="24"/>
      <c r="Y2640" s="24"/>
      <c r="Z2640" s="24"/>
      <c r="AA2640" s="24"/>
      <c r="AB2640" s="24"/>
      <c r="AC2640" s="24"/>
      <c r="AD2640" s="24"/>
      <c r="AE2640" s="24"/>
      <c r="AF2640" s="24"/>
      <c r="AG2640" s="24"/>
      <c r="AH2640" s="24"/>
      <c r="AI2640" s="24"/>
      <c r="AJ2640" s="24"/>
      <c r="AK2640" s="24"/>
      <c r="AL2640" s="24"/>
      <c r="AM2640" s="24"/>
      <c r="AN2640" s="24"/>
      <c r="AO2640" s="24"/>
      <c r="AP2640" s="24"/>
      <c r="AQ2640" s="24"/>
      <c r="AR2640" s="54"/>
    </row>
    <row r="2641">
      <c r="A2641" s="57"/>
      <c r="B2641" s="24"/>
      <c r="C2641" s="24"/>
      <c r="D2641" s="24"/>
      <c r="E2641" s="24"/>
      <c r="F2641" s="24"/>
      <c r="G2641" s="24"/>
      <c r="H2641" s="24"/>
      <c r="I2641" s="24"/>
      <c r="J2641" s="24"/>
      <c r="K2641" s="24"/>
      <c r="L2641" s="24"/>
      <c r="M2641" s="24"/>
      <c r="N2641" s="24"/>
      <c r="O2641" s="24"/>
      <c r="P2641" s="24"/>
      <c r="Q2641" s="24"/>
      <c r="R2641" s="24"/>
      <c r="S2641" s="24"/>
      <c r="T2641" s="24"/>
      <c r="U2641" s="24"/>
      <c r="V2641" s="24"/>
      <c r="W2641" s="24"/>
      <c r="X2641" s="24"/>
      <c r="Y2641" s="24"/>
      <c r="Z2641" s="24"/>
      <c r="AA2641" s="24"/>
      <c r="AB2641" s="24"/>
      <c r="AC2641" s="24"/>
      <c r="AD2641" s="24"/>
      <c r="AE2641" s="24"/>
      <c r="AF2641" s="24"/>
      <c r="AG2641" s="24"/>
      <c r="AH2641" s="24"/>
      <c r="AI2641" s="24"/>
      <c r="AJ2641" s="24"/>
      <c r="AK2641" s="24"/>
      <c r="AL2641" s="24"/>
      <c r="AM2641" s="24"/>
      <c r="AN2641" s="24"/>
      <c r="AO2641" s="24"/>
      <c r="AP2641" s="24"/>
      <c r="AQ2641" s="24"/>
      <c r="AR2641" s="54"/>
    </row>
    <row r="2642">
      <c r="A2642" s="57"/>
      <c r="B2642" s="24"/>
      <c r="C2642" s="24"/>
      <c r="D2642" s="24"/>
      <c r="E2642" s="24"/>
      <c r="F2642" s="24"/>
      <c r="G2642" s="24"/>
      <c r="H2642" s="24"/>
      <c r="I2642" s="24"/>
      <c r="J2642" s="24"/>
      <c r="K2642" s="24"/>
      <c r="L2642" s="24"/>
      <c r="M2642" s="24"/>
      <c r="N2642" s="24"/>
      <c r="O2642" s="24"/>
      <c r="P2642" s="24"/>
      <c r="Q2642" s="24"/>
      <c r="R2642" s="24"/>
      <c r="S2642" s="24"/>
      <c r="T2642" s="24"/>
      <c r="U2642" s="24"/>
      <c r="V2642" s="24"/>
      <c r="W2642" s="24"/>
      <c r="X2642" s="24"/>
      <c r="Y2642" s="24"/>
      <c r="Z2642" s="24"/>
      <c r="AA2642" s="24"/>
      <c r="AB2642" s="24"/>
      <c r="AC2642" s="24"/>
      <c r="AD2642" s="24"/>
      <c r="AE2642" s="24"/>
      <c r="AF2642" s="24"/>
      <c r="AG2642" s="24"/>
      <c r="AH2642" s="24"/>
      <c r="AI2642" s="24"/>
      <c r="AJ2642" s="24"/>
      <c r="AK2642" s="24"/>
      <c r="AL2642" s="24"/>
      <c r="AM2642" s="24"/>
      <c r="AN2642" s="24"/>
      <c r="AO2642" s="24"/>
      <c r="AP2642" s="24"/>
      <c r="AQ2642" s="24"/>
      <c r="AR2642" s="54"/>
    </row>
    <row r="2643">
      <c r="A2643" s="57"/>
      <c r="B2643" s="24"/>
      <c r="C2643" s="24"/>
      <c r="D2643" s="24"/>
      <c r="E2643" s="24"/>
      <c r="F2643" s="24"/>
      <c r="G2643" s="24"/>
      <c r="H2643" s="24"/>
      <c r="I2643" s="24"/>
      <c r="J2643" s="24"/>
      <c r="K2643" s="24"/>
      <c r="L2643" s="24"/>
      <c r="M2643" s="24"/>
      <c r="N2643" s="24"/>
      <c r="O2643" s="24"/>
      <c r="P2643" s="24"/>
      <c r="Q2643" s="24"/>
      <c r="R2643" s="24"/>
      <c r="S2643" s="24"/>
      <c r="T2643" s="24"/>
      <c r="U2643" s="24"/>
      <c r="V2643" s="24"/>
      <c r="W2643" s="24"/>
      <c r="X2643" s="24"/>
      <c r="Y2643" s="24"/>
      <c r="Z2643" s="24"/>
      <c r="AA2643" s="24"/>
      <c r="AB2643" s="24"/>
      <c r="AC2643" s="24"/>
      <c r="AD2643" s="24"/>
      <c r="AE2643" s="24"/>
      <c r="AF2643" s="24"/>
      <c r="AG2643" s="24"/>
      <c r="AH2643" s="24"/>
      <c r="AI2643" s="24"/>
      <c r="AJ2643" s="24"/>
      <c r="AK2643" s="24"/>
      <c r="AL2643" s="24"/>
      <c r="AM2643" s="24"/>
      <c r="AN2643" s="24"/>
      <c r="AO2643" s="24"/>
      <c r="AP2643" s="24"/>
      <c r="AQ2643" s="24"/>
      <c r="AR2643" s="54"/>
    </row>
    <row r="2644">
      <c r="A2644" s="57"/>
      <c r="B2644" s="24"/>
      <c r="C2644" s="24"/>
      <c r="D2644" s="24"/>
      <c r="E2644" s="24"/>
      <c r="F2644" s="24"/>
      <c r="G2644" s="24"/>
      <c r="H2644" s="24"/>
      <c r="I2644" s="24"/>
      <c r="J2644" s="24"/>
      <c r="K2644" s="24"/>
      <c r="L2644" s="24"/>
      <c r="M2644" s="24"/>
      <c r="N2644" s="24"/>
      <c r="O2644" s="24"/>
      <c r="P2644" s="24"/>
      <c r="Q2644" s="24"/>
      <c r="R2644" s="24"/>
      <c r="S2644" s="24"/>
      <c r="T2644" s="24"/>
      <c r="U2644" s="24"/>
      <c r="V2644" s="24"/>
      <c r="W2644" s="24"/>
      <c r="X2644" s="24"/>
      <c r="Y2644" s="24"/>
      <c r="Z2644" s="24"/>
      <c r="AA2644" s="24"/>
      <c r="AB2644" s="24"/>
      <c r="AC2644" s="24"/>
      <c r="AD2644" s="24"/>
      <c r="AE2644" s="24"/>
      <c r="AF2644" s="24"/>
      <c r="AG2644" s="24"/>
      <c r="AH2644" s="24"/>
      <c r="AI2644" s="24"/>
      <c r="AJ2644" s="24"/>
      <c r="AK2644" s="24"/>
      <c r="AL2644" s="24"/>
      <c r="AM2644" s="24"/>
      <c r="AN2644" s="24"/>
      <c r="AO2644" s="24"/>
      <c r="AP2644" s="24"/>
      <c r="AQ2644" s="24"/>
      <c r="AR2644" s="54"/>
    </row>
    <row r="2645">
      <c r="A2645" s="57"/>
      <c r="B2645" s="24"/>
      <c r="C2645" s="24"/>
      <c r="D2645" s="24"/>
      <c r="E2645" s="24"/>
      <c r="F2645" s="24"/>
      <c r="G2645" s="24"/>
      <c r="H2645" s="24"/>
      <c r="I2645" s="24"/>
      <c r="J2645" s="24"/>
      <c r="K2645" s="24"/>
      <c r="L2645" s="24"/>
      <c r="M2645" s="24"/>
      <c r="N2645" s="24"/>
      <c r="O2645" s="24"/>
      <c r="P2645" s="24"/>
      <c r="Q2645" s="24"/>
      <c r="R2645" s="24"/>
      <c r="S2645" s="24"/>
      <c r="T2645" s="24"/>
      <c r="U2645" s="24"/>
      <c r="V2645" s="24"/>
      <c r="W2645" s="24"/>
      <c r="X2645" s="24"/>
      <c r="Y2645" s="24"/>
      <c r="Z2645" s="24"/>
      <c r="AA2645" s="24"/>
      <c r="AB2645" s="24"/>
      <c r="AC2645" s="24"/>
      <c r="AD2645" s="24"/>
      <c r="AE2645" s="24"/>
      <c r="AF2645" s="24"/>
      <c r="AG2645" s="24"/>
      <c r="AH2645" s="24"/>
      <c r="AI2645" s="24"/>
      <c r="AJ2645" s="24"/>
      <c r="AK2645" s="24"/>
      <c r="AL2645" s="24"/>
      <c r="AM2645" s="24"/>
      <c r="AN2645" s="24"/>
      <c r="AO2645" s="24"/>
      <c r="AP2645" s="24"/>
      <c r="AQ2645" s="24"/>
      <c r="AR2645" s="54"/>
    </row>
    <row r="2646">
      <c r="A2646" s="57"/>
      <c r="B2646" s="24"/>
      <c r="C2646" s="24"/>
      <c r="D2646" s="24"/>
      <c r="E2646" s="24"/>
      <c r="F2646" s="24"/>
      <c r="G2646" s="24"/>
      <c r="H2646" s="24"/>
      <c r="I2646" s="24"/>
      <c r="J2646" s="24"/>
      <c r="K2646" s="24"/>
      <c r="L2646" s="24"/>
      <c r="M2646" s="24"/>
      <c r="N2646" s="24"/>
      <c r="O2646" s="24"/>
      <c r="P2646" s="24"/>
      <c r="Q2646" s="24"/>
      <c r="R2646" s="24"/>
      <c r="S2646" s="24"/>
      <c r="T2646" s="24"/>
      <c r="U2646" s="24"/>
      <c r="V2646" s="24"/>
      <c r="W2646" s="24"/>
      <c r="X2646" s="24"/>
      <c r="Y2646" s="24"/>
      <c r="Z2646" s="24"/>
      <c r="AA2646" s="24"/>
      <c r="AB2646" s="24"/>
      <c r="AC2646" s="24"/>
      <c r="AD2646" s="24"/>
      <c r="AE2646" s="24"/>
      <c r="AF2646" s="24"/>
      <c r="AG2646" s="24"/>
      <c r="AH2646" s="24"/>
      <c r="AI2646" s="24"/>
      <c r="AJ2646" s="24"/>
      <c r="AK2646" s="24"/>
      <c r="AL2646" s="24"/>
      <c r="AM2646" s="24"/>
      <c r="AN2646" s="24"/>
      <c r="AO2646" s="24"/>
      <c r="AP2646" s="24"/>
      <c r="AQ2646" s="24"/>
      <c r="AR2646" s="54"/>
    </row>
    <row r="2647">
      <c r="A2647" s="57"/>
      <c r="B2647" s="24"/>
      <c r="C2647" s="24"/>
      <c r="D2647" s="24"/>
      <c r="E2647" s="24"/>
      <c r="F2647" s="24"/>
      <c r="G2647" s="24"/>
      <c r="H2647" s="24"/>
      <c r="I2647" s="24"/>
      <c r="J2647" s="24"/>
      <c r="K2647" s="24"/>
      <c r="L2647" s="24"/>
      <c r="M2647" s="24"/>
      <c r="N2647" s="24"/>
      <c r="O2647" s="24"/>
      <c r="P2647" s="24"/>
      <c r="Q2647" s="24"/>
      <c r="R2647" s="24"/>
      <c r="S2647" s="24"/>
      <c r="T2647" s="24"/>
      <c r="U2647" s="24"/>
      <c r="V2647" s="24"/>
      <c r="W2647" s="24"/>
      <c r="X2647" s="24"/>
      <c r="Y2647" s="24"/>
      <c r="Z2647" s="24"/>
      <c r="AA2647" s="24"/>
      <c r="AB2647" s="24"/>
      <c r="AC2647" s="24"/>
      <c r="AD2647" s="24"/>
      <c r="AE2647" s="24"/>
      <c r="AF2647" s="24"/>
      <c r="AG2647" s="24"/>
      <c r="AH2647" s="24"/>
      <c r="AI2647" s="24"/>
      <c r="AJ2647" s="24"/>
      <c r="AK2647" s="24"/>
      <c r="AL2647" s="24"/>
      <c r="AM2647" s="24"/>
      <c r="AN2647" s="24"/>
      <c r="AO2647" s="24"/>
      <c r="AP2647" s="24"/>
      <c r="AQ2647" s="24"/>
      <c r="AR2647" s="54"/>
    </row>
    <row r="2648">
      <c r="A2648" s="57"/>
      <c r="B2648" s="24"/>
      <c r="C2648" s="24"/>
      <c r="D2648" s="24"/>
      <c r="E2648" s="24"/>
      <c r="F2648" s="24"/>
      <c r="G2648" s="24"/>
      <c r="H2648" s="24"/>
      <c r="I2648" s="24"/>
      <c r="J2648" s="24"/>
      <c r="K2648" s="24"/>
      <c r="L2648" s="24"/>
      <c r="M2648" s="24"/>
      <c r="N2648" s="24"/>
      <c r="O2648" s="24"/>
      <c r="P2648" s="24"/>
      <c r="Q2648" s="24"/>
      <c r="R2648" s="24"/>
      <c r="S2648" s="24"/>
      <c r="T2648" s="24"/>
      <c r="U2648" s="24"/>
      <c r="V2648" s="24"/>
      <c r="W2648" s="24"/>
      <c r="X2648" s="24"/>
      <c r="Y2648" s="24"/>
      <c r="Z2648" s="24"/>
      <c r="AA2648" s="24"/>
      <c r="AB2648" s="24"/>
      <c r="AC2648" s="24"/>
      <c r="AD2648" s="24"/>
      <c r="AE2648" s="24"/>
      <c r="AF2648" s="24"/>
      <c r="AG2648" s="24"/>
      <c r="AH2648" s="24"/>
      <c r="AI2648" s="24"/>
      <c r="AJ2648" s="24"/>
      <c r="AK2648" s="24"/>
      <c r="AL2648" s="24"/>
      <c r="AM2648" s="24"/>
      <c r="AN2648" s="24"/>
      <c r="AO2648" s="24"/>
      <c r="AP2648" s="24"/>
      <c r="AQ2648" s="24"/>
      <c r="AR2648" s="54"/>
    </row>
    <row r="2649">
      <c r="A2649" s="57"/>
      <c r="B2649" s="24"/>
      <c r="C2649" s="24"/>
      <c r="D2649" s="24"/>
      <c r="E2649" s="24"/>
      <c r="F2649" s="24"/>
      <c r="G2649" s="24"/>
      <c r="H2649" s="24"/>
      <c r="I2649" s="24"/>
      <c r="J2649" s="24"/>
      <c r="K2649" s="24"/>
      <c r="L2649" s="24"/>
      <c r="M2649" s="24"/>
      <c r="N2649" s="24"/>
      <c r="O2649" s="24"/>
      <c r="P2649" s="24"/>
      <c r="Q2649" s="24"/>
      <c r="R2649" s="24"/>
      <c r="S2649" s="24"/>
      <c r="T2649" s="24"/>
      <c r="U2649" s="24"/>
      <c r="V2649" s="24"/>
      <c r="W2649" s="24"/>
      <c r="X2649" s="24"/>
      <c r="Y2649" s="24"/>
      <c r="Z2649" s="24"/>
      <c r="AA2649" s="24"/>
      <c r="AB2649" s="24"/>
      <c r="AC2649" s="24"/>
      <c r="AD2649" s="24"/>
      <c r="AE2649" s="24"/>
      <c r="AF2649" s="24"/>
      <c r="AG2649" s="24"/>
      <c r="AH2649" s="24"/>
      <c r="AI2649" s="24"/>
      <c r="AJ2649" s="24"/>
      <c r="AK2649" s="24"/>
      <c r="AL2649" s="24"/>
      <c r="AM2649" s="24"/>
      <c r="AN2649" s="24"/>
      <c r="AO2649" s="24"/>
      <c r="AP2649" s="24"/>
      <c r="AQ2649" s="24"/>
      <c r="AR2649" s="54"/>
    </row>
    <row r="2650">
      <c r="A2650" s="57"/>
      <c r="B2650" s="24"/>
      <c r="C2650" s="24"/>
      <c r="D2650" s="24"/>
      <c r="E2650" s="24"/>
      <c r="F2650" s="24"/>
      <c r="G2650" s="24"/>
      <c r="H2650" s="24"/>
      <c r="I2650" s="24"/>
      <c r="J2650" s="24"/>
      <c r="K2650" s="24"/>
      <c r="L2650" s="24"/>
      <c r="M2650" s="24"/>
      <c r="N2650" s="24"/>
      <c r="O2650" s="24"/>
      <c r="P2650" s="24"/>
      <c r="Q2650" s="24"/>
      <c r="R2650" s="24"/>
      <c r="S2650" s="24"/>
      <c r="T2650" s="24"/>
      <c r="U2650" s="24"/>
      <c r="V2650" s="24"/>
      <c r="W2650" s="24"/>
      <c r="X2650" s="24"/>
      <c r="Y2650" s="24"/>
      <c r="Z2650" s="24"/>
      <c r="AA2650" s="24"/>
      <c r="AB2650" s="24"/>
      <c r="AC2650" s="24"/>
      <c r="AD2650" s="24"/>
      <c r="AE2650" s="24"/>
      <c r="AF2650" s="24"/>
      <c r="AG2650" s="24"/>
      <c r="AH2650" s="24"/>
      <c r="AI2650" s="24"/>
      <c r="AJ2650" s="24"/>
      <c r="AK2650" s="24"/>
      <c r="AL2650" s="24"/>
      <c r="AM2650" s="24"/>
      <c r="AN2650" s="24"/>
      <c r="AO2650" s="24"/>
      <c r="AP2650" s="24"/>
      <c r="AQ2650" s="24"/>
      <c r="AR2650" s="54"/>
    </row>
    <row r="2651">
      <c r="A2651" s="57"/>
      <c r="B2651" s="24"/>
      <c r="C2651" s="24"/>
      <c r="D2651" s="24"/>
      <c r="E2651" s="24"/>
      <c r="F2651" s="24"/>
      <c r="G2651" s="24"/>
      <c r="H2651" s="24"/>
      <c r="I2651" s="24"/>
      <c r="J2651" s="24"/>
      <c r="K2651" s="24"/>
      <c r="L2651" s="24"/>
      <c r="M2651" s="24"/>
      <c r="N2651" s="24"/>
      <c r="O2651" s="24"/>
      <c r="P2651" s="24"/>
      <c r="Q2651" s="24"/>
      <c r="R2651" s="24"/>
      <c r="S2651" s="24"/>
      <c r="T2651" s="24"/>
      <c r="U2651" s="24"/>
      <c r="V2651" s="24"/>
      <c r="W2651" s="24"/>
      <c r="X2651" s="24"/>
      <c r="Y2651" s="24"/>
      <c r="Z2651" s="24"/>
      <c r="AA2651" s="24"/>
      <c r="AB2651" s="24"/>
      <c r="AC2651" s="24"/>
      <c r="AD2651" s="24"/>
      <c r="AE2651" s="24"/>
      <c r="AF2651" s="24"/>
      <c r="AG2651" s="24"/>
      <c r="AH2651" s="24"/>
      <c r="AI2651" s="24"/>
      <c r="AJ2651" s="24"/>
      <c r="AK2651" s="24"/>
      <c r="AL2651" s="24"/>
      <c r="AM2651" s="24"/>
      <c r="AN2651" s="24"/>
      <c r="AO2651" s="24"/>
      <c r="AP2651" s="24"/>
      <c r="AQ2651" s="24"/>
      <c r="AR2651" s="54"/>
    </row>
    <row r="2652">
      <c r="A2652" s="57"/>
      <c r="B2652" s="24"/>
      <c r="C2652" s="24"/>
      <c r="D2652" s="24"/>
      <c r="E2652" s="24"/>
      <c r="F2652" s="24"/>
      <c r="G2652" s="24"/>
      <c r="H2652" s="24"/>
      <c r="I2652" s="24"/>
      <c r="J2652" s="24"/>
      <c r="K2652" s="24"/>
      <c r="L2652" s="24"/>
      <c r="M2652" s="24"/>
      <c r="N2652" s="24"/>
      <c r="O2652" s="24"/>
      <c r="P2652" s="24"/>
      <c r="Q2652" s="24"/>
      <c r="R2652" s="24"/>
      <c r="S2652" s="24"/>
      <c r="T2652" s="24"/>
      <c r="U2652" s="24"/>
      <c r="V2652" s="24"/>
      <c r="W2652" s="24"/>
      <c r="X2652" s="24"/>
      <c r="Y2652" s="24"/>
      <c r="Z2652" s="24"/>
      <c r="AA2652" s="24"/>
      <c r="AB2652" s="24"/>
      <c r="AC2652" s="24"/>
      <c r="AD2652" s="24"/>
      <c r="AE2652" s="24"/>
      <c r="AF2652" s="24"/>
      <c r="AG2652" s="24"/>
      <c r="AH2652" s="24"/>
      <c r="AI2652" s="24"/>
      <c r="AJ2652" s="24"/>
      <c r="AK2652" s="24"/>
      <c r="AL2652" s="24"/>
      <c r="AM2652" s="24"/>
      <c r="AN2652" s="24"/>
      <c r="AO2652" s="24"/>
      <c r="AP2652" s="24"/>
      <c r="AQ2652" s="24"/>
      <c r="AR2652" s="54"/>
    </row>
    <row r="2653">
      <c r="A2653" s="57"/>
      <c r="B2653" s="24"/>
      <c r="C2653" s="24"/>
      <c r="D2653" s="24"/>
      <c r="E2653" s="24"/>
      <c r="F2653" s="24"/>
      <c r="G2653" s="24"/>
      <c r="H2653" s="24"/>
      <c r="I2653" s="24"/>
      <c r="J2653" s="24"/>
      <c r="K2653" s="24"/>
      <c r="L2653" s="24"/>
      <c r="M2653" s="24"/>
      <c r="N2653" s="24"/>
      <c r="O2653" s="24"/>
      <c r="P2653" s="24"/>
      <c r="Q2653" s="24"/>
      <c r="R2653" s="24"/>
      <c r="S2653" s="24"/>
      <c r="T2653" s="24"/>
      <c r="U2653" s="24"/>
      <c r="V2653" s="24"/>
      <c r="W2653" s="24"/>
      <c r="X2653" s="24"/>
      <c r="Y2653" s="24"/>
      <c r="Z2653" s="24"/>
      <c r="AA2653" s="24"/>
      <c r="AB2653" s="24"/>
      <c r="AC2653" s="24"/>
      <c r="AD2653" s="24"/>
      <c r="AE2653" s="24"/>
      <c r="AF2653" s="24"/>
      <c r="AG2653" s="24"/>
      <c r="AH2653" s="24"/>
      <c r="AI2653" s="24"/>
      <c r="AJ2653" s="24"/>
      <c r="AK2653" s="24"/>
      <c r="AL2653" s="24"/>
      <c r="AM2653" s="24"/>
      <c r="AN2653" s="24"/>
      <c r="AO2653" s="24"/>
      <c r="AP2653" s="24"/>
      <c r="AQ2653" s="24"/>
      <c r="AR2653" s="54"/>
    </row>
    <row r="2654">
      <c r="A2654" s="57"/>
      <c r="B2654" s="24"/>
      <c r="C2654" s="24"/>
      <c r="D2654" s="24"/>
      <c r="E2654" s="24"/>
      <c r="F2654" s="24"/>
      <c r="G2654" s="24"/>
      <c r="H2654" s="24"/>
      <c r="I2654" s="24"/>
      <c r="J2654" s="24"/>
      <c r="K2654" s="24"/>
      <c r="L2654" s="24"/>
      <c r="M2654" s="24"/>
      <c r="N2654" s="24"/>
      <c r="O2654" s="24"/>
      <c r="P2654" s="24"/>
      <c r="Q2654" s="24"/>
      <c r="R2654" s="24"/>
      <c r="S2654" s="24"/>
      <c r="T2654" s="24"/>
      <c r="U2654" s="24"/>
      <c r="V2654" s="24"/>
      <c r="W2654" s="24"/>
      <c r="X2654" s="24"/>
      <c r="Y2654" s="24"/>
      <c r="Z2654" s="24"/>
      <c r="AA2654" s="24"/>
      <c r="AB2654" s="24"/>
      <c r="AC2654" s="24"/>
      <c r="AD2654" s="24"/>
      <c r="AE2654" s="24"/>
      <c r="AF2654" s="24"/>
      <c r="AG2654" s="24"/>
      <c r="AH2654" s="24"/>
      <c r="AI2654" s="24"/>
      <c r="AJ2654" s="24"/>
      <c r="AK2654" s="24"/>
      <c r="AL2654" s="24"/>
      <c r="AM2654" s="24"/>
      <c r="AN2654" s="24"/>
      <c r="AO2654" s="24"/>
      <c r="AP2654" s="24"/>
      <c r="AQ2654" s="24"/>
      <c r="AR2654" s="54"/>
    </row>
    <row r="2655">
      <c r="A2655" s="57"/>
      <c r="B2655" s="24"/>
      <c r="C2655" s="24"/>
      <c r="D2655" s="24"/>
      <c r="E2655" s="24"/>
      <c r="F2655" s="24"/>
      <c r="G2655" s="24"/>
      <c r="H2655" s="24"/>
      <c r="I2655" s="24"/>
      <c r="J2655" s="24"/>
      <c r="K2655" s="24"/>
      <c r="L2655" s="24"/>
      <c r="M2655" s="24"/>
      <c r="N2655" s="24"/>
      <c r="O2655" s="24"/>
      <c r="P2655" s="24"/>
      <c r="Q2655" s="24"/>
      <c r="R2655" s="24"/>
      <c r="S2655" s="24"/>
      <c r="T2655" s="24"/>
      <c r="U2655" s="24"/>
      <c r="V2655" s="24"/>
      <c r="W2655" s="24"/>
      <c r="X2655" s="24"/>
      <c r="Y2655" s="24"/>
      <c r="Z2655" s="24"/>
      <c r="AA2655" s="24"/>
      <c r="AB2655" s="24"/>
      <c r="AC2655" s="24"/>
      <c r="AD2655" s="24"/>
      <c r="AE2655" s="24"/>
      <c r="AF2655" s="24"/>
      <c r="AG2655" s="24"/>
      <c r="AH2655" s="24"/>
      <c r="AI2655" s="24"/>
      <c r="AJ2655" s="24"/>
      <c r="AK2655" s="24"/>
      <c r="AL2655" s="24"/>
      <c r="AM2655" s="24"/>
      <c r="AN2655" s="24"/>
      <c r="AO2655" s="24"/>
      <c r="AP2655" s="24"/>
      <c r="AQ2655" s="24"/>
      <c r="AR2655" s="54"/>
    </row>
    <row r="2656">
      <c r="A2656" s="57"/>
      <c r="B2656" s="24"/>
      <c r="C2656" s="24"/>
      <c r="D2656" s="24"/>
      <c r="E2656" s="24"/>
      <c r="F2656" s="24"/>
      <c r="G2656" s="24"/>
      <c r="H2656" s="24"/>
      <c r="I2656" s="24"/>
      <c r="J2656" s="24"/>
      <c r="K2656" s="24"/>
      <c r="L2656" s="24"/>
      <c r="M2656" s="24"/>
      <c r="N2656" s="24"/>
      <c r="O2656" s="24"/>
      <c r="P2656" s="24"/>
      <c r="Q2656" s="24"/>
      <c r="R2656" s="24"/>
      <c r="S2656" s="24"/>
      <c r="T2656" s="24"/>
      <c r="U2656" s="24"/>
      <c r="V2656" s="24"/>
      <c r="W2656" s="24"/>
      <c r="X2656" s="24"/>
      <c r="Y2656" s="24"/>
      <c r="Z2656" s="24"/>
      <c r="AA2656" s="24"/>
      <c r="AB2656" s="24"/>
      <c r="AC2656" s="24"/>
      <c r="AD2656" s="24"/>
      <c r="AE2656" s="24"/>
      <c r="AF2656" s="24"/>
      <c r="AG2656" s="24"/>
      <c r="AH2656" s="24"/>
      <c r="AI2656" s="24"/>
      <c r="AJ2656" s="24"/>
      <c r="AK2656" s="24"/>
      <c r="AL2656" s="24"/>
      <c r="AM2656" s="24"/>
      <c r="AN2656" s="24"/>
      <c r="AO2656" s="24"/>
      <c r="AP2656" s="24"/>
      <c r="AQ2656" s="24"/>
      <c r="AR2656" s="54"/>
    </row>
    <row r="2657">
      <c r="A2657" s="57"/>
      <c r="B2657" s="24"/>
      <c r="C2657" s="24"/>
      <c r="D2657" s="24"/>
      <c r="E2657" s="24"/>
      <c r="F2657" s="24"/>
      <c r="G2657" s="24"/>
      <c r="H2657" s="24"/>
      <c r="I2657" s="24"/>
      <c r="J2657" s="24"/>
      <c r="K2657" s="24"/>
      <c r="L2657" s="24"/>
      <c r="M2657" s="24"/>
      <c r="N2657" s="24"/>
      <c r="O2657" s="24"/>
      <c r="P2657" s="24"/>
      <c r="Q2657" s="24"/>
      <c r="R2657" s="24"/>
      <c r="S2657" s="24"/>
      <c r="T2657" s="24"/>
      <c r="U2657" s="24"/>
      <c r="V2657" s="24"/>
      <c r="W2657" s="24"/>
      <c r="X2657" s="24"/>
      <c r="Y2657" s="24"/>
      <c r="Z2657" s="24"/>
      <c r="AA2657" s="24"/>
      <c r="AB2657" s="24"/>
      <c r="AC2657" s="24"/>
      <c r="AD2657" s="24"/>
      <c r="AE2657" s="24"/>
      <c r="AF2657" s="24"/>
      <c r="AG2657" s="24"/>
      <c r="AH2657" s="24"/>
      <c r="AI2657" s="24"/>
      <c r="AJ2657" s="24"/>
      <c r="AK2657" s="24"/>
      <c r="AL2657" s="24"/>
      <c r="AM2657" s="24"/>
      <c r="AN2657" s="24"/>
      <c r="AO2657" s="24"/>
      <c r="AP2657" s="24"/>
      <c r="AQ2657" s="24"/>
      <c r="AR2657" s="54"/>
    </row>
    <row r="2658">
      <c r="A2658" s="57"/>
      <c r="B2658" s="24"/>
      <c r="C2658" s="24"/>
      <c r="D2658" s="24"/>
      <c r="E2658" s="24"/>
      <c r="F2658" s="24"/>
      <c r="G2658" s="24"/>
      <c r="H2658" s="24"/>
      <c r="I2658" s="24"/>
      <c r="J2658" s="24"/>
      <c r="K2658" s="24"/>
      <c r="L2658" s="24"/>
      <c r="M2658" s="24"/>
      <c r="N2658" s="24"/>
      <c r="O2658" s="24"/>
      <c r="P2658" s="24"/>
      <c r="Q2658" s="24"/>
      <c r="R2658" s="24"/>
      <c r="S2658" s="24"/>
      <c r="T2658" s="24"/>
      <c r="U2658" s="24"/>
      <c r="V2658" s="24"/>
      <c r="W2658" s="24"/>
      <c r="X2658" s="24"/>
      <c r="Y2658" s="24"/>
      <c r="Z2658" s="24"/>
      <c r="AA2658" s="24"/>
      <c r="AB2658" s="24"/>
      <c r="AC2658" s="24"/>
      <c r="AD2658" s="24"/>
      <c r="AE2658" s="24"/>
      <c r="AF2658" s="24"/>
      <c r="AG2658" s="24"/>
      <c r="AH2658" s="24"/>
      <c r="AI2658" s="24"/>
      <c r="AJ2658" s="24"/>
      <c r="AK2658" s="24"/>
      <c r="AL2658" s="24"/>
      <c r="AM2658" s="24"/>
      <c r="AN2658" s="24"/>
      <c r="AO2658" s="24"/>
      <c r="AP2658" s="24"/>
      <c r="AQ2658" s="24"/>
      <c r="AR2658" s="54"/>
    </row>
    <row r="2659">
      <c r="A2659" s="57"/>
      <c r="B2659" s="24"/>
      <c r="C2659" s="24"/>
      <c r="D2659" s="24"/>
      <c r="E2659" s="24"/>
      <c r="F2659" s="24"/>
      <c r="G2659" s="24"/>
      <c r="H2659" s="24"/>
      <c r="I2659" s="24"/>
      <c r="J2659" s="24"/>
      <c r="K2659" s="24"/>
      <c r="L2659" s="24"/>
      <c r="M2659" s="24"/>
      <c r="N2659" s="24"/>
      <c r="O2659" s="24"/>
      <c r="P2659" s="24"/>
      <c r="Q2659" s="24"/>
      <c r="R2659" s="24"/>
      <c r="S2659" s="24"/>
      <c r="T2659" s="24"/>
      <c r="U2659" s="24"/>
      <c r="V2659" s="24"/>
      <c r="W2659" s="24"/>
      <c r="X2659" s="24"/>
      <c r="Y2659" s="24"/>
      <c r="Z2659" s="24"/>
      <c r="AA2659" s="24"/>
      <c r="AB2659" s="24"/>
      <c r="AC2659" s="24"/>
      <c r="AD2659" s="24"/>
      <c r="AE2659" s="24"/>
      <c r="AF2659" s="24"/>
      <c r="AG2659" s="24"/>
      <c r="AH2659" s="24"/>
      <c r="AI2659" s="24"/>
      <c r="AJ2659" s="24"/>
      <c r="AK2659" s="24"/>
      <c r="AL2659" s="24"/>
      <c r="AM2659" s="24"/>
      <c r="AN2659" s="24"/>
      <c r="AO2659" s="24"/>
      <c r="AP2659" s="24"/>
      <c r="AQ2659" s="24"/>
      <c r="AR2659" s="54"/>
    </row>
    <row r="2660">
      <c r="A2660" s="57"/>
      <c r="B2660" s="24"/>
      <c r="C2660" s="24"/>
      <c r="D2660" s="24"/>
      <c r="E2660" s="24"/>
      <c r="F2660" s="24"/>
      <c r="G2660" s="24"/>
      <c r="H2660" s="24"/>
      <c r="I2660" s="24"/>
      <c r="J2660" s="24"/>
      <c r="K2660" s="24"/>
      <c r="L2660" s="24"/>
      <c r="M2660" s="24"/>
      <c r="N2660" s="24"/>
      <c r="O2660" s="24"/>
      <c r="P2660" s="24"/>
      <c r="Q2660" s="24"/>
      <c r="R2660" s="24"/>
      <c r="S2660" s="24"/>
      <c r="T2660" s="24"/>
      <c r="U2660" s="24"/>
      <c r="V2660" s="24"/>
      <c r="W2660" s="24"/>
      <c r="X2660" s="24"/>
      <c r="Y2660" s="24"/>
      <c r="Z2660" s="24"/>
      <c r="AA2660" s="24"/>
      <c r="AB2660" s="24"/>
      <c r="AC2660" s="24"/>
      <c r="AD2660" s="24"/>
      <c r="AE2660" s="24"/>
      <c r="AF2660" s="24"/>
      <c r="AG2660" s="24"/>
      <c r="AH2660" s="24"/>
      <c r="AI2660" s="24"/>
      <c r="AJ2660" s="24"/>
      <c r="AK2660" s="24"/>
      <c r="AL2660" s="24"/>
      <c r="AM2660" s="24"/>
      <c r="AN2660" s="24"/>
      <c r="AO2660" s="24"/>
      <c r="AP2660" s="24"/>
      <c r="AQ2660" s="24"/>
      <c r="AR2660" s="54"/>
    </row>
    <row r="2661">
      <c r="A2661" s="57"/>
      <c r="B2661" s="24"/>
      <c r="C2661" s="24"/>
      <c r="D2661" s="24"/>
      <c r="E2661" s="24"/>
      <c r="F2661" s="24"/>
      <c r="G2661" s="24"/>
      <c r="H2661" s="24"/>
      <c r="I2661" s="24"/>
      <c r="J2661" s="24"/>
      <c r="K2661" s="24"/>
      <c r="L2661" s="24"/>
      <c r="M2661" s="24"/>
      <c r="N2661" s="24"/>
      <c r="O2661" s="24"/>
      <c r="P2661" s="24"/>
      <c r="Q2661" s="24"/>
      <c r="R2661" s="24"/>
      <c r="S2661" s="24"/>
      <c r="T2661" s="24"/>
      <c r="U2661" s="24"/>
      <c r="V2661" s="24"/>
      <c r="W2661" s="24"/>
      <c r="X2661" s="24"/>
      <c r="Y2661" s="24"/>
      <c r="Z2661" s="24"/>
      <c r="AA2661" s="24"/>
      <c r="AB2661" s="24"/>
      <c r="AC2661" s="24"/>
      <c r="AD2661" s="24"/>
      <c r="AE2661" s="24"/>
      <c r="AF2661" s="24"/>
      <c r="AG2661" s="24"/>
      <c r="AH2661" s="24"/>
      <c r="AI2661" s="24"/>
      <c r="AJ2661" s="24"/>
      <c r="AK2661" s="24"/>
      <c r="AL2661" s="24"/>
      <c r="AM2661" s="24"/>
      <c r="AN2661" s="24"/>
      <c r="AO2661" s="24"/>
      <c r="AP2661" s="24"/>
      <c r="AQ2661" s="24"/>
      <c r="AR2661" s="54"/>
    </row>
    <row r="2662">
      <c r="A2662" s="57"/>
      <c r="B2662" s="24"/>
      <c r="C2662" s="24"/>
      <c r="D2662" s="24"/>
      <c r="E2662" s="24"/>
      <c r="F2662" s="24"/>
      <c r="G2662" s="24"/>
      <c r="H2662" s="24"/>
      <c r="I2662" s="24"/>
      <c r="J2662" s="24"/>
      <c r="K2662" s="24"/>
      <c r="L2662" s="24"/>
      <c r="M2662" s="24"/>
      <c r="N2662" s="24"/>
      <c r="O2662" s="24"/>
      <c r="P2662" s="24"/>
      <c r="Q2662" s="24"/>
      <c r="R2662" s="24"/>
      <c r="S2662" s="24"/>
      <c r="T2662" s="24"/>
      <c r="U2662" s="24"/>
      <c r="V2662" s="24"/>
      <c r="W2662" s="24"/>
      <c r="X2662" s="24"/>
      <c r="Y2662" s="24"/>
      <c r="Z2662" s="24"/>
      <c r="AA2662" s="24"/>
      <c r="AB2662" s="24"/>
      <c r="AC2662" s="24"/>
      <c r="AD2662" s="24"/>
      <c r="AE2662" s="24"/>
      <c r="AF2662" s="24"/>
      <c r="AG2662" s="24"/>
      <c r="AH2662" s="24"/>
      <c r="AI2662" s="24"/>
      <c r="AJ2662" s="24"/>
      <c r="AK2662" s="24"/>
      <c r="AL2662" s="24"/>
      <c r="AM2662" s="24"/>
      <c r="AN2662" s="24"/>
      <c r="AO2662" s="24"/>
      <c r="AP2662" s="24"/>
      <c r="AQ2662" s="24"/>
      <c r="AR2662" s="54"/>
    </row>
    <row r="2663">
      <c r="A2663" s="57"/>
      <c r="B2663" s="24"/>
      <c r="C2663" s="24"/>
      <c r="D2663" s="24"/>
      <c r="E2663" s="24"/>
      <c r="F2663" s="24"/>
      <c r="G2663" s="24"/>
      <c r="H2663" s="24"/>
      <c r="I2663" s="24"/>
      <c r="J2663" s="24"/>
      <c r="K2663" s="24"/>
      <c r="L2663" s="24"/>
      <c r="M2663" s="24"/>
      <c r="N2663" s="24"/>
      <c r="O2663" s="24"/>
      <c r="P2663" s="24"/>
      <c r="Q2663" s="24"/>
      <c r="R2663" s="24"/>
      <c r="S2663" s="24"/>
      <c r="T2663" s="24"/>
      <c r="U2663" s="24"/>
      <c r="V2663" s="24"/>
      <c r="W2663" s="24"/>
      <c r="X2663" s="24"/>
      <c r="Y2663" s="24"/>
      <c r="Z2663" s="24"/>
      <c r="AA2663" s="24"/>
      <c r="AB2663" s="24"/>
      <c r="AC2663" s="24"/>
      <c r="AD2663" s="24"/>
      <c r="AE2663" s="24"/>
      <c r="AF2663" s="24"/>
      <c r="AG2663" s="24"/>
      <c r="AH2663" s="24"/>
      <c r="AI2663" s="24"/>
      <c r="AJ2663" s="24"/>
      <c r="AK2663" s="24"/>
      <c r="AL2663" s="24"/>
      <c r="AM2663" s="24"/>
      <c r="AN2663" s="24"/>
      <c r="AO2663" s="24"/>
      <c r="AP2663" s="24"/>
      <c r="AQ2663" s="24"/>
      <c r="AR2663" s="54"/>
    </row>
    <row r="2664">
      <c r="A2664" s="57"/>
      <c r="B2664" s="24"/>
      <c r="C2664" s="24"/>
      <c r="D2664" s="24"/>
      <c r="E2664" s="24"/>
      <c r="F2664" s="24"/>
      <c r="G2664" s="24"/>
      <c r="H2664" s="24"/>
      <c r="I2664" s="24"/>
      <c r="J2664" s="24"/>
      <c r="K2664" s="24"/>
      <c r="L2664" s="24"/>
      <c r="M2664" s="24"/>
      <c r="N2664" s="24"/>
      <c r="O2664" s="24"/>
      <c r="P2664" s="24"/>
      <c r="Q2664" s="24"/>
      <c r="R2664" s="24"/>
      <c r="S2664" s="24"/>
      <c r="T2664" s="24"/>
      <c r="U2664" s="24"/>
      <c r="V2664" s="24"/>
      <c r="W2664" s="24"/>
      <c r="X2664" s="24"/>
      <c r="Y2664" s="24"/>
      <c r="Z2664" s="24"/>
      <c r="AA2664" s="24"/>
      <c r="AB2664" s="24"/>
      <c r="AC2664" s="24"/>
      <c r="AD2664" s="24"/>
      <c r="AE2664" s="24"/>
      <c r="AF2664" s="24"/>
      <c r="AG2664" s="24"/>
      <c r="AH2664" s="24"/>
      <c r="AI2664" s="24"/>
      <c r="AJ2664" s="24"/>
      <c r="AK2664" s="24"/>
      <c r="AL2664" s="24"/>
      <c r="AM2664" s="24"/>
      <c r="AN2664" s="24"/>
      <c r="AO2664" s="24"/>
      <c r="AP2664" s="24"/>
      <c r="AQ2664" s="24"/>
      <c r="AR2664" s="54"/>
    </row>
    <row r="2665">
      <c r="A2665" s="57"/>
      <c r="B2665" s="24"/>
      <c r="C2665" s="24"/>
      <c r="D2665" s="24"/>
      <c r="E2665" s="24"/>
      <c r="F2665" s="24"/>
      <c r="G2665" s="24"/>
      <c r="H2665" s="24"/>
      <c r="I2665" s="24"/>
      <c r="J2665" s="24"/>
      <c r="K2665" s="24"/>
      <c r="L2665" s="24"/>
      <c r="M2665" s="24"/>
      <c r="N2665" s="24"/>
      <c r="O2665" s="24"/>
      <c r="P2665" s="24"/>
      <c r="Q2665" s="24"/>
      <c r="R2665" s="24"/>
      <c r="S2665" s="24"/>
      <c r="T2665" s="24"/>
      <c r="U2665" s="24"/>
      <c r="V2665" s="24"/>
      <c r="W2665" s="24"/>
      <c r="X2665" s="24"/>
      <c r="Y2665" s="24"/>
      <c r="Z2665" s="24"/>
      <c r="AA2665" s="24"/>
      <c r="AB2665" s="24"/>
      <c r="AC2665" s="24"/>
      <c r="AD2665" s="24"/>
      <c r="AE2665" s="24"/>
      <c r="AF2665" s="24"/>
      <c r="AG2665" s="24"/>
      <c r="AH2665" s="24"/>
      <c r="AI2665" s="24"/>
      <c r="AJ2665" s="24"/>
      <c r="AK2665" s="24"/>
      <c r="AL2665" s="24"/>
      <c r="AM2665" s="24"/>
      <c r="AN2665" s="24"/>
      <c r="AO2665" s="24"/>
      <c r="AP2665" s="24"/>
      <c r="AQ2665" s="24"/>
      <c r="AR2665" s="54"/>
    </row>
    <row r="2666">
      <c r="A2666" s="57"/>
      <c r="B2666" s="24"/>
      <c r="C2666" s="24"/>
      <c r="D2666" s="24"/>
      <c r="E2666" s="24"/>
      <c r="F2666" s="24"/>
      <c r="G2666" s="24"/>
      <c r="H2666" s="24"/>
      <c r="I2666" s="24"/>
      <c r="J2666" s="24"/>
      <c r="K2666" s="24"/>
      <c r="L2666" s="24"/>
      <c r="M2666" s="24"/>
      <c r="N2666" s="24"/>
      <c r="O2666" s="24"/>
      <c r="P2666" s="24"/>
      <c r="Q2666" s="24"/>
      <c r="R2666" s="24"/>
      <c r="S2666" s="24"/>
      <c r="T2666" s="24"/>
      <c r="U2666" s="24"/>
      <c r="V2666" s="24"/>
      <c r="W2666" s="24"/>
      <c r="X2666" s="24"/>
      <c r="Y2666" s="24"/>
      <c r="Z2666" s="24"/>
      <c r="AA2666" s="24"/>
      <c r="AB2666" s="24"/>
      <c r="AC2666" s="24"/>
      <c r="AD2666" s="24"/>
      <c r="AE2666" s="24"/>
      <c r="AF2666" s="24"/>
      <c r="AG2666" s="24"/>
      <c r="AH2666" s="24"/>
      <c r="AI2666" s="24"/>
      <c r="AJ2666" s="24"/>
      <c r="AK2666" s="24"/>
      <c r="AL2666" s="24"/>
      <c r="AM2666" s="24"/>
      <c r="AN2666" s="24"/>
      <c r="AO2666" s="24"/>
      <c r="AP2666" s="24"/>
      <c r="AQ2666" s="24"/>
      <c r="AR2666" s="54"/>
    </row>
    <row r="2667">
      <c r="A2667" s="57"/>
      <c r="B2667" s="24"/>
      <c r="C2667" s="24"/>
      <c r="D2667" s="24"/>
      <c r="E2667" s="24"/>
      <c r="F2667" s="24"/>
      <c r="G2667" s="24"/>
      <c r="H2667" s="24"/>
      <c r="I2667" s="24"/>
      <c r="J2667" s="24"/>
      <c r="K2667" s="24"/>
      <c r="L2667" s="24"/>
      <c r="M2667" s="24"/>
      <c r="N2667" s="24"/>
      <c r="O2667" s="24"/>
      <c r="P2667" s="24"/>
      <c r="Q2667" s="24"/>
      <c r="R2667" s="24"/>
      <c r="S2667" s="24"/>
      <c r="T2667" s="24"/>
      <c r="U2667" s="24"/>
      <c r="V2667" s="24"/>
      <c r="W2667" s="24"/>
      <c r="X2667" s="24"/>
      <c r="Y2667" s="24"/>
      <c r="Z2667" s="24"/>
      <c r="AA2667" s="24"/>
      <c r="AB2667" s="24"/>
      <c r="AC2667" s="24"/>
      <c r="AD2667" s="24"/>
      <c r="AE2667" s="24"/>
      <c r="AF2667" s="24"/>
      <c r="AG2667" s="24"/>
      <c r="AH2667" s="24"/>
      <c r="AI2667" s="24"/>
      <c r="AJ2667" s="24"/>
      <c r="AK2667" s="24"/>
      <c r="AL2667" s="24"/>
      <c r="AM2667" s="24"/>
      <c r="AN2667" s="24"/>
      <c r="AO2667" s="24"/>
      <c r="AP2667" s="24"/>
      <c r="AQ2667" s="24"/>
      <c r="AR2667" s="54"/>
    </row>
    <row r="2668">
      <c r="A2668" s="57"/>
      <c r="B2668" s="24"/>
      <c r="C2668" s="24"/>
      <c r="D2668" s="24"/>
      <c r="E2668" s="24"/>
      <c r="F2668" s="24"/>
      <c r="G2668" s="24"/>
      <c r="H2668" s="24"/>
      <c r="I2668" s="24"/>
      <c r="J2668" s="24"/>
      <c r="K2668" s="24"/>
      <c r="L2668" s="24"/>
      <c r="M2668" s="24"/>
      <c r="N2668" s="24"/>
      <c r="O2668" s="24"/>
      <c r="P2668" s="24"/>
      <c r="Q2668" s="24"/>
      <c r="R2668" s="24"/>
      <c r="S2668" s="24"/>
      <c r="T2668" s="24"/>
      <c r="U2668" s="24"/>
      <c r="V2668" s="24"/>
      <c r="W2668" s="24"/>
      <c r="X2668" s="24"/>
      <c r="Y2668" s="24"/>
      <c r="Z2668" s="24"/>
      <c r="AA2668" s="24"/>
      <c r="AB2668" s="24"/>
      <c r="AC2668" s="24"/>
      <c r="AD2668" s="24"/>
      <c r="AE2668" s="24"/>
      <c r="AF2668" s="24"/>
      <c r="AG2668" s="24"/>
      <c r="AH2668" s="24"/>
      <c r="AI2668" s="24"/>
      <c r="AJ2668" s="24"/>
      <c r="AK2668" s="24"/>
      <c r="AL2668" s="24"/>
      <c r="AM2668" s="24"/>
      <c r="AN2668" s="24"/>
      <c r="AO2668" s="24"/>
      <c r="AP2668" s="24"/>
      <c r="AQ2668" s="24"/>
      <c r="AR2668" s="54"/>
    </row>
    <row r="2669">
      <c r="A2669" s="57"/>
      <c r="B2669" s="24"/>
      <c r="C2669" s="24"/>
      <c r="D2669" s="24"/>
      <c r="E2669" s="24"/>
      <c r="F2669" s="24"/>
      <c r="G2669" s="24"/>
      <c r="H2669" s="24"/>
      <c r="I2669" s="24"/>
      <c r="J2669" s="24"/>
      <c r="K2669" s="24"/>
      <c r="L2669" s="24"/>
      <c r="M2669" s="24"/>
      <c r="N2669" s="24"/>
      <c r="O2669" s="24"/>
      <c r="P2669" s="24"/>
      <c r="Q2669" s="24"/>
      <c r="R2669" s="24"/>
      <c r="S2669" s="24"/>
      <c r="T2669" s="24"/>
      <c r="U2669" s="24"/>
      <c r="V2669" s="24"/>
      <c r="W2669" s="24"/>
      <c r="X2669" s="24"/>
      <c r="Y2669" s="24"/>
      <c r="Z2669" s="24"/>
      <c r="AA2669" s="24"/>
      <c r="AB2669" s="24"/>
      <c r="AC2669" s="24"/>
      <c r="AD2669" s="24"/>
      <c r="AE2669" s="24"/>
      <c r="AF2669" s="24"/>
      <c r="AG2669" s="24"/>
      <c r="AH2669" s="24"/>
      <c r="AI2669" s="24"/>
      <c r="AJ2669" s="24"/>
      <c r="AK2669" s="24"/>
      <c r="AL2669" s="24"/>
      <c r="AM2669" s="24"/>
      <c r="AN2669" s="24"/>
      <c r="AO2669" s="24"/>
      <c r="AP2669" s="24"/>
      <c r="AQ2669" s="24"/>
      <c r="AR2669" s="54"/>
    </row>
    <row r="2670">
      <c r="A2670" s="57"/>
      <c r="B2670" s="24"/>
      <c r="C2670" s="24"/>
      <c r="D2670" s="24"/>
      <c r="E2670" s="24"/>
      <c r="F2670" s="24"/>
      <c r="G2670" s="24"/>
      <c r="H2670" s="24"/>
      <c r="I2670" s="24"/>
      <c r="J2670" s="24"/>
      <c r="K2670" s="24"/>
      <c r="L2670" s="24"/>
      <c r="M2670" s="24"/>
      <c r="N2670" s="24"/>
      <c r="O2670" s="24"/>
      <c r="P2670" s="24"/>
      <c r="Q2670" s="24"/>
      <c r="R2670" s="24"/>
      <c r="S2670" s="24"/>
      <c r="T2670" s="24"/>
      <c r="U2670" s="24"/>
      <c r="V2670" s="24"/>
      <c r="W2670" s="24"/>
      <c r="X2670" s="24"/>
      <c r="Y2670" s="24"/>
      <c r="Z2670" s="24"/>
      <c r="AA2670" s="24"/>
      <c r="AB2670" s="24"/>
      <c r="AC2670" s="24"/>
      <c r="AD2670" s="24"/>
      <c r="AE2670" s="24"/>
      <c r="AF2670" s="24"/>
      <c r="AG2670" s="24"/>
      <c r="AH2670" s="24"/>
      <c r="AI2670" s="24"/>
      <c r="AJ2670" s="24"/>
      <c r="AK2670" s="24"/>
      <c r="AL2670" s="24"/>
      <c r="AM2670" s="24"/>
      <c r="AN2670" s="24"/>
      <c r="AO2670" s="24"/>
      <c r="AP2670" s="24"/>
      <c r="AQ2670" s="24"/>
      <c r="AR2670" s="54"/>
    </row>
    <row r="2671">
      <c r="A2671" s="57"/>
      <c r="B2671" s="24"/>
      <c r="C2671" s="24"/>
      <c r="D2671" s="24"/>
      <c r="E2671" s="24"/>
      <c r="F2671" s="24"/>
      <c r="G2671" s="24"/>
      <c r="H2671" s="24"/>
      <c r="I2671" s="24"/>
      <c r="J2671" s="24"/>
      <c r="K2671" s="24"/>
      <c r="L2671" s="24"/>
      <c r="M2671" s="24"/>
      <c r="N2671" s="24"/>
      <c r="O2671" s="24"/>
      <c r="P2671" s="24"/>
      <c r="Q2671" s="24"/>
      <c r="R2671" s="24"/>
      <c r="S2671" s="24"/>
      <c r="T2671" s="24"/>
      <c r="U2671" s="24"/>
      <c r="V2671" s="24"/>
      <c r="W2671" s="24"/>
      <c r="X2671" s="24"/>
      <c r="Y2671" s="24"/>
      <c r="Z2671" s="24"/>
      <c r="AA2671" s="24"/>
      <c r="AB2671" s="24"/>
      <c r="AC2671" s="24"/>
      <c r="AD2671" s="24"/>
      <c r="AE2671" s="24"/>
      <c r="AF2671" s="24"/>
      <c r="AG2671" s="24"/>
      <c r="AH2671" s="24"/>
      <c r="AI2671" s="24"/>
      <c r="AJ2671" s="24"/>
      <c r="AK2671" s="24"/>
      <c r="AL2671" s="24"/>
      <c r="AM2671" s="24"/>
      <c r="AN2671" s="24"/>
      <c r="AO2671" s="24"/>
      <c r="AP2671" s="24"/>
      <c r="AQ2671" s="24"/>
      <c r="AR2671" s="54"/>
    </row>
    <row r="2672">
      <c r="A2672" s="57"/>
      <c r="B2672" s="24"/>
      <c r="C2672" s="24"/>
      <c r="D2672" s="24"/>
      <c r="E2672" s="24"/>
      <c r="F2672" s="24"/>
      <c r="G2672" s="24"/>
      <c r="H2672" s="24"/>
      <c r="I2672" s="24"/>
      <c r="J2672" s="24"/>
      <c r="K2672" s="24"/>
      <c r="L2672" s="24"/>
      <c r="M2672" s="24"/>
      <c r="N2672" s="24"/>
      <c r="O2672" s="24"/>
      <c r="P2672" s="24"/>
      <c r="Q2672" s="24"/>
      <c r="R2672" s="24"/>
      <c r="S2672" s="24"/>
      <c r="T2672" s="24"/>
      <c r="U2672" s="24"/>
      <c r="V2672" s="24"/>
      <c r="W2672" s="24"/>
      <c r="X2672" s="24"/>
      <c r="Y2672" s="24"/>
      <c r="Z2672" s="24"/>
      <c r="AA2672" s="24"/>
      <c r="AB2672" s="24"/>
      <c r="AC2672" s="24"/>
      <c r="AD2672" s="24"/>
      <c r="AE2672" s="24"/>
      <c r="AF2672" s="24"/>
      <c r="AG2672" s="24"/>
      <c r="AH2672" s="24"/>
      <c r="AI2672" s="24"/>
      <c r="AJ2672" s="24"/>
      <c r="AK2672" s="24"/>
      <c r="AL2672" s="24"/>
      <c r="AM2672" s="24"/>
      <c r="AN2672" s="24"/>
      <c r="AO2672" s="24"/>
      <c r="AP2672" s="24"/>
      <c r="AQ2672" s="24"/>
      <c r="AR2672" s="54"/>
    </row>
    <row r="2673">
      <c r="A2673" s="57"/>
      <c r="B2673" s="24"/>
      <c r="C2673" s="24"/>
      <c r="D2673" s="24"/>
      <c r="E2673" s="24"/>
      <c r="F2673" s="24"/>
      <c r="G2673" s="24"/>
      <c r="H2673" s="24"/>
      <c r="I2673" s="24"/>
      <c r="J2673" s="24"/>
      <c r="K2673" s="24"/>
      <c r="L2673" s="24"/>
      <c r="M2673" s="24"/>
      <c r="N2673" s="24"/>
      <c r="O2673" s="24"/>
      <c r="P2673" s="24"/>
      <c r="Q2673" s="24"/>
      <c r="R2673" s="24"/>
      <c r="S2673" s="24"/>
      <c r="T2673" s="24"/>
      <c r="U2673" s="24"/>
      <c r="V2673" s="24"/>
      <c r="W2673" s="24"/>
      <c r="X2673" s="24"/>
      <c r="Y2673" s="24"/>
      <c r="Z2673" s="24"/>
      <c r="AA2673" s="24"/>
      <c r="AB2673" s="24"/>
      <c r="AC2673" s="24"/>
      <c r="AD2673" s="24"/>
      <c r="AE2673" s="24"/>
      <c r="AF2673" s="24"/>
      <c r="AG2673" s="24"/>
      <c r="AH2673" s="24"/>
      <c r="AI2673" s="24"/>
      <c r="AJ2673" s="24"/>
      <c r="AK2673" s="24"/>
      <c r="AL2673" s="24"/>
      <c r="AM2673" s="24"/>
      <c r="AN2673" s="24"/>
      <c r="AO2673" s="24"/>
      <c r="AP2673" s="24"/>
      <c r="AQ2673" s="24"/>
      <c r="AR2673" s="54"/>
    </row>
    <row r="2674">
      <c r="A2674" s="57"/>
      <c r="B2674" s="24"/>
      <c r="C2674" s="24"/>
      <c r="D2674" s="24"/>
      <c r="E2674" s="24"/>
      <c r="F2674" s="24"/>
      <c r="G2674" s="24"/>
      <c r="H2674" s="24"/>
      <c r="I2674" s="24"/>
      <c r="J2674" s="24"/>
      <c r="K2674" s="24"/>
      <c r="L2674" s="24"/>
      <c r="M2674" s="24"/>
      <c r="N2674" s="24"/>
      <c r="O2674" s="24"/>
      <c r="P2674" s="24"/>
      <c r="Q2674" s="24"/>
      <c r="R2674" s="24"/>
      <c r="S2674" s="24"/>
      <c r="T2674" s="24"/>
      <c r="U2674" s="24"/>
      <c r="V2674" s="24"/>
      <c r="W2674" s="24"/>
      <c r="X2674" s="24"/>
      <c r="Y2674" s="24"/>
      <c r="Z2674" s="24"/>
      <c r="AA2674" s="24"/>
      <c r="AB2674" s="24"/>
      <c r="AC2674" s="24"/>
      <c r="AD2674" s="24"/>
      <c r="AE2674" s="24"/>
      <c r="AF2674" s="24"/>
      <c r="AG2674" s="24"/>
      <c r="AH2674" s="24"/>
      <c r="AI2674" s="24"/>
      <c r="AJ2674" s="24"/>
      <c r="AK2674" s="24"/>
      <c r="AL2674" s="24"/>
      <c r="AM2674" s="24"/>
      <c r="AN2674" s="24"/>
      <c r="AO2674" s="24"/>
      <c r="AP2674" s="24"/>
      <c r="AQ2674" s="24"/>
      <c r="AR2674" s="54"/>
    </row>
    <row r="2675">
      <c r="A2675" s="57"/>
      <c r="B2675" s="24"/>
      <c r="C2675" s="24"/>
      <c r="D2675" s="24"/>
      <c r="E2675" s="24"/>
      <c r="F2675" s="24"/>
      <c r="G2675" s="24"/>
      <c r="H2675" s="24"/>
      <c r="I2675" s="24"/>
      <c r="J2675" s="24"/>
      <c r="K2675" s="24"/>
      <c r="L2675" s="24"/>
      <c r="M2675" s="24"/>
      <c r="N2675" s="24"/>
      <c r="O2675" s="24"/>
      <c r="P2675" s="24"/>
      <c r="Q2675" s="24"/>
      <c r="R2675" s="24"/>
      <c r="S2675" s="24"/>
      <c r="T2675" s="24"/>
      <c r="U2675" s="24"/>
      <c r="V2675" s="24"/>
      <c r="W2675" s="24"/>
      <c r="X2675" s="24"/>
      <c r="Y2675" s="24"/>
      <c r="Z2675" s="24"/>
      <c r="AA2675" s="24"/>
      <c r="AB2675" s="24"/>
      <c r="AC2675" s="24"/>
      <c r="AD2675" s="24"/>
      <c r="AE2675" s="24"/>
      <c r="AF2675" s="24"/>
      <c r="AG2675" s="24"/>
      <c r="AH2675" s="24"/>
      <c r="AI2675" s="24"/>
      <c r="AJ2675" s="24"/>
      <c r="AK2675" s="24"/>
      <c r="AL2675" s="24"/>
      <c r="AM2675" s="24"/>
      <c r="AN2675" s="24"/>
      <c r="AO2675" s="24"/>
      <c r="AP2675" s="24"/>
      <c r="AQ2675" s="24"/>
      <c r="AR2675" s="54"/>
    </row>
    <row r="2676">
      <c r="A2676" s="57"/>
      <c r="B2676" s="24"/>
      <c r="C2676" s="24"/>
      <c r="D2676" s="24"/>
      <c r="E2676" s="24"/>
      <c r="F2676" s="24"/>
      <c r="G2676" s="24"/>
      <c r="H2676" s="24"/>
      <c r="I2676" s="24"/>
      <c r="J2676" s="24"/>
      <c r="K2676" s="24"/>
      <c r="L2676" s="24"/>
      <c r="M2676" s="24"/>
      <c r="N2676" s="24"/>
      <c r="O2676" s="24"/>
      <c r="P2676" s="24"/>
      <c r="Q2676" s="24"/>
      <c r="R2676" s="24"/>
      <c r="S2676" s="24"/>
      <c r="T2676" s="24"/>
      <c r="U2676" s="24"/>
      <c r="V2676" s="24"/>
      <c r="W2676" s="24"/>
      <c r="X2676" s="24"/>
      <c r="Y2676" s="24"/>
      <c r="Z2676" s="24"/>
      <c r="AA2676" s="24"/>
      <c r="AB2676" s="24"/>
      <c r="AC2676" s="24"/>
      <c r="AD2676" s="24"/>
      <c r="AE2676" s="24"/>
      <c r="AF2676" s="24"/>
      <c r="AG2676" s="24"/>
      <c r="AH2676" s="24"/>
      <c r="AI2676" s="24"/>
      <c r="AJ2676" s="24"/>
      <c r="AK2676" s="24"/>
      <c r="AL2676" s="24"/>
      <c r="AM2676" s="24"/>
      <c r="AN2676" s="24"/>
      <c r="AO2676" s="24"/>
      <c r="AP2676" s="24"/>
      <c r="AQ2676" s="24"/>
      <c r="AR2676" s="54"/>
    </row>
    <row r="2677">
      <c r="A2677" s="57"/>
      <c r="B2677" s="24"/>
      <c r="C2677" s="24"/>
      <c r="D2677" s="24"/>
      <c r="E2677" s="24"/>
      <c r="F2677" s="24"/>
      <c r="G2677" s="24"/>
      <c r="H2677" s="24"/>
      <c r="I2677" s="24"/>
      <c r="J2677" s="24"/>
      <c r="K2677" s="24"/>
      <c r="L2677" s="24"/>
      <c r="M2677" s="24"/>
      <c r="N2677" s="24"/>
      <c r="O2677" s="24"/>
      <c r="P2677" s="24"/>
      <c r="Q2677" s="24"/>
      <c r="R2677" s="24"/>
      <c r="S2677" s="24"/>
      <c r="T2677" s="24"/>
      <c r="U2677" s="24"/>
      <c r="V2677" s="24"/>
      <c r="W2677" s="24"/>
      <c r="X2677" s="24"/>
      <c r="Y2677" s="24"/>
      <c r="Z2677" s="24"/>
      <c r="AA2677" s="24"/>
      <c r="AB2677" s="24"/>
      <c r="AC2677" s="24"/>
      <c r="AD2677" s="24"/>
      <c r="AE2677" s="24"/>
      <c r="AF2677" s="24"/>
      <c r="AG2677" s="24"/>
      <c r="AH2677" s="24"/>
      <c r="AI2677" s="24"/>
      <c r="AJ2677" s="24"/>
      <c r="AK2677" s="24"/>
      <c r="AL2677" s="24"/>
      <c r="AM2677" s="24"/>
      <c r="AN2677" s="24"/>
      <c r="AO2677" s="24"/>
      <c r="AP2677" s="24"/>
      <c r="AQ2677" s="24"/>
      <c r="AR2677" s="54"/>
    </row>
    <row r="2678">
      <c r="A2678" s="57"/>
      <c r="B2678" s="24"/>
      <c r="C2678" s="24"/>
      <c r="D2678" s="24"/>
      <c r="E2678" s="24"/>
      <c r="F2678" s="24"/>
      <c r="G2678" s="24"/>
      <c r="H2678" s="24"/>
      <c r="I2678" s="24"/>
      <c r="J2678" s="24"/>
      <c r="K2678" s="24"/>
      <c r="L2678" s="24"/>
      <c r="M2678" s="24"/>
      <c r="N2678" s="24"/>
      <c r="O2678" s="24"/>
      <c r="P2678" s="24"/>
      <c r="Q2678" s="24"/>
      <c r="R2678" s="24"/>
      <c r="S2678" s="24"/>
      <c r="T2678" s="24"/>
      <c r="U2678" s="24"/>
      <c r="V2678" s="24"/>
      <c r="W2678" s="24"/>
      <c r="X2678" s="24"/>
      <c r="Y2678" s="24"/>
      <c r="Z2678" s="24"/>
      <c r="AA2678" s="24"/>
      <c r="AB2678" s="24"/>
      <c r="AC2678" s="24"/>
      <c r="AD2678" s="24"/>
      <c r="AE2678" s="24"/>
      <c r="AF2678" s="24"/>
      <c r="AG2678" s="24"/>
      <c r="AH2678" s="24"/>
      <c r="AI2678" s="24"/>
      <c r="AJ2678" s="24"/>
      <c r="AK2678" s="24"/>
      <c r="AL2678" s="24"/>
      <c r="AM2678" s="24"/>
      <c r="AN2678" s="24"/>
      <c r="AO2678" s="24"/>
      <c r="AP2678" s="24"/>
      <c r="AQ2678" s="24"/>
      <c r="AR2678" s="54"/>
    </row>
    <row r="2679">
      <c r="A2679" s="57"/>
      <c r="B2679" s="24"/>
      <c r="C2679" s="24"/>
      <c r="D2679" s="24"/>
      <c r="E2679" s="24"/>
      <c r="F2679" s="24"/>
      <c r="G2679" s="24"/>
      <c r="H2679" s="24"/>
      <c r="I2679" s="24"/>
      <c r="J2679" s="24"/>
      <c r="K2679" s="24"/>
      <c r="L2679" s="24"/>
      <c r="M2679" s="24"/>
      <c r="N2679" s="24"/>
      <c r="O2679" s="24"/>
      <c r="P2679" s="24"/>
      <c r="Q2679" s="24"/>
      <c r="R2679" s="24"/>
      <c r="S2679" s="24"/>
      <c r="T2679" s="24"/>
      <c r="U2679" s="24"/>
      <c r="V2679" s="24"/>
      <c r="W2679" s="24"/>
      <c r="X2679" s="24"/>
      <c r="Y2679" s="24"/>
      <c r="Z2679" s="24"/>
      <c r="AA2679" s="24"/>
      <c r="AB2679" s="24"/>
      <c r="AC2679" s="24"/>
      <c r="AD2679" s="24"/>
      <c r="AE2679" s="24"/>
      <c r="AF2679" s="24"/>
      <c r="AG2679" s="24"/>
      <c r="AH2679" s="24"/>
      <c r="AI2679" s="24"/>
      <c r="AJ2679" s="24"/>
      <c r="AK2679" s="24"/>
      <c r="AL2679" s="24"/>
      <c r="AM2679" s="24"/>
      <c r="AN2679" s="24"/>
      <c r="AO2679" s="24"/>
      <c r="AP2679" s="24"/>
      <c r="AQ2679" s="24"/>
      <c r="AR2679" s="54"/>
    </row>
    <row r="2680">
      <c r="A2680" s="57"/>
      <c r="B2680" s="24"/>
      <c r="C2680" s="24"/>
      <c r="D2680" s="24"/>
      <c r="E2680" s="24"/>
      <c r="F2680" s="24"/>
      <c r="G2680" s="24"/>
      <c r="H2680" s="24"/>
      <c r="I2680" s="24"/>
      <c r="J2680" s="24"/>
      <c r="K2680" s="24"/>
      <c r="L2680" s="24"/>
      <c r="M2680" s="24"/>
      <c r="N2680" s="24"/>
      <c r="O2680" s="24"/>
      <c r="P2680" s="24"/>
      <c r="Q2680" s="24"/>
      <c r="R2680" s="24"/>
      <c r="S2680" s="24"/>
      <c r="T2680" s="24"/>
      <c r="U2680" s="24"/>
      <c r="V2680" s="24"/>
      <c r="W2680" s="24"/>
      <c r="X2680" s="24"/>
      <c r="Y2680" s="24"/>
      <c r="Z2680" s="24"/>
      <c r="AA2680" s="24"/>
      <c r="AB2680" s="24"/>
      <c r="AC2680" s="24"/>
      <c r="AD2680" s="24"/>
      <c r="AE2680" s="24"/>
      <c r="AF2680" s="24"/>
      <c r="AG2680" s="24"/>
      <c r="AH2680" s="24"/>
      <c r="AI2680" s="24"/>
      <c r="AJ2680" s="24"/>
      <c r="AK2680" s="24"/>
      <c r="AL2680" s="24"/>
      <c r="AM2680" s="24"/>
      <c r="AN2680" s="24"/>
      <c r="AO2680" s="24"/>
      <c r="AP2680" s="24"/>
      <c r="AQ2680" s="24"/>
      <c r="AR2680" s="54"/>
    </row>
    <row r="2681">
      <c r="A2681" s="57"/>
      <c r="B2681" s="24"/>
      <c r="C2681" s="24"/>
      <c r="D2681" s="24"/>
      <c r="E2681" s="24"/>
      <c r="F2681" s="24"/>
      <c r="G2681" s="24"/>
      <c r="H2681" s="24"/>
      <c r="I2681" s="24"/>
      <c r="J2681" s="24"/>
      <c r="K2681" s="24"/>
      <c r="L2681" s="24"/>
      <c r="M2681" s="24"/>
      <c r="N2681" s="24"/>
      <c r="O2681" s="24"/>
      <c r="P2681" s="24"/>
      <c r="Q2681" s="24"/>
      <c r="R2681" s="24"/>
      <c r="S2681" s="24"/>
      <c r="T2681" s="24"/>
      <c r="U2681" s="24"/>
      <c r="V2681" s="24"/>
      <c r="W2681" s="24"/>
      <c r="X2681" s="24"/>
      <c r="Y2681" s="24"/>
      <c r="Z2681" s="24"/>
      <c r="AA2681" s="24"/>
      <c r="AB2681" s="24"/>
      <c r="AC2681" s="24"/>
      <c r="AD2681" s="24"/>
      <c r="AE2681" s="24"/>
      <c r="AF2681" s="24"/>
      <c r="AG2681" s="24"/>
      <c r="AH2681" s="24"/>
      <c r="AI2681" s="24"/>
      <c r="AJ2681" s="24"/>
      <c r="AK2681" s="24"/>
      <c r="AL2681" s="24"/>
      <c r="AM2681" s="24"/>
      <c r="AN2681" s="24"/>
      <c r="AO2681" s="24"/>
      <c r="AP2681" s="24"/>
      <c r="AQ2681" s="24"/>
      <c r="AR2681" s="54"/>
    </row>
    <row r="2682">
      <c r="A2682" s="57"/>
      <c r="B2682" s="24"/>
      <c r="C2682" s="24"/>
      <c r="D2682" s="24"/>
      <c r="E2682" s="24"/>
      <c r="F2682" s="24"/>
      <c r="G2682" s="24"/>
      <c r="H2682" s="24"/>
      <c r="I2682" s="24"/>
      <c r="J2682" s="24"/>
      <c r="K2682" s="24"/>
      <c r="L2682" s="24"/>
      <c r="M2682" s="24"/>
      <c r="N2682" s="24"/>
      <c r="O2682" s="24"/>
      <c r="P2682" s="24"/>
      <c r="Q2682" s="24"/>
      <c r="R2682" s="24"/>
      <c r="S2682" s="24"/>
      <c r="T2682" s="24"/>
      <c r="U2682" s="24"/>
      <c r="V2682" s="24"/>
      <c r="W2682" s="24"/>
      <c r="X2682" s="24"/>
      <c r="Y2682" s="24"/>
      <c r="Z2682" s="24"/>
      <c r="AA2682" s="24"/>
      <c r="AB2682" s="24"/>
      <c r="AC2682" s="24"/>
      <c r="AD2682" s="24"/>
      <c r="AE2682" s="24"/>
      <c r="AF2682" s="24"/>
      <c r="AG2682" s="24"/>
      <c r="AH2682" s="24"/>
      <c r="AI2682" s="24"/>
      <c r="AJ2682" s="24"/>
      <c r="AK2682" s="24"/>
      <c r="AL2682" s="24"/>
      <c r="AM2682" s="24"/>
      <c r="AN2682" s="24"/>
      <c r="AO2682" s="24"/>
      <c r="AP2682" s="24"/>
      <c r="AQ2682" s="24"/>
      <c r="AR2682" s="54"/>
    </row>
    <row r="2683">
      <c r="A2683" s="57"/>
      <c r="B2683" s="24"/>
      <c r="C2683" s="24"/>
      <c r="D2683" s="24"/>
      <c r="E2683" s="24"/>
      <c r="F2683" s="24"/>
      <c r="G2683" s="24"/>
      <c r="H2683" s="24"/>
      <c r="I2683" s="24"/>
      <c r="J2683" s="24"/>
      <c r="K2683" s="24"/>
      <c r="L2683" s="24"/>
      <c r="M2683" s="24"/>
      <c r="N2683" s="24"/>
      <c r="O2683" s="24"/>
      <c r="P2683" s="24"/>
      <c r="Q2683" s="24"/>
      <c r="R2683" s="24"/>
      <c r="S2683" s="24"/>
      <c r="T2683" s="24"/>
      <c r="U2683" s="24"/>
      <c r="V2683" s="24"/>
      <c r="W2683" s="24"/>
      <c r="X2683" s="24"/>
      <c r="Y2683" s="24"/>
      <c r="Z2683" s="24"/>
      <c r="AA2683" s="24"/>
      <c r="AB2683" s="24"/>
      <c r="AC2683" s="24"/>
      <c r="AD2683" s="24"/>
      <c r="AE2683" s="24"/>
      <c r="AF2683" s="24"/>
      <c r="AG2683" s="24"/>
      <c r="AH2683" s="24"/>
      <c r="AI2683" s="24"/>
      <c r="AJ2683" s="24"/>
      <c r="AK2683" s="24"/>
      <c r="AL2683" s="24"/>
      <c r="AM2683" s="24"/>
      <c r="AN2683" s="24"/>
      <c r="AO2683" s="24"/>
      <c r="AP2683" s="24"/>
      <c r="AQ2683" s="24"/>
      <c r="AR2683" s="54"/>
    </row>
    <row r="2684">
      <c r="A2684" s="57"/>
      <c r="B2684" s="24"/>
      <c r="C2684" s="24"/>
      <c r="D2684" s="24"/>
      <c r="E2684" s="24"/>
      <c r="F2684" s="24"/>
      <c r="G2684" s="24"/>
      <c r="H2684" s="24"/>
      <c r="I2684" s="24"/>
      <c r="J2684" s="24"/>
      <c r="K2684" s="24"/>
      <c r="L2684" s="24"/>
      <c r="M2684" s="24"/>
      <c r="N2684" s="24"/>
      <c r="O2684" s="24"/>
      <c r="P2684" s="24"/>
      <c r="Q2684" s="24"/>
      <c r="R2684" s="24"/>
      <c r="S2684" s="24"/>
      <c r="T2684" s="24"/>
      <c r="U2684" s="24"/>
      <c r="V2684" s="24"/>
      <c r="W2684" s="24"/>
      <c r="X2684" s="24"/>
      <c r="Y2684" s="24"/>
      <c r="Z2684" s="24"/>
      <c r="AA2684" s="24"/>
      <c r="AB2684" s="24"/>
      <c r="AC2684" s="24"/>
      <c r="AD2684" s="24"/>
      <c r="AE2684" s="24"/>
      <c r="AF2684" s="24"/>
      <c r="AG2684" s="24"/>
      <c r="AH2684" s="24"/>
      <c r="AI2684" s="24"/>
      <c r="AJ2684" s="24"/>
      <c r="AK2684" s="24"/>
      <c r="AL2684" s="24"/>
      <c r="AM2684" s="24"/>
      <c r="AN2684" s="24"/>
      <c r="AO2684" s="24"/>
      <c r="AP2684" s="24"/>
      <c r="AQ2684" s="24"/>
      <c r="AR2684" s="54"/>
    </row>
    <row r="2685">
      <c r="A2685" s="57"/>
      <c r="B2685" s="24"/>
      <c r="C2685" s="24"/>
      <c r="D2685" s="24"/>
      <c r="E2685" s="24"/>
      <c r="F2685" s="24"/>
      <c r="G2685" s="24"/>
      <c r="H2685" s="24"/>
      <c r="I2685" s="24"/>
      <c r="J2685" s="24"/>
      <c r="K2685" s="24"/>
      <c r="L2685" s="24"/>
      <c r="M2685" s="24"/>
      <c r="N2685" s="24"/>
      <c r="O2685" s="24"/>
      <c r="P2685" s="24"/>
      <c r="Q2685" s="24"/>
      <c r="R2685" s="24"/>
      <c r="S2685" s="24"/>
      <c r="T2685" s="24"/>
      <c r="U2685" s="24"/>
      <c r="V2685" s="24"/>
      <c r="W2685" s="24"/>
      <c r="X2685" s="24"/>
      <c r="Y2685" s="24"/>
      <c r="Z2685" s="24"/>
      <c r="AA2685" s="24"/>
      <c r="AB2685" s="24"/>
      <c r="AC2685" s="24"/>
      <c r="AD2685" s="24"/>
      <c r="AE2685" s="24"/>
      <c r="AF2685" s="24"/>
      <c r="AG2685" s="24"/>
      <c r="AH2685" s="24"/>
      <c r="AI2685" s="24"/>
      <c r="AJ2685" s="24"/>
      <c r="AK2685" s="24"/>
      <c r="AL2685" s="24"/>
      <c r="AM2685" s="24"/>
      <c r="AN2685" s="24"/>
      <c r="AO2685" s="24"/>
      <c r="AP2685" s="24"/>
      <c r="AQ2685" s="24"/>
      <c r="AR2685" s="54"/>
    </row>
    <row r="2686">
      <c r="A2686" s="57"/>
      <c r="B2686" s="24"/>
      <c r="C2686" s="24"/>
      <c r="D2686" s="24"/>
      <c r="E2686" s="24"/>
      <c r="F2686" s="24"/>
      <c r="G2686" s="24"/>
      <c r="H2686" s="24"/>
      <c r="I2686" s="24"/>
      <c r="J2686" s="24"/>
      <c r="K2686" s="24"/>
      <c r="L2686" s="24"/>
      <c r="M2686" s="24"/>
      <c r="N2686" s="24"/>
      <c r="O2686" s="24"/>
      <c r="P2686" s="24"/>
      <c r="Q2686" s="24"/>
      <c r="R2686" s="24"/>
      <c r="S2686" s="24"/>
      <c r="T2686" s="24"/>
      <c r="U2686" s="24"/>
      <c r="V2686" s="24"/>
      <c r="W2686" s="24"/>
      <c r="X2686" s="24"/>
      <c r="Y2686" s="24"/>
      <c r="Z2686" s="24"/>
      <c r="AA2686" s="24"/>
      <c r="AB2686" s="24"/>
      <c r="AC2686" s="24"/>
      <c r="AD2686" s="24"/>
      <c r="AE2686" s="24"/>
      <c r="AF2686" s="24"/>
      <c r="AG2686" s="24"/>
      <c r="AH2686" s="24"/>
      <c r="AI2686" s="24"/>
      <c r="AJ2686" s="24"/>
      <c r="AK2686" s="24"/>
      <c r="AL2686" s="24"/>
      <c r="AM2686" s="24"/>
      <c r="AN2686" s="24"/>
      <c r="AO2686" s="24"/>
      <c r="AP2686" s="24"/>
      <c r="AQ2686" s="24"/>
      <c r="AR2686" s="54"/>
    </row>
    <row r="2687">
      <c r="A2687" s="57"/>
      <c r="B2687" s="24"/>
      <c r="C2687" s="24"/>
      <c r="D2687" s="24"/>
      <c r="E2687" s="24"/>
      <c r="F2687" s="24"/>
      <c r="G2687" s="24"/>
      <c r="H2687" s="24"/>
      <c r="I2687" s="24"/>
      <c r="J2687" s="24"/>
      <c r="K2687" s="24"/>
      <c r="L2687" s="24"/>
      <c r="M2687" s="24"/>
      <c r="N2687" s="24"/>
      <c r="O2687" s="24"/>
      <c r="P2687" s="24"/>
      <c r="Q2687" s="24"/>
      <c r="R2687" s="24"/>
      <c r="S2687" s="24"/>
      <c r="T2687" s="24"/>
      <c r="U2687" s="24"/>
      <c r="V2687" s="24"/>
      <c r="W2687" s="24"/>
      <c r="X2687" s="24"/>
      <c r="Y2687" s="24"/>
      <c r="Z2687" s="24"/>
      <c r="AA2687" s="24"/>
      <c r="AB2687" s="24"/>
      <c r="AC2687" s="24"/>
      <c r="AD2687" s="24"/>
      <c r="AE2687" s="24"/>
      <c r="AF2687" s="24"/>
      <c r="AG2687" s="24"/>
      <c r="AH2687" s="24"/>
      <c r="AI2687" s="24"/>
      <c r="AJ2687" s="24"/>
      <c r="AK2687" s="24"/>
      <c r="AL2687" s="24"/>
      <c r="AM2687" s="24"/>
      <c r="AN2687" s="24"/>
      <c r="AO2687" s="24"/>
      <c r="AP2687" s="24"/>
      <c r="AQ2687" s="24"/>
      <c r="AR2687" s="54"/>
    </row>
    <row r="2688">
      <c r="A2688" s="57"/>
      <c r="B2688" s="24"/>
      <c r="C2688" s="24"/>
      <c r="D2688" s="24"/>
      <c r="E2688" s="24"/>
      <c r="F2688" s="24"/>
      <c r="G2688" s="24"/>
      <c r="H2688" s="24"/>
      <c r="I2688" s="24"/>
      <c r="J2688" s="24"/>
      <c r="K2688" s="24"/>
      <c r="L2688" s="24"/>
      <c r="M2688" s="24"/>
      <c r="N2688" s="24"/>
      <c r="O2688" s="24"/>
      <c r="P2688" s="24"/>
      <c r="Q2688" s="24"/>
      <c r="R2688" s="24"/>
      <c r="S2688" s="24"/>
      <c r="T2688" s="24"/>
      <c r="U2688" s="24"/>
      <c r="V2688" s="24"/>
      <c r="W2688" s="24"/>
      <c r="X2688" s="24"/>
      <c r="Y2688" s="24"/>
      <c r="Z2688" s="24"/>
      <c r="AA2688" s="24"/>
      <c r="AB2688" s="24"/>
      <c r="AC2688" s="24"/>
      <c r="AD2688" s="24"/>
      <c r="AE2688" s="24"/>
      <c r="AF2688" s="24"/>
      <c r="AG2688" s="24"/>
      <c r="AH2688" s="24"/>
      <c r="AI2688" s="24"/>
      <c r="AJ2688" s="24"/>
      <c r="AK2688" s="24"/>
      <c r="AL2688" s="24"/>
      <c r="AM2688" s="24"/>
      <c r="AN2688" s="24"/>
      <c r="AO2688" s="24"/>
      <c r="AP2688" s="24"/>
      <c r="AQ2688" s="24"/>
      <c r="AR2688" s="54"/>
    </row>
    <row r="2689">
      <c r="A2689" s="57"/>
      <c r="B2689" s="24"/>
      <c r="C2689" s="24"/>
      <c r="D2689" s="24"/>
      <c r="E2689" s="24"/>
      <c r="F2689" s="24"/>
      <c r="G2689" s="24"/>
      <c r="H2689" s="24"/>
      <c r="I2689" s="24"/>
      <c r="J2689" s="24"/>
      <c r="K2689" s="24"/>
      <c r="L2689" s="24"/>
      <c r="M2689" s="24"/>
      <c r="N2689" s="24"/>
      <c r="O2689" s="24"/>
      <c r="P2689" s="24"/>
      <c r="Q2689" s="24"/>
      <c r="R2689" s="24"/>
      <c r="S2689" s="24"/>
      <c r="T2689" s="24"/>
      <c r="U2689" s="24"/>
      <c r="V2689" s="24"/>
      <c r="W2689" s="24"/>
      <c r="X2689" s="24"/>
      <c r="Y2689" s="24"/>
      <c r="Z2689" s="24"/>
      <c r="AA2689" s="24"/>
      <c r="AB2689" s="24"/>
      <c r="AC2689" s="24"/>
      <c r="AD2689" s="24"/>
      <c r="AE2689" s="24"/>
      <c r="AF2689" s="24"/>
      <c r="AG2689" s="24"/>
      <c r="AH2689" s="24"/>
      <c r="AI2689" s="24"/>
      <c r="AJ2689" s="24"/>
      <c r="AK2689" s="24"/>
      <c r="AL2689" s="24"/>
      <c r="AM2689" s="24"/>
      <c r="AN2689" s="24"/>
      <c r="AO2689" s="24"/>
      <c r="AP2689" s="24"/>
      <c r="AQ2689" s="24"/>
      <c r="AR2689" s="54"/>
    </row>
    <row r="2690">
      <c r="A2690" s="57"/>
      <c r="B2690" s="24"/>
      <c r="C2690" s="24"/>
      <c r="D2690" s="24"/>
      <c r="E2690" s="24"/>
      <c r="F2690" s="24"/>
      <c r="G2690" s="24"/>
      <c r="H2690" s="24"/>
      <c r="I2690" s="24"/>
      <c r="J2690" s="24"/>
      <c r="K2690" s="24"/>
      <c r="L2690" s="24"/>
      <c r="M2690" s="24"/>
      <c r="N2690" s="24"/>
      <c r="O2690" s="24"/>
      <c r="P2690" s="24"/>
      <c r="Q2690" s="24"/>
      <c r="R2690" s="24"/>
      <c r="S2690" s="24"/>
      <c r="T2690" s="24"/>
      <c r="U2690" s="24"/>
      <c r="V2690" s="24"/>
      <c r="W2690" s="24"/>
      <c r="X2690" s="24"/>
      <c r="Y2690" s="24"/>
      <c r="Z2690" s="24"/>
      <c r="AA2690" s="24"/>
      <c r="AB2690" s="24"/>
      <c r="AC2690" s="24"/>
      <c r="AD2690" s="24"/>
      <c r="AE2690" s="24"/>
      <c r="AF2690" s="24"/>
      <c r="AG2690" s="24"/>
      <c r="AH2690" s="24"/>
      <c r="AI2690" s="24"/>
      <c r="AJ2690" s="24"/>
      <c r="AK2690" s="24"/>
      <c r="AL2690" s="24"/>
      <c r="AM2690" s="24"/>
      <c r="AN2690" s="24"/>
      <c r="AO2690" s="24"/>
      <c r="AP2690" s="24"/>
      <c r="AQ2690" s="24"/>
      <c r="AR2690" s="54"/>
    </row>
    <row r="2691">
      <c r="A2691" s="57"/>
      <c r="B2691" s="24"/>
      <c r="C2691" s="24"/>
      <c r="D2691" s="24"/>
      <c r="E2691" s="24"/>
      <c r="F2691" s="24"/>
      <c r="G2691" s="24"/>
      <c r="H2691" s="24"/>
      <c r="I2691" s="24"/>
      <c r="J2691" s="24"/>
      <c r="K2691" s="24"/>
      <c r="L2691" s="24"/>
      <c r="M2691" s="24"/>
      <c r="N2691" s="24"/>
      <c r="O2691" s="24"/>
      <c r="P2691" s="24"/>
      <c r="Q2691" s="24"/>
      <c r="R2691" s="24"/>
      <c r="S2691" s="24"/>
      <c r="T2691" s="24"/>
      <c r="U2691" s="24"/>
      <c r="V2691" s="24"/>
      <c r="W2691" s="24"/>
      <c r="X2691" s="24"/>
      <c r="Y2691" s="24"/>
      <c r="Z2691" s="24"/>
      <c r="AA2691" s="24"/>
      <c r="AB2691" s="24"/>
      <c r="AC2691" s="24"/>
      <c r="AD2691" s="24"/>
      <c r="AE2691" s="24"/>
      <c r="AF2691" s="24"/>
      <c r="AG2691" s="24"/>
      <c r="AH2691" s="24"/>
      <c r="AI2691" s="24"/>
      <c r="AJ2691" s="24"/>
      <c r="AK2691" s="24"/>
      <c r="AL2691" s="24"/>
      <c r="AM2691" s="24"/>
      <c r="AN2691" s="24"/>
      <c r="AO2691" s="24"/>
      <c r="AP2691" s="24"/>
      <c r="AQ2691" s="24"/>
      <c r="AR2691" s="54"/>
    </row>
    <row r="2692">
      <c r="A2692" s="57"/>
      <c r="B2692" s="24"/>
      <c r="C2692" s="24"/>
      <c r="D2692" s="24"/>
      <c r="E2692" s="24"/>
      <c r="F2692" s="24"/>
      <c r="G2692" s="24"/>
      <c r="H2692" s="24"/>
      <c r="I2692" s="24"/>
      <c r="J2692" s="24"/>
      <c r="K2692" s="24"/>
      <c r="L2692" s="24"/>
      <c r="M2692" s="24"/>
      <c r="N2692" s="24"/>
      <c r="O2692" s="24"/>
      <c r="P2692" s="24"/>
      <c r="Q2692" s="24"/>
      <c r="R2692" s="24"/>
      <c r="S2692" s="24"/>
      <c r="T2692" s="24"/>
      <c r="U2692" s="24"/>
      <c r="V2692" s="24"/>
      <c r="W2692" s="24"/>
      <c r="X2692" s="24"/>
      <c r="Y2692" s="24"/>
      <c r="Z2692" s="24"/>
      <c r="AA2692" s="24"/>
      <c r="AB2692" s="24"/>
      <c r="AC2692" s="24"/>
      <c r="AD2692" s="24"/>
      <c r="AE2692" s="24"/>
      <c r="AF2692" s="24"/>
      <c r="AG2692" s="24"/>
      <c r="AH2692" s="24"/>
      <c r="AI2692" s="24"/>
      <c r="AJ2692" s="24"/>
      <c r="AK2692" s="24"/>
      <c r="AL2692" s="24"/>
      <c r="AM2692" s="24"/>
      <c r="AN2692" s="24"/>
      <c r="AO2692" s="24"/>
      <c r="AP2692" s="24"/>
      <c r="AQ2692" s="24"/>
      <c r="AR2692" s="54"/>
    </row>
    <row r="2693">
      <c r="A2693" s="57"/>
      <c r="B2693" s="24"/>
      <c r="C2693" s="24"/>
      <c r="D2693" s="24"/>
      <c r="E2693" s="24"/>
      <c r="F2693" s="24"/>
      <c r="G2693" s="24"/>
      <c r="H2693" s="24"/>
      <c r="I2693" s="24"/>
      <c r="J2693" s="24"/>
      <c r="K2693" s="24"/>
      <c r="L2693" s="24"/>
      <c r="M2693" s="24"/>
      <c r="N2693" s="24"/>
      <c r="O2693" s="24"/>
      <c r="P2693" s="24"/>
      <c r="Q2693" s="24"/>
      <c r="R2693" s="24"/>
      <c r="S2693" s="24"/>
      <c r="T2693" s="24"/>
      <c r="U2693" s="24"/>
      <c r="V2693" s="24"/>
      <c r="W2693" s="24"/>
      <c r="X2693" s="24"/>
      <c r="Y2693" s="24"/>
      <c r="Z2693" s="24"/>
      <c r="AA2693" s="24"/>
      <c r="AB2693" s="24"/>
      <c r="AC2693" s="24"/>
      <c r="AD2693" s="24"/>
      <c r="AE2693" s="24"/>
      <c r="AF2693" s="24"/>
      <c r="AG2693" s="24"/>
      <c r="AH2693" s="24"/>
      <c r="AI2693" s="24"/>
      <c r="AJ2693" s="24"/>
      <c r="AK2693" s="24"/>
      <c r="AL2693" s="24"/>
      <c r="AM2693" s="24"/>
      <c r="AN2693" s="24"/>
      <c r="AO2693" s="24"/>
      <c r="AP2693" s="24"/>
      <c r="AQ2693" s="24"/>
      <c r="AR2693" s="54"/>
    </row>
    <row r="2694">
      <c r="A2694" s="57"/>
      <c r="B2694" s="24"/>
      <c r="C2694" s="24"/>
      <c r="D2694" s="24"/>
      <c r="E2694" s="24"/>
      <c r="F2694" s="24"/>
      <c r="G2694" s="24"/>
      <c r="H2694" s="24"/>
      <c r="I2694" s="24"/>
      <c r="J2694" s="24"/>
      <c r="K2694" s="24"/>
      <c r="L2694" s="24"/>
      <c r="M2694" s="24"/>
      <c r="N2694" s="24"/>
      <c r="O2694" s="24"/>
      <c r="P2694" s="24"/>
      <c r="Q2694" s="24"/>
      <c r="R2694" s="24"/>
      <c r="S2694" s="24"/>
      <c r="T2694" s="24"/>
      <c r="U2694" s="24"/>
      <c r="V2694" s="24"/>
      <c r="W2694" s="24"/>
      <c r="X2694" s="24"/>
      <c r="Y2694" s="24"/>
      <c r="Z2694" s="24"/>
      <c r="AA2694" s="24"/>
      <c r="AB2694" s="24"/>
      <c r="AC2694" s="24"/>
      <c r="AD2694" s="24"/>
      <c r="AE2694" s="24"/>
      <c r="AF2694" s="24"/>
      <c r="AG2694" s="24"/>
      <c r="AH2694" s="24"/>
      <c r="AI2694" s="24"/>
      <c r="AJ2694" s="24"/>
      <c r="AK2694" s="24"/>
      <c r="AL2694" s="24"/>
      <c r="AM2694" s="24"/>
      <c r="AN2694" s="24"/>
      <c r="AO2694" s="24"/>
      <c r="AP2694" s="24"/>
      <c r="AQ2694" s="24"/>
      <c r="AR2694" s="54"/>
    </row>
    <row r="2695">
      <c r="A2695" s="57"/>
      <c r="B2695" s="24"/>
      <c r="C2695" s="24"/>
      <c r="D2695" s="24"/>
      <c r="E2695" s="24"/>
      <c r="F2695" s="24"/>
      <c r="G2695" s="24"/>
      <c r="H2695" s="24"/>
      <c r="I2695" s="24"/>
      <c r="J2695" s="24"/>
      <c r="K2695" s="24"/>
      <c r="L2695" s="24"/>
      <c r="M2695" s="24"/>
      <c r="N2695" s="24"/>
      <c r="O2695" s="24"/>
      <c r="P2695" s="24"/>
      <c r="Q2695" s="24"/>
      <c r="R2695" s="24"/>
      <c r="S2695" s="24"/>
      <c r="T2695" s="24"/>
      <c r="U2695" s="24"/>
      <c r="V2695" s="24"/>
      <c r="W2695" s="24"/>
      <c r="X2695" s="24"/>
      <c r="Y2695" s="24"/>
      <c r="Z2695" s="24"/>
      <c r="AA2695" s="24"/>
      <c r="AB2695" s="24"/>
      <c r="AC2695" s="24"/>
      <c r="AD2695" s="24"/>
      <c r="AE2695" s="24"/>
      <c r="AF2695" s="24"/>
      <c r="AG2695" s="24"/>
      <c r="AH2695" s="24"/>
      <c r="AI2695" s="24"/>
      <c r="AJ2695" s="24"/>
      <c r="AK2695" s="24"/>
      <c r="AL2695" s="24"/>
      <c r="AM2695" s="24"/>
      <c r="AN2695" s="24"/>
      <c r="AO2695" s="24"/>
      <c r="AP2695" s="24"/>
      <c r="AQ2695" s="24"/>
      <c r="AR2695" s="54"/>
    </row>
    <row r="2696">
      <c r="A2696" s="57"/>
      <c r="B2696" s="24"/>
      <c r="C2696" s="24"/>
      <c r="D2696" s="24"/>
      <c r="E2696" s="24"/>
      <c r="F2696" s="24"/>
      <c r="G2696" s="24"/>
      <c r="H2696" s="24"/>
      <c r="I2696" s="24"/>
      <c r="J2696" s="24"/>
      <c r="K2696" s="24"/>
      <c r="L2696" s="24"/>
      <c r="M2696" s="24"/>
      <c r="N2696" s="24"/>
      <c r="O2696" s="24"/>
      <c r="P2696" s="24"/>
      <c r="Q2696" s="24"/>
      <c r="R2696" s="24"/>
      <c r="S2696" s="24"/>
      <c r="T2696" s="24"/>
      <c r="U2696" s="24"/>
      <c r="V2696" s="24"/>
      <c r="W2696" s="24"/>
      <c r="X2696" s="24"/>
      <c r="Y2696" s="24"/>
      <c r="Z2696" s="24"/>
      <c r="AA2696" s="24"/>
      <c r="AB2696" s="24"/>
      <c r="AC2696" s="24"/>
      <c r="AD2696" s="24"/>
      <c r="AE2696" s="24"/>
      <c r="AF2696" s="24"/>
      <c r="AG2696" s="24"/>
      <c r="AH2696" s="24"/>
      <c r="AI2696" s="24"/>
      <c r="AJ2696" s="24"/>
      <c r="AK2696" s="24"/>
      <c r="AL2696" s="24"/>
      <c r="AM2696" s="24"/>
      <c r="AN2696" s="24"/>
      <c r="AO2696" s="24"/>
      <c r="AP2696" s="24"/>
      <c r="AQ2696" s="24"/>
      <c r="AR2696" s="54"/>
    </row>
    <row r="2697">
      <c r="A2697" s="57"/>
      <c r="B2697" s="24"/>
      <c r="C2697" s="24"/>
      <c r="D2697" s="24"/>
      <c r="E2697" s="24"/>
      <c r="F2697" s="24"/>
      <c r="G2697" s="24"/>
      <c r="H2697" s="24"/>
      <c r="I2697" s="24"/>
      <c r="J2697" s="24"/>
      <c r="K2697" s="24"/>
      <c r="L2697" s="24"/>
      <c r="M2697" s="24"/>
      <c r="N2697" s="24"/>
      <c r="O2697" s="24"/>
      <c r="P2697" s="24"/>
      <c r="Q2697" s="24"/>
      <c r="R2697" s="24"/>
      <c r="S2697" s="24"/>
      <c r="T2697" s="24"/>
      <c r="U2697" s="24"/>
      <c r="V2697" s="24"/>
      <c r="W2697" s="24"/>
      <c r="X2697" s="24"/>
      <c r="Y2697" s="24"/>
      <c r="Z2697" s="24"/>
      <c r="AA2697" s="24"/>
      <c r="AB2697" s="24"/>
      <c r="AC2697" s="24"/>
      <c r="AD2697" s="24"/>
      <c r="AE2697" s="24"/>
      <c r="AF2697" s="24"/>
      <c r="AG2697" s="24"/>
      <c r="AH2697" s="24"/>
      <c r="AI2697" s="24"/>
      <c r="AJ2697" s="24"/>
      <c r="AK2697" s="24"/>
      <c r="AL2697" s="24"/>
      <c r="AM2697" s="24"/>
      <c r="AN2697" s="24"/>
      <c r="AO2697" s="24"/>
      <c r="AP2697" s="24"/>
      <c r="AQ2697" s="24"/>
      <c r="AR2697" s="54"/>
    </row>
    <row r="2698">
      <c r="A2698" s="57"/>
      <c r="B2698" s="24"/>
      <c r="C2698" s="24"/>
      <c r="D2698" s="24"/>
      <c r="E2698" s="24"/>
      <c r="F2698" s="24"/>
      <c r="G2698" s="24"/>
      <c r="H2698" s="24"/>
      <c r="I2698" s="24"/>
      <c r="J2698" s="24"/>
      <c r="K2698" s="24"/>
      <c r="L2698" s="24"/>
      <c r="M2698" s="24"/>
      <c r="N2698" s="24"/>
      <c r="O2698" s="24"/>
      <c r="P2698" s="24"/>
      <c r="Q2698" s="24"/>
      <c r="R2698" s="24"/>
      <c r="S2698" s="24"/>
      <c r="T2698" s="24"/>
      <c r="U2698" s="24"/>
      <c r="V2698" s="24"/>
      <c r="W2698" s="24"/>
      <c r="X2698" s="24"/>
      <c r="Y2698" s="24"/>
      <c r="Z2698" s="24"/>
      <c r="AA2698" s="24"/>
      <c r="AB2698" s="24"/>
      <c r="AC2698" s="24"/>
      <c r="AD2698" s="24"/>
      <c r="AE2698" s="24"/>
      <c r="AF2698" s="24"/>
      <c r="AG2698" s="24"/>
      <c r="AH2698" s="24"/>
      <c r="AI2698" s="24"/>
      <c r="AJ2698" s="24"/>
      <c r="AK2698" s="24"/>
      <c r="AL2698" s="24"/>
      <c r="AM2698" s="24"/>
      <c r="AN2698" s="24"/>
      <c r="AO2698" s="24"/>
      <c r="AP2698" s="24"/>
      <c r="AQ2698" s="24"/>
      <c r="AR2698" s="54"/>
    </row>
    <row r="2699">
      <c r="A2699" s="57"/>
      <c r="B2699" s="24"/>
      <c r="C2699" s="24"/>
      <c r="D2699" s="24"/>
      <c r="E2699" s="24"/>
      <c r="F2699" s="24"/>
      <c r="G2699" s="24"/>
      <c r="H2699" s="24"/>
      <c r="I2699" s="24"/>
      <c r="J2699" s="24"/>
      <c r="K2699" s="24"/>
      <c r="L2699" s="24"/>
      <c r="M2699" s="24"/>
      <c r="N2699" s="24"/>
      <c r="O2699" s="24"/>
      <c r="P2699" s="24"/>
      <c r="Q2699" s="24"/>
      <c r="R2699" s="24"/>
      <c r="S2699" s="24"/>
      <c r="T2699" s="24"/>
      <c r="U2699" s="24"/>
      <c r="V2699" s="24"/>
      <c r="W2699" s="24"/>
      <c r="X2699" s="24"/>
      <c r="Y2699" s="24"/>
      <c r="Z2699" s="24"/>
      <c r="AA2699" s="24"/>
      <c r="AB2699" s="24"/>
      <c r="AC2699" s="24"/>
      <c r="AD2699" s="24"/>
      <c r="AE2699" s="24"/>
      <c r="AF2699" s="24"/>
      <c r="AG2699" s="24"/>
      <c r="AH2699" s="24"/>
      <c r="AI2699" s="24"/>
      <c r="AJ2699" s="24"/>
      <c r="AK2699" s="24"/>
      <c r="AL2699" s="24"/>
      <c r="AM2699" s="24"/>
      <c r="AN2699" s="24"/>
      <c r="AO2699" s="24"/>
      <c r="AP2699" s="24"/>
      <c r="AQ2699" s="24"/>
      <c r="AR2699" s="54"/>
    </row>
    <row r="2700">
      <c r="A2700" s="57"/>
      <c r="B2700" s="24"/>
      <c r="C2700" s="24"/>
      <c r="D2700" s="24"/>
      <c r="E2700" s="24"/>
      <c r="F2700" s="24"/>
      <c r="G2700" s="24"/>
      <c r="H2700" s="24"/>
      <c r="I2700" s="24"/>
      <c r="J2700" s="24"/>
      <c r="K2700" s="24"/>
      <c r="L2700" s="24"/>
      <c r="M2700" s="24"/>
      <c r="N2700" s="24"/>
      <c r="O2700" s="24"/>
      <c r="P2700" s="24"/>
      <c r="Q2700" s="24"/>
      <c r="R2700" s="24"/>
      <c r="S2700" s="24"/>
      <c r="T2700" s="24"/>
      <c r="U2700" s="24"/>
      <c r="V2700" s="24"/>
      <c r="W2700" s="24"/>
      <c r="X2700" s="24"/>
      <c r="Y2700" s="24"/>
      <c r="Z2700" s="24"/>
      <c r="AA2700" s="24"/>
      <c r="AB2700" s="24"/>
      <c r="AC2700" s="24"/>
      <c r="AD2700" s="24"/>
      <c r="AE2700" s="24"/>
      <c r="AF2700" s="24"/>
      <c r="AG2700" s="24"/>
      <c r="AH2700" s="24"/>
      <c r="AI2700" s="24"/>
      <c r="AJ2700" s="24"/>
      <c r="AK2700" s="24"/>
      <c r="AL2700" s="24"/>
      <c r="AM2700" s="24"/>
      <c r="AN2700" s="24"/>
      <c r="AO2700" s="24"/>
      <c r="AP2700" s="24"/>
      <c r="AQ2700" s="24"/>
      <c r="AR2700" s="54"/>
    </row>
    <row r="2701">
      <c r="A2701" s="57"/>
      <c r="B2701" s="24"/>
      <c r="C2701" s="24"/>
      <c r="D2701" s="24"/>
      <c r="E2701" s="24"/>
      <c r="F2701" s="24"/>
      <c r="G2701" s="24"/>
      <c r="H2701" s="24"/>
      <c r="I2701" s="24"/>
      <c r="J2701" s="24"/>
      <c r="K2701" s="24"/>
      <c r="L2701" s="24"/>
      <c r="M2701" s="24"/>
      <c r="N2701" s="24"/>
      <c r="O2701" s="24"/>
      <c r="P2701" s="24"/>
      <c r="Q2701" s="24"/>
      <c r="R2701" s="24"/>
      <c r="S2701" s="24"/>
      <c r="T2701" s="24"/>
      <c r="U2701" s="24"/>
      <c r="V2701" s="24"/>
      <c r="W2701" s="24"/>
      <c r="X2701" s="24"/>
      <c r="Y2701" s="24"/>
      <c r="Z2701" s="24"/>
      <c r="AA2701" s="24"/>
      <c r="AB2701" s="24"/>
      <c r="AC2701" s="24"/>
      <c r="AD2701" s="24"/>
      <c r="AE2701" s="24"/>
      <c r="AF2701" s="24"/>
      <c r="AG2701" s="24"/>
      <c r="AH2701" s="24"/>
      <c r="AI2701" s="24"/>
      <c r="AJ2701" s="24"/>
      <c r="AK2701" s="24"/>
      <c r="AL2701" s="24"/>
      <c r="AM2701" s="24"/>
      <c r="AN2701" s="24"/>
      <c r="AO2701" s="24"/>
      <c r="AP2701" s="24"/>
      <c r="AQ2701" s="24"/>
      <c r="AR2701" s="54"/>
    </row>
    <row r="2702">
      <c r="A2702" s="57"/>
      <c r="B2702" s="24"/>
      <c r="C2702" s="24"/>
      <c r="D2702" s="24"/>
      <c r="E2702" s="24"/>
      <c r="F2702" s="24"/>
      <c r="G2702" s="24"/>
      <c r="H2702" s="24"/>
      <c r="I2702" s="24"/>
      <c r="J2702" s="24"/>
      <c r="K2702" s="24"/>
      <c r="L2702" s="24"/>
      <c r="M2702" s="24"/>
      <c r="N2702" s="24"/>
      <c r="O2702" s="24"/>
      <c r="P2702" s="24"/>
      <c r="Q2702" s="24"/>
      <c r="R2702" s="24"/>
      <c r="S2702" s="24"/>
      <c r="T2702" s="24"/>
      <c r="U2702" s="24"/>
      <c r="V2702" s="24"/>
      <c r="W2702" s="24"/>
      <c r="X2702" s="24"/>
      <c r="Y2702" s="24"/>
      <c r="Z2702" s="24"/>
      <c r="AA2702" s="24"/>
      <c r="AB2702" s="24"/>
      <c r="AC2702" s="24"/>
      <c r="AD2702" s="24"/>
      <c r="AE2702" s="24"/>
      <c r="AF2702" s="24"/>
      <c r="AG2702" s="24"/>
      <c r="AH2702" s="24"/>
      <c r="AI2702" s="24"/>
      <c r="AJ2702" s="24"/>
      <c r="AK2702" s="24"/>
      <c r="AL2702" s="24"/>
      <c r="AM2702" s="24"/>
      <c r="AN2702" s="24"/>
      <c r="AO2702" s="24"/>
      <c r="AP2702" s="24"/>
      <c r="AQ2702" s="24"/>
      <c r="AR2702" s="54"/>
    </row>
    <row r="2703">
      <c r="A2703" s="57"/>
      <c r="B2703" s="24"/>
      <c r="C2703" s="24"/>
      <c r="D2703" s="24"/>
      <c r="E2703" s="24"/>
      <c r="F2703" s="24"/>
      <c r="G2703" s="24"/>
      <c r="H2703" s="24"/>
      <c r="I2703" s="24"/>
      <c r="J2703" s="24"/>
      <c r="K2703" s="24"/>
      <c r="L2703" s="24"/>
      <c r="M2703" s="24"/>
      <c r="N2703" s="24"/>
      <c r="O2703" s="24"/>
      <c r="P2703" s="24"/>
      <c r="Q2703" s="24"/>
      <c r="R2703" s="24"/>
      <c r="S2703" s="24"/>
      <c r="T2703" s="24"/>
      <c r="U2703" s="24"/>
      <c r="V2703" s="24"/>
      <c r="W2703" s="24"/>
      <c r="X2703" s="24"/>
      <c r="Y2703" s="24"/>
      <c r="Z2703" s="24"/>
      <c r="AA2703" s="24"/>
      <c r="AB2703" s="24"/>
      <c r="AC2703" s="24"/>
      <c r="AD2703" s="24"/>
      <c r="AE2703" s="24"/>
      <c r="AF2703" s="24"/>
      <c r="AG2703" s="24"/>
      <c r="AH2703" s="24"/>
      <c r="AI2703" s="24"/>
      <c r="AJ2703" s="24"/>
      <c r="AK2703" s="24"/>
      <c r="AL2703" s="24"/>
      <c r="AM2703" s="24"/>
      <c r="AN2703" s="24"/>
      <c r="AO2703" s="24"/>
      <c r="AP2703" s="24"/>
      <c r="AQ2703" s="24"/>
      <c r="AR2703" s="54"/>
    </row>
    <row r="2704">
      <c r="A2704" s="57"/>
      <c r="B2704" s="24"/>
      <c r="C2704" s="24"/>
      <c r="D2704" s="24"/>
      <c r="E2704" s="24"/>
      <c r="F2704" s="24"/>
      <c r="G2704" s="24"/>
      <c r="H2704" s="24"/>
      <c r="I2704" s="24"/>
      <c r="J2704" s="24"/>
      <c r="K2704" s="24"/>
      <c r="L2704" s="24"/>
      <c r="M2704" s="24"/>
      <c r="N2704" s="24"/>
      <c r="O2704" s="24"/>
      <c r="P2704" s="24"/>
      <c r="Q2704" s="24"/>
      <c r="R2704" s="24"/>
      <c r="S2704" s="24"/>
      <c r="T2704" s="24"/>
      <c r="U2704" s="24"/>
      <c r="V2704" s="24"/>
      <c r="W2704" s="24"/>
      <c r="X2704" s="24"/>
      <c r="Y2704" s="24"/>
      <c r="Z2704" s="24"/>
      <c r="AA2704" s="24"/>
      <c r="AB2704" s="24"/>
      <c r="AC2704" s="24"/>
      <c r="AD2704" s="24"/>
      <c r="AE2704" s="24"/>
      <c r="AF2704" s="24"/>
      <c r="AG2704" s="24"/>
      <c r="AH2704" s="24"/>
      <c r="AI2704" s="24"/>
      <c r="AJ2704" s="24"/>
      <c r="AK2704" s="24"/>
      <c r="AL2704" s="24"/>
      <c r="AM2704" s="24"/>
      <c r="AN2704" s="24"/>
      <c r="AO2704" s="24"/>
      <c r="AP2704" s="24"/>
      <c r="AQ2704" s="24"/>
      <c r="AR2704" s="54"/>
    </row>
    <row r="2705">
      <c r="A2705" s="57"/>
      <c r="B2705" s="24"/>
      <c r="C2705" s="24"/>
      <c r="D2705" s="24"/>
      <c r="E2705" s="24"/>
      <c r="F2705" s="24"/>
      <c r="G2705" s="24"/>
      <c r="H2705" s="24"/>
      <c r="I2705" s="24"/>
      <c r="J2705" s="24"/>
      <c r="K2705" s="24"/>
      <c r="L2705" s="24"/>
      <c r="M2705" s="24"/>
      <c r="N2705" s="24"/>
      <c r="O2705" s="24"/>
      <c r="P2705" s="24"/>
      <c r="Q2705" s="24"/>
      <c r="R2705" s="24"/>
      <c r="S2705" s="24"/>
      <c r="T2705" s="24"/>
      <c r="U2705" s="24"/>
      <c r="V2705" s="24"/>
      <c r="W2705" s="24"/>
      <c r="X2705" s="24"/>
      <c r="Y2705" s="24"/>
      <c r="Z2705" s="24"/>
      <c r="AA2705" s="24"/>
      <c r="AB2705" s="24"/>
      <c r="AC2705" s="24"/>
      <c r="AD2705" s="24"/>
      <c r="AE2705" s="24"/>
      <c r="AF2705" s="24"/>
      <c r="AG2705" s="24"/>
      <c r="AH2705" s="24"/>
      <c r="AI2705" s="24"/>
      <c r="AJ2705" s="24"/>
      <c r="AK2705" s="24"/>
      <c r="AL2705" s="24"/>
      <c r="AM2705" s="24"/>
      <c r="AN2705" s="24"/>
      <c r="AO2705" s="24"/>
      <c r="AP2705" s="24"/>
      <c r="AQ2705" s="24"/>
      <c r="AR2705" s="54"/>
    </row>
    <row r="2706">
      <c r="A2706" s="57"/>
      <c r="B2706" s="24"/>
      <c r="C2706" s="24"/>
      <c r="D2706" s="24"/>
      <c r="E2706" s="24"/>
      <c r="F2706" s="24"/>
      <c r="G2706" s="24"/>
      <c r="H2706" s="24"/>
      <c r="I2706" s="24"/>
      <c r="J2706" s="24"/>
      <c r="K2706" s="24"/>
      <c r="L2706" s="24"/>
      <c r="M2706" s="24"/>
      <c r="N2706" s="24"/>
      <c r="O2706" s="24"/>
      <c r="P2706" s="24"/>
      <c r="Q2706" s="24"/>
      <c r="R2706" s="24"/>
      <c r="S2706" s="24"/>
      <c r="T2706" s="24"/>
      <c r="U2706" s="24"/>
      <c r="V2706" s="24"/>
      <c r="W2706" s="24"/>
      <c r="X2706" s="24"/>
      <c r="Y2706" s="24"/>
      <c r="Z2706" s="24"/>
      <c r="AA2706" s="24"/>
      <c r="AB2706" s="24"/>
      <c r="AC2706" s="24"/>
      <c r="AD2706" s="24"/>
      <c r="AE2706" s="24"/>
      <c r="AF2706" s="24"/>
      <c r="AG2706" s="24"/>
      <c r="AH2706" s="24"/>
      <c r="AI2706" s="24"/>
      <c r="AJ2706" s="24"/>
      <c r="AK2706" s="24"/>
      <c r="AL2706" s="24"/>
      <c r="AM2706" s="24"/>
      <c r="AN2706" s="24"/>
      <c r="AO2706" s="24"/>
      <c r="AP2706" s="24"/>
      <c r="AQ2706" s="24"/>
      <c r="AR2706" s="54"/>
    </row>
    <row r="2707">
      <c r="A2707" s="57"/>
      <c r="B2707" s="24"/>
      <c r="C2707" s="24"/>
      <c r="D2707" s="24"/>
      <c r="E2707" s="24"/>
      <c r="F2707" s="24"/>
      <c r="G2707" s="24"/>
      <c r="H2707" s="24"/>
      <c r="I2707" s="24"/>
      <c r="J2707" s="24"/>
      <c r="K2707" s="24"/>
      <c r="L2707" s="24"/>
      <c r="M2707" s="24"/>
      <c r="N2707" s="24"/>
      <c r="O2707" s="24"/>
      <c r="P2707" s="24"/>
      <c r="Q2707" s="24"/>
      <c r="R2707" s="24"/>
      <c r="S2707" s="24"/>
      <c r="T2707" s="24"/>
      <c r="U2707" s="24"/>
      <c r="V2707" s="24"/>
      <c r="W2707" s="24"/>
      <c r="X2707" s="24"/>
      <c r="Y2707" s="24"/>
      <c r="Z2707" s="24"/>
      <c r="AA2707" s="24"/>
      <c r="AB2707" s="24"/>
      <c r="AC2707" s="24"/>
      <c r="AD2707" s="24"/>
      <c r="AE2707" s="24"/>
      <c r="AF2707" s="24"/>
      <c r="AG2707" s="24"/>
      <c r="AH2707" s="24"/>
      <c r="AI2707" s="24"/>
      <c r="AJ2707" s="24"/>
      <c r="AK2707" s="24"/>
      <c r="AL2707" s="24"/>
      <c r="AM2707" s="24"/>
      <c r="AN2707" s="24"/>
      <c r="AO2707" s="24"/>
      <c r="AP2707" s="24"/>
      <c r="AQ2707" s="24"/>
      <c r="AR2707" s="54"/>
    </row>
    <row r="2708">
      <c r="A2708" s="57"/>
      <c r="B2708" s="24"/>
      <c r="C2708" s="24"/>
      <c r="D2708" s="24"/>
      <c r="E2708" s="24"/>
      <c r="F2708" s="24"/>
      <c r="G2708" s="24"/>
      <c r="H2708" s="24"/>
      <c r="I2708" s="24"/>
      <c r="J2708" s="24"/>
      <c r="K2708" s="24"/>
      <c r="L2708" s="24"/>
      <c r="M2708" s="24"/>
      <c r="N2708" s="24"/>
      <c r="O2708" s="24"/>
      <c r="P2708" s="24"/>
      <c r="Q2708" s="24"/>
      <c r="R2708" s="24"/>
      <c r="S2708" s="24"/>
      <c r="T2708" s="24"/>
      <c r="U2708" s="24"/>
      <c r="V2708" s="24"/>
      <c r="W2708" s="24"/>
      <c r="X2708" s="24"/>
      <c r="Y2708" s="24"/>
      <c r="Z2708" s="24"/>
      <c r="AA2708" s="24"/>
      <c r="AB2708" s="24"/>
      <c r="AC2708" s="24"/>
      <c r="AD2708" s="24"/>
      <c r="AE2708" s="24"/>
      <c r="AF2708" s="24"/>
      <c r="AG2708" s="24"/>
      <c r="AH2708" s="24"/>
      <c r="AI2708" s="24"/>
      <c r="AJ2708" s="24"/>
      <c r="AK2708" s="24"/>
      <c r="AL2708" s="24"/>
      <c r="AM2708" s="24"/>
      <c r="AN2708" s="24"/>
      <c r="AO2708" s="24"/>
      <c r="AP2708" s="24"/>
      <c r="AQ2708" s="24"/>
      <c r="AR2708" s="54"/>
    </row>
    <row r="2709">
      <c r="A2709" s="57"/>
      <c r="B2709" s="24"/>
      <c r="C2709" s="24"/>
      <c r="D2709" s="24"/>
      <c r="E2709" s="24"/>
      <c r="F2709" s="24"/>
      <c r="G2709" s="24"/>
      <c r="H2709" s="24"/>
      <c r="I2709" s="24"/>
      <c r="J2709" s="24"/>
      <c r="K2709" s="24"/>
      <c r="L2709" s="24"/>
      <c r="M2709" s="24"/>
      <c r="N2709" s="24"/>
      <c r="O2709" s="24"/>
      <c r="P2709" s="24"/>
      <c r="Q2709" s="24"/>
      <c r="R2709" s="24"/>
      <c r="S2709" s="24"/>
      <c r="T2709" s="24"/>
      <c r="U2709" s="24"/>
      <c r="V2709" s="24"/>
      <c r="W2709" s="24"/>
      <c r="X2709" s="24"/>
      <c r="Y2709" s="24"/>
      <c r="Z2709" s="24"/>
      <c r="AA2709" s="24"/>
      <c r="AB2709" s="24"/>
      <c r="AC2709" s="24"/>
      <c r="AD2709" s="24"/>
      <c r="AE2709" s="24"/>
      <c r="AF2709" s="24"/>
      <c r="AG2709" s="24"/>
      <c r="AH2709" s="24"/>
      <c r="AI2709" s="24"/>
      <c r="AJ2709" s="24"/>
      <c r="AK2709" s="24"/>
      <c r="AL2709" s="24"/>
      <c r="AM2709" s="24"/>
      <c r="AN2709" s="24"/>
      <c r="AO2709" s="24"/>
      <c r="AP2709" s="24"/>
      <c r="AQ2709" s="24"/>
      <c r="AR2709" s="54"/>
    </row>
    <row r="2710">
      <c r="A2710" s="57"/>
      <c r="B2710" s="24"/>
      <c r="C2710" s="24"/>
      <c r="D2710" s="24"/>
      <c r="E2710" s="24"/>
      <c r="F2710" s="24"/>
      <c r="G2710" s="24"/>
      <c r="H2710" s="24"/>
      <c r="I2710" s="24"/>
      <c r="J2710" s="24"/>
      <c r="K2710" s="24"/>
      <c r="L2710" s="24"/>
      <c r="M2710" s="24"/>
      <c r="N2710" s="24"/>
      <c r="O2710" s="24"/>
      <c r="P2710" s="24"/>
      <c r="Q2710" s="24"/>
      <c r="R2710" s="24"/>
      <c r="S2710" s="24"/>
      <c r="T2710" s="24"/>
      <c r="U2710" s="24"/>
      <c r="V2710" s="24"/>
      <c r="W2710" s="24"/>
      <c r="X2710" s="24"/>
      <c r="Y2710" s="24"/>
      <c r="Z2710" s="24"/>
      <c r="AA2710" s="24"/>
      <c r="AB2710" s="24"/>
      <c r="AC2710" s="24"/>
      <c r="AD2710" s="24"/>
      <c r="AE2710" s="24"/>
      <c r="AF2710" s="24"/>
      <c r="AG2710" s="24"/>
      <c r="AH2710" s="24"/>
      <c r="AI2710" s="24"/>
      <c r="AJ2710" s="24"/>
      <c r="AK2710" s="24"/>
      <c r="AL2710" s="24"/>
      <c r="AM2710" s="24"/>
      <c r="AN2710" s="24"/>
      <c r="AO2710" s="24"/>
      <c r="AP2710" s="24"/>
      <c r="AQ2710" s="24"/>
      <c r="AR2710" s="54"/>
    </row>
    <row r="2711">
      <c r="A2711" s="57"/>
      <c r="B2711" s="24"/>
      <c r="C2711" s="24"/>
      <c r="D2711" s="24"/>
      <c r="E2711" s="24"/>
      <c r="F2711" s="24"/>
      <c r="G2711" s="24"/>
      <c r="H2711" s="24"/>
      <c r="I2711" s="24"/>
      <c r="J2711" s="24"/>
      <c r="K2711" s="24"/>
      <c r="L2711" s="24"/>
      <c r="M2711" s="24"/>
      <c r="N2711" s="24"/>
      <c r="O2711" s="24"/>
      <c r="P2711" s="24"/>
      <c r="Q2711" s="24"/>
      <c r="R2711" s="24"/>
      <c r="S2711" s="24"/>
      <c r="T2711" s="24"/>
      <c r="U2711" s="24"/>
      <c r="V2711" s="24"/>
      <c r="W2711" s="24"/>
      <c r="X2711" s="24"/>
      <c r="Y2711" s="24"/>
      <c r="Z2711" s="24"/>
      <c r="AA2711" s="24"/>
      <c r="AB2711" s="24"/>
      <c r="AC2711" s="24"/>
      <c r="AD2711" s="24"/>
      <c r="AE2711" s="24"/>
      <c r="AF2711" s="24"/>
      <c r="AG2711" s="24"/>
      <c r="AH2711" s="24"/>
      <c r="AI2711" s="24"/>
      <c r="AJ2711" s="24"/>
      <c r="AK2711" s="24"/>
      <c r="AL2711" s="24"/>
      <c r="AM2711" s="24"/>
      <c r="AN2711" s="24"/>
      <c r="AO2711" s="24"/>
      <c r="AP2711" s="24"/>
      <c r="AQ2711" s="24"/>
      <c r="AR2711" s="54"/>
    </row>
    <row r="2712">
      <c r="A2712" s="57"/>
      <c r="B2712" s="24"/>
      <c r="C2712" s="24"/>
      <c r="D2712" s="24"/>
      <c r="E2712" s="24"/>
      <c r="F2712" s="24"/>
      <c r="G2712" s="24"/>
      <c r="H2712" s="24"/>
      <c r="I2712" s="24"/>
      <c r="J2712" s="24"/>
      <c r="K2712" s="24"/>
      <c r="L2712" s="24"/>
      <c r="M2712" s="24"/>
      <c r="N2712" s="24"/>
      <c r="O2712" s="24"/>
      <c r="P2712" s="24"/>
      <c r="Q2712" s="24"/>
      <c r="R2712" s="24"/>
      <c r="S2712" s="24"/>
      <c r="T2712" s="24"/>
      <c r="U2712" s="24"/>
      <c r="V2712" s="24"/>
      <c r="W2712" s="24"/>
      <c r="X2712" s="24"/>
      <c r="Y2712" s="24"/>
      <c r="Z2712" s="24"/>
      <c r="AA2712" s="24"/>
      <c r="AB2712" s="24"/>
      <c r="AC2712" s="24"/>
      <c r="AD2712" s="24"/>
      <c r="AE2712" s="24"/>
      <c r="AF2712" s="24"/>
      <c r="AG2712" s="24"/>
      <c r="AH2712" s="24"/>
      <c r="AI2712" s="24"/>
      <c r="AJ2712" s="24"/>
      <c r="AK2712" s="24"/>
      <c r="AL2712" s="24"/>
      <c r="AM2712" s="24"/>
      <c r="AN2712" s="24"/>
      <c r="AO2712" s="24"/>
      <c r="AP2712" s="24"/>
      <c r="AQ2712" s="24"/>
      <c r="AR2712" s="54"/>
    </row>
    <row r="2713">
      <c r="A2713" s="57"/>
      <c r="B2713" s="24"/>
      <c r="C2713" s="24"/>
      <c r="D2713" s="24"/>
      <c r="E2713" s="24"/>
      <c r="F2713" s="24"/>
      <c r="G2713" s="24"/>
      <c r="H2713" s="24"/>
      <c r="I2713" s="24"/>
      <c r="J2713" s="24"/>
      <c r="K2713" s="24"/>
      <c r="L2713" s="24"/>
      <c r="M2713" s="24"/>
      <c r="N2713" s="24"/>
      <c r="O2713" s="24"/>
      <c r="P2713" s="24"/>
      <c r="Q2713" s="24"/>
      <c r="R2713" s="24"/>
      <c r="S2713" s="24"/>
      <c r="T2713" s="24"/>
      <c r="U2713" s="24"/>
      <c r="V2713" s="24"/>
      <c r="W2713" s="24"/>
      <c r="X2713" s="24"/>
      <c r="Y2713" s="24"/>
      <c r="Z2713" s="24"/>
      <c r="AA2713" s="24"/>
      <c r="AB2713" s="24"/>
      <c r="AC2713" s="24"/>
      <c r="AD2713" s="24"/>
      <c r="AE2713" s="24"/>
      <c r="AF2713" s="24"/>
      <c r="AG2713" s="24"/>
      <c r="AH2713" s="24"/>
      <c r="AI2713" s="24"/>
      <c r="AJ2713" s="24"/>
      <c r="AK2713" s="24"/>
      <c r="AL2713" s="24"/>
      <c r="AM2713" s="24"/>
      <c r="AN2713" s="24"/>
      <c r="AO2713" s="24"/>
      <c r="AP2713" s="24"/>
      <c r="AQ2713" s="24"/>
      <c r="AR2713" s="54"/>
    </row>
    <row r="2714">
      <c r="A2714" s="57"/>
      <c r="B2714" s="24"/>
      <c r="C2714" s="24"/>
      <c r="D2714" s="24"/>
      <c r="E2714" s="24"/>
      <c r="F2714" s="24"/>
      <c r="G2714" s="24"/>
      <c r="H2714" s="24"/>
      <c r="I2714" s="24"/>
      <c r="J2714" s="24"/>
      <c r="K2714" s="24"/>
      <c r="L2714" s="24"/>
      <c r="M2714" s="24"/>
      <c r="N2714" s="24"/>
      <c r="O2714" s="24"/>
      <c r="P2714" s="24"/>
      <c r="Q2714" s="24"/>
      <c r="R2714" s="24"/>
      <c r="S2714" s="24"/>
      <c r="T2714" s="24"/>
      <c r="U2714" s="24"/>
      <c r="V2714" s="24"/>
      <c r="W2714" s="24"/>
      <c r="X2714" s="24"/>
      <c r="Y2714" s="24"/>
      <c r="Z2714" s="24"/>
      <c r="AA2714" s="24"/>
      <c r="AB2714" s="24"/>
      <c r="AC2714" s="24"/>
      <c r="AD2714" s="24"/>
      <c r="AE2714" s="24"/>
      <c r="AF2714" s="24"/>
      <c r="AG2714" s="24"/>
      <c r="AH2714" s="24"/>
      <c r="AI2714" s="24"/>
      <c r="AJ2714" s="24"/>
      <c r="AK2714" s="24"/>
      <c r="AL2714" s="24"/>
      <c r="AM2714" s="24"/>
      <c r="AN2714" s="24"/>
      <c r="AO2714" s="24"/>
      <c r="AP2714" s="24"/>
      <c r="AQ2714" s="24"/>
      <c r="AR2714" s="54"/>
    </row>
    <row r="2715">
      <c r="A2715" s="57"/>
      <c r="B2715" s="24"/>
      <c r="C2715" s="24"/>
      <c r="D2715" s="24"/>
      <c r="E2715" s="24"/>
      <c r="F2715" s="24"/>
      <c r="G2715" s="24"/>
      <c r="H2715" s="24"/>
      <c r="I2715" s="24"/>
      <c r="J2715" s="24"/>
      <c r="K2715" s="24"/>
      <c r="L2715" s="24"/>
      <c r="M2715" s="24"/>
      <c r="N2715" s="24"/>
      <c r="O2715" s="24"/>
      <c r="P2715" s="24"/>
      <c r="Q2715" s="24"/>
      <c r="R2715" s="24"/>
      <c r="S2715" s="24"/>
      <c r="T2715" s="24"/>
      <c r="U2715" s="24"/>
      <c r="V2715" s="24"/>
      <c r="W2715" s="24"/>
      <c r="X2715" s="24"/>
      <c r="Y2715" s="24"/>
      <c r="Z2715" s="24"/>
      <c r="AA2715" s="24"/>
      <c r="AB2715" s="24"/>
      <c r="AC2715" s="24"/>
      <c r="AD2715" s="24"/>
      <c r="AE2715" s="24"/>
      <c r="AF2715" s="24"/>
      <c r="AG2715" s="24"/>
      <c r="AH2715" s="24"/>
      <c r="AI2715" s="24"/>
      <c r="AJ2715" s="24"/>
      <c r="AK2715" s="24"/>
      <c r="AL2715" s="24"/>
      <c r="AM2715" s="24"/>
      <c r="AN2715" s="24"/>
      <c r="AO2715" s="24"/>
      <c r="AP2715" s="24"/>
      <c r="AQ2715" s="24"/>
      <c r="AR2715" s="54"/>
    </row>
    <row r="2716">
      <c r="A2716" s="57"/>
      <c r="B2716" s="24"/>
      <c r="C2716" s="24"/>
      <c r="D2716" s="24"/>
      <c r="E2716" s="24"/>
      <c r="F2716" s="24"/>
      <c r="G2716" s="24"/>
      <c r="H2716" s="24"/>
      <c r="I2716" s="24"/>
      <c r="J2716" s="24"/>
      <c r="K2716" s="24"/>
      <c r="L2716" s="24"/>
      <c r="M2716" s="24"/>
      <c r="N2716" s="24"/>
      <c r="O2716" s="24"/>
      <c r="P2716" s="24"/>
      <c r="Q2716" s="24"/>
      <c r="R2716" s="24"/>
      <c r="S2716" s="24"/>
      <c r="T2716" s="24"/>
      <c r="U2716" s="24"/>
      <c r="V2716" s="24"/>
      <c r="W2716" s="24"/>
      <c r="X2716" s="24"/>
      <c r="Y2716" s="24"/>
      <c r="Z2716" s="24"/>
      <c r="AA2716" s="24"/>
      <c r="AB2716" s="24"/>
      <c r="AC2716" s="24"/>
      <c r="AD2716" s="24"/>
      <c r="AE2716" s="24"/>
      <c r="AF2716" s="24"/>
      <c r="AG2716" s="24"/>
      <c r="AH2716" s="24"/>
      <c r="AI2716" s="24"/>
      <c r="AJ2716" s="24"/>
      <c r="AK2716" s="24"/>
      <c r="AL2716" s="24"/>
      <c r="AM2716" s="24"/>
      <c r="AN2716" s="24"/>
      <c r="AO2716" s="24"/>
      <c r="AP2716" s="24"/>
      <c r="AQ2716" s="24"/>
      <c r="AR2716" s="54"/>
    </row>
    <row r="2717">
      <c r="A2717" s="57"/>
      <c r="B2717" s="24"/>
      <c r="C2717" s="24"/>
      <c r="D2717" s="24"/>
      <c r="E2717" s="24"/>
      <c r="F2717" s="24"/>
      <c r="G2717" s="24"/>
      <c r="H2717" s="24"/>
      <c r="I2717" s="24"/>
      <c r="J2717" s="24"/>
      <c r="K2717" s="24"/>
      <c r="L2717" s="24"/>
      <c r="M2717" s="24"/>
      <c r="N2717" s="24"/>
      <c r="O2717" s="24"/>
      <c r="P2717" s="24"/>
      <c r="Q2717" s="24"/>
      <c r="R2717" s="24"/>
      <c r="S2717" s="24"/>
      <c r="T2717" s="24"/>
      <c r="U2717" s="24"/>
      <c r="V2717" s="24"/>
      <c r="W2717" s="24"/>
      <c r="X2717" s="24"/>
      <c r="Y2717" s="24"/>
      <c r="Z2717" s="24"/>
      <c r="AA2717" s="24"/>
      <c r="AB2717" s="24"/>
      <c r="AC2717" s="24"/>
      <c r="AD2717" s="24"/>
      <c r="AE2717" s="24"/>
      <c r="AF2717" s="24"/>
      <c r="AG2717" s="24"/>
      <c r="AH2717" s="24"/>
      <c r="AI2717" s="24"/>
      <c r="AJ2717" s="24"/>
      <c r="AK2717" s="24"/>
      <c r="AL2717" s="24"/>
      <c r="AM2717" s="24"/>
      <c r="AN2717" s="24"/>
      <c r="AO2717" s="24"/>
      <c r="AP2717" s="24"/>
      <c r="AQ2717" s="24"/>
      <c r="AR2717" s="54"/>
    </row>
    <row r="2718">
      <c r="A2718" s="57"/>
      <c r="B2718" s="24"/>
      <c r="C2718" s="24"/>
      <c r="D2718" s="24"/>
      <c r="E2718" s="24"/>
      <c r="F2718" s="24"/>
      <c r="G2718" s="24"/>
      <c r="H2718" s="24"/>
      <c r="I2718" s="24"/>
      <c r="J2718" s="24"/>
      <c r="K2718" s="24"/>
      <c r="L2718" s="24"/>
      <c r="M2718" s="24"/>
      <c r="N2718" s="24"/>
      <c r="O2718" s="24"/>
      <c r="P2718" s="24"/>
      <c r="Q2718" s="24"/>
      <c r="R2718" s="24"/>
      <c r="S2718" s="24"/>
      <c r="T2718" s="24"/>
      <c r="U2718" s="24"/>
      <c r="V2718" s="24"/>
      <c r="W2718" s="24"/>
      <c r="X2718" s="24"/>
      <c r="Y2718" s="24"/>
      <c r="Z2718" s="24"/>
      <c r="AA2718" s="24"/>
      <c r="AB2718" s="24"/>
      <c r="AC2718" s="24"/>
      <c r="AD2718" s="24"/>
      <c r="AE2718" s="24"/>
      <c r="AF2718" s="24"/>
      <c r="AG2718" s="24"/>
      <c r="AH2718" s="24"/>
      <c r="AI2718" s="24"/>
      <c r="AJ2718" s="24"/>
      <c r="AK2718" s="24"/>
      <c r="AL2718" s="24"/>
      <c r="AM2718" s="24"/>
      <c r="AN2718" s="24"/>
      <c r="AO2718" s="24"/>
      <c r="AP2718" s="24"/>
      <c r="AQ2718" s="24"/>
      <c r="AR2718" s="54"/>
    </row>
    <row r="2719">
      <c r="A2719" s="57"/>
      <c r="B2719" s="24"/>
      <c r="C2719" s="24"/>
      <c r="D2719" s="24"/>
      <c r="E2719" s="24"/>
      <c r="F2719" s="24"/>
      <c r="G2719" s="24"/>
      <c r="H2719" s="24"/>
      <c r="I2719" s="24"/>
      <c r="J2719" s="24"/>
      <c r="K2719" s="24"/>
      <c r="L2719" s="24"/>
      <c r="M2719" s="24"/>
      <c r="N2719" s="24"/>
      <c r="O2719" s="24"/>
      <c r="P2719" s="24"/>
      <c r="Q2719" s="24"/>
      <c r="R2719" s="24"/>
      <c r="S2719" s="24"/>
      <c r="T2719" s="24"/>
      <c r="U2719" s="24"/>
      <c r="V2719" s="24"/>
      <c r="W2719" s="24"/>
      <c r="X2719" s="24"/>
      <c r="Y2719" s="24"/>
      <c r="Z2719" s="24"/>
      <c r="AA2719" s="24"/>
      <c r="AB2719" s="24"/>
      <c r="AC2719" s="24"/>
      <c r="AD2719" s="24"/>
      <c r="AE2719" s="24"/>
      <c r="AF2719" s="24"/>
      <c r="AG2719" s="24"/>
      <c r="AH2719" s="24"/>
      <c r="AI2719" s="24"/>
      <c r="AJ2719" s="24"/>
      <c r="AK2719" s="24"/>
      <c r="AL2719" s="24"/>
      <c r="AM2719" s="24"/>
      <c r="AN2719" s="24"/>
      <c r="AO2719" s="24"/>
      <c r="AP2719" s="24"/>
      <c r="AQ2719" s="24"/>
      <c r="AR2719" s="54"/>
    </row>
    <row r="2720">
      <c r="A2720" s="57"/>
      <c r="B2720" s="24"/>
      <c r="C2720" s="24"/>
      <c r="D2720" s="24"/>
      <c r="E2720" s="24"/>
      <c r="F2720" s="24"/>
      <c r="G2720" s="24"/>
      <c r="H2720" s="24"/>
      <c r="I2720" s="24"/>
      <c r="J2720" s="24"/>
      <c r="K2720" s="24"/>
      <c r="L2720" s="24"/>
      <c r="M2720" s="24"/>
      <c r="N2720" s="24"/>
      <c r="O2720" s="24"/>
      <c r="P2720" s="24"/>
      <c r="Q2720" s="24"/>
      <c r="R2720" s="24"/>
      <c r="S2720" s="24"/>
      <c r="T2720" s="24"/>
      <c r="U2720" s="24"/>
      <c r="V2720" s="24"/>
      <c r="W2720" s="24"/>
      <c r="X2720" s="24"/>
      <c r="Y2720" s="24"/>
      <c r="Z2720" s="24"/>
      <c r="AA2720" s="24"/>
      <c r="AB2720" s="24"/>
      <c r="AC2720" s="24"/>
      <c r="AD2720" s="24"/>
      <c r="AE2720" s="24"/>
      <c r="AF2720" s="24"/>
      <c r="AG2720" s="24"/>
      <c r="AH2720" s="24"/>
      <c r="AI2720" s="24"/>
      <c r="AJ2720" s="24"/>
      <c r="AK2720" s="24"/>
      <c r="AL2720" s="24"/>
      <c r="AM2720" s="24"/>
      <c r="AN2720" s="24"/>
      <c r="AO2720" s="24"/>
      <c r="AP2720" s="24"/>
      <c r="AQ2720" s="24"/>
      <c r="AR2720" s="54"/>
    </row>
    <row r="2721">
      <c r="A2721" s="57"/>
      <c r="B2721" s="24"/>
      <c r="C2721" s="24"/>
      <c r="D2721" s="24"/>
      <c r="E2721" s="24"/>
      <c r="F2721" s="24"/>
      <c r="G2721" s="24"/>
      <c r="H2721" s="24"/>
      <c r="I2721" s="24"/>
      <c r="J2721" s="24"/>
      <c r="K2721" s="24"/>
      <c r="L2721" s="24"/>
      <c r="M2721" s="24"/>
      <c r="N2721" s="24"/>
      <c r="O2721" s="24"/>
      <c r="P2721" s="24"/>
      <c r="Q2721" s="24"/>
      <c r="R2721" s="24"/>
      <c r="S2721" s="24"/>
      <c r="T2721" s="24"/>
      <c r="U2721" s="24"/>
      <c r="V2721" s="24"/>
      <c r="W2721" s="24"/>
      <c r="X2721" s="24"/>
      <c r="Y2721" s="24"/>
      <c r="Z2721" s="24"/>
      <c r="AA2721" s="24"/>
      <c r="AB2721" s="24"/>
      <c r="AC2721" s="24"/>
      <c r="AD2721" s="24"/>
      <c r="AE2721" s="24"/>
      <c r="AF2721" s="24"/>
      <c r="AG2721" s="24"/>
      <c r="AH2721" s="24"/>
      <c r="AI2721" s="24"/>
      <c r="AJ2721" s="24"/>
      <c r="AK2721" s="24"/>
      <c r="AL2721" s="24"/>
      <c r="AM2721" s="24"/>
      <c r="AN2721" s="24"/>
      <c r="AO2721" s="24"/>
      <c r="AP2721" s="24"/>
      <c r="AQ2721" s="24"/>
      <c r="AR2721" s="54"/>
    </row>
    <row r="2722">
      <c r="A2722" s="57"/>
      <c r="B2722" s="24"/>
      <c r="C2722" s="24"/>
      <c r="D2722" s="24"/>
      <c r="E2722" s="24"/>
      <c r="F2722" s="24"/>
      <c r="G2722" s="24"/>
      <c r="H2722" s="24"/>
      <c r="I2722" s="24"/>
      <c r="J2722" s="24"/>
      <c r="K2722" s="24"/>
      <c r="L2722" s="24"/>
      <c r="M2722" s="24"/>
      <c r="N2722" s="24"/>
      <c r="O2722" s="24"/>
      <c r="P2722" s="24"/>
      <c r="Q2722" s="24"/>
      <c r="R2722" s="24"/>
      <c r="S2722" s="24"/>
      <c r="T2722" s="24"/>
      <c r="U2722" s="24"/>
      <c r="V2722" s="24"/>
      <c r="W2722" s="24"/>
      <c r="X2722" s="24"/>
      <c r="Y2722" s="24"/>
      <c r="Z2722" s="24"/>
      <c r="AA2722" s="24"/>
      <c r="AB2722" s="24"/>
      <c r="AC2722" s="24"/>
      <c r="AD2722" s="24"/>
      <c r="AE2722" s="24"/>
      <c r="AF2722" s="24"/>
      <c r="AG2722" s="24"/>
      <c r="AH2722" s="24"/>
      <c r="AI2722" s="24"/>
      <c r="AJ2722" s="24"/>
      <c r="AK2722" s="24"/>
      <c r="AL2722" s="24"/>
      <c r="AM2722" s="24"/>
      <c r="AN2722" s="24"/>
      <c r="AO2722" s="24"/>
      <c r="AP2722" s="24"/>
      <c r="AQ2722" s="24"/>
      <c r="AR2722" s="54"/>
    </row>
    <row r="2723">
      <c r="A2723" s="57"/>
      <c r="B2723" s="24"/>
      <c r="C2723" s="24"/>
      <c r="D2723" s="24"/>
      <c r="E2723" s="24"/>
      <c r="F2723" s="24"/>
      <c r="G2723" s="24"/>
      <c r="H2723" s="24"/>
      <c r="I2723" s="24"/>
      <c r="J2723" s="24"/>
      <c r="K2723" s="24"/>
      <c r="L2723" s="24"/>
      <c r="M2723" s="24"/>
      <c r="N2723" s="24"/>
      <c r="O2723" s="24"/>
      <c r="P2723" s="24"/>
      <c r="Q2723" s="24"/>
      <c r="R2723" s="24"/>
      <c r="S2723" s="24"/>
      <c r="T2723" s="24"/>
      <c r="U2723" s="24"/>
      <c r="V2723" s="24"/>
      <c r="W2723" s="24"/>
      <c r="X2723" s="24"/>
      <c r="Y2723" s="24"/>
      <c r="Z2723" s="24"/>
      <c r="AA2723" s="24"/>
      <c r="AB2723" s="24"/>
      <c r="AC2723" s="24"/>
      <c r="AD2723" s="24"/>
      <c r="AE2723" s="24"/>
      <c r="AF2723" s="24"/>
      <c r="AG2723" s="24"/>
      <c r="AH2723" s="24"/>
      <c r="AI2723" s="24"/>
      <c r="AJ2723" s="24"/>
      <c r="AK2723" s="24"/>
      <c r="AL2723" s="24"/>
      <c r="AM2723" s="24"/>
      <c r="AN2723" s="24"/>
      <c r="AO2723" s="24"/>
      <c r="AP2723" s="24"/>
      <c r="AQ2723" s="24"/>
      <c r="AR2723" s="54"/>
    </row>
    <row r="2724">
      <c r="A2724" s="57"/>
      <c r="B2724" s="24"/>
      <c r="C2724" s="24"/>
      <c r="D2724" s="24"/>
      <c r="E2724" s="24"/>
      <c r="F2724" s="24"/>
      <c r="G2724" s="24"/>
      <c r="H2724" s="24"/>
      <c r="I2724" s="24"/>
      <c r="J2724" s="24"/>
      <c r="K2724" s="24"/>
      <c r="L2724" s="24"/>
      <c r="M2724" s="24"/>
      <c r="N2724" s="24"/>
      <c r="O2724" s="24"/>
      <c r="P2724" s="24"/>
      <c r="Q2724" s="24"/>
      <c r="R2724" s="24"/>
      <c r="S2724" s="24"/>
      <c r="T2724" s="24"/>
      <c r="U2724" s="24"/>
      <c r="V2724" s="24"/>
      <c r="W2724" s="24"/>
      <c r="X2724" s="24"/>
      <c r="Y2724" s="24"/>
      <c r="Z2724" s="24"/>
      <c r="AA2724" s="24"/>
      <c r="AB2724" s="24"/>
      <c r="AC2724" s="24"/>
      <c r="AD2724" s="24"/>
      <c r="AE2724" s="24"/>
      <c r="AF2724" s="24"/>
      <c r="AG2724" s="24"/>
      <c r="AH2724" s="24"/>
      <c r="AI2724" s="24"/>
      <c r="AJ2724" s="24"/>
      <c r="AK2724" s="24"/>
      <c r="AL2724" s="24"/>
      <c r="AM2724" s="24"/>
      <c r="AN2724" s="24"/>
      <c r="AO2724" s="24"/>
      <c r="AP2724" s="24"/>
      <c r="AQ2724" s="24"/>
      <c r="AR2724" s="54"/>
    </row>
    <row r="2725">
      <c r="A2725" s="57"/>
      <c r="B2725" s="24"/>
      <c r="C2725" s="24"/>
      <c r="D2725" s="24"/>
      <c r="E2725" s="24"/>
      <c r="F2725" s="24"/>
      <c r="G2725" s="24"/>
      <c r="H2725" s="24"/>
      <c r="I2725" s="24"/>
      <c r="J2725" s="24"/>
      <c r="K2725" s="24"/>
      <c r="L2725" s="24"/>
      <c r="M2725" s="24"/>
      <c r="N2725" s="24"/>
      <c r="O2725" s="24"/>
      <c r="P2725" s="24"/>
      <c r="Q2725" s="24"/>
      <c r="R2725" s="24"/>
      <c r="S2725" s="24"/>
      <c r="T2725" s="24"/>
      <c r="U2725" s="24"/>
      <c r="V2725" s="24"/>
      <c r="W2725" s="24"/>
      <c r="X2725" s="24"/>
      <c r="Y2725" s="24"/>
      <c r="Z2725" s="24"/>
      <c r="AA2725" s="24"/>
      <c r="AB2725" s="24"/>
      <c r="AC2725" s="24"/>
      <c r="AD2725" s="24"/>
      <c r="AE2725" s="24"/>
      <c r="AF2725" s="24"/>
      <c r="AG2725" s="24"/>
      <c r="AH2725" s="24"/>
      <c r="AI2725" s="24"/>
      <c r="AJ2725" s="24"/>
      <c r="AK2725" s="24"/>
      <c r="AL2725" s="24"/>
      <c r="AM2725" s="24"/>
      <c r="AN2725" s="24"/>
      <c r="AO2725" s="24"/>
      <c r="AP2725" s="24"/>
      <c r="AQ2725" s="24"/>
      <c r="AR2725" s="54"/>
    </row>
    <row r="2726">
      <c r="A2726" s="57"/>
      <c r="B2726" s="24"/>
      <c r="C2726" s="24"/>
      <c r="D2726" s="24"/>
      <c r="E2726" s="24"/>
      <c r="F2726" s="24"/>
      <c r="G2726" s="24"/>
      <c r="H2726" s="24"/>
      <c r="I2726" s="24"/>
      <c r="J2726" s="24"/>
      <c r="K2726" s="24"/>
      <c r="L2726" s="24"/>
      <c r="M2726" s="24"/>
      <c r="N2726" s="24"/>
      <c r="O2726" s="24"/>
      <c r="P2726" s="24"/>
      <c r="Q2726" s="24"/>
      <c r="R2726" s="24"/>
      <c r="S2726" s="24"/>
      <c r="T2726" s="24"/>
      <c r="U2726" s="24"/>
      <c r="V2726" s="24"/>
      <c r="W2726" s="24"/>
      <c r="X2726" s="24"/>
      <c r="Y2726" s="24"/>
      <c r="Z2726" s="24"/>
      <c r="AA2726" s="24"/>
      <c r="AB2726" s="24"/>
      <c r="AC2726" s="24"/>
      <c r="AD2726" s="24"/>
      <c r="AE2726" s="24"/>
      <c r="AF2726" s="24"/>
      <c r="AG2726" s="24"/>
      <c r="AH2726" s="24"/>
      <c r="AI2726" s="24"/>
      <c r="AJ2726" s="24"/>
      <c r="AK2726" s="24"/>
      <c r="AL2726" s="24"/>
      <c r="AM2726" s="24"/>
      <c r="AN2726" s="24"/>
      <c r="AO2726" s="24"/>
      <c r="AP2726" s="24"/>
      <c r="AQ2726" s="24"/>
      <c r="AR2726" s="54"/>
    </row>
    <row r="2727">
      <c r="A2727" s="57"/>
      <c r="B2727" s="24"/>
      <c r="C2727" s="24"/>
      <c r="D2727" s="24"/>
      <c r="E2727" s="24"/>
      <c r="F2727" s="24"/>
      <c r="G2727" s="24"/>
      <c r="H2727" s="24"/>
      <c r="I2727" s="24"/>
      <c r="J2727" s="24"/>
      <c r="K2727" s="24"/>
      <c r="L2727" s="24"/>
      <c r="M2727" s="24"/>
      <c r="N2727" s="24"/>
      <c r="O2727" s="24"/>
      <c r="P2727" s="24"/>
      <c r="Q2727" s="24"/>
      <c r="R2727" s="24"/>
      <c r="S2727" s="24"/>
      <c r="T2727" s="24"/>
      <c r="U2727" s="24"/>
      <c r="V2727" s="24"/>
      <c r="W2727" s="24"/>
      <c r="X2727" s="24"/>
      <c r="Y2727" s="24"/>
      <c r="Z2727" s="24"/>
      <c r="AA2727" s="24"/>
      <c r="AB2727" s="24"/>
      <c r="AC2727" s="24"/>
      <c r="AD2727" s="24"/>
      <c r="AE2727" s="24"/>
      <c r="AF2727" s="24"/>
      <c r="AG2727" s="24"/>
      <c r="AH2727" s="24"/>
      <c r="AI2727" s="24"/>
      <c r="AJ2727" s="24"/>
      <c r="AK2727" s="24"/>
      <c r="AL2727" s="24"/>
      <c r="AM2727" s="24"/>
      <c r="AN2727" s="24"/>
      <c r="AO2727" s="24"/>
      <c r="AP2727" s="24"/>
      <c r="AQ2727" s="24"/>
      <c r="AR2727" s="54"/>
    </row>
    <row r="2728">
      <c r="A2728" s="57"/>
      <c r="B2728" s="24"/>
      <c r="C2728" s="24"/>
      <c r="D2728" s="24"/>
      <c r="E2728" s="24"/>
      <c r="F2728" s="24"/>
      <c r="G2728" s="24"/>
      <c r="H2728" s="24"/>
      <c r="I2728" s="24"/>
      <c r="J2728" s="24"/>
      <c r="K2728" s="24"/>
      <c r="L2728" s="24"/>
      <c r="M2728" s="24"/>
      <c r="N2728" s="24"/>
      <c r="O2728" s="24"/>
      <c r="P2728" s="24"/>
      <c r="Q2728" s="24"/>
      <c r="R2728" s="24"/>
      <c r="S2728" s="24"/>
      <c r="T2728" s="24"/>
      <c r="U2728" s="24"/>
      <c r="V2728" s="24"/>
      <c r="W2728" s="24"/>
      <c r="X2728" s="24"/>
      <c r="Y2728" s="24"/>
      <c r="Z2728" s="24"/>
      <c r="AA2728" s="24"/>
      <c r="AB2728" s="24"/>
      <c r="AC2728" s="24"/>
      <c r="AD2728" s="24"/>
      <c r="AE2728" s="24"/>
      <c r="AF2728" s="24"/>
      <c r="AG2728" s="24"/>
      <c r="AH2728" s="24"/>
      <c r="AI2728" s="24"/>
      <c r="AJ2728" s="24"/>
      <c r="AK2728" s="24"/>
      <c r="AL2728" s="24"/>
      <c r="AM2728" s="24"/>
      <c r="AN2728" s="24"/>
      <c r="AO2728" s="24"/>
      <c r="AP2728" s="24"/>
      <c r="AQ2728" s="24"/>
      <c r="AR2728" s="54"/>
    </row>
    <row r="2729">
      <c r="A2729" s="57"/>
      <c r="B2729" s="24"/>
      <c r="C2729" s="24"/>
      <c r="D2729" s="24"/>
      <c r="E2729" s="24"/>
      <c r="F2729" s="24"/>
      <c r="G2729" s="24"/>
      <c r="H2729" s="24"/>
      <c r="I2729" s="24"/>
      <c r="J2729" s="24"/>
      <c r="K2729" s="24"/>
      <c r="L2729" s="24"/>
      <c r="M2729" s="24"/>
      <c r="N2729" s="24"/>
      <c r="O2729" s="24"/>
      <c r="P2729" s="24"/>
      <c r="Q2729" s="24"/>
      <c r="R2729" s="24"/>
      <c r="S2729" s="24"/>
      <c r="T2729" s="24"/>
      <c r="U2729" s="24"/>
      <c r="V2729" s="24"/>
      <c r="W2729" s="24"/>
      <c r="X2729" s="24"/>
      <c r="Y2729" s="24"/>
      <c r="Z2729" s="24"/>
      <c r="AA2729" s="24"/>
      <c r="AB2729" s="24"/>
      <c r="AC2729" s="24"/>
      <c r="AD2729" s="24"/>
      <c r="AE2729" s="24"/>
      <c r="AF2729" s="24"/>
      <c r="AG2729" s="24"/>
      <c r="AH2729" s="24"/>
      <c r="AI2729" s="24"/>
      <c r="AJ2729" s="24"/>
      <c r="AK2729" s="24"/>
      <c r="AL2729" s="24"/>
      <c r="AM2729" s="24"/>
      <c r="AN2729" s="24"/>
      <c r="AO2729" s="24"/>
      <c r="AP2729" s="24"/>
      <c r="AQ2729" s="24"/>
      <c r="AR2729" s="54"/>
    </row>
    <row r="2730">
      <c r="A2730" s="57"/>
      <c r="B2730" s="24"/>
      <c r="C2730" s="24"/>
      <c r="D2730" s="24"/>
      <c r="E2730" s="24"/>
      <c r="F2730" s="24"/>
      <c r="G2730" s="24"/>
      <c r="H2730" s="24"/>
      <c r="I2730" s="24"/>
      <c r="J2730" s="24"/>
      <c r="K2730" s="24"/>
      <c r="L2730" s="24"/>
      <c r="M2730" s="24"/>
      <c r="N2730" s="24"/>
      <c r="O2730" s="24"/>
      <c r="P2730" s="24"/>
      <c r="Q2730" s="24"/>
      <c r="R2730" s="24"/>
      <c r="S2730" s="24"/>
      <c r="T2730" s="24"/>
      <c r="U2730" s="24"/>
      <c r="V2730" s="24"/>
      <c r="W2730" s="24"/>
      <c r="X2730" s="24"/>
      <c r="Y2730" s="24"/>
      <c r="Z2730" s="24"/>
      <c r="AA2730" s="24"/>
      <c r="AB2730" s="24"/>
      <c r="AC2730" s="24"/>
      <c r="AD2730" s="24"/>
      <c r="AE2730" s="24"/>
      <c r="AF2730" s="24"/>
      <c r="AG2730" s="24"/>
      <c r="AH2730" s="24"/>
      <c r="AI2730" s="24"/>
      <c r="AJ2730" s="24"/>
      <c r="AK2730" s="24"/>
      <c r="AL2730" s="24"/>
      <c r="AM2730" s="24"/>
      <c r="AN2730" s="24"/>
      <c r="AO2730" s="24"/>
      <c r="AP2730" s="24"/>
      <c r="AQ2730" s="24"/>
      <c r="AR2730" s="54"/>
    </row>
    <row r="2731">
      <c r="A2731" s="57"/>
      <c r="B2731" s="24"/>
      <c r="C2731" s="24"/>
      <c r="D2731" s="24"/>
      <c r="E2731" s="24"/>
      <c r="F2731" s="24"/>
      <c r="G2731" s="24"/>
      <c r="H2731" s="24"/>
      <c r="I2731" s="24"/>
      <c r="J2731" s="24"/>
      <c r="K2731" s="24"/>
      <c r="L2731" s="24"/>
      <c r="M2731" s="24"/>
      <c r="N2731" s="24"/>
      <c r="O2731" s="24"/>
      <c r="P2731" s="24"/>
      <c r="Q2731" s="24"/>
      <c r="R2731" s="24"/>
      <c r="S2731" s="24"/>
      <c r="T2731" s="24"/>
      <c r="U2731" s="24"/>
      <c r="V2731" s="24"/>
      <c r="W2731" s="24"/>
      <c r="X2731" s="24"/>
      <c r="Y2731" s="24"/>
      <c r="Z2731" s="24"/>
      <c r="AA2731" s="24"/>
      <c r="AB2731" s="24"/>
      <c r="AC2731" s="24"/>
      <c r="AD2731" s="24"/>
      <c r="AE2731" s="24"/>
      <c r="AF2731" s="24"/>
      <c r="AG2731" s="24"/>
      <c r="AH2731" s="24"/>
      <c r="AI2731" s="24"/>
      <c r="AJ2731" s="24"/>
      <c r="AK2731" s="24"/>
      <c r="AL2731" s="24"/>
      <c r="AM2731" s="24"/>
      <c r="AN2731" s="24"/>
      <c r="AO2731" s="24"/>
      <c r="AP2731" s="24"/>
      <c r="AQ2731" s="24"/>
      <c r="AR2731" s="54"/>
    </row>
    <row r="2732">
      <c r="A2732" s="57"/>
      <c r="B2732" s="24"/>
      <c r="C2732" s="24"/>
      <c r="D2732" s="24"/>
      <c r="E2732" s="24"/>
      <c r="F2732" s="24"/>
      <c r="G2732" s="24"/>
      <c r="H2732" s="24"/>
      <c r="I2732" s="24"/>
      <c r="J2732" s="24"/>
      <c r="K2732" s="24"/>
      <c r="L2732" s="24"/>
      <c r="M2732" s="24"/>
      <c r="N2732" s="24"/>
      <c r="O2732" s="24"/>
      <c r="P2732" s="24"/>
      <c r="Q2732" s="24"/>
      <c r="R2732" s="24"/>
      <c r="S2732" s="24"/>
      <c r="T2732" s="24"/>
      <c r="U2732" s="24"/>
      <c r="V2732" s="24"/>
      <c r="W2732" s="24"/>
      <c r="X2732" s="24"/>
      <c r="Y2732" s="24"/>
      <c r="Z2732" s="24"/>
      <c r="AA2732" s="24"/>
      <c r="AB2732" s="24"/>
      <c r="AC2732" s="24"/>
      <c r="AD2732" s="24"/>
      <c r="AE2732" s="24"/>
      <c r="AF2732" s="24"/>
      <c r="AG2732" s="24"/>
      <c r="AH2732" s="24"/>
      <c r="AI2732" s="24"/>
      <c r="AJ2732" s="24"/>
      <c r="AK2732" s="24"/>
      <c r="AL2732" s="24"/>
      <c r="AM2732" s="24"/>
      <c r="AN2732" s="24"/>
      <c r="AO2732" s="24"/>
      <c r="AP2732" s="24"/>
      <c r="AQ2732" s="24"/>
      <c r="AR2732" s="54"/>
    </row>
    <row r="2733">
      <c r="A2733" s="57"/>
      <c r="B2733" s="24"/>
      <c r="C2733" s="24"/>
      <c r="D2733" s="24"/>
      <c r="E2733" s="24"/>
      <c r="F2733" s="24"/>
      <c r="G2733" s="24"/>
      <c r="H2733" s="24"/>
      <c r="I2733" s="24"/>
      <c r="J2733" s="24"/>
      <c r="K2733" s="24"/>
      <c r="L2733" s="24"/>
      <c r="M2733" s="24"/>
      <c r="N2733" s="24"/>
      <c r="O2733" s="24"/>
      <c r="P2733" s="24"/>
      <c r="Q2733" s="24"/>
      <c r="R2733" s="24"/>
      <c r="S2733" s="24"/>
      <c r="T2733" s="24"/>
      <c r="U2733" s="24"/>
      <c r="V2733" s="24"/>
      <c r="W2733" s="24"/>
      <c r="X2733" s="24"/>
      <c r="Y2733" s="24"/>
      <c r="Z2733" s="24"/>
      <c r="AA2733" s="24"/>
      <c r="AB2733" s="24"/>
      <c r="AC2733" s="24"/>
      <c r="AD2733" s="24"/>
      <c r="AE2733" s="24"/>
      <c r="AF2733" s="24"/>
      <c r="AG2733" s="24"/>
      <c r="AH2733" s="24"/>
      <c r="AI2733" s="24"/>
      <c r="AJ2733" s="24"/>
      <c r="AK2733" s="24"/>
      <c r="AL2733" s="24"/>
      <c r="AM2733" s="24"/>
      <c r="AN2733" s="24"/>
      <c r="AO2733" s="24"/>
      <c r="AP2733" s="24"/>
      <c r="AQ2733" s="24"/>
      <c r="AR2733" s="54"/>
    </row>
    <row r="2734">
      <c r="A2734" s="57"/>
      <c r="B2734" s="24"/>
      <c r="C2734" s="24"/>
      <c r="D2734" s="24"/>
      <c r="E2734" s="24"/>
      <c r="F2734" s="24"/>
      <c r="G2734" s="24"/>
      <c r="H2734" s="24"/>
      <c r="I2734" s="24"/>
      <c r="J2734" s="24"/>
      <c r="K2734" s="24"/>
      <c r="L2734" s="24"/>
      <c r="M2734" s="24"/>
      <c r="N2734" s="24"/>
      <c r="O2734" s="24"/>
      <c r="P2734" s="24"/>
      <c r="Q2734" s="24"/>
      <c r="R2734" s="24"/>
      <c r="S2734" s="24"/>
      <c r="T2734" s="24"/>
      <c r="U2734" s="24"/>
      <c r="V2734" s="24"/>
      <c r="W2734" s="24"/>
      <c r="X2734" s="24"/>
      <c r="Y2734" s="24"/>
      <c r="Z2734" s="24"/>
      <c r="AA2734" s="24"/>
      <c r="AB2734" s="24"/>
      <c r="AC2734" s="24"/>
      <c r="AD2734" s="24"/>
      <c r="AE2734" s="24"/>
      <c r="AF2734" s="24"/>
      <c r="AG2734" s="24"/>
      <c r="AH2734" s="24"/>
      <c r="AI2734" s="24"/>
      <c r="AJ2734" s="24"/>
      <c r="AK2734" s="24"/>
      <c r="AL2734" s="24"/>
      <c r="AM2734" s="24"/>
      <c r="AN2734" s="24"/>
      <c r="AO2734" s="24"/>
      <c r="AP2734" s="24"/>
      <c r="AQ2734" s="24"/>
      <c r="AR2734" s="54"/>
    </row>
    <row r="2735">
      <c r="A2735" s="57"/>
      <c r="B2735" s="24"/>
      <c r="C2735" s="24"/>
      <c r="D2735" s="24"/>
      <c r="E2735" s="24"/>
      <c r="F2735" s="24"/>
      <c r="G2735" s="24"/>
      <c r="H2735" s="24"/>
      <c r="I2735" s="24"/>
      <c r="J2735" s="24"/>
      <c r="K2735" s="24"/>
      <c r="L2735" s="24"/>
      <c r="M2735" s="24"/>
      <c r="N2735" s="24"/>
      <c r="O2735" s="24"/>
      <c r="P2735" s="24"/>
      <c r="Q2735" s="24"/>
      <c r="R2735" s="24"/>
      <c r="S2735" s="24"/>
      <c r="T2735" s="24"/>
      <c r="U2735" s="24"/>
      <c r="V2735" s="24"/>
      <c r="W2735" s="24"/>
      <c r="X2735" s="24"/>
      <c r="Y2735" s="24"/>
      <c r="Z2735" s="24"/>
      <c r="AA2735" s="24"/>
      <c r="AB2735" s="24"/>
      <c r="AC2735" s="24"/>
      <c r="AD2735" s="24"/>
      <c r="AE2735" s="24"/>
      <c r="AF2735" s="24"/>
      <c r="AG2735" s="24"/>
      <c r="AH2735" s="24"/>
      <c r="AI2735" s="24"/>
      <c r="AJ2735" s="24"/>
      <c r="AK2735" s="24"/>
      <c r="AL2735" s="24"/>
      <c r="AM2735" s="24"/>
      <c r="AN2735" s="24"/>
      <c r="AO2735" s="24"/>
      <c r="AP2735" s="24"/>
      <c r="AQ2735" s="24"/>
      <c r="AR2735" s="54"/>
    </row>
    <row r="2736">
      <c r="A2736" s="57"/>
      <c r="B2736" s="24"/>
      <c r="C2736" s="24"/>
      <c r="D2736" s="24"/>
      <c r="E2736" s="24"/>
      <c r="F2736" s="24"/>
      <c r="G2736" s="24"/>
      <c r="H2736" s="24"/>
      <c r="I2736" s="24"/>
      <c r="J2736" s="24"/>
      <c r="K2736" s="24"/>
      <c r="L2736" s="24"/>
      <c r="M2736" s="24"/>
      <c r="N2736" s="24"/>
      <c r="O2736" s="24"/>
      <c r="P2736" s="24"/>
      <c r="Q2736" s="24"/>
      <c r="R2736" s="24"/>
      <c r="S2736" s="24"/>
      <c r="T2736" s="24"/>
      <c r="U2736" s="24"/>
      <c r="V2736" s="24"/>
      <c r="W2736" s="24"/>
      <c r="X2736" s="24"/>
      <c r="Y2736" s="24"/>
      <c r="Z2736" s="24"/>
      <c r="AA2736" s="24"/>
      <c r="AB2736" s="24"/>
      <c r="AC2736" s="24"/>
      <c r="AD2736" s="24"/>
      <c r="AE2736" s="24"/>
      <c r="AF2736" s="24"/>
      <c r="AG2736" s="24"/>
      <c r="AH2736" s="24"/>
      <c r="AI2736" s="24"/>
      <c r="AJ2736" s="24"/>
      <c r="AK2736" s="24"/>
      <c r="AL2736" s="24"/>
      <c r="AM2736" s="24"/>
      <c r="AN2736" s="24"/>
      <c r="AO2736" s="24"/>
      <c r="AP2736" s="24"/>
      <c r="AQ2736" s="24"/>
      <c r="AR2736" s="54"/>
    </row>
    <row r="2737">
      <c r="A2737" s="57"/>
      <c r="B2737" s="24"/>
      <c r="C2737" s="24"/>
      <c r="D2737" s="24"/>
      <c r="E2737" s="24"/>
      <c r="F2737" s="24"/>
      <c r="G2737" s="24"/>
      <c r="H2737" s="24"/>
      <c r="I2737" s="24"/>
      <c r="J2737" s="24"/>
      <c r="K2737" s="24"/>
      <c r="L2737" s="24"/>
      <c r="M2737" s="24"/>
      <c r="N2737" s="24"/>
      <c r="O2737" s="24"/>
      <c r="P2737" s="24"/>
      <c r="Q2737" s="24"/>
      <c r="R2737" s="24"/>
      <c r="S2737" s="24"/>
      <c r="T2737" s="24"/>
      <c r="U2737" s="24"/>
      <c r="V2737" s="24"/>
      <c r="W2737" s="24"/>
      <c r="X2737" s="24"/>
      <c r="Y2737" s="24"/>
      <c r="Z2737" s="24"/>
      <c r="AA2737" s="24"/>
      <c r="AB2737" s="24"/>
      <c r="AC2737" s="24"/>
      <c r="AD2737" s="24"/>
      <c r="AE2737" s="24"/>
      <c r="AF2737" s="24"/>
      <c r="AG2737" s="24"/>
      <c r="AH2737" s="24"/>
      <c r="AI2737" s="24"/>
      <c r="AJ2737" s="24"/>
      <c r="AK2737" s="24"/>
      <c r="AL2737" s="24"/>
      <c r="AM2737" s="24"/>
      <c r="AN2737" s="24"/>
      <c r="AO2737" s="24"/>
      <c r="AP2737" s="24"/>
      <c r="AQ2737" s="24"/>
      <c r="AR2737" s="54"/>
    </row>
    <row r="2738">
      <c r="A2738" s="57"/>
      <c r="B2738" s="24"/>
      <c r="C2738" s="24"/>
      <c r="D2738" s="24"/>
      <c r="E2738" s="24"/>
      <c r="F2738" s="24"/>
      <c r="G2738" s="24"/>
      <c r="H2738" s="24"/>
      <c r="I2738" s="24"/>
      <c r="J2738" s="24"/>
      <c r="K2738" s="24"/>
      <c r="L2738" s="24"/>
      <c r="M2738" s="24"/>
      <c r="N2738" s="24"/>
      <c r="O2738" s="24"/>
      <c r="P2738" s="24"/>
      <c r="Q2738" s="24"/>
      <c r="R2738" s="24"/>
      <c r="S2738" s="24"/>
      <c r="T2738" s="24"/>
      <c r="U2738" s="24"/>
      <c r="V2738" s="24"/>
      <c r="W2738" s="24"/>
      <c r="X2738" s="24"/>
      <c r="Y2738" s="24"/>
      <c r="Z2738" s="24"/>
      <c r="AA2738" s="24"/>
      <c r="AB2738" s="24"/>
      <c r="AC2738" s="24"/>
      <c r="AD2738" s="24"/>
      <c r="AE2738" s="24"/>
      <c r="AF2738" s="24"/>
      <c r="AG2738" s="24"/>
      <c r="AH2738" s="24"/>
      <c r="AI2738" s="24"/>
      <c r="AJ2738" s="24"/>
      <c r="AK2738" s="24"/>
      <c r="AL2738" s="24"/>
      <c r="AM2738" s="24"/>
      <c r="AN2738" s="24"/>
      <c r="AO2738" s="24"/>
      <c r="AP2738" s="24"/>
      <c r="AQ2738" s="24"/>
      <c r="AR2738" s="54"/>
    </row>
    <row r="2739">
      <c r="A2739" s="57"/>
      <c r="B2739" s="24"/>
      <c r="C2739" s="24"/>
      <c r="D2739" s="24"/>
      <c r="E2739" s="24"/>
      <c r="F2739" s="24"/>
      <c r="G2739" s="24"/>
      <c r="H2739" s="24"/>
      <c r="I2739" s="24"/>
      <c r="J2739" s="24"/>
      <c r="K2739" s="24"/>
      <c r="L2739" s="24"/>
      <c r="M2739" s="24"/>
      <c r="N2739" s="24"/>
      <c r="O2739" s="24"/>
      <c r="P2739" s="24"/>
      <c r="Q2739" s="24"/>
      <c r="R2739" s="24"/>
      <c r="S2739" s="24"/>
      <c r="T2739" s="24"/>
      <c r="U2739" s="24"/>
      <c r="V2739" s="24"/>
      <c r="W2739" s="24"/>
      <c r="X2739" s="24"/>
      <c r="Y2739" s="24"/>
      <c r="Z2739" s="24"/>
      <c r="AA2739" s="24"/>
      <c r="AB2739" s="24"/>
      <c r="AC2739" s="24"/>
      <c r="AD2739" s="24"/>
      <c r="AE2739" s="24"/>
      <c r="AF2739" s="24"/>
      <c r="AG2739" s="24"/>
      <c r="AH2739" s="24"/>
      <c r="AI2739" s="24"/>
      <c r="AJ2739" s="24"/>
      <c r="AK2739" s="24"/>
      <c r="AL2739" s="24"/>
      <c r="AM2739" s="24"/>
      <c r="AN2739" s="24"/>
      <c r="AO2739" s="24"/>
      <c r="AP2739" s="24"/>
      <c r="AQ2739" s="24"/>
      <c r="AR2739" s="54"/>
    </row>
    <row r="2740">
      <c r="A2740" s="57"/>
      <c r="B2740" s="24"/>
      <c r="C2740" s="24"/>
      <c r="D2740" s="24"/>
      <c r="E2740" s="24"/>
      <c r="F2740" s="24"/>
      <c r="G2740" s="24"/>
      <c r="H2740" s="24"/>
      <c r="I2740" s="24"/>
      <c r="J2740" s="24"/>
      <c r="K2740" s="24"/>
      <c r="L2740" s="24"/>
      <c r="M2740" s="24"/>
      <c r="N2740" s="24"/>
      <c r="O2740" s="24"/>
      <c r="P2740" s="24"/>
      <c r="Q2740" s="24"/>
      <c r="R2740" s="24"/>
      <c r="S2740" s="24"/>
      <c r="T2740" s="24"/>
      <c r="U2740" s="24"/>
      <c r="V2740" s="24"/>
      <c r="W2740" s="24"/>
      <c r="X2740" s="24"/>
      <c r="Y2740" s="24"/>
      <c r="Z2740" s="24"/>
      <c r="AA2740" s="24"/>
      <c r="AB2740" s="24"/>
      <c r="AC2740" s="24"/>
      <c r="AD2740" s="24"/>
      <c r="AE2740" s="24"/>
      <c r="AF2740" s="24"/>
      <c r="AG2740" s="24"/>
      <c r="AH2740" s="24"/>
      <c r="AI2740" s="24"/>
      <c r="AJ2740" s="24"/>
      <c r="AK2740" s="24"/>
      <c r="AL2740" s="24"/>
      <c r="AM2740" s="24"/>
      <c r="AN2740" s="24"/>
      <c r="AO2740" s="24"/>
      <c r="AP2740" s="24"/>
      <c r="AQ2740" s="24"/>
      <c r="AR2740" s="54"/>
    </row>
    <row r="2741">
      <c r="A2741" s="57"/>
      <c r="B2741" s="24"/>
      <c r="C2741" s="24"/>
      <c r="D2741" s="24"/>
      <c r="E2741" s="24"/>
      <c r="F2741" s="24"/>
      <c r="G2741" s="24"/>
      <c r="H2741" s="24"/>
      <c r="I2741" s="24"/>
      <c r="J2741" s="24"/>
      <c r="K2741" s="24"/>
      <c r="L2741" s="24"/>
      <c r="M2741" s="24"/>
      <c r="N2741" s="24"/>
      <c r="O2741" s="24"/>
      <c r="P2741" s="24"/>
      <c r="Q2741" s="24"/>
      <c r="R2741" s="24"/>
      <c r="S2741" s="24"/>
      <c r="T2741" s="24"/>
      <c r="U2741" s="24"/>
      <c r="V2741" s="24"/>
      <c r="W2741" s="24"/>
      <c r="X2741" s="24"/>
      <c r="Y2741" s="24"/>
      <c r="Z2741" s="24"/>
      <c r="AA2741" s="24"/>
      <c r="AB2741" s="24"/>
      <c r="AC2741" s="24"/>
      <c r="AD2741" s="24"/>
      <c r="AE2741" s="24"/>
      <c r="AF2741" s="24"/>
      <c r="AG2741" s="24"/>
      <c r="AH2741" s="24"/>
      <c r="AI2741" s="24"/>
      <c r="AJ2741" s="24"/>
      <c r="AK2741" s="24"/>
      <c r="AL2741" s="24"/>
      <c r="AM2741" s="24"/>
      <c r="AN2741" s="24"/>
      <c r="AO2741" s="24"/>
      <c r="AP2741" s="24"/>
      <c r="AQ2741" s="24"/>
      <c r="AR2741" s="54"/>
    </row>
    <row r="2742">
      <c r="A2742" s="57"/>
      <c r="B2742" s="24"/>
      <c r="C2742" s="24"/>
      <c r="D2742" s="24"/>
      <c r="E2742" s="24"/>
      <c r="F2742" s="24"/>
      <c r="G2742" s="24"/>
      <c r="H2742" s="24"/>
      <c r="I2742" s="24"/>
      <c r="J2742" s="24"/>
      <c r="K2742" s="24"/>
      <c r="L2742" s="24"/>
      <c r="M2742" s="24"/>
      <c r="N2742" s="24"/>
      <c r="O2742" s="24"/>
      <c r="P2742" s="24"/>
      <c r="Q2742" s="24"/>
      <c r="R2742" s="24"/>
      <c r="S2742" s="24"/>
      <c r="T2742" s="24"/>
      <c r="U2742" s="24"/>
      <c r="V2742" s="24"/>
      <c r="W2742" s="24"/>
      <c r="X2742" s="24"/>
      <c r="Y2742" s="24"/>
      <c r="Z2742" s="24"/>
      <c r="AA2742" s="24"/>
      <c r="AB2742" s="24"/>
      <c r="AC2742" s="24"/>
      <c r="AD2742" s="24"/>
      <c r="AE2742" s="24"/>
      <c r="AF2742" s="24"/>
      <c r="AG2742" s="24"/>
      <c r="AH2742" s="24"/>
      <c r="AI2742" s="24"/>
      <c r="AJ2742" s="24"/>
      <c r="AK2742" s="24"/>
      <c r="AL2742" s="24"/>
      <c r="AM2742" s="24"/>
      <c r="AN2742" s="24"/>
      <c r="AO2742" s="24"/>
      <c r="AP2742" s="24"/>
      <c r="AQ2742" s="24"/>
      <c r="AR2742" s="54"/>
    </row>
    <row r="2743">
      <c r="A2743" s="57"/>
      <c r="B2743" s="24"/>
      <c r="C2743" s="24"/>
      <c r="D2743" s="24"/>
      <c r="E2743" s="24"/>
      <c r="F2743" s="24"/>
      <c r="G2743" s="24"/>
      <c r="H2743" s="24"/>
      <c r="I2743" s="24"/>
      <c r="J2743" s="24"/>
      <c r="K2743" s="24"/>
      <c r="L2743" s="24"/>
      <c r="M2743" s="24"/>
      <c r="N2743" s="24"/>
      <c r="O2743" s="24"/>
      <c r="P2743" s="24"/>
      <c r="Q2743" s="24"/>
      <c r="R2743" s="24"/>
      <c r="S2743" s="24"/>
      <c r="T2743" s="24"/>
      <c r="U2743" s="24"/>
      <c r="V2743" s="24"/>
      <c r="W2743" s="24"/>
      <c r="X2743" s="24"/>
      <c r="Y2743" s="24"/>
      <c r="Z2743" s="24"/>
      <c r="AA2743" s="24"/>
      <c r="AB2743" s="24"/>
      <c r="AC2743" s="24"/>
      <c r="AD2743" s="24"/>
      <c r="AE2743" s="24"/>
      <c r="AF2743" s="24"/>
      <c r="AG2743" s="24"/>
      <c r="AH2743" s="24"/>
      <c r="AI2743" s="24"/>
      <c r="AJ2743" s="24"/>
      <c r="AK2743" s="24"/>
      <c r="AL2743" s="24"/>
      <c r="AM2743" s="24"/>
      <c r="AN2743" s="24"/>
      <c r="AO2743" s="24"/>
      <c r="AP2743" s="24"/>
      <c r="AQ2743" s="24"/>
      <c r="AR2743" s="54"/>
    </row>
    <row r="2744">
      <c r="A2744" s="57"/>
      <c r="B2744" s="24"/>
      <c r="C2744" s="24"/>
      <c r="D2744" s="24"/>
      <c r="E2744" s="24"/>
      <c r="F2744" s="24"/>
      <c r="G2744" s="24"/>
      <c r="H2744" s="24"/>
      <c r="I2744" s="24"/>
      <c r="J2744" s="24"/>
      <c r="K2744" s="24"/>
      <c r="L2744" s="24"/>
      <c r="M2744" s="24"/>
      <c r="N2744" s="24"/>
      <c r="O2744" s="24"/>
      <c r="P2744" s="24"/>
      <c r="Q2744" s="24"/>
      <c r="R2744" s="24"/>
      <c r="S2744" s="24"/>
      <c r="T2744" s="24"/>
      <c r="U2744" s="24"/>
      <c r="V2744" s="24"/>
      <c r="W2744" s="24"/>
      <c r="X2744" s="24"/>
      <c r="Y2744" s="24"/>
      <c r="Z2744" s="24"/>
      <c r="AA2744" s="24"/>
      <c r="AB2744" s="24"/>
      <c r="AC2744" s="24"/>
      <c r="AD2744" s="24"/>
      <c r="AE2744" s="24"/>
      <c r="AF2744" s="24"/>
      <c r="AG2744" s="24"/>
      <c r="AH2744" s="24"/>
      <c r="AI2744" s="24"/>
      <c r="AJ2744" s="24"/>
      <c r="AK2744" s="24"/>
      <c r="AL2744" s="24"/>
      <c r="AM2744" s="24"/>
      <c r="AN2744" s="24"/>
      <c r="AO2744" s="24"/>
      <c r="AP2744" s="24"/>
      <c r="AQ2744" s="24"/>
      <c r="AR2744" s="54"/>
    </row>
    <row r="2745">
      <c r="A2745" s="57"/>
      <c r="B2745" s="24"/>
      <c r="C2745" s="24"/>
      <c r="D2745" s="24"/>
      <c r="E2745" s="24"/>
      <c r="F2745" s="24"/>
      <c r="G2745" s="24"/>
      <c r="H2745" s="24"/>
      <c r="I2745" s="24"/>
      <c r="J2745" s="24"/>
      <c r="K2745" s="24"/>
      <c r="L2745" s="24"/>
      <c r="M2745" s="24"/>
      <c r="N2745" s="24"/>
      <c r="O2745" s="24"/>
      <c r="P2745" s="24"/>
      <c r="Q2745" s="24"/>
      <c r="R2745" s="24"/>
      <c r="S2745" s="24"/>
      <c r="T2745" s="24"/>
      <c r="U2745" s="24"/>
      <c r="V2745" s="24"/>
      <c r="W2745" s="24"/>
      <c r="X2745" s="24"/>
      <c r="Y2745" s="24"/>
      <c r="Z2745" s="24"/>
      <c r="AA2745" s="24"/>
      <c r="AB2745" s="24"/>
      <c r="AC2745" s="24"/>
      <c r="AD2745" s="24"/>
      <c r="AE2745" s="24"/>
      <c r="AF2745" s="24"/>
      <c r="AG2745" s="24"/>
      <c r="AH2745" s="24"/>
      <c r="AI2745" s="24"/>
      <c r="AJ2745" s="24"/>
      <c r="AK2745" s="24"/>
      <c r="AL2745" s="24"/>
      <c r="AM2745" s="24"/>
      <c r="AN2745" s="24"/>
      <c r="AO2745" s="24"/>
      <c r="AP2745" s="24"/>
      <c r="AQ2745" s="24"/>
      <c r="AR2745" s="54"/>
    </row>
    <row r="2746">
      <c r="A2746" s="57"/>
      <c r="B2746" s="24"/>
      <c r="C2746" s="24"/>
      <c r="D2746" s="24"/>
      <c r="E2746" s="24"/>
      <c r="F2746" s="24"/>
      <c r="G2746" s="24"/>
      <c r="H2746" s="24"/>
      <c r="I2746" s="24"/>
      <c r="J2746" s="24"/>
      <c r="K2746" s="24"/>
      <c r="L2746" s="24"/>
      <c r="M2746" s="24"/>
      <c r="N2746" s="24"/>
      <c r="O2746" s="24"/>
      <c r="P2746" s="24"/>
      <c r="Q2746" s="24"/>
      <c r="R2746" s="24"/>
      <c r="S2746" s="24"/>
      <c r="T2746" s="24"/>
      <c r="U2746" s="24"/>
      <c r="V2746" s="24"/>
      <c r="W2746" s="24"/>
      <c r="X2746" s="24"/>
      <c r="Y2746" s="24"/>
      <c r="Z2746" s="24"/>
      <c r="AA2746" s="24"/>
      <c r="AB2746" s="24"/>
      <c r="AC2746" s="24"/>
      <c r="AD2746" s="24"/>
      <c r="AE2746" s="24"/>
      <c r="AF2746" s="24"/>
      <c r="AG2746" s="24"/>
      <c r="AH2746" s="24"/>
      <c r="AI2746" s="24"/>
      <c r="AJ2746" s="24"/>
      <c r="AK2746" s="24"/>
      <c r="AL2746" s="24"/>
      <c r="AM2746" s="24"/>
      <c r="AN2746" s="24"/>
      <c r="AO2746" s="24"/>
      <c r="AP2746" s="24"/>
      <c r="AQ2746" s="24"/>
      <c r="AR2746" s="54"/>
    </row>
    <row r="2747">
      <c r="A2747" s="57"/>
      <c r="B2747" s="24"/>
      <c r="C2747" s="24"/>
      <c r="D2747" s="24"/>
      <c r="E2747" s="24"/>
      <c r="F2747" s="24"/>
      <c r="G2747" s="24"/>
      <c r="H2747" s="24"/>
      <c r="I2747" s="24"/>
      <c r="J2747" s="24"/>
      <c r="K2747" s="24"/>
      <c r="L2747" s="24"/>
      <c r="M2747" s="24"/>
      <c r="N2747" s="24"/>
      <c r="O2747" s="24"/>
      <c r="P2747" s="24"/>
      <c r="Q2747" s="24"/>
      <c r="R2747" s="24"/>
      <c r="S2747" s="24"/>
      <c r="T2747" s="24"/>
      <c r="U2747" s="24"/>
      <c r="V2747" s="24"/>
      <c r="W2747" s="24"/>
      <c r="X2747" s="24"/>
      <c r="Y2747" s="24"/>
      <c r="Z2747" s="24"/>
      <c r="AA2747" s="24"/>
      <c r="AB2747" s="24"/>
      <c r="AC2747" s="24"/>
      <c r="AD2747" s="24"/>
      <c r="AE2747" s="24"/>
      <c r="AF2747" s="24"/>
      <c r="AG2747" s="24"/>
      <c r="AH2747" s="24"/>
      <c r="AI2747" s="24"/>
      <c r="AJ2747" s="24"/>
      <c r="AK2747" s="24"/>
      <c r="AL2747" s="24"/>
      <c r="AM2747" s="24"/>
      <c r="AN2747" s="24"/>
      <c r="AO2747" s="24"/>
      <c r="AP2747" s="24"/>
      <c r="AQ2747" s="24"/>
      <c r="AR2747" s="54"/>
    </row>
    <row r="2748">
      <c r="A2748" s="57"/>
      <c r="B2748" s="24"/>
      <c r="C2748" s="24"/>
      <c r="D2748" s="24"/>
      <c r="E2748" s="24"/>
      <c r="F2748" s="24"/>
      <c r="G2748" s="24"/>
      <c r="H2748" s="24"/>
      <c r="I2748" s="24"/>
      <c r="J2748" s="24"/>
      <c r="K2748" s="24"/>
      <c r="L2748" s="24"/>
      <c r="M2748" s="24"/>
      <c r="N2748" s="24"/>
      <c r="O2748" s="24"/>
      <c r="P2748" s="24"/>
      <c r="Q2748" s="24"/>
      <c r="R2748" s="24"/>
      <c r="S2748" s="24"/>
      <c r="T2748" s="24"/>
      <c r="U2748" s="24"/>
      <c r="V2748" s="24"/>
      <c r="W2748" s="24"/>
      <c r="X2748" s="24"/>
      <c r="Y2748" s="24"/>
      <c r="Z2748" s="24"/>
      <c r="AA2748" s="24"/>
      <c r="AB2748" s="24"/>
      <c r="AC2748" s="24"/>
      <c r="AD2748" s="24"/>
      <c r="AE2748" s="24"/>
      <c r="AF2748" s="24"/>
      <c r="AG2748" s="24"/>
      <c r="AH2748" s="24"/>
      <c r="AI2748" s="24"/>
      <c r="AJ2748" s="24"/>
      <c r="AK2748" s="24"/>
      <c r="AL2748" s="24"/>
      <c r="AM2748" s="24"/>
      <c r="AN2748" s="24"/>
      <c r="AO2748" s="24"/>
      <c r="AP2748" s="24"/>
      <c r="AQ2748" s="24"/>
      <c r="AR2748" s="54"/>
    </row>
    <row r="2749">
      <c r="A2749" s="57"/>
      <c r="B2749" s="24"/>
      <c r="C2749" s="24"/>
      <c r="D2749" s="24"/>
      <c r="E2749" s="24"/>
      <c r="F2749" s="24"/>
      <c r="G2749" s="24"/>
      <c r="H2749" s="24"/>
      <c r="I2749" s="24"/>
      <c r="J2749" s="24"/>
      <c r="K2749" s="24"/>
      <c r="L2749" s="24"/>
      <c r="M2749" s="24"/>
      <c r="N2749" s="24"/>
      <c r="O2749" s="24"/>
      <c r="P2749" s="24"/>
      <c r="Q2749" s="24"/>
      <c r="R2749" s="24"/>
      <c r="S2749" s="24"/>
      <c r="T2749" s="24"/>
      <c r="U2749" s="24"/>
      <c r="V2749" s="24"/>
      <c r="W2749" s="24"/>
      <c r="X2749" s="24"/>
      <c r="Y2749" s="24"/>
      <c r="Z2749" s="24"/>
      <c r="AA2749" s="24"/>
      <c r="AB2749" s="24"/>
      <c r="AC2749" s="24"/>
      <c r="AD2749" s="24"/>
      <c r="AE2749" s="24"/>
      <c r="AF2749" s="24"/>
      <c r="AG2749" s="24"/>
      <c r="AH2749" s="24"/>
      <c r="AI2749" s="24"/>
      <c r="AJ2749" s="24"/>
      <c r="AK2749" s="24"/>
      <c r="AL2749" s="24"/>
      <c r="AM2749" s="24"/>
      <c r="AN2749" s="24"/>
      <c r="AO2749" s="24"/>
      <c r="AP2749" s="24"/>
      <c r="AQ2749" s="24"/>
      <c r="AR2749" s="54"/>
    </row>
    <row r="2750">
      <c r="A2750" s="57"/>
      <c r="B2750" s="24"/>
      <c r="C2750" s="24"/>
      <c r="D2750" s="24"/>
      <c r="E2750" s="24"/>
      <c r="F2750" s="24"/>
      <c r="G2750" s="24"/>
      <c r="H2750" s="24"/>
      <c r="I2750" s="24"/>
      <c r="J2750" s="24"/>
      <c r="K2750" s="24"/>
      <c r="L2750" s="24"/>
      <c r="M2750" s="24"/>
      <c r="N2750" s="24"/>
      <c r="O2750" s="24"/>
      <c r="P2750" s="24"/>
      <c r="Q2750" s="24"/>
      <c r="R2750" s="24"/>
      <c r="S2750" s="24"/>
      <c r="T2750" s="24"/>
      <c r="U2750" s="24"/>
      <c r="V2750" s="24"/>
      <c r="W2750" s="24"/>
      <c r="X2750" s="24"/>
      <c r="Y2750" s="24"/>
      <c r="Z2750" s="24"/>
      <c r="AA2750" s="24"/>
      <c r="AB2750" s="24"/>
      <c r="AC2750" s="24"/>
      <c r="AD2750" s="24"/>
      <c r="AE2750" s="24"/>
      <c r="AF2750" s="24"/>
      <c r="AG2750" s="24"/>
      <c r="AH2750" s="24"/>
      <c r="AI2750" s="24"/>
      <c r="AJ2750" s="24"/>
      <c r="AK2750" s="24"/>
      <c r="AL2750" s="24"/>
      <c r="AM2750" s="24"/>
      <c r="AN2750" s="24"/>
      <c r="AO2750" s="24"/>
      <c r="AP2750" s="24"/>
      <c r="AQ2750" s="24"/>
      <c r="AR2750" s="54"/>
    </row>
    <row r="2751">
      <c r="A2751" s="57"/>
      <c r="B2751" s="24"/>
      <c r="C2751" s="24"/>
      <c r="D2751" s="24"/>
      <c r="E2751" s="24"/>
      <c r="F2751" s="24"/>
      <c r="G2751" s="24"/>
      <c r="H2751" s="24"/>
      <c r="I2751" s="24"/>
      <c r="J2751" s="24"/>
      <c r="K2751" s="24"/>
      <c r="L2751" s="24"/>
      <c r="M2751" s="24"/>
      <c r="N2751" s="24"/>
      <c r="O2751" s="24"/>
      <c r="P2751" s="24"/>
      <c r="Q2751" s="24"/>
      <c r="R2751" s="24"/>
      <c r="S2751" s="24"/>
      <c r="T2751" s="24"/>
      <c r="U2751" s="24"/>
      <c r="V2751" s="24"/>
      <c r="W2751" s="24"/>
      <c r="X2751" s="24"/>
      <c r="Y2751" s="24"/>
      <c r="Z2751" s="24"/>
      <c r="AA2751" s="24"/>
      <c r="AB2751" s="24"/>
      <c r="AC2751" s="24"/>
      <c r="AD2751" s="24"/>
      <c r="AE2751" s="24"/>
      <c r="AF2751" s="24"/>
      <c r="AG2751" s="24"/>
      <c r="AH2751" s="24"/>
      <c r="AI2751" s="24"/>
      <c r="AJ2751" s="24"/>
      <c r="AK2751" s="24"/>
      <c r="AL2751" s="24"/>
      <c r="AM2751" s="24"/>
      <c r="AN2751" s="24"/>
      <c r="AO2751" s="24"/>
      <c r="AP2751" s="24"/>
      <c r="AQ2751" s="24"/>
      <c r="AR2751" s="54"/>
    </row>
    <row r="2752">
      <c r="A2752" s="57"/>
      <c r="B2752" s="24"/>
      <c r="C2752" s="24"/>
      <c r="D2752" s="24"/>
      <c r="E2752" s="24"/>
      <c r="F2752" s="24"/>
      <c r="G2752" s="24"/>
      <c r="H2752" s="24"/>
      <c r="I2752" s="24"/>
      <c r="J2752" s="24"/>
      <c r="K2752" s="24"/>
      <c r="L2752" s="24"/>
      <c r="M2752" s="24"/>
      <c r="N2752" s="24"/>
      <c r="O2752" s="24"/>
      <c r="P2752" s="24"/>
      <c r="Q2752" s="24"/>
      <c r="R2752" s="24"/>
      <c r="S2752" s="24"/>
      <c r="T2752" s="24"/>
      <c r="U2752" s="24"/>
      <c r="V2752" s="24"/>
      <c r="W2752" s="24"/>
      <c r="X2752" s="24"/>
      <c r="Y2752" s="24"/>
      <c r="Z2752" s="24"/>
      <c r="AA2752" s="24"/>
      <c r="AB2752" s="24"/>
      <c r="AC2752" s="24"/>
      <c r="AD2752" s="24"/>
      <c r="AE2752" s="24"/>
      <c r="AF2752" s="24"/>
      <c r="AG2752" s="24"/>
      <c r="AH2752" s="24"/>
      <c r="AI2752" s="24"/>
      <c r="AJ2752" s="24"/>
      <c r="AK2752" s="24"/>
      <c r="AL2752" s="24"/>
      <c r="AM2752" s="24"/>
      <c r="AN2752" s="24"/>
      <c r="AO2752" s="24"/>
      <c r="AP2752" s="24"/>
      <c r="AQ2752" s="24"/>
      <c r="AR2752" s="54"/>
    </row>
    <row r="2753">
      <c r="A2753" s="57"/>
      <c r="B2753" s="24"/>
      <c r="C2753" s="24"/>
      <c r="D2753" s="24"/>
      <c r="E2753" s="24"/>
      <c r="F2753" s="24"/>
      <c r="G2753" s="24"/>
      <c r="H2753" s="24"/>
      <c r="I2753" s="24"/>
      <c r="J2753" s="24"/>
      <c r="K2753" s="24"/>
      <c r="L2753" s="24"/>
      <c r="M2753" s="24"/>
      <c r="N2753" s="24"/>
      <c r="O2753" s="24"/>
      <c r="P2753" s="24"/>
      <c r="Q2753" s="24"/>
      <c r="R2753" s="24"/>
      <c r="S2753" s="24"/>
      <c r="T2753" s="24"/>
      <c r="U2753" s="24"/>
      <c r="V2753" s="24"/>
      <c r="W2753" s="24"/>
      <c r="X2753" s="24"/>
      <c r="Y2753" s="24"/>
      <c r="Z2753" s="24"/>
      <c r="AA2753" s="24"/>
      <c r="AB2753" s="24"/>
      <c r="AC2753" s="24"/>
      <c r="AD2753" s="24"/>
      <c r="AE2753" s="24"/>
      <c r="AF2753" s="24"/>
      <c r="AG2753" s="24"/>
      <c r="AH2753" s="24"/>
      <c r="AI2753" s="24"/>
      <c r="AJ2753" s="24"/>
      <c r="AK2753" s="24"/>
      <c r="AL2753" s="24"/>
      <c r="AM2753" s="24"/>
      <c r="AN2753" s="24"/>
      <c r="AO2753" s="24"/>
      <c r="AP2753" s="24"/>
      <c r="AQ2753" s="24"/>
      <c r="AR2753" s="54"/>
    </row>
    <row r="2754">
      <c r="A2754" s="57"/>
      <c r="B2754" s="24"/>
      <c r="C2754" s="24"/>
      <c r="D2754" s="24"/>
      <c r="E2754" s="24"/>
      <c r="F2754" s="24"/>
      <c r="G2754" s="24"/>
      <c r="H2754" s="24"/>
      <c r="I2754" s="24"/>
      <c r="J2754" s="24"/>
      <c r="K2754" s="24"/>
      <c r="L2754" s="24"/>
      <c r="M2754" s="24"/>
      <c r="N2754" s="24"/>
      <c r="O2754" s="24"/>
      <c r="P2754" s="24"/>
      <c r="Q2754" s="24"/>
      <c r="R2754" s="24"/>
      <c r="S2754" s="24"/>
      <c r="T2754" s="24"/>
      <c r="U2754" s="24"/>
      <c r="V2754" s="24"/>
      <c r="W2754" s="24"/>
      <c r="X2754" s="24"/>
      <c r="Y2754" s="24"/>
      <c r="Z2754" s="24"/>
      <c r="AA2754" s="24"/>
      <c r="AB2754" s="24"/>
      <c r="AC2754" s="24"/>
      <c r="AD2754" s="24"/>
      <c r="AE2754" s="24"/>
      <c r="AF2754" s="24"/>
      <c r="AG2754" s="24"/>
      <c r="AH2754" s="24"/>
      <c r="AI2754" s="24"/>
      <c r="AJ2754" s="24"/>
      <c r="AK2754" s="24"/>
      <c r="AL2754" s="24"/>
      <c r="AM2754" s="24"/>
      <c r="AN2754" s="24"/>
      <c r="AO2754" s="24"/>
      <c r="AP2754" s="24"/>
      <c r="AQ2754" s="24"/>
      <c r="AR2754" s="54"/>
    </row>
    <row r="2755">
      <c r="A2755" s="57"/>
      <c r="B2755" s="24"/>
      <c r="C2755" s="24"/>
      <c r="D2755" s="24"/>
      <c r="E2755" s="24"/>
      <c r="F2755" s="24"/>
      <c r="G2755" s="24"/>
      <c r="H2755" s="24"/>
      <c r="I2755" s="24"/>
      <c r="J2755" s="24"/>
      <c r="K2755" s="24"/>
      <c r="L2755" s="24"/>
      <c r="M2755" s="24"/>
      <c r="N2755" s="24"/>
      <c r="O2755" s="24"/>
      <c r="P2755" s="24"/>
      <c r="Q2755" s="24"/>
      <c r="R2755" s="24"/>
      <c r="S2755" s="24"/>
      <c r="T2755" s="24"/>
      <c r="U2755" s="24"/>
      <c r="V2755" s="24"/>
      <c r="W2755" s="24"/>
      <c r="X2755" s="24"/>
      <c r="Y2755" s="24"/>
      <c r="Z2755" s="24"/>
      <c r="AA2755" s="24"/>
      <c r="AB2755" s="24"/>
      <c r="AC2755" s="24"/>
      <c r="AD2755" s="24"/>
      <c r="AE2755" s="24"/>
      <c r="AF2755" s="24"/>
      <c r="AG2755" s="24"/>
      <c r="AH2755" s="24"/>
      <c r="AI2755" s="24"/>
      <c r="AJ2755" s="24"/>
      <c r="AK2755" s="24"/>
      <c r="AL2755" s="24"/>
      <c r="AM2755" s="24"/>
      <c r="AN2755" s="24"/>
      <c r="AO2755" s="24"/>
      <c r="AP2755" s="24"/>
      <c r="AQ2755" s="24"/>
      <c r="AR2755" s="54"/>
    </row>
    <row r="2756">
      <c r="A2756" s="57"/>
      <c r="B2756" s="24"/>
      <c r="C2756" s="24"/>
      <c r="D2756" s="24"/>
      <c r="E2756" s="24"/>
      <c r="F2756" s="24"/>
      <c r="G2756" s="24"/>
      <c r="H2756" s="24"/>
      <c r="I2756" s="24"/>
      <c r="J2756" s="24"/>
      <c r="K2756" s="24"/>
      <c r="L2756" s="24"/>
      <c r="M2756" s="24"/>
      <c r="N2756" s="24"/>
      <c r="O2756" s="24"/>
      <c r="P2756" s="24"/>
      <c r="Q2756" s="24"/>
      <c r="R2756" s="24"/>
      <c r="S2756" s="24"/>
      <c r="T2756" s="24"/>
      <c r="U2756" s="24"/>
      <c r="V2756" s="24"/>
      <c r="W2756" s="24"/>
      <c r="X2756" s="24"/>
      <c r="Y2756" s="24"/>
      <c r="Z2756" s="24"/>
      <c r="AA2756" s="24"/>
      <c r="AB2756" s="24"/>
      <c r="AC2756" s="24"/>
      <c r="AD2756" s="24"/>
      <c r="AE2756" s="24"/>
      <c r="AF2756" s="24"/>
      <c r="AG2756" s="24"/>
      <c r="AH2756" s="24"/>
      <c r="AI2756" s="24"/>
      <c r="AJ2756" s="24"/>
      <c r="AK2756" s="24"/>
      <c r="AL2756" s="24"/>
      <c r="AM2756" s="24"/>
      <c r="AN2756" s="24"/>
      <c r="AO2756" s="24"/>
      <c r="AP2756" s="24"/>
      <c r="AQ2756" s="24"/>
      <c r="AR2756" s="54"/>
    </row>
    <row r="2757">
      <c r="A2757" s="57"/>
      <c r="B2757" s="24"/>
      <c r="C2757" s="24"/>
      <c r="D2757" s="24"/>
      <c r="E2757" s="24"/>
      <c r="F2757" s="24"/>
      <c r="G2757" s="24"/>
      <c r="H2757" s="24"/>
      <c r="I2757" s="24"/>
      <c r="J2757" s="24"/>
      <c r="K2757" s="24"/>
      <c r="L2757" s="24"/>
      <c r="M2757" s="24"/>
      <c r="N2757" s="24"/>
      <c r="O2757" s="24"/>
      <c r="P2757" s="24"/>
      <c r="Q2757" s="24"/>
      <c r="R2757" s="24"/>
      <c r="S2757" s="24"/>
      <c r="T2757" s="24"/>
      <c r="U2757" s="24"/>
      <c r="V2757" s="24"/>
      <c r="W2757" s="24"/>
      <c r="X2757" s="24"/>
      <c r="Y2757" s="24"/>
      <c r="Z2757" s="24"/>
      <c r="AA2757" s="24"/>
      <c r="AB2757" s="24"/>
      <c r="AC2757" s="24"/>
      <c r="AD2757" s="24"/>
      <c r="AE2757" s="24"/>
      <c r="AF2757" s="24"/>
      <c r="AG2757" s="24"/>
      <c r="AH2757" s="24"/>
      <c r="AI2757" s="24"/>
      <c r="AJ2757" s="24"/>
      <c r="AK2757" s="24"/>
      <c r="AL2757" s="24"/>
      <c r="AM2757" s="24"/>
      <c r="AN2757" s="24"/>
      <c r="AO2757" s="24"/>
      <c r="AP2757" s="24"/>
      <c r="AQ2757" s="24"/>
      <c r="AR2757" s="54"/>
    </row>
    <row r="2758">
      <c r="A2758" s="57"/>
      <c r="B2758" s="24"/>
      <c r="C2758" s="24"/>
      <c r="D2758" s="24"/>
      <c r="E2758" s="24"/>
      <c r="F2758" s="24"/>
      <c r="G2758" s="24"/>
      <c r="H2758" s="24"/>
      <c r="I2758" s="24"/>
      <c r="J2758" s="24"/>
      <c r="K2758" s="24"/>
      <c r="L2758" s="24"/>
      <c r="M2758" s="24"/>
      <c r="N2758" s="24"/>
      <c r="O2758" s="24"/>
      <c r="P2758" s="24"/>
      <c r="Q2758" s="24"/>
      <c r="R2758" s="24"/>
      <c r="S2758" s="24"/>
      <c r="T2758" s="24"/>
      <c r="U2758" s="24"/>
      <c r="V2758" s="24"/>
      <c r="W2758" s="24"/>
      <c r="X2758" s="24"/>
      <c r="Y2758" s="24"/>
      <c r="Z2758" s="24"/>
      <c r="AA2758" s="24"/>
      <c r="AB2758" s="24"/>
      <c r="AC2758" s="24"/>
      <c r="AD2758" s="24"/>
      <c r="AE2758" s="24"/>
      <c r="AF2758" s="24"/>
      <c r="AG2758" s="24"/>
      <c r="AH2758" s="24"/>
      <c r="AI2758" s="24"/>
      <c r="AJ2758" s="24"/>
      <c r="AK2758" s="24"/>
      <c r="AL2758" s="24"/>
      <c r="AM2758" s="24"/>
      <c r="AN2758" s="24"/>
      <c r="AO2758" s="24"/>
      <c r="AP2758" s="24"/>
      <c r="AQ2758" s="24"/>
      <c r="AR2758" s="54"/>
    </row>
    <row r="2759">
      <c r="A2759" s="57"/>
      <c r="B2759" s="24"/>
      <c r="C2759" s="24"/>
      <c r="D2759" s="24"/>
      <c r="E2759" s="24"/>
      <c r="F2759" s="24"/>
      <c r="G2759" s="24"/>
      <c r="H2759" s="24"/>
      <c r="I2759" s="24"/>
      <c r="J2759" s="24"/>
      <c r="K2759" s="24"/>
      <c r="L2759" s="24"/>
      <c r="M2759" s="24"/>
      <c r="N2759" s="24"/>
      <c r="O2759" s="24"/>
      <c r="P2759" s="24"/>
      <c r="Q2759" s="24"/>
      <c r="R2759" s="24"/>
      <c r="S2759" s="24"/>
      <c r="T2759" s="24"/>
      <c r="U2759" s="24"/>
      <c r="V2759" s="24"/>
      <c r="W2759" s="24"/>
      <c r="X2759" s="24"/>
      <c r="Y2759" s="24"/>
      <c r="Z2759" s="24"/>
      <c r="AA2759" s="24"/>
      <c r="AB2759" s="24"/>
      <c r="AC2759" s="24"/>
      <c r="AD2759" s="24"/>
      <c r="AE2759" s="24"/>
      <c r="AF2759" s="24"/>
      <c r="AG2759" s="24"/>
      <c r="AH2759" s="24"/>
      <c r="AI2759" s="24"/>
      <c r="AJ2759" s="24"/>
      <c r="AK2759" s="24"/>
      <c r="AL2759" s="24"/>
      <c r="AM2759" s="24"/>
      <c r="AN2759" s="24"/>
      <c r="AO2759" s="24"/>
      <c r="AP2759" s="24"/>
      <c r="AQ2759" s="24"/>
      <c r="AR2759" s="54"/>
    </row>
    <row r="2760">
      <c r="A2760" s="57"/>
      <c r="B2760" s="24"/>
      <c r="C2760" s="24"/>
      <c r="D2760" s="24"/>
      <c r="E2760" s="24"/>
      <c r="F2760" s="24"/>
      <c r="G2760" s="24"/>
      <c r="H2760" s="24"/>
      <c r="I2760" s="24"/>
      <c r="J2760" s="24"/>
      <c r="K2760" s="24"/>
      <c r="L2760" s="24"/>
      <c r="M2760" s="24"/>
      <c r="N2760" s="24"/>
      <c r="O2760" s="24"/>
      <c r="P2760" s="24"/>
      <c r="Q2760" s="24"/>
      <c r="R2760" s="24"/>
      <c r="S2760" s="24"/>
      <c r="T2760" s="24"/>
      <c r="U2760" s="24"/>
      <c r="V2760" s="24"/>
      <c r="W2760" s="24"/>
      <c r="X2760" s="24"/>
      <c r="Y2760" s="24"/>
      <c r="Z2760" s="24"/>
      <c r="AA2760" s="24"/>
      <c r="AB2760" s="24"/>
      <c r="AC2760" s="24"/>
      <c r="AD2760" s="24"/>
      <c r="AE2760" s="24"/>
      <c r="AF2760" s="24"/>
      <c r="AG2760" s="24"/>
      <c r="AH2760" s="24"/>
      <c r="AI2760" s="24"/>
      <c r="AJ2760" s="24"/>
      <c r="AK2760" s="24"/>
      <c r="AL2760" s="24"/>
      <c r="AM2760" s="24"/>
      <c r="AN2760" s="24"/>
      <c r="AO2760" s="24"/>
      <c r="AP2760" s="24"/>
      <c r="AQ2760" s="24"/>
      <c r="AR2760" s="54"/>
    </row>
    <row r="2761">
      <c r="A2761" s="57"/>
      <c r="B2761" s="24"/>
      <c r="C2761" s="24"/>
      <c r="D2761" s="24"/>
      <c r="E2761" s="24"/>
      <c r="F2761" s="24"/>
      <c r="G2761" s="24"/>
      <c r="H2761" s="24"/>
      <c r="I2761" s="24"/>
      <c r="J2761" s="24"/>
      <c r="K2761" s="24"/>
      <c r="L2761" s="24"/>
      <c r="M2761" s="24"/>
      <c r="N2761" s="24"/>
      <c r="O2761" s="24"/>
      <c r="P2761" s="24"/>
      <c r="Q2761" s="24"/>
      <c r="R2761" s="24"/>
      <c r="S2761" s="24"/>
      <c r="T2761" s="24"/>
      <c r="U2761" s="24"/>
      <c r="V2761" s="24"/>
      <c r="W2761" s="24"/>
      <c r="X2761" s="24"/>
      <c r="Y2761" s="24"/>
      <c r="Z2761" s="24"/>
      <c r="AA2761" s="24"/>
      <c r="AB2761" s="24"/>
      <c r="AC2761" s="24"/>
      <c r="AD2761" s="24"/>
      <c r="AE2761" s="24"/>
      <c r="AF2761" s="24"/>
      <c r="AG2761" s="24"/>
      <c r="AH2761" s="24"/>
      <c r="AI2761" s="24"/>
      <c r="AJ2761" s="24"/>
      <c r="AK2761" s="24"/>
      <c r="AL2761" s="24"/>
      <c r="AM2761" s="24"/>
      <c r="AN2761" s="24"/>
      <c r="AO2761" s="24"/>
      <c r="AP2761" s="24"/>
      <c r="AQ2761" s="24"/>
      <c r="AR2761" s="54"/>
    </row>
    <row r="2762">
      <c r="A2762" s="57"/>
      <c r="B2762" s="24"/>
      <c r="C2762" s="24"/>
      <c r="D2762" s="24"/>
      <c r="E2762" s="24"/>
      <c r="F2762" s="24"/>
      <c r="G2762" s="24"/>
      <c r="H2762" s="24"/>
      <c r="I2762" s="24"/>
      <c r="J2762" s="24"/>
      <c r="K2762" s="24"/>
      <c r="L2762" s="24"/>
      <c r="M2762" s="24"/>
      <c r="N2762" s="24"/>
      <c r="O2762" s="24"/>
      <c r="P2762" s="24"/>
      <c r="Q2762" s="24"/>
      <c r="R2762" s="24"/>
      <c r="S2762" s="24"/>
      <c r="T2762" s="24"/>
      <c r="U2762" s="24"/>
      <c r="V2762" s="24"/>
      <c r="W2762" s="24"/>
      <c r="X2762" s="24"/>
      <c r="Y2762" s="24"/>
      <c r="Z2762" s="24"/>
      <c r="AA2762" s="24"/>
      <c r="AB2762" s="24"/>
      <c r="AC2762" s="24"/>
      <c r="AD2762" s="24"/>
      <c r="AE2762" s="24"/>
      <c r="AF2762" s="24"/>
      <c r="AG2762" s="24"/>
      <c r="AH2762" s="24"/>
      <c r="AI2762" s="24"/>
      <c r="AJ2762" s="24"/>
      <c r="AK2762" s="24"/>
      <c r="AL2762" s="24"/>
      <c r="AM2762" s="24"/>
      <c r="AN2762" s="24"/>
      <c r="AO2762" s="24"/>
      <c r="AP2762" s="24"/>
      <c r="AQ2762" s="24"/>
      <c r="AR2762" s="54"/>
    </row>
    <row r="2763">
      <c r="A2763" s="57"/>
      <c r="B2763" s="24"/>
      <c r="C2763" s="24"/>
      <c r="D2763" s="24"/>
      <c r="E2763" s="24"/>
      <c r="F2763" s="24"/>
      <c r="G2763" s="24"/>
      <c r="H2763" s="24"/>
      <c r="I2763" s="24"/>
      <c r="J2763" s="24"/>
      <c r="K2763" s="24"/>
      <c r="L2763" s="24"/>
      <c r="M2763" s="24"/>
      <c r="N2763" s="24"/>
      <c r="O2763" s="24"/>
      <c r="P2763" s="24"/>
      <c r="Q2763" s="24"/>
      <c r="R2763" s="24"/>
      <c r="S2763" s="24"/>
      <c r="T2763" s="24"/>
      <c r="U2763" s="24"/>
      <c r="V2763" s="24"/>
      <c r="W2763" s="24"/>
      <c r="X2763" s="24"/>
      <c r="Y2763" s="24"/>
      <c r="Z2763" s="24"/>
      <c r="AA2763" s="24"/>
      <c r="AB2763" s="24"/>
      <c r="AC2763" s="24"/>
      <c r="AD2763" s="24"/>
      <c r="AE2763" s="24"/>
      <c r="AF2763" s="24"/>
      <c r="AG2763" s="24"/>
      <c r="AH2763" s="24"/>
      <c r="AI2763" s="24"/>
      <c r="AJ2763" s="24"/>
      <c r="AK2763" s="24"/>
      <c r="AL2763" s="24"/>
      <c r="AM2763" s="24"/>
      <c r="AN2763" s="24"/>
      <c r="AO2763" s="24"/>
      <c r="AP2763" s="24"/>
      <c r="AQ2763" s="24"/>
      <c r="AR2763" s="54"/>
    </row>
    <row r="2764">
      <c r="A2764" s="57"/>
      <c r="B2764" s="24"/>
      <c r="C2764" s="24"/>
      <c r="D2764" s="24"/>
      <c r="E2764" s="24"/>
      <c r="F2764" s="24"/>
      <c r="G2764" s="24"/>
      <c r="H2764" s="24"/>
      <c r="I2764" s="24"/>
      <c r="J2764" s="24"/>
      <c r="K2764" s="24"/>
      <c r="L2764" s="24"/>
      <c r="M2764" s="24"/>
      <c r="N2764" s="24"/>
      <c r="O2764" s="24"/>
      <c r="P2764" s="24"/>
      <c r="Q2764" s="24"/>
      <c r="R2764" s="24"/>
      <c r="S2764" s="24"/>
      <c r="T2764" s="24"/>
      <c r="U2764" s="24"/>
      <c r="V2764" s="24"/>
      <c r="W2764" s="24"/>
      <c r="X2764" s="24"/>
      <c r="Y2764" s="24"/>
      <c r="Z2764" s="24"/>
      <c r="AA2764" s="24"/>
      <c r="AB2764" s="24"/>
      <c r="AC2764" s="24"/>
      <c r="AD2764" s="24"/>
      <c r="AE2764" s="24"/>
      <c r="AF2764" s="24"/>
      <c r="AG2764" s="24"/>
      <c r="AH2764" s="24"/>
      <c r="AI2764" s="24"/>
      <c r="AJ2764" s="24"/>
      <c r="AK2764" s="24"/>
      <c r="AL2764" s="24"/>
      <c r="AM2764" s="24"/>
      <c r="AN2764" s="24"/>
      <c r="AO2764" s="24"/>
      <c r="AP2764" s="24"/>
      <c r="AQ2764" s="24"/>
      <c r="AR2764" s="54"/>
    </row>
    <row r="2765">
      <c r="A2765" s="57"/>
      <c r="B2765" s="24"/>
      <c r="C2765" s="24"/>
      <c r="D2765" s="24"/>
      <c r="E2765" s="24"/>
      <c r="F2765" s="24"/>
      <c r="G2765" s="24"/>
      <c r="H2765" s="24"/>
      <c r="I2765" s="24"/>
      <c r="J2765" s="24"/>
      <c r="K2765" s="24"/>
      <c r="L2765" s="24"/>
      <c r="M2765" s="24"/>
      <c r="N2765" s="24"/>
      <c r="O2765" s="24"/>
      <c r="P2765" s="24"/>
      <c r="Q2765" s="24"/>
      <c r="R2765" s="24"/>
      <c r="S2765" s="24"/>
      <c r="T2765" s="24"/>
      <c r="U2765" s="24"/>
      <c r="V2765" s="24"/>
      <c r="W2765" s="24"/>
      <c r="X2765" s="24"/>
      <c r="Y2765" s="24"/>
      <c r="Z2765" s="24"/>
      <c r="AA2765" s="24"/>
      <c r="AB2765" s="24"/>
      <c r="AC2765" s="24"/>
      <c r="AD2765" s="24"/>
      <c r="AE2765" s="24"/>
      <c r="AF2765" s="24"/>
      <c r="AG2765" s="24"/>
      <c r="AH2765" s="24"/>
      <c r="AI2765" s="24"/>
      <c r="AJ2765" s="24"/>
      <c r="AK2765" s="24"/>
      <c r="AL2765" s="24"/>
      <c r="AM2765" s="24"/>
      <c r="AN2765" s="24"/>
      <c r="AO2765" s="24"/>
      <c r="AP2765" s="24"/>
      <c r="AQ2765" s="24"/>
      <c r="AR2765" s="54"/>
    </row>
    <row r="2766">
      <c r="A2766" s="57"/>
      <c r="B2766" s="24"/>
      <c r="C2766" s="24"/>
      <c r="D2766" s="24"/>
      <c r="E2766" s="24"/>
      <c r="F2766" s="24"/>
      <c r="G2766" s="24"/>
      <c r="H2766" s="24"/>
      <c r="I2766" s="24"/>
      <c r="J2766" s="24"/>
      <c r="K2766" s="24"/>
      <c r="L2766" s="24"/>
      <c r="M2766" s="24"/>
      <c r="N2766" s="24"/>
      <c r="O2766" s="24"/>
      <c r="P2766" s="24"/>
      <c r="Q2766" s="24"/>
      <c r="R2766" s="24"/>
      <c r="S2766" s="24"/>
      <c r="T2766" s="24"/>
      <c r="U2766" s="24"/>
      <c r="V2766" s="24"/>
      <c r="W2766" s="24"/>
      <c r="X2766" s="24"/>
      <c r="Y2766" s="24"/>
      <c r="Z2766" s="24"/>
      <c r="AA2766" s="24"/>
      <c r="AB2766" s="24"/>
      <c r="AC2766" s="24"/>
      <c r="AD2766" s="24"/>
      <c r="AE2766" s="24"/>
      <c r="AF2766" s="24"/>
      <c r="AG2766" s="24"/>
      <c r="AH2766" s="24"/>
      <c r="AI2766" s="24"/>
      <c r="AJ2766" s="24"/>
      <c r="AK2766" s="24"/>
      <c r="AL2766" s="24"/>
      <c r="AM2766" s="24"/>
      <c r="AN2766" s="24"/>
      <c r="AO2766" s="24"/>
      <c r="AP2766" s="24"/>
      <c r="AQ2766" s="24"/>
      <c r="AR2766" s="54"/>
    </row>
    <row r="2767">
      <c r="A2767" s="57"/>
      <c r="B2767" s="24"/>
      <c r="C2767" s="24"/>
      <c r="D2767" s="24"/>
      <c r="E2767" s="24"/>
      <c r="F2767" s="24"/>
      <c r="G2767" s="24"/>
      <c r="H2767" s="24"/>
      <c r="I2767" s="24"/>
      <c r="J2767" s="24"/>
      <c r="K2767" s="24"/>
      <c r="L2767" s="24"/>
      <c r="M2767" s="24"/>
      <c r="N2767" s="24"/>
      <c r="O2767" s="24"/>
      <c r="P2767" s="24"/>
      <c r="Q2767" s="24"/>
      <c r="R2767" s="24"/>
      <c r="S2767" s="24"/>
      <c r="T2767" s="24"/>
      <c r="U2767" s="24"/>
      <c r="V2767" s="24"/>
      <c r="W2767" s="24"/>
      <c r="X2767" s="24"/>
      <c r="Y2767" s="24"/>
      <c r="Z2767" s="24"/>
      <c r="AA2767" s="24"/>
      <c r="AB2767" s="24"/>
      <c r="AC2767" s="24"/>
      <c r="AD2767" s="24"/>
      <c r="AE2767" s="24"/>
      <c r="AF2767" s="24"/>
      <c r="AG2767" s="24"/>
      <c r="AH2767" s="24"/>
      <c r="AI2767" s="24"/>
      <c r="AJ2767" s="24"/>
      <c r="AK2767" s="24"/>
      <c r="AL2767" s="24"/>
      <c r="AM2767" s="24"/>
      <c r="AN2767" s="24"/>
      <c r="AO2767" s="24"/>
      <c r="AP2767" s="24"/>
      <c r="AQ2767" s="24"/>
      <c r="AR2767" s="54"/>
    </row>
    <row r="2768">
      <c r="A2768" s="57"/>
      <c r="B2768" s="24"/>
      <c r="C2768" s="24"/>
      <c r="D2768" s="24"/>
      <c r="E2768" s="24"/>
      <c r="F2768" s="24"/>
      <c r="G2768" s="24"/>
      <c r="H2768" s="24"/>
      <c r="I2768" s="24"/>
      <c r="J2768" s="24"/>
      <c r="K2768" s="24"/>
      <c r="L2768" s="24"/>
      <c r="M2768" s="24"/>
      <c r="N2768" s="24"/>
      <c r="O2768" s="24"/>
      <c r="P2768" s="24"/>
      <c r="Q2768" s="24"/>
      <c r="R2768" s="24"/>
      <c r="S2768" s="24"/>
      <c r="T2768" s="24"/>
      <c r="U2768" s="24"/>
      <c r="V2768" s="24"/>
      <c r="W2768" s="24"/>
      <c r="X2768" s="24"/>
      <c r="Y2768" s="24"/>
      <c r="Z2768" s="24"/>
      <c r="AA2768" s="24"/>
      <c r="AB2768" s="24"/>
      <c r="AC2768" s="24"/>
      <c r="AD2768" s="24"/>
      <c r="AE2768" s="24"/>
      <c r="AF2768" s="24"/>
      <c r="AG2768" s="24"/>
      <c r="AH2768" s="24"/>
      <c r="AI2768" s="24"/>
      <c r="AJ2768" s="24"/>
      <c r="AK2768" s="24"/>
      <c r="AL2768" s="24"/>
      <c r="AM2768" s="24"/>
      <c r="AN2768" s="24"/>
      <c r="AO2768" s="24"/>
      <c r="AP2768" s="24"/>
      <c r="AQ2768" s="24"/>
      <c r="AR2768" s="54"/>
    </row>
    <row r="2769">
      <c r="A2769" s="57"/>
      <c r="B2769" s="24"/>
      <c r="C2769" s="24"/>
      <c r="D2769" s="24"/>
      <c r="E2769" s="24"/>
      <c r="F2769" s="24"/>
      <c r="G2769" s="24"/>
      <c r="H2769" s="24"/>
      <c r="I2769" s="24"/>
      <c r="J2769" s="24"/>
      <c r="K2769" s="24"/>
      <c r="L2769" s="24"/>
      <c r="M2769" s="24"/>
      <c r="N2769" s="24"/>
      <c r="O2769" s="24"/>
      <c r="P2769" s="24"/>
      <c r="Q2769" s="24"/>
      <c r="R2769" s="24"/>
      <c r="S2769" s="24"/>
      <c r="T2769" s="24"/>
      <c r="U2769" s="24"/>
      <c r="V2769" s="24"/>
      <c r="W2769" s="24"/>
      <c r="X2769" s="24"/>
      <c r="Y2769" s="24"/>
      <c r="Z2769" s="24"/>
      <c r="AA2769" s="24"/>
      <c r="AB2769" s="24"/>
      <c r="AC2769" s="24"/>
      <c r="AD2769" s="24"/>
      <c r="AE2769" s="24"/>
      <c r="AF2769" s="24"/>
      <c r="AG2769" s="24"/>
      <c r="AH2769" s="24"/>
      <c r="AI2769" s="24"/>
      <c r="AJ2769" s="24"/>
      <c r="AK2769" s="24"/>
      <c r="AL2769" s="24"/>
      <c r="AM2769" s="24"/>
      <c r="AN2769" s="24"/>
      <c r="AO2769" s="24"/>
      <c r="AP2769" s="24"/>
      <c r="AQ2769" s="24"/>
      <c r="AR2769" s="54"/>
    </row>
    <row r="2770">
      <c r="A2770" s="57"/>
      <c r="B2770" s="24"/>
      <c r="C2770" s="24"/>
      <c r="D2770" s="24"/>
      <c r="E2770" s="24"/>
      <c r="F2770" s="24"/>
      <c r="G2770" s="24"/>
      <c r="H2770" s="24"/>
      <c r="I2770" s="24"/>
      <c r="J2770" s="24"/>
      <c r="K2770" s="24"/>
      <c r="L2770" s="24"/>
      <c r="M2770" s="24"/>
      <c r="N2770" s="24"/>
      <c r="O2770" s="24"/>
      <c r="P2770" s="24"/>
      <c r="Q2770" s="24"/>
      <c r="R2770" s="24"/>
      <c r="S2770" s="24"/>
      <c r="T2770" s="24"/>
      <c r="U2770" s="24"/>
      <c r="V2770" s="24"/>
      <c r="W2770" s="24"/>
      <c r="X2770" s="24"/>
      <c r="Y2770" s="24"/>
      <c r="Z2770" s="24"/>
      <c r="AA2770" s="24"/>
      <c r="AB2770" s="24"/>
      <c r="AC2770" s="24"/>
      <c r="AD2770" s="24"/>
      <c r="AE2770" s="24"/>
      <c r="AF2770" s="24"/>
      <c r="AG2770" s="24"/>
      <c r="AH2770" s="24"/>
      <c r="AI2770" s="24"/>
      <c r="AJ2770" s="24"/>
      <c r="AK2770" s="24"/>
      <c r="AL2770" s="24"/>
      <c r="AM2770" s="24"/>
      <c r="AN2770" s="24"/>
      <c r="AO2770" s="24"/>
      <c r="AP2770" s="24"/>
      <c r="AQ2770" s="24"/>
      <c r="AR2770" s="54"/>
    </row>
    <row r="2771">
      <c r="A2771" s="57"/>
      <c r="B2771" s="24"/>
      <c r="C2771" s="24"/>
      <c r="D2771" s="24"/>
      <c r="E2771" s="24"/>
      <c r="F2771" s="24"/>
      <c r="G2771" s="24"/>
      <c r="H2771" s="24"/>
      <c r="I2771" s="24"/>
      <c r="J2771" s="24"/>
      <c r="K2771" s="24"/>
      <c r="L2771" s="24"/>
      <c r="M2771" s="24"/>
      <c r="N2771" s="24"/>
      <c r="O2771" s="24"/>
      <c r="P2771" s="24"/>
      <c r="Q2771" s="24"/>
      <c r="R2771" s="24"/>
      <c r="S2771" s="24"/>
      <c r="T2771" s="24"/>
      <c r="U2771" s="24"/>
      <c r="V2771" s="24"/>
      <c r="W2771" s="24"/>
      <c r="X2771" s="24"/>
      <c r="Y2771" s="24"/>
      <c r="Z2771" s="24"/>
      <c r="AA2771" s="24"/>
      <c r="AB2771" s="24"/>
      <c r="AC2771" s="24"/>
      <c r="AD2771" s="24"/>
      <c r="AE2771" s="24"/>
      <c r="AF2771" s="24"/>
      <c r="AG2771" s="24"/>
      <c r="AH2771" s="24"/>
      <c r="AI2771" s="24"/>
      <c r="AJ2771" s="24"/>
      <c r="AK2771" s="24"/>
      <c r="AL2771" s="24"/>
      <c r="AM2771" s="24"/>
      <c r="AN2771" s="24"/>
      <c r="AO2771" s="24"/>
      <c r="AP2771" s="24"/>
      <c r="AQ2771" s="24"/>
      <c r="AR2771" s="54"/>
    </row>
    <row r="2772">
      <c r="A2772" s="57"/>
      <c r="B2772" s="24"/>
      <c r="C2772" s="24"/>
      <c r="D2772" s="24"/>
      <c r="E2772" s="24"/>
      <c r="F2772" s="24"/>
      <c r="G2772" s="24"/>
      <c r="H2772" s="24"/>
      <c r="I2772" s="24"/>
      <c r="J2772" s="24"/>
      <c r="K2772" s="24"/>
      <c r="L2772" s="24"/>
      <c r="M2772" s="24"/>
      <c r="N2772" s="24"/>
      <c r="O2772" s="24"/>
      <c r="P2772" s="24"/>
      <c r="Q2772" s="24"/>
      <c r="R2772" s="24"/>
      <c r="S2772" s="24"/>
      <c r="T2772" s="24"/>
      <c r="U2772" s="24"/>
      <c r="V2772" s="24"/>
      <c r="W2772" s="24"/>
      <c r="X2772" s="24"/>
      <c r="Y2772" s="24"/>
      <c r="Z2772" s="24"/>
      <c r="AA2772" s="24"/>
      <c r="AB2772" s="24"/>
      <c r="AC2772" s="24"/>
      <c r="AD2772" s="24"/>
      <c r="AE2772" s="24"/>
      <c r="AF2772" s="24"/>
      <c r="AG2772" s="24"/>
      <c r="AH2772" s="24"/>
      <c r="AI2772" s="24"/>
      <c r="AJ2772" s="24"/>
      <c r="AK2772" s="24"/>
      <c r="AL2772" s="24"/>
      <c r="AM2772" s="24"/>
      <c r="AN2772" s="24"/>
      <c r="AO2772" s="24"/>
      <c r="AP2772" s="24"/>
      <c r="AQ2772" s="24"/>
      <c r="AR2772" s="54"/>
    </row>
    <row r="2773">
      <c r="A2773" s="57"/>
      <c r="B2773" s="24"/>
      <c r="C2773" s="24"/>
      <c r="D2773" s="24"/>
      <c r="E2773" s="24"/>
      <c r="F2773" s="24"/>
      <c r="G2773" s="24"/>
      <c r="H2773" s="24"/>
      <c r="I2773" s="24"/>
      <c r="J2773" s="24"/>
      <c r="K2773" s="24"/>
      <c r="L2773" s="24"/>
      <c r="M2773" s="24"/>
      <c r="N2773" s="24"/>
      <c r="O2773" s="24"/>
      <c r="P2773" s="24"/>
      <c r="Q2773" s="24"/>
      <c r="R2773" s="24"/>
      <c r="S2773" s="24"/>
      <c r="T2773" s="24"/>
      <c r="U2773" s="24"/>
      <c r="V2773" s="24"/>
      <c r="W2773" s="24"/>
      <c r="X2773" s="24"/>
      <c r="Y2773" s="24"/>
      <c r="Z2773" s="24"/>
      <c r="AA2773" s="24"/>
      <c r="AB2773" s="24"/>
      <c r="AC2773" s="24"/>
      <c r="AD2773" s="24"/>
      <c r="AE2773" s="24"/>
      <c r="AF2773" s="24"/>
      <c r="AG2773" s="24"/>
      <c r="AH2773" s="24"/>
      <c r="AI2773" s="24"/>
      <c r="AJ2773" s="24"/>
      <c r="AK2773" s="24"/>
      <c r="AL2773" s="24"/>
      <c r="AM2773" s="24"/>
      <c r="AN2773" s="24"/>
      <c r="AO2773" s="24"/>
      <c r="AP2773" s="24"/>
      <c r="AQ2773" s="24"/>
      <c r="AR2773" s="54"/>
    </row>
    <row r="2774">
      <c r="A2774" s="57"/>
      <c r="B2774" s="24"/>
      <c r="C2774" s="24"/>
      <c r="D2774" s="24"/>
      <c r="E2774" s="24"/>
      <c r="F2774" s="24"/>
      <c r="G2774" s="24"/>
      <c r="H2774" s="24"/>
      <c r="I2774" s="24"/>
      <c r="J2774" s="24"/>
      <c r="K2774" s="24"/>
      <c r="L2774" s="24"/>
      <c r="M2774" s="24"/>
      <c r="N2774" s="24"/>
      <c r="O2774" s="24"/>
      <c r="P2774" s="24"/>
      <c r="Q2774" s="24"/>
      <c r="R2774" s="24"/>
      <c r="S2774" s="24"/>
      <c r="T2774" s="24"/>
      <c r="U2774" s="24"/>
      <c r="V2774" s="24"/>
      <c r="W2774" s="24"/>
      <c r="X2774" s="24"/>
      <c r="Y2774" s="24"/>
      <c r="Z2774" s="24"/>
      <c r="AA2774" s="24"/>
      <c r="AB2774" s="24"/>
      <c r="AC2774" s="24"/>
      <c r="AD2774" s="24"/>
      <c r="AE2774" s="24"/>
      <c r="AF2774" s="24"/>
      <c r="AG2774" s="24"/>
      <c r="AH2774" s="24"/>
      <c r="AI2774" s="24"/>
      <c r="AJ2774" s="24"/>
      <c r="AK2774" s="24"/>
      <c r="AL2774" s="24"/>
      <c r="AM2774" s="24"/>
      <c r="AN2774" s="24"/>
      <c r="AO2774" s="24"/>
      <c r="AP2774" s="24"/>
      <c r="AQ2774" s="24"/>
      <c r="AR2774" s="54"/>
    </row>
    <row r="2775">
      <c r="A2775" s="57"/>
      <c r="B2775" s="24"/>
      <c r="C2775" s="24"/>
      <c r="D2775" s="24"/>
      <c r="E2775" s="24"/>
      <c r="F2775" s="24"/>
      <c r="G2775" s="24"/>
      <c r="H2775" s="24"/>
      <c r="I2775" s="24"/>
      <c r="J2775" s="24"/>
      <c r="K2775" s="24"/>
      <c r="L2775" s="24"/>
      <c r="M2775" s="24"/>
      <c r="N2775" s="24"/>
      <c r="O2775" s="24"/>
      <c r="P2775" s="24"/>
      <c r="Q2775" s="24"/>
      <c r="R2775" s="24"/>
      <c r="S2775" s="24"/>
      <c r="T2775" s="24"/>
      <c r="U2775" s="24"/>
      <c r="V2775" s="24"/>
      <c r="W2775" s="24"/>
      <c r="X2775" s="24"/>
      <c r="Y2775" s="24"/>
      <c r="Z2775" s="24"/>
      <c r="AA2775" s="24"/>
      <c r="AB2775" s="24"/>
      <c r="AC2775" s="24"/>
      <c r="AD2775" s="24"/>
      <c r="AE2775" s="24"/>
      <c r="AF2775" s="24"/>
      <c r="AG2775" s="24"/>
      <c r="AH2775" s="24"/>
      <c r="AI2775" s="24"/>
      <c r="AJ2775" s="24"/>
      <c r="AK2775" s="24"/>
      <c r="AL2775" s="24"/>
      <c r="AM2775" s="24"/>
      <c r="AN2775" s="24"/>
      <c r="AO2775" s="24"/>
      <c r="AP2775" s="24"/>
      <c r="AQ2775" s="24"/>
      <c r="AR2775" s="54"/>
    </row>
    <row r="2776">
      <c r="A2776" s="57"/>
      <c r="B2776" s="24"/>
      <c r="C2776" s="24"/>
      <c r="D2776" s="24"/>
      <c r="E2776" s="24"/>
      <c r="F2776" s="24"/>
      <c r="G2776" s="24"/>
      <c r="H2776" s="24"/>
      <c r="I2776" s="24"/>
      <c r="J2776" s="24"/>
      <c r="K2776" s="24"/>
      <c r="L2776" s="24"/>
      <c r="M2776" s="24"/>
      <c r="N2776" s="24"/>
      <c r="O2776" s="24"/>
      <c r="P2776" s="24"/>
      <c r="Q2776" s="24"/>
      <c r="R2776" s="24"/>
      <c r="S2776" s="24"/>
      <c r="T2776" s="24"/>
      <c r="U2776" s="24"/>
      <c r="V2776" s="24"/>
      <c r="W2776" s="24"/>
      <c r="X2776" s="24"/>
      <c r="Y2776" s="24"/>
      <c r="Z2776" s="24"/>
      <c r="AA2776" s="24"/>
      <c r="AB2776" s="24"/>
      <c r="AC2776" s="24"/>
      <c r="AD2776" s="24"/>
      <c r="AE2776" s="24"/>
      <c r="AF2776" s="24"/>
      <c r="AG2776" s="24"/>
      <c r="AH2776" s="24"/>
      <c r="AI2776" s="24"/>
      <c r="AJ2776" s="24"/>
      <c r="AK2776" s="24"/>
      <c r="AL2776" s="24"/>
      <c r="AM2776" s="24"/>
      <c r="AN2776" s="24"/>
      <c r="AO2776" s="24"/>
      <c r="AP2776" s="24"/>
      <c r="AQ2776" s="24"/>
      <c r="AR2776" s="54"/>
    </row>
    <row r="2777">
      <c r="A2777" s="57"/>
      <c r="B2777" s="24"/>
      <c r="C2777" s="24"/>
      <c r="D2777" s="24"/>
      <c r="E2777" s="24"/>
      <c r="F2777" s="24"/>
      <c r="G2777" s="24"/>
      <c r="H2777" s="24"/>
      <c r="I2777" s="24"/>
      <c r="J2777" s="24"/>
      <c r="K2777" s="24"/>
      <c r="L2777" s="24"/>
      <c r="M2777" s="24"/>
      <c r="N2777" s="24"/>
      <c r="O2777" s="24"/>
      <c r="P2777" s="24"/>
      <c r="Q2777" s="24"/>
      <c r="R2777" s="24"/>
      <c r="S2777" s="24"/>
      <c r="T2777" s="24"/>
      <c r="U2777" s="24"/>
      <c r="V2777" s="24"/>
      <c r="W2777" s="24"/>
      <c r="X2777" s="24"/>
      <c r="Y2777" s="24"/>
      <c r="Z2777" s="24"/>
      <c r="AA2777" s="24"/>
      <c r="AB2777" s="24"/>
      <c r="AC2777" s="24"/>
      <c r="AD2777" s="24"/>
      <c r="AE2777" s="24"/>
      <c r="AF2777" s="24"/>
      <c r="AG2777" s="24"/>
      <c r="AH2777" s="24"/>
      <c r="AI2777" s="24"/>
      <c r="AJ2777" s="24"/>
      <c r="AK2777" s="24"/>
      <c r="AL2777" s="24"/>
      <c r="AM2777" s="24"/>
      <c r="AN2777" s="24"/>
      <c r="AO2777" s="24"/>
      <c r="AP2777" s="24"/>
      <c r="AQ2777" s="24"/>
      <c r="AR2777" s="54"/>
    </row>
    <row r="2778">
      <c r="A2778" s="57"/>
      <c r="B2778" s="24"/>
      <c r="C2778" s="24"/>
      <c r="D2778" s="24"/>
      <c r="E2778" s="24"/>
      <c r="F2778" s="24"/>
      <c r="G2778" s="24"/>
      <c r="H2778" s="24"/>
      <c r="I2778" s="24"/>
      <c r="J2778" s="24"/>
      <c r="K2778" s="24"/>
      <c r="L2778" s="24"/>
      <c r="M2778" s="24"/>
      <c r="N2778" s="24"/>
      <c r="O2778" s="24"/>
      <c r="P2778" s="24"/>
      <c r="Q2778" s="24"/>
      <c r="R2778" s="24"/>
      <c r="S2778" s="24"/>
      <c r="T2778" s="24"/>
      <c r="U2778" s="24"/>
      <c r="V2778" s="24"/>
      <c r="W2778" s="24"/>
      <c r="X2778" s="24"/>
      <c r="Y2778" s="24"/>
      <c r="Z2778" s="24"/>
      <c r="AA2778" s="24"/>
      <c r="AB2778" s="24"/>
      <c r="AC2778" s="24"/>
      <c r="AD2778" s="24"/>
      <c r="AE2778" s="24"/>
      <c r="AF2778" s="24"/>
      <c r="AG2778" s="24"/>
      <c r="AH2778" s="24"/>
      <c r="AI2778" s="24"/>
      <c r="AJ2778" s="24"/>
      <c r="AK2778" s="24"/>
      <c r="AL2778" s="24"/>
      <c r="AM2778" s="24"/>
      <c r="AN2778" s="24"/>
      <c r="AO2778" s="24"/>
      <c r="AP2778" s="24"/>
      <c r="AQ2778" s="24"/>
      <c r="AR2778" s="54"/>
    </row>
    <row r="2779">
      <c r="A2779" s="57"/>
      <c r="B2779" s="24"/>
      <c r="C2779" s="24"/>
      <c r="D2779" s="24"/>
      <c r="E2779" s="24"/>
      <c r="F2779" s="24"/>
      <c r="G2779" s="24"/>
      <c r="H2779" s="24"/>
      <c r="I2779" s="24"/>
      <c r="J2779" s="24"/>
      <c r="K2779" s="24"/>
      <c r="L2779" s="24"/>
      <c r="M2779" s="24"/>
      <c r="N2779" s="24"/>
      <c r="O2779" s="24"/>
      <c r="P2779" s="24"/>
      <c r="Q2779" s="24"/>
      <c r="R2779" s="24"/>
      <c r="S2779" s="24"/>
      <c r="T2779" s="24"/>
      <c r="U2779" s="24"/>
      <c r="V2779" s="24"/>
      <c r="W2779" s="24"/>
      <c r="X2779" s="24"/>
      <c r="Y2779" s="24"/>
      <c r="Z2779" s="24"/>
      <c r="AA2779" s="24"/>
      <c r="AB2779" s="24"/>
      <c r="AC2779" s="24"/>
      <c r="AD2779" s="24"/>
      <c r="AE2779" s="24"/>
      <c r="AF2779" s="24"/>
      <c r="AG2779" s="24"/>
      <c r="AH2779" s="24"/>
      <c r="AI2779" s="24"/>
      <c r="AJ2779" s="24"/>
      <c r="AK2779" s="24"/>
      <c r="AL2779" s="24"/>
      <c r="AM2779" s="24"/>
      <c r="AN2779" s="24"/>
      <c r="AO2779" s="24"/>
      <c r="AP2779" s="24"/>
      <c r="AQ2779" s="24"/>
      <c r="AR2779" s="54"/>
    </row>
    <row r="2780">
      <c r="A2780" s="57"/>
      <c r="B2780" s="24"/>
      <c r="C2780" s="24"/>
      <c r="D2780" s="24"/>
      <c r="E2780" s="24"/>
      <c r="F2780" s="24"/>
      <c r="G2780" s="24"/>
      <c r="H2780" s="24"/>
      <c r="I2780" s="24"/>
      <c r="J2780" s="24"/>
      <c r="K2780" s="24"/>
      <c r="L2780" s="24"/>
      <c r="M2780" s="24"/>
      <c r="N2780" s="24"/>
      <c r="O2780" s="24"/>
      <c r="P2780" s="24"/>
      <c r="Q2780" s="24"/>
      <c r="R2780" s="24"/>
      <c r="S2780" s="24"/>
      <c r="T2780" s="24"/>
      <c r="U2780" s="24"/>
      <c r="V2780" s="24"/>
      <c r="W2780" s="24"/>
      <c r="X2780" s="24"/>
      <c r="Y2780" s="24"/>
      <c r="Z2780" s="24"/>
      <c r="AA2780" s="24"/>
      <c r="AB2780" s="24"/>
      <c r="AC2780" s="24"/>
      <c r="AD2780" s="24"/>
      <c r="AE2780" s="24"/>
      <c r="AF2780" s="24"/>
      <c r="AG2780" s="24"/>
      <c r="AH2780" s="24"/>
      <c r="AI2780" s="24"/>
      <c r="AJ2780" s="24"/>
      <c r="AK2780" s="24"/>
      <c r="AL2780" s="24"/>
      <c r="AM2780" s="24"/>
      <c r="AN2780" s="24"/>
      <c r="AO2780" s="24"/>
      <c r="AP2780" s="24"/>
      <c r="AQ2780" s="24"/>
      <c r="AR2780" s="54"/>
    </row>
    <row r="2781">
      <c r="A2781" s="57"/>
      <c r="B2781" s="24"/>
      <c r="C2781" s="24"/>
      <c r="D2781" s="24"/>
      <c r="E2781" s="24"/>
      <c r="F2781" s="24"/>
      <c r="G2781" s="24"/>
      <c r="H2781" s="24"/>
      <c r="I2781" s="24"/>
      <c r="J2781" s="24"/>
      <c r="K2781" s="24"/>
      <c r="L2781" s="24"/>
      <c r="M2781" s="24"/>
      <c r="N2781" s="24"/>
      <c r="O2781" s="24"/>
      <c r="P2781" s="24"/>
      <c r="Q2781" s="24"/>
      <c r="R2781" s="24"/>
      <c r="S2781" s="24"/>
      <c r="T2781" s="24"/>
      <c r="U2781" s="24"/>
      <c r="V2781" s="24"/>
      <c r="W2781" s="24"/>
      <c r="X2781" s="24"/>
      <c r="Y2781" s="24"/>
      <c r="Z2781" s="24"/>
      <c r="AA2781" s="24"/>
      <c r="AB2781" s="24"/>
      <c r="AC2781" s="24"/>
      <c r="AD2781" s="24"/>
      <c r="AE2781" s="24"/>
      <c r="AF2781" s="24"/>
      <c r="AG2781" s="24"/>
      <c r="AH2781" s="24"/>
      <c r="AI2781" s="24"/>
      <c r="AJ2781" s="24"/>
      <c r="AK2781" s="24"/>
      <c r="AL2781" s="24"/>
      <c r="AM2781" s="24"/>
      <c r="AN2781" s="24"/>
      <c r="AO2781" s="24"/>
      <c r="AP2781" s="24"/>
      <c r="AQ2781" s="24"/>
      <c r="AR2781" s="54"/>
    </row>
    <row r="2782">
      <c r="A2782" s="57"/>
      <c r="B2782" s="24"/>
      <c r="C2782" s="24"/>
      <c r="D2782" s="24"/>
      <c r="E2782" s="24"/>
      <c r="F2782" s="24"/>
      <c r="G2782" s="24"/>
      <c r="H2782" s="24"/>
      <c r="I2782" s="24"/>
      <c r="J2782" s="24"/>
      <c r="K2782" s="24"/>
      <c r="L2782" s="24"/>
      <c r="M2782" s="24"/>
      <c r="N2782" s="24"/>
      <c r="O2782" s="24"/>
      <c r="P2782" s="24"/>
      <c r="Q2782" s="24"/>
      <c r="R2782" s="24"/>
      <c r="S2782" s="24"/>
      <c r="T2782" s="24"/>
      <c r="U2782" s="24"/>
      <c r="V2782" s="24"/>
      <c r="W2782" s="24"/>
      <c r="X2782" s="24"/>
      <c r="Y2782" s="24"/>
      <c r="Z2782" s="24"/>
      <c r="AA2782" s="24"/>
      <c r="AB2782" s="24"/>
      <c r="AC2782" s="24"/>
      <c r="AD2782" s="24"/>
      <c r="AE2782" s="24"/>
      <c r="AF2782" s="24"/>
      <c r="AG2782" s="24"/>
      <c r="AH2782" s="24"/>
      <c r="AI2782" s="24"/>
      <c r="AJ2782" s="24"/>
      <c r="AK2782" s="24"/>
      <c r="AL2782" s="24"/>
      <c r="AM2782" s="24"/>
      <c r="AN2782" s="24"/>
      <c r="AO2782" s="24"/>
      <c r="AP2782" s="24"/>
      <c r="AQ2782" s="24"/>
      <c r="AR2782" s="54"/>
    </row>
    <row r="2783">
      <c r="A2783" s="57"/>
      <c r="B2783" s="24"/>
      <c r="C2783" s="24"/>
      <c r="D2783" s="24"/>
      <c r="E2783" s="24"/>
      <c r="F2783" s="24"/>
      <c r="G2783" s="24"/>
      <c r="H2783" s="24"/>
      <c r="I2783" s="24"/>
      <c r="J2783" s="24"/>
      <c r="K2783" s="24"/>
      <c r="L2783" s="24"/>
      <c r="M2783" s="24"/>
      <c r="N2783" s="24"/>
      <c r="O2783" s="24"/>
      <c r="P2783" s="24"/>
      <c r="Q2783" s="24"/>
      <c r="R2783" s="24"/>
      <c r="S2783" s="24"/>
      <c r="T2783" s="24"/>
      <c r="U2783" s="24"/>
      <c r="V2783" s="24"/>
      <c r="W2783" s="24"/>
      <c r="X2783" s="24"/>
      <c r="Y2783" s="24"/>
      <c r="Z2783" s="24"/>
      <c r="AA2783" s="24"/>
      <c r="AB2783" s="24"/>
      <c r="AC2783" s="24"/>
      <c r="AD2783" s="24"/>
      <c r="AE2783" s="24"/>
      <c r="AF2783" s="24"/>
      <c r="AG2783" s="24"/>
      <c r="AH2783" s="24"/>
      <c r="AI2783" s="24"/>
      <c r="AJ2783" s="24"/>
      <c r="AK2783" s="24"/>
      <c r="AL2783" s="24"/>
      <c r="AM2783" s="24"/>
      <c r="AN2783" s="24"/>
      <c r="AO2783" s="24"/>
      <c r="AP2783" s="24"/>
      <c r="AQ2783" s="24"/>
      <c r="AR2783" s="54"/>
    </row>
    <row r="2784">
      <c r="A2784" s="57"/>
      <c r="B2784" s="24"/>
      <c r="C2784" s="24"/>
      <c r="D2784" s="24"/>
      <c r="E2784" s="24"/>
      <c r="F2784" s="24"/>
      <c r="G2784" s="24"/>
      <c r="H2784" s="24"/>
      <c r="I2784" s="24"/>
      <c r="J2784" s="24"/>
      <c r="K2784" s="24"/>
      <c r="L2784" s="24"/>
      <c r="M2784" s="24"/>
      <c r="N2784" s="24"/>
      <c r="O2784" s="24"/>
      <c r="P2784" s="24"/>
      <c r="Q2784" s="24"/>
      <c r="R2784" s="24"/>
      <c r="S2784" s="24"/>
      <c r="T2784" s="24"/>
      <c r="U2784" s="24"/>
      <c r="V2784" s="24"/>
      <c r="W2784" s="24"/>
      <c r="X2784" s="24"/>
      <c r="Y2784" s="24"/>
      <c r="Z2784" s="24"/>
      <c r="AA2784" s="24"/>
      <c r="AB2784" s="24"/>
      <c r="AC2784" s="24"/>
      <c r="AD2784" s="24"/>
      <c r="AE2784" s="24"/>
      <c r="AF2784" s="24"/>
      <c r="AG2784" s="24"/>
      <c r="AH2784" s="24"/>
      <c r="AI2784" s="24"/>
      <c r="AJ2784" s="24"/>
      <c r="AK2784" s="24"/>
      <c r="AL2784" s="24"/>
      <c r="AM2784" s="24"/>
      <c r="AN2784" s="24"/>
      <c r="AO2784" s="24"/>
      <c r="AP2784" s="24"/>
      <c r="AQ2784" s="24"/>
      <c r="AR2784" s="54"/>
    </row>
    <row r="2785">
      <c r="A2785" s="57"/>
      <c r="B2785" s="24"/>
      <c r="C2785" s="24"/>
      <c r="D2785" s="24"/>
      <c r="E2785" s="24"/>
      <c r="F2785" s="24"/>
      <c r="G2785" s="24"/>
      <c r="H2785" s="24"/>
      <c r="I2785" s="24"/>
      <c r="J2785" s="24"/>
      <c r="K2785" s="24"/>
      <c r="L2785" s="24"/>
      <c r="M2785" s="24"/>
      <c r="N2785" s="24"/>
      <c r="O2785" s="24"/>
      <c r="P2785" s="24"/>
      <c r="Q2785" s="24"/>
      <c r="R2785" s="24"/>
      <c r="S2785" s="24"/>
      <c r="T2785" s="24"/>
      <c r="U2785" s="24"/>
      <c r="V2785" s="24"/>
      <c r="W2785" s="24"/>
      <c r="X2785" s="24"/>
      <c r="Y2785" s="24"/>
      <c r="Z2785" s="24"/>
      <c r="AA2785" s="24"/>
      <c r="AB2785" s="24"/>
      <c r="AC2785" s="24"/>
      <c r="AD2785" s="24"/>
      <c r="AE2785" s="24"/>
      <c r="AF2785" s="24"/>
      <c r="AG2785" s="24"/>
      <c r="AH2785" s="24"/>
      <c r="AI2785" s="24"/>
      <c r="AJ2785" s="24"/>
      <c r="AK2785" s="24"/>
      <c r="AL2785" s="24"/>
      <c r="AM2785" s="24"/>
      <c r="AN2785" s="24"/>
      <c r="AO2785" s="24"/>
      <c r="AP2785" s="24"/>
      <c r="AQ2785" s="24"/>
      <c r="AR2785" s="54"/>
    </row>
    <row r="2786">
      <c r="A2786" s="57"/>
      <c r="B2786" s="24"/>
      <c r="C2786" s="24"/>
      <c r="D2786" s="24"/>
      <c r="E2786" s="24"/>
      <c r="F2786" s="24"/>
      <c r="G2786" s="24"/>
      <c r="H2786" s="24"/>
      <c r="I2786" s="24"/>
      <c r="J2786" s="24"/>
      <c r="K2786" s="24"/>
      <c r="L2786" s="24"/>
      <c r="M2786" s="24"/>
      <c r="N2786" s="24"/>
      <c r="O2786" s="24"/>
      <c r="P2786" s="24"/>
      <c r="Q2786" s="24"/>
      <c r="R2786" s="24"/>
      <c r="S2786" s="24"/>
      <c r="T2786" s="24"/>
      <c r="U2786" s="24"/>
      <c r="V2786" s="24"/>
      <c r="W2786" s="24"/>
      <c r="X2786" s="24"/>
      <c r="Y2786" s="24"/>
      <c r="Z2786" s="24"/>
      <c r="AA2786" s="24"/>
      <c r="AB2786" s="24"/>
      <c r="AC2786" s="24"/>
      <c r="AD2786" s="24"/>
      <c r="AE2786" s="24"/>
      <c r="AF2786" s="24"/>
      <c r="AG2786" s="24"/>
      <c r="AH2786" s="24"/>
      <c r="AI2786" s="24"/>
      <c r="AJ2786" s="24"/>
      <c r="AK2786" s="24"/>
      <c r="AL2786" s="24"/>
      <c r="AM2786" s="24"/>
      <c r="AN2786" s="24"/>
      <c r="AO2786" s="24"/>
      <c r="AP2786" s="24"/>
      <c r="AQ2786" s="24"/>
      <c r="AR2786" s="54"/>
    </row>
    <row r="2787">
      <c r="A2787" s="57"/>
      <c r="B2787" s="24"/>
      <c r="C2787" s="24"/>
      <c r="D2787" s="24"/>
      <c r="E2787" s="24"/>
      <c r="F2787" s="24"/>
      <c r="G2787" s="24"/>
      <c r="H2787" s="24"/>
      <c r="I2787" s="24"/>
      <c r="J2787" s="24"/>
      <c r="K2787" s="24"/>
      <c r="L2787" s="24"/>
      <c r="M2787" s="24"/>
      <c r="N2787" s="24"/>
      <c r="O2787" s="24"/>
      <c r="P2787" s="24"/>
      <c r="Q2787" s="24"/>
      <c r="R2787" s="24"/>
      <c r="S2787" s="24"/>
      <c r="T2787" s="24"/>
      <c r="U2787" s="24"/>
      <c r="V2787" s="24"/>
      <c r="W2787" s="24"/>
      <c r="X2787" s="24"/>
      <c r="Y2787" s="24"/>
      <c r="Z2787" s="24"/>
      <c r="AA2787" s="24"/>
      <c r="AB2787" s="24"/>
      <c r="AC2787" s="24"/>
      <c r="AD2787" s="24"/>
      <c r="AE2787" s="24"/>
      <c r="AF2787" s="24"/>
      <c r="AG2787" s="24"/>
      <c r="AH2787" s="24"/>
      <c r="AI2787" s="24"/>
      <c r="AJ2787" s="24"/>
      <c r="AK2787" s="24"/>
      <c r="AL2787" s="24"/>
      <c r="AM2787" s="24"/>
      <c r="AN2787" s="24"/>
      <c r="AO2787" s="24"/>
      <c r="AP2787" s="24"/>
      <c r="AQ2787" s="24"/>
      <c r="AR2787" s="54"/>
    </row>
    <row r="2788">
      <c r="A2788" s="57"/>
      <c r="B2788" s="24"/>
      <c r="C2788" s="24"/>
      <c r="D2788" s="24"/>
      <c r="E2788" s="24"/>
      <c r="F2788" s="24"/>
      <c r="G2788" s="24"/>
      <c r="H2788" s="24"/>
      <c r="I2788" s="24"/>
      <c r="J2788" s="24"/>
      <c r="K2788" s="24"/>
      <c r="L2788" s="24"/>
      <c r="M2788" s="24"/>
      <c r="N2788" s="24"/>
      <c r="O2788" s="24"/>
      <c r="P2788" s="24"/>
      <c r="Q2788" s="24"/>
      <c r="R2788" s="24"/>
      <c r="S2788" s="24"/>
      <c r="T2788" s="24"/>
      <c r="U2788" s="24"/>
      <c r="V2788" s="24"/>
      <c r="W2788" s="24"/>
      <c r="X2788" s="24"/>
      <c r="Y2788" s="24"/>
      <c r="Z2788" s="24"/>
      <c r="AA2788" s="24"/>
      <c r="AB2788" s="24"/>
      <c r="AC2788" s="24"/>
      <c r="AD2788" s="24"/>
      <c r="AE2788" s="24"/>
      <c r="AF2788" s="24"/>
      <c r="AG2788" s="24"/>
      <c r="AH2788" s="24"/>
      <c r="AI2788" s="24"/>
      <c r="AJ2788" s="24"/>
      <c r="AK2788" s="24"/>
      <c r="AL2788" s="24"/>
      <c r="AM2788" s="24"/>
      <c r="AN2788" s="24"/>
      <c r="AO2788" s="24"/>
      <c r="AP2788" s="24"/>
      <c r="AQ2788" s="24"/>
      <c r="AR2788" s="54"/>
    </row>
    <row r="2789">
      <c r="A2789" s="57"/>
      <c r="B2789" s="24"/>
      <c r="C2789" s="24"/>
      <c r="D2789" s="24"/>
      <c r="E2789" s="24"/>
      <c r="F2789" s="24"/>
      <c r="G2789" s="24"/>
      <c r="H2789" s="24"/>
      <c r="I2789" s="24"/>
      <c r="J2789" s="24"/>
      <c r="K2789" s="24"/>
      <c r="L2789" s="24"/>
      <c r="M2789" s="24"/>
      <c r="N2789" s="24"/>
      <c r="O2789" s="24"/>
      <c r="P2789" s="24"/>
      <c r="Q2789" s="24"/>
      <c r="R2789" s="24"/>
      <c r="S2789" s="24"/>
      <c r="T2789" s="24"/>
      <c r="U2789" s="24"/>
      <c r="V2789" s="24"/>
      <c r="W2789" s="24"/>
      <c r="X2789" s="24"/>
      <c r="Y2789" s="24"/>
      <c r="Z2789" s="24"/>
      <c r="AA2789" s="24"/>
      <c r="AB2789" s="24"/>
      <c r="AC2789" s="24"/>
      <c r="AD2789" s="24"/>
      <c r="AE2789" s="24"/>
      <c r="AF2789" s="24"/>
      <c r="AG2789" s="24"/>
      <c r="AH2789" s="24"/>
      <c r="AI2789" s="24"/>
      <c r="AJ2789" s="24"/>
      <c r="AK2789" s="24"/>
      <c r="AL2789" s="24"/>
      <c r="AM2789" s="24"/>
      <c r="AN2789" s="24"/>
      <c r="AO2789" s="24"/>
      <c r="AP2789" s="24"/>
      <c r="AQ2789" s="24"/>
      <c r="AR2789" s="54"/>
    </row>
    <row r="2790">
      <c r="A2790" s="57"/>
      <c r="B2790" s="24"/>
      <c r="C2790" s="24"/>
      <c r="D2790" s="24"/>
      <c r="E2790" s="24"/>
      <c r="F2790" s="24"/>
      <c r="G2790" s="24"/>
      <c r="H2790" s="24"/>
      <c r="I2790" s="24"/>
      <c r="J2790" s="24"/>
      <c r="K2790" s="24"/>
      <c r="L2790" s="24"/>
      <c r="M2790" s="24"/>
      <c r="N2790" s="24"/>
      <c r="O2790" s="24"/>
      <c r="P2790" s="24"/>
      <c r="Q2790" s="24"/>
      <c r="R2790" s="24"/>
      <c r="S2790" s="24"/>
      <c r="T2790" s="24"/>
      <c r="U2790" s="24"/>
      <c r="V2790" s="24"/>
      <c r="W2790" s="24"/>
      <c r="X2790" s="24"/>
      <c r="Y2790" s="24"/>
      <c r="Z2790" s="24"/>
      <c r="AA2790" s="24"/>
      <c r="AB2790" s="24"/>
      <c r="AC2790" s="24"/>
      <c r="AD2790" s="24"/>
      <c r="AE2790" s="24"/>
      <c r="AF2790" s="24"/>
      <c r="AG2790" s="24"/>
      <c r="AH2790" s="24"/>
      <c r="AI2790" s="24"/>
      <c r="AJ2790" s="24"/>
      <c r="AK2790" s="24"/>
      <c r="AL2790" s="24"/>
      <c r="AM2790" s="24"/>
      <c r="AN2790" s="24"/>
      <c r="AO2790" s="24"/>
      <c r="AP2790" s="24"/>
      <c r="AQ2790" s="24"/>
      <c r="AR2790" s="54"/>
    </row>
    <row r="2791">
      <c r="A2791" s="57"/>
      <c r="B2791" s="24"/>
      <c r="C2791" s="24"/>
      <c r="D2791" s="24"/>
      <c r="E2791" s="24"/>
      <c r="F2791" s="24"/>
      <c r="G2791" s="24"/>
      <c r="H2791" s="24"/>
      <c r="I2791" s="24"/>
      <c r="J2791" s="24"/>
      <c r="K2791" s="24"/>
      <c r="L2791" s="24"/>
      <c r="M2791" s="24"/>
      <c r="N2791" s="24"/>
      <c r="O2791" s="24"/>
      <c r="P2791" s="24"/>
      <c r="Q2791" s="24"/>
      <c r="R2791" s="24"/>
      <c r="S2791" s="24"/>
      <c r="T2791" s="24"/>
      <c r="U2791" s="24"/>
      <c r="V2791" s="24"/>
      <c r="W2791" s="24"/>
      <c r="X2791" s="24"/>
      <c r="Y2791" s="24"/>
      <c r="Z2791" s="24"/>
      <c r="AA2791" s="24"/>
      <c r="AB2791" s="24"/>
      <c r="AC2791" s="24"/>
      <c r="AD2791" s="24"/>
      <c r="AE2791" s="24"/>
      <c r="AF2791" s="24"/>
      <c r="AG2791" s="24"/>
      <c r="AH2791" s="24"/>
      <c r="AI2791" s="24"/>
      <c r="AJ2791" s="24"/>
      <c r="AK2791" s="24"/>
      <c r="AL2791" s="24"/>
      <c r="AM2791" s="24"/>
      <c r="AN2791" s="24"/>
      <c r="AO2791" s="24"/>
      <c r="AP2791" s="24"/>
      <c r="AQ2791" s="24"/>
      <c r="AR2791" s="54"/>
    </row>
    <row r="2792">
      <c r="A2792" s="57"/>
      <c r="B2792" s="24"/>
      <c r="C2792" s="24"/>
      <c r="D2792" s="24"/>
      <c r="E2792" s="24"/>
      <c r="F2792" s="24"/>
      <c r="G2792" s="24"/>
      <c r="H2792" s="24"/>
      <c r="I2792" s="24"/>
      <c r="J2792" s="24"/>
      <c r="K2792" s="24"/>
      <c r="L2792" s="24"/>
      <c r="M2792" s="24"/>
      <c r="N2792" s="24"/>
      <c r="O2792" s="24"/>
      <c r="P2792" s="24"/>
      <c r="Q2792" s="24"/>
      <c r="R2792" s="24"/>
      <c r="S2792" s="24"/>
      <c r="T2792" s="24"/>
      <c r="U2792" s="24"/>
      <c r="V2792" s="24"/>
      <c r="W2792" s="24"/>
      <c r="X2792" s="24"/>
      <c r="Y2792" s="24"/>
      <c r="Z2792" s="24"/>
      <c r="AA2792" s="24"/>
      <c r="AB2792" s="24"/>
      <c r="AC2792" s="24"/>
      <c r="AD2792" s="24"/>
      <c r="AE2792" s="24"/>
      <c r="AF2792" s="24"/>
      <c r="AG2792" s="24"/>
      <c r="AH2792" s="24"/>
      <c r="AI2792" s="24"/>
      <c r="AJ2792" s="24"/>
      <c r="AK2792" s="24"/>
      <c r="AL2792" s="24"/>
      <c r="AM2792" s="24"/>
      <c r="AN2792" s="24"/>
      <c r="AO2792" s="24"/>
      <c r="AP2792" s="24"/>
      <c r="AQ2792" s="24"/>
      <c r="AR2792" s="54"/>
    </row>
    <row r="2793">
      <c r="A2793" s="57"/>
      <c r="B2793" s="24"/>
      <c r="C2793" s="24"/>
      <c r="D2793" s="24"/>
      <c r="E2793" s="24"/>
      <c r="F2793" s="24"/>
      <c r="G2793" s="24"/>
      <c r="H2793" s="24"/>
      <c r="I2793" s="24"/>
      <c r="J2793" s="24"/>
      <c r="K2793" s="24"/>
      <c r="L2793" s="24"/>
      <c r="M2793" s="24"/>
      <c r="N2793" s="24"/>
      <c r="O2793" s="24"/>
      <c r="P2793" s="24"/>
      <c r="Q2793" s="24"/>
      <c r="R2793" s="24"/>
      <c r="S2793" s="24"/>
      <c r="T2793" s="24"/>
      <c r="U2793" s="24"/>
      <c r="V2793" s="24"/>
      <c r="W2793" s="24"/>
      <c r="X2793" s="24"/>
      <c r="Y2793" s="24"/>
      <c r="Z2793" s="24"/>
      <c r="AA2793" s="24"/>
      <c r="AB2793" s="24"/>
      <c r="AC2793" s="24"/>
      <c r="AD2793" s="24"/>
      <c r="AE2793" s="24"/>
      <c r="AF2793" s="24"/>
      <c r="AG2793" s="24"/>
      <c r="AH2793" s="24"/>
      <c r="AI2793" s="24"/>
      <c r="AJ2793" s="24"/>
      <c r="AK2793" s="24"/>
      <c r="AL2793" s="24"/>
      <c r="AM2793" s="24"/>
      <c r="AN2793" s="24"/>
      <c r="AO2793" s="24"/>
      <c r="AP2793" s="24"/>
      <c r="AQ2793" s="24"/>
      <c r="AR2793" s="54"/>
    </row>
    <row r="2794">
      <c r="A2794" s="57"/>
      <c r="B2794" s="24"/>
      <c r="C2794" s="24"/>
      <c r="D2794" s="24"/>
      <c r="E2794" s="24"/>
      <c r="F2794" s="24"/>
      <c r="G2794" s="24"/>
      <c r="H2794" s="24"/>
      <c r="I2794" s="24"/>
      <c r="J2794" s="24"/>
      <c r="K2794" s="24"/>
      <c r="L2794" s="24"/>
      <c r="M2794" s="24"/>
      <c r="N2794" s="24"/>
      <c r="O2794" s="24"/>
      <c r="P2794" s="24"/>
      <c r="Q2794" s="24"/>
      <c r="R2794" s="24"/>
      <c r="S2794" s="24"/>
      <c r="T2794" s="24"/>
      <c r="U2794" s="24"/>
      <c r="V2794" s="24"/>
      <c r="W2794" s="24"/>
      <c r="X2794" s="24"/>
      <c r="Y2794" s="24"/>
      <c r="Z2794" s="24"/>
      <c r="AA2794" s="24"/>
      <c r="AB2794" s="24"/>
      <c r="AC2794" s="24"/>
      <c r="AD2794" s="24"/>
      <c r="AE2794" s="24"/>
      <c r="AF2794" s="24"/>
      <c r="AG2794" s="24"/>
      <c r="AH2794" s="24"/>
      <c r="AI2794" s="24"/>
      <c r="AJ2794" s="24"/>
      <c r="AK2794" s="24"/>
      <c r="AL2794" s="24"/>
      <c r="AM2794" s="24"/>
      <c r="AN2794" s="24"/>
      <c r="AO2794" s="24"/>
      <c r="AP2794" s="24"/>
      <c r="AQ2794" s="24"/>
      <c r="AR2794" s="54"/>
    </row>
    <row r="2795">
      <c r="A2795" s="57"/>
      <c r="B2795" s="24"/>
      <c r="C2795" s="24"/>
      <c r="D2795" s="24"/>
      <c r="E2795" s="24"/>
      <c r="F2795" s="24"/>
      <c r="G2795" s="24"/>
      <c r="H2795" s="24"/>
      <c r="I2795" s="24"/>
      <c r="J2795" s="24"/>
      <c r="K2795" s="24"/>
      <c r="L2795" s="24"/>
      <c r="M2795" s="24"/>
      <c r="N2795" s="24"/>
      <c r="O2795" s="24"/>
      <c r="P2795" s="24"/>
      <c r="Q2795" s="24"/>
      <c r="R2795" s="24"/>
      <c r="S2795" s="24"/>
      <c r="T2795" s="24"/>
      <c r="U2795" s="24"/>
      <c r="V2795" s="24"/>
      <c r="W2795" s="24"/>
      <c r="X2795" s="24"/>
      <c r="Y2795" s="24"/>
      <c r="Z2795" s="24"/>
      <c r="AA2795" s="24"/>
      <c r="AB2795" s="24"/>
      <c r="AC2795" s="24"/>
      <c r="AD2795" s="24"/>
      <c r="AE2795" s="24"/>
      <c r="AF2795" s="24"/>
      <c r="AG2795" s="24"/>
      <c r="AH2795" s="24"/>
      <c r="AI2795" s="24"/>
      <c r="AJ2795" s="24"/>
      <c r="AK2795" s="24"/>
      <c r="AL2795" s="24"/>
      <c r="AM2795" s="24"/>
      <c r="AN2795" s="24"/>
      <c r="AO2795" s="24"/>
      <c r="AP2795" s="24"/>
      <c r="AQ2795" s="24"/>
      <c r="AR2795" s="54"/>
    </row>
    <row r="2796">
      <c r="A2796" s="57"/>
      <c r="B2796" s="24"/>
      <c r="C2796" s="24"/>
      <c r="D2796" s="24"/>
      <c r="E2796" s="24"/>
      <c r="F2796" s="24"/>
      <c r="G2796" s="24"/>
      <c r="H2796" s="24"/>
      <c r="I2796" s="24"/>
      <c r="J2796" s="24"/>
      <c r="K2796" s="24"/>
      <c r="L2796" s="24"/>
      <c r="M2796" s="24"/>
      <c r="N2796" s="24"/>
      <c r="O2796" s="24"/>
      <c r="P2796" s="24"/>
      <c r="Q2796" s="24"/>
      <c r="R2796" s="24"/>
      <c r="S2796" s="24"/>
      <c r="T2796" s="24"/>
      <c r="U2796" s="24"/>
      <c r="V2796" s="24"/>
      <c r="W2796" s="24"/>
      <c r="X2796" s="24"/>
      <c r="Y2796" s="24"/>
      <c r="Z2796" s="24"/>
      <c r="AA2796" s="24"/>
      <c r="AB2796" s="24"/>
      <c r="AC2796" s="24"/>
      <c r="AD2796" s="24"/>
      <c r="AE2796" s="24"/>
      <c r="AF2796" s="24"/>
      <c r="AG2796" s="24"/>
      <c r="AH2796" s="24"/>
      <c r="AI2796" s="24"/>
      <c r="AJ2796" s="24"/>
      <c r="AK2796" s="24"/>
      <c r="AL2796" s="24"/>
      <c r="AM2796" s="24"/>
      <c r="AN2796" s="24"/>
      <c r="AO2796" s="24"/>
      <c r="AP2796" s="24"/>
      <c r="AQ2796" s="24"/>
      <c r="AR2796" s="54"/>
    </row>
    <row r="2797">
      <c r="A2797" s="57"/>
      <c r="B2797" s="24"/>
      <c r="C2797" s="24"/>
      <c r="D2797" s="24"/>
      <c r="E2797" s="24"/>
      <c r="F2797" s="24"/>
      <c r="G2797" s="24"/>
      <c r="H2797" s="24"/>
      <c r="I2797" s="24"/>
      <c r="J2797" s="24"/>
      <c r="K2797" s="24"/>
      <c r="L2797" s="24"/>
      <c r="M2797" s="24"/>
      <c r="N2797" s="24"/>
      <c r="O2797" s="24"/>
      <c r="P2797" s="24"/>
      <c r="Q2797" s="24"/>
      <c r="R2797" s="24"/>
      <c r="S2797" s="24"/>
      <c r="T2797" s="24"/>
      <c r="U2797" s="24"/>
      <c r="V2797" s="24"/>
      <c r="W2797" s="24"/>
      <c r="X2797" s="24"/>
      <c r="Y2797" s="24"/>
      <c r="Z2797" s="24"/>
      <c r="AA2797" s="24"/>
      <c r="AB2797" s="24"/>
      <c r="AC2797" s="24"/>
      <c r="AD2797" s="24"/>
      <c r="AE2797" s="24"/>
      <c r="AF2797" s="24"/>
      <c r="AG2797" s="24"/>
      <c r="AH2797" s="24"/>
      <c r="AI2797" s="24"/>
      <c r="AJ2797" s="24"/>
      <c r="AK2797" s="24"/>
      <c r="AL2797" s="24"/>
      <c r="AM2797" s="24"/>
      <c r="AN2797" s="24"/>
      <c r="AO2797" s="24"/>
      <c r="AP2797" s="24"/>
      <c r="AQ2797" s="24"/>
      <c r="AR2797" s="54"/>
    </row>
    <row r="2798">
      <c r="A2798" s="57"/>
      <c r="B2798" s="24"/>
      <c r="C2798" s="24"/>
      <c r="D2798" s="24"/>
      <c r="E2798" s="24"/>
      <c r="F2798" s="24"/>
      <c r="G2798" s="24"/>
      <c r="H2798" s="24"/>
      <c r="I2798" s="24"/>
      <c r="J2798" s="24"/>
      <c r="K2798" s="24"/>
      <c r="L2798" s="24"/>
      <c r="M2798" s="24"/>
      <c r="N2798" s="24"/>
      <c r="O2798" s="24"/>
      <c r="P2798" s="24"/>
      <c r="Q2798" s="24"/>
      <c r="R2798" s="24"/>
      <c r="S2798" s="24"/>
      <c r="T2798" s="24"/>
      <c r="U2798" s="24"/>
      <c r="V2798" s="24"/>
      <c r="W2798" s="24"/>
      <c r="X2798" s="24"/>
      <c r="Y2798" s="24"/>
      <c r="Z2798" s="24"/>
      <c r="AA2798" s="24"/>
      <c r="AB2798" s="24"/>
      <c r="AC2798" s="24"/>
      <c r="AD2798" s="24"/>
      <c r="AE2798" s="24"/>
      <c r="AF2798" s="24"/>
      <c r="AG2798" s="24"/>
      <c r="AH2798" s="24"/>
      <c r="AI2798" s="24"/>
      <c r="AJ2798" s="24"/>
      <c r="AK2798" s="24"/>
      <c r="AL2798" s="24"/>
      <c r="AM2798" s="24"/>
      <c r="AN2798" s="24"/>
      <c r="AO2798" s="24"/>
      <c r="AP2798" s="24"/>
      <c r="AQ2798" s="24"/>
      <c r="AR2798" s="54"/>
    </row>
    <row r="2799">
      <c r="A2799" s="57"/>
      <c r="B2799" s="24"/>
      <c r="C2799" s="24"/>
      <c r="D2799" s="24"/>
      <c r="E2799" s="24"/>
      <c r="F2799" s="24"/>
      <c r="G2799" s="24"/>
      <c r="H2799" s="24"/>
      <c r="I2799" s="24"/>
      <c r="J2799" s="24"/>
      <c r="K2799" s="24"/>
      <c r="L2799" s="24"/>
      <c r="M2799" s="24"/>
      <c r="N2799" s="24"/>
      <c r="O2799" s="24"/>
      <c r="P2799" s="24"/>
      <c r="Q2799" s="24"/>
      <c r="R2799" s="24"/>
      <c r="S2799" s="24"/>
      <c r="T2799" s="24"/>
      <c r="U2799" s="24"/>
      <c r="V2799" s="24"/>
      <c r="W2799" s="24"/>
      <c r="X2799" s="24"/>
      <c r="Y2799" s="24"/>
      <c r="Z2799" s="24"/>
      <c r="AA2799" s="24"/>
      <c r="AB2799" s="24"/>
      <c r="AC2799" s="24"/>
      <c r="AD2799" s="24"/>
      <c r="AE2799" s="24"/>
      <c r="AF2799" s="24"/>
      <c r="AG2799" s="24"/>
      <c r="AH2799" s="24"/>
      <c r="AI2799" s="24"/>
      <c r="AJ2799" s="24"/>
      <c r="AK2799" s="24"/>
      <c r="AL2799" s="24"/>
      <c r="AM2799" s="24"/>
      <c r="AN2799" s="24"/>
      <c r="AO2799" s="24"/>
      <c r="AP2799" s="24"/>
      <c r="AQ2799" s="24"/>
      <c r="AR2799" s="54"/>
    </row>
    <row r="2800">
      <c r="A2800" s="57"/>
      <c r="B2800" s="24"/>
      <c r="C2800" s="24"/>
      <c r="D2800" s="24"/>
      <c r="E2800" s="24"/>
      <c r="F2800" s="24"/>
      <c r="G2800" s="24"/>
      <c r="H2800" s="24"/>
      <c r="I2800" s="24"/>
      <c r="J2800" s="24"/>
      <c r="K2800" s="24"/>
      <c r="L2800" s="24"/>
      <c r="M2800" s="24"/>
      <c r="N2800" s="24"/>
      <c r="O2800" s="24"/>
      <c r="P2800" s="24"/>
      <c r="Q2800" s="24"/>
      <c r="R2800" s="24"/>
      <c r="S2800" s="24"/>
      <c r="T2800" s="24"/>
      <c r="U2800" s="24"/>
      <c r="V2800" s="24"/>
      <c r="W2800" s="24"/>
      <c r="X2800" s="24"/>
      <c r="Y2800" s="24"/>
      <c r="Z2800" s="24"/>
      <c r="AA2800" s="24"/>
      <c r="AB2800" s="24"/>
      <c r="AC2800" s="24"/>
      <c r="AD2800" s="24"/>
      <c r="AE2800" s="24"/>
      <c r="AF2800" s="24"/>
      <c r="AG2800" s="24"/>
      <c r="AH2800" s="24"/>
      <c r="AI2800" s="24"/>
      <c r="AJ2800" s="24"/>
      <c r="AK2800" s="24"/>
      <c r="AL2800" s="24"/>
      <c r="AM2800" s="24"/>
      <c r="AN2800" s="24"/>
      <c r="AO2800" s="24"/>
      <c r="AP2800" s="24"/>
      <c r="AQ2800" s="24"/>
      <c r="AR2800" s="54"/>
    </row>
    <row r="2801">
      <c r="A2801" s="57"/>
      <c r="B2801" s="24"/>
      <c r="C2801" s="24"/>
      <c r="D2801" s="24"/>
      <c r="E2801" s="24"/>
      <c r="F2801" s="24"/>
      <c r="G2801" s="24"/>
      <c r="H2801" s="24"/>
      <c r="I2801" s="24"/>
      <c r="J2801" s="24"/>
      <c r="K2801" s="24"/>
      <c r="L2801" s="24"/>
      <c r="M2801" s="24"/>
      <c r="N2801" s="24"/>
      <c r="O2801" s="24"/>
      <c r="P2801" s="24"/>
      <c r="Q2801" s="24"/>
      <c r="R2801" s="24"/>
      <c r="S2801" s="24"/>
      <c r="T2801" s="24"/>
      <c r="U2801" s="24"/>
      <c r="V2801" s="24"/>
      <c r="W2801" s="24"/>
      <c r="X2801" s="24"/>
      <c r="Y2801" s="24"/>
      <c r="Z2801" s="24"/>
      <c r="AA2801" s="24"/>
      <c r="AB2801" s="24"/>
      <c r="AC2801" s="24"/>
      <c r="AD2801" s="24"/>
      <c r="AE2801" s="24"/>
      <c r="AF2801" s="24"/>
      <c r="AG2801" s="24"/>
      <c r="AH2801" s="24"/>
      <c r="AI2801" s="24"/>
      <c r="AJ2801" s="24"/>
      <c r="AK2801" s="24"/>
      <c r="AL2801" s="24"/>
      <c r="AM2801" s="24"/>
      <c r="AN2801" s="24"/>
      <c r="AO2801" s="24"/>
      <c r="AP2801" s="24"/>
      <c r="AQ2801" s="24"/>
      <c r="AR2801" s="54"/>
    </row>
    <row r="2802">
      <c r="A2802" s="57"/>
      <c r="B2802" s="24"/>
      <c r="C2802" s="24"/>
      <c r="D2802" s="24"/>
      <c r="E2802" s="24"/>
      <c r="F2802" s="24"/>
      <c r="G2802" s="24"/>
      <c r="H2802" s="24"/>
      <c r="I2802" s="24"/>
      <c r="J2802" s="24"/>
      <c r="K2802" s="24"/>
      <c r="L2802" s="24"/>
      <c r="M2802" s="24"/>
      <c r="N2802" s="24"/>
      <c r="O2802" s="24"/>
      <c r="P2802" s="24"/>
      <c r="Q2802" s="24"/>
      <c r="R2802" s="24"/>
      <c r="S2802" s="24"/>
      <c r="T2802" s="24"/>
      <c r="U2802" s="24"/>
      <c r="V2802" s="24"/>
      <c r="W2802" s="24"/>
      <c r="X2802" s="24"/>
      <c r="Y2802" s="24"/>
      <c r="Z2802" s="24"/>
      <c r="AA2802" s="24"/>
      <c r="AB2802" s="24"/>
      <c r="AC2802" s="24"/>
      <c r="AD2802" s="24"/>
      <c r="AE2802" s="24"/>
      <c r="AF2802" s="24"/>
      <c r="AG2802" s="24"/>
      <c r="AH2802" s="24"/>
      <c r="AI2802" s="24"/>
      <c r="AJ2802" s="24"/>
      <c r="AK2802" s="24"/>
      <c r="AL2802" s="24"/>
      <c r="AM2802" s="24"/>
      <c r="AN2802" s="24"/>
      <c r="AO2802" s="24"/>
      <c r="AP2802" s="24"/>
      <c r="AQ2802" s="24"/>
      <c r="AR2802" s="54"/>
    </row>
    <row r="2803">
      <c r="A2803" s="57"/>
      <c r="B2803" s="24"/>
      <c r="C2803" s="24"/>
      <c r="D2803" s="24"/>
      <c r="E2803" s="24"/>
      <c r="F2803" s="24"/>
      <c r="G2803" s="24"/>
      <c r="H2803" s="24"/>
      <c r="I2803" s="24"/>
      <c r="J2803" s="24"/>
      <c r="K2803" s="24"/>
      <c r="L2803" s="24"/>
      <c r="M2803" s="24"/>
      <c r="N2803" s="24"/>
      <c r="O2803" s="24"/>
      <c r="P2803" s="24"/>
      <c r="Q2803" s="24"/>
      <c r="R2803" s="24"/>
      <c r="S2803" s="24"/>
      <c r="T2803" s="24"/>
      <c r="U2803" s="24"/>
      <c r="V2803" s="24"/>
      <c r="W2803" s="24"/>
      <c r="X2803" s="24"/>
      <c r="Y2803" s="24"/>
      <c r="Z2803" s="24"/>
      <c r="AA2803" s="24"/>
      <c r="AB2803" s="24"/>
      <c r="AC2803" s="24"/>
      <c r="AD2803" s="24"/>
      <c r="AE2803" s="24"/>
      <c r="AF2803" s="24"/>
      <c r="AG2803" s="24"/>
      <c r="AH2803" s="24"/>
      <c r="AI2803" s="24"/>
      <c r="AJ2803" s="24"/>
      <c r="AK2803" s="24"/>
      <c r="AL2803" s="24"/>
      <c r="AM2803" s="24"/>
      <c r="AN2803" s="24"/>
      <c r="AO2803" s="24"/>
      <c r="AP2803" s="24"/>
      <c r="AQ2803" s="24"/>
      <c r="AR2803" s="54"/>
    </row>
    <row r="2804">
      <c r="A2804" s="57"/>
      <c r="B2804" s="24"/>
      <c r="C2804" s="24"/>
      <c r="D2804" s="24"/>
      <c r="E2804" s="24"/>
      <c r="F2804" s="24"/>
      <c r="G2804" s="24"/>
      <c r="H2804" s="24"/>
      <c r="I2804" s="24"/>
      <c r="J2804" s="24"/>
      <c r="K2804" s="24"/>
      <c r="L2804" s="24"/>
      <c r="M2804" s="24"/>
      <c r="N2804" s="24"/>
      <c r="O2804" s="24"/>
      <c r="P2804" s="24"/>
      <c r="Q2804" s="24"/>
      <c r="R2804" s="24"/>
      <c r="S2804" s="24"/>
      <c r="T2804" s="24"/>
      <c r="U2804" s="24"/>
      <c r="V2804" s="24"/>
      <c r="W2804" s="24"/>
      <c r="X2804" s="24"/>
      <c r="Y2804" s="24"/>
      <c r="Z2804" s="24"/>
      <c r="AA2804" s="24"/>
      <c r="AB2804" s="24"/>
      <c r="AC2804" s="24"/>
      <c r="AD2804" s="24"/>
      <c r="AE2804" s="24"/>
      <c r="AF2804" s="24"/>
      <c r="AG2804" s="24"/>
      <c r="AH2804" s="24"/>
      <c r="AI2804" s="24"/>
      <c r="AJ2804" s="24"/>
      <c r="AK2804" s="24"/>
      <c r="AL2804" s="24"/>
      <c r="AM2804" s="24"/>
      <c r="AN2804" s="24"/>
      <c r="AO2804" s="24"/>
      <c r="AP2804" s="24"/>
      <c r="AQ2804" s="24"/>
      <c r="AR2804" s="54"/>
    </row>
    <row r="2805">
      <c r="A2805" s="57"/>
      <c r="B2805" s="24"/>
      <c r="C2805" s="24"/>
      <c r="D2805" s="24"/>
      <c r="E2805" s="24"/>
      <c r="F2805" s="24"/>
      <c r="G2805" s="24"/>
      <c r="H2805" s="24"/>
      <c r="I2805" s="24"/>
      <c r="J2805" s="24"/>
      <c r="K2805" s="24"/>
      <c r="L2805" s="24"/>
      <c r="M2805" s="24"/>
      <c r="N2805" s="24"/>
      <c r="O2805" s="24"/>
      <c r="P2805" s="24"/>
      <c r="Q2805" s="24"/>
      <c r="R2805" s="24"/>
      <c r="S2805" s="24"/>
      <c r="T2805" s="24"/>
      <c r="U2805" s="24"/>
      <c r="V2805" s="24"/>
      <c r="W2805" s="24"/>
      <c r="X2805" s="24"/>
      <c r="Y2805" s="24"/>
      <c r="Z2805" s="24"/>
      <c r="AA2805" s="24"/>
      <c r="AB2805" s="24"/>
      <c r="AC2805" s="24"/>
      <c r="AD2805" s="24"/>
      <c r="AE2805" s="24"/>
      <c r="AF2805" s="24"/>
      <c r="AG2805" s="24"/>
      <c r="AH2805" s="24"/>
      <c r="AI2805" s="24"/>
      <c r="AJ2805" s="24"/>
      <c r="AK2805" s="24"/>
      <c r="AL2805" s="24"/>
      <c r="AM2805" s="24"/>
      <c r="AN2805" s="24"/>
      <c r="AO2805" s="24"/>
      <c r="AP2805" s="24"/>
      <c r="AQ2805" s="24"/>
      <c r="AR2805" s="54"/>
    </row>
    <row r="2806">
      <c r="A2806" s="57"/>
      <c r="B2806" s="24"/>
      <c r="C2806" s="24"/>
      <c r="D2806" s="24"/>
      <c r="E2806" s="24"/>
      <c r="F2806" s="24"/>
      <c r="G2806" s="24"/>
      <c r="H2806" s="24"/>
      <c r="I2806" s="24"/>
      <c r="J2806" s="24"/>
      <c r="K2806" s="24"/>
      <c r="L2806" s="24"/>
      <c r="M2806" s="24"/>
      <c r="N2806" s="24"/>
      <c r="O2806" s="24"/>
      <c r="P2806" s="24"/>
      <c r="Q2806" s="24"/>
      <c r="R2806" s="24"/>
      <c r="S2806" s="24"/>
      <c r="T2806" s="24"/>
      <c r="U2806" s="24"/>
      <c r="V2806" s="24"/>
      <c r="W2806" s="24"/>
      <c r="X2806" s="24"/>
      <c r="Y2806" s="24"/>
      <c r="Z2806" s="24"/>
      <c r="AA2806" s="24"/>
      <c r="AB2806" s="24"/>
      <c r="AC2806" s="24"/>
      <c r="AD2806" s="24"/>
      <c r="AE2806" s="24"/>
      <c r="AF2806" s="24"/>
      <c r="AG2806" s="24"/>
      <c r="AH2806" s="24"/>
      <c r="AI2806" s="24"/>
      <c r="AJ2806" s="24"/>
      <c r="AK2806" s="24"/>
      <c r="AL2806" s="24"/>
      <c r="AM2806" s="24"/>
      <c r="AN2806" s="24"/>
      <c r="AO2806" s="24"/>
      <c r="AP2806" s="24"/>
      <c r="AQ2806" s="24"/>
      <c r="AR2806" s="54"/>
    </row>
    <row r="2807">
      <c r="A2807" s="57"/>
      <c r="B2807" s="24"/>
      <c r="C2807" s="24"/>
      <c r="D2807" s="24"/>
      <c r="E2807" s="24"/>
      <c r="F2807" s="24"/>
      <c r="G2807" s="24"/>
      <c r="H2807" s="24"/>
      <c r="I2807" s="24"/>
      <c r="J2807" s="24"/>
      <c r="K2807" s="24"/>
      <c r="L2807" s="24"/>
      <c r="M2807" s="24"/>
      <c r="N2807" s="24"/>
      <c r="O2807" s="24"/>
      <c r="P2807" s="24"/>
      <c r="Q2807" s="24"/>
      <c r="R2807" s="24"/>
      <c r="S2807" s="24"/>
      <c r="T2807" s="24"/>
      <c r="U2807" s="24"/>
      <c r="V2807" s="24"/>
      <c r="W2807" s="24"/>
      <c r="X2807" s="24"/>
      <c r="Y2807" s="24"/>
      <c r="Z2807" s="24"/>
      <c r="AA2807" s="24"/>
      <c r="AB2807" s="24"/>
      <c r="AC2807" s="24"/>
      <c r="AD2807" s="24"/>
      <c r="AE2807" s="24"/>
      <c r="AF2807" s="24"/>
      <c r="AG2807" s="24"/>
      <c r="AH2807" s="24"/>
      <c r="AI2807" s="24"/>
      <c r="AJ2807" s="24"/>
      <c r="AK2807" s="24"/>
      <c r="AL2807" s="24"/>
      <c r="AM2807" s="24"/>
      <c r="AN2807" s="24"/>
      <c r="AO2807" s="24"/>
      <c r="AP2807" s="24"/>
      <c r="AQ2807" s="24"/>
      <c r="AR2807" s="54"/>
    </row>
    <row r="2808">
      <c r="A2808" s="57"/>
      <c r="B2808" s="24"/>
      <c r="C2808" s="24"/>
      <c r="D2808" s="24"/>
      <c r="E2808" s="24"/>
      <c r="F2808" s="24"/>
      <c r="G2808" s="24"/>
      <c r="H2808" s="24"/>
      <c r="I2808" s="24"/>
      <c r="J2808" s="24"/>
      <c r="K2808" s="24"/>
      <c r="L2808" s="24"/>
      <c r="M2808" s="24"/>
      <c r="N2808" s="24"/>
      <c r="O2808" s="24"/>
      <c r="P2808" s="24"/>
      <c r="Q2808" s="24"/>
      <c r="R2808" s="24"/>
      <c r="S2808" s="24"/>
      <c r="T2808" s="24"/>
      <c r="U2808" s="24"/>
      <c r="V2808" s="24"/>
      <c r="W2808" s="24"/>
      <c r="X2808" s="24"/>
      <c r="Y2808" s="24"/>
      <c r="Z2808" s="24"/>
      <c r="AA2808" s="24"/>
      <c r="AB2808" s="24"/>
      <c r="AC2808" s="24"/>
      <c r="AD2808" s="24"/>
      <c r="AE2808" s="24"/>
      <c r="AF2808" s="24"/>
      <c r="AG2808" s="24"/>
      <c r="AH2808" s="24"/>
      <c r="AI2808" s="24"/>
      <c r="AJ2808" s="24"/>
      <c r="AK2808" s="24"/>
      <c r="AL2808" s="24"/>
      <c r="AM2808" s="24"/>
      <c r="AN2808" s="24"/>
      <c r="AO2808" s="24"/>
      <c r="AP2808" s="24"/>
      <c r="AQ2808" s="24"/>
      <c r="AR2808" s="54"/>
    </row>
    <row r="2809">
      <c r="A2809" s="57"/>
      <c r="B2809" s="24"/>
      <c r="C2809" s="24"/>
      <c r="D2809" s="24"/>
      <c r="E2809" s="24"/>
      <c r="F2809" s="24"/>
      <c r="G2809" s="24"/>
      <c r="H2809" s="24"/>
      <c r="I2809" s="24"/>
      <c r="J2809" s="24"/>
      <c r="K2809" s="24"/>
      <c r="L2809" s="24"/>
      <c r="M2809" s="24"/>
      <c r="N2809" s="24"/>
      <c r="O2809" s="24"/>
      <c r="P2809" s="24"/>
      <c r="Q2809" s="24"/>
      <c r="R2809" s="24"/>
      <c r="S2809" s="24"/>
      <c r="T2809" s="24"/>
      <c r="U2809" s="24"/>
      <c r="V2809" s="24"/>
      <c r="W2809" s="24"/>
      <c r="X2809" s="24"/>
      <c r="Y2809" s="24"/>
      <c r="Z2809" s="24"/>
      <c r="AA2809" s="24"/>
      <c r="AB2809" s="24"/>
      <c r="AC2809" s="24"/>
      <c r="AD2809" s="24"/>
      <c r="AE2809" s="24"/>
      <c r="AF2809" s="24"/>
      <c r="AG2809" s="24"/>
      <c r="AH2809" s="24"/>
      <c r="AI2809" s="24"/>
      <c r="AJ2809" s="24"/>
      <c r="AK2809" s="24"/>
      <c r="AL2809" s="24"/>
      <c r="AM2809" s="24"/>
      <c r="AN2809" s="24"/>
      <c r="AO2809" s="24"/>
      <c r="AP2809" s="24"/>
      <c r="AQ2809" s="24"/>
      <c r="AR2809" s="54"/>
    </row>
    <row r="2810">
      <c r="A2810" s="57"/>
      <c r="B2810" s="24"/>
      <c r="C2810" s="24"/>
      <c r="D2810" s="24"/>
      <c r="E2810" s="24"/>
      <c r="F2810" s="24"/>
      <c r="G2810" s="24"/>
      <c r="H2810" s="24"/>
      <c r="I2810" s="24"/>
      <c r="J2810" s="24"/>
      <c r="K2810" s="24"/>
      <c r="L2810" s="24"/>
      <c r="M2810" s="24"/>
      <c r="N2810" s="24"/>
      <c r="O2810" s="24"/>
      <c r="P2810" s="24"/>
      <c r="Q2810" s="24"/>
      <c r="R2810" s="24"/>
      <c r="S2810" s="24"/>
      <c r="T2810" s="24"/>
      <c r="U2810" s="24"/>
      <c r="V2810" s="24"/>
      <c r="W2810" s="24"/>
      <c r="X2810" s="24"/>
      <c r="Y2810" s="24"/>
      <c r="Z2810" s="24"/>
      <c r="AA2810" s="24"/>
      <c r="AB2810" s="24"/>
      <c r="AC2810" s="24"/>
      <c r="AD2810" s="24"/>
      <c r="AE2810" s="24"/>
      <c r="AF2810" s="24"/>
      <c r="AG2810" s="24"/>
      <c r="AH2810" s="24"/>
      <c r="AI2810" s="24"/>
      <c r="AJ2810" s="24"/>
      <c r="AK2810" s="24"/>
      <c r="AL2810" s="24"/>
      <c r="AM2810" s="24"/>
      <c r="AN2810" s="24"/>
      <c r="AO2810" s="24"/>
      <c r="AP2810" s="24"/>
      <c r="AQ2810" s="24"/>
      <c r="AR2810" s="54"/>
    </row>
    <row r="2811">
      <c r="A2811" s="57"/>
      <c r="B2811" s="24"/>
      <c r="C2811" s="24"/>
      <c r="D2811" s="24"/>
      <c r="E2811" s="24"/>
      <c r="F2811" s="24"/>
      <c r="G2811" s="24"/>
      <c r="H2811" s="24"/>
      <c r="I2811" s="24"/>
      <c r="J2811" s="24"/>
      <c r="K2811" s="24"/>
      <c r="L2811" s="24"/>
      <c r="M2811" s="24"/>
      <c r="N2811" s="24"/>
      <c r="O2811" s="24"/>
      <c r="P2811" s="24"/>
      <c r="Q2811" s="24"/>
      <c r="R2811" s="24"/>
      <c r="S2811" s="24"/>
      <c r="T2811" s="24"/>
      <c r="U2811" s="24"/>
      <c r="V2811" s="24"/>
      <c r="W2811" s="24"/>
      <c r="X2811" s="24"/>
      <c r="Y2811" s="24"/>
      <c r="Z2811" s="24"/>
      <c r="AA2811" s="24"/>
      <c r="AB2811" s="24"/>
      <c r="AC2811" s="24"/>
      <c r="AD2811" s="24"/>
      <c r="AE2811" s="24"/>
      <c r="AF2811" s="24"/>
      <c r="AG2811" s="24"/>
      <c r="AH2811" s="24"/>
      <c r="AI2811" s="24"/>
      <c r="AJ2811" s="24"/>
      <c r="AK2811" s="24"/>
      <c r="AL2811" s="24"/>
      <c r="AM2811" s="24"/>
      <c r="AN2811" s="24"/>
      <c r="AO2811" s="24"/>
      <c r="AP2811" s="24"/>
      <c r="AQ2811" s="24"/>
      <c r="AR2811" s="54"/>
    </row>
    <row r="2812">
      <c r="A2812" s="57"/>
      <c r="B2812" s="24"/>
      <c r="C2812" s="24"/>
      <c r="D2812" s="24"/>
      <c r="E2812" s="24"/>
      <c r="F2812" s="24"/>
      <c r="G2812" s="24"/>
      <c r="H2812" s="24"/>
      <c r="I2812" s="24"/>
      <c r="J2812" s="24"/>
      <c r="K2812" s="24"/>
      <c r="L2812" s="24"/>
      <c r="M2812" s="24"/>
      <c r="N2812" s="24"/>
      <c r="O2812" s="24"/>
      <c r="P2812" s="24"/>
      <c r="Q2812" s="24"/>
      <c r="R2812" s="24"/>
      <c r="S2812" s="24"/>
      <c r="T2812" s="24"/>
      <c r="U2812" s="24"/>
      <c r="V2812" s="24"/>
      <c r="W2812" s="24"/>
      <c r="X2812" s="24"/>
      <c r="Y2812" s="24"/>
      <c r="Z2812" s="24"/>
      <c r="AA2812" s="24"/>
      <c r="AB2812" s="24"/>
      <c r="AC2812" s="24"/>
      <c r="AD2812" s="24"/>
      <c r="AE2812" s="24"/>
      <c r="AF2812" s="24"/>
      <c r="AG2812" s="24"/>
      <c r="AH2812" s="24"/>
      <c r="AI2812" s="24"/>
      <c r="AJ2812" s="24"/>
      <c r="AK2812" s="24"/>
      <c r="AL2812" s="24"/>
      <c r="AM2812" s="24"/>
      <c r="AN2812" s="24"/>
      <c r="AO2812" s="24"/>
      <c r="AP2812" s="24"/>
      <c r="AQ2812" s="24"/>
      <c r="AR2812" s="54"/>
    </row>
    <row r="2813">
      <c r="A2813" s="57"/>
      <c r="B2813" s="24"/>
      <c r="C2813" s="24"/>
      <c r="D2813" s="24"/>
      <c r="E2813" s="24"/>
      <c r="F2813" s="24"/>
      <c r="G2813" s="24"/>
      <c r="H2813" s="24"/>
      <c r="I2813" s="24"/>
      <c r="J2813" s="24"/>
      <c r="K2813" s="24"/>
      <c r="L2813" s="24"/>
      <c r="M2813" s="24"/>
      <c r="N2813" s="24"/>
      <c r="O2813" s="24"/>
      <c r="P2813" s="24"/>
      <c r="Q2813" s="24"/>
      <c r="R2813" s="24"/>
      <c r="S2813" s="24"/>
      <c r="T2813" s="24"/>
      <c r="U2813" s="24"/>
      <c r="V2813" s="24"/>
      <c r="W2813" s="24"/>
      <c r="X2813" s="24"/>
      <c r="Y2813" s="24"/>
      <c r="Z2813" s="24"/>
      <c r="AA2813" s="24"/>
      <c r="AB2813" s="24"/>
      <c r="AC2813" s="24"/>
      <c r="AD2813" s="24"/>
      <c r="AE2813" s="24"/>
      <c r="AF2813" s="24"/>
      <c r="AG2813" s="24"/>
      <c r="AH2813" s="24"/>
      <c r="AI2813" s="24"/>
      <c r="AJ2813" s="24"/>
      <c r="AK2813" s="24"/>
      <c r="AL2813" s="24"/>
      <c r="AM2813" s="24"/>
      <c r="AN2813" s="24"/>
      <c r="AO2813" s="24"/>
      <c r="AP2813" s="24"/>
      <c r="AQ2813" s="24"/>
      <c r="AR2813" s="54"/>
    </row>
    <row r="2814">
      <c r="A2814" s="57"/>
      <c r="B2814" s="24"/>
      <c r="C2814" s="24"/>
      <c r="D2814" s="24"/>
      <c r="E2814" s="24"/>
      <c r="F2814" s="24"/>
      <c r="G2814" s="24"/>
      <c r="H2814" s="24"/>
      <c r="I2814" s="24"/>
      <c r="J2814" s="24"/>
      <c r="K2814" s="24"/>
      <c r="L2814" s="24"/>
      <c r="M2814" s="24"/>
      <c r="N2814" s="24"/>
      <c r="O2814" s="24"/>
      <c r="P2814" s="24"/>
      <c r="Q2814" s="24"/>
      <c r="R2814" s="24"/>
      <c r="S2814" s="24"/>
      <c r="T2814" s="24"/>
      <c r="U2814" s="24"/>
      <c r="V2814" s="24"/>
      <c r="W2814" s="24"/>
      <c r="X2814" s="24"/>
      <c r="Y2814" s="24"/>
      <c r="Z2814" s="24"/>
      <c r="AA2814" s="24"/>
      <c r="AB2814" s="24"/>
      <c r="AC2814" s="24"/>
      <c r="AD2814" s="24"/>
      <c r="AE2814" s="24"/>
      <c r="AF2814" s="24"/>
      <c r="AG2814" s="24"/>
      <c r="AH2814" s="24"/>
      <c r="AI2814" s="24"/>
      <c r="AJ2814" s="24"/>
      <c r="AK2814" s="24"/>
      <c r="AL2814" s="24"/>
      <c r="AM2814" s="24"/>
      <c r="AN2814" s="24"/>
      <c r="AO2814" s="24"/>
      <c r="AP2814" s="24"/>
      <c r="AQ2814" s="24"/>
      <c r="AR2814" s="54"/>
    </row>
    <row r="2815">
      <c r="A2815" s="57"/>
      <c r="B2815" s="24"/>
      <c r="C2815" s="24"/>
      <c r="D2815" s="24"/>
      <c r="E2815" s="24"/>
      <c r="F2815" s="24"/>
      <c r="G2815" s="24"/>
      <c r="H2815" s="24"/>
      <c r="I2815" s="24"/>
      <c r="J2815" s="24"/>
      <c r="K2815" s="24"/>
      <c r="L2815" s="24"/>
      <c r="M2815" s="24"/>
      <c r="N2815" s="24"/>
      <c r="O2815" s="24"/>
      <c r="P2815" s="24"/>
      <c r="Q2815" s="24"/>
      <c r="R2815" s="24"/>
      <c r="S2815" s="24"/>
      <c r="T2815" s="24"/>
      <c r="U2815" s="24"/>
      <c r="V2815" s="24"/>
      <c r="W2815" s="24"/>
      <c r="X2815" s="24"/>
      <c r="Y2815" s="24"/>
      <c r="Z2815" s="24"/>
      <c r="AA2815" s="24"/>
      <c r="AB2815" s="24"/>
      <c r="AC2815" s="24"/>
      <c r="AD2815" s="24"/>
      <c r="AE2815" s="24"/>
      <c r="AF2815" s="24"/>
      <c r="AG2815" s="24"/>
      <c r="AH2815" s="24"/>
      <c r="AI2815" s="24"/>
      <c r="AJ2815" s="24"/>
      <c r="AK2815" s="24"/>
      <c r="AL2815" s="24"/>
      <c r="AM2815" s="24"/>
      <c r="AN2815" s="24"/>
      <c r="AO2815" s="24"/>
      <c r="AP2815" s="24"/>
      <c r="AQ2815" s="24"/>
      <c r="AR2815" s="54"/>
    </row>
    <row r="2816">
      <c r="A2816" s="57"/>
      <c r="B2816" s="24"/>
      <c r="C2816" s="24"/>
      <c r="D2816" s="24"/>
      <c r="E2816" s="24"/>
      <c r="F2816" s="24"/>
      <c r="G2816" s="24"/>
      <c r="H2816" s="24"/>
      <c r="I2816" s="24"/>
      <c r="J2816" s="24"/>
      <c r="K2816" s="24"/>
      <c r="L2816" s="24"/>
      <c r="M2816" s="24"/>
      <c r="N2816" s="24"/>
      <c r="O2816" s="24"/>
      <c r="P2816" s="24"/>
      <c r="Q2816" s="24"/>
      <c r="R2816" s="24"/>
      <c r="S2816" s="24"/>
      <c r="T2816" s="24"/>
      <c r="U2816" s="24"/>
      <c r="V2816" s="24"/>
      <c r="W2816" s="24"/>
      <c r="X2816" s="24"/>
      <c r="Y2816" s="24"/>
      <c r="Z2816" s="24"/>
      <c r="AA2816" s="24"/>
      <c r="AB2816" s="24"/>
      <c r="AC2816" s="24"/>
      <c r="AD2816" s="24"/>
      <c r="AE2816" s="24"/>
      <c r="AF2816" s="24"/>
      <c r="AG2816" s="24"/>
      <c r="AH2816" s="24"/>
      <c r="AI2816" s="24"/>
      <c r="AJ2816" s="24"/>
      <c r="AK2816" s="24"/>
      <c r="AL2816" s="24"/>
      <c r="AM2816" s="24"/>
      <c r="AN2816" s="24"/>
      <c r="AO2816" s="24"/>
      <c r="AP2816" s="24"/>
      <c r="AQ2816" s="24"/>
      <c r="AR2816" s="54"/>
    </row>
    <row r="2817">
      <c r="A2817" s="57"/>
      <c r="B2817" s="24"/>
      <c r="C2817" s="24"/>
      <c r="D2817" s="24"/>
      <c r="E2817" s="24"/>
      <c r="F2817" s="24"/>
      <c r="G2817" s="24"/>
      <c r="H2817" s="24"/>
      <c r="I2817" s="24"/>
      <c r="J2817" s="24"/>
      <c r="K2817" s="24"/>
      <c r="L2817" s="24"/>
      <c r="M2817" s="24"/>
      <c r="N2817" s="24"/>
      <c r="O2817" s="24"/>
      <c r="P2817" s="24"/>
      <c r="Q2817" s="24"/>
      <c r="R2817" s="24"/>
      <c r="S2817" s="24"/>
      <c r="T2817" s="24"/>
      <c r="U2817" s="24"/>
      <c r="V2817" s="24"/>
      <c r="W2817" s="24"/>
      <c r="X2817" s="24"/>
      <c r="Y2817" s="24"/>
      <c r="Z2817" s="24"/>
      <c r="AA2817" s="24"/>
      <c r="AB2817" s="24"/>
      <c r="AC2817" s="24"/>
      <c r="AD2817" s="24"/>
      <c r="AE2817" s="24"/>
      <c r="AF2817" s="24"/>
      <c r="AG2817" s="24"/>
      <c r="AH2817" s="24"/>
      <c r="AI2817" s="24"/>
      <c r="AJ2817" s="24"/>
      <c r="AK2817" s="24"/>
      <c r="AL2817" s="24"/>
      <c r="AM2817" s="24"/>
      <c r="AN2817" s="24"/>
      <c r="AO2817" s="24"/>
      <c r="AP2817" s="24"/>
      <c r="AQ2817" s="24"/>
      <c r="AR2817" s="54"/>
    </row>
    <row r="2818">
      <c r="A2818" s="57"/>
      <c r="B2818" s="24"/>
      <c r="C2818" s="24"/>
      <c r="D2818" s="24"/>
      <c r="E2818" s="24"/>
      <c r="F2818" s="24"/>
      <c r="G2818" s="24"/>
      <c r="H2818" s="24"/>
      <c r="I2818" s="24"/>
      <c r="J2818" s="24"/>
      <c r="K2818" s="24"/>
      <c r="L2818" s="24"/>
      <c r="M2818" s="24"/>
      <c r="N2818" s="24"/>
      <c r="O2818" s="24"/>
      <c r="P2818" s="24"/>
      <c r="Q2818" s="24"/>
      <c r="R2818" s="24"/>
      <c r="S2818" s="24"/>
      <c r="T2818" s="24"/>
      <c r="U2818" s="24"/>
      <c r="V2818" s="24"/>
      <c r="W2818" s="24"/>
      <c r="X2818" s="24"/>
      <c r="Y2818" s="24"/>
      <c r="Z2818" s="24"/>
      <c r="AA2818" s="24"/>
      <c r="AB2818" s="24"/>
      <c r="AC2818" s="24"/>
      <c r="AD2818" s="24"/>
      <c r="AE2818" s="24"/>
      <c r="AF2818" s="24"/>
      <c r="AG2818" s="24"/>
      <c r="AH2818" s="24"/>
      <c r="AI2818" s="24"/>
      <c r="AJ2818" s="24"/>
      <c r="AK2818" s="24"/>
      <c r="AL2818" s="24"/>
      <c r="AM2818" s="24"/>
      <c r="AN2818" s="24"/>
      <c r="AO2818" s="24"/>
      <c r="AP2818" s="24"/>
      <c r="AQ2818" s="24"/>
      <c r="AR2818" s="54"/>
    </row>
    <row r="2819">
      <c r="A2819" s="57"/>
      <c r="B2819" s="24"/>
      <c r="C2819" s="24"/>
      <c r="D2819" s="24"/>
      <c r="E2819" s="24"/>
      <c r="F2819" s="24"/>
      <c r="G2819" s="24"/>
      <c r="H2819" s="24"/>
      <c r="I2819" s="24"/>
      <c r="J2819" s="24"/>
      <c r="K2819" s="24"/>
      <c r="L2819" s="24"/>
      <c r="M2819" s="24"/>
      <c r="N2819" s="24"/>
      <c r="O2819" s="24"/>
      <c r="P2819" s="24"/>
      <c r="Q2819" s="24"/>
      <c r="R2819" s="24"/>
      <c r="S2819" s="24"/>
      <c r="T2819" s="24"/>
      <c r="U2819" s="24"/>
      <c r="V2819" s="24"/>
      <c r="W2819" s="24"/>
      <c r="X2819" s="24"/>
      <c r="Y2819" s="24"/>
      <c r="Z2819" s="24"/>
      <c r="AA2819" s="24"/>
      <c r="AB2819" s="24"/>
      <c r="AC2819" s="24"/>
      <c r="AD2819" s="24"/>
      <c r="AE2819" s="24"/>
      <c r="AF2819" s="24"/>
      <c r="AG2819" s="24"/>
      <c r="AH2819" s="24"/>
      <c r="AI2819" s="24"/>
      <c r="AJ2819" s="24"/>
      <c r="AK2819" s="24"/>
      <c r="AL2819" s="24"/>
      <c r="AM2819" s="24"/>
      <c r="AN2819" s="24"/>
      <c r="AO2819" s="24"/>
      <c r="AP2819" s="24"/>
      <c r="AQ2819" s="24"/>
      <c r="AR2819" s="54"/>
    </row>
    <row r="2820">
      <c r="A2820" s="57"/>
      <c r="B2820" s="24"/>
      <c r="C2820" s="24"/>
      <c r="D2820" s="24"/>
      <c r="E2820" s="24"/>
      <c r="F2820" s="24"/>
      <c r="G2820" s="24"/>
      <c r="H2820" s="24"/>
      <c r="I2820" s="24"/>
      <c r="J2820" s="24"/>
      <c r="K2820" s="24"/>
      <c r="L2820" s="24"/>
      <c r="M2820" s="24"/>
      <c r="N2820" s="24"/>
      <c r="O2820" s="24"/>
      <c r="P2820" s="24"/>
      <c r="Q2820" s="24"/>
      <c r="R2820" s="24"/>
      <c r="S2820" s="24"/>
      <c r="T2820" s="24"/>
      <c r="U2820" s="24"/>
      <c r="V2820" s="24"/>
      <c r="W2820" s="24"/>
      <c r="X2820" s="24"/>
      <c r="Y2820" s="24"/>
      <c r="Z2820" s="24"/>
      <c r="AA2820" s="24"/>
      <c r="AB2820" s="24"/>
      <c r="AC2820" s="24"/>
      <c r="AD2820" s="24"/>
      <c r="AE2820" s="24"/>
      <c r="AF2820" s="24"/>
      <c r="AG2820" s="24"/>
      <c r="AH2820" s="24"/>
      <c r="AI2820" s="24"/>
      <c r="AJ2820" s="24"/>
      <c r="AK2820" s="24"/>
      <c r="AL2820" s="24"/>
      <c r="AM2820" s="24"/>
      <c r="AN2820" s="24"/>
      <c r="AO2820" s="24"/>
      <c r="AP2820" s="24"/>
      <c r="AQ2820" s="24"/>
      <c r="AR2820" s="54"/>
    </row>
    <row r="2821">
      <c r="A2821" s="57"/>
      <c r="B2821" s="24"/>
      <c r="C2821" s="24"/>
      <c r="D2821" s="24"/>
      <c r="E2821" s="24"/>
      <c r="F2821" s="24"/>
      <c r="G2821" s="24"/>
      <c r="H2821" s="24"/>
      <c r="I2821" s="24"/>
      <c r="J2821" s="24"/>
      <c r="K2821" s="24"/>
      <c r="L2821" s="24"/>
      <c r="M2821" s="24"/>
      <c r="N2821" s="24"/>
      <c r="O2821" s="24"/>
      <c r="P2821" s="24"/>
      <c r="Q2821" s="24"/>
      <c r="R2821" s="24"/>
      <c r="S2821" s="24"/>
      <c r="T2821" s="24"/>
      <c r="U2821" s="24"/>
      <c r="V2821" s="24"/>
      <c r="W2821" s="24"/>
      <c r="X2821" s="24"/>
      <c r="Y2821" s="24"/>
      <c r="Z2821" s="24"/>
      <c r="AA2821" s="24"/>
      <c r="AB2821" s="24"/>
      <c r="AC2821" s="24"/>
      <c r="AD2821" s="24"/>
      <c r="AE2821" s="24"/>
      <c r="AF2821" s="24"/>
      <c r="AG2821" s="24"/>
      <c r="AH2821" s="24"/>
      <c r="AI2821" s="24"/>
      <c r="AJ2821" s="24"/>
      <c r="AK2821" s="24"/>
      <c r="AL2821" s="24"/>
      <c r="AM2821" s="24"/>
      <c r="AN2821" s="24"/>
      <c r="AO2821" s="24"/>
      <c r="AP2821" s="24"/>
      <c r="AQ2821" s="24"/>
      <c r="AR2821" s="54"/>
    </row>
    <row r="2822">
      <c r="A2822" s="57"/>
      <c r="B2822" s="24"/>
      <c r="C2822" s="24"/>
      <c r="D2822" s="24"/>
      <c r="E2822" s="24"/>
      <c r="F2822" s="24"/>
      <c r="G2822" s="24"/>
      <c r="H2822" s="24"/>
      <c r="I2822" s="24"/>
      <c r="J2822" s="24"/>
      <c r="K2822" s="24"/>
      <c r="L2822" s="24"/>
      <c r="M2822" s="24"/>
      <c r="N2822" s="24"/>
      <c r="O2822" s="24"/>
      <c r="P2822" s="24"/>
      <c r="Q2822" s="24"/>
      <c r="R2822" s="24"/>
      <c r="S2822" s="24"/>
      <c r="T2822" s="24"/>
      <c r="U2822" s="24"/>
      <c r="V2822" s="24"/>
      <c r="W2822" s="24"/>
      <c r="X2822" s="24"/>
      <c r="Y2822" s="24"/>
      <c r="Z2822" s="24"/>
      <c r="AA2822" s="24"/>
      <c r="AB2822" s="24"/>
      <c r="AC2822" s="24"/>
      <c r="AD2822" s="24"/>
      <c r="AE2822" s="24"/>
      <c r="AF2822" s="24"/>
      <c r="AG2822" s="24"/>
      <c r="AH2822" s="24"/>
      <c r="AI2822" s="24"/>
      <c r="AJ2822" s="24"/>
      <c r="AK2822" s="24"/>
      <c r="AL2822" s="24"/>
      <c r="AM2822" s="24"/>
      <c r="AN2822" s="24"/>
      <c r="AO2822" s="24"/>
      <c r="AP2822" s="24"/>
      <c r="AQ2822" s="24"/>
      <c r="AR2822" s="54"/>
    </row>
    <row r="2823">
      <c r="A2823" s="57"/>
      <c r="B2823" s="24"/>
      <c r="C2823" s="24"/>
      <c r="D2823" s="24"/>
      <c r="E2823" s="24"/>
      <c r="F2823" s="24"/>
      <c r="G2823" s="24"/>
      <c r="H2823" s="24"/>
      <c r="I2823" s="24"/>
      <c r="J2823" s="24"/>
      <c r="K2823" s="24"/>
      <c r="L2823" s="24"/>
      <c r="M2823" s="24"/>
      <c r="N2823" s="24"/>
      <c r="O2823" s="24"/>
      <c r="P2823" s="24"/>
      <c r="Q2823" s="24"/>
      <c r="R2823" s="24"/>
      <c r="S2823" s="24"/>
      <c r="T2823" s="24"/>
      <c r="U2823" s="24"/>
      <c r="V2823" s="24"/>
      <c r="W2823" s="24"/>
      <c r="X2823" s="24"/>
      <c r="Y2823" s="24"/>
      <c r="Z2823" s="24"/>
      <c r="AA2823" s="24"/>
      <c r="AB2823" s="24"/>
      <c r="AC2823" s="24"/>
      <c r="AD2823" s="24"/>
      <c r="AE2823" s="24"/>
      <c r="AF2823" s="24"/>
      <c r="AG2823" s="24"/>
      <c r="AH2823" s="24"/>
      <c r="AI2823" s="24"/>
      <c r="AJ2823" s="24"/>
      <c r="AK2823" s="24"/>
      <c r="AL2823" s="24"/>
      <c r="AM2823" s="24"/>
      <c r="AN2823" s="24"/>
      <c r="AO2823" s="24"/>
      <c r="AP2823" s="24"/>
      <c r="AQ2823" s="24"/>
      <c r="AR2823" s="54"/>
    </row>
    <row r="2824">
      <c r="A2824" s="57"/>
      <c r="B2824" s="24"/>
      <c r="C2824" s="24"/>
      <c r="D2824" s="24"/>
      <c r="E2824" s="24"/>
      <c r="F2824" s="24"/>
      <c r="G2824" s="24"/>
      <c r="H2824" s="24"/>
      <c r="I2824" s="24"/>
      <c r="J2824" s="24"/>
      <c r="K2824" s="24"/>
      <c r="L2824" s="24"/>
      <c r="M2824" s="24"/>
      <c r="N2824" s="24"/>
      <c r="O2824" s="24"/>
      <c r="P2824" s="24"/>
      <c r="Q2824" s="24"/>
      <c r="R2824" s="24"/>
      <c r="S2824" s="24"/>
      <c r="T2824" s="24"/>
      <c r="U2824" s="24"/>
      <c r="V2824" s="24"/>
      <c r="W2824" s="24"/>
      <c r="X2824" s="24"/>
      <c r="Y2824" s="24"/>
      <c r="Z2824" s="24"/>
      <c r="AA2824" s="24"/>
      <c r="AB2824" s="24"/>
      <c r="AC2824" s="24"/>
      <c r="AD2824" s="24"/>
      <c r="AE2824" s="24"/>
      <c r="AF2824" s="24"/>
      <c r="AG2824" s="24"/>
      <c r="AH2824" s="24"/>
      <c r="AI2824" s="24"/>
      <c r="AJ2824" s="24"/>
      <c r="AK2824" s="24"/>
      <c r="AL2824" s="24"/>
      <c r="AM2824" s="24"/>
      <c r="AN2824" s="24"/>
      <c r="AO2824" s="24"/>
      <c r="AP2824" s="24"/>
      <c r="AQ2824" s="24"/>
      <c r="AR2824" s="54"/>
    </row>
    <row r="2825">
      <c r="A2825" s="57"/>
      <c r="B2825" s="24"/>
      <c r="C2825" s="24"/>
      <c r="D2825" s="24"/>
      <c r="E2825" s="24"/>
      <c r="F2825" s="24"/>
      <c r="G2825" s="24"/>
      <c r="H2825" s="24"/>
      <c r="I2825" s="24"/>
      <c r="J2825" s="24"/>
      <c r="K2825" s="24"/>
      <c r="L2825" s="24"/>
      <c r="M2825" s="24"/>
      <c r="N2825" s="24"/>
      <c r="O2825" s="24"/>
      <c r="P2825" s="24"/>
      <c r="Q2825" s="24"/>
      <c r="R2825" s="24"/>
      <c r="S2825" s="24"/>
      <c r="T2825" s="24"/>
      <c r="U2825" s="24"/>
      <c r="V2825" s="24"/>
      <c r="W2825" s="24"/>
      <c r="X2825" s="24"/>
      <c r="Y2825" s="24"/>
      <c r="Z2825" s="24"/>
      <c r="AA2825" s="24"/>
      <c r="AB2825" s="24"/>
      <c r="AC2825" s="24"/>
      <c r="AD2825" s="24"/>
      <c r="AE2825" s="24"/>
      <c r="AF2825" s="24"/>
      <c r="AG2825" s="24"/>
      <c r="AH2825" s="24"/>
      <c r="AI2825" s="24"/>
      <c r="AJ2825" s="24"/>
      <c r="AK2825" s="24"/>
      <c r="AL2825" s="24"/>
      <c r="AM2825" s="24"/>
      <c r="AN2825" s="24"/>
      <c r="AO2825" s="24"/>
      <c r="AP2825" s="24"/>
      <c r="AQ2825" s="24"/>
      <c r="AR2825" s="54"/>
    </row>
    <row r="2826">
      <c r="A2826" s="57"/>
      <c r="B2826" s="24"/>
      <c r="C2826" s="24"/>
      <c r="D2826" s="24"/>
      <c r="E2826" s="24"/>
      <c r="F2826" s="24"/>
      <c r="G2826" s="24"/>
      <c r="H2826" s="24"/>
      <c r="I2826" s="24"/>
      <c r="J2826" s="24"/>
      <c r="K2826" s="24"/>
      <c r="L2826" s="24"/>
      <c r="M2826" s="24"/>
      <c r="N2826" s="24"/>
      <c r="O2826" s="24"/>
      <c r="P2826" s="24"/>
      <c r="Q2826" s="24"/>
      <c r="R2826" s="24"/>
      <c r="S2826" s="24"/>
      <c r="T2826" s="24"/>
      <c r="U2826" s="24"/>
      <c r="V2826" s="24"/>
      <c r="W2826" s="24"/>
      <c r="X2826" s="24"/>
      <c r="Y2826" s="24"/>
      <c r="Z2826" s="24"/>
      <c r="AA2826" s="24"/>
      <c r="AB2826" s="24"/>
      <c r="AC2826" s="24"/>
      <c r="AD2826" s="24"/>
      <c r="AE2826" s="24"/>
      <c r="AF2826" s="24"/>
      <c r="AG2826" s="24"/>
      <c r="AH2826" s="24"/>
      <c r="AI2826" s="24"/>
      <c r="AJ2826" s="24"/>
      <c r="AK2826" s="24"/>
      <c r="AL2826" s="24"/>
      <c r="AM2826" s="24"/>
      <c r="AN2826" s="24"/>
      <c r="AO2826" s="24"/>
      <c r="AP2826" s="24"/>
      <c r="AQ2826" s="24"/>
      <c r="AR2826" s="54"/>
    </row>
    <row r="2827">
      <c r="A2827" s="57"/>
      <c r="B2827" s="24"/>
      <c r="C2827" s="24"/>
      <c r="D2827" s="24"/>
      <c r="E2827" s="24"/>
      <c r="F2827" s="24"/>
      <c r="G2827" s="24"/>
      <c r="H2827" s="24"/>
      <c r="I2827" s="24"/>
      <c r="J2827" s="24"/>
      <c r="K2827" s="24"/>
      <c r="L2827" s="24"/>
      <c r="M2827" s="24"/>
      <c r="N2827" s="24"/>
      <c r="O2827" s="24"/>
      <c r="P2827" s="24"/>
      <c r="Q2827" s="24"/>
      <c r="R2827" s="24"/>
      <c r="S2827" s="24"/>
      <c r="T2827" s="24"/>
      <c r="U2827" s="24"/>
      <c r="V2827" s="24"/>
      <c r="W2827" s="24"/>
      <c r="X2827" s="24"/>
      <c r="Y2827" s="24"/>
      <c r="Z2827" s="24"/>
      <c r="AA2827" s="24"/>
      <c r="AB2827" s="24"/>
      <c r="AC2827" s="24"/>
      <c r="AD2827" s="24"/>
      <c r="AE2827" s="24"/>
      <c r="AF2827" s="24"/>
      <c r="AG2827" s="24"/>
      <c r="AH2827" s="24"/>
      <c r="AI2827" s="24"/>
      <c r="AJ2827" s="24"/>
      <c r="AK2827" s="24"/>
      <c r="AL2827" s="24"/>
      <c r="AM2827" s="24"/>
      <c r="AN2827" s="24"/>
      <c r="AO2827" s="24"/>
      <c r="AP2827" s="24"/>
      <c r="AQ2827" s="24"/>
      <c r="AR2827" s="54"/>
    </row>
    <row r="2828">
      <c r="A2828" s="57"/>
      <c r="B2828" s="24"/>
      <c r="C2828" s="24"/>
      <c r="D2828" s="24"/>
      <c r="E2828" s="24"/>
      <c r="F2828" s="24"/>
      <c r="G2828" s="24"/>
      <c r="H2828" s="24"/>
      <c r="I2828" s="24"/>
      <c r="J2828" s="24"/>
      <c r="K2828" s="24"/>
      <c r="L2828" s="24"/>
      <c r="M2828" s="24"/>
      <c r="N2828" s="24"/>
      <c r="O2828" s="24"/>
      <c r="P2828" s="24"/>
      <c r="Q2828" s="24"/>
      <c r="R2828" s="24"/>
      <c r="S2828" s="24"/>
      <c r="T2828" s="24"/>
      <c r="U2828" s="24"/>
      <c r="V2828" s="24"/>
      <c r="W2828" s="24"/>
      <c r="X2828" s="24"/>
      <c r="Y2828" s="24"/>
      <c r="Z2828" s="24"/>
      <c r="AA2828" s="24"/>
      <c r="AB2828" s="24"/>
      <c r="AC2828" s="24"/>
      <c r="AD2828" s="24"/>
      <c r="AE2828" s="24"/>
      <c r="AF2828" s="24"/>
      <c r="AG2828" s="24"/>
      <c r="AH2828" s="24"/>
      <c r="AI2828" s="24"/>
      <c r="AJ2828" s="24"/>
      <c r="AK2828" s="24"/>
      <c r="AL2828" s="24"/>
      <c r="AM2828" s="24"/>
      <c r="AN2828" s="24"/>
      <c r="AO2828" s="24"/>
      <c r="AP2828" s="24"/>
      <c r="AQ2828" s="24"/>
      <c r="AR2828" s="54"/>
    </row>
    <row r="2829">
      <c r="A2829" s="57"/>
      <c r="B2829" s="24"/>
      <c r="C2829" s="24"/>
      <c r="D2829" s="24"/>
      <c r="E2829" s="24"/>
      <c r="F2829" s="24"/>
      <c r="G2829" s="24"/>
      <c r="H2829" s="24"/>
      <c r="I2829" s="24"/>
      <c r="J2829" s="24"/>
      <c r="K2829" s="24"/>
      <c r="L2829" s="24"/>
      <c r="M2829" s="24"/>
      <c r="N2829" s="24"/>
      <c r="O2829" s="24"/>
      <c r="P2829" s="24"/>
      <c r="Q2829" s="24"/>
      <c r="R2829" s="24"/>
      <c r="S2829" s="24"/>
      <c r="T2829" s="24"/>
      <c r="U2829" s="24"/>
      <c r="V2829" s="24"/>
      <c r="W2829" s="24"/>
      <c r="X2829" s="24"/>
      <c r="Y2829" s="24"/>
      <c r="Z2829" s="24"/>
      <c r="AA2829" s="24"/>
      <c r="AB2829" s="24"/>
      <c r="AC2829" s="24"/>
      <c r="AD2829" s="24"/>
      <c r="AE2829" s="24"/>
      <c r="AF2829" s="24"/>
      <c r="AG2829" s="24"/>
      <c r="AH2829" s="24"/>
      <c r="AI2829" s="24"/>
      <c r="AJ2829" s="24"/>
      <c r="AK2829" s="24"/>
      <c r="AL2829" s="24"/>
      <c r="AM2829" s="24"/>
      <c r="AN2829" s="24"/>
      <c r="AO2829" s="24"/>
      <c r="AP2829" s="24"/>
      <c r="AQ2829" s="24"/>
      <c r="AR2829" s="54"/>
    </row>
    <row r="2830">
      <c r="A2830" s="57"/>
      <c r="B2830" s="24"/>
      <c r="C2830" s="24"/>
      <c r="D2830" s="24"/>
      <c r="E2830" s="24"/>
      <c r="F2830" s="24"/>
      <c r="G2830" s="24"/>
      <c r="H2830" s="24"/>
      <c r="I2830" s="24"/>
      <c r="J2830" s="24"/>
      <c r="K2830" s="24"/>
      <c r="L2830" s="24"/>
      <c r="M2830" s="24"/>
      <c r="N2830" s="24"/>
      <c r="O2830" s="24"/>
      <c r="P2830" s="24"/>
      <c r="Q2830" s="24"/>
      <c r="R2830" s="24"/>
      <c r="S2830" s="24"/>
      <c r="T2830" s="24"/>
      <c r="U2830" s="24"/>
      <c r="V2830" s="24"/>
      <c r="W2830" s="24"/>
      <c r="X2830" s="24"/>
      <c r="Y2830" s="24"/>
      <c r="Z2830" s="24"/>
      <c r="AA2830" s="24"/>
      <c r="AB2830" s="24"/>
      <c r="AC2830" s="24"/>
      <c r="AD2830" s="24"/>
      <c r="AE2830" s="24"/>
      <c r="AF2830" s="24"/>
      <c r="AG2830" s="24"/>
      <c r="AH2830" s="24"/>
      <c r="AI2830" s="24"/>
      <c r="AJ2830" s="24"/>
      <c r="AK2830" s="24"/>
      <c r="AL2830" s="24"/>
      <c r="AM2830" s="24"/>
      <c r="AN2830" s="24"/>
      <c r="AO2830" s="24"/>
      <c r="AP2830" s="24"/>
      <c r="AQ2830" s="24"/>
      <c r="AR2830" s="54"/>
    </row>
    <row r="2831">
      <c r="A2831" s="57"/>
      <c r="B2831" s="24"/>
      <c r="C2831" s="24"/>
      <c r="D2831" s="24"/>
      <c r="E2831" s="24"/>
      <c r="F2831" s="24"/>
      <c r="G2831" s="24"/>
      <c r="H2831" s="24"/>
      <c r="I2831" s="24"/>
      <c r="J2831" s="24"/>
      <c r="K2831" s="24"/>
      <c r="L2831" s="24"/>
      <c r="M2831" s="24"/>
      <c r="N2831" s="24"/>
      <c r="O2831" s="24"/>
      <c r="P2831" s="24"/>
      <c r="Q2831" s="24"/>
      <c r="R2831" s="24"/>
      <c r="S2831" s="24"/>
      <c r="T2831" s="24"/>
      <c r="U2831" s="24"/>
      <c r="V2831" s="24"/>
      <c r="W2831" s="24"/>
      <c r="X2831" s="24"/>
      <c r="Y2831" s="24"/>
      <c r="Z2831" s="24"/>
      <c r="AA2831" s="24"/>
      <c r="AB2831" s="24"/>
      <c r="AC2831" s="24"/>
      <c r="AD2831" s="24"/>
      <c r="AE2831" s="24"/>
      <c r="AF2831" s="24"/>
      <c r="AG2831" s="24"/>
      <c r="AH2831" s="24"/>
      <c r="AI2831" s="24"/>
      <c r="AJ2831" s="24"/>
      <c r="AK2831" s="24"/>
      <c r="AL2831" s="24"/>
      <c r="AM2831" s="24"/>
      <c r="AN2831" s="24"/>
      <c r="AO2831" s="24"/>
      <c r="AP2831" s="24"/>
      <c r="AQ2831" s="24"/>
      <c r="AR2831" s="54"/>
    </row>
    <row r="2832">
      <c r="A2832" s="57"/>
      <c r="B2832" s="24"/>
      <c r="C2832" s="24"/>
      <c r="D2832" s="24"/>
      <c r="E2832" s="24"/>
      <c r="F2832" s="24"/>
      <c r="G2832" s="24"/>
      <c r="H2832" s="24"/>
      <c r="I2832" s="24"/>
      <c r="J2832" s="24"/>
      <c r="K2832" s="24"/>
      <c r="L2832" s="24"/>
      <c r="M2832" s="24"/>
      <c r="N2832" s="24"/>
      <c r="O2832" s="24"/>
      <c r="P2832" s="24"/>
      <c r="Q2832" s="24"/>
      <c r="R2832" s="24"/>
      <c r="S2832" s="24"/>
      <c r="T2832" s="24"/>
      <c r="U2832" s="24"/>
      <c r="V2832" s="24"/>
      <c r="W2832" s="24"/>
      <c r="X2832" s="24"/>
      <c r="Y2832" s="24"/>
      <c r="Z2832" s="24"/>
      <c r="AA2832" s="24"/>
      <c r="AB2832" s="24"/>
      <c r="AC2832" s="24"/>
      <c r="AD2832" s="24"/>
      <c r="AE2832" s="24"/>
      <c r="AF2832" s="24"/>
      <c r="AG2832" s="24"/>
      <c r="AH2832" s="24"/>
      <c r="AI2832" s="24"/>
      <c r="AJ2832" s="24"/>
      <c r="AK2832" s="24"/>
      <c r="AL2832" s="24"/>
      <c r="AM2832" s="24"/>
      <c r="AN2832" s="24"/>
      <c r="AO2832" s="24"/>
      <c r="AP2832" s="24"/>
      <c r="AQ2832" s="24"/>
      <c r="AR2832" s="54"/>
    </row>
    <row r="2833">
      <c r="A2833" s="57"/>
      <c r="B2833" s="24"/>
      <c r="C2833" s="24"/>
      <c r="D2833" s="24"/>
      <c r="E2833" s="24"/>
      <c r="F2833" s="24"/>
      <c r="G2833" s="24"/>
      <c r="H2833" s="24"/>
      <c r="I2833" s="24"/>
      <c r="J2833" s="24"/>
      <c r="K2833" s="24"/>
      <c r="L2833" s="24"/>
      <c r="M2833" s="24"/>
      <c r="N2833" s="24"/>
      <c r="O2833" s="24"/>
      <c r="P2833" s="24"/>
      <c r="Q2833" s="24"/>
      <c r="R2833" s="24"/>
      <c r="S2833" s="24"/>
      <c r="T2833" s="24"/>
      <c r="U2833" s="24"/>
      <c r="V2833" s="24"/>
      <c r="W2833" s="24"/>
      <c r="X2833" s="24"/>
      <c r="Y2833" s="24"/>
      <c r="Z2833" s="24"/>
      <c r="AA2833" s="24"/>
      <c r="AB2833" s="24"/>
      <c r="AC2833" s="24"/>
      <c r="AD2833" s="24"/>
      <c r="AE2833" s="24"/>
      <c r="AF2833" s="24"/>
      <c r="AG2833" s="24"/>
      <c r="AH2833" s="24"/>
      <c r="AI2833" s="24"/>
      <c r="AJ2833" s="24"/>
      <c r="AK2833" s="24"/>
      <c r="AL2833" s="24"/>
      <c r="AM2833" s="24"/>
      <c r="AN2833" s="24"/>
      <c r="AO2833" s="24"/>
      <c r="AP2833" s="24"/>
      <c r="AQ2833" s="24"/>
      <c r="AR2833" s="54"/>
    </row>
    <row r="2834">
      <c r="A2834" s="57"/>
      <c r="B2834" s="24"/>
      <c r="C2834" s="24"/>
      <c r="D2834" s="24"/>
      <c r="E2834" s="24"/>
      <c r="F2834" s="24"/>
      <c r="G2834" s="24"/>
      <c r="H2834" s="24"/>
      <c r="I2834" s="24"/>
      <c r="J2834" s="24"/>
      <c r="K2834" s="24"/>
      <c r="L2834" s="24"/>
      <c r="M2834" s="24"/>
      <c r="N2834" s="24"/>
      <c r="O2834" s="24"/>
      <c r="P2834" s="24"/>
      <c r="Q2834" s="24"/>
      <c r="R2834" s="24"/>
      <c r="S2834" s="24"/>
      <c r="T2834" s="24"/>
      <c r="U2834" s="24"/>
      <c r="V2834" s="24"/>
      <c r="W2834" s="24"/>
      <c r="X2834" s="24"/>
      <c r="Y2834" s="24"/>
      <c r="Z2834" s="24"/>
      <c r="AA2834" s="24"/>
      <c r="AB2834" s="24"/>
      <c r="AC2834" s="24"/>
      <c r="AD2834" s="24"/>
      <c r="AE2834" s="24"/>
      <c r="AF2834" s="24"/>
      <c r="AG2834" s="24"/>
      <c r="AH2834" s="24"/>
      <c r="AI2834" s="24"/>
      <c r="AJ2834" s="24"/>
      <c r="AK2834" s="24"/>
      <c r="AL2834" s="24"/>
      <c r="AM2834" s="24"/>
      <c r="AN2834" s="24"/>
      <c r="AO2834" s="24"/>
      <c r="AP2834" s="24"/>
      <c r="AQ2834" s="24"/>
      <c r="AR2834" s="54"/>
    </row>
    <row r="2835">
      <c r="A2835" s="57"/>
      <c r="B2835" s="24"/>
      <c r="C2835" s="24"/>
      <c r="D2835" s="24"/>
      <c r="E2835" s="24"/>
      <c r="F2835" s="24"/>
      <c r="G2835" s="24"/>
      <c r="H2835" s="24"/>
      <c r="I2835" s="24"/>
      <c r="J2835" s="24"/>
      <c r="K2835" s="24"/>
      <c r="L2835" s="24"/>
      <c r="M2835" s="24"/>
      <c r="N2835" s="24"/>
      <c r="O2835" s="24"/>
      <c r="P2835" s="24"/>
      <c r="Q2835" s="24"/>
      <c r="R2835" s="24"/>
      <c r="S2835" s="24"/>
      <c r="T2835" s="24"/>
      <c r="U2835" s="24"/>
      <c r="V2835" s="24"/>
      <c r="W2835" s="24"/>
      <c r="X2835" s="24"/>
      <c r="Y2835" s="24"/>
      <c r="Z2835" s="24"/>
      <c r="AA2835" s="24"/>
      <c r="AB2835" s="24"/>
      <c r="AC2835" s="24"/>
      <c r="AD2835" s="24"/>
      <c r="AE2835" s="24"/>
      <c r="AF2835" s="24"/>
      <c r="AG2835" s="24"/>
      <c r="AH2835" s="24"/>
      <c r="AI2835" s="24"/>
      <c r="AJ2835" s="24"/>
      <c r="AK2835" s="24"/>
      <c r="AL2835" s="24"/>
      <c r="AM2835" s="24"/>
      <c r="AN2835" s="24"/>
      <c r="AO2835" s="24"/>
      <c r="AP2835" s="24"/>
      <c r="AQ2835" s="24"/>
      <c r="AR2835" s="54"/>
    </row>
    <row r="2836">
      <c r="A2836" s="57"/>
      <c r="B2836" s="24"/>
      <c r="C2836" s="24"/>
      <c r="D2836" s="24"/>
      <c r="E2836" s="24"/>
      <c r="F2836" s="24"/>
      <c r="G2836" s="24"/>
      <c r="H2836" s="24"/>
      <c r="I2836" s="24"/>
      <c r="J2836" s="24"/>
      <c r="K2836" s="24"/>
      <c r="L2836" s="24"/>
      <c r="M2836" s="24"/>
      <c r="N2836" s="24"/>
      <c r="O2836" s="24"/>
      <c r="P2836" s="24"/>
      <c r="Q2836" s="24"/>
      <c r="R2836" s="24"/>
      <c r="S2836" s="24"/>
      <c r="T2836" s="24"/>
      <c r="U2836" s="24"/>
      <c r="V2836" s="24"/>
      <c r="W2836" s="24"/>
      <c r="X2836" s="24"/>
      <c r="Y2836" s="24"/>
      <c r="Z2836" s="24"/>
      <c r="AA2836" s="24"/>
      <c r="AB2836" s="24"/>
      <c r="AC2836" s="24"/>
      <c r="AD2836" s="24"/>
      <c r="AE2836" s="24"/>
      <c r="AF2836" s="24"/>
      <c r="AG2836" s="24"/>
      <c r="AH2836" s="24"/>
      <c r="AI2836" s="24"/>
      <c r="AJ2836" s="24"/>
      <c r="AK2836" s="24"/>
      <c r="AL2836" s="24"/>
      <c r="AM2836" s="24"/>
      <c r="AN2836" s="24"/>
      <c r="AO2836" s="24"/>
      <c r="AP2836" s="24"/>
      <c r="AQ2836" s="24"/>
      <c r="AR2836" s="54"/>
    </row>
    <row r="2837">
      <c r="A2837" s="57"/>
      <c r="B2837" s="24"/>
      <c r="C2837" s="24"/>
      <c r="D2837" s="24"/>
      <c r="E2837" s="24"/>
      <c r="F2837" s="24"/>
      <c r="G2837" s="24"/>
      <c r="H2837" s="24"/>
      <c r="I2837" s="24"/>
      <c r="J2837" s="24"/>
      <c r="K2837" s="24"/>
      <c r="L2837" s="24"/>
      <c r="M2837" s="24"/>
      <c r="N2837" s="24"/>
      <c r="O2837" s="24"/>
      <c r="P2837" s="24"/>
      <c r="Q2837" s="24"/>
      <c r="R2837" s="24"/>
      <c r="S2837" s="24"/>
      <c r="T2837" s="24"/>
      <c r="U2837" s="24"/>
      <c r="V2837" s="24"/>
      <c r="W2837" s="24"/>
      <c r="X2837" s="24"/>
      <c r="Y2837" s="24"/>
      <c r="Z2837" s="24"/>
      <c r="AA2837" s="24"/>
      <c r="AB2837" s="24"/>
      <c r="AC2837" s="24"/>
      <c r="AD2837" s="24"/>
      <c r="AE2837" s="24"/>
      <c r="AF2837" s="24"/>
      <c r="AG2837" s="24"/>
      <c r="AH2837" s="24"/>
      <c r="AI2837" s="24"/>
      <c r="AJ2837" s="24"/>
      <c r="AK2837" s="24"/>
      <c r="AL2837" s="24"/>
      <c r="AM2837" s="24"/>
      <c r="AN2837" s="24"/>
      <c r="AO2837" s="24"/>
      <c r="AP2837" s="24"/>
      <c r="AQ2837" s="24"/>
      <c r="AR2837" s="54"/>
    </row>
    <row r="2838">
      <c r="A2838" s="57"/>
      <c r="B2838" s="24"/>
      <c r="C2838" s="24"/>
      <c r="D2838" s="24"/>
      <c r="E2838" s="24"/>
      <c r="F2838" s="24"/>
      <c r="G2838" s="24"/>
      <c r="H2838" s="24"/>
      <c r="I2838" s="24"/>
      <c r="J2838" s="24"/>
      <c r="K2838" s="24"/>
      <c r="L2838" s="24"/>
      <c r="M2838" s="24"/>
      <c r="N2838" s="24"/>
      <c r="O2838" s="24"/>
      <c r="P2838" s="24"/>
      <c r="Q2838" s="24"/>
      <c r="R2838" s="24"/>
      <c r="S2838" s="24"/>
      <c r="T2838" s="24"/>
      <c r="U2838" s="24"/>
      <c r="V2838" s="24"/>
      <c r="W2838" s="24"/>
      <c r="X2838" s="24"/>
      <c r="Y2838" s="24"/>
      <c r="Z2838" s="24"/>
      <c r="AA2838" s="24"/>
      <c r="AB2838" s="24"/>
      <c r="AC2838" s="24"/>
      <c r="AD2838" s="24"/>
      <c r="AE2838" s="24"/>
      <c r="AF2838" s="24"/>
      <c r="AG2838" s="24"/>
      <c r="AH2838" s="24"/>
      <c r="AI2838" s="24"/>
      <c r="AJ2838" s="24"/>
      <c r="AK2838" s="24"/>
      <c r="AL2838" s="24"/>
      <c r="AM2838" s="24"/>
      <c r="AN2838" s="24"/>
      <c r="AO2838" s="24"/>
      <c r="AP2838" s="24"/>
      <c r="AQ2838" s="24"/>
      <c r="AR2838" s="54"/>
    </row>
    <row r="2839">
      <c r="A2839" s="57"/>
      <c r="B2839" s="24"/>
      <c r="C2839" s="24"/>
      <c r="D2839" s="24"/>
      <c r="E2839" s="24"/>
      <c r="F2839" s="24"/>
      <c r="G2839" s="24"/>
      <c r="H2839" s="24"/>
      <c r="I2839" s="24"/>
      <c r="J2839" s="24"/>
      <c r="K2839" s="24"/>
      <c r="L2839" s="24"/>
      <c r="M2839" s="24"/>
      <c r="N2839" s="24"/>
      <c r="O2839" s="24"/>
      <c r="P2839" s="24"/>
      <c r="Q2839" s="24"/>
      <c r="R2839" s="24"/>
      <c r="S2839" s="24"/>
      <c r="T2839" s="24"/>
      <c r="U2839" s="24"/>
      <c r="V2839" s="24"/>
      <c r="W2839" s="24"/>
      <c r="X2839" s="24"/>
      <c r="Y2839" s="24"/>
      <c r="Z2839" s="24"/>
      <c r="AA2839" s="24"/>
      <c r="AB2839" s="24"/>
      <c r="AC2839" s="24"/>
      <c r="AD2839" s="24"/>
      <c r="AE2839" s="24"/>
      <c r="AF2839" s="24"/>
      <c r="AG2839" s="24"/>
      <c r="AH2839" s="24"/>
      <c r="AI2839" s="24"/>
      <c r="AJ2839" s="24"/>
      <c r="AK2839" s="24"/>
      <c r="AL2839" s="24"/>
      <c r="AM2839" s="24"/>
      <c r="AN2839" s="24"/>
      <c r="AO2839" s="24"/>
      <c r="AP2839" s="24"/>
      <c r="AQ2839" s="24"/>
      <c r="AR2839" s="54"/>
    </row>
    <row r="2840">
      <c r="A2840" s="57"/>
      <c r="B2840" s="24"/>
      <c r="C2840" s="24"/>
      <c r="D2840" s="24"/>
      <c r="E2840" s="24"/>
      <c r="F2840" s="24"/>
      <c r="G2840" s="24"/>
      <c r="H2840" s="24"/>
      <c r="I2840" s="24"/>
      <c r="J2840" s="24"/>
      <c r="K2840" s="24"/>
      <c r="L2840" s="24"/>
      <c r="M2840" s="24"/>
      <c r="N2840" s="24"/>
      <c r="O2840" s="24"/>
      <c r="P2840" s="24"/>
      <c r="Q2840" s="24"/>
      <c r="R2840" s="24"/>
      <c r="S2840" s="24"/>
      <c r="T2840" s="24"/>
      <c r="U2840" s="24"/>
      <c r="V2840" s="24"/>
      <c r="W2840" s="24"/>
      <c r="X2840" s="24"/>
      <c r="Y2840" s="24"/>
      <c r="Z2840" s="24"/>
      <c r="AA2840" s="24"/>
      <c r="AB2840" s="24"/>
      <c r="AC2840" s="24"/>
      <c r="AD2840" s="24"/>
      <c r="AE2840" s="24"/>
      <c r="AF2840" s="24"/>
      <c r="AG2840" s="24"/>
      <c r="AH2840" s="24"/>
      <c r="AI2840" s="24"/>
      <c r="AJ2840" s="24"/>
      <c r="AK2840" s="24"/>
      <c r="AL2840" s="24"/>
      <c r="AM2840" s="24"/>
      <c r="AN2840" s="24"/>
      <c r="AO2840" s="24"/>
      <c r="AP2840" s="24"/>
      <c r="AQ2840" s="24"/>
      <c r="AR2840" s="54"/>
    </row>
    <row r="2841">
      <c r="A2841" s="57"/>
      <c r="B2841" s="24"/>
      <c r="C2841" s="24"/>
      <c r="D2841" s="24"/>
      <c r="E2841" s="24"/>
      <c r="F2841" s="24"/>
      <c r="G2841" s="24"/>
      <c r="H2841" s="24"/>
      <c r="I2841" s="24"/>
      <c r="J2841" s="24"/>
      <c r="K2841" s="24"/>
      <c r="L2841" s="24"/>
      <c r="M2841" s="24"/>
      <c r="N2841" s="24"/>
      <c r="O2841" s="24"/>
      <c r="P2841" s="24"/>
      <c r="Q2841" s="24"/>
      <c r="R2841" s="24"/>
      <c r="S2841" s="24"/>
      <c r="T2841" s="24"/>
      <c r="U2841" s="24"/>
      <c r="V2841" s="24"/>
      <c r="W2841" s="24"/>
      <c r="X2841" s="24"/>
      <c r="Y2841" s="24"/>
      <c r="Z2841" s="24"/>
      <c r="AA2841" s="24"/>
      <c r="AB2841" s="24"/>
      <c r="AC2841" s="24"/>
      <c r="AD2841" s="24"/>
      <c r="AE2841" s="24"/>
      <c r="AF2841" s="24"/>
      <c r="AG2841" s="24"/>
      <c r="AH2841" s="24"/>
      <c r="AI2841" s="24"/>
      <c r="AJ2841" s="24"/>
      <c r="AK2841" s="24"/>
      <c r="AL2841" s="24"/>
      <c r="AM2841" s="24"/>
      <c r="AN2841" s="24"/>
      <c r="AO2841" s="24"/>
      <c r="AP2841" s="24"/>
      <c r="AQ2841" s="24"/>
      <c r="AR2841" s="54"/>
    </row>
    <row r="2842">
      <c r="A2842" s="57"/>
      <c r="B2842" s="24"/>
      <c r="C2842" s="24"/>
      <c r="D2842" s="24"/>
      <c r="E2842" s="24"/>
      <c r="F2842" s="24"/>
      <c r="G2842" s="24"/>
      <c r="H2842" s="24"/>
      <c r="I2842" s="24"/>
      <c r="J2842" s="24"/>
      <c r="K2842" s="24"/>
      <c r="L2842" s="24"/>
      <c r="M2842" s="24"/>
      <c r="N2842" s="24"/>
      <c r="O2842" s="24"/>
      <c r="P2842" s="24"/>
      <c r="Q2842" s="24"/>
      <c r="R2842" s="24"/>
      <c r="S2842" s="24"/>
      <c r="T2842" s="24"/>
      <c r="U2842" s="24"/>
      <c r="V2842" s="24"/>
      <c r="W2842" s="24"/>
      <c r="X2842" s="24"/>
      <c r="Y2842" s="24"/>
      <c r="Z2842" s="24"/>
      <c r="AA2842" s="24"/>
      <c r="AB2842" s="24"/>
      <c r="AC2842" s="24"/>
      <c r="AD2842" s="24"/>
      <c r="AE2842" s="24"/>
      <c r="AF2842" s="24"/>
      <c r="AG2842" s="24"/>
      <c r="AH2842" s="24"/>
      <c r="AI2842" s="24"/>
      <c r="AJ2842" s="24"/>
      <c r="AK2842" s="24"/>
      <c r="AL2842" s="24"/>
      <c r="AM2842" s="24"/>
      <c r="AN2842" s="24"/>
      <c r="AO2842" s="24"/>
      <c r="AP2842" s="24"/>
      <c r="AQ2842" s="24"/>
      <c r="AR2842" s="54"/>
    </row>
    <row r="2843">
      <c r="A2843" s="57"/>
      <c r="B2843" s="24"/>
      <c r="C2843" s="24"/>
      <c r="D2843" s="24"/>
      <c r="E2843" s="24"/>
      <c r="F2843" s="24"/>
      <c r="G2843" s="24"/>
      <c r="H2843" s="24"/>
      <c r="I2843" s="24"/>
      <c r="J2843" s="24"/>
      <c r="K2843" s="24"/>
      <c r="L2843" s="24"/>
      <c r="M2843" s="24"/>
      <c r="N2843" s="24"/>
      <c r="O2843" s="24"/>
      <c r="P2843" s="24"/>
      <c r="Q2843" s="24"/>
      <c r="R2843" s="24"/>
      <c r="S2843" s="24"/>
      <c r="T2843" s="24"/>
      <c r="U2843" s="24"/>
      <c r="V2843" s="24"/>
      <c r="W2843" s="24"/>
      <c r="X2843" s="24"/>
      <c r="Y2843" s="24"/>
      <c r="Z2843" s="24"/>
      <c r="AA2843" s="24"/>
      <c r="AB2843" s="24"/>
      <c r="AC2843" s="24"/>
      <c r="AD2843" s="24"/>
      <c r="AE2843" s="24"/>
      <c r="AF2843" s="24"/>
      <c r="AG2843" s="24"/>
      <c r="AH2843" s="24"/>
      <c r="AI2843" s="24"/>
      <c r="AJ2843" s="24"/>
      <c r="AK2843" s="24"/>
      <c r="AL2843" s="24"/>
      <c r="AM2843" s="24"/>
      <c r="AN2843" s="24"/>
      <c r="AO2843" s="24"/>
      <c r="AP2843" s="24"/>
      <c r="AQ2843" s="24"/>
      <c r="AR2843" s="54"/>
    </row>
    <row r="2844">
      <c r="A2844" s="57"/>
      <c r="B2844" s="24"/>
      <c r="C2844" s="24"/>
      <c r="D2844" s="24"/>
      <c r="E2844" s="24"/>
      <c r="F2844" s="24"/>
      <c r="G2844" s="24"/>
      <c r="H2844" s="24"/>
      <c r="I2844" s="24"/>
      <c r="J2844" s="24"/>
      <c r="K2844" s="24"/>
      <c r="L2844" s="24"/>
      <c r="M2844" s="24"/>
      <c r="N2844" s="24"/>
      <c r="O2844" s="24"/>
      <c r="P2844" s="24"/>
      <c r="Q2844" s="24"/>
      <c r="R2844" s="24"/>
      <c r="S2844" s="24"/>
      <c r="T2844" s="24"/>
      <c r="U2844" s="24"/>
      <c r="V2844" s="24"/>
      <c r="W2844" s="24"/>
      <c r="X2844" s="24"/>
      <c r="Y2844" s="24"/>
      <c r="Z2844" s="24"/>
      <c r="AA2844" s="24"/>
      <c r="AB2844" s="24"/>
      <c r="AC2844" s="24"/>
      <c r="AD2844" s="24"/>
      <c r="AE2844" s="24"/>
      <c r="AF2844" s="24"/>
      <c r="AG2844" s="24"/>
      <c r="AH2844" s="24"/>
      <c r="AI2844" s="24"/>
      <c r="AJ2844" s="24"/>
      <c r="AK2844" s="24"/>
      <c r="AL2844" s="24"/>
      <c r="AM2844" s="24"/>
      <c r="AN2844" s="24"/>
      <c r="AO2844" s="24"/>
      <c r="AP2844" s="24"/>
      <c r="AQ2844" s="24"/>
      <c r="AR2844" s="54"/>
    </row>
    <row r="2845">
      <c r="A2845" s="57"/>
      <c r="B2845" s="24"/>
      <c r="C2845" s="24"/>
      <c r="D2845" s="24"/>
      <c r="E2845" s="24"/>
      <c r="F2845" s="24"/>
      <c r="G2845" s="24"/>
      <c r="H2845" s="24"/>
      <c r="I2845" s="24"/>
      <c r="J2845" s="24"/>
      <c r="K2845" s="24"/>
      <c r="L2845" s="24"/>
      <c r="M2845" s="24"/>
      <c r="N2845" s="24"/>
      <c r="O2845" s="24"/>
      <c r="P2845" s="24"/>
      <c r="Q2845" s="24"/>
      <c r="R2845" s="24"/>
      <c r="S2845" s="24"/>
      <c r="T2845" s="24"/>
      <c r="U2845" s="24"/>
      <c r="V2845" s="24"/>
      <c r="W2845" s="24"/>
      <c r="X2845" s="24"/>
      <c r="Y2845" s="24"/>
      <c r="Z2845" s="24"/>
      <c r="AA2845" s="24"/>
      <c r="AB2845" s="24"/>
      <c r="AC2845" s="24"/>
      <c r="AD2845" s="24"/>
      <c r="AE2845" s="24"/>
      <c r="AF2845" s="24"/>
      <c r="AG2845" s="24"/>
      <c r="AH2845" s="24"/>
      <c r="AI2845" s="24"/>
      <c r="AJ2845" s="24"/>
      <c r="AK2845" s="24"/>
      <c r="AL2845" s="24"/>
      <c r="AM2845" s="24"/>
      <c r="AN2845" s="24"/>
      <c r="AO2845" s="24"/>
      <c r="AP2845" s="24"/>
      <c r="AQ2845" s="24"/>
      <c r="AR2845" s="54"/>
    </row>
    <row r="2846">
      <c r="A2846" s="57"/>
      <c r="B2846" s="24"/>
      <c r="C2846" s="24"/>
      <c r="D2846" s="24"/>
      <c r="E2846" s="24"/>
      <c r="F2846" s="24"/>
      <c r="G2846" s="24"/>
      <c r="H2846" s="24"/>
      <c r="I2846" s="24"/>
      <c r="J2846" s="24"/>
      <c r="K2846" s="24"/>
      <c r="L2846" s="24"/>
      <c r="M2846" s="24"/>
      <c r="N2846" s="24"/>
      <c r="O2846" s="24"/>
      <c r="P2846" s="24"/>
      <c r="Q2846" s="24"/>
      <c r="R2846" s="24"/>
      <c r="S2846" s="24"/>
      <c r="T2846" s="24"/>
      <c r="U2846" s="24"/>
      <c r="V2846" s="24"/>
      <c r="W2846" s="24"/>
      <c r="X2846" s="24"/>
      <c r="Y2846" s="24"/>
      <c r="Z2846" s="24"/>
      <c r="AA2846" s="24"/>
      <c r="AB2846" s="24"/>
      <c r="AC2846" s="24"/>
      <c r="AD2846" s="24"/>
      <c r="AE2846" s="24"/>
      <c r="AF2846" s="24"/>
      <c r="AG2846" s="24"/>
      <c r="AH2846" s="24"/>
      <c r="AI2846" s="24"/>
      <c r="AJ2846" s="24"/>
      <c r="AK2846" s="24"/>
      <c r="AL2846" s="24"/>
      <c r="AM2846" s="24"/>
      <c r="AN2846" s="24"/>
      <c r="AO2846" s="24"/>
      <c r="AP2846" s="24"/>
      <c r="AQ2846" s="24"/>
      <c r="AR2846" s="54"/>
    </row>
    <row r="2847">
      <c r="A2847" s="57"/>
      <c r="B2847" s="24"/>
      <c r="C2847" s="24"/>
      <c r="D2847" s="24"/>
      <c r="E2847" s="24"/>
      <c r="F2847" s="24"/>
      <c r="G2847" s="24"/>
      <c r="H2847" s="24"/>
      <c r="I2847" s="24"/>
      <c r="J2847" s="24"/>
      <c r="K2847" s="24"/>
      <c r="L2847" s="24"/>
      <c r="M2847" s="24"/>
      <c r="N2847" s="24"/>
      <c r="O2847" s="24"/>
      <c r="P2847" s="24"/>
      <c r="Q2847" s="24"/>
      <c r="R2847" s="24"/>
      <c r="S2847" s="24"/>
      <c r="T2847" s="24"/>
      <c r="U2847" s="24"/>
      <c r="V2847" s="24"/>
      <c r="W2847" s="24"/>
      <c r="X2847" s="24"/>
      <c r="Y2847" s="24"/>
      <c r="Z2847" s="24"/>
      <c r="AA2847" s="24"/>
      <c r="AB2847" s="24"/>
      <c r="AC2847" s="24"/>
      <c r="AD2847" s="24"/>
      <c r="AE2847" s="24"/>
      <c r="AF2847" s="24"/>
      <c r="AG2847" s="24"/>
      <c r="AH2847" s="24"/>
      <c r="AI2847" s="24"/>
      <c r="AJ2847" s="24"/>
      <c r="AK2847" s="24"/>
      <c r="AL2847" s="24"/>
      <c r="AM2847" s="24"/>
      <c r="AN2847" s="24"/>
      <c r="AO2847" s="24"/>
      <c r="AP2847" s="24"/>
      <c r="AQ2847" s="24"/>
      <c r="AR2847" s="54"/>
    </row>
    <row r="2848">
      <c r="A2848" s="57"/>
      <c r="B2848" s="24"/>
      <c r="C2848" s="24"/>
      <c r="D2848" s="24"/>
      <c r="E2848" s="24"/>
      <c r="F2848" s="24"/>
      <c r="G2848" s="24"/>
      <c r="H2848" s="24"/>
      <c r="I2848" s="24"/>
      <c r="J2848" s="24"/>
      <c r="K2848" s="24"/>
      <c r="L2848" s="24"/>
      <c r="M2848" s="24"/>
      <c r="N2848" s="24"/>
      <c r="O2848" s="24"/>
      <c r="P2848" s="24"/>
      <c r="Q2848" s="24"/>
      <c r="R2848" s="24"/>
      <c r="S2848" s="24"/>
      <c r="T2848" s="24"/>
      <c r="U2848" s="24"/>
      <c r="V2848" s="24"/>
      <c r="W2848" s="24"/>
      <c r="X2848" s="24"/>
      <c r="Y2848" s="24"/>
      <c r="Z2848" s="24"/>
      <c r="AA2848" s="24"/>
      <c r="AB2848" s="24"/>
      <c r="AC2848" s="24"/>
      <c r="AD2848" s="24"/>
      <c r="AE2848" s="24"/>
      <c r="AF2848" s="24"/>
      <c r="AG2848" s="24"/>
      <c r="AH2848" s="24"/>
      <c r="AI2848" s="24"/>
      <c r="AJ2848" s="24"/>
      <c r="AK2848" s="24"/>
      <c r="AL2848" s="24"/>
      <c r="AM2848" s="24"/>
      <c r="AN2848" s="24"/>
      <c r="AO2848" s="24"/>
      <c r="AP2848" s="24"/>
      <c r="AQ2848" s="24"/>
      <c r="AR2848" s="54"/>
    </row>
    <row r="2849">
      <c r="A2849" s="57"/>
      <c r="B2849" s="24"/>
      <c r="C2849" s="24"/>
      <c r="D2849" s="24"/>
      <c r="E2849" s="24"/>
      <c r="F2849" s="24"/>
      <c r="G2849" s="24"/>
      <c r="H2849" s="24"/>
      <c r="I2849" s="24"/>
      <c r="J2849" s="24"/>
      <c r="K2849" s="24"/>
      <c r="L2849" s="24"/>
      <c r="M2849" s="24"/>
      <c r="N2849" s="24"/>
      <c r="O2849" s="24"/>
      <c r="P2849" s="24"/>
      <c r="Q2849" s="24"/>
      <c r="R2849" s="24"/>
      <c r="S2849" s="24"/>
      <c r="T2849" s="24"/>
      <c r="U2849" s="24"/>
      <c r="V2849" s="24"/>
      <c r="W2849" s="24"/>
      <c r="X2849" s="24"/>
      <c r="Y2849" s="24"/>
      <c r="Z2849" s="24"/>
      <c r="AA2849" s="24"/>
      <c r="AB2849" s="24"/>
      <c r="AC2849" s="24"/>
      <c r="AD2849" s="24"/>
      <c r="AE2849" s="24"/>
      <c r="AF2849" s="24"/>
      <c r="AG2849" s="24"/>
      <c r="AH2849" s="24"/>
      <c r="AI2849" s="24"/>
      <c r="AJ2849" s="24"/>
      <c r="AK2849" s="24"/>
      <c r="AL2849" s="24"/>
      <c r="AM2849" s="24"/>
      <c r="AN2849" s="24"/>
      <c r="AO2849" s="24"/>
      <c r="AP2849" s="24"/>
      <c r="AQ2849" s="24"/>
      <c r="AR2849" s="54"/>
    </row>
    <row r="2850">
      <c r="A2850" s="57"/>
      <c r="B2850" s="24"/>
      <c r="C2850" s="24"/>
      <c r="D2850" s="24"/>
      <c r="E2850" s="24"/>
      <c r="F2850" s="24"/>
      <c r="G2850" s="24"/>
      <c r="H2850" s="24"/>
      <c r="I2850" s="24"/>
      <c r="J2850" s="24"/>
      <c r="K2850" s="24"/>
      <c r="L2850" s="24"/>
      <c r="M2850" s="24"/>
      <c r="N2850" s="24"/>
      <c r="O2850" s="24"/>
      <c r="P2850" s="24"/>
      <c r="Q2850" s="24"/>
      <c r="R2850" s="24"/>
      <c r="S2850" s="24"/>
      <c r="T2850" s="24"/>
      <c r="U2850" s="24"/>
      <c r="V2850" s="24"/>
      <c r="W2850" s="24"/>
      <c r="X2850" s="24"/>
      <c r="Y2850" s="24"/>
      <c r="Z2850" s="24"/>
      <c r="AA2850" s="24"/>
      <c r="AB2850" s="24"/>
      <c r="AC2850" s="24"/>
      <c r="AD2850" s="24"/>
      <c r="AE2850" s="24"/>
      <c r="AF2850" s="24"/>
      <c r="AG2850" s="24"/>
      <c r="AH2850" s="24"/>
      <c r="AI2850" s="24"/>
      <c r="AJ2850" s="24"/>
      <c r="AK2850" s="24"/>
      <c r="AL2850" s="24"/>
      <c r="AM2850" s="24"/>
      <c r="AN2850" s="24"/>
      <c r="AO2850" s="24"/>
      <c r="AP2850" s="24"/>
      <c r="AQ2850" s="24"/>
      <c r="AR2850" s="54"/>
    </row>
    <row r="2851">
      <c r="A2851" s="57"/>
      <c r="B2851" s="24"/>
      <c r="C2851" s="24"/>
      <c r="D2851" s="24"/>
      <c r="E2851" s="24"/>
      <c r="F2851" s="24"/>
      <c r="G2851" s="24"/>
      <c r="H2851" s="24"/>
      <c r="I2851" s="24"/>
      <c r="J2851" s="24"/>
      <c r="K2851" s="24"/>
      <c r="L2851" s="24"/>
      <c r="M2851" s="24"/>
      <c r="N2851" s="24"/>
      <c r="O2851" s="24"/>
      <c r="P2851" s="24"/>
      <c r="Q2851" s="24"/>
      <c r="R2851" s="24"/>
      <c r="S2851" s="24"/>
      <c r="T2851" s="24"/>
      <c r="U2851" s="24"/>
      <c r="V2851" s="24"/>
      <c r="W2851" s="24"/>
      <c r="X2851" s="24"/>
      <c r="Y2851" s="24"/>
      <c r="Z2851" s="24"/>
      <c r="AA2851" s="24"/>
      <c r="AB2851" s="24"/>
      <c r="AC2851" s="24"/>
      <c r="AD2851" s="24"/>
      <c r="AE2851" s="24"/>
      <c r="AF2851" s="24"/>
      <c r="AG2851" s="24"/>
      <c r="AH2851" s="24"/>
      <c r="AI2851" s="24"/>
      <c r="AJ2851" s="24"/>
      <c r="AK2851" s="24"/>
      <c r="AL2851" s="24"/>
      <c r="AM2851" s="24"/>
      <c r="AN2851" s="24"/>
      <c r="AO2851" s="24"/>
      <c r="AP2851" s="24"/>
      <c r="AQ2851" s="24"/>
      <c r="AR2851" s="54"/>
    </row>
    <row r="2852">
      <c r="A2852" s="57"/>
      <c r="B2852" s="24"/>
      <c r="C2852" s="24"/>
      <c r="D2852" s="24"/>
      <c r="E2852" s="24"/>
      <c r="F2852" s="24"/>
      <c r="G2852" s="24"/>
      <c r="H2852" s="24"/>
      <c r="I2852" s="24"/>
      <c r="J2852" s="24"/>
      <c r="K2852" s="24"/>
      <c r="L2852" s="24"/>
      <c r="M2852" s="24"/>
      <c r="N2852" s="24"/>
      <c r="O2852" s="24"/>
      <c r="P2852" s="24"/>
      <c r="Q2852" s="24"/>
      <c r="R2852" s="24"/>
      <c r="S2852" s="24"/>
      <c r="T2852" s="24"/>
      <c r="U2852" s="24"/>
      <c r="V2852" s="24"/>
      <c r="W2852" s="24"/>
      <c r="X2852" s="24"/>
      <c r="Y2852" s="24"/>
      <c r="Z2852" s="24"/>
      <c r="AA2852" s="24"/>
      <c r="AB2852" s="24"/>
      <c r="AC2852" s="24"/>
      <c r="AD2852" s="24"/>
      <c r="AE2852" s="24"/>
      <c r="AF2852" s="24"/>
      <c r="AG2852" s="24"/>
      <c r="AH2852" s="24"/>
      <c r="AI2852" s="24"/>
      <c r="AJ2852" s="24"/>
      <c r="AK2852" s="24"/>
      <c r="AL2852" s="24"/>
      <c r="AM2852" s="24"/>
      <c r="AN2852" s="24"/>
      <c r="AO2852" s="24"/>
      <c r="AP2852" s="24"/>
      <c r="AQ2852" s="24"/>
      <c r="AR2852" s="54"/>
    </row>
    <row r="2853">
      <c r="A2853" s="57"/>
      <c r="B2853" s="24"/>
      <c r="C2853" s="24"/>
      <c r="D2853" s="24"/>
      <c r="E2853" s="24"/>
      <c r="F2853" s="24"/>
      <c r="G2853" s="24"/>
      <c r="H2853" s="24"/>
      <c r="I2853" s="24"/>
      <c r="J2853" s="24"/>
      <c r="K2853" s="24"/>
      <c r="L2853" s="24"/>
      <c r="M2853" s="24"/>
      <c r="N2853" s="24"/>
      <c r="O2853" s="24"/>
      <c r="P2853" s="24"/>
      <c r="Q2853" s="24"/>
      <c r="R2853" s="24"/>
      <c r="S2853" s="24"/>
      <c r="T2853" s="24"/>
      <c r="U2853" s="24"/>
      <c r="V2853" s="24"/>
      <c r="W2853" s="24"/>
      <c r="X2853" s="24"/>
      <c r="Y2853" s="24"/>
      <c r="Z2853" s="24"/>
      <c r="AA2853" s="24"/>
      <c r="AB2853" s="24"/>
      <c r="AC2853" s="24"/>
      <c r="AD2853" s="24"/>
      <c r="AE2853" s="24"/>
      <c r="AF2853" s="24"/>
      <c r="AG2853" s="24"/>
      <c r="AH2853" s="24"/>
      <c r="AI2853" s="24"/>
      <c r="AJ2853" s="24"/>
      <c r="AK2853" s="24"/>
      <c r="AL2853" s="24"/>
      <c r="AM2853" s="24"/>
      <c r="AN2853" s="24"/>
      <c r="AO2853" s="24"/>
      <c r="AP2853" s="24"/>
      <c r="AQ2853" s="24"/>
      <c r="AR2853" s="54"/>
    </row>
    <row r="2854">
      <c r="A2854" s="57"/>
      <c r="B2854" s="24"/>
      <c r="C2854" s="24"/>
      <c r="D2854" s="24"/>
      <c r="E2854" s="24"/>
      <c r="F2854" s="24"/>
      <c r="G2854" s="24"/>
      <c r="H2854" s="24"/>
      <c r="I2854" s="24"/>
      <c r="J2854" s="24"/>
      <c r="K2854" s="24"/>
      <c r="L2854" s="24"/>
      <c r="M2854" s="24"/>
      <c r="N2854" s="24"/>
      <c r="O2854" s="24"/>
      <c r="P2854" s="24"/>
      <c r="Q2854" s="24"/>
      <c r="R2854" s="24"/>
      <c r="S2854" s="24"/>
      <c r="T2854" s="24"/>
      <c r="U2854" s="24"/>
      <c r="V2854" s="24"/>
      <c r="W2854" s="24"/>
      <c r="X2854" s="24"/>
      <c r="Y2854" s="24"/>
      <c r="Z2854" s="24"/>
      <c r="AA2854" s="24"/>
      <c r="AB2854" s="24"/>
      <c r="AC2854" s="24"/>
      <c r="AD2854" s="24"/>
      <c r="AE2854" s="24"/>
      <c r="AF2854" s="24"/>
      <c r="AG2854" s="24"/>
      <c r="AH2854" s="24"/>
      <c r="AI2854" s="24"/>
      <c r="AJ2854" s="24"/>
      <c r="AK2854" s="24"/>
      <c r="AL2854" s="24"/>
      <c r="AM2854" s="24"/>
      <c r="AN2854" s="24"/>
      <c r="AO2854" s="24"/>
      <c r="AP2854" s="24"/>
      <c r="AQ2854" s="24"/>
      <c r="AR2854" s="54"/>
    </row>
    <row r="2855">
      <c r="A2855" s="57"/>
      <c r="B2855" s="24"/>
      <c r="C2855" s="24"/>
      <c r="D2855" s="24"/>
      <c r="E2855" s="24"/>
      <c r="F2855" s="24"/>
      <c r="G2855" s="24"/>
      <c r="H2855" s="24"/>
      <c r="I2855" s="24"/>
      <c r="J2855" s="24"/>
      <c r="K2855" s="24"/>
      <c r="L2855" s="24"/>
      <c r="M2855" s="24"/>
      <c r="N2855" s="24"/>
      <c r="O2855" s="24"/>
      <c r="P2855" s="24"/>
      <c r="Q2855" s="24"/>
      <c r="R2855" s="24"/>
      <c r="S2855" s="24"/>
      <c r="T2855" s="24"/>
      <c r="U2855" s="24"/>
      <c r="V2855" s="24"/>
      <c r="W2855" s="24"/>
      <c r="X2855" s="24"/>
      <c r="Y2855" s="24"/>
      <c r="Z2855" s="24"/>
      <c r="AA2855" s="24"/>
      <c r="AB2855" s="24"/>
      <c r="AC2855" s="24"/>
      <c r="AD2855" s="24"/>
      <c r="AE2855" s="24"/>
      <c r="AF2855" s="24"/>
      <c r="AG2855" s="24"/>
      <c r="AH2855" s="24"/>
      <c r="AI2855" s="24"/>
      <c r="AJ2855" s="24"/>
      <c r="AK2855" s="24"/>
      <c r="AL2855" s="24"/>
      <c r="AM2855" s="24"/>
      <c r="AN2855" s="24"/>
      <c r="AO2855" s="24"/>
      <c r="AP2855" s="24"/>
      <c r="AQ2855" s="24"/>
      <c r="AR2855" s="54"/>
    </row>
    <row r="2856">
      <c r="A2856" s="57"/>
      <c r="B2856" s="24"/>
      <c r="C2856" s="24"/>
      <c r="D2856" s="24"/>
      <c r="E2856" s="24"/>
      <c r="F2856" s="24"/>
      <c r="G2856" s="24"/>
      <c r="H2856" s="24"/>
      <c r="I2856" s="24"/>
      <c r="J2856" s="24"/>
      <c r="K2856" s="24"/>
      <c r="L2856" s="24"/>
      <c r="M2856" s="24"/>
      <c r="N2856" s="24"/>
      <c r="O2856" s="24"/>
      <c r="P2856" s="24"/>
      <c r="Q2856" s="24"/>
      <c r="R2856" s="24"/>
      <c r="S2856" s="24"/>
      <c r="T2856" s="24"/>
      <c r="U2856" s="24"/>
      <c r="V2856" s="24"/>
      <c r="W2856" s="24"/>
      <c r="X2856" s="24"/>
      <c r="Y2856" s="24"/>
      <c r="Z2856" s="24"/>
      <c r="AA2856" s="24"/>
      <c r="AB2856" s="24"/>
      <c r="AC2856" s="24"/>
      <c r="AD2856" s="24"/>
      <c r="AE2856" s="24"/>
      <c r="AF2856" s="24"/>
      <c r="AG2856" s="24"/>
      <c r="AH2856" s="24"/>
      <c r="AI2856" s="24"/>
      <c r="AJ2856" s="24"/>
      <c r="AK2856" s="24"/>
      <c r="AL2856" s="24"/>
      <c r="AM2856" s="24"/>
      <c r="AN2856" s="24"/>
      <c r="AO2856" s="24"/>
      <c r="AP2856" s="24"/>
      <c r="AQ2856" s="24"/>
      <c r="AR2856" s="54"/>
    </row>
    <row r="2857">
      <c r="A2857" s="57"/>
      <c r="B2857" s="24"/>
      <c r="C2857" s="24"/>
      <c r="D2857" s="24"/>
      <c r="E2857" s="24"/>
      <c r="F2857" s="24"/>
      <c r="G2857" s="24"/>
      <c r="H2857" s="24"/>
      <c r="I2857" s="24"/>
      <c r="J2857" s="24"/>
      <c r="K2857" s="24"/>
      <c r="L2857" s="24"/>
      <c r="M2857" s="24"/>
      <c r="N2857" s="24"/>
      <c r="O2857" s="24"/>
      <c r="P2857" s="24"/>
      <c r="Q2857" s="24"/>
      <c r="R2857" s="24"/>
      <c r="S2857" s="24"/>
      <c r="T2857" s="24"/>
      <c r="U2857" s="24"/>
      <c r="V2857" s="24"/>
      <c r="W2857" s="24"/>
      <c r="X2857" s="24"/>
      <c r="Y2857" s="24"/>
      <c r="Z2857" s="24"/>
      <c r="AA2857" s="24"/>
      <c r="AB2857" s="24"/>
      <c r="AC2857" s="24"/>
      <c r="AD2857" s="24"/>
      <c r="AE2857" s="24"/>
      <c r="AF2857" s="24"/>
      <c r="AG2857" s="24"/>
      <c r="AH2857" s="24"/>
      <c r="AI2857" s="24"/>
      <c r="AJ2857" s="24"/>
      <c r="AK2857" s="24"/>
      <c r="AL2857" s="24"/>
      <c r="AM2857" s="24"/>
      <c r="AN2857" s="24"/>
      <c r="AO2857" s="24"/>
      <c r="AP2857" s="24"/>
      <c r="AQ2857" s="24"/>
      <c r="AR2857" s="54"/>
    </row>
    <row r="2858">
      <c r="A2858" s="57"/>
      <c r="B2858" s="24"/>
      <c r="C2858" s="24"/>
      <c r="D2858" s="24"/>
      <c r="E2858" s="24"/>
      <c r="F2858" s="24"/>
      <c r="G2858" s="24"/>
      <c r="H2858" s="24"/>
      <c r="I2858" s="24"/>
      <c r="J2858" s="24"/>
      <c r="K2858" s="24"/>
      <c r="L2858" s="24"/>
      <c r="M2858" s="24"/>
      <c r="N2858" s="24"/>
      <c r="O2858" s="24"/>
      <c r="P2858" s="24"/>
      <c r="Q2858" s="24"/>
      <c r="R2858" s="24"/>
      <c r="S2858" s="24"/>
      <c r="T2858" s="24"/>
      <c r="U2858" s="24"/>
      <c r="V2858" s="24"/>
      <c r="W2858" s="24"/>
      <c r="X2858" s="24"/>
      <c r="Y2858" s="24"/>
      <c r="Z2858" s="24"/>
      <c r="AA2858" s="24"/>
      <c r="AB2858" s="24"/>
      <c r="AC2858" s="24"/>
      <c r="AD2858" s="24"/>
      <c r="AE2858" s="24"/>
      <c r="AF2858" s="24"/>
      <c r="AG2858" s="24"/>
      <c r="AH2858" s="24"/>
      <c r="AI2858" s="24"/>
      <c r="AJ2858" s="24"/>
      <c r="AK2858" s="24"/>
      <c r="AL2858" s="24"/>
      <c r="AM2858" s="24"/>
      <c r="AN2858" s="24"/>
      <c r="AO2858" s="24"/>
      <c r="AP2858" s="24"/>
      <c r="AQ2858" s="24"/>
      <c r="AR2858" s="54"/>
    </row>
    <row r="2859">
      <c r="A2859" s="57"/>
      <c r="B2859" s="24"/>
      <c r="C2859" s="24"/>
      <c r="D2859" s="24"/>
      <c r="E2859" s="24"/>
      <c r="F2859" s="24"/>
      <c r="G2859" s="24"/>
      <c r="H2859" s="24"/>
      <c r="I2859" s="24"/>
      <c r="J2859" s="24"/>
      <c r="K2859" s="24"/>
      <c r="L2859" s="24"/>
      <c r="M2859" s="24"/>
      <c r="N2859" s="24"/>
      <c r="O2859" s="24"/>
      <c r="P2859" s="24"/>
      <c r="Q2859" s="24"/>
      <c r="R2859" s="24"/>
      <c r="S2859" s="24"/>
      <c r="T2859" s="24"/>
      <c r="U2859" s="24"/>
      <c r="V2859" s="24"/>
      <c r="W2859" s="24"/>
      <c r="X2859" s="24"/>
      <c r="Y2859" s="24"/>
      <c r="Z2859" s="24"/>
      <c r="AA2859" s="24"/>
      <c r="AB2859" s="24"/>
      <c r="AC2859" s="24"/>
      <c r="AD2859" s="24"/>
      <c r="AE2859" s="24"/>
      <c r="AF2859" s="24"/>
      <c r="AG2859" s="24"/>
      <c r="AH2859" s="24"/>
      <c r="AI2859" s="24"/>
      <c r="AJ2859" s="24"/>
      <c r="AK2859" s="24"/>
      <c r="AL2859" s="24"/>
      <c r="AM2859" s="24"/>
      <c r="AN2859" s="24"/>
      <c r="AO2859" s="24"/>
      <c r="AP2859" s="24"/>
      <c r="AQ2859" s="24"/>
      <c r="AR2859" s="54"/>
    </row>
    <row r="2860">
      <c r="A2860" s="57"/>
      <c r="B2860" s="24"/>
      <c r="C2860" s="24"/>
      <c r="D2860" s="24"/>
      <c r="E2860" s="24"/>
      <c r="F2860" s="24"/>
      <c r="G2860" s="24"/>
      <c r="H2860" s="24"/>
      <c r="I2860" s="24"/>
      <c r="J2860" s="24"/>
      <c r="K2860" s="24"/>
      <c r="L2860" s="24"/>
      <c r="M2860" s="24"/>
      <c r="N2860" s="24"/>
      <c r="O2860" s="24"/>
      <c r="P2860" s="24"/>
      <c r="Q2860" s="24"/>
      <c r="R2860" s="24"/>
      <c r="S2860" s="24"/>
      <c r="T2860" s="24"/>
      <c r="U2860" s="24"/>
      <c r="V2860" s="24"/>
      <c r="W2860" s="24"/>
      <c r="X2860" s="24"/>
      <c r="Y2860" s="24"/>
      <c r="Z2860" s="24"/>
      <c r="AA2860" s="24"/>
      <c r="AB2860" s="24"/>
      <c r="AC2860" s="24"/>
      <c r="AD2860" s="24"/>
      <c r="AE2860" s="24"/>
      <c r="AF2860" s="24"/>
      <c r="AG2860" s="24"/>
      <c r="AH2860" s="24"/>
      <c r="AI2860" s="24"/>
      <c r="AJ2860" s="24"/>
      <c r="AK2860" s="24"/>
      <c r="AL2860" s="24"/>
      <c r="AM2860" s="24"/>
      <c r="AN2860" s="24"/>
      <c r="AO2860" s="24"/>
      <c r="AP2860" s="24"/>
      <c r="AQ2860" s="24"/>
      <c r="AR2860" s="54"/>
    </row>
    <row r="2861">
      <c r="A2861" s="57"/>
      <c r="B2861" s="24"/>
      <c r="C2861" s="24"/>
      <c r="D2861" s="24"/>
      <c r="E2861" s="24"/>
      <c r="F2861" s="24"/>
      <c r="G2861" s="24"/>
      <c r="H2861" s="24"/>
      <c r="I2861" s="24"/>
      <c r="J2861" s="24"/>
      <c r="K2861" s="24"/>
      <c r="L2861" s="24"/>
      <c r="M2861" s="24"/>
      <c r="N2861" s="24"/>
      <c r="O2861" s="24"/>
      <c r="P2861" s="24"/>
      <c r="Q2861" s="24"/>
      <c r="R2861" s="24"/>
      <c r="S2861" s="24"/>
      <c r="T2861" s="24"/>
      <c r="U2861" s="24"/>
      <c r="V2861" s="24"/>
      <c r="W2861" s="24"/>
      <c r="X2861" s="24"/>
      <c r="Y2861" s="24"/>
      <c r="Z2861" s="24"/>
      <c r="AA2861" s="24"/>
      <c r="AB2861" s="24"/>
      <c r="AC2861" s="24"/>
      <c r="AD2861" s="24"/>
      <c r="AE2861" s="24"/>
      <c r="AF2861" s="24"/>
      <c r="AG2861" s="24"/>
      <c r="AH2861" s="24"/>
      <c r="AI2861" s="24"/>
      <c r="AJ2861" s="24"/>
      <c r="AK2861" s="24"/>
      <c r="AL2861" s="24"/>
      <c r="AM2861" s="24"/>
      <c r="AN2861" s="24"/>
      <c r="AO2861" s="24"/>
      <c r="AP2861" s="24"/>
      <c r="AQ2861" s="24"/>
      <c r="AR2861" s="54"/>
    </row>
    <row r="2862">
      <c r="A2862" s="57"/>
      <c r="B2862" s="24"/>
      <c r="C2862" s="24"/>
      <c r="D2862" s="24"/>
      <c r="E2862" s="24"/>
      <c r="F2862" s="24"/>
      <c r="G2862" s="24"/>
      <c r="H2862" s="24"/>
      <c r="I2862" s="24"/>
      <c r="J2862" s="24"/>
      <c r="K2862" s="24"/>
      <c r="L2862" s="24"/>
      <c r="M2862" s="24"/>
      <c r="N2862" s="24"/>
      <c r="O2862" s="24"/>
      <c r="P2862" s="24"/>
      <c r="Q2862" s="24"/>
      <c r="R2862" s="24"/>
      <c r="S2862" s="24"/>
      <c r="T2862" s="24"/>
      <c r="U2862" s="24"/>
      <c r="V2862" s="24"/>
      <c r="W2862" s="24"/>
      <c r="X2862" s="24"/>
      <c r="Y2862" s="24"/>
      <c r="Z2862" s="24"/>
      <c r="AA2862" s="24"/>
      <c r="AB2862" s="24"/>
      <c r="AC2862" s="24"/>
      <c r="AD2862" s="24"/>
      <c r="AE2862" s="24"/>
      <c r="AF2862" s="24"/>
      <c r="AG2862" s="24"/>
      <c r="AH2862" s="24"/>
      <c r="AI2862" s="24"/>
      <c r="AJ2862" s="24"/>
      <c r="AK2862" s="24"/>
      <c r="AL2862" s="24"/>
      <c r="AM2862" s="24"/>
      <c r="AN2862" s="24"/>
      <c r="AO2862" s="24"/>
      <c r="AP2862" s="24"/>
      <c r="AQ2862" s="24"/>
      <c r="AR2862" s="54"/>
    </row>
    <row r="2863">
      <c r="A2863" s="57"/>
      <c r="B2863" s="24"/>
      <c r="C2863" s="24"/>
      <c r="D2863" s="24"/>
      <c r="E2863" s="24"/>
      <c r="F2863" s="24"/>
      <c r="G2863" s="24"/>
      <c r="H2863" s="24"/>
      <c r="I2863" s="24"/>
      <c r="J2863" s="24"/>
      <c r="K2863" s="24"/>
      <c r="L2863" s="24"/>
      <c r="M2863" s="24"/>
      <c r="N2863" s="24"/>
      <c r="O2863" s="24"/>
      <c r="P2863" s="24"/>
      <c r="Q2863" s="24"/>
      <c r="R2863" s="24"/>
      <c r="S2863" s="24"/>
      <c r="T2863" s="24"/>
      <c r="U2863" s="24"/>
      <c r="V2863" s="24"/>
      <c r="W2863" s="24"/>
      <c r="X2863" s="24"/>
      <c r="Y2863" s="24"/>
      <c r="Z2863" s="24"/>
      <c r="AA2863" s="24"/>
      <c r="AB2863" s="24"/>
      <c r="AC2863" s="24"/>
      <c r="AD2863" s="24"/>
      <c r="AE2863" s="24"/>
      <c r="AF2863" s="24"/>
      <c r="AG2863" s="24"/>
      <c r="AH2863" s="24"/>
      <c r="AI2863" s="24"/>
      <c r="AJ2863" s="24"/>
      <c r="AK2863" s="24"/>
      <c r="AL2863" s="24"/>
      <c r="AM2863" s="24"/>
      <c r="AN2863" s="24"/>
      <c r="AO2863" s="24"/>
      <c r="AP2863" s="24"/>
      <c r="AQ2863" s="24"/>
      <c r="AR2863" s="54"/>
    </row>
    <row r="2864">
      <c r="A2864" s="57"/>
      <c r="B2864" s="24"/>
      <c r="C2864" s="24"/>
      <c r="D2864" s="24"/>
      <c r="E2864" s="24"/>
      <c r="F2864" s="24"/>
      <c r="G2864" s="24"/>
      <c r="H2864" s="24"/>
      <c r="I2864" s="24"/>
      <c r="J2864" s="24"/>
      <c r="K2864" s="24"/>
      <c r="L2864" s="24"/>
      <c r="M2864" s="24"/>
      <c r="N2864" s="24"/>
      <c r="O2864" s="24"/>
      <c r="P2864" s="24"/>
      <c r="Q2864" s="24"/>
      <c r="R2864" s="24"/>
      <c r="S2864" s="24"/>
      <c r="T2864" s="24"/>
      <c r="U2864" s="24"/>
      <c r="V2864" s="24"/>
      <c r="W2864" s="24"/>
      <c r="X2864" s="24"/>
      <c r="Y2864" s="24"/>
      <c r="Z2864" s="24"/>
      <c r="AA2864" s="24"/>
      <c r="AB2864" s="24"/>
      <c r="AC2864" s="24"/>
      <c r="AD2864" s="24"/>
      <c r="AE2864" s="24"/>
      <c r="AF2864" s="24"/>
      <c r="AG2864" s="24"/>
      <c r="AH2864" s="24"/>
      <c r="AI2864" s="24"/>
      <c r="AJ2864" s="24"/>
      <c r="AK2864" s="24"/>
      <c r="AL2864" s="24"/>
      <c r="AM2864" s="24"/>
      <c r="AN2864" s="24"/>
      <c r="AO2864" s="24"/>
      <c r="AP2864" s="24"/>
      <c r="AQ2864" s="24"/>
      <c r="AR2864" s="54"/>
    </row>
    <row r="2865">
      <c r="A2865" s="57"/>
      <c r="B2865" s="24"/>
      <c r="C2865" s="24"/>
      <c r="D2865" s="24"/>
      <c r="E2865" s="24"/>
      <c r="F2865" s="24"/>
      <c r="G2865" s="24"/>
      <c r="H2865" s="24"/>
      <c r="I2865" s="24"/>
      <c r="J2865" s="24"/>
      <c r="K2865" s="24"/>
      <c r="L2865" s="24"/>
      <c r="M2865" s="24"/>
      <c r="N2865" s="24"/>
      <c r="O2865" s="24"/>
      <c r="P2865" s="24"/>
      <c r="Q2865" s="24"/>
      <c r="R2865" s="24"/>
      <c r="S2865" s="24"/>
      <c r="T2865" s="24"/>
      <c r="U2865" s="24"/>
      <c r="V2865" s="24"/>
      <c r="W2865" s="24"/>
      <c r="X2865" s="24"/>
      <c r="Y2865" s="24"/>
      <c r="Z2865" s="24"/>
      <c r="AA2865" s="24"/>
      <c r="AB2865" s="24"/>
      <c r="AC2865" s="24"/>
      <c r="AD2865" s="24"/>
      <c r="AE2865" s="24"/>
      <c r="AF2865" s="24"/>
      <c r="AG2865" s="24"/>
      <c r="AH2865" s="24"/>
      <c r="AI2865" s="24"/>
      <c r="AJ2865" s="24"/>
      <c r="AK2865" s="24"/>
      <c r="AL2865" s="24"/>
      <c r="AM2865" s="24"/>
      <c r="AN2865" s="24"/>
      <c r="AO2865" s="24"/>
      <c r="AP2865" s="24"/>
      <c r="AQ2865" s="24"/>
      <c r="AR2865" s="54"/>
    </row>
    <row r="2866">
      <c r="A2866" s="57"/>
      <c r="B2866" s="24"/>
      <c r="C2866" s="24"/>
      <c r="D2866" s="24"/>
      <c r="E2866" s="24"/>
      <c r="F2866" s="24"/>
      <c r="G2866" s="24"/>
      <c r="H2866" s="24"/>
      <c r="I2866" s="24"/>
      <c r="J2866" s="24"/>
      <c r="K2866" s="24"/>
      <c r="L2866" s="24"/>
      <c r="M2866" s="24"/>
      <c r="N2866" s="24"/>
      <c r="O2866" s="24"/>
      <c r="P2866" s="24"/>
      <c r="Q2866" s="24"/>
      <c r="R2866" s="24"/>
      <c r="S2866" s="24"/>
      <c r="T2866" s="24"/>
      <c r="U2866" s="24"/>
      <c r="V2866" s="24"/>
      <c r="W2866" s="24"/>
      <c r="X2866" s="24"/>
      <c r="Y2866" s="24"/>
      <c r="Z2866" s="24"/>
      <c r="AA2866" s="24"/>
      <c r="AB2866" s="24"/>
      <c r="AC2866" s="24"/>
      <c r="AD2866" s="24"/>
      <c r="AE2866" s="24"/>
      <c r="AF2866" s="24"/>
      <c r="AG2866" s="24"/>
      <c r="AH2866" s="24"/>
      <c r="AI2866" s="24"/>
      <c r="AJ2866" s="24"/>
      <c r="AK2866" s="24"/>
      <c r="AL2866" s="24"/>
      <c r="AM2866" s="24"/>
      <c r="AN2866" s="24"/>
      <c r="AO2866" s="24"/>
      <c r="AP2866" s="24"/>
      <c r="AQ2866" s="24"/>
      <c r="AR2866" s="54"/>
    </row>
    <row r="2867">
      <c r="A2867" s="57"/>
      <c r="B2867" s="24"/>
      <c r="C2867" s="24"/>
      <c r="D2867" s="24"/>
      <c r="E2867" s="24"/>
      <c r="F2867" s="24"/>
      <c r="G2867" s="24"/>
      <c r="H2867" s="24"/>
      <c r="I2867" s="24"/>
      <c r="J2867" s="24"/>
      <c r="K2867" s="24"/>
      <c r="L2867" s="24"/>
      <c r="M2867" s="24"/>
      <c r="N2867" s="24"/>
      <c r="O2867" s="24"/>
      <c r="P2867" s="24"/>
      <c r="Q2867" s="24"/>
      <c r="R2867" s="24"/>
      <c r="S2867" s="24"/>
      <c r="T2867" s="24"/>
      <c r="U2867" s="24"/>
      <c r="V2867" s="24"/>
      <c r="W2867" s="24"/>
      <c r="X2867" s="24"/>
      <c r="Y2867" s="24"/>
      <c r="Z2867" s="24"/>
      <c r="AA2867" s="24"/>
      <c r="AB2867" s="24"/>
      <c r="AC2867" s="24"/>
      <c r="AD2867" s="24"/>
      <c r="AE2867" s="24"/>
      <c r="AF2867" s="24"/>
      <c r="AG2867" s="24"/>
      <c r="AH2867" s="24"/>
      <c r="AI2867" s="24"/>
      <c r="AJ2867" s="24"/>
      <c r="AK2867" s="24"/>
      <c r="AL2867" s="24"/>
      <c r="AM2867" s="24"/>
      <c r="AN2867" s="24"/>
      <c r="AO2867" s="24"/>
      <c r="AP2867" s="24"/>
      <c r="AQ2867" s="24"/>
      <c r="AR2867" s="54"/>
    </row>
    <row r="2868">
      <c r="A2868" s="58"/>
      <c r="B2868" s="59"/>
      <c r="C2868" s="59"/>
      <c r="D2868" s="59"/>
      <c r="E2868" s="59"/>
      <c r="F2868" s="59"/>
      <c r="G2868" s="59"/>
      <c r="H2868" s="59"/>
      <c r="I2868" s="59"/>
      <c r="J2868" s="59"/>
      <c r="K2868" s="59"/>
      <c r="L2868" s="59"/>
      <c r="M2868" s="59"/>
      <c r="N2868" s="59"/>
      <c r="O2868" s="59"/>
      <c r="P2868" s="59"/>
      <c r="Q2868" s="59"/>
      <c r="R2868" s="59"/>
      <c r="S2868" s="59"/>
      <c r="T2868" s="59"/>
      <c r="U2868" s="59"/>
      <c r="V2868" s="59"/>
      <c r="W2868" s="59"/>
      <c r="X2868" s="59"/>
      <c r="Y2868" s="59"/>
      <c r="Z2868" s="59"/>
      <c r="AA2868" s="59"/>
      <c r="AB2868" s="59"/>
      <c r="AC2868" s="59"/>
      <c r="AD2868" s="59"/>
      <c r="AE2868" s="59"/>
      <c r="AF2868" s="59"/>
      <c r="AG2868" s="59"/>
      <c r="AH2868" s="59"/>
      <c r="AI2868" s="59"/>
      <c r="AJ2868" s="59"/>
      <c r="AK2868" s="59"/>
      <c r="AL2868" s="59"/>
      <c r="AM2868" s="59"/>
      <c r="AN2868" s="59"/>
      <c r="AO2868" s="59"/>
      <c r="AP2868" s="59"/>
      <c r="AQ2868" s="59"/>
      <c r="AR2868" s="60"/>
    </row>
    <row r="2869">
      <c r="A2869" s="24"/>
      <c r="B2869" s="24"/>
      <c r="C2869" s="24"/>
      <c r="D2869" s="24"/>
      <c r="E2869" s="24"/>
      <c r="F2869" s="24"/>
      <c r="G2869" s="24"/>
      <c r="H2869" s="24"/>
      <c r="I2869" s="24"/>
      <c r="J2869" s="24"/>
      <c r="K2869" s="24"/>
      <c r="L2869" s="24"/>
      <c r="M2869" s="24"/>
      <c r="N2869" s="24"/>
      <c r="O2869" s="24"/>
      <c r="P2869" s="24"/>
      <c r="Q2869" s="24"/>
      <c r="R2869" s="24"/>
      <c r="S2869" s="24"/>
      <c r="T2869" s="24"/>
      <c r="U2869" s="24"/>
      <c r="V2869" s="24"/>
      <c r="W2869" s="24"/>
      <c r="X2869" s="24"/>
      <c r="Y2869" s="24"/>
      <c r="Z2869" s="24"/>
      <c r="AA2869" s="24"/>
      <c r="AB2869" s="24"/>
      <c r="AC2869" s="24"/>
      <c r="AD2869" s="24"/>
      <c r="AE2869" s="24"/>
      <c r="AF2869" s="24"/>
      <c r="AG2869" s="24"/>
      <c r="AH2869" s="24"/>
      <c r="AI2869" s="24"/>
      <c r="AJ2869" s="24"/>
      <c r="AK2869" s="24"/>
      <c r="AL2869" s="24"/>
      <c r="AM2869" s="24"/>
      <c r="AN2869" s="24"/>
      <c r="AO2869" s="24"/>
      <c r="AP2869" s="24"/>
      <c r="AQ2869" s="24"/>
      <c r="AR2869" s="24"/>
    </row>
    <row r="2870">
      <c r="A2870" s="24"/>
      <c r="B2870" s="24"/>
      <c r="C2870" s="24"/>
      <c r="D2870" s="24"/>
      <c r="E2870" s="24"/>
      <c r="F2870" s="24"/>
      <c r="G2870" s="24"/>
      <c r="H2870" s="24"/>
      <c r="I2870" s="24"/>
      <c r="J2870" s="24"/>
      <c r="K2870" s="24"/>
      <c r="L2870" s="24"/>
      <c r="M2870" s="24"/>
      <c r="N2870" s="24"/>
      <c r="O2870" s="24"/>
      <c r="P2870" s="24"/>
      <c r="Q2870" s="24"/>
      <c r="R2870" s="24"/>
      <c r="S2870" s="24"/>
      <c r="T2870" s="24"/>
      <c r="U2870" s="24"/>
      <c r="V2870" s="24"/>
      <c r="W2870" s="24"/>
      <c r="X2870" s="24"/>
      <c r="Y2870" s="24"/>
      <c r="Z2870" s="24"/>
      <c r="AA2870" s="24"/>
      <c r="AB2870" s="24"/>
      <c r="AC2870" s="24"/>
      <c r="AD2870" s="24"/>
      <c r="AE2870" s="24"/>
      <c r="AF2870" s="24"/>
      <c r="AG2870" s="24"/>
      <c r="AH2870" s="24"/>
      <c r="AI2870" s="24"/>
      <c r="AJ2870" s="24"/>
      <c r="AK2870" s="24"/>
      <c r="AL2870" s="24"/>
      <c r="AM2870" s="24"/>
      <c r="AN2870" s="24"/>
      <c r="AO2870" s="24"/>
      <c r="AP2870" s="24"/>
      <c r="AQ2870" s="24"/>
      <c r="AR2870" s="24"/>
    </row>
    <row r="2871">
      <c r="A2871" s="24"/>
      <c r="B2871" s="24"/>
      <c r="C2871" s="24"/>
      <c r="D2871" s="24"/>
      <c r="E2871" s="24"/>
      <c r="F2871" s="24"/>
      <c r="G2871" s="24"/>
      <c r="H2871" s="24"/>
      <c r="I2871" s="24"/>
      <c r="J2871" s="24"/>
      <c r="K2871" s="24"/>
      <c r="L2871" s="24"/>
      <c r="M2871" s="24"/>
      <c r="N2871" s="24"/>
      <c r="O2871" s="24"/>
      <c r="P2871" s="24"/>
      <c r="Q2871" s="24"/>
      <c r="R2871" s="24"/>
      <c r="S2871" s="24"/>
      <c r="T2871" s="24"/>
      <c r="U2871" s="24"/>
      <c r="V2871" s="24"/>
      <c r="W2871" s="24"/>
      <c r="X2871" s="24"/>
      <c r="Y2871" s="24"/>
      <c r="Z2871" s="24"/>
      <c r="AA2871" s="24"/>
      <c r="AB2871" s="24"/>
      <c r="AC2871" s="24"/>
      <c r="AD2871" s="24"/>
      <c r="AE2871" s="24"/>
      <c r="AF2871" s="24"/>
      <c r="AG2871" s="24"/>
      <c r="AH2871" s="24"/>
      <c r="AI2871" s="24"/>
      <c r="AJ2871" s="24"/>
      <c r="AK2871" s="24"/>
      <c r="AL2871" s="24"/>
      <c r="AM2871" s="24"/>
      <c r="AN2871" s="24"/>
      <c r="AO2871" s="24"/>
      <c r="AP2871" s="24"/>
      <c r="AQ2871" s="24"/>
      <c r="AR2871" s="24"/>
    </row>
    <row r="2872">
      <c r="A2872" s="24"/>
      <c r="B2872" s="24"/>
      <c r="C2872" s="24"/>
      <c r="D2872" s="24"/>
      <c r="E2872" s="24"/>
      <c r="F2872" s="24"/>
      <c r="G2872" s="24"/>
      <c r="H2872" s="24"/>
      <c r="I2872" s="24"/>
      <c r="J2872" s="24"/>
      <c r="K2872" s="24"/>
      <c r="L2872" s="24"/>
      <c r="M2872" s="24"/>
      <c r="N2872" s="24"/>
      <c r="O2872" s="24"/>
      <c r="P2872" s="24"/>
      <c r="Q2872" s="24"/>
      <c r="R2872" s="24"/>
      <c r="S2872" s="24"/>
      <c r="T2872" s="24"/>
      <c r="U2872" s="24"/>
      <c r="V2872" s="24"/>
      <c r="W2872" s="24"/>
      <c r="X2872" s="24"/>
      <c r="Y2872" s="24"/>
      <c r="Z2872" s="24"/>
      <c r="AA2872" s="24"/>
      <c r="AB2872" s="24"/>
      <c r="AC2872" s="24"/>
      <c r="AD2872" s="24"/>
      <c r="AE2872" s="24"/>
      <c r="AF2872" s="24"/>
      <c r="AG2872" s="24"/>
      <c r="AH2872" s="24"/>
      <c r="AI2872" s="24"/>
      <c r="AJ2872" s="24"/>
      <c r="AK2872" s="24"/>
      <c r="AL2872" s="24"/>
      <c r="AM2872" s="24"/>
      <c r="AN2872" s="24"/>
      <c r="AO2872" s="24"/>
      <c r="AP2872" s="24"/>
      <c r="AQ2872" s="24"/>
      <c r="AR2872" s="24"/>
    </row>
    <row r="2873">
      <c r="A2873" s="24"/>
      <c r="B2873" s="24"/>
      <c r="C2873" s="24"/>
      <c r="D2873" s="24"/>
      <c r="E2873" s="24"/>
      <c r="F2873" s="24"/>
      <c r="G2873" s="24"/>
      <c r="H2873" s="24"/>
      <c r="I2873" s="24"/>
      <c r="J2873" s="24"/>
      <c r="K2873" s="24"/>
      <c r="L2873" s="24"/>
      <c r="M2873" s="24"/>
      <c r="N2873" s="24"/>
      <c r="O2873" s="24"/>
      <c r="P2873" s="24"/>
      <c r="Q2873" s="24"/>
      <c r="R2873" s="24"/>
      <c r="S2873" s="24"/>
      <c r="T2873" s="24"/>
      <c r="U2873" s="24"/>
      <c r="V2873" s="24"/>
      <c r="W2873" s="24"/>
      <c r="X2873" s="24"/>
      <c r="Y2873" s="24"/>
      <c r="Z2873" s="24"/>
      <c r="AA2873" s="24"/>
      <c r="AB2873" s="24"/>
      <c r="AC2873" s="24"/>
      <c r="AD2873" s="24"/>
      <c r="AE2873" s="24"/>
      <c r="AF2873" s="24"/>
      <c r="AG2873" s="24"/>
      <c r="AH2873" s="24"/>
      <c r="AI2873" s="24"/>
      <c r="AJ2873" s="24"/>
      <c r="AK2873" s="24"/>
      <c r="AL2873" s="24"/>
      <c r="AM2873" s="24"/>
      <c r="AN2873" s="24"/>
      <c r="AO2873" s="24"/>
      <c r="AP2873" s="24"/>
      <c r="AQ2873" s="24"/>
      <c r="AR2873" s="24"/>
    </row>
    <row r="2874">
      <c r="A2874" s="24"/>
      <c r="B2874" s="24"/>
      <c r="C2874" s="24"/>
      <c r="D2874" s="24"/>
      <c r="E2874" s="24"/>
      <c r="F2874" s="24"/>
      <c r="G2874" s="24"/>
      <c r="H2874" s="24"/>
      <c r="I2874" s="24"/>
      <c r="J2874" s="24"/>
      <c r="K2874" s="24"/>
      <c r="L2874" s="24"/>
      <c r="M2874" s="24"/>
      <c r="N2874" s="24"/>
      <c r="O2874" s="24"/>
      <c r="P2874" s="24"/>
      <c r="Q2874" s="24"/>
      <c r="R2874" s="24"/>
      <c r="S2874" s="24"/>
      <c r="T2874" s="24"/>
      <c r="U2874" s="24"/>
      <c r="V2874" s="24"/>
      <c r="W2874" s="24"/>
      <c r="X2874" s="24"/>
      <c r="Y2874" s="24"/>
      <c r="Z2874" s="24"/>
      <c r="AA2874" s="24"/>
      <c r="AB2874" s="24"/>
      <c r="AC2874" s="24"/>
      <c r="AD2874" s="24"/>
      <c r="AE2874" s="24"/>
      <c r="AF2874" s="24"/>
      <c r="AG2874" s="24"/>
      <c r="AH2874" s="24"/>
      <c r="AI2874" s="24"/>
      <c r="AJ2874" s="24"/>
      <c r="AK2874" s="24"/>
      <c r="AL2874" s="24"/>
      <c r="AM2874" s="24"/>
      <c r="AN2874" s="24"/>
      <c r="AO2874" s="24"/>
      <c r="AP2874" s="24"/>
      <c r="AQ2874" s="24"/>
      <c r="AR2874" s="24"/>
    </row>
    <row r="2875">
      <c r="A2875" s="24"/>
      <c r="B2875" s="24"/>
      <c r="C2875" s="24"/>
      <c r="D2875" s="24"/>
      <c r="E2875" s="24"/>
      <c r="F2875" s="24"/>
      <c r="G2875" s="24"/>
      <c r="H2875" s="24"/>
      <c r="I2875" s="24"/>
      <c r="J2875" s="24"/>
      <c r="K2875" s="24"/>
      <c r="L2875" s="24"/>
      <c r="M2875" s="24"/>
      <c r="N2875" s="24"/>
      <c r="O2875" s="24"/>
      <c r="P2875" s="24"/>
      <c r="Q2875" s="24"/>
      <c r="R2875" s="24"/>
      <c r="S2875" s="24"/>
      <c r="T2875" s="24"/>
      <c r="U2875" s="24"/>
      <c r="V2875" s="24"/>
      <c r="W2875" s="24"/>
      <c r="X2875" s="24"/>
      <c r="Y2875" s="24"/>
      <c r="Z2875" s="24"/>
      <c r="AA2875" s="24"/>
      <c r="AB2875" s="24"/>
      <c r="AC2875" s="24"/>
      <c r="AD2875" s="24"/>
      <c r="AE2875" s="24"/>
      <c r="AF2875" s="24"/>
      <c r="AG2875" s="24"/>
      <c r="AH2875" s="24"/>
      <c r="AI2875" s="24"/>
      <c r="AJ2875" s="24"/>
      <c r="AK2875" s="24"/>
      <c r="AL2875" s="24"/>
      <c r="AM2875" s="24"/>
      <c r="AN2875" s="24"/>
      <c r="AO2875" s="24"/>
      <c r="AP2875" s="24"/>
      <c r="AQ2875" s="24"/>
      <c r="AR2875" s="24"/>
    </row>
  </sheetData>
  <mergeCells count="7">
    <mergeCell ref="A1:B1"/>
    <mergeCell ref="A2:B2"/>
    <mergeCell ref="A12:B12"/>
    <mergeCell ref="A13:B13"/>
    <mergeCell ref="A22:B22"/>
    <mergeCell ref="A23:B23"/>
    <mergeCell ref="F33:H33"/>
  </mergeCells>
  <conditionalFormatting sqref="B8">
    <cfRule type="containsText" dxfId="0" priority="1" operator="containsText" text="No Extra Ordinary Circumstances">
      <formula>NOT(ISERROR(SEARCH(("No Extra Ordinary Circumstances"),(B8))))</formula>
    </cfRule>
  </conditionalFormatting>
  <conditionalFormatting sqref="B8">
    <cfRule type="containsText" dxfId="1" priority="2" operator="containsText" text="proceed">
      <formula>NOT(ISERROR(SEARCH(("proceed"),(B8))))</formula>
    </cfRule>
  </conditionalFormatting>
  <conditionalFormatting sqref="B8">
    <cfRule type="containsText" dxfId="2" priority="3" operator="containsText" text="Reject">
      <formula>NOT(ISERROR(SEARCH(("Reject"),(B8))))</formula>
    </cfRule>
  </conditionalFormatting>
  <conditionalFormatting sqref="B6">
    <cfRule type="cellIs" dxfId="3" priority="4" operator="equal">
      <formula>"Not Under EC 261/2004"</formula>
    </cfRule>
  </conditionalFormatting>
  <conditionalFormatting sqref="B6">
    <cfRule type="cellIs" dxfId="0" priority="5" operator="equal">
      <formula>"Under EC 261/2004"</formula>
    </cfRule>
  </conditionalFormatting>
  <conditionalFormatting sqref="B6">
    <cfRule type="cellIs" dxfId="4" priority="6" operator="equal">
      <formula>"Please check the airline if the operator is an EU airline then it's under EC 261/2004"</formula>
    </cfRule>
  </conditionalFormatting>
  <conditionalFormatting sqref="B25:B33">
    <cfRule type="containsText" dxfId="0" priority="7" operator="containsText" text="Yes">
      <formula>NOT(ISERROR(SEARCH(("Yes"),(B25))))</formula>
    </cfRule>
  </conditionalFormatting>
  <dataValidations>
    <dataValidation type="list" allowBlank="1" showErrorMessage="1" sqref="B14">
      <formula1>'Airline DB'!$A1:$A2875</formula1>
    </dataValidation>
    <dataValidation type="list" allowBlank="1" showErrorMessage="1" sqref="B24">
      <formula1>JR!$A$2:$A2875</formula1>
    </dataValidation>
    <dataValidation type="custom" allowBlank="1" showDropDown="1" sqref="B3">
      <formula1>OR(NOT(ISERROR(DATEVALUE(B3))), AND(ISNUMBER(B3), LEFT(CELL("format", B3))="D"))</formula1>
    </dataValidation>
  </dataValidations>
  <hyperlinks>
    <hyperlink r:id="rId1" ref="B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14" width="12.63"/>
  </cols>
  <sheetData>
    <row r="1">
      <c r="A1" s="31" t="str">
        <f>IFERROR(__xludf.DUMMYFUNCTION("IMPORTRANGE(""https://docs.google.com/spreadsheets/d/1vRztkEdMwazrjryEuxNBqxbQcg_cKEBuU59fnl4i3lI/edit?gid=1482188771#gid=1482188771"",""JURISDICTIONS!A:W"")"),"rff")</f>
        <v>rff</v>
      </c>
      <c r="B1" s="31" t="str">
        <f>IFERROR(__xludf.DUMMYFUNCTION("""COMPUTED_VALUE"""),"Status")</f>
        <v>Status</v>
      </c>
      <c r="C1" s="31" t="str">
        <f>IFERROR(__xludf.DUMMYFUNCTION("""COMPUTED_VALUE"""),"PROCESSING TIME")</f>
        <v>PROCESSING TIME</v>
      </c>
      <c r="D1" s="31" t="str">
        <f>IFERROR(__xludf.DUMMYFUNCTION("""COMPUTED_VALUE"""),"JURISDICTION COSTS")</f>
        <v>JURISDICTION COSTS</v>
      </c>
      <c r="E1" s="31" t="str">
        <f>IFERROR(__xludf.DUMMYFUNCTION("""COMPUTED_VALUE"""),"COURT FEES")</f>
        <v>COURT FEES</v>
      </c>
      <c r="F1" s="31" t="str">
        <f>IFERROR(__xludf.DUMMYFUNCTION("""COMPUTED_VALUE"""),"LAWYER FEES")</f>
        <v>LAWYER FEES</v>
      </c>
      <c r="G1" s="31" t="str">
        <f>IFERROR(__xludf.DUMMYFUNCTION("""COMPUTED_VALUE"""),"Lawyer 1")</f>
        <v>Lawyer 1</v>
      </c>
      <c r="H1" s="31" t="str">
        <f>IFERROR(__xludf.DUMMYFUNCTION("""COMPUTED_VALUE"""),"Lawyer 1 Contact")</f>
        <v>Lawyer 1 Contact</v>
      </c>
      <c r="I1" s="31" t="str">
        <f>IFERROR(__xludf.DUMMYFUNCTION("""COMPUTED_VALUE"""),"Note")</f>
        <v>Note</v>
      </c>
      <c r="J1" s="31" t="str">
        <f>IFERROR(__xludf.DUMMYFUNCTION("""COMPUTED_VALUE"""),"Lawyer 1 Sheet")</f>
        <v>Lawyer 1 Sheet</v>
      </c>
      <c r="K1" s="31" t="str">
        <f>IFERROR(__xludf.DUMMYFUNCTION("""COMPUTED_VALUE"""),"Lawyer 2")</f>
        <v>Lawyer 2</v>
      </c>
      <c r="L1" s="31" t="str">
        <f>IFERROR(__xludf.DUMMYFUNCTION("""COMPUTED_VALUE"""),"Lawyer 2 Contact")</f>
        <v>Lawyer 2 Contact</v>
      </c>
      <c r="M1" s="31" t="str">
        <f>IFERROR(__xludf.DUMMYFUNCTION("""COMPUTED_VALUE"""),"Lawyer 2 Claims")</f>
        <v>Lawyer 2 Claims</v>
      </c>
      <c r="N1" s="31" t="str">
        <f>IFERROR(__xludf.DUMMYFUNCTION("""COMPUTED_VALUE"""),"Lawyer 2 Sheet")</f>
        <v>Lawyer 2 Sheet</v>
      </c>
      <c r="O1" s="31" t="str">
        <f>IFERROR(__xludf.DUMMYFUNCTION("""COMPUTED_VALUE"""),"RANK")</f>
        <v>RANK</v>
      </c>
      <c r="P1" s="31" t="str">
        <f>IFERROR(__xludf.DUMMYFUNCTION("""COMPUTED_VALUE"""),"EXPIRATION PERIOD")</f>
        <v>EXPIRATION PERIOD</v>
      </c>
      <c r="Q1" s="31" t="str">
        <f>IFERROR(__xludf.DUMMYFUNCTION("""COMPUTED_VALUE"""),"Assignment Form / POA")</f>
        <v>Assignment Form / POA</v>
      </c>
      <c r="R1" s="31" t="str">
        <f>IFERROR(__xludf.DUMMYFUNCTION("""COMPUTED_VALUE"""),"TKT/ BP")</f>
        <v>TKT/ BP</v>
      </c>
      <c r="S1" s="31" t="str">
        <f>IFERROR(__xludf.DUMMYFUNCTION("""COMPUTED_VALUE"""),"ID")</f>
        <v>ID</v>
      </c>
      <c r="T1" s="31" t="str">
        <f>IFERROR(__xludf.DUMMYFUNCTION("""COMPUTED_VALUE"""),"Claim Email")</f>
        <v>Claim Email</v>
      </c>
      <c r="U1" s="31" t="str">
        <f>IFERROR(__xludf.DUMMYFUNCTION("""COMPUTED_VALUE"""),"Rerouted Tkt")</f>
        <v>Rerouted Tkt</v>
      </c>
      <c r="V1" s="31" t="str">
        <f>IFERROR(__xludf.DUMMYFUNCTION("""COMPUTED_VALUE"""),"Disruption Proof")</f>
        <v>Disruption Proof</v>
      </c>
      <c r="W1" s="31" t="str">
        <f>IFERROR(__xludf.DUMMYFUNCTION("""COMPUTED_VALUE"""),"Note")</f>
        <v>Note</v>
      </c>
    </row>
    <row r="2">
      <c r="A2" s="31" t="str">
        <f>IFERROR(__xludf.DUMMYFUNCTION("""COMPUTED_VALUE"""),"Sweden")</f>
        <v>Sweden</v>
      </c>
      <c r="B2" s="31" t="str">
        <f>IFERROR(__xludf.DUMMYFUNCTION("""COMPUTED_VALUE"""),"CONTRACTED")</f>
        <v>CONTRACTED</v>
      </c>
      <c r="C2" s="31" t="str">
        <f>IFERROR(__xludf.DUMMYFUNCTION("""COMPUTED_VALUE"""),"2–6 months")</f>
        <v>2–6 months</v>
      </c>
      <c r="D2" s="31"/>
      <c r="E2" s="31"/>
      <c r="F2" s="31"/>
      <c r="G2" s="31" t="str">
        <f>IFERROR(__xludf.DUMMYFUNCTION("""COMPUTED_VALUE"""),"Michael Forvass")</f>
        <v>Michael Forvass</v>
      </c>
      <c r="H2" s="31" t="str">
        <f>IFERROR(__xludf.DUMMYFUNCTION("""COMPUTED_VALUE"""),"michael@juristavdelningen.se")</f>
        <v>michael@juristavdelningen.se</v>
      </c>
      <c r="I2" s="31"/>
      <c r="J2" s="31" t="str">
        <f>IFERROR(__xludf.DUMMYFUNCTION("""COMPUTED_VALUE"""),"Sweden")</f>
        <v>Sweden</v>
      </c>
      <c r="K2" s="31"/>
      <c r="L2" s="31"/>
      <c r="M2" s="31"/>
      <c r="N2" s="31"/>
      <c r="O2" s="31">
        <f>IFERROR(__xludf.DUMMYFUNCTION("""COMPUTED_VALUE"""),1.0)</f>
        <v>1</v>
      </c>
      <c r="P2" s="31" t="str">
        <f>IFERROR(__xludf.DUMMYFUNCTION("""COMPUTED_VALUE"""),"2 months - 10 years")</f>
        <v>2 months - 10 years</v>
      </c>
      <c r="Q2" s="31" t="str">
        <f>IFERROR(__xludf.DUMMYFUNCTION("""COMPUTED_VALUE"""),"Yes")</f>
        <v>Yes</v>
      </c>
      <c r="R2" s="31" t="str">
        <f>IFERROR(__xludf.DUMMYFUNCTION("""COMPUTED_VALUE"""),"Yes")</f>
        <v>Yes</v>
      </c>
      <c r="S2" s="31" t="str">
        <f>IFERROR(__xludf.DUMMYFUNCTION("""COMPUTED_VALUE"""),"No")</f>
        <v>No</v>
      </c>
      <c r="T2" s="31" t="str">
        <f>IFERROR(__xludf.DUMMYFUNCTION("""COMPUTED_VALUE"""),"Yes")</f>
        <v>Yes</v>
      </c>
      <c r="U2" s="31" t="str">
        <f>IFERROR(__xludf.DUMMYFUNCTION("""COMPUTED_VALUE"""),"No")</f>
        <v>No</v>
      </c>
      <c r="V2" s="31" t="str">
        <f>IFERROR(__xludf.DUMMYFUNCTION("""COMPUTED_VALUE"""),"No")</f>
        <v>No</v>
      </c>
      <c r="W2" s="31" t="str">
        <f>IFERROR(__xludf.DUMMYFUNCTION("""COMPUTED_VALUE"""),"If a passenger notifies an airline within the first 2 months after a flight disruption, the claim should be eligible for 10 years.")</f>
        <v>If a passenger notifies an airline within the first 2 months after a flight disruption, the claim should be eligible for 10 years.</v>
      </c>
    </row>
    <row r="3">
      <c r="A3" s="31" t="str">
        <f>IFERROR(__xludf.DUMMYFUNCTION("""COMPUTED_VALUE"""),"Romania")</f>
        <v>Romania</v>
      </c>
      <c r="B3" s="31" t="str">
        <f>IFERROR(__xludf.DUMMYFUNCTION("""COMPUTED_VALUE"""),"CONTRACTED")</f>
        <v>CONTRACTED</v>
      </c>
      <c r="C3" s="31" t="str">
        <f>IFERROR(__xludf.DUMMYFUNCTION("""COMPUTED_VALUE"""),"Long")</f>
        <v>Long</v>
      </c>
      <c r="D3" s="31"/>
      <c r="E3" s="31"/>
      <c r="F3" s="31"/>
      <c r="G3" s="31" t="str">
        <f>IFERROR(__xludf.DUMMYFUNCTION("""COMPUTED_VALUE"""),"BOGDAN BLAJ")</f>
        <v>BOGDAN BLAJ</v>
      </c>
      <c r="H3" s="31" t="str">
        <f>IFERROR(__xludf.DUMMYFUNCTION("""COMPUTED_VALUE"""),"bogdan@blaj-law.ro")</f>
        <v>bogdan@blaj-law.ro</v>
      </c>
      <c r="I3" s="31"/>
      <c r="J3" s="31" t="str">
        <f>IFERROR(__xludf.DUMMYFUNCTION("""COMPUTED_VALUE"""),"Romania")</f>
        <v>Romania</v>
      </c>
      <c r="K3" s="31"/>
      <c r="L3" s="31"/>
      <c r="M3" s="31"/>
      <c r="N3" s="31"/>
      <c r="O3" s="31">
        <f>IFERROR(__xludf.DUMMYFUNCTION("""COMPUTED_VALUE"""),2.0)</f>
        <v>2</v>
      </c>
      <c r="P3" s="31" t="str">
        <f>IFERROR(__xludf.DUMMYFUNCTION("""COMPUTED_VALUE"""),"3 years")</f>
        <v>3 years</v>
      </c>
      <c r="Q3" s="31" t="str">
        <f>IFERROR(__xludf.DUMMYFUNCTION("""COMPUTED_VALUE"""),"Yes")</f>
        <v>Yes</v>
      </c>
      <c r="R3" s="31" t="str">
        <f>IFERROR(__xludf.DUMMYFUNCTION("""COMPUTED_VALUE"""),"Yes")</f>
        <v>Yes</v>
      </c>
      <c r="S3" s="31" t="str">
        <f>IFERROR(__xludf.DUMMYFUNCTION("""COMPUTED_VALUE"""),"No")</f>
        <v>No</v>
      </c>
      <c r="T3" s="31" t="str">
        <f>IFERROR(__xludf.DUMMYFUNCTION("""COMPUTED_VALUE"""),"Yes")</f>
        <v>Yes</v>
      </c>
      <c r="U3" s="31" t="str">
        <f>IFERROR(__xludf.DUMMYFUNCTION("""COMPUTED_VALUE"""),"Yes")</f>
        <v>Yes</v>
      </c>
      <c r="V3" s="31" t="str">
        <f>IFERROR(__xludf.DUMMYFUNCTION("""COMPUTED_VALUE"""),"No")</f>
        <v>No</v>
      </c>
      <c r="W3" s="31" t="str">
        <f>IFERROR(__xludf.DUMMYFUNCTION("""COMPUTED_VALUE"""),"Goal: 100 claims a week
No legal assessment necessary: we should only check the disruption and EOC
Documents required: AF, BP/eticket, claim, proof of sending the claim to airline")</f>
        <v>Goal: 100 claims a week
No legal assessment necessary: we should only check the disruption and EOC
Documents required: AF, BP/eticket, claim, proof of sending the claim to airline</v>
      </c>
    </row>
    <row r="4">
      <c r="A4" s="31" t="str">
        <f>IFERROR(__xludf.DUMMYFUNCTION("""COMPUTED_VALUE"""),"Austria")</f>
        <v>Austria</v>
      </c>
      <c r="B4" s="31" t="str">
        <f>IFERROR(__xludf.DUMMYFUNCTION("""COMPUTED_VALUE"""),"CONTRACTED")</f>
        <v>CONTRACTED</v>
      </c>
      <c r="C4" s="31" t="str">
        <f>IFERROR(__xludf.DUMMYFUNCTION("""COMPUTED_VALUE"""),"2-6 months")</f>
        <v>2-6 months</v>
      </c>
      <c r="D4" s="31" t="str">
        <f>IFERROR(__xludf.DUMMYFUNCTION("""COMPUTED_VALUE"""),"attorney fees prescribed by the law")</f>
        <v>attorney fees prescribed by the law</v>
      </c>
      <c r="E4" s="31" t="str">
        <f>IFERROR(__xludf.DUMMYFUNCTION("""COMPUTED_VALUE"""),"200 Euros: 70,00 EUR
400 Euro:   90,00 EUR
600 Euros: 90,00 EUR")</f>
        <v>200 Euros: 70,00 EUR
400 Euro:   90,00 EUR
600 Euros: 90,00 EUR</v>
      </c>
      <c r="F4" s="31" t="str">
        <f>IFERROR(__xludf.DUMMYFUNCTION("""COMPUTED_VALUE"""),"Between 2000-3000 EUR depending on the lawyer's workload")</f>
        <v>Between 2000-3000 EUR depending on the lawyer's workload</v>
      </c>
      <c r="G4" s="31" t="str">
        <f>IFERROR(__xludf.DUMMYFUNCTION("""COMPUTED_VALUE"""),"ALEXANDER SKRIBE")</f>
        <v>ALEXANDER SKRIBE</v>
      </c>
      <c r="H4" s="31" t="str">
        <f>IFERROR(__xludf.DUMMYFUNCTION("""COMPUTED_VALUE"""),"skribe@skribe.law - mader@skribe.law")</f>
        <v>skribe@skribe.law - mader@skribe.law</v>
      </c>
      <c r="I4" s="31"/>
      <c r="J4" s="31" t="str">
        <f>IFERROR(__xludf.DUMMYFUNCTION("""COMPUTED_VALUE"""),"Austria")</f>
        <v>Austria</v>
      </c>
      <c r="K4" s="31"/>
      <c r="L4" s="31"/>
      <c r="M4" s="31"/>
      <c r="N4" s="31"/>
      <c r="O4" s="31">
        <f>IFERROR(__xludf.DUMMYFUNCTION("""COMPUTED_VALUE"""),3.0)</f>
        <v>3</v>
      </c>
      <c r="P4" s="31" t="str">
        <f>IFERROR(__xludf.DUMMYFUNCTION("""COMPUTED_VALUE"""),"3 years")</f>
        <v>3 years</v>
      </c>
      <c r="Q4" s="31" t="str">
        <f>IFERROR(__xludf.DUMMYFUNCTION("""COMPUTED_VALUE"""),"Yes")</f>
        <v>Yes</v>
      </c>
      <c r="R4" s="31" t="str">
        <f>IFERROR(__xludf.DUMMYFUNCTION("""COMPUTED_VALUE"""),"Yes")</f>
        <v>Yes</v>
      </c>
      <c r="S4" s="31" t="str">
        <f>IFERROR(__xludf.DUMMYFUNCTION("""COMPUTED_VALUE"""),"Yes")</f>
        <v>Yes</v>
      </c>
      <c r="T4" s="31" t="str">
        <f>IFERROR(__xludf.DUMMYFUNCTION("""COMPUTED_VALUE"""),"No")</f>
        <v>No</v>
      </c>
      <c r="U4" s="31" t="str">
        <f>IFERROR(__xludf.DUMMYFUNCTION("""COMPUTED_VALUE"""),"Yes")</f>
        <v>Yes</v>
      </c>
      <c r="V4" s="31" t="str">
        <f>IFERROR(__xludf.DUMMYFUNCTION("""COMPUTED_VALUE"""),"No")</f>
        <v>No</v>
      </c>
      <c r="W4" s="31"/>
    </row>
    <row r="5">
      <c r="A5" s="31" t="str">
        <f>IFERROR(__xludf.DUMMYFUNCTION("""COMPUTED_VALUE"""),"France")</f>
        <v>France</v>
      </c>
      <c r="B5" s="31" t="str">
        <f>IFERROR(__xludf.DUMMYFUNCTION("""COMPUTED_VALUE"""),"CONTRACTED")</f>
        <v>CONTRACTED</v>
      </c>
      <c r="C5" s="31" t="str">
        <f>IFERROR(__xludf.DUMMYFUNCTION("""COMPUTED_VALUE"""),"~1 year")</f>
        <v>~1 year</v>
      </c>
      <c r="D5" s="31"/>
      <c r="E5" s="31" t="str">
        <f>IFERROR(__xludf.DUMMYFUNCTION("""COMPUTED_VALUE"""),"If representing the consumer no fees.If representing the company fee in amount of _____")</f>
        <v>If representing the consumer no fees.If representing the company fee in amount of _____</v>
      </c>
      <c r="F5" s="31" t="str">
        <f>IFERROR(__xludf.DUMMYFUNCTION("""COMPUTED_VALUE"""),"50 EUR paid upfront, reimbursement of 10% of legal fees, average legal fees 200 EUR")</f>
        <v>50 EUR paid upfront, reimbursement of 10% of legal fees, average legal fees 200 EUR</v>
      </c>
      <c r="G5" s="31" t="str">
        <f>IFERROR(__xludf.DUMMYFUNCTION("""COMPUTED_VALUE"""),"JOYCE PITCHER")</f>
        <v>JOYCE PITCHER</v>
      </c>
      <c r="H5" s="31" t="str">
        <f>IFERROR(__xludf.DUMMYFUNCTION("""COMPUTED_VALUE"""),"joyce@pitcher-avocat.fr 
claire@justice.cool")</f>
        <v>joyce@pitcher-avocat.fr 
claire@justice.cool</v>
      </c>
      <c r="I5" s="31" t="str">
        <f>IFERROR(__xludf.DUMMYFUNCTION("""COMPUTED_VALUE"""),"www.justice.cool
abdelrahman@refly.org
@yo123321")</f>
        <v>www.justice.cool
abdelrahman@refly.org
@yo123321</v>
      </c>
      <c r="J5" s="31" t="str">
        <f>IFERROR(__xludf.DUMMYFUNCTION("""COMPUTED_VALUE"""),"France")</f>
        <v>France</v>
      </c>
      <c r="K5" s="31"/>
      <c r="L5" s="31"/>
      <c r="M5" s="31"/>
      <c r="N5" s="31"/>
      <c r="O5" s="31">
        <f>IFERROR(__xludf.DUMMYFUNCTION("""COMPUTED_VALUE"""),4.0)</f>
        <v>4</v>
      </c>
      <c r="P5" s="31" t="str">
        <f>IFERROR(__xludf.DUMMYFUNCTION("""COMPUTED_VALUE"""),"5 years")</f>
        <v>5 years</v>
      </c>
      <c r="Q5" s="31" t="str">
        <f>IFERROR(__xludf.DUMMYFUNCTION("""COMPUTED_VALUE"""),"Yes")</f>
        <v>Yes</v>
      </c>
      <c r="R5" s="31" t="str">
        <f>IFERROR(__xludf.DUMMYFUNCTION("""COMPUTED_VALUE"""),"Yes")</f>
        <v>Yes</v>
      </c>
      <c r="S5" s="31" t="str">
        <f>IFERROR(__xludf.DUMMYFUNCTION("""COMPUTED_VALUE"""),"Yes")</f>
        <v>Yes</v>
      </c>
      <c r="T5" s="31" t="str">
        <f>IFERROR(__xludf.DUMMYFUNCTION("""COMPUTED_VALUE"""),"Yes")</f>
        <v>Yes</v>
      </c>
      <c r="U5" s="31" t="str">
        <f>IFERROR(__xludf.DUMMYFUNCTION("""COMPUTED_VALUE"""),"Yes")</f>
        <v>Yes</v>
      </c>
      <c r="V5" s="31" t="str">
        <f>IFERROR(__xludf.DUMMYFUNCTION("""COMPUTED_VALUE"""),"Yes")</f>
        <v>Yes</v>
      </c>
      <c r="W5" s="31" t="str">
        <f>IFERROR(__xludf.DUMMYFUNCTION("""COMPUTED_VALUE"""),"Weather Check")</f>
        <v>Weather Check</v>
      </c>
    </row>
    <row r="6">
      <c r="A6" s="31" t="str">
        <f>IFERROR(__xludf.DUMMYFUNCTION("""COMPUTED_VALUE"""),"Italy")</f>
        <v>Italy</v>
      </c>
      <c r="B6" s="31" t="str">
        <f>IFERROR(__xludf.DUMMYFUNCTION("""COMPUTED_VALUE"""),"CONTRACTED")</f>
        <v>CONTRACTED</v>
      </c>
      <c r="C6" s="31" t="str">
        <f>IFERROR(__xludf.DUMMYFUNCTION("""COMPUTED_VALUE"""),"~1 year")</f>
        <v>~1 year</v>
      </c>
      <c r="D6" s="31"/>
      <c r="E6" s="31" t="str">
        <f>IFERROR(__xludf.DUMMYFUNCTION("""COMPUTED_VALUE"""),"for claims below 2000 EUR - no court fees,, bailif costs - 30-40 EUR")</f>
        <v>for claims below 2000 EUR - no court fees,, bailif costs - 30-40 EUR</v>
      </c>
      <c r="F6" s="31"/>
      <c r="G6" s="31" t="str">
        <f>IFERROR(__xludf.DUMMYFUNCTION("""COMPUTED_VALUE"""),"MICHELE TARQUINIO")</f>
        <v>MICHELE TARQUINIO</v>
      </c>
      <c r="H6" s="31" t="str">
        <f>IFERROR(__xludf.DUMMYFUNCTION("""COMPUTED_VALUE"""),"m.tarquinio77@gmail.com")</f>
        <v>m.tarquinio77@gmail.com</v>
      </c>
      <c r="I6" s="31" t="str">
        <f>IFERROR(__xludf.DUMMYFUNCTION("""COMPUTED_VALUE"""),"https://login.aruba.it/auth/realms/pec/protocol/openid-connect/auth
tarquinio.lawyer.refly@pec.it
Coesius10+")</f>
        <v>https://login.aruba.it/auth/realms/pec/protocol/openid-connect/auth
tarquinio.lawyer.refly@pec.it
Coesius10+</v>
      </c>
      <c r="J6" s="61" t="str">
        <f>IFERROR(__xludf.DUMMYFUNCTION("""COMPUTED_VALUE"""),"Italy Michele")</f>
        <v>Italy Michele</v>
      </c>
      <c r="K6" s="31" t="str">
        <f>IFERROR(__xludf.DUMMYFUNCTION("""COMPUTED_VALUE"""),"Alan Breda")</f>
        <v>Alan Breda</v>
      </c>
      <c r="L6" s="31" t="str">
        <f>IFERROR(__xludf.DUMMYFUNCTION("""COMPUTED_VALUE"""),"info@studiolegalebreda.com")</f>
        <v>info@studiolegalebreda.com</v>
      </c>
      <c r="M6" s="31">
        <f>IFERROR(__xludf.DUMMYFUNCTION("""COMPUTED_VALUE"""),268.0)</f>
        <v>268</v>
      </c>
      <c r="N6" s="61" t="str">
        <f>IFERROR(__xludf.DUMMYFUNCTION("""COMPUTED_VALUE"""),"Italy Alan Breda")</f>
        <v>Italy Alan Breda</v>
      </c>
      <c r="O6" s="31">
        <f>IFERROR(__xludf.DUMMYFUNCTION("""COMPUTED_VALUE"""),5.0)</f>
        <v>5</v>
      </c>
      <c r="P6" s="31" t="str">
        <f>IFERROR(__xludf.DUMMYFUNCTION("""COMPUTED_VALUE"""),"2 years")</f>
        <v>2 years</v>
      </c>
      <c r="Q6" s="31" t="str">
        <f>IFERROR(__xludf.DUMMYFUNCTION("""COMPUTED_VALUE"""),"Yes")</f>
        <v>Yes</v>
      </c>
      <c r="R6" s="31" t="str">
        <f>IFERROR(__xludf.DUMMYFUNCTION("""COMPUTED_VALUE"""),"Yes")</f>
        <v>Yes</v>
      </c>
      <c r="S6" s="31" t="str">
        <f>IFERROR(__xludf.DUMMYFUNCTION("""COMPUTED_VALUE"""),"Yes")</f>
        <v>Yes</v>
      </c>
      <c r="T6" s="31" t="str">
        <f>IFERROR(__xludf.DUMMYFUNCTION("""COMPUTED_VALUE"""),"yes")</f>
        <v>yes</v>
      </c>
      <c r="U6" s="31" t="str">
        <f>IFERROR(__xludf.DUMMYFUNCTION("""COMPUTED_VALUE"""),"Yes")</f>
        <v>Yes</v>
      </c>
      <c r="V6" s="31" t="str">
        <f>IFERROR(__xludf.DUMMYFUNCTION("""COMPUTED_VALUE"""),"Yes")</f>
        <v>Yes</v>
      </c>
      <c r="W6" s="31" t="str">
        <f>IFERROR(__xludf.DUMMYFUNCTION("""COMPUTED_VALUE"""),"Michele:
Goal: 100 claims a week
our main lawyer
claims should be uploaded to him only if we've send the claim to the airline using his email -&gt; after 30 days we can share it with him- ID of the passenger needed in all claims
Friendly airlines: Iberia"&amp;", Vueling, Air Europe, WizzAir - only check the disruption, EOC and weather. No airpor stats
Pietro (NEW)
Goal: 40 claims usual + 10 with no dep/arr in IT
Airlines: WizzAir Malta, WizzAir Hungary, Air Europa, TAP, Iberia, Air Dolomiti, Vueling
ID requ"&amp;"ired
")</f>
        <v>Michele:
Goal: 100 claims a week
our main lawyer
claims should be uploaded to him only if we've send the claim to the airline using his email -&gt; after 30 days we can share it with him- ID of the passenger needed in all claims
Friendly airlines: Iberia, Vueling, Air Europe, WizzAir - only check the disruption, EOC and weather. No airpor stats
Pietro (NEW)
Goal: 40 claims usual + 10 with no dep/arr in IT
Airlines: WizzAir Malta, WizzAir Hungary, Air Europa, TAP, Iberia, Air Dolomiti, Vueling
ID required
</v>
      </c>
    </row>
    <row r="7">
      <c r="A7" s="31" t="str">
        <f>IFERROR(__xludf.DUMMYFUNCTION("""COMPUTED_VALUE"""),"Spain")</f>
        <v>Spain</v>
      </c>
      <c r="B7" s="31" t="str">
        <f>IFERROR(__xludf.DUMMYFUNCTION("""COMPUTED_VALUE"""),"CONTRACTED")</f>
        <v>CONTRACTED</v>
      </c>
      <c r="C7" s="31" t="str">
        <f>IFERROR(__xludf.DUMMYFUNCTION("""COMPUTED_VALUE"""),"2–6 months")</f>
        <v>2–6 months</v>
      </c>
      <c r="D7" s="31"/>
      <c r="E7" s="31"/>
      <c r="F7" s="31"/>
      <c r="G7" s="61" t="str">
        <f>IFERROR(__xludf.DUMMYFUNCTION("""COMPUTED_VALUE"""),"MMMM.ES")</f>
        <v>MMMM.ES</v>
      </c>
      <c r="H7" s="31" t="str">
        <f>IFERROR(__xludf.DUMMYFUNCTION("""COMPUTED_VALUE"""),"rcedron@mmmm.es")</f>
        <v>rcedron@mmmm.es</v>
      </c>
      <c r="I7" s="31"/>
      <c r="J7" s="61" t="str">
        <f>IFERROR(__xludf.DUMMYFUNCTION("""COMPUTED_VALUE"""),"Spain — MMMM.ES")</f>
        <v>Spain — MMMM.ES</v>
      </c>
      <c r="K7" s="31" t="str">
        <f>IFERROR(__xludf.DUMMYFUNCTION("""COMPUTED_VALUE"""),"LUPICINIO")</f>
        <v>LUPICINIO</v>
      </c>
      <c r="L7" s="31" t="str">
        <f>IFERROR(__xludf.DUMMYFUNCTION("""COMPUTED_VALUE"""),"rga@lupicinio.com")</f>
        <v>rga@lupicinio.com</v>
      </c>
      <c r="M7" s="31"/>
      <c r="N7" s="31"/>
      <c r="O7" s="31">
        <f>IFERROR(__xludf.DUMMYFUNCTION("""COMPUTED_VALUE"""),6.0)</f>
        <v>6</v>
      </c>
      <c r="P7" s="31" t="str">
        <f>IFERROR(__xludf.DUMMYFUNCTION("""COMPUTED_VALUE"""),"5 years")</f>
        <v>5 years</v>
      </c>
      <c r="Q7" s="31" t="str">
        <f>IFERROR(__xludf.DUMMYFUNCTION("""COMPUTED_VALUE"""),"Yes")</f>
        <v>Yes</v>
      </c>
      <c r="R7" s="31" t="str">
        <f>IFERROR(__xludf.DUMMYFUNCTION("""COMPUTED_VALUE"""),"Yes")</f>
        <v>Yes</v>
      </c>
      <c r="S7" s="31" t="str">
        <f>IFERROR(__xludf.DUMMYFUNCTION("""COMPUTED_VALUE"""),"Yes")</f>
        <v>Yes</v>
      </c>
      <c r="T7" s="31" t="str">
        <f>IFERROR(__xludf.DUMMYFUNCTION("""COMPUTED_VALUE"""),"No")</f>
        <v>No</v>
      </c>
      <c r="U7" s="31" t="str">
        <f>IFERROR(__xludf.DUMMYFUNCTION("""COMPUTED_VALUE"""),"Yes")</f>
        <v>Yes</v>
      </c>
      <c r="V7" s="31" t="str">
        <f>IFERROR(__xludf.DUMMYFUNCTION("""COMPUTED_VALUE"""),"Yes")</f>
        <v>Yes</v>
      </c>
      <c r="W7" s="31" t="str">
        <f>IFERROR(__xludf.DUMMYFUNCTION("""COMPUTED_VALUE"""),"- Weather Check
- Family book or minors certificate if someone is under 18 years old.
- Request E-ticket if BP doesn't  have Full route, PNR, Full Name, Date 
- Unknown is not acceptable as disruption proof
- Booking Ref should visible on BP,if not, we ne"&amp;"ed to include the flight number and date on AF")</f>
        <v>- Weather Check
- Family book or minors certificate if someone is under 18 years old.
- Request E-ticket if BP doesn't  have Full route, PNR, Full Name, Date 
- Unknown is not acceptable as disruption proof
- Booking Ref should visible on BP,if not, we need to include the flight number and date on AF</v>
      </c>
    </row>
    <row r="8">
      <c r="A8" s="31" t="str">
        <f>IFERROR(__xludf.DUMMYFUNCTION("""COMPUTED_VALUE"""),"Poland")</f>
        <v>Poland</v>
      </c>
      <c r="B8" s="31" t="str">
        <f>IFERROR(__xludf.DUMMYFUNCTION("""COMPUTED_VALUE"""),"CONTRACTED")</f>
        <v>CONTRACTED</v>
      </c>
      <c r="C8" s="31" t="str">
        <f>IFERROR(__xludf.DUMMYFUNCTION("""COMPUTED_VALUE"""),"Long")</f>
        <v>Long</v>
      </c>
      <c r="D8" s="31" t="str">
        <f>IFERROR(__xludf.DUMMYFUNCTION("""COMPUTED_VALUE"""),"200 pln/case paid upfront plus attorney fess")</f>
        <v>200 pln/case paid upfront plus attorney fess</v>
      </c>
      <c r="E8" s="31" t="str">
        <f>IFERROR(__xludf.DUMMYFUNCTION("""COMPUTED_VALUE"""),"500 PLN - 1500 PLN - 100 PLN
1500 PLN - 4000 PLN  - 200 PLN")</f>
        <v>500 PLN - 1500 PLN - 100 PLN
1500 PLN - 4000 PLN  - 200 PLN</v>
      </c>
      <c r="F8" s="31" t="str">
        <f>IFERROR(__xludf.DUMMYFUNCTION("""COMPUTED_VALUE"""),"500 PLN  -1500 PLN - 180PLN/270 PLN
1500 PLN-5000 PLN 600PLN/900 PLN")</f>
        <v>500 PLN  -1500 PLN - 180PLN/270 PLN
1500 PLN-5000 PLN 600PLN/900 PLN</v>
      </c>
      <c r="G8" s="31" t="str">
        <f>IFERROR(__xludf.DUMMYFUNCTION("""COMPUTED_VALUE"""),"Sylwia Janiszewska")</f>
        <v>Sylwia Janiszewska</v>
      </c>
      <c r="H8" s="31" t="str">
        <f>IFERROR(__xludf.DUMMYFUNCTION("""COMPUTED_VALUE"""),"radcaprawny@sylwia-janiszewska.pl")</f>
        <v>radcaprawny@sylwia-janiszewska.pl</v>
      </c>
      <c r="I8" s="31"/>
      <c r="J8" s="61" t="str">
        <f>IFERROR(__xludf.DUMMYFUNCTION("""COMPUTED_VALUE"""),"Poland")</f>
        <v>Poland</v>
      </c>
      <c r="K8" s="31"/>
      <c r="L8" s="31"/>
      <c r="M8" s="31"/>
      <c r="N8" s="31"/>
      <c r="O8" s="31">
        <f>IFERROR(__xludf.DUMMYFUNCTION("""COMPUTED_VALUE"""),7.0)</f>
        <v>7</v>
      </c>
      <c r="P8" s="31" t="str">
        <f>IFERROR(__xludf.DUMMYFUNCTION("""COMPUTED_VALUE"""),"1 year")</f>
        <v>1 year</v>
      </c>
      <c r="Q8" s="31" t="str">
        <f>IFERROR(__xludf.DUMMYFUNCTION("""COMPUTED_VALUE"""),"Yes")</f>
        <v>Yes</v>
      </c>
      <c r="R8" s="31" t="str">
        <f>IFERROR(__xludf.DUMMYFUNCTION("""COMPUTED_VALUE"""),"Yes")</f>
        <v>Yes</v>
      </c>
      <c r="S8" s="31" t="str">
        <f>IFERROR(__xludf.DUMMYFUNCTION("""COMPUTED_VALUE"""),"No")</f>
        <v>No</v>
      </c>
      <c r="T8" s="31" t="str">
        <f>IFERROR(__xludf.DUMMYFUNCTION("""COMPUTED_VALUE"""),"Yes")</f>
        <v>Yes</v>
      </c>
      <c r="U8" s="31" t="str">
        <f>IFERROR(__xludf.DUMMYFUNCTION("""COMPUTED_VALUE"""),"Yes")</f>
        <v>Yes</v>
      </c>
      <c r="V8" s="31" t="str">
        <f>IFERROR(__xludf.DUMMYFUNCTION("""COMPUTED_VALUE"""),"Yes")</f>
        <v>Yes</v>
      </c>
      <c r="W8" s="31" t="str">
        <f>IFERROR(__xludf.DUMMYFUNCTION("""COMPUTED_VALUE"""),"New AF for Wizzair.
New AF handsigned for Ryanair and LOT or all cases moved to court
birth certificate for minors, marriage cert if needed
")</f>
        <v>New AF for Wizzair.
New AF handsigned for Ryanair and LOT or all cases moved to court
birth certificate for minors, marriage cert if needed
</v>
      </c>
    </row>
    <row r="9">
      <c r="A9" s="31" t="str">
        <f>IFERROR(__xludf.DUMMYFUNCTION("""COMPUTED_VALUE"""),"United Kingdom")</f>
        <v>United Kingdom</v>
      </c>
      <c r="B9" s="31" t="str">
        <f>IFERROR(__xludf.DUMMYFUNCTION("""COMPUTED_VALUE"""),"CONTRACTED")</f>
        <v>CONTRACTED</v>
      </c>
      <c r="C9" s="31" t="str">
        <f>IFERROR(__xludf.DUMMYFUNCTION("""COMPUTED_VALUE"""),"2–6 months")</f>
        <v>2–6 months</v>
      </c>
      <c r="D9" s="31" t="str">
        <f>IFERROR(__xludf.DUMMYFUNCTION("""COMPUTED_VALUE"""),"15% of the collected sum or the recovearable costs depending what is higher")</f>
        <v>15% of the collected sum or the recovearable costs depending what is higher</v>
      </c>
      <c r="E9" s="31" t="str">
        <f>IFERROR(__xludf.DUMMYFUNCTION("""COMPUTED_VALUE"""),"£35 (recoverable)")</f>
        <v>£35 (recoverable)</v>
      </c>
      <c r="F9" s="31" t="str">
        <f>IFERROR(__xludf.DUMMYFUNCTION("""COMPUTED_VALUE"""),"Claims up to £500 – Recoverable costs = £50
Claims between £500 - £1000 - Recoverable costs = £70
Claims between £1000 - £5000 - Recoverable costs = £80
Claims over £5000 - Recoverable costs = £100")</f>
        <v>Claims up to £500 – Recoverable costs = £50
Claims between £500 - £1000 - Recoverable costs = £70
Claims between £1000 - £5000 - Recoverable costs = £80
Claims over £5000 - Recoverable costs = £100</v>
      </c>
      <c r="G9" s="31" t="str">
        <f>IFERROR(__xludf.DUMMYFUNCTION("""COMPUTED_VALUE"""),"LOVETTS SOLICITORS")</f>
        <v>LOVETTS SOLICITORS</v>
      </c>
      <c r="H9" s="31" t="str">
        <f>IFERROR(__xludf.DUMMYFUNCTION("""COMPUTED_VALUE"""),"AndrewD@lovetts.co.uk")</f>
        <v>AndrewD@lovetts.co.uk</v>
      </c>
      <c r="I9" s="31" t="str">
        <f>IFERROR(__xludf.DUMMYFUNCTION("""COMPUTED_VALUE"""),"lovetts.co.uk
https://casemanager.lovetts.co.uk/
ID: R880BASSANT
PW: BASSANTNABIL
")</f>
        <v>lovetts.co.uk
https://casemanager.lovetts.co.uk/
ID: R880BASSANT
PW: BASSANTNABIL
</v>
      </c>
      <c r="J9" s="61" t="str">
        <f>IFERROR(__xludf.DUMMYFUNCTION("""COMPUTED_VALUE"""),"UK")</f>
        <v>UK</v>
      </c>
      <c r="K9" s="31" t="str">
        <f>IFERROR(__xludf.DUMMYFUNCTION("""COMPUTED_VALUE"""),"Shergroup")</f>
        <v>Shergroup</v>
      </c>
      <c r="L9" s="31" t="str">
        <f>IFERROR(__xludf.DUMMYFUNCTION("""COMPUTED_VALUE"""),"s-saluza@shergroup.com
l-kirkham@shergroup.com")</f>
        <v>s-saluza@shergroup.com
l-kirkham@shergroup.com</v>
      </c>
      <c r="M9" s="31"/>
      <c r="N9" s="61" t="str">
        <f>IFERROR(__xludf.DUMMYFUNCTION("""COMPUTED_VALUE"""),"Share group")</f>
        <v>Share group</v>
      </c>
      <c r="O9" s="31">
        <f>IFERROR(__xludf.DUMMYFUNCTION("""COMPUTED_VALUE"""),8.0)</f>
        <v>8</v>
      </c>
      <c r="P9" s="31" t="str">
        <f>IFERROR(__xludf.DUMMYFUNCTION("""COMPUTED_VALUE"""),"6 years")</f>
        <v>6 years</v>
      </c>
      <c r="Q9" s="31" t="str">
        <f>IFERROR(__xludf.DUMMYFUNCTION("""COMPUTED_VALUE"""),"Yes")</f>
        <v>Yes</v>
      </c>
      <c r="R9" s="31" t="str">
        <f>IFERROR(__xludf.DUMMYFUNCTION("""COMPUTED_VALUE"""),"Yes")</f>
        <v>Yes</v>
      </c>
      <c r="S9" s="31" t="str">
        <f>IFERROR(__xludf.DUMMYFUNCTION("""COMPUTED_VALUE"""),"No")</f>
        <v>No</v>
      </c>
      <c r="T9" s="31" t="str">
        <f>IFERROR(__xludf.DUMMYFUNCTION("""COMPUTED_VALUE"""),"Yes")</f>
        <v>Yes</v>
      </c>
      <c r="U9" s="31" t="str">
        <f>IFERROR(__xludf.DUMMYFUNCTION("""COMPUTED_VALUE"""),"Yes")</f>
        <v>Yes</v>
      </c>
      <c r="V9" s="31" t="str">
        <f>IFERROR(__xludf.DUMMYFUNCTION("""COMPUTED_VALUE"""),"No")</f>
        <v>No</v>
      </c>
      <c r="W9" s="31" t="str">
        <f>IFERROR(__xludf.DUMMYFUNCTION("""COMPUTED_VALUE"""),"- Lovetts: No Ajet
- Share group:Needs ID/Passport, and disruption proof 
 Send cases with risky airports status and weather ")</f>
        <v>- Lovetts: No Ajet
- Share group:Needs ID/Passport, and disruption proof 
 Send cases with risky airports status and weather </v>
      </c>
    </row>
    <row r="10">
      <c r="A10" s="31" t="str">
        <f>IFERROR(__xludf.DUMMYFUNCTION("""COMPUTED_VALUE"""),"Belgium")</f>
        <v>Belgium</v>
      </c>
      <c r="B10" s="31" t="str">
        <f>IFERROR(__xludf.DUMMYFUNCTION("""COMPUTED_VALUE"""),"CONTRACTED")</f>
        <v>CONTRACTED</v>
      </c>
      <c r="C10" s="31" t="str">
        <f>IFERROR(__xludf.DUMMYFUNCTION("""COMPUTED_VALUE"""),"2-6 months")</f>
        <v>2-6 months</v>
      </c>
      <c r="D10" s="31"/>
      <c r="E10" s="31"/>
      <c r="F10" s="31"/>
      <c r="G10" s="61" t="str">
        <f>IFERROR(__xludf.DUMMYFUNCTION("""COMPUTED_VALUE"""),"David")</f>
        <v>David</v>
      </c>
      <c r="H10" s="31" t="str">
        <f>IFERROR(__xludf.DUMMYFUNCTION("""COMPUTED_VALUE"""),"david@davidleys.com")</f>
        <v>david@davidleys.com</v>
      </c>
      <c r="I10" s="31"/>
      <c r="J10" s="61" t="str">
        <f>IFERROR(__xludf.DUMMYFUNCTION("""COMPUTED_VALUE"""),"Belgium")</f>
        <v>Belgium</v>
      </c>
      <c r="K10" s="31"/>
      <c r="L10" s="31"/>
      <c r="M10" s="31"/>
      <c r="N10" s="31"/>
      <c r="O10" s="31">
        <f>IFERROR(__xludf.DUMMYFUNCTION("""COMPUTED_VALUE"""),9.0)</f>
        <v>9</v>
      </c>
      <c r="P10" s="31" t="str">
        <f>IFERROR(__xludf.DUMMYFUNCTION("""COMPUTED_VALUE"""),"5 years")</f>
        <v>5 years</v>
      </c>
      <c r="Q10" s="31" t="str">
        <f>IFERROR(__xludf.DUMMYFUNCTION("""COMPUTED_VALUE"""),"Yes")</f>
        <v>Yes</v>
      </c>
      <c r="R10" s="31" t="str">
        <f>IFERROR(__xludf.DUMMYFUNCTION("""COMPUTED_VALUE"""),"Yes")</f>
        <v>Yes</v>
      </c>
      <c r="S10" s="31" t="str">
        <f>IFERROR(__xludf.DUMMYFUNCTION("""COMPUTED_VALUE"""),"Yes")</f>
        <v>Yes</v>
      </c>
      <c r="T10" s="31" t="str">
        <f>IFERROR(__xludf.DUMMYFUNCTION("""COMPUTED_VALUE"""),"Yes")</f>
        <v>Yes</v>
      </c>
      <c r="U10" s="31" t="str">
        <f>IFERROR(__xludf.DUMMYFUNCTION("""COMPUTED_VALUE"""),"Yes")</f>
        <v>Yes</v>
      </c>
      <c r="V10" s="31" t="str">
        <f>IFERROR(__xludf.DUMMYFUNCTION("""COMPUTED_VALUE"""),"Yes")</f>
        <v>Yes</v>
      </c>
      <c r="W10" s="31"/>
    </row>
    <row r="11">
      <c r="A11" s="31" t="str">
        <f>IFERROR(__xludf.DUMMYFUNCTION("""COMPUTED_VALUE"""),"Germany")</f>
        <v>Germany</v>
      </c>
      <c r="B11" s="31" t="str">
        <f>IFERROR(__xludf.DUMMYFUNCTION("""COMPUTED_VALUE"""),"CONTRACTED")</f>
        <v>CONTRACTED</v>
      </c>
      <c r="C11" s="31" t="str">
        <f>IFERROR(__xludf.DUMMYFUNCTION("""COMPUTED_VALUE"""),"~1 year")</f>
        <v>~1 year</v>
      </c>
      <c r="D11" s="31" t="str">
        <f>IFERROR(__xludf.DUMMYFUNCTION("""COMPUTED_VALUE"""),"250,00 EUR - 142,50 EUR 400,00 EUR - 142,50 EUR 600,00 EUR - 240,00 EUR")</f>
        <v>250,00 EUR - 142,50 EUR 400,00 EUR - 142,50 EUR 600,00 EUR - 240,00 EUR</v>
      </c>
      <c r="E11" s="31" t="str">
        <f>IFERROR(__xludf.DUMMYFUNCTION("""COMPUTED_VALUE"""),"250,00 EUR - 114,00 EUR                   
400,00 EUR - 114,00 EUR
600,00 EUR - 174,00 EUR ")</f>
        <v>250,00 EUR - 114,00 EUR                   
400,00 EUR - 114,00 EUR
600,00 EUR - 174,00 EUR </v>
      </c>
      <c r="F11" s="31" t="str">
        <f>IFERROR(__xludf.DUMMYFUNCTION("""COMPUTED_VALUE"""),"250,00 EUR - 142,50 EUR
400,00 EUR - 142,50 EUR
600,00 EUR - 240,00 EUR")</f>
        <v>250,00 EUR - 142,50 EUR
400,00 EUR - 142,50 EUR
600,00 EUR - 240,00 EUR</v>
      </c>
      <c r="G11" s="31" t="str">
        <f>IFERROR(__xludf.DUMMYFUNCTION("""COMPUTED_VALUE"""),"MORITZ DIEKMANN")</f>
        <v>MORITZ DIEKMANN</v>
      </c>
      <c r="H11" s="31" t="str">
        <f>IFERROR(__xludf.DUMMYFUNCTION("""COMPUTED_VALUE"""),"moritz.diekmann@diekmann-rechtsanwaelte.de")</f>
        <v>moritz.diekmann@diekmann-rechtsanwaelte.de</v>
      </c>
      <c r="I11" s="31"/>
      <c r="J11" s="61" t="str">
        <f>IFERROR(__xludf.DUMMYFUNCTION("""COMPUTED_VALUE"""),"Germany")</f>
        <v>Germany</v>
      </c>
      <c r="K11" s="31"/>
      <c r="L11" s="31"/>
      <c r="M11" s="31"/>
      <c r="N11" s="31"/>
      <c r="O11" s="31">
        <f>IFERROR(__xludf.DUMMYFUNCTION("""COMPUTED_VALUE"""),10.0)</f>
        <v>10</v>
      </c>
      <c r="P11" s="31" t="str">
        <f>IFERROR(__xludf.DUMMYFUNCTION("""COMPUTED_VALUE"""),"3 years (The last day of the third year)")</f>
        <v>3 years (The last day of the third year)</v>
      </c>
      <c r="Q11" s="31" t="str">
        <f>IFERROR(__xludf.DUMMYFUNCTION("""COMPUTED_VALUE"""),"Yes")</f>
        <v>Yes</v>
      </c>
      <c r="R11" s="31" t="str">
        <f>IFERROR(__xludf.DUMMYFUNCTION("""COMPUTED_VALUE"""),"Yes")</f>
        <v>Yes</v>
      </c>
      <c r="S11" s="31" t="str">
        <f>IFERROR(__xludf.DUMMYFUNCTION("""COMPUTED_VALUE"""),"Yes")</f>
        <v>Yes</v>
      </c>
      <c r="T11" s="31" t="str">
        <f>IFERROR(__xludf.DUMMYFUNCTION("""COMPUTED_VALUE"""),"Yes")</f>
        <v>Yes</v>
      </c>
      <c r="U11" s="31" t="str">
        <f>IFERROR(__xludf.DUMMYFUNCTION("""COMPUTED_VALUE"""),"Yes")</f>
        <v>Yes</v>
      </c>
      <c r="V11" s="31" t="str">
        <f>IFERROR(__xludf.DUMMYFUNCTION("""COMPUTED_VALUE"""),"No")</f>
        <v>No</v>
      </c>
      <c r="W11" s="31" t="str">
        <f>IFERROR(__xludf.DUMMYFUNCTION("""COMPUTED_VALUE"""),"- Only for Non German 
-  The limitation period expires on the last day of the third year (for example, the limitation period for a flight on 25/2/2016 expires on 31/12/2019).")</f>
        <v>- Only for Non German 
-  The limitation period expires on the last day of the third year (for example, the limitation period for a flight on 25/2/2016 expires on 31/12/2019).</v>
      </c>
    </row>
    <row r="12">
      <c r="A12" s="31" t="str">
        <f>IFERROR(__xludf.DUMMYFUNCTION("""COMPUTED_VALUE"""),"Hungary")</f>
        <v>Hungary</v>
      </c>
      <c r="B12" s="31" t="str">
        <f>IFERROR(__xludf.DUMMYFUNCTION("""COMPUTED_VALUE"""),"TEST PHASE")</f>
        <v>TEST PHASE</v>
      </c>
      <c r="C12" s="31" t="str">
        <f>IFERROR(__xludf.DUMMYFUNCTION("""COMPUTED_VALUE"""),"Unknown")</f>
        <v>Unknown</v>
      </c>
      <c r="D12" s="31"/>
      <c r="E12" s="31"/>
      <c r="F12" s="31"/>
      <c r="G12" s="31" t="str">
        <f>IFERROR(__xludf.DUMMYFUNCTION("""COMPUTED_VALUE"""),"BOGLÁR SZERVATIUSZ")</f>
        <v>BOGLÁR SZERVATIUSZ</v>
      </c>
      <c r="H12" s="31" t="str">
        <f>IFERROR(__xludf.DUMMYFUNCTION("""COMPUTED_VALUE"""),"b.szervatiusz@llf.hu")</f>
        <v>b.szervatiusz@llf.hu</v>
      </c>
      <c r="I12" s="31"/>
      <c r="J12" s="61" t="str">
        <f>IFERROR(__xludf.DUMMYFUNCTION("""COMPUTED_VALUE"""),"Hungary")</f>
        <v>Hungary</v>
      </c>
      <c r="K12" s="31"/>
      <c r="L12" s="31"/>
      <c r="M12" s="31"/>
      <c r="N12" s="31"/>
      <c r="O12" s="31">
        <f>IFERROR(__xludf.DUMMYFUNCTION("""COMPUTED_VALUE"""),11.0)</f>
        <v>11</v>
      </c>
      <c r="P12" s="31" t="str">
        <f>IFERROR(__xludf.DUMMYFUNCTION("""COMPUTED_VALUE"""),"2 years")</f>
        <v>2 years</v>
      </c>
      <c r="Q12" s="31" t="str">
        <f>IFERROR(__xludf.DUMMYFUNCTION("""COMPUTED_VALUE"""),"Yes")</f>
        <v>Yes</v>
      </c>
      <c r="R12" s="31" t="str">
        <f>IFERROR(__xludf.DUMMYFUNCTION("""COMPUTED_VALUE"""),"Yes")</f>
        <v>Yes</v>
      </c>
      <c r="S12" s="31" t="str">
        <f>IFERROR(__xludf.DUMMYFUNCTION("""COMPUTED_VALUE"""),"No")</f>
        <v>No</v>
      </c>
      <c r="T12" s="31" t="str">
        <f>IFERROR(__xludf.DUMMYFUNCTION("""COMPUTED_VALUE"""),"No")</f>
        <v>No</v>
      </c>
      <c r="U12" s="31" t="str">
        <f>IFERROR(__xludf.DUMMYFUNCTION("""COMPUTED_VALUE"""),"Yes")</f>
        <v>Yes</v>
      </c>
      <c r="V12" s="31" t="str">
        <f>IFERROR(__xludf.DUMMYFUNCTION("""COMPUTED_VALUE"""),"Yes")</f>
        <v>Yes</v>
      </c>
      <c r="W12" s="31" t="str">
        <f>IFERROR(__xludf.DUMMYFUNCTION("""COMPUTED_VALUE"""),"[NO RYANAIR!!!]")</f>
        <v>[NO RYANAIR!!!]</v>
      </c>
    </row>
    <row r="13">
      <c r="A13" s="31" t="str">
        <f>IFERROR(__xludf.DUMMYFUNCTION("""COMPUTED_VALUE"""),"Turkey")</f>
        <v>Turkey</v>
      </c>
      <c r="B13" s="31" t="str">
        <f>IFERROR(__xludf.DUMMYFUNCTION("""COMPUTED_VALUE"""),"TEST PHASE")</f>
        <v>TEST PHASE</v>
      </c>
      <c r="C13" s="31" t="str">
        <f>IFERROR(__xludf.DUMMYFUNCTION("""COMPUTED_VALUE"""),"8-10 months")</f>
        <v>8-10 months</v>
      </c>
      <c r="D13" s="31"/>
      <c r="E13" s="31" t="str">
        <f>IFERROR(__xludf.DUMMYFUNCTION("""COMPUTED_VALUE"""),"220 Euros (discounted in bulks)")</f>
        <v>220 Euros (discounted in bulks)</v>
      </c>
      <c r="F13" s="31" t="str">
        <f>IFERROR(__xludf.DUMMYFUNCTION("""COMPUTED_VALUE"""),"arround 15% of won claims or fixed amount ")</f>
        <v>arround 15% of won claims or fixed amount </v>
      </c>
      <c r="G13" s="31" t="str">
        <f>IFERROR(__xludf.DUMMYFUNCTION("""COMPUTED_VALUE"""),"EDA AKGUL")</f>
        <v>EDA AKGUL</v>
      </c>
      <c r="H13" s="31" t="str">
        <f>IFERROR(__xludf.DUMMYFUNCTION("""COMPUTED_VALUE"""),"eda.akgul@erten.av.tr")</f>
        <v>eda.akgul@erten.av.tr</v>
      </c>
      <c r="I13" s="31"/>
      <c r="J13" s="61" t="str">
        <f>IFERROR(__xludf.DUMMYFUNCTION("""COMPUTED_VALUE"""),"Turkish Jurisdiction")</f>
        <v>Turkish Jurisdiction</v>
      </c>
      <c r="K13" s="31"/>
      <c r="L13" s="31"/>
      <c r="M13" s="31"/>
      <c r="N13" s="31"/>
      <c r="O13" s="31">
        <f>IFERROR(__xludf.DUMMYFUNCTION("""COMPUTED_VALUE"""),12.0)</f>
        <v>12</v>
      </c>
      <c r="P13" s="31" t="str">
        <f>IFERROR(__xludf.DUMMYFUNCTION("""COMPUTED_VALUE"""),"2 years")</f>
        <v>2 years</v>
      </c>
      <c r="Q13" s="31" t="str">
        <f>IFERROR(__xludf.DUMMYFUNCTION("""COMPUTED_VALUE"""),"Yes")</f>
        <v>Yes</v>
      </c>
      <c r="R13" s="31" t="str">
        <f>IFERROR(__xludf.DUMMYFUNCTION("""COMPUTED_VALUE"""),"Yes")</f>
        <v>Yes</v>
      </c>
      <c r="S13" s="31" t="str">
        <f>IFERROR(__xludf.DUMMYFUNCTION("""COMPUTED_VALUE"""),"Yes")</f>
        <v>Yes</v>
      </c>
      <c r="T13" s="31" t="str">
        <f>IFERROR(__xludf.DUMMYFUNCTION("""COMPUTED_VALUE"""),"No")</f>
        <v>No</v>
      </c>
      <c r="U13" s="31" t="str">
        <f>IFERROR(__xludf.DUMMYFUNCTION("""COMPUTED_VALUE"""),"Yes")</f>
        <v>Yes</v>
      </c>
      <c r="V13" s="31" t="str">
        <f>IFERROR(__xludf.DUMMYFUNCTION("""COMPUTED_VALUE"""),"No")</f>
        <v>No</v>
      </c>
      <c r="W13" s="31"/>
    </row>
    <row r="14">
      <c r="A14" s="31" t="str">
        <f>IFERROR(__xludf.DUMMYFUNCTION("""COMPUTED_VALUE"""),"Denmark")</f>
        <v>Denmark</v>
      </c>
      <c r="B14" s="31" t="str">
        <f>IFERROR(__xludf.DUMMYFUNCTION("""COMPUTED_VALUE"""),"TEST PHASE")</f>
        <v>TEST PHASE</v>
      </c>
      <c r="C14" s="31" t="str">
        <f>IFERROR(__xludf.DUMMYFUNCTION("""COMPUTED_VALUE"""),"2–6 months")</f>
        <v>2–6 months</v>
      </c>
      <c r="D14" s="31" t="str">
        <f>IFERROR(__xludf.DUMMYFUNCTION("""COMPUTED_VALUE"""),"15% of the collected sum")</f>
        <v>15% of the collected sum</v>
      </c>
      <c r="E14" s="31"/>
      <c r="F14" s="31"/>
      <c r="G14" s="31"/>
      <c r="H14" s="31"/>
      <c r="I14" s="31"/>
      <c r="J14" s="61" t="str">
        <f>IFERROR(__xludf.DUMMYFUNCTION("""COMPUTED_VALUE"""),"Denmark")</f>
        <v>Denmark</v>
      </c>
      <c r="K14" s="31"/>
      <c r="L14" s="31"/>
      <c r="M14" s="31"/>
      <c r="N14" s="31"/>
      <c r="O14" s="31">
        <f>IFERROR(__xludf.DUMMYFUNCTION("""COMPUTED_VALUE"""),13.0)</f>
        <v>13</v>
      </c>
      <c r="P14" s="31" t="str">
        <f>IFERROR(__xludf.DUMMYFUNCTION("""COMPUTED_VALUE"""),"3 years")</f>
        <v>3 years</v>
      </c>
      <c r="Q14" s="31" t="str">
        <f>IFERROR(__xludf.DUMMYFUNCTION("""COMPUTED_VALUE"""),"Yes")</f>
        <v>Yes</v>
      </c>
      <c r="R14" s="31" t="str">
        <f>IFERROR(__xludf.DUMMYFUNCTION("""COMPUTED_VALUE"""),"Yes")</f>
        <v>Yes</v>
      </c>
      <c r="S14" s="31" t="str">
        <f>IFERROR(__xludf.DUMMYFUNCTION("""COMPUTED_VALUE"""),"No")</f>
        <v>No</v>
      </c>
      <c r="T14" s="31" t="str">
        <f>IFERROR(__xludf.DUMMYFUNCTION("""COMPUTED_VALUE"""),"Yes")</f>
        <v>Yes</v>
      </c>
      <c r="U14" s="31" t="str">
        <f>IFERROR(__xludf.DUMMYFUNCTION("""COMPUTED_VALUE"""),"Yes")</f>
        <v>Yes</v>
      </c>
      <c r="V14" s="31" t="str">
        <f>IFERROR(__xludf.DUMMYFUNCTION("""COMPUTED_VALUE"""),"No")</f>
        <v>No</v>
      </c>
      <c r="W14" s="31"/>
    </row>
    <row r="15">
      <c r="A15" s="31" t="str">
        <f>IFERROR(__xludf.DUMMYFUNCTION("""COMPUTED_VALUE"""),"Norway")</f>
        <v>Norway</v>
      </c>
      <c r="B15" s="31" t="str">
        <f>IFERROR(__xludf.DUMMYFUNCTION("""COMPUTED_VALUE"""),"TEST PHASE")</f>
        <v>TEST PHASE</v>
      </c>
      <c r="C15" s="31" t="str">
        <f>IFERROR(__xludf.DUMMYFUNCTION("""COMPUTED_VALUE"""),"2–6 months")</f>
        <v>2–6 months</v>
      </c>
      <c r="D15" s="31" t="str">
        <f>IFERROR(__xludf.DUMMYFUNCTION("""COMPUTED_VALUE"""),"15% of the collected sum")</f>
        <v>15% of the collected sum</v>
      </c>
      <c r="E15" s="31"/>
      <c r="F15" s="31"/>
      <c r="G15" s="31"/>
      <c r="H15" s="31"/>
      <c r="I15" s="31"/>
      <c r="J15" s="61" t="str">
        <f>IFERROR(__xludf.DUMMYFUNCTION("""COMPUTED_VALUE"""),"Norway")</f>
        <v>Norway</v>
      </c>
      <c r="K15" s="31"/>
      <c r="L15" s="31"/>
      <c r="M15" s="31"/>
      <c r="N15" s="31"/>
      <c r="O15" s="31">
        <f>IFERROR(__xludf.DUMMYFUNCTION("""COMPUTED_VALUE"""),14.0)</f>
        <v>14</v>
      </c>
      <c r="P15" s="31" t="str">
        <f>IFERROR(__xludf.DUMMYFUNCTION("""COMPUTED_VALUE"""),"3 years (check exp. time?) ")</f>
        <v>3 years (check exp. time?) </v>
      </c>
      <c r="Q15" s="31" t="str">
        <f>IFERROR(__xludf.DUMMYFUNCTION("""COMPUTED_VALUE"""),"Yes")</f>
        <v>Yes</v>
      </c>
      <c r="R15" s="31" t="str">
        <f>IFERROR(__xludf.DUMMYFUNCTION("""COMPUTED_VALUE"""),"Yes")</f>
        <v>Yes</v>
      </c>
      <c r="S15" s="31" t="str">
        <f>IFERROR(__xludf.DUMMYFUNCTION("""COMPUTED_VALUE"""),"No")</f>
        <v>No</v>
      </c>
      <c r="T15" s="31" t="str">
        <f>IFERROR(__xludf.DUMMYFUNCTION("""COMPUTED_VALUE"""),"Yes")</f>
        <v>Yes</v>
      </c>
      <c r="U15" s="31" t="str">
        <f>IFERROR(__xludf.DUMMYFUNCTION("""COMPUTED_VALUE"""),"Yes")</f>
        <v>Yes</v>
      </c>
      <c r="V15" s="31" t="str">
        <f>IFERROR(__xludf.DUMMYFUNCTION("""COMPUTED_VALUE"""),"No")</f>
        <v>No</v>
      </c>
      <c r="W15" s="31"/>
    </row>
    <row r="16">
      <c r="A16" s="31" t="str">
        <f>IFERROR(__xludf.DUMMYFUNCTION("""COMPUTED_VALUE"""),"Finland")</f>
        <v>Finland</v>
      </c>
      <c r="B16" s="31" t="str">
        <f>IFERROR(__xludf.DUMMYFUNCTION("""COMPUTED_VALUE"""),"NO LAWYER")</f>
        <v>NO LAWYER</v>
      </c>
      <c r="C16" s="31"/>
      <c r="D16" s="31"/>
      <c r="E16" s="31"/>
      <c r="F16" s="31"/>
      <c r="G16" s="31"/>
      <c r="H16" s="31"/>
      <c r="I16" s="31"/>
      <c r="J16" s="31"/>
      <c r="K16" s="31"/>
      <c r="L16" s="31"/>
      <c r="M16" s="31"/>
      <c r="N16" s="31"/>
      <c r="O16" s="31">
        <f>IFERROR(__xludf.DUMMYFUNCTION("""COMPUTED_VALUE"""),15.0)</f>
        <v>15</v>
      </c>
      <c r="P16" s="31" t="str">
        <f>IFERROR(__xludf.DUMMYFUNCTION("""COMPUTED_VALUE"""),"3 years")</f>
        <v>3 years</v>
      </c>
      <c r="Q16" s="31" t="str">
        <f>IFERROR(__xludf.DUMMYFUNCTION("""COMPUTED_VALUE"""),"Yes")</f>
        <v>Yes</v>
      </c>
      <c r="R16" s="31" t="str">
        <f>IFERROR(__xludf.DUMMYFUNCTION("""COMPUTED_VALUE"""),"Yes")</f>
        <v>Yes</v>
      </c>
      <c r="S16" s="31" t="str">
        <f>IFERROR(__xludf.DUMMYFUNCTION("""COMPUTED_VALUE"""),"No")</f>
        <v>No</v>
      </c>
      <c r="T16" s="31" t="str">
        <f>IFERROR(__xludf.DUMMYFUNCTION("""COMPUTED_VALUE"""),"Yes")</f>
        <v>Yes</v>
      </c>
      <c r="U16" s="31" t="str">
        <f>IFERROR(__xludf.DUMMYFUNCTION("""COMPUTED_VALUE"""),"Yes")</f>
        <v>Yes</v>
      </c>
      <c r="V16" s="31" t="str">
        <f>IFERROR(__xludf.DUMMYFUNCTION("""COMPUTED_VALUE"""),"No")</f>
        <v>No</v>
      </c>
      <c r="W16" s="31"/>
    </row>
    <row r="17">
      <c r="A17" s="31" t="str">
        <f>IFERROR(__xludf.DUMMYFUNCTION("""COMPUTED_VALUE"""),"Portugal")</f>
        <v>Portugal</v>
      </c>
      <c r="B17" s="31" t="str">
        <f>IFERROR(__xludf.DUMMYFUNCTION("""COMPUTED_VALUE"""),"NO LAWYER")</f>
        <v>NO LAWYER</v>
      </c>
      <c r="C17" s="31" t="str">
        <f>IFERROR(__xludf.DUMMYFUNCTION("""COMPUTED_VALUE"""),"2–6 months")</f>
        <v>2–6 months</v>
      </c>
      <c r="D17" s="31"/>
      <c r="E17" s="31" t="str">
        <f>IFERROR(__xludf.DUMMYFUNCTION("""COMPUTED_VALUE"""),"claims up to 5000 EUR - 102 EUR, 5000 EUR-15000 EUR - 204 EUR")</f>
        <v>claims up to 5000 EUR - 102 EUR, 5000 EUR-15000 EUR - 204 EUR</v>
      </c>
      <c r="F17" s="31"/>
      <c r="G17" s="31" t="str">
        <f>IFERROR(__xludf.DUMMYFUNCTION("""COMPUTED_VALUE"""),"ANDRÉ FIALHO")</f>
        <v>ANDRÉ FIALHO</v>
      </c>
      <c r="H17" s="31" t="str">
        <f>IFERROR(__xludf.DUMMYFUNCTION("""COMPUTED_VALUE"""),"andrefialho-20648l@adv.oa.pt")</f>
        <v>andrefialho-20648l@adv.oa.pt</v>
      </c>
      <c r="I17" s="31"/>
      <c r="J17" s="61" t="str">
        <f>IFERROR(__xludf.DUMMYFUNCTION("""COMPUTED_VALUE"""),"Portugal")</f>
        <v>Portugal</v>
      </c>
      <c r="K17" s="31"/>
      <c r="L17" s="31"/>
      <c r="M17" s="31"/>
      <c r="N17" s="31"/>
      <c r="O17" s="31">
        <f>IFERROR(__xludf.DUMMYFUNCTION("""COMPUTED_VALUE"""),16.0)</f>
        <v>16</v>
      </c>
      <c r="P17" s="31" t="str">
        <f>IFERROR(__xludf.DUMMYFUNCTION("""COMPUTED_VALUE"""),"2 years")</f>
        <v>2 years</v>
      </c>
      <c r="Q17" s="31" t="str">
        <f>IFERROR(__xludf.DUMMYFUNCTION("""COMPUTED_VALUE"""),"Yes")</f>
        <v>Yes</v>
      </c>
      <c r="R17" s="31" t="str">
        <f>IFERROR(__xludf.DUMMYFUNCTION("""COMPUTED_VALUE"""),"Yes")</f>
        <v>Yes</v>
      </c>
      <c r="S17" s="31" t="str">
        <f>IFERROR(__xludf.DUMMYFUNCTION("""COMPUTED_VALUE"""),"Yes (ID or TAX ID number)")</f>
        <v>Yes (ID or TAX ID number)</v>
      </c>
      <c r="T17" s="31" t="str">
        <f>IFERROR(__xludf.DUMMYFUNCTION("""COMPUTED_VALUE"""),"Yes")</f>
        <v>Yes</v>
      </c>
      <c r="U17" s="31" t="str">
        <f>IFERROR(__xludf.DUMMYFUNCTION("""COMPUTED_VALUE"""),"Yes")</f>
        <v>Yes</v>
      </c>
      <c r="V17" s="31" t="str">
        <f>IFERROR(__xludf.DUMMYFUNCTION("""COMPUTED_VALUE"""),"Yes")</f>
        <v>Yes</v>
      </c>
      <c r="W17" s="31"/>
    </row>
    <row r="18">
      <c r="A18" s="31" t="str">
        <f>IFERROR(__xludf.DUMMYFUNCTION("""COMPUTED_VALUE"""),"Netherlands")</f>
        <v>Netherlands</v>
      </c>
      <c r="B18" s="31" t="str">
        <f>IFERROR(__xludf.DUMMYFUNCTION("""COMPUTED_VALUE"""),"ACTIVELY SEARCHING")</f>
        <v>ACTIVELY SEARCHING</v>
      </c>
      <c r="C18" s="31"/>
      <c r="D18" s="31"/>
      <c r="E18" s="31" t="str">
        <f>IFERROR(__xludf.DUMMYFUNCTION("""COMPUTED_VALUE"""),"claims under 500 euro - € 130
claims between 500 and 1500 euro - € 328")</f>
        <v>claims under 500 euro - € 130
claims between 500 and 1500 euro - € 328</v>
      </c>
      <c r="F18" s="31"/>
      <c r="G18" s="31"/>
      <c r="H18" s="31"/>
      <c r="I18" s="31"/>
      <c r="J18" s="31"/>
      <c r="K18" s="31"/>
      <c r="L18" s="31"/>
      <c r="M18" s="31"/>
      <c r="N18" s="31"/>
      <c r="O18" s="31">
        <f>IFERROR(__xludf.DUMMYFUNCTION("""COMPUTED_VALUE"""),17.0)</f>
        <v>17</v>
      </c>
      <c r="P18" s="31" t="str">
        <f>IFERROR(__xludf.DUMMYFUNCTION("""COMPUTED_VALUE"""),"2 years")</f>
        <v>2 years</v>
      </c>
      <c r="Q18" s="31" t="str">
        <f>IFERROR(__xludf.DUMMYFUNCTION("""COMPUTED_VALUE"""),"Yes")</f>
        <v>Yes</v>
      </c>
      <c r="R18" s="31" t="str">
        <f>IFERROR(__xludf.DUMMYFUNCTION("""COMPUTED_VALUE"""),"Yes")</f>
        <v>Yes</v>
      </c>
      <c r="S18" s="31" t="str">
        <f>IFERROR(__xludf.DUMMYFUNCTION("""COMPUTED_VALUE"""),"Yes")</f>
        <v>Yes</v>
      </c>
      <c r="T18" s="31" t="str">
        <f>IFERROR(__xludf.DUMMYFUNCTION("""COMPUTED_VALUE"""),"Yes")</f>
        <v>Yes</v>
      </c>
      <c r="U18" s="31" t="str">
        <f>IFERROR(__xludf.DUMMYFUNCTION("""COMPUTED_VALUE"""),"Yes")</f>
        <v>Yes</v>
      </c>
      <c r="V18" s="31" t="str">
        <f>IFERROR(__xludf.DUMMYFUNCTION("""COMPUTED_VALUE"""),"Yes")</f>
        <v>Yes</v>
      </c>
      <c r="W18" s="31"/>
    </row>
    <row r="19">
      <c r="A19" s="31" t="str">
        <f>IFERROR(__xludf.DUMMYFUNCTION("""COMPUTED_VALUE"""),"Latvia")</f>
        <v>Latvia</v>
      </c>
      <c r="B19" s="31" t="str">
        <f>IFERROR(__xludf.DUMMYFUNCTION("""COMPUTED_VALUE"""),"NO LAWYER")</f>
        <v>NO LAWYER</v>
      </c>
      <c r="C19" s="31"/>
      <c r="D19" s="31"/>
      <c r="E19" s="31"/>
      <c r="F19" s="31"/>
      <c r="G19" s="31"/>
      <c r="H19" s="31"/>
      <c r="I19" s="31"/>
      <c r="J19" s="31"/>
      <c r="K19" s="31"/>
      <c r="L19" s="31"/>
      <c r="M19" s="31"/>
      <c r="N19" s="31"/>
      <c r="O19" s="31">
        <f>IFERROR(__xludf.DUMMYFUNCTION("""COMPUTED_VALUE"""),18.0)</f>
        <v>18</v>
      </c>
      <c r="P19" s="31" t="str">
        <f>IFERROR(__xludf.DUMMYFUNCTION("""COMPUTED_VALUE"""),"1 year")</f>
        <v>1 year</v>
      </c>
      <c r="Q19" s="31" t="str">
        <f>IFERROR(__xludf.DUMMYFUNCTION("""COMPUTED_VALUE"""),"Yes")</f>
        <v>Yes</v>
      </c>
      <c r="R19" s="31" t="str">
        <f>IFERROR(__xludf.DUMMYFUNCTION("""COMPUTED_VALUE"""),"Yes")</f>
        <v>Yes</v>
      </c>
      <c r="S19" s="31" t="str">
        <f>IFERROR(__xludf.DUMMYFUNCTION("""COMPUTED_VALUE"""),"Yes (Wizz), other No")</f>
        <v>Yes (Wizz), other No</v>
      </c>
      <c r="T19" s="31" t="str">
        <f>IFERROR(__xludf.DUMMYFUNCTION("""COMPUTED_VALUE"""),"Yes")</f>
        <v>Yes</v>
      </c>
      <c r="U19" s="31" t="str">
        <f>IFERROR(__xludf.DUMMYFUNCTION("""COMPUTED_VALUE"""),"No")</f>
        <v>No</v>
      </c>
      <c r="V19" s="31" t="str">
        <f>IFERROR(__xludf.DUMMYFUNCTION("""COMPUTED_VALUE"""),"Yes")</f>
        <v>Yes</v>
      </c>
      <c r="W19" s="31"/>
    </row>
    <row r="20">
      <c r="A20" s="31" t="str">
        <f>IFERROR(__xludf.DUMMYFUNCTION("""COMPUTED_VALUE"""),"LITHUANIA")</f>
        <v>LITHUANIA</v>
      </c>
      <c r="B20" s="31" t="str">
        <f>IFERROR(__xludf.DUMMYFUNCTION("""COMPUTED_VALUE"""),"NO LAWYER")</f>
        <v>NO LAWYER</v>
      </c>
      <c r="C20" s="31"/>
      <c r="D20" s="31"/>
      <c r="E20" s="31"/>
      <c r="F20" s="31"/>
      <c r="G20" s="31"/>
      <c r="H20" s="31"/>
      <c r="I20" s="31"/>
      <c r="J20" s="31"/>
      <c r="K20" s="31"/>
      <c r="L20" s="31"/>
      <c r="M20" s="31"/>
      <c r="N20" s="31"/>
      <c r="O20" s="31">
        <f>IFERROR(__xludf.DUMMYFUNCTION("""COMPUTED_VALUE"""),19.0)</f>
        <v>19</v>
      </c>
      <c r="P20" s="31" t="str">
        <f>IFERROR(__xludf.DUMMYFUNCTION("""COMPUTED_VALUE"""),"3 years")</f>
        <v>3 years</v>
      </c>
      <c r="Q20" s="31" t="str">
        <f>IFERROR(__xludf.DUMMYFUNCTION("""COMPUTED_VALUE"""),"Yes")</f>
        <v>Yes</v>
      </c>
      <c r="R20" s="31" t="str">
        <f>IFERROR(__xludf.DUMMYFUNCTION("""COMPUTED_VALUE"""),"Yes")</f>
        <v>Yes</v>
      </c>
      <c r="S20" s="31" t="str">
        <f>IFERROR(__xludf.DUMMYFUNCTION("""COMPUTED_VALUE"""),"Yes (Wizz), other No")</f>
        <v>Yes (Wizz), other No</v>
      </c>
      <c r="T20" s="31" t="str">
        <f>IFERROR(__xludf.DUMMYFUNCTION("""COMPUTED_VALUE"""),"Yes")</f>
        <v>Yes</v>
      </c>
      <c r="U20" s="31" t="str">
        <f>IFERROR(__xludf.DUMMYFUNCTION("""COMPUTED_VALUE"""),"No")</f>
        <v>No</v>
      </c>
      <c r="V20" s="31" t="str">
        <f>IFERROR(__xludf.DUMMYFUNCTION("""COMPUTED_VALUE"""),"Yes")</f>
        <v>Yes</v>
      </c>
      <c r="W20" s="31"/>
    </row>
    <row r="21">
      <c r="A21" s="31" t="str">
        <f>IFERROR(__xludf.DUMMYFUNCTION("""COMPUTED_VALUE"""),"ESTONIA")</f>
        <v>ESTONIA</v>
      </c>
      <c r="B21" s="31" t="str">
        <f>IFERROR(__xludf.DUMMYFUNCTION("""COMPUTED_VALUE"""),"NO LAWYER")</f>
        <v>NO LAWYER</v>
      </c>
      <c r="C21" s="31"/>
      <c r="D21" s="31"/>
      <c r="E21" s="31"/>
      <c r="F21" s="31"/>
      <c r="G21" s="31"/>
      <c r="H21" s="31"/>
      <c r="I21" s="31"/>
      <c r="J21" s="31"/>
      <c r="K21" s="31"/>
      <c r="L21" s="31"/>
      <c r="M21" s="31"/>
      <c r="N21" s="31"/>
      <c r="O21" s="31">
        <f>IFERROR(__xludf.DUMMYFUNCTION("""COMPUTED_VALUE"""),20.0)</f>
        <v>20</v>
      </c>
      <c r="P21" s="31" t="str">
        <f>IFERROR(__xludf.DUMMYFUNCTION("""COMPUTED_VALUE"""),"3 years")</f>
        <v>3 years</v>
      </c>
      <c r="Q21" s="31" t="str">
        <f>IFERROR(__xludf.DUMMYFUNCTION("""COMPUTED_VALUE"""),"Yes")</f>
        <v>Yes</v>
      </c>
      <c r="R21" s="31" t="str">
        <f>IFERROR(__xludf.DUMMYFUNCTION("""COMPUTED_VALUE"""),"Yes")</f>
        <v>Yes</v>
      </c>
      <c r="S21" s="31" t="str">
        <f>IFERROR(__xludf.DUMMYFUNCTION("""COMPUTED_VALUE"""),"Yes (Wizz), other No")</f>
        <v>Yes (Wizz), other No</v>
      </c>
      <c r="T21" s="31" t="str">
        <f>IFERROR(__xludf.DUMMYFUNCTION("""COMPUTED_VALUE"""),"Yes")</f>
        <v>Yes</v>
      </c>
      <c r="U21" s="31" t="str">
        <f>IFERROR(__xludf.DUMMYFUNCTION("""COMPUTED_VALUE"""),"No")</f>
        <v>No</v>
      </c>
      <c r="V21" s="31" t="str">
        <f>IFERROR(__xludf.DUMMYFUNCTION("""COMPUTED_VALUE"""),"Yes")</f>
        <v>Yes</v>
      </c>
      <c r="W21" s="31"/>
    </row>
    <row r="22">
      <c r="A22" s="31" t="str">
        <f>IFERROR(__xludf.DUMMYFUNCTION("""COMPUTED_VALUE"""),"Ireland")</f>
        <v>Ireland</v>
      </c>
      <c r="B22" s="31" t="str">
        <f>IFERROR(__xludf.DUMMYFUNCTION("""COMPUTED_VALUE"""),"NO LAWYER")</f>
        <v>NO LAWYER</v>
      </c>
      <c r="C22" s="31"/>
      <c r="D22" s="31"/>
      <c r="E22" s="31"/>
      <c r="F22" s="31"/>
      <c r="G22" s="31"/>
      <c r="H22" s="31"/>
      <c r="I22" s="31"/>
      <c r="J22" s="31"/>
      <c r="K22" s="31"/>
      <c r="L22" s="31"/>
      <c r="M22" s="31"/>
      <c r="N22" s="31"/>
      <c r="O22" s="31">
        <f>IFERROR(__xludf.DUMMYFUNCTION("""COMPUTED_VALUE"""),21.0)</f>
        <v>21</v>
      </c>
      <c r="P22" s="31" t="str">
        <f>IFERROR(__xludf.DUMMYFUNCTION("""COMPUTED_VALUE"""),"6 years")</f>
        <v>6 years</v>
      </c>
      <c r="Q22" s="31" t="str">
        <f>IFERROR(__xludf.DUMMYFUNCTION("""COMPUTED_VALUE"""),"Yes")</f>
        <v>Yes</v>
      </c>
      <c r="R22" s="31" t="str">
        <f>IFERROR(__xludf.DUMMYFUNCTION("""COMPUTED_VALUE"""),"Yes")</f>
        <v>Yes</v>
      </c>
      <c r="S22" s="31" t="str">
        <f>IFERROR(__xludf.DUMMYFUNCTION("""COMPUTED_VALUE"""),"Yes")</f>
        <v>Yes</v>
      </c>
      <c r="T22" s="31" t="str">
        <f>IFERROR(__xludf.DUMMYFUNCTION("""COMPUTED_VALUE"""),"Yes")</f>
        <v>Yes</v>
      </c>
      <c r="U22" s="31" t="str">
        <f>IFERROR(__xludf.DUMMYFUNCTION("""COMPUTED_VALUE"""),"Yes")</f>
        <v>Yes</v>
      </c>
      <c r="V22" s="31" t="str">
        <f>IFERROR(__xludf.DUMMYFUNCTION("""COMPUTED_VALUE"""),"Yes")</f>
        <v>Yes</v>
      </c>
      <c r="W22" s="31"/>
    </row>
    <row r="23">
      <c r="A23" s="31" t="str">
        <f>IFERROR(__xludf.DUMMYFUNCTION("""COMPUTED_VALUE"""),"GREECE")</f>
        <v>GREECE</v>
      </c>
      <c r="B23" s="31" t="str">
        <f>IFERROR(__xludf.DUMMYFUNCTION("""COMPUTED_VALUE"""),"ACTIVELY SEARCHING")</f>
        <v>ACTIVELY SEARCHING</v>
      </c>
      <c r="C23" s="31" t="str">
        <f>IFERROR(__xludf.DUMMYFUNCTION("""COMPUTED_VALUE"""),"up to 2 years")</f>
        <v>up to 2 years</v>
      </c>
      <c r="D23" s="31"/>
      <c r="E23" s="31"/>
      <c r="F23" s="31"/>
      <c r="G23" s="31"/>
      <c r="H23" s="31"/>
      <c r="I23" s="31"/>
      <c r="J23" s="31"/>
      <c r="K23" s="31"/>
      <c r="L23" s="31"/>
      <c r="M23" s="31"/>
      <c r="N23" s="31"/>
      <c r="O23" s="31">
        <f>IFERROR(__xludf.DUMMYFUNCTION("""COMPUTED_VALUE"""),22.0)</f>
        <v>22</v>
      </c>
      <c r="P23" s="31" t="str">
        <f>IFERROR(__xludf.DUMMYFUNCTION("""COMPUTED_VALUE"""),"5 years")</f>
        <v>5 years</v>
      </c>
      <c r="Q23" s="31" t="str">
        <f>IFERROR(__xludf.DUMMYFUNCTION("""COMPUTED_VALUE"""),"Yes")</f>
        <v>Yes</v>
      </c>
      <c r="R23" s="31" t="str">
        <f>IFERROR(__xludf.DUMMYFUNCTION("""COMPUTED_VALUE"""),"Yes")</f>
        <v>Yes</v>
      </c>
      <c r="S23" s="31" t="str">
        <f>IFERROR(__xludf.DUMMYFUNCTION("""COMPUTED_VALUE"""),"Yes")</f>
        <v>Yes</v>
      </c>
      <c r="T23" s="31" t="str">
        <f>IFERROR(__xludf.DUMMYFUNCTION("""COMPUTED_VALUE"""),"Yes")</f>
        <v>Yes</v>
      </c>
      <c r="U23" s="31" t="str">
        <f>IFERROR(__xludf.DUMMYFUNCTION("""COMPUTED_VALUE"""),"Yes")</f>
        <v>Yes</v>
      </c>
      <c r="V23" s="31" t="str">
        <f>IFERROR(__xludf.DUMMYFUNCTION("""COMPUTED_VALUE"""),"Yes")</f>
        <v>Yes</v>
      </c>
      <c r="W23" s="31"/>
    </row>
    <row r="24">
      <c r="A24" s="31" t="str">
        <f>IFERROR(__xludf.DUMMYFUNCTION("""COMPUTED_VALUE"""),"BULGARIA")</f>
        <v>BULGARIA</v>
      </c>
      <c r="B24" s="31" t="str">
        <f>IFERROR(__xludf.DUMMYFUNCTION("""COMPUTED_VALUE"""),"NO LAWYER")</f>
        <v>NO LAWYER</v>
      </c>
      <c r="C24" s="31"/>
      <c r="D24" s="31"/>
      <c r="E24" s="31"/>
      <c r="F24" s="31"/>
      <c r="G24" s="31"/>
      <c r="H24" s="31"/>
      <c r="I24" s="31"/>
      <c r="J24" s="31"/>
      <c r="K24" s="31"/>
      <c r="L24" s="31"/>
      <c r="M24" s="31"/>
      <c r="N24" s="31"/>
      <c r="O24" s="31">
        <f>IFERROR(__xludf.DUMMYFUNCTION("""COMPUTED_VALUE"""),23.0)</f>
        <v>23</v>
      </c>
      <c r="P24" s="31" t="str">
        <f>IFERROR(__xludf.DUMMYFUNCTION("""COMPUTED_VALUE"""),"1 year")</f>
        <v>1 year</v>
      </c>
      <c r="Q24" s="31" t="str">
        <f>IFERROR(__xludf.DUMMYFUNCTION("""COMPUTED_VALUE"""),"Yes")</f>
        <v>Yes</v>
      </c>
      <c r="R24" s="31" t="str">
        <f>IFERROR(__xludf.DUMMYFUNCTION("""COMPUTED_VALUE"""),"Yes")</f>
        <v>Yes</v>
      </c>
      <c r="S24" s="31" t="str">
        <f>IFERROR(__xludf.DUMMYFUNCTION("""COMPUTED_VALUE"""),"Yes")</f>
        <v>Yes</v>
      </c>
      <c r="T24" s="31" t="str">
        <f>IFERROR(__xludf.DUMMYFUNCTION("""COMPUTED_VALUE"""),"No")</f>
        <v>No</v>
      </c>
      <c r="U24" s="31" t="str">
        <f>IFERROR(__xludf.DUMMYFUNCTION("""COMPUTED_VALUE"""),"Yes")</f>
        <v>Yes</v>
      </c>
      <c r="V24" s="31" t="str">
        <f>IFERROR(__xludf.DUMMYFUNCTION("""COMPUTED_VALUE"""),"Yes")</f>
        <v>Yes</v>
      </c>
      <c r="W24" s="31"/>
    </row>
    <row r="25">
      <c r="A25" s="31" t="str">
        <f>IFERROR(__xludf.DUMMYFUNCTION("""COMPUTED_VALUE"""),"ALBANIA")</f>
        <v>ALBANIA</v>
      </c>
      <c r="B25" s="31" t="str">
        <f>IFERROR(__xludf.DUMMYFUNCTION("""COMPUTED_VALUE"""),"NO LAWYER")</f>
        <v>NO LAWYER</v>
      </c>
      <c r="C25" s="31"/>
      <c r="D25" s="31"/>
      <c r="E25" s="31"/>
      <c r="F25" s="31"/>
      <c r="G25" s="31"/>
      <c r="H25" s="31"/>
      <c r="I25" s="31"/>
      <c r="J25" s="31"/>
      <c r="K25" s="31"/>
      <c r="L25" s="31"/>
      <c r="M25" s="31"/>
      <c r="N25" s="31"/>
      <c r="O25" s="31">
        <f>IFERROR(__xludf.DUMMYFUNCTION("""COMPUTED_VALUE"""),24.0)</f>
        <v>24</v>
      </c>
      <c r="P25" s="31" t="str">
        <f>IFERROR(__xludf.DUMMYFUNCTION("""COMPUTED_VALUE"""),"3 years")</f>
        <v>3 years</v>
      </c>
      <c r="Q25" s="31" t="str">
        <f>IFERROR(__xludf.DUMMYFUNCTION("""COMPUTED_VALUE"""),"Yes")</f>
        <v>Yes</v>
      </c>
      <c r="R25" s="31" t="str">
        <f>IFERROR(__xludf.DUMMYFUNCTION("""COMPUTED_VALUE"""),"Yes")</f>
        <v>Yes</v>
      </c>
      <c r="S25" s="31" t="str">
        <f>IFERROR(__xludf.DUMMYFUNCTION("""COMPUTED_VALUE"""),"Yes")</f>
        <v>Yes</v>
      </c>
      <c r="T25" s="31" t="str">
        <f>IFERROR(__xludf.DUMMYFUNCTION("""COMPUTED_VALUE"""),"Yes")</f>
        <v>Yes</v>
      </c>
      <c r="U25" s="31" t="str">
        <f>IFERROR(__xludf.DUMMYFUNCTION("""COMPUTED_VALUE"""),"Yes")</f>
        <v>Yes</v>
      </c>
      <c r="V25" s="31" t="str">
        <f>IFERROR(__xludf.DUMMYFUNCTION("""COMPUTED_VALUE"""),"Yes")</f>
        <v>Yes</v>
      </c>
      <c r="W25" s="31"/>
    </row>
    <row r="26">
      <c r="A26" s="31" t="str">
        <f>IFERROR(__xludf.DUMMYFUNCTION("""COMPUTED_VALUE"""),"Croatia")</f>
        <v>Croatia</v>
      </c>
      <c r="B26" s="31" t="str">
        <f>IFERROR(__xludf.DUMMYFUNCTION("""COMPUTED_VALUE"""),"NO LAWYER")</f>
        <v>NO LAWYER</v>
      </c>
      <c r="C26" s="31"/>
      <c r="D26" s="31"/>
      <c r="E26" s="31"/>
      <c r="F26" s="31"/>
      <c r="G26" s="31"/>
      <c r="H26" s="31"/>
      <c r="I26" s="31"/>
      <c r="J26" s="31"/>
      <c r="K26" s="31"/>
      <c r="L26" s="31"/>
      <c r="M26" s="31"/>
      <c r="N26" s="31"/>
      <c r="O26" s="31">
        <f>IFERROR(__xludf.DUMMYFUNCTION("""COMPUTED_VALUE"""),25.0)</f>
        <v>25</v>
      </c>
      <c r="P26" s="31" t="str">
        <f>IFERROR(__xludf.DUMMYFUNCTION("""COMPUTED_VALUE"""),"3 years")</f>
        <v>3 years</v>
      </c>
      <c r="Q26" s="31" t="str">
        <f>IFERROR(__xludf.DUMMYFUNCTION("""COMPUTED_VALUE"""),"Yes")</f>
        <v>Yes</v>
      </c>
      <c r="R26" s="31" t="str">
        <f>IFERROR(__xludf.DUMMYFUNCTION("""COMPUTED_VALUE"""),"Yes")</f>
        <v>Yes</v>
      </c>
      <c r="S26" s="31" t="str">
        <f>IFERROR(__xludf.DUMMYFUNCTION("""COMPUTED_VALUE"""),"Yes")</f>
        <v>Yes</v>
      </c>
      <c r="T26" s="31" t="str">
        <f>IFERROR(__xludf.DUMMYFUNCTION("""COMPUTED_VALUE"""),"Yes")</f>
        <v>Yes</v>
      </c>
      <c r="U26" s="31" t="str">
        <f>IFERROR(__xludf.DUMMYFUNCTION("""COMPUTED_VALUE"""),"Yes")</f>
        <v>Yes</v>
      </c>
      <c r="V26" s="31" t="str">
        <f>IFERROR(__xludf.DUMMYFUNCTION("""COMPUTED_VALUE"""),"Yes")</f>
        <v>Yes</v>
      </c>
      <c r="W26" s="31"/>
    </row>
    <row r="27">
      <c r="A27" s="31" t="str">
        <f>IFERROR(__xludf.DUMMYFUNCTION("""COMPUTED_VALUE"""),"Cyprus")</f>
        <v>Cyprus</v>
      </c>
      <c r="B27" s="31" t="str">
        <f>IFERROR(__xludf.DUMMYFUNCTION("""COMPUTED_VALUE"""),"NO LAWYER")</f>
        <v>NO LAWYER</v>
      </c>
      <c r="C27" s="31"/>
      <c r="D27" s="31"/>
      <c r="E27" s="31"/>
      <c r="F27" s="31"/>
      <c r="G27" s="31"/>
      <c r="H27" s="31"/>
      <c r="I27" s="31"/>
      <c r="J27" s="31"/>
      <c r="K27" s="31"/>
      <c r="L27" s="31"/>
      <c r="M27" s="31"/>
      <c r="N27" s="31"/>
      <c r="O27" s="31">
        <f>IFERROR(__xludf.DUMMYFUNCTION("""COMPUTED_VALUE"""),26.0)</f>
        <v>26</v>
      </c>
      <c r="P27" s="31" t="str">
        <f>IFERROR(__xludf.DUMMYFUNCTION("""COMPUTED_VALUE"""),"6 years")</f>
        <v>6 years</v>
      </c>
      <c r="Q27" s="31" t="str">
        <f>IFERROR(__xludf.DUMMYFUNCTION("""COMPUTED_VALUE"""),"Yes")</f>
        <v>Yes</v>
      </c>
      <c r="R27" s="31" t="str">
        <f>IFERROR(__xludf.DUMMYFUNCTION("""COMPUTED_VALUE"""),"Yes")</f>
        <v>Yes</v>
      </c>
      <c r="S27" s="31" t="str">
        <f>IFERROR(__xludf.DUMMYFUNCTION("""COMPUTED_VALUE"""),"Yes")</f>
        <v>Yes</v>
      </c>
      <c r="T27" s="31" t="str">
        <f>IFERROR(__xludf.DUMMYFUNCTION("""COMPUTED_VALUE"""),"Yes")</f>
        <v>Yes</v>
      </c>
      <c r="U27" s="31" t="str">
        <f>IFERROR(__xludf.DUMMYFUNCTION("""COMPUTED_VALUE"""),"Yes")</f>
        <v>Yes</v>
      </c>
      <c r="V27" s="31" t="str">
        <f>IFERROR(__xludf.DUMMYFUNCTION("""COMPUTED_VALUE"""),"Yes")</f>
        <v>Yes</v>
      </c>
      <c r="W27" s="31"/>
    </row>
    <row r="28">
      <c r="A28" s="31" t="str">
        <f>IFERROR(__xludf.DUMMYFUNCTION("""COMPUTED_VALUE"""),"Czech Republic")</f>
        <v>Czech Republic</v>
      </c>
      <c r="B28" s="31" t="str">
        <f>IFERROR(__xludf.DUMMYFUNCTION("""COMPUTED_VALUE"""),"NO LAWYER")</f>
        <v>NO LAWYER</v>
      </c>
      <c r="C28" s="31"/>
      <c r="D28" s="31"/>
      <c r="E28" s="31"/>
      <c r="F28" s="31"/>
      <c r="G28" s="31"/>
      <c r="H28" s="31"/>
      <c r="I28" s="31"/>
      <c r="J28" s="31"/>
      <c r="K28" s="31"/>
      <c r="L28" s="31"/>
      <c r="M28" s="31"/>
      <c r="N28" s="31"/>
      <c r="O28" s="31">
        <f>IFERROR(__xludf.DUMMYFUNCTION("""COMPUTED_VALUE"""),27.0)</f>
        <v>27</v>
      </c>
      <c r="P28" s="31" t="str">
        <f>IFERROR(__xludf.DUMMYFUNCTION("""COMPUTED_VALUE"""),"6 Months - 3 years")</f>
        <v>6 Months - 3 years</v>
      </c>
      <c r="Q28" s="31" t="str">
        <f>IFERROR(__xludf.DUMMYFUNCTION("""COMPUTED_VALUE"""),"Yes")</f>
        <v>Yes</v>
      </c>
      <c r="R28" s="31" t="str">
        <f>IFERROR(__xludf.DUMMYFUNCTION("""COMPUTED_VALUE"""),"Yes")</f>
        <v>Yes</v>
      </c>
      <c r="S28" s="31" t="str">
        <f>IFERROR(__xludf.DUMMYFUNCTION("""COMPUTED_VALUE"""),"Yes")</f>
        <v>Yes</v>
      </c>
      <c r="T28" s="31" t="str">
        <f>IFERROR(__xludf.DUMMYFUNCTION("""COMPUTED_VALUE"""),"Yes")</f>
        <v>Yes</v>
      </c>
      <c r="U28" s="31" t="str">
        <f>IFERROR(__xludf.DUMMYFUNCTION("""COMPUTED_VALUE"""),"Yes")</f>
        <v>Yes</v>
      </c>
      <c r="V28" s="31" t="str">
        <f>IFERROR(__xludf.DUMMYFUNCTION("""COMPUTED_VALUE"""),"Yes")</f>
        <v>Yes</v>
      </c>
      <c r="W28" s="31" t="str">
        <f>IFERROR(__xludf.DUMMYFUNCTION("""COMPUTED_VALUE"""),"if a passenger notifies the airline within the first 6 months after flight disruption, the claim should be eligible for 3 years.")</f>
        <v>if a passenger notifies the airline within the first 6 months after flight disruption, the claim should be eligible for 3 years.</v>
      </c>
    </row>
    <row r="29">
      <c r="A29" s="31" t="str">
        <f>IFERROR(__xludf.DUMMYFUNCTION("""COMPUTED_VALUE"""),"Iceland")</f>
        <v>Iceland</v>
      </c>
      <c r="B29" s="31" t="str">
        <f>IFERROR(__xludf.DUMMYFUNCTION("""COMPUTED_VALUE"""),"NO LAWYER")</f>
        <v>NO LAWYER</v>
      </c>
      <c r="C29" s="31"/>
      <c r="D29" s="31"/>
      <c r="E29" s="31"/>
      <c r="F29" s="31"/>
      <c r="G29" s="31"/>
      <c r="H29" s="31"/>
      <c r="I29" s="31"/>
      <c r="J29" s="31"/>
      <c r="K29" s="31"/>
      <c r="L29" s="31"/>
      <c r="M29" s="31"/>
      <c r="N29" s="31"/>
      <c r="O29" s="31">
        <f>IFERROR(__xludf.DUMMYFUNCTION("""COMPUTED_VALUE"""),28.0)</f>
        <v>28</v>
      </c>
      <c r="P29" s="31" t="str">
        <f>IFERROR(__xludf.DUMMYFUNCTION("""COMPUTED_VALUE"""),"2 years")</f>
        <v>2 years</v>
      </c>
      <c r="Q29" s="31" t="str">
        <f>IFERROR(__xludf.DUMMYFUNCTION("""COMPUTED_VALUE"""),"Yes")</f>
        <v>Yes</v>
      </c>
      <c r="R29" s="31" t="str">
        <f>IFERROR(__xludf.DUMMYFUNCTION("""COMPUTED_VALUE"""),"Yes")</f>
        <v>Yes</v>
      </c>
      <c r="S29" s="31" t="str">
        <f>IFERROR(__xludf.DUMMYFUNCTION("""COMPUTED_VALUE"""),"Yes")</f>
        <v>Yes</v>
      </c>
      <c r="T29" s="31" t="str">
        <f>IFERROR(__xludf.DUMMYFUNCTION("""COMPUTED_VALUE"""),"Yes")</f>
        <v>Yes</v>
      </c>
      <c r="U29" s="31" t="str">
        <f>IFERROR(__xludf.DUMMYFUNCTION("""COMPUTED_VALUE"""),"Yes")</f>
        <v>Yes</v>
      </c>
      <c r="V29" s="31" t="str">
        <f>IFERROR(__xludf.DUMMYFUNCTION("""COMPUTED_VALUE"""),"Yes")</f>
        <v>Yes</v>
      </c>
      <c r="W29" s="31"/>
    </row>
    <row r="30">
      <c r="A30" s="31" t="str">
        <f>IFERROR(__xludf.DUMMYFUNCTION("""COMPUTED_VALUE"""),"Luxembourg")</f>
        <v>Luxembourg</v>
      </c>
      <c r="B30" s="31" t="str">
        <f>IFERROR(__xludf.DUMMYFUNCTION("""COMPUTED_VALUE"""),"NO LAWYER")</f>
        <v>NO LAWYER</v>
      </c>
      <c r="C30" s="31"/>
      <c r="D30" s="31"/>
      <c r="E30" s="31"/>
      <c r="F30" s="31"/>
      <c r="G30" s="31"/>
      <c r="H30" s="31"/>
      <c r="I30" s="31"/>
      <c r="J30" s="31"/>
      <c r="K30" s="31"/>
      <c r="L30" s="31"/>
      <c r="M30" s="31"/>
      <c r="N30" s="31"/>
      <c r="O30" s="31">
        <f>IFERROR(__xludf.DUMMYFUNCTION("""COMPUTED_VALUE"""),29.0)</f>
        <v>29</v>
      </c>
      <c r="P30" s="31" t="str">
        <f>IFERROR(__xludf.DUMMYFUNCTION("""COMPUTED_VALUE"""),"10 years")</f>
        <v>10 years</v>
      </c>
      <c r="Q30" s="31" t="str">
        <f>IFERROR(__xludf.DUMMYFUNCTION("""COMPUTED_VALUE"""),"Yes")</f>
        <v>Yes</v>
      </c>
      <c r="R30" s="31" t="str">
        <f>IFERROR(__xludf.DUMMYFUNCTION("""COMPUTED_VALUE"""),"Yes")</f>
        <v>Yes</v>
      </c>
      <c r="S30" s="31" t="str">
        <f>IFERROR(__xludf.DUMMYFUNCTION("""COMPUTED_VALUE"""),"Yes")</f>
        <v>Yes</v>
      </c>
      <c r="T30" s="31" t="str">
        <f>IFERROR(__xludf.DUMMYFUNCTION("""COMPUTED_VALUE"""),"Yes")</f>
        <v>Yes</v>
      </c>
      <c r="U30" s="31" t="str">
        <f>IFERROR(__xludf.DUMMYFUNCTION("""COMPUTED_VALUE"""),"Yes")</f>
        <v>Yes</v>
      </c>
      <c r="V30" s="31" t="str">
        <f>IFERROR(__xludf.DUMMYFUNCTION("""COMPUTED_VALUE"""),"Yes")</f>
        <v>Yes</v>
      </c>
      <c r="W30" s="31"/>
    </row>
    <row r="31">
      <c r="A31" s="31" t="str">
        <f>IFERROR(__xludf.DUMMYFUNCTION("""COMPUTED_VALUE"""),"Malta")</f>
        <v>Malta</v>
      </c>
      <c r="B31" s="31" t="str">
        <f>IFERROR(__xludf.DUMMYFUNCTION("""COMPUTED_VALUE"""),"NO LAWYER")</f>
        <v>NO LAWYER</v>
      </c>
      <c r="C31" s="31"/>
      <c r="D31" s="31"/>
      <c r="E31" s="31"/>
      <c r="F31" s="31"/>
      <c r="G31" s="31"/>
      <c r="H31" s="31"/>
      <c r="I31" s="31"/>
      <c r="J31" s="31"/>
      <c r="K31" s="31"/>
      <c r="L31" s="31"/>
      <c r="M31" s="31"/>
      <c r="N31" s="31"/>
      <c r="O31" s="31">
        <f>IFERROR(__xludf.DUMMYFUNCTION("""COMPUTED_VALUE"""),30.0)</f>
        <v>30</v>
      </c>
      <c r="P31" s="31" t="str">
        <f>IFERROR(__xludf.DUMMYFUNCTION("""COMPUTED_VALUE"""),"No limit")</f>
        <v>No limit</v>
      </c>
      <c r="Q31" s="31" t="str">
        <f>IFERROR(__xludf.DUMMYFUNCTION("""COMPUTED_VALUE"""),"Yes")</f>
        <v>Yes</v>
      </c>
      <c r="R31" s="31" t="str">
        <f>IFERROR(__xludf.DUMMYFUNCTION("""COMPUTED_VALUE"""),"Yes")</f>
        <v>Yes</v>
      </c>
      <c r="S31" s="31" t="str">
        <f>IFERROR(__xludf.DUMMYFUNCTION("""COMPUTED_VALUE"""),"Yes")</f>
        <v>Yes</v>
      </c>
      <c r="T31" s="31" t="str">
        <f>IFERROR(__xludf.DUMMYFUNCTION("""COMPUTED_VALUE"""),"Yes")</f>
        <v>Yes</v>
      </c>
      <c r="U31" s="31" t="str">
        <f>IFERROR(__xludf.DUMMYFUNCTION("""COMPUTED_VALUE"""),"Yes")</f>
        <v>Yes</v>
      </c>
      <c r="V31" s="31" t="str">
        <f>IFERROR(__xludf.DUMMYFUNCTION("""COMPUTED_VALUE"""),"Yes")</f>
        <v>Yes</v>
      </c>
      <c r="W31" s="31"/>
    </row>
    <row r="32">
      <c r="A32" s="31" t="str">
        <f>IFERROR(__xludf.DUMMYFUNCTION("""COMPUTED_VALUE"""),"Slovakia")</f>
        <v>Slovakia</v>
      </c>
      <c r="B32" s="31" t="str">
        <f>IFERROR(__xludf.DUMMYFUNCTION("""COMPUTED_VALUE"""),"NO LAWYER")</f>
        <v>NO LAWYER</v>
      </c>
      <c r="C32" s="31"/>
      <c r="D32" s="31"/>
      <c r="E32" s="31"/>
      <c r="F32" s="31"/>
      <c r="G32" s="31"/>
      <c r="H32" s="31"/>
      <c r="I32" s="31"/>
      <c r="J32" s="31"/>
      <c r="K32" s="31"/>
      <c r="L32" s="31"/>
      <c r="M32" s="31"/>
      <c r="N32" s="31"/>
      <c r="O32" s="31">
        <f>IFERROR(__xludf.DUMMYFUNCTION("""COMPUTED_VALUE"""),31.0)</f>
        <v>31</v>
      </c>
      <c r="P32" s="31" t="str">
        <f>IFERROR(__xludf.DUMMYFUNCTION("""COMPUTED_VALUE"""),"2 years")</f>
        <v>2 years</v>
      </c>
      <c r="Q32" s="31" t="str">
        <f>IFERROR(__xludf.DUMMYFUNCTION("""COMPUTED_VALUE"""),"Yes")</f>
        <v>Yes</v>
      </c>
      <c r="R32" s="31" t="str">
        <f>IFERROR(__xludf.DUMMYFUNCTION("""COMPUTED_VALUE"""),"Yes")</f>
        <v>Yes</v>
      </c>
      <c r="S32" s="31" t="str">
        <f>IFERROR(__xludf.DUMMYFUNCTION("""COMPUTED_VALUE"""),"Yes")</f>
        <v>Yes</v>
      </c>
      <c r="T32" s="31" t="str">
        <f>IFERROR(__xludf.DUMMYFUNCTION("""COMPUTED_VALUE"""),"Yes")</f>
        <v>Yes</v>
      </c>
      <c r="U32" s="31" t="str">
        <f>IFERROR(__xludf.DUMMYFUNCTION("""COMPUTED_VALUE"""),"Yes")</f>
        <v>Yes</v>
      </c>
      <c r="V32" s="31" t="str">
        <f>IFERROR(__xludf.DUMMYFUNCTION("""COMPUTED_VALUE"""),"Yes")</f>
        <v>Yes</v>
      </c>
      <c r="W32" s="31"/>
    </row>
    <row r="33">
      <c r="A33" s="31" t="str">
        <f>IFERROR(__xludf.DUMMYFUNCTION("""COMPUTED_VALUE"""),"Slovenia")</f>
        <v>Slovenia</v>
      </c>
      <c r="B33" s="31" t="str">
        <f>IFERROR(__xludf.DUMMYFUNCTION("""COMPUTED_VALUE"""),"NO LAWYER")</f>
        <v>NO LAWYER</v>
      </c>
      <c r="C33" s="31"/>
      <c r="D33" s="31"/>
      <c r="E33" s="31"/>
      <c r="F33" s="31"/>
      <c r="G33" s="31"/>
      <c r="H33" s="31"/>
      <c r="I33" s="31"/>
      <c r="J33" s="31"/>
      <c r="K33" s="31"/>
      <c r="L33" s="31"/>
      <c r="M33" s="31"/>
      <c r="N33" s="31"/>
      <c r="O33" s="31">
        <f>IFERROR(__xludf.DUMMYFUNCTION("""COMPUTED_VALUE"""),32.0)</f>
        <v>32</v>
      </c>
      <c r="P33" s="31" t="str">
        <f>IFERROR(__xludf.DUMMYFUNCTION("""COMPUTED_VALUE"""),"2 years")</f>
        <v>2 years</v>
      </c>
      <c r="Q33" s="31" t="str">
        <f>IFERROR(__xludf.DUMMYFUNCTION("""COMPUTED_VALUE"""),"Yes")</f>
        <v>Yes</v>
      </c>
      <c r="R33" s="31" t="str">
        <f>IFERROR(__xludf.DUMMYFUNCTION("""COMPUTED_VALUE"""),"Yes")</f>
        <v>Yes</v>
      </c>
      <c r="S33" s="31" t="str">
        <f>IFERROR(__xludf.DUMMYFUNCTION("""COMPUTED_VALUE"""),"Yes")</f>
        <v>Yes</v>
      </c>
      <c r="T33" s="31" t="str">
        <f>IFERROR(__xludf.DUMMYFUNCTION("""COMPUTED_VALUE"""),"Yes")</f>
        <v>Yes</v>
      </c>
      <c r="U33" s="31" t="str">
        <f>IFERROR(__xludf.DUMMYFUNCTION("""COMPUTED_VALUE"""),"Yes")</f>
        <v>Yes</v>
      </c>
      <c r="V33" s="31" t="str">
        <f>IFERROR(__xludf.DUMMYFUNCTION("""COMPUTED_VALUE"""),"Yes")</f>
        <v>Yes</v>
      </c>
      <c r="W33" s="31"/>
    </row>
    <row r="34">
      <c r="A34" s="31" t="str">
        <f>IFERROR(__xludf.DUMMYFUNCTION("""COMPUTED_VALUE"""),"Switzerland")</f>
        <v>Switzerland</v>
      </c>
      <c r="B34" s="31" t="str">
        <f>IFERROR(__xludf.DUMMYFUNCTION("""COMPUTED_VALUE"""),"NO LAWYER")</f>
        <v>NO LAWYER</v>
      </c>
      <c r="C34" s="31"/>
      <c r="D34" s="31"/>
      <c r="E34" s="31"/>
      <c r="F34" s="31"/>
      <c r="G34" s="31"/>
      <c r="H34" s="31"/>
      <c r="I34" s="31"/>
      <c r="J34" s="31"/>
      <c r="K34" s="31"/>
      <c r="L34" s="31"/>
      <c r="M34" s="31"/>
      <c r="N34" s="31"/>
      <c r="O34" s="31">
        <f>IFERROR(__xludf.DUMMYFUNCTION("""COMPUTED_VALUE"""),33.0)</f>
        <v>33</v>
      </c>
      <c r="P34" s="31" t="str">
        <f>IFERROR(__xludf.DUMMYFUNCTION("""COMPUTED_VALUE"""),"2 years")</f>
        <v>2 years</v>
      </c>
      <c r="Q34" s="31" t="str">
        <f>IFERROR(__xludf.DUMMYFUNCTION("""COMPUTED_VALUE"""),"Yes")</f>
        <v>Yes</v>
      </c>
      <c r="R34" s="31" t="str">
        <f>IFERROR(__xludf.DUMMYFUNCTION("""COMPUTED_VALUE"""),"Yes")</f>
        <v>Yes</v>
      </c>
      <c r="S34" s="31" t="str">
        <f>IFERROR(__xludf.DUMMYFUNCTION("""COMPUTED_VALUE"""),"Yes")</f>
        <v>Yes</v>
      </c>
      <c r="T34" s="31" t="str">
        <f>IFERROR(__xludf.DUMMYFUNCTION("""COMPUTED_VALUE"""),"Yes")</f>
        <v>Yes</v>
      </c>
      <c r="U34" s="31" t="str">
        <f>IFERROR(__xludf.DUMMYFUNCTION("""COMPUTED_VALUE"""),"Yes")</f>
        <v>Yes</v>
      </c>
      <c r="V34" s="31" t="str">
        <f>IFERROR(__xludf.DUMMYFUNCTION("""COMPUTED_VALUE"""),"Yes")</f>
        <v>Yes</v>
      </c>
      <c r="W34" s="31"/>
    </row>
    <row r="35">
      <c r="A35" s="31" t="str">
        <f>IFERROR(__xludf.DUMMYFUNCTION("""COMPUTED_VALUE"""),"Other")</f>
        <v>Other</v>
      </c>
      <c r="B35" s="31" t="str">
        <f>IFERROR(__xludf.DUMMYFUNCTION("""COMPUTED_VALUE"""),"NO LAWYER")</f>
        <v>NO LAWYER</v>
      </c>
      <c r="C35" s="31"/>
      <c r="D35" s="31"/>
      <c r="E35" s="31"/>
      <c r="F35" s="31"/>
      <c r="G35" s="31"/>
      <c r="H35" s="31"/>
      <c r="I35" s="31"/>
      <c r="J35" s="31"/>
      <c r="K35" s="31"/>
      <c r="L35" s="31"/>
      <c r="M35" s="31"/>
      <c r="N35" s="31"/>
      <c r="O35" s="31"/>
      <c r="P35" s="31" t="str">
        <f>IFERROR(__xludf.DUMMYFUNCTION("""COMPUTED_VALUE"""),"2 years")</f>
        <v>2 years</v>
      </c>
      <c r="Q35" s="31" t="str">
        <f>IFERROR(__xludf.DUMMYFUNCTION("""COMPUTED_VALUE"""),"Yes")</f>
        <v>Yes</v>
      </c>
      <c r="R35" s="31" t="str">
        <f>IFERROR(__xludf.DUMMYFUNCTION("""COMPUTED_VALUE"""),"Yes")</f>
        <v>Yes</v>
      </c>
      <c r="S35" s="31" t="str">
        <f>IFERROR(__xludf.DUMMYFUNCTION("""COMPUTED_VALUE"""),"Yes")</f>
        <v>Yes</v>
      </c>
      <c r="T35" s="31" t="str">
        <f>IFERROR(__xludf.DUMMYFUNCTION("""COMPUTED_VALUE"""),"Yes")</f>
        <v>Yes</v>
      </c>
      <c r="U35" s="31" t="str">
        <f>IFERROR(__xludf.DUMMYFUNCTION("""COMPUTED_VALUE"""),"Yes")</f>
        <v>Yes</v>
      </c>
      <c r="V35" s="31" t="str">
        <f>IFERROR(__xludf.DUMMYFUNCTION("""COMPUTED_VALUE"""),"Yes")</f>
        <v>Yes</v>
      </c>
      <c r="W35" s="31"/>
    </row>
    <row r="36">
      <c r="A36" s="31"/>
      <c r="B36" s="31"/>
      <c r="C36" s="31"/>
      <c r="D36" s="31"/>
      <c r="E36" s="31"/>
      <c r="F36" s="31"/>
      <c r="G36" s="31"/>
      <c r="H36" s="31"/>
      <c r="I36" s="31"/>
      <c r="J36" s="31"/>
      <c r="K36" s="31"/>
      <c r="L36" s="31"/>
      <c r="M36" s="31"/>
      <c r="N36" s="31"/>
      <c r="O36" s="31"/>
      <c r="P36" s="31"/>
      <c r="Q36" s="31"/>
      <c r="R36" s="31"/>
      <c r="S36" s="31"/>
      <c r="T36" s="31"/>
      <c r="U36" s="31"/>
      <c r="V36" s="31"/>
      <c r="W36" s="31"/>
    </row>
    <row r="37">
      <c r="A37" s="31"/>
      <c r="B37" s="31"/>
      <c r="C37" s="31"/>
      <c r="D37" s="31"/>
      <c r="E37" s="31"/>
      <c r="F37" s="31"/>
      <c r="G37" s="31"/>
      <c r="H37" s="31"/>
      <c r="I37" s="31"/>
      <c r="J37" s="31"/>
      <c r="K37" s="31"/>
      <c r="L37" s="31"/>
      <c r="M37" s="31"/>
      <c r="N37" s="31"/>
      <c r="O37" s="31"/>
      <c r="P37" s="31"/>
      <c r="Q37" s="31"/>
      <c r="R37" s="31"/>
      <c r="S37" s="31"/>
      <c r="T37" s="31"/>
      <c r="U37" s="31"/>
      <c r="V37" s="31"/>
      <c r="W37" s="31"/>
    </row>
    <row r="38">
      <c r="A38" s="31"/>
      <c r="B38" s="31"/>
      <c r="C38" s="31"/>
      <c r="D38" s="31"/>
      <c r="E38" s="31"/>
      <c r="F38" s="31"/>
      <c r="G38" s="31"/>
      <c r="H38" s="31"/>
      <c r="I38" s="31"/>
      <c r="J38" s="31"/>
      <c r="K38" s="31"/>
      <c r="L38" s="31"/>
      <c r="M38" s="31"/>
      <c r="N38" s="31"/>
      <c r="O38" s="31"/>
      <c r="P38" s="31"/>
      <c r="Q38" s="31"/>
      <c r="R38" s="31"/>
      <c r="S38" s="31"/>
      <c r="T38" s="31"/>
      <c r="U38" s="31"/>
      <c r="V38" s="31"/>
      <c r="W38" s="31"/>
    </row>
    <row r="39">
      <c r="A39" s="31"/>
      <c r="B39" s="31"/>
      <c r="C39" s="31"/>
      <c r="D39" s="31"/>
      <c r="E39" s="31"/>
      <c r="F39" s="31"/>
      <c r="G39" s="31"/>
      <c r="H39" s="31"/>
      <c r="I39" s="31"/>
      <c r="J39" s="31"/>
      <c r="K39" s="31"/>
      <c r="L39" s="31"/>
      <c r="M39" s="31"/>
      <c r="N39" s="31"/>
      <c r="O39" s="31"/>
      <c r="P39" s="31"/>
      <c r="Q39" s="31"/>
      <c r="R39" s="31"/>
      <c r="S39" s="31"/>
      <c r="T39" s="31"/>
      <c r="U39" s="31"/>
      <c r="V39" s="31"/>
      <c r="W39" s="31"/>
    </row>
    <row r="40">
      <c r="A40" s="31"/>
      <c r="B40" s="31"/>
      <c r="C40" s="31"/>
      <c r="D40" s="31"/>
      <c r="E40" s="31"/>
      <c r="F40" s="31"/>
      <c r="G40" s="31"/>
      <c r="H40" s="31"/>
      <c r="I40" s="31"/>
      <c r="J40" s="31"/>
      <c r="K40" s="31"/>
      <c r="L40" s="31"/>
      <c r="M40" s="31"/>
      <c r="N40" s="31"/>
      <c r="O40" s="31"/>
      <c r="P40" s="31"/>
      <c r="Q40" s="31"/>
      <c r="R40" s="31"/>
      <c r="S40" s="31"/>
      <c r="T40" s="31"/>
      <c r="U40" s="31"/>
      <c r="V40" s="31"/>
      <c r="W40" s="31"/>
    </row>
    <row r="41">
      <c r="A41" s="31"/>
      <c r="B41" s="31"/>
      <c r="C41" s="31"/>
      <c r="D41" s="31"/>
      <c r="E41" s="31"/>
      <c r="F41" s="31"/>
      <c r="G41" s="31"/>
      <c r="H41" s="31"/>
      <c r="I41" s="31"/>
      <c r="J41" s="31"/>
      <c r="K41" s="31"/>
      <c r="L41" s="31"/>
      <c r="M41" s="31"/>
      <c r="N41" s="31"/>
      <c r="O41" s="31"/>
      <c r="P41" s="31"/>
      <c r="Q41" s="31"/>
      <c r="R41" s="31"/>
      <c r="S41" s="31"/>
      <c r="T41" s="31"/>
      <c r="U41" s="31"/>
      <c r="V41" s="31"/>
      <c r="W41" s="31"/>
    </row>
    <row r="42">
      <c r="A42" s="31"/>
      <c r="B42" s="31"/>
      <c r="C42" s="31"/>
      <c r="D42" s="31"/>
      <c r="E42" s="31"/>
      <c r="F42" s="31"/>
      <c r="G42" s="31"/>
      <c r="H42" s="31"/>
      <c r="I42" s="31"/>
      <c r="J42" s="31"/>
      <c r="K42" s="31"/>
      <c r="L42" s="31"/>
      <c r="M42" s="31"/>
      <c r="N42" s="31"/>
      <c r="O42" s="31"/>
      <c r="P42" s="31"/>
      <c r="Q42" s="31"/>
      <c r="R42" s="31"/>
      <c r="S42" s="31"/>
      <c r="T42" s="31"/>
      <c r="U42" s="31"/>
      <c r="V42" s="31"/>
      <c r="W42" s="31"/>
    </row>
    <row r="43">
      <c r="A43" s="31"/>
      <c r="B43" s="31"/>
      <c r="C43" s="31"/>
      <c r="D43" s="31"/>
      <c r="E43" s="31"/>
      <c r="F43" s="31"/>
      <c r="G43" s="31"/>
      <c r="H43" s="31"/>
      <c r="I43" s="31"/>
      <c r="J43" s="31"/>
      <c r="K43" s="31"/>
      <c r="L43" s="31"/>
      <c r="M43" s="31"/>
      <c r="N43" s="31"/>
      <c r="O43" s="31"/>
      <c r="P43" s="31"/>
      <c r="Q43" s="31"/>
      <c r="R43" s="31"/>
      <c r="S43" s="31"/>
      <c r="T43" s="31"/>
      <c r="U43" s="31"/>
      <c r="V43" s="31"/>
      <c r="W43" s="31"/>
    </row>
    <row r="44">
      <c r="A44" s="31"/>
      <c r="B44" s="31"/>
      <c r="C44" s="31"/>
      <c r="D44" s="31"/>
      <c r="E44" s="31"/>
      <c r="F44" s="31"/>
      <c r="G44" s="31"/>
      <c r="H44" s="31"/>
      <c r="I44" s="31"/>
      <c r="J44" s="31"/>
      <c r="K44" s="31"/>
      <c r="L44" s="31"/>
      <c r="M44" s="31"/>
      <c r="N44" s="31"/>
      <c r="O44" s="31"/>
      <c r="P44" s="31"/>
      <c r="Q44" s="31"/>
      <c r="R44" s="31"/>
      <c r="S44" s="31"/>
      <c r="T44" s="31"/>
      <c r="U44" s="31"/>
      <c r="V44" s="31"/>
      <c r="W44" s="31"/>
    </row>
    <row r="45">
      <c r="A45" s="31"/>
      <c r="B45" s="31"/>
      <c r="C45" s="31"/>
      <c r="D45" s="31"/>
      <c r="E45" s="31"/>
      <c r="F45" s="31"/>
      <c r="G45" s="31"/>
      <c r="H45" s="31"/>
      <c r="I45" s="31"/>
      <c r="J45" s="31"/>
      <c r="K45" s="31"/>
      <c r="L45" s="31"/>
      <c r="M45" s="31"/>
      <c r="N45" s="31"/>
      <c r="O45" s="31"/>
      <c r="P45" s="31"/>
      <c r="Q45" s="31"/>
      <c r="R45" s="31"/>
      <c r="S45" s="31"/>
      <c r="T45" s="31"/>
      <c r="U45" s="31"/>
      <c r="V45" s="31"/>
      <c r="W45" s="31"/>
    </row>
    <row r="46">
      <c r="A46" s="31"/>
      <c r="B46" s="31"/>
      <c r="C46" s="31"/>
      <c r="D46" s="31"/>
      <c r="E46" s="31"/>
      <c r="F46" s="31"/>
      <c r="G46" s="31"/>
      <c r="H46" s="31"/>
      <c r="I46" s="31"/>
      <c r="J46" s="31"/>
      <c r="K46" s="31"/>
      <c r="L46" s="31"/>
      <c r="M46" s="31"/>
      <c r="N46" s="31"/>
      <c r="O46" s="31"/>
      <c r="P46" s="31"/>
      <c r="Q46" s="31"/>
      <c r="R46" s="31"/>
      <c r="S46" s="31"/>
      <c r="T46" s="31"/>
      <c r="U46" s="31"/>
      <c r="V46" s="31"/>
      <c r="W46" s="31"/>
    </row>
    <row r="47">
      <c r="A47" s="31"/>
      <c r="B47" s="31"/>
      <c r="C47" s="31"/>
      <c r="D47" s="31"/>
      <c r="E47" s="31"/>
      <c r="F47" s="31"/>
      <c r="G47" s="31"/>
      <c r="H47" s="31"/>
      <c r="I47" s="31"/>
      <c r="J47" s="31"/>
      <c r="K47" s="31"/>
      <c r="L47" s="31"/>
      <c r="M47" s="31"/>
      <c r="N47" s="31"/>
      <c r="O47" s="31"/>
      <c r="P47" s="31"/>
      <c r="Q47" s="31"/>
      <c r="R47" s="31"/>
      <c r="S47" s="31"/>
      <c r="T47" s="31"/>
      <c r="U47" s="31"/>
      <c r="V47" s="31"/>
      <c r="W47" s="31"/>
    </row>
    <row r="48">
      <c r="A48" s="31"/>
      <c r="B48" s="31"/>
      <c r="C48" s="31"/>
      <c r="D48" s="31"/>
      <c r="E48" s="31"/>
      <c r="F48" s="31"/>
      <c r="G48" s="31"/>
      <c r="H48" s="31"/>
      <c r="I48" s="31"/>
      <c r="J48" s="31"/>
      <c r="K48" s="31"/>
      <c r="L48" s="31"/>
      <c r="M48" s="31"/>
      <c r="N48" s="31"/>
      <c r="O48" s="31"/>
      <c r="P48" s="31"/>
      <c r="Q48" s="31"/>
      <c r="R48" s="31"/>
      <c r="S48" s="31"/>
      <c r="T48" s="31"/>
      <c r="U48" s="31"/>
      <c r="V48" s="31"/>
      <c r="W48" s="31"/>
    </row>
    <row r="49">
      <c r="A49" s="31"/>
      <c r="B49" s="31"/>
      <c r="C49" s="31"/>
      <c r="D49" s="31"/>
      <c r="E49" s="31"/>
      <c r="F49" s="31"/>
      <c r="G49" s="31"/>
      <c r="H49" s="31"/>
      <c r="I49" s="31"/>
      <c r="J49" s="31"/>
      <c r="K49" s="31"/>
      <c r="L49" s="31"/>
      <c r="M49" s="31"/>
      <c r="N49" s="31"/>
      <c r="O49" s="31"/>
      <c r="P49" s="31"/>
      <c r="Q49" s="31"/>
      <c r="R49" s="31"/>
      <c r="S49" s="31"/>
      <c r="T49" s="31"/>
      <c r="U49" s="31"/>
      <c r="V49" s="31"/>
      <c r="W49" s="31"/>
    </row>
    <row r="50">
      <c r="A50" s="31"/>
      <c r="B50" s="31"/>
      <c r="C50" s="31"/>
      <c r="D50" s="31"/>
      <c r="E50" s="31"/>
      <c r="F50" s="31"/>
      <c r="G50" s="31"/>
      <c r="H50" s="31"/>
      <c r="I50" s="31"/>
      <c r="J50" s="31"/>
      <c r="K50" s="31"/>
      <c r="L50" s="31"/>
      <c r="M50" s="31"/>
      <c r="N50" s="31"/>
      <c r="O50" s="31"/>
      <c r="P50" s="31"/>
      <c r="Q50" s="31"/>
      <c r="R50" s="31"/>
      <c r="S50" s="31"/>
      <c r="T50" s="31"/>
      <c r="U50" s="31"/>
      <c r="V50" s="31"/>
      <c r="W50" s="31"/>
    </row>
    <row r="51">
      <c r="A51" s="31"/>
      <c r="B51" s="31"/>
      <c r="C51" s="31"/>
      <c r="D51" s="31"/>
      <c r="E51" s="31"/>
      <c r="F51" s="31"/>
      <c r="G51" s="31"/>
      <c r="H51" s="31"/>
      <c r="I51" s="31"/>
      <c r="J51" s="31"/>
      <c r="K51" s="31"/>
      <c r="L51" s="31"/>
      <c r="M51" s="31"/>
      <c r="N51" s="31"/>
      <c r="O51" s="31"/>
      <c r="P51" s="31"/>
      <c r="Q51" s="31"/>
      <c r="R51" s="31"/>
      <c r="S51" s="31"/>
      <c r="T51" s="31"/>
      <c r="U51" s="31"/>
      <c r="V51" s="31"/>
      <c r="W51" s="31"/>
    </row>
    <row r="52">
      <c r="A52" s="31"/>
      <c r="B52" s="31"/>
      <c r="C52" s="31"/>
      <c r="D52" s="31"/>
      <c r="E52" s="31"/>
      <c r="F52" s="31"/>
      <c r="G52" s="31"/>
      <c r="H52" s="31"/>
      <c r="I52" s="31"/>
      <c r="J52" s="31"/>
      <c r="K52" s="31"/>
      <c r="L52" s="31"/>
      <c r="M52" s="31"/>
      <c r="N52" s="31"/>
      <c r="O52" s="31"/>
      <c r="P52" s="31"/>
      <c r="Q52" s="31"/>
      <c r="R52" s="31"/>
      <c r="S52" s="31"/>
      <c r="T52" s="31"/>
      <c r="U52" s="31"/>
      <c r="V52" s="31"/>
      <c r="W52" s="31"/>
    </row>
    <row r="53">
      <c r="A53" s="31"/>
      <c r="B53" s="31"/>
      <c r="C53" s="31"/>
      <c r="D53" s="31"/>
      <c r="E53" s="31"/>
      <c r="F53" s="31"/>
      <c r="G53" s="31"/>
      <c r="H53" s="31"/>
      <c r="I53" s="31"/>
      <c r="J53" s="31"/>
      <c r="K53" s="31"/>
      <c r="L53" s="31"/>
      <c r="M53" s="31"/>
      <c r="N53" s="31"/>
      <c r="O53" s="31"/>
      <c r="P53" s="31"/>
      <c r="Q53" s="31"/>
      <c r="R53" s="31"/>
      <c r="S53" s="31"/>
      <c r="T53" s="31"/>
      <c r="U53" s="31"/>
      <c r="V53" s="31"/>
      <c r="W53" s="31"/>
    </row>
    <row r="54">
      <c r="A54" s="31"/>
      <c r="B54" s="31"/>
      <c r="C54" s="31"/>
      <c r="D54" s="31"/>
      <c r="E54" s="31"/>
      <c r="F54" s="31"/>
      <c r="G54" s="31"/>
      <c r="H54" s="31"/>
      <c r="I54" s="31"/>
      <c r="J54" s="31"/>
      <c r="K54" s="31"/>
      <c r="L54" s="31"/>
      <c r="M54" s="31"/>
      <c r="N54" s="31"/>
      <c r="O54" s="31"/>
      <c r="P54" s="31"/>
      <c r="Q54" s="31"/>
      <c r="R54" s="31"/>
      <c r="S54" s="31"/>
      <c r="T54" s="31"/>
      <c r="U54" s="31"/>
      <c r="V54" s="31"/>
      <c r="W54" s="31"/>
    </row>
    <row r="55">
      <c r="A55" s="31"/>
      <c r="B55" s="31"/>
      <c r="C55" s="31"/>
      <c r="D55" s="31"/>
      <c r="E55" s="31"/>
      <c r="F55" s="31"/>
      <c r="G55" s="31"/>
      <c r="H55" s="31"/>
      <c r="I55" s="31"/>
      <c r="J55" s="31"/>
      <c r="K55" s="31"/>
      <c r="L55" s="31"/>
      <c r="M55" s="31"/>
      <c r="N55" s="31"/>
      <c r="O55" s="31"/>
      <c r="P55" s="31"/>
      <c r="Q55" s="31"/>
      <c r="R55" s="31"/>
      <c r="S55" s="31"/>
      <c r="T55" s="31"/>
      <c r="U55" s="31"/>
      <c r="V55" s="31"/>
      <c r="W55" s="31"/>
    </row>
    <row r="56">
      <c r="A56" s="31"/>
      <c r="B56" s="31"/>
      <c r="C56" s="31"/>
      <c r="D56" s="31"/>
      <c r="E56" s="31"/>
      <c r="F56" s="31"/>
      <c r="G56" s="31"/>
      <c r="H56" s="31"/>
      <c r="I56" s="31"/>
      <c r="J56" s="31"/>
      <c r="K56" s="31"/>
      <c r="L56" s="31"/>
      <c r="M56" s="31"/>
      <c r="N56" s="31"/>
      <c r="O56" s="31"/>
      <c r="P56" s="31"/>
      <c r="Q56" s="31"/>
      <c r="R56" s="31"/>
      <c r="S56" s="31"/>
      <c r="T56" s="31"/>
      <c r="U56" s="31"/>
      <c r="V56" s="31"/>
      <c r="W56" s="31"/>
    </row>
    <row r="57">
      <c r="A57" s="31"/>
      <c r="B57" s="31"/>
      <c r="C57" s="31"/>
      <c r="D57" s="31"/>
      <c r="E57" s="31"/>
      <c r="F57" s="31"/>
      <c r="G57" s="31"/>
      <c r="H57" s="31"/>
      <c r="I57" s="31"/>
      <c r="J57" s="31"/>
      <c r="K57" s="31"/>
      <c r="L57" s="31"/>
      <c r="M57" s="31"/>
      <c r="N57" s="31"/>
      <c r="O57" s="31"/>
      <c r="P57" s="31"/>
      <c r="Q57" s="31"/>
      <c r="R57" s="31"/>
      <c r="S57" s="31"/>
      <c r="T57" s="31"/>
      <c r="U57" s="31"/>
      <c r="V57" s="31"/>
      <c r="W57" s="31"/>
    </row>
    <row r="58">
      <c r="A58" s="31"/>
      <c r="B58" s="31"/>
      <c r="C58" s="31"/>
      <c r="D58" s="31"/>
      <c r="E58" s="31"/>
      <c r="F58" s="31"/>
      <c r="G58" s="31"/>
      <c r="H58" s="31"/>
      <c r="I58" s="31"/>
      <c r="J58" s="31"/>
      <c r="K58" s="31"/>
      <c r="L58" s="31"/>
      <c r="M58" s="31"/>
      <c r="N58" s="31"/>
      <c r="O58" s="31"/>
      <c r="P58" s="31"/>
      <c r="Q58" s="31"/>
      <c r="R58" s="31"/>
      <c r="S58" s="31"/>
      <c r="T58" s="31"/>
      <c r="U58" s="31"/>
      <c r="V58" s="31"/>
      <c r="W58" s="31"/>
    </row>
    <row r="59">
      <c r="A59" s="31"/>
      <c r="B59" s="31"/>
      <c r="C59" s="31"/>
      <c r="D59" s="31"/>
      <c r="E59" s="31"/>
      <c r="F59" s="31"/>
      <c r="G59" s="31"/>
      <c r="H59" s="31"/>
      <c r="I59" s="31"/>
      <c r="J59" s="31"/>
      <c r="K59" s="31"/>
      <c r="L59" s="31"/>
      <c r="M59" s="31"/>
      <c r="N59" s="31"/>
      <c r="O59" s="31"/>
      <c r="P59" s="31"/>
      <c r="Q59" s="31"/>
      <c r="R59" s="31"/>
      <c r="S59" s="31"/>
      <c r="T59" s="31"/>
      <c r="U59" s="31"/>
      <c r="V59" s="31"/>
      <c r="W59" s="31"/>
    </row>
    <row r="60">
      <c r="A60" s="31"/>
      <c r="B60" s="31"/>
      <c r="C60" s="31"/>
      <c r="D60" s="31"/>
      <c r="E60" s="31"/>
      <c r="F60" s="31"/>
      <c r="G60" s="31"/>
      <c r="H60" s="31"/>
      <c r="I60" s="31"/>
      <c r="J60" s="31"/>
      <c r="K60" s="31"/>
      <c r="L60" s="31"/>
      <c r="M60" s="31"/>
      <c r="N60" s="31"/>
      <c r="O60" s="31"/>
      <c r="P60" s="31"/>
      <c r="Q60" s="31"/>
      <c r="R60" s="31"/>
      <c r="S60" s="31"/>
      <c r="T60" s="31"/>
      <c r="U60" s="31"/>
      <c r="V60" s="31"/>
      <c r="W60" s="31"/>
    </row>
    <row r="61">
      <c r="A61" s="31"/>
      <c r="B61" s="31"/>
      <c r="C61" s="31"/>
      <c r="D61" s="31"/>
      <c r="E61" s="31"/>
      <c r="F61" s="31"/>
      <c r="G61" s="31"/>
      <c r="H61" s="31"/>
      <c r="I61" s="31"/>
      <c r="J61" s="31"/>
      <c r="K61" s="31"/>
      <c r="L61" s="31"/>
      <c r="M61" s="31"/>
      <c r="N61" s="31"/>
      <c r="O61" s="31"/>
      <c r="P61" s="31"/>
      <c r="Q61" s="31"/>
      <c r="R61" s="31"/>
      <c r="S61" s="31"/>
      <c r="T61" s="31"/>
      <c r="U61" s="31"/>
      <c r="V61" s="31"/>
      <c r="W61" s="31"/>
    </row>
    <row r="62">
      <c r="A62" s="31"/>
      <c r="B62" s="31"/>
      <c r="C62" s="31"/>
      <c r="D62" s="31"/>
      <c r="E62" s="31"/>
      <c r="F62" s="31"/>
      <c r="G62" s="31"/>
      <c r="H62" s="31"/>
      <c r="I62" s="31"/>
      <c r="J62" s="31"/>
      <c r="K62" s="31"/>
      <c r="L62" s="31"/>
      <c r="M62" s="31"/>
      <c r="N62" s="31"/>
      <c r="O62" s="31"/>
      <c r="P62" s="31"/>
      <c r="Q62" s="31"/>
      <c r="R62" s="31"/>
      <c r="S62" s="31"/>
      <c r="T62" s="31"/>
      <c r="U62" s="31"/>
      <c r="V62" s="31"/>
      <c r="W62" s="31"/>
    </row>
    <row r="63">
      <c r="A63" s="31"/>
      <c r="B63" s="31"/>
      <c r="C63" s="31"/>
      <c r="D63" s="31"/>
      <c r="E63" s="31"/>
      <c r="F63" s="31"/>
      <c r="G63" s="31"/>
      <c r="H63" s="31"/>
      <c r="I63" s="31"/>
      <c r="J63" s="31"/>
      <c r="K63" s="31"/>
      <c r="L63" s="31"/>
      <c r="M63" s="31"/>
      <c r="N63" s="31"/>
      <c r="O63" s="31"/>
      <c r="P63" s="31"/>
      <c r="Q63" s="31"/>
      <c r="R63" s="31"/>
      <c r="S63" s="31"/>
      <c r="T63" s="31"/>
      <c r="U63" s="31"/>
      <c r="V63" s="31"/>
      <c r="W63" s="31"/>
    </row>
    <row r="64">
      <c r="A64" s="31"/>
      <c r="B64" s="31"/>
      <c r="C64" s="31"/>
      <c r="D64" s="31"/>
      <c r="E64" s="31"/>
      <c r="F64" s="31"/>
      <c r="G64" s="31"/>
      <c r="H64" s="31"/>
      <c r="I64" s="31"/>
      <c r="J64" s="31"/>
      <c r="K64" s="31"/>
      <c r="L64" s="31"/>
      <c r="M64" s="31"/>
      <c r="N64" s="31"/>
      <c r="O64" s="31"/>
      <c r="P64" s="31"/>
      <c r="Q64" s="31"/>
      <c r="R64" s="31"/>
      <c r="S64" s="31"/>
      <c r="T64" s="31"/>
      <c r="U64" s="31"/>
      <c r="V64" s="31"/>
      <c r="W64" s="31"/>
    </row>
    <row r="65">
      <c r="A65" s="31"/>
      <c r="B65" s="31"/>
      <c r="C65" s="31"/>
      <c r="D65" s="31"/>
      <c r="E65" s="31"/>
      <c r="F65" s="31"/>
      <c r="G65" s="31"/>
      <c r="H65" s="31"/>
      <c r="I65" s="31"/>
      <c r="J65" s="31"/>
      <c r="K65" s="31"/>
      <c r="L65" s="31"/>
      <c r="M65" s="31"/>
      <c r="N65" s="31"/>
      <c r="O65" s="31"/>
      <c r="P65" s="31"/>
      <c r="Q65" s="31"/>
      <c r="R65" s="31"/>
      <c r="S65" s="31"/>
      <c r="T65" s="31"/>
      <c r="U65" s="31"/>
      <c r="V65" s="31"/>
      <c r="W65" s="31"/>
    </row>
    <row r="66">
      <c r="A66" s="31"/>
      <c r="B66" s="31"/>
      <c r="C66" s="31"/>
      <c r="D66" s="31"/>
      <c r="E66" s="31"/>
      <c r="F66" s="31"/>
      <c r="G66" s="31"/>
      <c r="H66" s="31"/>
      <c r="I66" s="31"/>
      <c r="J66" s="31"/>
      <c r="K66" s="31"/>
      <c r="L66" s="31"/>
      <c r="M66" s="31"/>
      <c r="N66" s="31"/>
      <c r="O66" s="31"/>
      <c r="P66" s="31"/>
      <c r="Q66" s="31"/>
      <c r="R66" s="31"/>
      <c r="S66" s="31"/>
      <c r="T66" s="31"/>
      <c r="U66" s="31"/>
      <c r="V66" s="31"/>
      <c r="W66" s="31"/>
    </row>
    <row r="67">
      <c r="A67" s="31"/>
      <c r="B67" s="31"/>
      <c r="C67" s="31"/>
      <c r="D67" s="31"/>
      <c r="E67" s="31"/>
      <c r="F67" s="31"/>
      <c r="G67" s="31"/>
      <c r="H67" s="31"/>
      <c r="I67" s="31"/>
      <c r="J67" s="31"/>
      <c r="K67" s="31"/>
      <c r="L67" s="31"/>
      <c r="M67" s="31"/>
      <c r="N67" s="31"/>
      <c r="O67" s="31"/>
      <c r="P67" s="31"/>
      <c r="Q67" s="31"/>
      <c r="R67" s="31"/>
      <c r="S67" s="31"/>
      <c r="T67" s="31"/>
      <c r="U67" s="31"/>
      <c r="V67" s="31"/>
      <c r="W67" s="31"/>
    </row>
    <row r="68">
      <c r="A68" s="31"/>
      <c r="B68" s="31"/>
      <c r="C68" s="31"/>
      <c r="D68" s="31"/>
      <c r="E68" s="31"/>
      <c r="F68" s="31"/>
      <c r="G68" s="31"/>
      <c r="H68" s="31"/>
      <c r="I68" s="31"/>
      <c r="J68" s="31"/>
      <c r="K68" s="31"/>
      <c r="L68" s="31"/>
      <c r="M68" s="31"/>
      <c r="N68" s="31"/>
      <c r="O68" s="31"/>
      <c r="P68" s="31"/>
      <c r="Q68" s="31"/>
      <c r="R68" s="31"/>
      <c r="S68" s="31"/>
      <c r="T68" s="31"/>
      <c r="U68" s="31"/>
      <c r="V68" s="31"/>
      <c r="W68" s="31"/>
    </row>
    <row r="69">
      <c r="A69" s="31"/>
      <c r="B69" s="31"/>
      <c r="C69" s="31"/>
      <c r="D69" s="31"/>
      <c r="E69" s="31"/>
      <c r="F69" s="31"/>
      <c r="G69" s="31"/>
      <c r="H69" s="31"/>
      <c r="I69" s="31"/>
      <c r="J69" s="31"/>
      <c r="K69" s="31"/>
      <c r="L69" s="31"/>
      <c r="M69" s="31"/>
      <c r="N69" s="31"/>
      <c r="O69" s="31"/>
      <c r="P69" s="31"/>
      <c r="Q69" s="31"/>
      <c r="R69" s="31"/>
      <c r="S69" s="31"/>
      <c r="T69" s="31"/>
      <c r="U69" s="31"/>
      <c r="V69" s="31"/>
      <c r="W69" s="31"/>
    </row>
    <row r="70">
      <c r="A70" s="31"/>
      <c r="B70" s="31"/>
      <c r="C70" s="31"/>
      <c r="D70" s="31"/>
      <c r="E70" s="31"/>
      <c r="F70" s="31"/>
      <c r="G70" s="31"/>
      <c r="H70" s="31"/>
      <c r="I70" s="31"/>
      <c r="J70" s="31"/>
      <c r="K70" s="31"/>
      <c r="L70" s="31"/>
      <c r="M70" s="31"/>
      <c r="N70" s="31"/>
      <c r="O70" s="31"/>
      <c r="P70" s="31"/>
      <c r="Q70" s="31"/>
      <c r="R70" s="31"/>
      <c r="S70" s="31"/>
      <c r="T70" s="31"/>
      <c r="U70" s="31"/>
      <c r="V70" s="31"/>
      <c r="W70" s="31"/>
    </row>
    <row r="71">
      <c r="A71" s="31"/>
      <c r="B71" s="31"/>
      <c r="C71" s="31"/>
      <c r="D71" s="31"/>
      <c r="E71" s="31"/>
      <c r="F71" s="31"/>
      <c r="G71" s="31"/>
      <c r="H71" s="31"/>
      <c r="I71" s="31"/>
      <c r="J71" s="31"/>
      <c r="K71" s="31"/>
      <c r="L71" s="31"/>
      <c r="M71" s="31"/>
      <c r="N71" s="31"/>
      <c r="O71" s="31"/>
      <c r="P71" s="31"/>
      <c r="Q71" s="31"/>
      <c r="R71" s="31"/>
      <c r="S71" s="31"/>
      <c r="T71" s="31"/>
      <c r="U71" s="31"/>
      <c r="V71" s="31"/>
      <c r="W71" s="31"/>
    </row>
    <row r="72">
      <c r="A72" s="31"/>
      <c r="B72" s="31"/>
      <c r="C72" s="31"/>
      <c r="D72" s="31"/>
      <c r="E72" s="31"/>
      <c r="F72" s="31"/>
      <c r="G72" s="31"/>
      <c r="H72" s="31"/>
      <c r="I72" s="31"/>
      <c r="J72" s="31"/>
      <c r="K72" s="31"/>
      <c r="L72" s="31"/>
      <c r="M72" s="31"/>
      <c r="N72" s="31"/>
      <c r="O72" s="31"/>
      <c r="P72" s="31"/>
      <c r="Q72" s="31"/>
      <c r="R72" s="31"/>
      <c r="S72" s="31"/>
      <c r="T72" s="31"/>
      <c r="U72" s="31"/>
      <c r="V72" s="31"/>
      <c r="W72" s="31"/>
    </row>
    <row r="73">
      <c r="A73" s="31"/>
      <c r="B73" s="31"/>
      <c r="C73" s="31"/>
      <c r="D73" s="31"/>
      <c r="E73" s="31"/>
      <c r="F73" s="31"/>
      <c r="G73" s="31"/>
      <c r="H73" s="31"/>
      <c r="I73" s="31"/>
      <c r="J73" s="31"/>
      <c r="K73" s="31"/>
      <c r="L73" s="31"/>
      <c r="M73" s="31"/>
      <c r="N73" s="31"/>
      <c r="O73" s="31"/>
      <c r="P73" s="31"/>
      <c r="Q73" s="31"/>
      <c r="R73" s="31"/>
      <c r="S73" s="31"/>
      <c r="T73" s="31"/>
      <c r="U73" s="31"/>
      <c r="V73" s="31"/>
      <c r="W73" s="31"/>
    </row>
    <row r="74">
      <c r="A74" s="31"/>
      <c r="B74" s="31"/>
      <c r="C74" s="31"/>
      <c r="D74" s="31"/>
      <c r="E74" s="31"/>
      <c r="F74" s="31"/>
      <c r="G74" s="31"/>
      <c r="H74" s="31"/>
      <c r="I74" s="31"/>
      <c r="J74" s="31"/>
      <c r="K74" s="31"/>
      <c r="L74" s="31"/>
      <c r="M74" s="31"/>
      <c r="N74" s="31"/>
      <c r="O74" s="31"/>
      <c r="P74" s="31"/>
      <c r="Q74" s="31"/>
      <c r="R74" s="31"/>
      <c r="S74" s="31"/>
      <c r="T74" s="31"/>
      <c r="U74" s="31"/>
      <c r="V74" s="31"/>
      <c r="W74" s="31"/>
    </row>
    <row r="75">
      <c r="A75" s="31"/>
      <c r="B75" s="31"/>
      <c r="C75" s="31"/>
      <c r="D75" s="31"/>
      <c r="E75" s="31"/>
      <c r="F75" s="31"/>
      <c r="G75" s="31"/>
      <c r="H75" s="31"/>
      <c r="I75" s="31"/>
      <c r="J75" s="31"/>
      <c r="K75" s="31"/>
      <c r="L75" s="31"/>
      <c r="M75" s="31"/>
      <c r="N75" s="31"/>
      <c r="O75" s="31"/>
      <c r="P75" s="31"/>
      <c r="Q75" s="31"/>
      <c r="R75" s="31"/>
      <c r="S75" s="31"/>
      <c r="T75" s="31"/>
      <c r="U75" s="31"/>
      <c r="V75" s="31"/>
      <c r="W75" s="31"/>
    </row>
    <row r="76">
      <c r="A76" s="31"/>
      <c r="B76" s="31"/>
      <c r="C76" s="31"/>
      <c r="D76" s="31"/>
      <c r="E76" s="31"/>
      <c r="F76" s="31"/>
      <c r="G76" s="31"/>
      <c r="H76" s="31"/>
      <c r="I76" s="31"/>
      <c r="J76" s="31"/>
      <c r="K76" s="31"/>
      <c r="L76" s="31"/>
      <c r="M76" s="31"/>
      <c r="N76" s="31"/>
      <c r="O76" s="31"/>
      <c r="P76" s="31"/>
      <c r="Q76" s="31"/>
      <c r="R76" s="31"/>
      <c r="S76" s="31"/>
      <c r="T76" s="31"/>
      <c r="U76" s="31"/>
      <c r="V76" s="31"/>
      <c r="W76" s="31"/>
    </row>
    <row r="77">
      <c r="A77" s="31"/>
      <c r="B77" s="31"/>
      <c r="C77" s="31"/>
      <c r="D77" s="31"/>
      <c r="E77" s="31"/>
      <c r="F77" s="31"/>
      <c r="G77" s="31"/>
      <c r="H77" s="31"/>
      <c r="I77" s="31"/>
      <c r="J77" s="31"/>
      <c r="K77" s="31"/>
      <c r="L77" s="31"/>
      <c r="M77" s="31"/>
      <c r="N77" s="31"/>
      <c r="O77" s="31"/>
      <c r="P77" s="31"/>
      <c r="Q77" s="31"/>
      <c r="R77" s="31"/>
      <c r="S77" s="31"/>
      <c r="T77" s="31"/>
      <c r="U77" s="31"/>
      <c r="V77" s="31"/>
      <c r="W77" s="31"/>
    </row>
    <row r="78">
      <c r="A78" s="31"/>
      <c r="B78" s="31"/>
      <c r="C78" s="31"/>
      <c r="D78" s="31"/>
      <c r="E78" s="31"/>
      <c r="F78" s="31"/>
      <c r="G78" s="31"/>
      <c r="H78" s="31"/>
      <c r="I78" s="31"/>
      <c r="J78" s="31"/>
      <c r="K78" s="31"/>
      <c r="L78" s="31"/>
      <c r="M78" s="31"/>
      <c r="N78" s="31"/>
      <c r="O78" s="31"/>
      <c r="P78" s="31"/>
      <c r="Q78" s="31"/>
      <c r="R78" s="31"/>
      <c r="S78" s="31"/>
      <c r="T78" s="31"/>
      <c r="U78" s="31"/>
      <c r="V78" s="31"/>
      <c r="W78" s="31"/>
    </row>
    <row r="79">
      <c r="A79" s="31"/>
      <c r="B79" s="31"/>
      <c r="C79" s="31"/>
      <c r="D79" s="31"/>
      <c r="E79" s="31"/>
      <c r="F79" s="31"/>
      <c r="G79" s="31"/>
      <c r="H79" s="31"/>
      <c r="I79" s="31"/>
      <c r="J79" s="31"/>
      <c r="K79" s="31"/>
      <c r="L79" s="31"/>
      <c r="M79" s="31"/>
      <c r="N79" s="31"/>
      <c r="O79" s="31"/>
      <c r="P79" s="31"/>
      <c r="Q79" s="31"/>
      <c r="R79" s="31"/>
      <c r="S79" s="31"/>
      <c r="T79" s="31"/>
      <c r="U79" s="31"/>
      <c r="V79" s="31"/>
      <c r="W79" s="31"/>
    </row>
    <row r="80">
      <c r="A80" s="31"/>
      <c r="B80" s="31"/>
      <c r="C80" s="31"/>
      <c r="D80" s="31"/>
      <c r="E80" s="31"/>
      <c r="F80" s="31"/>
      <c r="G80" s="31"/>
      <c r="H80" s="31"/>
      <c r="I80" s="31"/>
      <c r="J80" s="31"/>
      <c r="K80" s="31"/>
      <c r="L80" s="31"/>
      <c r="M80" s="31"/>
      <c r="N80" s="31"/>
      <c r="O80" s="31"/>
      <c r="P80" s="31"/>
      <c r="Q80" s="31"/>
      <c r="R80" s="31"/>
      <c r="S80" s="31"/>
      <c r="T80" s="31"/>
      <c r="U80" s="31"/>
      <c r="V80" s="31"/>
      <c r="W80" s="31"/>
    </row>
    <row r="81">
      <c r="A81" s="31"/>
      <c r="B81" s="31"/>
      <c r="C81" s="31"/>
      <c r="D81" s="31"/>
      <c r="E81" s="31"/>
      <c r="F81" s="31"/>
      <c r="G81" s="31"/>
      <c r="H81" s="31"/>
      <c r="I81" s="31"/>
      <c r="J81" s="31"/>
      <c r="K81" s="31"/>
      <c r="L81" s="31"/>
      <c r="M81" s="31"/>
      <c r="N81" s="31"/>
      <c r="O81" s="31"/>
      <c r="P81" s="31"/>
      <c r="Q81" s="31"/>
      <c r="R81" s="31"/>
      <c r="S81" s="31"/>
      <c r="T81" s="31"/>
      <c r="U81" s="31"/>
      <c r="V81" s="31"/>
      <c r="W81" s="31"/>
    </row>
    <row r="82">
      <c r="A82" s="31"/>
      <c r="B82" s="31"/>
      <c r="C82" s="31"/>
      <c r="D82" s="31"/>
      <c r="E82" s="31"/>
      <c r="F82" s="31"/>
      <c r="G82" s="31"/>
      <c r="H82" s="31"/>
      <c r="I82" s="31"/>
      <c r="J82" s="31"/>
      <c r="K82" s="31"/>
      <c r="L82" s="31"/>
      <c r="M82" s="31"/>
      <c r="N82" s="31"/>
      <c r="O82" s="31"/>
      <c r="P82" s="31"/>
      <c r="Q82" s="31"/>
      <c r="R82" s="31"/>
      <c r="S82" s="31"/>
      <c r="T82" s="31"/>
      <c r="U82" s="31"/>
      <c r="V82" s="31"/>
      <c r="W82" s="31"/>
    </row>
    <row r="83">
      <c r="A83" s="31"/>
      <c r="B83" s="31"/>
      <c r="C83" s="31"/>
      <c r="D83" s="31"/>
      <c r="E83" s="31"/>
      <c r="F83" s="31"/>
      <c r="G83" s="31"/>
      <c r="H83" s="31"/>
      <c r="I83" s="31"/>
      <c r="J83" s="31"/>
      <c r="K83" s="31"/>
      <c r="L83" s="31"/>
      <c r="M83" s="31"/>
      <c r="N83" s="31"/>
      <c r="O83" s="31"/>
      <c r="P83" s="31"/>
      <c r="Q83" s="31"/>
      <c r="R83" s="31"/>
      <c r="S83" s="31"/>
      <c r="T83" s="31"/>
      <c r="U83" s="31"/>
      <c r="V83" s="31"/>
      <c r="W83" s="31"/>
    </row>
    <row r="84">
      <c r="A84" s="31"/>
      <c r="B84" s="31"/>
      <c r="C84" s="31"/>
      <c r="D84" s="31"/>
      <c r="E84" s="31"/>
      <c r="F84" s="31"/>
      <c r="G84" s="31"/>
      <c r="H84" s="31"/>
      <c r="I84" s="31"/>
      <c r="J84" s="31"/>
      <c r="K84" s="31"/>
      <c r="L84" s="31"/>
      <c r="M84" s="31"/>
      <c r="N84" s="31"/>
      <c r="O84" s="31"/>
      <c r="P84" s="31"/>
      <c r="Q84" s="31"/>
      <c r="R84" s="31"/>
      <c r="S84" s="31"/>
      <c r="T84" s="31"/>
      <c r="U84" s="31"/>
      <c r="V84" s="31"/>
      <c r="W84" s="31"/>
    </row>
    <row r="85">
      <c r="A85" s="31"/>
      <c r="B85" s="31"/>
      <c r="C85" s="31"/>
      <c r="D85" s="31"/>
      <c r="E85" s="31"/>
      <c r="F85" s="31"/>
      <c r="G85" s="31"/>
      <c r="H85" s="31"/>
      <c r="I85" s="31"/>
      <c r="J85" s="31"/>
      <c r="K85" s="31"/>
      <c r="L85" s="31"/>
      <c r="M85" s="31"/>
      <c r="N85" s="31"/>
      <c r="O85" s="31"/>
      <c r="P85" s="31"/>
      <c r="Q85" s="31"/>
      <c r="R85" s="31"/>
      <c r="S85" s="31"/>
      <c r="T85" s="31"/>
      <c r="U85" s="31"/>
      <c r="V85" s="31"/>
      <c r="W85" s="31"/>
    </row>
    <row r="86">
      <c r="A86" s="31"/>
      <c r="B86" s="31"/>
      <c r="C86" s="31"/>
      <c r="D86" s="31"/>
      <c r="E86" s="31"/>
      <c r="F86" s="31"/>
      <c r="G86" s="31"/>
      <c r="H86" s="31"/>
      <c r="I86" s="31"/>
      <c r="J86" s="31"/>
      <c r="K86" s="31"/>
      <c r="L86" s="31"/>
      <c r="M86" s="31"/>
      <c r="N86" s="31"/>
      <c r="O86" s="31"/>
      <c r="P86" s="31"/>
      <c r="Q86" s="31"/>
      <c r="R86" s="31"/>
      <c r="S86" s="31"/>
      <c r="T86" s="31"/>
      <c r="U86" s="31"/>
      <c r="V86" s="31"/>
      <c r="W86" s="31"/>
    </row>
    <row r="87">
      <c r="A87" s="31"/>
      <c r="B87" s="31"/>
      <c r="C87" s="31"/>
      <c r="D87" s="31"/>
      <c r="E87" s="31"/>
      <c r="F87" s="31"/>
      <c r="G87" s="31"/>
      <c r="H87" s="31"/>
      <c r="I87" s="31"/>
      <c r="J87" s="31"/>
      <c r="K87" s="31"/>
      <c r="L87" s="31"/>
      <c r="M87" s="31"/>
      <c r="N87" s="31"/>
      <c r="O87" s="31"/>
      <c r="P87" s="31"/>
      <c r="Q87" s="31"/>
      <c r="R87" s="31"/>
      <c r="S87" s="31"/>
      <c r="T87" s="31"/>
      <c r="U87" s="31"/>
      <c r="V87" s="31"/>
      <c r="W87" s="31"/>
    </row>
    <row r="88">
      <c r="A88" s="31"/>
      <c r="B88" s="31"/>
      <c r="C88" s="31"/>
      <c r="D88" s="31"/>
      <c r="E88" s="31"/>
      <c r="F88" s="31"/>
      <c r="G88" s="31"/>
      <c r="H88" s="31"/>
      <c r="I88" s="31"/>
      <c r="J88" s="31"/>
      <c r="K88" s="31"/>
      <c r="L88" s="31"/>
      <c r="M88" s="31"/>
      <c r="N88" s="31"/>
      <c r="O88" s="31"/>
      <c r="P88" s="31"/>
      <c r="Q88" s="31"/>
      <c r="R88" s="31"/>
      <c r="S88" s="31"/>
      <c r="T88" s="31"/>
      <c r="U88" s="31"/>
      <c r="V88" s="31"/>
      <c r="W88" s="31"/>
    </row>
    <row r="89">
      <c r="A89" s="31"/>
      <c r="B89" s="31"/>
      <c r="C89" s="31"/>
      <c r="D89" s="31"/>
      <c r="E89" s="31"/>
      <c r="F89" s="31"/>
      <c r="G89" s="31"/>
      <c r="H89" s="31"/>
      <c r="I89" s="31"/>
      <c r="J89" s="31"/>
      <c r="K89" s="31"/>
      <c r="L89" s="31"/>
      <c r="M89" s="31"/>
      <c r="N89" s="31"/>
      <c r="O89" s="31"/>
      <c r="P89" s="31"/>
      <c r="Q89" s="31"/>
      <c r="R89" s="31"/>
      <c r="S89" s="31"/>
      <c r="T89" s="31"/>
      <c r="U89" s="31"/>
      <c r="V89" s="31"/>
      <c r="W89" s="31"/>
    </row>
    <row r="90">
      <c r="A90" s="31"/>
      <c r="B90" s="31"/>
      <c r="C90" s="31"/>
      <c r="D90" s="31"/>
      <c r="E90" s="31"/>
      <c r="F90" s="31"/>
      <c r="G90" s="31"/>
      <c r="H90" s="31"/>
      <c r="I90" s="31"/>
      <c r="J90" s="31"/>
      <c r="K90" s="31"/>
      <c r="L90" s="31"/>
      <c r="M90" s="31"/>
      <c r="N90" s="31"/>
      <c r="O90" s="31"/>
      <c r="P90" s="31"/>
      <c r="Q90" s="31"/>
      <c r="R90" s="31"/>
      <c r="S90" s="31"/>
      <c r="T90" s="31"/>
      <c r="U90" s="31"/>
      <c r="V90" s="31"/>
      <c r="W90" s="31"/>
    </row>
    <row r="91">
      <c r="A91" s="31"/>
      <c r="B91" s="31"/>
      <c r="C91" s="31"/>
      <c r="D91" s="31"/>
      <c r="E91" s="31"/>
      <c r="F91" s="31"/>
      <c r="G91" s="31"/>
      <c r="H91" s="31"/>
      <c r="I91" s="31"/>
      <c r="J91" s="31"/>
      <c r="K91" s="31"/>
      <c r="L91" s="31"/>
      <c r="M91" s="31"/>
      <c r="N91" s="31"/>
      <c r="O91" s="31"/>
      <c r="P91" s="31"/>
      <c r="Q91" s="31"/>
      <c r="R91" s="31"/>
      <c r="S91" s="31"/>
      <c r="T91" s="31"/>
      <c r="U91" s="31"/>
      <c r="V91" s="31"/>
      <c r="W91" s="31"/>
    </row>
    <row r="92">
      <c r="A92" s="31"/>
      <c r="B92" s="31"/>
      <c r="C92" s="31"/>
      <c r="D92" s="31"/>
      <c r="E92" s="31"/>
      <c r="F92" s="31"/>
      <c r="G92" s="31"/>
      <c r="H92" s="31"/>
      <c r="I92" s="31"/>
      <c r="J92" s="31"/>
      <c r="K92" s="31"/>
      <c r="L92" s="31"/>
      <c r="M92" s="31"/>
      <c r="N92" s="31"/>
      <c r="O92" s="31"/>
      <c r="P92" s="31"/>
      <c r="Q92" s="31"/>
      <c r="R92" s="31"/>
      <c r="S92" s="31"/>
      <c r="T92" s="31"/>
      <c r="U92" s="31"/>
      <c r="V92" s="31"/>
      <c r="W92" s="31"/>
    </row>
    <row r="93">
      <c r="A93" s="31"/>
      <c r="B93" s="31"/>
      <c r="C93" s="31"/>
      <c r="D93" s="31"/>
      <c r="E93" s="31"/>
      <c r="F93" s="31"/>
      <c r="G93" s="31"/>
      <c r="H93" s="31"/>
      <c r="I93" s="31"/>
      <c r="J93" s="31"/>
      <c r="K93" s="31"/>
      <c r="L93" s="31"/>
      <c r="M93" s="31"/>
      <c r="N93" s="31"/>
      <c r="O93" s="31"/>
      <c r="P93" s="31"/>
      <c r="Q93" s="31"/>
      <c r="R93" s="31"/>
      <c r="S93" s="31"/>
      <c r="T93" s="31"/>
      <c r="U93" s="31"/>
      <c r="V93" s="31"/>
      <c r="W93" s="31"/>
    </row>
    <row r="94">
      <c r="A94" s="31"/>
      <c r="B94" s="31"/>
      <c r="C94" s="31"/>
      <c r="D94" s="31"/>
      <c r="E94" s="31"/>
      <c r="F94" s="31"/>
      <c r="G94" s="31"/>
      <c r="H94" s="31"/>
      <c r="I94" s="31"/>
      <c r="J94" s="31"/>
      <c r="K94" s="31"/>
      <c r="L94" s="31"/>
      <c r="M94" s="31"/>
      <c r="N94" s="31"/>
      <c r="O94" s="31"/>
      <c r="P94" s="31"/>
      <c r="Q94" s="31"/>
      <c r="R94" s="31"/>
      <c r="S94" s="31"/>
      <c r="T94" s="31"/>
      <c r="U94" s="31"/>
      <c r="V94" s="31"/>
      <c r="W94" s="31"/>
    </row>
    <row r="95">
      <c r="A95" s="31"/>
      <c r="B95" s="31"/>
      <c r="C95" s="31"/>
      <c r="D95" s="31"/>
      <c r="E95" s="31"/>
      <c r="F95" s="31"/>
      <c r="G95" s="31"/>
      <c r="H95" s="31"/>
      <c r="I95" s="31"/>
      <c r="J95" s="31"/>
      <c r="K95" s="31"/>
      <c r="L95" s="31"/>
      <c r="M95" s="31"/>
      <c r="N95" s="31"/>
      <c r="O95" s="31"/>
      <c r="P95" s="31"/>
      <c r="Q95" s="31"/>
      <c r="R95" s="31"/>
      <c r="S95" s="31"/>
      <c r="T95" s="31"/>
      <c r="U95" s="31"/>
      <c r="V95" s="31"/>
      <c r="W95" s="31"/>
    </row>
    <row r="96">
      <c r="A96" s="31"/>
      <c r="B96" s="31"/>
      <c r="C96" s="31"/>
      <c r="D96" s="31"/>
      <c r="E96" s="31"/>
      <c r="F96" s="31"/>
      <c r="G96" s="31"/>
      <c r="H96" s="31"/>
      <c r="I96" s="31"/>
      <c r="J96" s="31"/>
      <c r="K96" s="31"/>
      <c r="L96" s="31"/>
      <c r="M96" s="31"/>
      <c r="N96" s="31"/>
      <c r="O96" s="31"/>
      <c r="P96" s="31"/>
      <c r="Q96" s="31"/>
      <c r="R96" s="31"/>
      <c r="S96" s="31"/>
      <c r="T96" s="31"/>
      <c r="U96" s="31"/>
      <c r="V96" s="31"/>
      <c r="W96" s="31"/>
    </row>
    <row r="97">
      <c r="A97" s="31"/>
      <c r="B97" s="31"/>
      <c r="C97" s="31"/>
      <c r="D97" s="31"/>
      <c r="E97" s="31"/>
      <c r="F97" s="31"/>
      <c r="G97" s="31"/>
      <c r="H97" s="31"/>
      <c r="I97" s="31"/>
      <c r="J97" s="31"/>
      <c r="K97" s="31"/>
      <c r="L97" s="31"/>
      <c r="M97" s="31"/>
      <c r="N97" s="31"/>
      <c r="O97" s="31"/>
      <c r="P97" s="31"/>
      <c r="Q97" s="31"/>
      <c r="R97" s="31"/>
      <c r="S97" s="31"/>
      <c r="T97" s="31"/>
      <c r="U97" s="31"/>
      <c r="V97" s="31"/>
      <c r="W97" s="31"/>
    </row>
    <row r="98">
      <c r="A98" s="31"/>
      <c r="B98" s="31"/>
      <c r="C98" s="31"/>
      <c r="D98" s="31"/>
      <c r="E98" s="31"/>
      <c r="F98" s="31"/>
      <c r="G98" s="31"/>
      <c r="H98" s="31"/>
      <c r="I98" s="31"/>
      <c r="J98" s="31"/>
      <c r="K98" s="31"/>
      <c r="L98" s="31"/>
      <c r="M98" s="31"/>
      <c r="N98" s="31"/>
      <c r="O98" s="31"/>
      <c r="P98" s="31"/>
      <c r="Q98" s="31"/>
      <c r="R98" s="31"/>
      <c r="S98" s="31"/>
      <c r="T98" s="31"/>
      <c r="U98" s="31"/>
      <c r="V98" s="31"/>
      <c r="W98" s="31"/>
    </row>
    <row r="99">
      <c r="A99" s="31"/>
      <c r="B99" s="31"/>
      <c r="C99" s="31"/>
      <c r="D99" s="31"/>
      <c r="E99" s="31"/>
      <c r="F99" s="31"/>
      <c r="G99" s="31"/>
      <c r="H99" s="31"/>
      <c r="I99" s="31"/>
      <c r="J99" s="31"/>
      <c r="K99" s="31"/>
      <c r="L99" s="31"/>
      <c r="M99" s="31"/>
      <c r="N99" s="31"/>
      <c r="O99" s="31"/>
      <c r="P99" s="31"/>
      <c r="Q99" s="31"/>
      <c r="R99" s="31"/>
      <c r="S99" s="31"/>
      <c r="T99" s="31"/>
      <c r="U99" s="31"/>
      <c r="V99" s="31"/>
      <c r="W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row>
  </sheetData>
  <hyperlinks>
    <hyperlink r:id="rId1" ref="J6"/>
    <hyperlink r:id="rId2" location="gid=0" ref="N6"/>
    <hyperlink r:id="rId3" ref="G7"/>
    <hyperlink r:id="rId4" location="gid=0" ref="J7"/>
    <hyperlink r:id="rId5" location="gid=0" ref="J8"/>
    <hyperlink r:id="rId6" location="gid=0" ref="J9"/>
    <hyperlink r:id="rId7" location="gid=0" ref="N9"/>
    <hyperlink r:id="rId8" ref="G10"/>
    <hyperlink r:id="rId9" location="gid=531882190" ref="J10"/>
    <hyperlink r:id="rId10" location="gid=0" ref="J11"/>
    <hyperlink r:id="rId11" location="gid=0" ref="J12"/>
    <hyperlink r:id="rId12" location="gid=0" ref="J13"/>
    <hyperlink r:id="rId13" location="gid=0" ref="J14"/>
    <hyperlink r:id="rId14" location="gid=0" ref="J15"/>
    <hyperlink r:id="rId15" location="gid=0" ref="J17"/>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1.25"/>
    <col customWidth="1" min="4" max="4" width="17.38"/>
    <col customWidth="1" min="9" max="9" width="15.25"/>
    <col customWidth="1" min="11" max="11" width="27.38"/>
    <col customWidth="1" min="14" max="14" width="11.0"/>
    <col customWidth="1" min="15" max="15" width="10.88"/>
    <col customWidth="1" min="16" max="16" width="95.0"/>
    <col customWidth="1" min="17" max="17" width="9.75"/>
  </cols>
  <sheetData>
    <row r="1">
      <c r="A1" s="62" t="str">
        <f>IFERROR(__xludf.DUMMYFUNCTION("IMPORTRANGE(""https://docs.google.com/spreadsheets/d/1v24u0ycDMAN6KyPmcvGCkhszdC0i8StNaYU-fRzJxvM/edit?gid=818865393#gid=818865393"",""EOC DB!A:Q"")"),"World Wide")</f>
        <v>World Wide</v>
      </c>
      <c r="B1" s="63"/>
      <c r="C1" s="63"/>
      <c r="D1" s="64" t="str">
        <f>IFERROR(__xludf.DUMMYFUNCTION("""COMPUTED_VALUE"""),"Ongoing issues")</f>
        <v>Ongoing issues</v>
      </c>
      <c r="E1" s="65"/>
      <c r="F1" s="65"/>
      <c r="G1" s="2"/>
      <c r="H1" s="64" t="str">
        <f>IFERROR(__xludf.DUMMYFUNCTION("""COMPUTED_VALUE"""),"Country wide issues")</f>
        <v>Country wide issues</v>
      </c>
      <c r="I1" s="65"/>
      <c r="J1" s="65"/>
      <c r="K1" s="65"/>
      <c r="L1" s="2"/>
      <c r="M1" s="64" t="str">
        <f>IFERROR(__xludf.DUMMYFUNCTION("""COMPUTED_VALUE"""),"Airport issues")</f>
        <v>Airport issues</v>
      </c>
      <c r="N1" s="65"/>
      <c r="O1" s="65"/>
      <c r="P1" s="65"/>
      <c r="Q1" s="2"/>
      <c r="R1" s="66"/>
      <c r="S1" s="66"/>
      <c r="T1" s="66"/>
      <c r="U1" s="66"/>
      <c r="V1" s="66"/>
      <c r="W1" s="66"/>
      <c r="X1" s="66"/>
      <c r="Y1" s="66"/>
      <c r="Z1" s="66"/>
      <c r="AA1" s="66"/>
      <c r="AB1" s="66"/>
      <c r="AC1" s="66"/>
      <c r="AD1" s="66"/>
      <c r="AE1" s="66"/>
      <c r="AF1" s="66"/>
      <c r="AG1" s="66"/>
      <c r="AH1" s="66"/>
      <c r="AI1" s="66"/>
      <c r="AJ1" s="66"/>
      <c r="AK1" s="66"/>
      <c r="AL1" s="66"/>
      <c r="AM1" s="66"/>
      <c r="AN1" s="66"/>
      <c r="AO1" s="66"/>
    </row>
    <row r="2">
      <c r="A2" s="67" t="str">
        <f>IFERROR(__xludf.DUMMYFUNCTION("""COMPUTED_VALUE"""),"Date")</f>
        <v>Date</v>
      </c>
      <c r="B2" s="68" t="str">
        <f>IFERROR(__xludf.DUMMYFUNCTION("""COMPUTED_VALUE"""),"EVENT ")</f>
        <v>EVENT </v>
      </c>
      <c r="C2" s="69" t="str">
        <f>IFERROR(__xludf.DUMMYFUNCTION("""COMPUTED_VALUE"""),"DECISION")</f>
        <v>DECISION</v>
      </c>
      <c r="D2" s="67" t="str">
        <f>IFERROR(__xludf.DUMMYFUNCTION("""COMPUTED_VALUE"""),"Start Date")</f>
        <v>Start Date</v>
      </c>
      <c r="E2" s="70" t="str">
        <f>IFERROR(__xludf.DUMMYFUNCTION("""COMPUTED_VALUE"""),"Country Affected")</f>
        <v>Country Affected</v>
      </c>
      <c r="F2" s="68" t="str">
        <f>IFERROR(__xludf.DUMMYFUNCTION("""COMPUTED_VALUE"""),"EVENT ")</f>
        <v>EVENT </v>
      </c>
      <c r="G2" s="69" t="str">
        <f>IFERROR(__xludf.DUMMYFUNCTION("""COMPUTED_VALUE"""),"DECISION")</f>
        <v>DECISION</v>
      </c>
      <c r="H2" s="69" t="str">
        <f>IFERROR(__xludf.DUMMYFUNCTION("""COMPUTED_VALUE"""),"DATEAirport")</f>
        <v>DATEAirport</v>
      </c>
      <c r="I2" s="70" t="str">
        <f>IFERROR(__xludf.DUMMYFUNCTION("""COMPUTED_VALUE"""),"Country Affected")</f>
        <v>Country Affected</v>
      </c>
      <c r="J2" s="71" t="str">
        <f>IFERROR(__xludf.DUMMYFUNCTION("""COMPUTED_VALUE"""),"DATE")</f>
        <v>DATE</v>
      </c>
      <c r="K2" s="68" t="str">
        <f>IFERROR(__xludf.DUMMYFUNCTION("""COMPUTED_VALUE"""),"EVENT ")</f>
        <v>EVENT </v>
      </c>
      <c r="L2" s="69" t="str">
        <f>IFERROR(__xludf.DUMMYFUNCTION("""COMPUTED_VALUE"""),"DECISION")</f>
        <v>DECISION</v>
      </c>
      <c r="M2" s="68" t="str">
        <f>IFERROR(__xludf.DUMMYFUNCTION("""COMPUTED_VALUE"""),"DATEAirport")</f>
        <v>DATEAirport</v>
      </c>
      <c r="N2" s="68" t="str">
        <f>IFERROR(__xludf.DUMMYFUNCTION("""COMPUTED_VALUE"""),"Airport")</f>
        <v>Airport</v>
      </c>
      <c r="O2" s="71" t="str">
        <f>IFERROR(__xludf.DUMMYFUNCTION("""COMPUTED_VALUE"""),"DATE")</f>
        <v>DATE</v>
      </c>
      <c r="P2" s="68" t="str">
        <f>IFERROR(__xludf.DUMMYFUNCTION("""COMPUTED_VALUE"""),"EVENT ")</f>
        <v>EVENT </v>
      </c>
      <c r="Q2" s="69" t="str">
        <f>IFERROR(__xludf.DUMMYFUNCTION("""COMPUTED_VALUE"""),"DECISION")</f>
        <v>DECISION</v>
      </c>
      <c r="R2" s="66"/>
      <c r="S2" s="66"/>
      <c r="T2" s="66"/>
      <c r="U2" s="66"/>
      <c r="V2" s="66"/>
      <c r="W2" s="66"/>
      <c r="X2" s="66"/>
      <c r="Y2" s="66"/>
      <c r="Z2" s="66"/>
      <c r="AA2" s="66"/>
      <c r="AB2" s="66"/>
      <c r="AC2" s="66"/>
      <c r="AD2" s="66"/>
      <c r="AE2" s="66"/>
      <c r="AF2" s="66"/>
      <c r="AG2" s="66"/>
      <c r="AH2" s="66"/>
      <c r="AI2" s="66"/>
      <c r="AJ2" s="66"/>
      <c r="AK2" s="66"/>
      <c r="AL2" s="66"/>
      <c r="AM2" s="66"/>
      <c r="AN2" s="66"/>
      <c r="AO2" s="66"/>
    </row>
    <row r="3">
      <c r="A3" s="72">
        <f>IFERROR(__xludf.DUMMYFUNCTION("""COMPUTED_VALUE"""),45492.0)</f>
        <v>45492</v>
      </c>
      <c r="B3" s="73" t="str">
        <f>IFERROR(__xludf.DUMMYFUNCTION("""COMPUTED_VALUE"""),"Global IT Failure (Microsoft)")</f>
        <v>Global IT Failure (Microsoft)</v>
      </c>
      <c r="C3" s="74" t="str">
        <f>IFERROR(__xludf.DUMMYFUNCTION("""COMPUTED_VALUE"""),"REJECT")</f>
        <v>REJECT</v>
      </c>
      <c r="D3" s="75">
        <f>IFERROR(__xludf.DUMMYFUNCTION("""COMPUTED_VALUE"""),45505.0)</f>
        <v>45505</v>
      </c>
      <c r="E3" s="76" t="str">
        <f>IFERROR(__xludf.DUMMYFUNCTION("""COMPUTED_VALUE"""),"Israel")</f>
        <v>Israel</v>
      </c>
      <c r="F3" s="76" t="str">
        <f>IFERROR(__xludf.DUMMYFUNCTION("""COMPUTED_VALUE"""),"Political instability ")</f>
        <v>Political instability </v>
      </c>
      <c r="G3" s="77" t="str">
        <f>IFERROR(__xludf.DUMMYFUNCTION("""COMPUTED_VALUE"""),"REJECT")</f>
        <v>REJECT</v>
      </c>
      <c r="H3" s="78" t="str">
        <f>IFERROR(__xludf.DUMMYFUNCTION("""COMPUTED_VALUE"""),"45198Italy")</f>
        <v>45198Italy</v>
      </c>
      <c r="I3" s="76" t="str">
        <f>IFERROR(__xludf.DUMMYFUNCTION("""COMPUTED_VALUE"""),"Italy")</f>
        <v>Italy</v>
      </c>
      <c r="J3" s="79">
        <f>IFERROR(__xludf.DUMMYFUNCTION("""COMPUTED_VALUE"""),45198.0)</f>
        <v>45198</v>
      </c>
      <c r="K3" s="80" t="str">
        <f>IFERROR(__xludf.DUMMYFUNCTION("""COMPUTED_VALUE"""),"Labor unions plan aviation sector strikes")</f>
        <v>Labor unions plan aviation sector strikes</v>
      </c>
      <c r="L3" s="77" t="str">
        <f>IFERROR(__xludf.DUMMYFUNCTION("""COMPUTED_VALUE"""),"REJECT")</f>
        <v>REJECT</v>
      </c>
      <c r="M3" s="78" t="str">
        <f>IFERROR(__xludf.DUMMYFUNCTION("""COMPUTED_VALUE"""),"45365BER")</f>
        <v>45365BER</v>
      </c>
      <c r="N3" s="81" t="str">
        <f>IFERROR(__xludf.DUMMYFUNCTION("""COMPUTED_VALUE"""),"BER")</f>
        <v>BER</v>
      </c>
      <c r="O3" s="82">
        <f>IFERROR(__xludf.DUMMYFUNCTION("""COMPUTED_VALUE"""),45365.0)</f>
        <v>45365</v>
      </c>
      <c r="P3" s="83" t="str">
        <f>IFERROR(__xludf.DUMMYFUNCTION("""COMPUTED_VALUE"""),"Unionized ground staff and security employees")</f>
        <v>Unionized ground staff and security employees</v>
      </c>
      <c r="Q3" s="77" t="str">
        <f>IFERROR(__xludf.DUMMYFUNCTION("""COMPUTED_VALUE"""),"REJECT")</f>
        <v>REJECT</v>
      </c>
      <c r="R3" s="66"/>
      <c r="S3" s="66"/>
      <c r="T3" s="66"/>
      <c r="U3" s="66"/>
      <c r="V3" s="66"/>
      <c r="W3" s="66"/>
      <c r="X3" s="66"/>
      <c r="Y3" s="66"/>
      <c r="Z3" s="66"/>
      <c r="AA3" s="66"/>
      <c r="AB3" s="66"/>
      <c r="AC3" s="66"/>
      <c r="AD3" s="66"/>
      <c r="AE3" s="66"/>
      <c r="AF3" s="66"/>
      <c r="AG3" s="66"/>
      <c r="AH3" s="66"/>
      <c r="AI3" s="66"/>
      <c r="AJ3" s="66"/>
      <c r="AK3" s="66"/>
      <c r="AL3" s="66"/>
      <c r="AM3" s="66"/>
      <c r="AN3" s="66"/>
      <c r="AO3" s="66"/>
    </row>
    <row r="4">
      <c r="A4" s="84">
        <f>IFERROR(__xludf.DUMMYFUNCTION("""COMPUTED_VALUE"""),45493.0)</f>
        <v>45493</v>
      </c>
      <c r="B4" s="85" t="str">
        <f>IFERROR(__xludf.DUMMYFUNCTION("""COMPUTED_VALUE"""),"Global IT Failure (Microsoft)")</f>
        <v>Global IT Failure (Microsoft)</v>
      </c>
      <c r="C4" s="86" t="str">
        <f>IFERROR(__xludf.DUMMYFUNCTION("""COMPUTED_VALUE"""),"REJECT")</f>
        <v>REJECT</v>
      </c>
      <c r="D4" s="75">
        <f>IFERROR(__xludf.DUMMYFUNCTION("""COMPUTED_VALUE"""),45107.0)</f>
        <v>45107</v>
      </c>
      <c r="E4" s="87" t="str">
        <f>IFERROR(__xludf.DUMMYFUNCTION("""COMPUTED_VALUE"""),"Syria")</f>
        <v>Syria</v>
      </c>
      <c r="F4" s="76" t="str">
        <f>IFERROR(__xludf.DUMMYFUNCTION("""COMPUTED_VALUE"""),"Political instability ")</f>
        <v>Political instability </v>
      </c>
      <c r="G4" s="77" t="str">
        <f>IFERROR(__xludf.DUMMYFUNCTION("""COMPUTED_VALUE"""),"REJECT")</f>
        <v>REJECT</v>
      </c>
      <c r="H4" s="78" t="str">
        <f>IFERROR(__xludf.DUMMYFUNCTION("""COMPUTED_VALUE"""),"45585Italy")</f>
        <v>45585Italy</v>
      </c>
      <c r="I4" s="88" t="str">
        <f>IFERROR(__xludf.DUMMYFUNCTION("""COMPUTED_VALUE"""),"Italy")</f>
        <v>Italy</v>
      </c>
      <c r="J4" s="79">
        <f>IFERROR(__xludf.DUMMYFUNCTION("""COMPUTED_VALUE"""),45585.0)</f>
        <v>45585</v>
      </c>
      <c r="K4" s="89" t="str">
        <f>IFERROR(__xludf.DUMMYFUNCTION("""COMPUTED_VALUE"""),"ATC Strikes")</f>
        <v>ATC Strikes</v>
      </c>
      <c r="L4" s="77" t="str">
        <f>IFERROR(__xludf.DUMMYFUNCTION("""COMPUTED_VALUE"""),"REJECT")</f>
        <v>REJECT</v>
      </c>
      <c r="M4" s="78" t="str">
        <f>IFERROR(__xludf.DUMMYFUNCTION("""COMPUTED_VALUE"""),"45365CGN")</f>
        <v>45365CGN</v>
      </c>
      <c r="N4" s="81" t="str">
        <f>IFERROR(__xludf.DUMMYFUNCTION("""COMPUTED_VALUE"""),"CGN")</f>
        <v>CGN</v>
      </c>
      <c r="O4" s="82">
        <f>IFERROR(__xludf.DUMMYFUNCTION("""COMPUTED_VALUE"""),45365.0)</f>
        <v>45365</v>
      </c>
      <c r="P4" s="83" t="str">
        <f>IFERROR(__xludf.DUMMYFUNCTION("""COMPUTED_VALUE"""),"Unionized ground staff and security employees")</f>
        <v>Unionized ground staff and security employees</v>
      </c>
      <c r="Q4" s="77" t="str">
        <f>IFERROR(__xludf.DUMMYFUNCTION("""COMPUTED_VALUE"""),"REJECT")</f>
        <v>REJECT</v>
      </c>
      <c r="R4" s="66"/>
      <c r="S4" s="66"/>
      <c r="T4" s="66"/>
      <c r="U4" s="66"/>
      <c r="V4" s="66"/>
      <c r="W4" s="66"/>
      <c r="X4" s="66"/>
      <c r="Y4" s="66"/>
      <c r="Z4" s="66"/>
      <c r="AA4" s="66"/>
      <c r="AB4" s="66"/>
      <c r="AC4" s="66"/>
      <c r="AD4" s="66"/>
      <c r="AE4" s="66"/>
      <c r="AF4" s="66"/>
      <c r="AG4" s="66"/>
      <c r="AH4" s="66"/>
      <c r="AI4" s="66"/>
      <c r="AJ4" s="66"/>
      <c r="AK4" s="66"/>
      <c r="AL4" s="66"/>
      <c r="AM4" s="66"/>
      <c r="AN4" s="66"/>
      <c r="AO4" s="66"/>
    </row>
    <row r="5">
      <c r="A5" s="90"/>
      <c r="B5" s="91"/>
      <c r="C5" s="92"/>
      <c r="D5" s="75">
        <f>IFERROR(__xludf.DUMMYFUNCTION("""COMPUTED_VALUE"""),45107.0)</f>
        <v>45107</v>
      </c>
      <c r="E5" s="87" t="str">
        <f>IFERROR(__xludf.DUMMYFUNCTION("""COMPUTED_VALUE"""),"Iraq")</f>
        <v>Iraq</v>
      </c>
      <c r="F5" s="76" t="str">
        <f>IFERROR(__xludf.DUMMYFUNCTION("""COMPUTED_VALUE"""),"Political instability ")</f>
        <v>Political instability </v>
      </c>
      <c r="G5" s="77" t="str">
        <f>IFERROR(__xludf.DUMMYFUNCTION("""COMPUTED_VALUE"""),"REJECT")</f>
        <v>REJECT</v>
      </c>
      <c r="H5" s="78" t="str">
        <f>IFERROR(__xludf.DUMMYFUNCTION("""COMPUTED_VALUE"""),"45747Belgium")</f>
        <v>45747Belgium</v>
      </c>
      <c r="I5" s="87" t="str">
        <f>IFERROR(__xludf.DUMMYFUNCTION("""COMPUTED_VALUE"""),"Belgium")</f>
        <v>Belgium</v>
      </c>
      <c r="J5" s="79">
        <f>IFERROR(__xludf.DUMMYFUNCTION("""COMPUTED_VALUE"""),45747.0)</f>
        <v>45747</v>
      </c>
      <c r="K5" s="89" t="str">
        <f>IFERROR(__xludf.DUMMYFUNCTION("""COMPUTED_VALUE"""),"Nationwide Strike")</f>
        <v>Nationwide Strike</v>
      </c>
      <c r="L5" s="77" t="str">
        <f>IFERROR(__xludf.DUMMYFUNCTION("""COMPUTED_VALUE"""),"REJECT")</f>
        <v>REJECT</v>
      </c>
      <c r="M5" s="78" t="str">
        <f>IFERROR(__xludf.DUMMYFUNCTION("""COMPUTED_VALUE"""),"45365STR")</f>
        <v>45365STR</v>
      </c>
      <c r="N5" s="81" t="str">
        <f>IFERROR(__xludf.DUMMYFUNCTION("""COMPUTED_VALUE"""),"STR")</f>
        <v>STR</v>
      </c>
      <c r="O5" s="82">
        <f>IFERROR(__xludf.DUMMYFUNCTION("""COMPUTED_VALUE"""),45365.0)</f>
        <v>45365</v>
      </c>
      <c r="P5" s="83" t="str">
        <f>IFERROR(__xludf.DUMMYFUNCTION("""COMPUTED_VALUE"""),"Unionized ground staff and security employees")</f>
        <v>Unionized ground staff and security employees</v>
      </c>
      <c r="Q5" s="77" t="str">
        <f>IFERROR(__xludf.DUMMYFUNCTION("""COMPUTED_VALUE"""),"REJECT")</f>
        <v>REJECT</v>
      </c>
      <c r="R5" s="66"/>
      <c r="S5" s="66"/>
      <c r="T5" s="66"/>
      <c r="U5" s="66"/>
      <c r="V5" s="66"/>
      <c r="W5" s="66"/>
      <c r="X5" s="66"/>
      <c r="Y5" s="66"/>
      <c r="Z5" s="66"/>
      <c r="AA5" s="66"/>
      <c r="AB5" s="66"/>
      <c r="AC5" s="66"/>
      <c r="AD5" s="66"/>
      <c r="AE5" s="66"/>
      <c r="AF5" s="66"/>
      <c r="AG5" s="66"/>
      <c r="AH5" s="66"/>
      <c r="AI5" s="66"/>
      <c r="AJ5" s="66"/>
      <c r="AK5" s="66"/>
      <c r="AL5" s="66"/>
      <c r="AM5" s="66"/>
      <c r="AN5" s="66"/>
      <c r="AO5" s="66"/>
    </row>
    <row r="6">
      <c r="A6" s="93"/>
      <c r="B6" s="85"/>
      <c r="C6" s="86"/>
      <c r="D6" s="75">
        <f>IFERROR(__xludf.DUMMYFUNCTION("""COMPUTED_VALUE"""),45107.0)</f>
        <v>45107</v>
      </c>
      <c r="E6" s="87" t="str">
        <f>IFERROR(__xludf.DUMMYFUNCTION("""COMPUTED_VALUE"""),"Iran")</f>
        <v>Iran</v>
      </c>
      <c r="F6" s="76" t="str">
        <f>IFERROR(__xludf.DUMMYFUNCTION("""COMPUTED_VALUE"""),"Political instability ")</f>
        <v>Political instability </v>
      </c>
      <c r="G6" s="77" t="str">
        <f>IFERROR(__xludf.DUMMYFUNCTION("""COMPUTED_VALUE"""),"REJECT")</f>
        <v>REJECT</v>
      </c>
      <c r="H6" s="78" t="str">
        <f>IFERROR(__xludf.DUMMYFUNCTION("""COMPUTED_VALUE"""),"45726Germany")</f>
        <v>45726Germany</v>
      </c>
      <c r="I6" s="88" t="str">
        <f>IFERROR(__xludf.DUMMYFUNCTION("""COMPUTED_VALUE"""),"Germany")</f>
        <v>Germany</v>
      </c>
      <c r="J6" s="79">
        <f>IFERROR(__xludf.DUMMYFUNCTION("""COMPUTED_VALUE"""),45726.0)</f>
        <v>45726</v>
      </c>
      <c r="K6" s="94" t="str">
        <f>IFERROR(__xludf.DUMMYFUNCTION("""COMPUTED_VALUE"""),"ATC Strike")</f>
        <v>ATC Strike</v>
      </c>
      <c r="L6" s="77" t="str">
        <f>IFERROR(__xludf.DUMMYFUNCTION("""COMPUTED_VALUE"""),"REJECT")</f>
        <v>REJECT</v>
      </c>
      <c r="M6" s="78" t="str">
        <f>IFERROR(__xludf.DUMMYFUNCTION("""COMPUTED_VALUE"""),"45365FKB")</f>
        <v>45365FKB</v>
      </c>
      <c r="N6" s="81" t="str">
        <f>IFERROR(__xludf.DUMMYFUNCTION("""COMPUTED_VALUE"""),"FKB")</f>
        <v>FKB</v>
      </c>
      <c r="O6" s="82">
        <f>IFERROR(__xludf.DUMMYFUNCTION("""COMPUTED_VALUE"""),45365.0)</f>
        <v>45365</v>
      </c>
      <c r="P6" s="83" t="str">
        <f>IFERROR(__xludf.DUMMYFUNCTION("""COMPUTED_VALUE"""),"Unionized ground staff and security employees")</f>
        <v>Unionized ground staff and security employees</v>
      </c>
      <c r="Q6" s="77" t="str">
        <f>IFERROR(__xludf.DUMMYFUNCTION("""COMPUTED_VALUE"""),"REJECT")</f>
        <v>REJECT</v>
      </c>
      <c r="R6" s="66"/>
      <c r="S6" s="66"/>
      <c r="T6" s="66"/>
      <c r="U6" s="66"/>
      <c r="V6" s="66"/>
      <c r="W6" s="66"/>
      <c r="X6" s="66"/>
      <c r="Y6" s="66"/>
      <c r="Z6" s="66"/>
      <c r="AA6" s="66"/>
      <c r="AB6" s="66"/>
      <c r="AC6" s="66"/>
      <c r="AD6" s="66"/>
      <c r="AE6" s="66"/>
      <c r="AF6" s="66"/>
      <c r="AG6" s="66"/>
      <c r="AH6" s="66"/>
      <c r="AI6" s="66"/>
      <c r="AJ6" s="66"/>
      <c r="AK6" s="66"/>
      <c r="AL6" s="66"/>
      <c r="AM6" s="66"/>
      <c r="AN6" s="66"/>
      <c r="AO6" s="66"/>
    </row>
    <row r="7">
      <c r="A7" s="93"/>
      <c r="B7" s="85"/>
      <c r="C7" s="86"/>
      <c r="D7" s="75">
        <f>IFERROR(__xludf.DUMMYFUNCTION("""COMPUTED_VALUE"""),45107.0)</f>
        <v>45107</v>
      </c>
      <c r="E7" s="87" t="str">
        <f>IFERROR(__xludf.DUMMYFUNCTION("""COMPUTED_VALUE"""),"Lebanon")</f>
        <v>Lebanon</v>
      </c>
      <c r="F7" s="76" t="str">
        <f>IFERROR(__xludf.DUMMYFUNCTION("""COMPUTED_VALUE"""),"Political instability ")</f>
        <v>Political instability </v>
      </c>
      <c r="G7" s="77" t="str">
        <f>IFERROR(__xludf.DUMMYFUNCTION("""COMPUTED_VALUE"""),"REJECT")</f>
        <v>REJECT</v>
      </c>
      <c r="H7" s="78" t="str">
        <f>IFERROR(__xludf.DUMMYFUNCTION("""COMPUTED_VALUE"""),"45081Italy")</f>
        <v>45081Italy</v>
      </c>
      <c r="I7" s="88" t="str">
        <f>IFERROR(__xludf.DUMMYFUNCTION("""COMPUTED_VALUE"""),"Italy")</f>
        <v>Italy</v>
      </c>
      <c r="J7" s="79">
        <f>IFERROR(__xludf.DUMMYFUNCTION("""COMPUTED_VALUE"""),45081.0)</f>
        <v>45081</v>
      </c>
      <c r="K7" s="94" t="str">
        <f>IFERROR(__xludf.DUMMYFUNCTION("""COMPUTED_VALUE"""),"Air Transport Sector Strike")</f>
        <v>Air Transport Sector Strike</v>
      </c>
      <c r="L7" s="77" t="str">
        <f>IFERROR(__xludf.DUMMYFUNCTION("""COMPUTED_VALUE"""),"REJECT")</f>
        <v>REJECT</v>
      </c>
      <c r="M7" s="78" t="str">
        <f>IFERROR(__xludf.DUMMYFUNCTION("""COMPUTED_VALUE"""),"45323FRA")</f>
        <v>45323FRA</v>
      </c>
      <c r="N7" s="81" t="str">
        <f>IFERROR(__xludf.DUMMYFUNCTION("""COMPUTED_VALUE"""),"FRA")</f>
        <v>FRA</v>
      </c>
      <c r="O7" s="82">
        <f>IFERROR(__xludf.DUMMYFUNCTION("""COMPUTED_VALUE"""),45323.0)</f>
        <v>45323</v>
      </c>
      <c r="P7" s="83" t="str">
        <f>IFERROR(__xludf.DUMMYFUNCTION("""COMPUTED_VALUE"""),"Security Staff Strike")</f>
        <v>Security Staff Strike</v>
      </c>
      <c r="Q7" s="77" t="str">
        <f>IFERROR(__xludf.DUMMYFUNCTION("""COMPUTED_VALUE"""),"REJECT")</f>
        <v>REJECT</v>
      </c>
      <c r="R7" s="66"/>
      <c r="S7" s="66"/>
      <c r="T7" s="66"/>
      <c r="U7" s="66"/>
      <c r="V7" s="66"/>
      <c r="W7" s="66"/>
      <c r="X7" s="66"/>
      <c r="Y7" s="66"/>
      <c r="Z7" s="66"/>
      <c r="AA7" s="66"/>
      <c r="AB7" s="66"/>
      <c r="AC7" s="66"/>
      <c r="AD7" s="66"/>
      <c r="AE7" s="66"/>
      <c r="AF7" s="66"/>
      <c r="AG7" s="66"/>
      <c r="AH7" s="66"/>
      <c r="AI7" s="66"/>
      <c r="AJ7" s="66"/>
      <c r="AK7" s="66"/>
      <c r="AL7" s="66"/>
      <c r="AM7" s="66"/>
      <c r="AN7" s="66"/>
      <c r="AO7" s="66"/>
    </row>
    <row r="8">
      <c r="A8" s="93"/>
      <c r="B8" s="85"/>
      <c r="C8" s="86"/>
      <c r="D8" s="95">
        <f>IFERROR(__xludf.DUMMYFUNCTION("""COMPUTED_VALUE"""),45031.0)</f>
        <v>45031</v>
      </c>
      <c r="E8" s="96" t="str">
        <f>IFERROR(__xludf.DUMMYFUNCTION("""COMPUTED_VALUE"""),"Sudan")</f>
        <v>Sudan</v>
      </c>
      <c r="F8" s="66" t="str">
        <f>IFERROR(__xludf.DUMMYFUNCTION("""COMPUTED_VALUE"""),"Political instability ")</f>
        <v>Political instability </v>
      </c>
      <c r="G8" s="97" t="str">
        <f>IFERROR(__xludf.DUMMYFUNCTION("""COMPUTED_VALUE"""),"REJECT")</f>
        <v>REJECT</v>
      </c>
      <c r="H8" s="78" t="str">
        <f>IFERROR(__xludf.DUMMYFUNCTION("""COMPUTED_VALUE"""),"45701belgium")</f>
        <v>45701belgium</v>
      </c>
      <c r="I8" s="88" t="str">
        <f>IFERROR(__xludf.DUMMYFUNCTION("""COMPUTED_VALUE"""),"belgium")</f>
        <v>belgium</v>
      </c>
      <c r="J8" s="79">
        <f>IFERROR(__xludf.DUMMYFUNCTION("""COMPUTED_VALUE"""),45701.0)</f>
        <v>45701</v>
      </c>
      <c r="K8" s="94" t="str">
        <f>IFERROR(__xludf.DUMMYFUNCTION("""COMPUTED_VALUE"""),"Nationwide strike")</f>
        <v>Nationwide strike</v>
      </c>
      <c r="L8" s="98" t="str">
        <f>IFERROR(__xludf.DUMMYFUNCTION("""COMPUTED_VALUE"""),"REJECT")</f>
        <v>REJECT</v>
      </c>
      <c r="M8" s="78" t="str">
        <f>IFERROR(__xludf.DUMMYFUNCTION("""COMPUTED_VALUE"""),"45602NTE")</f>
        <v>45602NTE</v>
      </c>
      <c r="N8" s="81" t="str">
        <f>IFERROR(__xludf.DUMMYFUNCTION("""COMPUTED_VALUE"""),"NTE")</f>
        <v>NTE</v>
      </c>
      <c r="O8" s="82">
        <f>IFERROR(__xludf.DUMMYFUNCTION("""COMPUTED_VALUE"""),45602.0)</f>
        <v>45602</v>
      </c>
      <c r="P8" s="83" t="str">
        <f>IFERROR(__xludf.DUMMYFUNCTION("""COMPUTED_VALUE"""),"firefighter and rescue staff strike")</f>
        <v>firefighter and rescue staff strike</v>
      </c>
      <c r="Q8" s="77" t="str">
        <f>IFERROR(__xludf.DUMMYFUNCTION("""COMPUTED_VALUE"""),"REJECT")</f>
        <v>REJECT</v>
      </c>
      <c r="R8" s="66"/>
      <c r="S8" s="66"/>
      <c r="T8" s="66"/>
      <c r="U8" s="66"/>
      <c r="V8" s="66"/>
      <c r="W8" s="66"/>
      <c r="X8" s="66"/>
      <c r="Y8" s="66"/>
      <c r="Z8" s="66"/>
      <c r="AA8" s="66"/>
      <c r="AB8" s="66"/>
      <c r="AC8" s="66"/>
      <c r="AD8" s="66"/>
      <c r="AE8" s="66"/>
      <c r="AF8" s="66"/>
      <c r="AG8" s="66"/>
      <c r="AH8" s="66"/>
      <c r="AI8" s="66"/>
      <c r="AJ8" s="66"/>
      <c r="AK8" s="66"/>
      <c r="AL8" s="66"/>
      <c r="AM8" s="66"/>
      <c r="AN8" s="66"/>
      <c r="AO8" s="66"/>
    </row>
    <row r="9">
      <c r="A9" s="93"/>
      <c r="B9" s="85"/>
      <c r="C9" s="86"/>
      <c r="D9" s="95">
        <f>IFERROR(__xludf.DUMMYFUNCTION("""COMPUTED_VALUE"""),41699.0)</f>
        <v>41699</v>
      </c>
      <c r="E9" s="96" t="str">
        <f>IFERROR(__xludf.DUMMYFUNCTION("""COMPUTED_VALUE"""),"Libya")</f>
        <v>Libya</v>
      </c>
      <c r="F9" s="96" t="str">
        <f>IFERROR(__xludf.DUMMYFUNCTION("""COMPUTED_VALUE"""),"Political instability ")</f>
        <v>Political instability </v>
      </c>
      <c r="G9" s="97" t="str">
        <f>IFERROR(__xludf.DUMMYFUNCTION("""COMPUTED_VALUE"""),"REJECT")</f>
        <v>REJECT</v>
      </c>
      <c r="H9" s="78" t="str">
        <f>IFERROR(__xludf.DUMMYFUNCTION("""COMPUTED_VALUE"""),"45122Italy")</f>
        <v>45122Italy</v>
      </c>
      <c r="I9" s="88" t="str">
        <f>IFERROR(__xludf.DUMMYFUNCTION("""COMPUTED_VALUE"""),"Italy")</f>
        <v>Italy</v>
      </c>
      <c r="J9" s="79">
        <f>IFERROR(__xludf.DUMMYFUNCTION("""COMPUTED_VALUE"""),45122.0)</f>
        <v>45122</v>
      </c>
      <c r="K9" s="94" t="str">
        <f>IFERROR(__xludf.DUMMYFUNCTION("""COMPUTED_VALUE"""),"Labor unions aviation sector nationwide strikes")</f>
        <v>Labor unions aviation sector nationwide strikes</v>
      </c>
      <c r="L9" s="98" t="str">
        <f>IFERROR(__xludf.DUMMYFUNCTION("""COMPUTED_VALUE"""),"REJECT")</f>
        <v>REJECT</v>
      </c>
      <c r="M9" s="78" t="str">
        <f>IFERROR(__xludf.DUMMYFUNCTION("""COMPUTED_VALUE"""),"45603NTE")</f>
        <v>45603NTE</v>
      </c>
      <c r="N9" s="81" t="str">
        <f>IFERROR(__xludf.DUMMYFUNCTION("""COMPUTED_VALUE"""),"NTE")</f>
        <v>NTE</v>
      </c>
      <c r="O9" s="82">
        <f>IFERROR(__xludf.DUMMYFUNCTION("""COMPUTED_VALUE"""),45603.0)</f>
        <v>45603</v>
      </c>
      <c r="P9" s="83" t="str">
        <f>IFERROR(__xludf.DUMMYFUNCTION("""COMPUTED_VALUE"""),"firefighter and rescue staff strike")</f>
        <v>firefighter and rescue staff strike</v>
      </c>
      <c r="Q9" s="77" t="str">
        <f>IFERROR(__xludf.DUMMYFUNCTION("""COMPUTED_VALUE"""),"REJECT")</f>
        <v>REJECT</v>
      </c>
      <c r="R9" s="66"/>
      <c r="S9" s="66"/>
      <c r="T9" s="66"/>
      <c r="U9" s="66"/>
      <c r="V9" s="66"/>
      <c r="W9" s="66"/>
      <c r="X9" s="66"/>
      <c r="Y9" s="66"/>
      <c r="Z9" s="66"/>
      <c r="AA9" s="66"/>
      <c r="AB9" s="66"/>
      <c r="AC9" s="66"/>
      <c r="AD9" s="66"/>
      <c r="AE9" s="66"/>
      <c r="AF9" s="66"/>
      <c r="AG9" s="66"/>
      <c r="AH9" s="66"/>
      <c r="AI9" s="66"/>
      <c r="AJ9" s="66"/>
      <c r="AK9" s="66"/>
      <c r="AL9" s="66"/>
      <c r="AM9" s="66"/>
      <c r="AN9" s="66"/>
      <c r="AO9" s="66"/>
    </row>
    <row r="10">
      <c r="A10" s="93"/>
      <c r="B10" s="85"/>
      <c r="C10" s="86"/>
      <c r="D10" s="95">
        <f>IFERROR(__xludf.DUMMYFUNCTION("""COMPUTED_VALUE"""),44616.0)</f>
        <v>44616</v>
      </c>
      <c r="E10" s="96" t="str">
        <f>IFERROR(__xludf.DUMMYFUNCTION("""COMPUTED_VALUE"""),"ukraine")</f>
        <v>ukraine</v>
      </c>
      <c r="F10" s="96" t="str">
        <f>IFERROR(__xludf.DUMMYFUNCTION("""COMPUTED_VALUE"""),"Political instability ")</f>
        <v>Political instability </v>
      </c>
      <c r="G10" s="97" t="str">
        <f>IFERROR(__xludf.DUMMYFUNCTION("""COMPUTED_VALUE"""),"REJECT")</f>
        <v>REJECT</v>
      </c>
      <c r="H10" s="78" t="str">
        <f>IFERROR(__xludf.DUMMYFUNCTION("""COMPUTED_VALUE"""),"45595Argentina")</f>
        <v>45595Argentina</v>
      </c>
      <c r="I10" s="88" t="str">
        <f>IFERROR(__xludf.DUMMYFUNCTION("""COMPUTED_VALUE"""),"Argentina")</f>
        <v>Argentina</v>
      </c>
      <c r="J10" s="79">
        <f>IFERROR(__xludf.DUMMYFUNCTION("""COMPUTED_VALUE"""),45595.0)</f>
        <v>45595</v>
      </c>
      <c r="K10" s="94" t="str">
        <f>IFERROR(__xludf.DUMMYFUNCTION("""COMPUTED_VALUE"""),"Strike")</f>
        <v>Strike</v>
      </c>
      <c r="L10" s="98" t="str">
        <f>IFERROR(__xludf.DUMMYFUNCTION("""COMPUTED_VALUE"""),"REJECT")</f>
        <v>REJECT</v>
      </c>
      <c r="M10" s="78" t="str">
        <f>IFERROR(__xludf.DUMMYFUNCTION("""COMPUTED_VALUE"""),"45124CTA")</f>
        <v>45124CTA</v>
      </c>
      <c r="N10" s="81" t="str">
        <f>IFERROR(__xludf.DUMMYFUNCTION("""COMPUTED_VALUE"""),"CTA")</f>
        <v>CTA</v>
      </c>
      <c r="O10" s="82">
        <f>IFERROR(__xludf.DUMMYFUNCTION("""COMPUTED_VALUE"""),45124.0)</f>
        <v>45124</v>
      </c>
      <c r="P10" s="83" t="str">
        <f>IFERROR(__xludf.DUMMYFUNCTION("""COMPUTED_VALUE"""),"Volcanic Ash eruption of Mount Etna")</f>
        <v>Volcanic Ash eruption of Mount Etna</v>
      </c>
      <c r="Q10" s="77" t="str">
        <f>IFERROR(__xludf.DUMMYFUNCTION("""COMPUTED_VALUE"""),"REJECT")</f>
        <v>REJECT</v>
      </c>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row>
    <row r="11">
      <c r="A11" s="93"/>
      <c r="B11" s="85"/>
      <c r="C11" s="86"/>
      <c r="D11" s="95">
        <f>IFERROR(__xludf.DUMMYFUNCTION("""COMPUTED_VALUE"""),45992.0)</f>
        <v>45992</v>
      </c>
      <c r="E11" s="96" t="str">
        <f>IFERROR(__xludf.DUMMYFUNCTION("""COMPUTED_VALUE"""),"venezuela")</f>
        <v>venezuela</v>
      </c>
      <c r="F11" s="96" t="str">
        <f>IFERROR(__xludf.DUMMYFUNCTION("""COMPUTED_VALUE"""),"Political instability ")</f>
        <v>Political instability </v>
      </c>
      <c r="G11" s="97" t="str">
        <f>IFERROR(__xludf.DUMMYFUNCTION("""COMPUTED_VALUE"""),"REJECT")</f>
        <v>REJECT</v>
      </c>
      <c r="H11" s="78" t="str">
        <f>IFERROR(__xludf.DUMMYFUNCTION("""COMPUTED_VALUE"""),"45716Greece")</f>
        <v>45716Greece</v>
      </c>
      <c r="I11" s="88" t="str">
        <f>IFERROR(__xludf.DUMMYFUNCTION("""COMPUTED_VALUE"""),"Greece")</f>
        <v>Greece</v>
      </c>
      <c r="J11" s="79">
        <f>IFERROR(__xludf.DUMMYFUNCTION("""COMPUTED_VALUE"""),45716.0)</f>
        <v>45716</v>
      </c>
      <c r="K11" s="94" t="str">
        <f>IFERROR(__xludf.DUMMYFUNCTION("""COMPUTED_VALUE"""),"Strike")</f>
        <v>Strike</v>
      </c>
      <c r="L11" s="98" t="str">
        <f>IFERROR(__xludf.DUMMYFUNCTION("""COMPUTED_VALUE"""),"REJECT")</f>
        <v>REJECT</v>
      </c>
      <c r="M11" s="78" t="str">
        <f>IFERROR(__xludf.DUMMYFUNCTION("""COMPUTED_VALUE"""),"45125CTA")</f>
        <v>45125CTA</v>
      </c>
      <c r="N11" s="81" t="str">
        <f>IFERROR(__xludf.DUMMYFUNCTION("""COMPUTED_VALUE"""),"CTA")</f>
        <v>CTA</v>
      </c>
      <c r="O11" s="82">
        <f>IFERROR(__xludf.DUMMYFUNCTION("""COMPUTED_VALUE"""),45125.0)</f>
        <v>45125</v>
      </c>
      <c r="P11" s="83" t="str">
        <f>IFERROR(__xludf.DUMMYFUNCTION("""COMPUTED_VALUE"""),"Volcanic Ash eruption of Mount Etna")</f>
        <v>Volcanic Ash eruption of Mount Etna</v>
      </c>
      <c r="Q11" s="77" t="str">
        <f>IFERROR(__xludf.DUMMYFUNCTION("""COMPUTED_VALUE"""),"REJECT")</f>
        <v>REJECT</v>
      </c>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row>
    <row r="12">
      <c r="A12" s="93"/>
      <c r="B12" s="85"/>
      <c r="C12" s="86"/>
      <c r="D12" s="95">
        <f>IFERROR(__xludf.DUMMYFUNCTION("""COMPUTED_VALUE"""),46081.0)</f>
        <v>46081</v>
      </c>
      <c r="E12" s="96" t="str">
        <f>IFERROR(__xludf.DUMMYFUNCTION("""COMPUTED_VALUE"""),"United Arab Emirates")</f>
        <v>United Arab Emirates</v>
      </c>
      <c r="F12" s="96" t="str">
        <f>IFERROR(__xludf.DUMMYFUNCTION("""COMPUTED_VALUE"""),"Political instability ")</f>
        <v>Political instability </v>
      </c>
      <c r="G12" s="97" t="str">
        <f>IFERROR(__xludf.DUMMYFUNCTION("""COMPUTED_VALUE"""),"REJECT")</f>
        <v>REJECT</v>
      </c>
      <c r="H12" s="78" t="str">
        <f>IFERROR(__xludf.DUMMYFUNCTION("""COMPUTED_VALUE"""),"45756Greece")</f>
        <v>45756Greece</v>
      </c>
      <c r="I12" s="88" t="str">
        <f>IFERROR(__xludf.DUMMYFUNCTION("""COMPUTED_VALUE"""),"Greece")</f>
        <v>Greece</v>
      </c>
      <c r="J12" s="79">
        <f>IFERROR(__xludf.DUMMYFUNCTION("""COMPUTED_VALUE"""),45756.0)</f>
        <v>45756</v>
      </c>
      <c r="K12" s="94" t="str">
        <f>IFERROR(__xludf.DUMMYFUNCTION("""COMPUTED_VALUE"""),"Strike")</f>
        <v>Strike</v>
      </c>
      <c r="L12" s="77" t="str">
        <f>IFERROR(__xludf.DUMMYFUNCTION("""COMPUTED_VALUE"""),"REJECT")</f>
        <v>REJECT</v>
      </c>
      <c r="M12" s="78" t="str">
        <f>IFERROR(__xludf.DUMMYFUNCTION("""COMPUTED_VALUE"""),"45126CTA")</f>
        <v>45126CTA</v>
      </c>
      <c r="N12" s="81" t="str">
        <f>IFERROR(__xludf.DUMMYFUNCTION("""COMPUTED_VALUE"""),"CTA")</f>
        <v>CTA</v>
      </c>
      <c r="O12" s="82">
        <f>IFERROR(__xludf.DUMMYFUNCTION("""COMPUTED_VALUE"""),45126.0)</f>
        <v>45126</v>
      </c>
      <c r="P12" s="83" t="str">
        <f>IFERROR(__xludf.DUMMYFUNCTION("""COMPUTED_VALUE"""),"Volcanic Ash eruption of Mount Etna")</f>
        <v>Volcanic Ash eruption of Mount Etna</v>
      </c>
      <c r="Q12" s="77" t="str">
        <f>IFERROR(__xludf.DUMMYFUNCTION("""COMPUTED_VALUE"""),"REJECT")</f>
        <v>REJECT</v>
      </c>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row>
    <row r="13">
      <c r="A13" s="93"/>
      <c r="B13" s="85"/>
      <c r="C13" s="86"/>
      <c r="D13" s="95">
        <f>IFERROR(__xludf.DUMMYFUNCTION("""COMPUTED_VALUE"""),46081.0)</f>
        <v>46081</v>
      </c>
      <c r="E13" s="96" t="str">
        <f>IFERROR(__xludf.DUMMYFUNCTION("""COMPUTED_VALUE"""),"Qatar")</f>
        <v>Qatar</v>
      </c>
      <c r="F13" s="96" t="str">
        <f>IFERROR(__xludf.DUMMYFUNCTION("""COMPUTED_VALUE"""),"Political instability ")</f>
        <v>Political instability </v>
      </c>
      <c r="G13" s="97" t="str">
        <f>IFERROR(__xludf.DUMMYFUNCTION("""COMPUTED_VALUE"""),"REJECT")</f>
        <v>REJECT</v>
      </c>
      <c r="H13" s="78" t="str">
        <f>IFERROR(__xludf.DUMMYFUNCTION("""COMPUTED_VALUE"""),"45757Argentina")</f>
        <v>45757Argentina</v>
      </c>
      <c r="I13" s="88" t="str">
        <f>IFERROR(__xludf.DUMMYFUNCTION("""COMPUTED_VALUE"""),"Argentina")</f>
        <v>Argentina</v>
      </c>
      <c r="J13" s="79">
        <f>IFERROR(__xludf.DUMMYFUNCTION("""COMPUTED_VALUE"""),45757.0)</f>
        <v>45757</v>
      </c>
      <c r="K13" s="94" t="str">
        <f>IFERROR(__xludf.DUMMYFUNCTION("""COMPUTED_VALUE"""),"Strike")</f>
        <v>Strike</v>
      </c>
      <c r="L13" s="77" t="str">
        <f>IFERROR(__xludf.DUMMYFUNCTION("""COMPUTED_VALUE"""),"REJECT")</f>
        <v>REJECT</v>
      </c>
      <c r="M13" s="78" t="str">
        <f>IFERROR(__xludf.DUMMYFUNCTION("""COMPUTED_VALUE"""),"45127CTA")</f>
        <v>45127CTA</v>
      </c>
      <c r="N13" s="81" t="str">
        <f>IFERROR(__xludf.DUMMYFUNCTION("""COMPUTED_VALUE"""),"CTA")</f>
        <v>CTA</v>
      </c>
      <c r="O13" s="82">
        <f>IFERROR(__xludf.DUMMYFUNCTION("""COMPUTED_VALUE"""),45127.0)</f>
        <v>45127</v>
      </c>
      <c r="P13" s="83" t="str">
        <f>IFERROR(__xludf.DUMMYFUNCTION("""COMPUTED_VALUE"""),"Volcanic Ash eruption of Mount Etna")</f>
        <v>Volcanic Ash eruption of Mount Etna</v>
      </c>
      <c r="Q13" s="77" t="str">
        <f>IFERROR(__xludf.DUMMYFUNCTION("""COMPUTED_VALUE"""),"REJECT")</f>
        <v>REJECT</v>
      </c>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row>
    <row r="14">
      <c r="A14" s="93"/>
      <c r="B14" s="85"/>
      <c r="C14" s="86"/>
      <c r="D14" s="95">
        <f>IFERROR(__xludf.DUMMYFUNCTION("""COMPUTED_VALUE"""),46081.0)</f>
        <v>46081</v>
      </c>
      <c r="E14" s="96" t="str">
        <f>IFERROR(__xludf.DUMMYFUNCTION("""COMPUTED_VALUE"""),"Kuwait")</f>
        <v>Kuwait</v>
      </c>
      <c r="F14" s="96" t="str">
        <f>IFERROR(__xludf.DUMMYFUNCTION("""COMPUTED_VALUE"""),"Political instability ")</f>
        <v>Political instability </v>
      </c>
      <c r="G14" s="97" t="str">
        <f>IFERROR(__xludf.DUMMYFUNCTION("""COMPUTED_VALUE"""),"REJECT")</f>
        <v>REJECT</v>
      </c>
      <c r="H14" s="78" t="str">
        <f>IFERROR(__xludf.DUMMYFUNCTION("""COMPUTED_VALUE"""),"45509Bangladesh")</f>
        <v>45509Bangladesh</v>
      </c>
      <c r="I14" s="88" t="str">
        <f>IFERROR(__xludf.DUMMYFUNCTION("""COMPUTED_VALUE"""),"Bangladesh")</f>
        <v>Bangladesh</v>
      </c>
      <c r="J14" s="79">
        <f>IFERROR(__xludf.DUMMYFUNCTION("""COMPUTED_VALUE"""),45509.0)</f>
        <v>45509</v>
      </c>
      <c r="K14" s="94" t="str">
        <f>IFERROR(__xludf.DUMMYFUNCTION("""COMPUTED_VALUE"""),"Political instability")</f>
        <v>Political instability</v>
      </c>
      <c r="L14" s="77" t="str">
        <f>IFERROR(__xludf.DUMMYFUNCTION("""COMPUTED_VALUE"""),"REJECT")</f>
        <v>REJECT</v>
      </c>
      <c r="M14" s="78" t="str">
        <f>IFERROR(__xludf.DUMMYFUNCTION("""COMPUTED_VALUE"""),"45128CTA")</f>
        <v>45128CTA</v>
      </c>
      <c r="N14" s="81" t="str">
        <f>IFERROR(__xludf.DUMMYFUNCTION("""COMPUTED_VALUE"""),"CTA")</f>
        <v>CTA</v>
      </c>
      <c r="O14" s="82">
        <f>IFERROR(__xludf.DUMMYFUNCTION("""COMPUTED_VALUE"""),45128.0)</f>
        <v>45128</v>
      </c>
      <c r="P14" s="83" t="str">
        <f>IFERROR(__xludf.DUMMYFUNCTION("""COMPUTED_VALUE"""),"Volcanic Ash eruption of Mount Etna")</f>
        <v>Volcanic Ash eruption of Mount Etna</v>
      </c>
      <c r="Q14" s="77" t="str">
        <f>IFERROR(__xludf.DUMMYFUNCTION("""COMPUTED_VALUE"""),"REJECT")</f>
        <v>REJECT</v>
      </c>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row>
    <row r="15">
      <c r="A15" s="93"/>
      <c r="B15" s="85"/>
      <c r="C15" s="86"/>
      <c r="D15" s="95">
        <f>IFERROR(__xludf.DUMMYFUNCTION("""COMPUTED_VALUE"""),46081.0)</f>
        <v>46081</v>
      </c>
      <c r="E15" s="96" t="str">
        <f>IFERROR(__xludf.DUMMYFUNCTION("""COMPUTED_VALUE"""),"Jordan")</f>
        <v>Jordan</v>
      </c>
      <c r="F15" s="96" t="str">
        <f>IFERROR(__xludf.DUMMYFUNCTION("""COMPUTED_VALUE"""),"Political instability ")</f>
        <v>Political instability </v>
      </c>
      <c r="G15" s="97" t="str">
        <f>IFERROR(__xludf.DUMMYFUNCTION("""COMPUTED_VALUE"""),"REJECT")</f>
        <v>REJECT</v>
      </c>
      <c r="H15" s="78" t="str">
        <f>IFERROR(__xludf.DUMMYFUNCTION("""COMPUTED_VALUE"""),"45510Bangladesh")</f>
        <v>45510Bangladesh</v>
      </c>
      <c r="I15" s="88" t="str">
        <f>IFERROR(__xludf.DUMMYFUNCTION("""COMPUTED_VALUE"""),"Bangladesh")</f>
        <v>Bangladesh</v>
      </c>
      <c r="J15" s="79">
        <f>IFERROR(__xludf.DUMMYFUNCTION("""COMPUTED_VALUE"""),45510.0)</f>
        <v>45510</v>
      </c>
      <c r="K15" s="94" t="str">
        <f>IFERROR(__xludf.DUMMYFUNCTION("""COMPUTED_VALUE"""),"Political instability")</f>
        <v>Political instability</v>
      </c>
      <c r="L15" s="77" t="str">
        <f>IFERROR(__xludf.DUMMYFUNCTION("""COMPUTED_VALUE"""),"REJECT")</f>
        <v>REJECT</v>
      </c>
      <c r="M15" s="78" t="str">
        <f>IFERROR(__xludf.DUMMYFUNCTION("""COMPUTED_VALUE"""),"45129CTA")</f>
        <v>45129CTA</v>
      </c>
      <c r="N15" s="81" t="str">
        <f>IFERROR(__xludf.DUMMYFUNCTION("""COMPUTED_VALUE"""),"CTA")</f>
        <v>CTA</v>
      </c>
      <c r="O15" s="82">
        <f>IFERROR(__xludf.DUMMYFUNCTION("""COMPUTED_VALUE"""),45129.0)</f>
        <v>45129</v>
      </c>
      <c r="P15" s="83" t="str">
        <f>IFERROR(__xludf.DUMMYFUNCTION("""COMPUTED_VALUE"""),"Volcanic Ash eruption of Mount Etna")</f>
        <v>Volcanic Ash eruption of Mount Etna</v>
      </c>
      <c r="Q15" s="77" t="str">
        <f>IFERROR(__xludf.DUMMYFUNCTION("""COMPUTED_VALUE"""),"REJECT")</f>
        <v>REJECT</v>
      </c>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row>
    <row r="16">
      <c r="A16" s="93"/>
      <c r="B16" s="85"/>
      <c r="C16" s="86"/>
      <c r="D16" s="95">
        <f>IFERROR(__xludf.DUMMYFUNCTION("""COMPUTED_VALUE"""),46081.0)</f>
        <v>46081</v>
      </c>
      <c r="E16" s="85" t="str">
        <f>IFERROR(__xludf.DUMMYFUNCTION("""COMPUTED_VALUE"""),"Bahrain")</f>
        <v>Bahrain</v>
      </c>
      <c r="F16" s="85" t="str">
        <f>IFERROR(__xludf.DUMMYFUNCTION("""COMPUTED_VALUE"""),"Political instability ")</f>
        <v>Political instability </v>
      </c>
      <c r="G16" s="86" t="str">
        <f>IFERROR(__xludf.DUMMYFUNCTION("""COMPUTED_VALUE"""),"REJECT")</f>
        <v>REJECT</v>
      </c>
      <c r="H16" s="78" t="str">
        <f>IFERROR(__xludf.DUMMYFUNCTION("""COMPUTED_VALUE"""),"45511Bangladesh")</f>
        <v>45511Bangladesh</v>
      </c>
      <c r="I16" s="88" t="str">
        <f>IFERROR(__xludf.DUMMYFUNCTION("""COMPUTED_VALUE"""),"Bangladesh")</f>
        <v>Bangladesh</v>
      </c>
      <c r="J16" s="79">
        <f>IFERROR(__xludf.DUMMYFUNCTION("""COMPUTED_VALUE"""),45511.0)</f>
        <v>45511</v>
      </c>
      <c r="K16" s="94" t="str">
        <f>IFERROR(__xludf.DUMMYFUNCTION("""COMPUTED_VALUE"""),"Political instability")</f>
        <v>Political instability</v>
      </c>
      <c r="L16" s="77" t="str">
        <f>IFERROR(__xludf.DUMMYFUNCTION("""COMPUTED_VALUE"""),"REJECT")</f>
        <v>REJECT</v>
      </c>
      <c r="M16" s="78" t="str">
        <f>IFERROR(__xludf.DUMMYFUNCTION("""COMPUTED_VALUE"""),"45130CTA")</f>
        <v>45130CTA</v>
      </c>
      <c r="N16" s="81" t="str">
        <f>IFERROR(__xludf.DUMMYFUNCTION("""COMPUTED_VALUE"""),"CTA")</f>
        <v>CTA</v>
      </c>
      <c r="O16" s="82">
        <f>IFERROR(__xludf.DUMMYFUNCTION("""COMPUTED_VALUE"""),45130.0)</f>
        <v>45130</v>
      </c>
      <c r="P16" s="83" t="str">
        <f>IFERROR(__xludf.DUMMYFUNCTION("""COMPUTED_VALUE"""),"Volcanic Ash eruption of Mount Etna")</f>
        <v>Volcanic Ash eruption of Mount Etna</v>
      </c>
      <c r="Q16" s="77" t="str">
        <f>IFERROR(__xludf.DUMMYFUNCTION("""COMPUTED_VALUE"""),"REJECT")</f>
        <v>REJECT</v>
      </c>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row>
    <row r="17">
      <c r="A17" s="93"/>
      <c r="B17" s="85"/>
      <c r="C17" s="86"/>
      <c r="D17" s="95">
        <f>IFERROR(__xludf.DUMMYFUNCTION("""COMPUTED_VALUE"""),46081.0)</f>
        <v>46081</v>
      </c>
      <c r="E17" s="85" t="str">
        <f>IFERROR(__xludf.DUMMYFUNCTION("""COMPUTED_VALUE"""),"Iran")</f>
        <v>Iran</v>
      </c>
      <c r="F17" s="85" t="str">
        <f>IFERROR(__xludf.DUMMYFUNCTION("""COMPUTED_VALUE"""),"Political instability ")</f>
        <v>Political instability </v>
      </c>
      <c r="G17" s="86" t="str">
        <f>IFERROR(__xludf.DUMMYFUNCTION("""COMPUTED_VALUE"""),"REJECT")</f>
        <v>REJECT</v>
      </c>
      <c r="H17" s="78" t="str">
        <f>IFERROR(__xludf.DUMMYFUNCTION("""COMPUTED_VALUE"""),"45512Bangladesh")</f>
        <v>45512Bangladesh</v>
      </c>
      <c r="I17" s="88" t="str">
        <f>IFERROR(__xludf.DUMMYFUNCTION("""COMPUTED_VALUE"""),"Bangladesh")</f>
        <v>Bangladesh</v>
      </c>
      <c r="J17" s="79">
        <f>IFERROR(__xludf.DUMMYFUNCTION("""COMPUTED_VALUE"""),45512.0)</f>
        <v>45512</v>
      </c>
      <c r="K17" s="94" t="str">
        <f>IFERROR(__xludf.DUMMYFUNCTION("""COMPUTED_VALUE"""),"Political instability")</f>
        <v>Political instability</v>
      </c>
      <c r="L17" s="98" t="str">
        <f>IFERROR(__xludf.DUMMYFUNCTION("""COMPUTED_VALUE"""),"REJECT")</f>
        <v>REJECT</v>
      </c>
      <c r="M17" s="78" t="str">
        <f>IFERROR(__xludf.DUMMYFUNCTION("""COMPUTED_VALUE"""),"45131CTA")</f>
        <v>45131CTA</v>
      </c>
      <c r="N17" s="81" t="str">
        <f>IFERROR(__xludf.DUMMYFUNCTION("""COMPUTED_VALUE"""),"CTA")</f>
        <v>CTA</v>
      </c>
      <c r="O17" s="82">
        <f>IFERROR(__xludf.DUMMYFUNCTION("""COMPUTED_VALUE"""),45131.0)</f>
        <v>45131</v>
      </c>
      <c r="P17" s="83" t="str">
        <f>IFERROR(__xludf.DUMMYFUNCTION("""COMPUTED_VALUE"""),"Volcanic Ash eruption of Mount Etna")</f>
        <v>Volcanic Ash eruption of Mount Etna</v>
      </c>
      <c r="Q17" s="77" t="str">
        <f>IFERROR(__xludf.DUMMYFUNCTION("""COMPUTED_VALUE"""),"REJECT")</f>
        <v>REJECT</v>
      </c>
      <c r="R17" s="66"/>
      <c r="S17" s="66"/>
      <c r="T17" s="66"/>
      <c r="U17" s="66"/>
      <c r="V17" s="66"/>
      <c r="W17" s="66"/>
      <c r="X17" s="66"/>
      <c r="Y17" s="66"/>
      <c r="Z17" s="66"/>
      <c r="AA17" s="66"/>
      <c r="AB17" s="66"/>
      <c r="AC17" s="66"/>
      <c r="AD17" s="66"/>
      <c r="AE17" s="66"/>
      <c r="AF17" s="66"/>
      <c r="AG17" s="66"/>
      <c r="AH17" s="66"/>
      <c r="AI17" s="66"/>
      <c r="AJ17" s="66"/>
      <c r="AK17" s="66"/>
      <c r="AL17" s="66"/>
      <c r="AM17" s="66"/>
      <c r="AN17" s="66"/>
      <c r="AO17" s="66"/>
    </row>
    <row r="18">
      <c r="A18" s="93"/>
      <c r="B18" s="85"/>
      <c r="C18" s="86"/>
      <c r="D18" s="95">
        <f>IFERROR(__xludf.DUMMYFUNCTION("""COMPUTED_VALUE"""),46081.0)</f>
        <v>46081</v>
      </c>
      <c r="E18" s="85" t="str">
        <f>IFERROR(__xludf.DUMMYFUNCTION("""COMPUTED_VALUE"""),"Saudi Arabia")</f>
        <v>Saudi Arabia</v>
      </c>
      <c r="F18" s="85" t="str">
        <f>IFERROR(__xludf.DUMMYFUNCTION("""COMPUTED_VALUE"""),"Political instability ")</f>
        <v>Political instability </v>
      </c>
      <c r="G18" s="86" t="str">
        <f>IFERROR(__xludf.DUMMYFUNCTION("""COMPUTED_VALUE"""),"REJECT")</f>
        <v>REJECT</v>
      </c>
      <c r="H18" s="78" t="str">
        <f>IFERROR(__xludf.DUMMYFUNCTION("""COMPUTED_VALUE"""),"45513Bangladesh")</f>
        <v>45513Bangladesh</v>
      </c>
      <c r="I18" s="88" t="str">
        <f>IFERROR(__xludf.DUMMYFUNCTION("""COMPUTED_VALUE"""),"Bangladesh")</f>
        <v>Bangladesh</v>
      </c>
      <c r="J18" s="79">
        <f>IFERROR(__xludf.DUMMYFUNCTION("""COMPUTED_VALUE"""),45513.0)</f>
        <v>45513</v>
      </c>
      <c r="K18" s="94" t="str">
        <f>IFERROR(__xludf.DUMMYFUNCTION("""COMPUTED_VALUE"""),"Political instability")</f>
        <v>Political instability</v>
      </c>
      <c r="L18" s="98" t="str">
        <f>IFERROR(__xludf.DUMMYFUNCTION("""COMPUTED_VALUE"""),"REJECT")</f>
        <v>REJECT</v>
      </c>
      <c r="M18" s="78" t="str">
        <f>IFERROR(__xludf.DUMMYFUNCTION("""COMPUTED_VALUE"""),"45132CTA")</f>
        <v>45132CTA</v>
      </c>
      <c r="N18" s="81" t="str">
        <f>IFERROR(__xludf.DUMMYFUNCTION("""COMPUTED_VALUE"""),"CTA")</f>
        <v>CTA</v>
      </c>
      <c r="O18" s="82">
        <f>IFERROR(__xludf.DUMMYFUNCTION("""COMPUTED_VALUE"""),45132.0)</f>
        <v>45132</v>
      </c>
      <c r="P18" s="83" t="str">
        <f>IFERROR(__xludf.DUMMYFUNCTION("""COMPUTED_VALUE"""),"Volcanic Ash eruption of Mount Etna")</f>
        <v>Volcanic Ash eruption of Mount Etna</v>
      </c>
      <c r="Q18" s="77" t="str">
        <f>IFERROR(__xludf.DUMMYFUNCTION("""COMPUTED_VALUE"""),"REJECT")</f>
        <v>REJECT</v>
      </c>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row>
    <row r="19">
      <c r="A19" s="93"/>
      <c r="B19" s="85"/>
      <c r="C19" s="86"/>
      <c r="D19" s="95"/>
      <c r="E19" s="85"/>
      <c r="F19" s="85"/>
      <c r="G19" s="86"/>
      <c r="H19" s="78" t="str">
        <f>IFERROR(__xludf.DUMMYFUNCTION("""COMPUTED_VALUE"""),"45821Jordan")</f>
        <v>45821Jordan</v>
      </c>
      <c r="I19" s="88" t="str">
        <f>IFERROR(__xludf.DUMMYFUNCTION("""COMPUTED_VALUE"""),"Jordan")</f>
        <v>Jordan</v>
      </c>
      <c r="J19" s="79">
        <f>IFERROR(__xludf.DUMMYFUNCTION("""COMPUTED_VALUE"""),45821.0)</f>
        <v>45821</v>
      </c>
      <c r="K19" s="99" t="str">
        <f>IFERROR(__xludf.DUMMYFUNCTION("""COMPUTED_VALUE"""),"Political instability")</f>
        <v>Political instability</v>
      </c>
      <c r="L19" s="77" t="str">
        <f>IFERROR(__xludf.DUMMYFUNCTION("""COMPUTED_VALUE"""),"REJECT")</f>
        <v>REJECT</v>
      </c>
      <c r="M19" s="78" t="str">
        <f>IFERROR(__xludf.DUMMYFUNCTION("""COMPUTED_VALUE"""),"45133CTA")</f>
        <v>45133CTA</v>
      </c>
      <c r="N19" s="81" t="str">
        <f>IFERROR(__xludf.DUMMYFUNCTION("""COMPUTED_VALUE"""),"CTA")</f>
        <v>CTA</v>
      </c>
      <c r="O19" s="82">
        <f>IFERROR(__xludf.DUMMYFUNCTION("""COMPUTED_VALUE"""),45133.0)</f>
        <v>45133</v>
      </c>
      <c r="P19" s="83" t="str">
        <f>IFERROR(__xludf.DUMMYFUNCTION("""COMPUTED_VALUE"""),"Volcanic Ash eruption of Mount Etna")</f>
        <v>Volcanic Ash eruption of Mount Etna</v>
      </c>
      <c r="Q19" s="77" t="str">
        <f>IFERROR(__xludf.DUMMYFUNCTION("""COMPUTED_VALUE"""),"REJECT")</f>
        <v>REJECT</v>
      </c>
      <c r="R19" s="66"/>
      <c r="S19" s="66"/>
      <c r="T19" s="66"/>
      <c r="U19" s="66"/>
      <c r="V19" s="66"/>
      <c r="W19" s="66"/>
      <c r="X19" s="66"/>
      <c r="Y19" s="66"/>
      <c r="Z19" s="66"/>
      <c r="AA19" s="66"/>
      <c r="AB19" s="66"/>
      <c r="AC19" s="66"/>
      <c r="AD19" s="66"/>
      <c r="AE19" s="66"/>
      <c r="AF19" s="66"/>
      <c r="AG19" s="66"/>
      <c r="AH19" s="66"/>
      <c r="AI19" s="66"/>
      <c r="AJ19" s="66"/>
      <c r="AK19" s="66"/>
      <c r="AL19" s="66"/>
      <c r="AM19" s="66"/>
      <c r="AN19" s="66"/>
      <c r="AO19" s="66"/>
    </row>
    <row r="20">
      <c r="A20" s="93"/>
      <c r="B20" s="85"/>
      <c r="C20" s="86"/>
      <c r="D20" s="95"/>
      <c r="E20" s="85"/>
      <c r="F20" s="85"/>
      <c r="G20" s="86"/>
      <c r="H20" s="78" t="str">
        <f>IFERROR(__xludf.DUMMYFUNCTION("""COMPUTED_VALUE"""),"45822Jordan")</f>
        <v>45822Jordan</v>
      </c>
      <c r="I20" s="88" t="str">
        <f>IFERROR(__xludf.DUMMYFUNCTION("""COMPUTED_VALUE"""),"Jordan")</f>
        <v>Jordan</v>
      </c>
      <c r="J20" s="79">
        <f>IFERROR(__xludf.DUMMYFUNCTION("""COMPUTED_VALUE"""),45822.0)</f>
        <v>45822</v>
      </c>
      <c r="K20" s="99" t="str">
        <f>IFERROR(__xludf.DUMMYFUNCTION("""COMPUTED_VALUE"""),"Political instability")</f>
        <v>Political instability</v>
      </c>
      <c r="L20" s="77" t="str">
        <f>IFERROR(__xludf.DUMMYFUNCTION("""COMPUTED_VALUE"""),"REJECT")</f>
        <v>REJECT</v>
      </c>
      <c r="M20" s="78" t="str">
        <f>IFERROR(__xludf.DUMMYFUNCTION("""COMPUTED_VALUE"""),"45134CTA")</f>
        <v>45134CTA</v>
      </c>
      <c r="N20" s="81" t="str">
        <f>IFERROR(__xludf.DUMMYFUNCTION("""COMPUTED_VALUE"""),"CTA")</f>
        <v>CTA</v>
      </c>
      <c r="O20" s="82">
        <f>IFERROR(__xludf.DUMMYFUNCTION("""COMPUTED_VALUE"""),45134.0)</f>
        <v>45134</v>
      </c>
      <c r="P20" s="83" t="str">
        <f>IFERROR(__xludf.DUMMYFUNCTION("""COMPUTED_VALUE"""),"Volcanic Ash eruption of Mount Etna")</f>
        <v>Volcanic Ash eruption of Mount Etna</v>
      </c>
      <c r="Q20" s="77" t="str">
        <f>IFERROR(__xludf.DUMMYFUNCTION("""COMPUTED_VALUE"""),"REJECT")</f>
        <v>REJECT</v>
      </c>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row>
    <row r="21">
      <c r="A21" s="93"/>
      <c r="B21" s="85"/>
      <c r="C21" s="86"/>
      <c r="D21" s="95"/>
      <c r="E21" s="85"/>
      <c r="F21" s="85"/>
      <c r="G21" s="86"/>
      <c r="H21" s="78" t="str">
        <f>IFERROR(__xludf.DUMMYFUNCTION("""COMPUTED_VALUE"""),"45823Jordan")</f>
        <v>45823Jordan</v>
      </c>
      <c r="I21" s="88" t="str">
        <f>IFERROR(__xludf.DUMMYFUNCTION("""COMPUTED_VALUE"""),"Jordan")</f>
        <v>Jordan</v>
      </c>
      <c r="J21" s="79">
        <f>IFERROR(__xludf.DUMMYFUNCTION("""COMPUTED_VALUE"""),45823.0)</f>
        <v>45823</v>
      </c>
      <c r="K21" s="99" t="str">
        <f>IFERROR(__xludf.DUMMYFUNCTION("""COMPUTED_VALUE"""),"Political instability")</f>
        <v>Political instability</v>
      </c>
      <c r="L21" s="77" t="str">
        <f>IFERROR(__xludf.DUMMYFUNCTION("""COMPUTED_VALUE"""),"REJECT")</f>
        <v>REJECT</v>
      </c>
      <c r="M21" s="78" t="str">
        <f>IFERROR(__xludf.DUMMYFUNCTION("""COMPUTED_VALUE"""),"45135CTA")</f>
        <v>45135CTA</v>
      </c>
      <c r="N21" s="81" t="str">
        <f>IFERROR(__xludf.DUMMYFUNCTION("""COMPUTED_VALUE"""),"CTA")</f>
        <v>CTA</v>
      </c>
      <c r="O21" s="82">
        <f>IFERROR(__xludf.DUMMYFUNCTION("""COMPUTED_VALUE"""),45135.0)</f>
        <v>45135</v>
      </c>
      <c r="P21" s="83" t="str">
        <f>IFERROR(__xludf.DUMMYFUNCTION("""COMPUTED_VALUE"""),"Volcanic Ash eruption of Mount Etna")</f>
        <v>Volcanic Ash eruption of Mount Etna</v>
      </c>
      <c r="Q21" s="77" t="str">
        <f>IFERROR(__xludf.DUMMYFUNCTION("""COMPUTED_VALUE"""),"REJECT")</f>
        <v>REJECT</v>
      </c>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row>
    <row r="22">
      <c r="A22" s="93"/>
      <c r="B22" s="85"/>
      <c r="C22" s="86"/>
      <c r="D22" s="95"/>
      <c r="E22" s="85"/>
      <c r="F22" s="85"/>
      <c r="G22" s="86"/>
      <c r="H22" s="78" t="str">
        <f>IFERROR(__xludf.DUMMYFUNCTION("""COMPUTED_VALUE"""),"45824Jordan")</f>
        <v>45824Jordan</v>
      </c>
      <c r="I22" s="88" t="str">
        <f>IFERROR(__xludf.DUMMYFUNCTION("""COMPUTED_VALUE"""),"Jordan")</f>
        <v>Jordan</v>
      </c>
      <c r="J22" s="79">
        <f>IFERROR(__xludf.DUMMYFUNCTION("""COMPUTED_VALUE"""),45824.0)</f>
        <v>45824</v>
      </c>
      <c r="K22" s="99" t="str">
        <f>IFERROR(__xludf.DUMMYFUNCTION("""COMPUTED_VALUE"""),"Political instability")</f>
        <v>Political instability</v>
      </c>
      <c r="L22" s="100" t="str">
        <f>IFERROR(__xludf.DUMMYFUNCTION("""COMPUTED_VALUE"""),"REJECT")</f>
        <v>REJECT</v>
      </c>
      <c r="M22" s="78" t="str">
        <f>IFERROR(__xludf.DUMMYFUNCTION("""COMPUTED_VALUE"""),"45136CTA")</f>
        <v>45136CTA</v>
      </c>
      <c r="N22" s="81" t="str">
        <f>IFERROR(__xludf.DUMMYFUNCTION("""COMPUTED_VALUE"""),"CTA")</f>
        <v>CTA</v>
      </c>
      <c r="O22" s="82">
        <f>IFERROR(__xludf.DUMMYFUNCTION("""COMPUTED_VALUE"""),45136.0)</f>
        <v>45136</v>
      </c>
      <c r="P22" s="83" t="str">
        <f>IFERROR(__xludf.DUMMYFUNCTION("""COMPUTED_VALUE"""),"Volcanic Ash eruption of Mount Etna")</f>
        <v>Volcanic Ash eruption of Mount Etna</v>
      </c>
      <c r="Q22" s="77" t="str">
        <f>IFERROR(__xludf.DUMMYFUNCTION("""COMPUTED_VALUE"""),"REJECT")</f>
        <v>REJECT</v>
      </c>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row>
    <row r="23">
      <c r="A23" s="93"/>
      <c r="B23" s="85"/>
      <c r="C23" s="86"/>
      <c r="D23" s="93"/>
      <c r="E23" s="85"/>
      <c r="F23" s="85"/>
      <c r="G23" s="86"/>
      <c r="H23" s="78" t="str">
        <f>IFERROR(__xludf.DUMMYFUNCTION("""COMPUTED_VALUE"""),"45825Jordan")</f>
        <v>45825Jordan</v>
      </c>
      <c r="I23" s="88" t="str">
        <f>IFERROR(__xludf.DUMMYFUNCTION("""COMPUTED_VALUE"""),"Jordan")</f>
        <v>Jordan</v>
      </c>
      <c r="J23" s="79">
        <f>IFERROR(__xludf.DUMMYFUNCTION("""COMPUTED_VALUE"""),45825.0)</f>
        <v>45825</v>
      </c>
      <c r="K23" s="99" t="str">
        <f>IFERROR(__xludf.DUMMYFUNCTION("""COMPUTED_VALUE"""),"Political instability")</f>
        <v>Political instability</v>
      </c>
      <c r="L23" s="100" t="str">
        <f>IFERROR(__xludf.DUMMYFUNCTION("""COMPUTED_VALUE"""),"REJECT")</f>
        <v>REJECT</v>
      </c>
      <c r="M23" s="78" t="str">
        <f>IFERROR(__xludf.DUMMYFUNCTION("""COMPUTED_VALUE"""),"45137CTA")</f>
        <v>45137CTA</v>
      </c>
      <c r="N23" s="81" t="str">
        <f>IFERROR(__xludf.DUMMYFUNCTION("""COMPUTED_VALUE"""),"CTA")</f>
        <v>CTA</v>
      </c>
      <c r="O23" s="82">
        <f>IFERROR(__xludf.DUMMYFUNCTION("""COMPUTED_VALUE"""),45137.0)</f>
        <v>45137</v>
      </c>
      <c r="P23" s="83" t="str">
        <f>IFERROR(__xludf.DUMMYFUNCTION("""COMPUTED_VALUE"""),"Volcanic Ash eruption of Mount Etna")</f>
        <v>Volcanic Ash eruption of Mount Etna</v>
      </c>
      <c r="Q23" s="77" t="str">
        <f>IFERROR(__xludf.DUMMYFUNCTION("""COMPUTED_VALUE"""),"REJECT")</f>
        <v>REJECT</v>
      </c>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row>
    <row r="24">
      <c r="A24" s="93"/>
      <c r="B24" s="85"/>
      <c r="C24" s="86"/>
      <c r="D24" s="93"/>
      <c r="E24" s="85"/>
      <c r="F24" s="85"/>
      <c r="G24" s="86"/>
      <c r="H24" s="78" t="str">
        <f>IFERROR(__xludf.DUMMYFUNCTION("""COMPUTED_VALUE"""),"45826Jordan")</f>
        <v>45826Jordan</v>
      </c>
      <c r="I24" s="88" t="str">
        <f>IFERROR(__xludf.DUMMYFUNCTION("""COMPUTED_VALUE"""),"Jordan")</f>
        <v>Jordan</v>
      </c>
      <c r="J24" s="79">
        <f>IFERROR(__xludf.DUMMYFUNCTION("""COMPUTED_VALUE"""),45826.0)</f>
        <v>45826</v>
      </c>
      <c r="K24" s="99" t="str">
        <f>IFERROR(__xludf.DUMMYFUNCTION("""COMPUTED_VALUE"""),"Political instability")</f>
        <v>Political instability</v>
      </c>
      <c r="L24" s="100" t="str">
        <f>IFERROR(__xludf.DUMMYFUNCTION("""COMPUTED_VALUE"""),"REJECT")</f>
        <v>REJECT</v>
      </c>
      <c r="M24" s="78" t="str">
        <f>IFERROR(__xludf.DUMMYFUNCTION("""COMPUTED_VALUE"""),"45138CTA")</f>
        <v>45138CTA</v>
      </c>
      <c r="N24" s="81" t="str">
        <f>IFERROR(__xludf.DUMMYFUNCTION("""COMPUTED_VALUE"""),"CTA")</f>
        <v>CTA</v>
      </c>
      <c r="O24" s="82">
        <f>IFERROR(__xludf.DUMMYFUNCTION("""COMPUTED_VALUE"""),45138.0)</f>
        <v>45138</v>
      </c>
      <c r="P24" s="83" t="str">
        <f>IFERROR(__xludf.DUMMYFUNCTION("""COMPUTED_VALUE"""),"Volcanic Ash eruption of Mount Etna")</f>
        <v>Volcanic Ash eruption of Mount Etna</v>
      </c>
      <c r="Q24" s="77" t="str">
        <f>IFERROR(__xludf.DUMMYFUNCTION("""COMPUTED_VALUE"""),"REJECT")</f>
        <v>REJECT</v>
      </c>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row>
    <row r="25">
      <c r="A25" s="93"/>
      <c r="B25" s="85"/>
      <c r="C25" s="86"/>
      <c r="D25" s="93"/>
      <c r="E25" s="85"/>
      <c r="F25" s="85"/>
      <c r="G25" s="86"/>
      <c r="H25" s="78" t="str">
        <f>IFERROR(__xludf.DUMMYFUNCTION("""COMPUTED_VALUE"""),"45827Jordan")</f>
        <v>45827Jordan</v>
      </c>
      <c r="I25" s="88" t="str">
        <f>IFERROR(__xludf.DUMMYFUNCTION("""COMPUTED_VALUE"""),"Jordan")</f>
        <v>Jordan</v>
      </c>
      <c r="J25" s="79">
        <f>IFERROR(__xludf.DUMMYFUNCTION("""COMPUTED_VALUE"""),45827.0)</f>
        <v>45827</v>
      </c>
      <c r="K25" s="99" t="str">
        <f>IFERROR(__xludf.DUMMYFUNCTION("""COMPUTED_VALUE"""),"Political instability")</f>
        <v>Political instability</v>
      </c>
      <c r="L25" s="100" t="str">
        <f>IFERROR(__xludf.DUMMYFUNCTION("""COMPUTED_VALUE"""),"REJECT")</f>
        <v>REJECT</v>
      </c>
      <c r="M25" s="78" t="str">
        <f>IFERROR(__xludf.DUMMYFUNCTION("""COMPUTED_VALUE"""),"45139CTA")</f>
        <v>45139CTA</v>
      </c>
      <c r="N25" s="81" t="str">
        <f>IFERROR(__xludf.DUMMYFUNCTION("""COMPUTED_VALUE"""),"CTA")</f>
        <v>CTA</v>
      </c>
      <c r="O25" s="82">
        <f>IFERROR(__xludf.DUMMYFUNCTION("""COMPUTED_VALUE"""),45139.0)</f>
        <v>45139</v>
      </c>
      <c r="P25" s="83" t="str">
        <f>IFERROR(__xludf.DUMMYFUNCTION("""COMPUTED_VALUE"""),"Volcanic Ash eruption of Mount Etna")</f>
        <v>Volcanic Ash eruption of Mount Etna</v>
      </c>
      <c r="Q25" s="77" t="str">
        <f>IFERROR(__xludf.DUMMYFUNCTION("""COMPUTED_VALUE"""),"REJECT")</f>
        <v>REJECT</v>
      </c>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row>
    <row r="26">
      <c r="A26" s="93"/>
      <c r="B26" s="85"/>
      <c r="C26" s="86"/>
      <c r="D26" s="93"/>
      <c r="E26" s="85"/>
      <c r="F26" s="85"/>
      <c r="G26" s="86"/>
      <c r="H26" s="78" t="str">
        <f>IFERROR(__xludf.DUMMYFUNCTION("""COMPUTED_VALUE"""),"45828Jordan")</f>
        <v>45828Jordan</v>
      </c>
      <c r="I26" s="88" t="str">
        <f>IFERROR(__xludf.DUMMYFUNCTION("""COMPUTED_VALUE"""),"Jordan")</f>
        <v>Jordan</v>
      </c>
      <c r="J26" s="79">
        <f>IFERROR(__xludf.DUMMYFUNCTION("""COMPUTED_VALUE"""),45828.0)</f>
        <v>45828</v>
      </c>
      <c r="K26" s="99" t="str">
        <f>IFERROR(__xludf.DUMMYFUNCTION("""COMPUTED_VALUE"""),"Political instability")</f>
        <v>Political instability</v>
      </c>
      <c r="L26" s="100" t="str">
        <f>IFERROR(__xludf.DUMMYFUNCTION("""COMPUTED_VALUE"""),"REJECT")</f>
        <v>REJECT</v>
      </c>
      <c r="M26" s="78" t="str">
        <f>IFERROR(__xludf.DUMMYFUNCTION("""COMPUTED_VALUE"""),"45140CTA")</f>
        <v>45140CTA</v>
      </c>
      <c r="N26" s="81" t="str">
        <f>IFERROR(__xludf.DUMMYFUNCTION("""COMPUTED_VALUE"""),"CTA")</f>
        <v>CTA</v>
      </c>
      <c r="O26" s="82">
        <f>IFERROR(__xludf.DUMMYFUNCTION("""COMPUTED_VALUE"""),45140.0)</f>
        <v>45140</v>
      </c>
      <c r="P26" s="83" t="str">
        <f>IFERROR(__xludf.DUMMYFUNCTION("""COMPUTED_VALUE"""),"Volcanic Ash eruption of Mount Etna")</f>
        <v>Volcanic Ash eruption of Mount Etna</v>
      </c>
      <c r="Q26" s="77" t="str">
        <f>IFERROR(__xludf.DUMMYFUNCTION("""COMPUTED_VALUE"""),"REJECT")</f>
        <v>REJECT</v>
      </c>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row>
    <row r="27">
      <c r="A27" s="93"/>
      <c r="B27" s="85"/>
      <c r="C27" s="86"/>
      <c r="D27" s="93"/>
      <c r="E27" s="85"/>
      <c r="F27" s="85"/>
      <c r="G27" s="86"/>
      <c r="H27" s="78" t="str">
        <f>IFERROR(__xludf.DUMMYFUNCTION("""COMPUTED_VALUE"""),"45829Jordan")</f>
        <v>45829Jordan</v>
      </c>
      <c r="I27" s="85" t="str">
        <f>IFERROR(__xludf.DUMMYFUNCTION("""COMPUTED_VALUE"""),"Jordan")</f>
        <v>Jordan</v>
      </c>
      <c r="J27" s="101">
        <f>IFERROR(__xludf.DUMMYFUNCTION("""COMPUTED_VALUE"""),45829.0)</f>
        <v>45829</v>
      </c>
      <c r="K27" s="85" t="str">
        <f>IFERROR(__xludf.DUMMYFUNCTION("""COMPUTED_VALUE"""),"Political instability")</f>
        <v>Political instability</v>
      </c>
      <c r="L27" s="86" t="str">
        <f>IFERROR(__xludf.DUMMYFUNCTION("""COMPUTED_VALUE"""),"REJECT")</f>
        <v>REJECT</v>
      </c>
      <c r="M27" s="78" t="str">
        <f>IFERROR(__xludf.DUMMYFUNCTION("""COMPUTED_VALUE"""),"45141CTA")</f>
        <v>45141CTA</v>
      </c>
      <c r="N27" s="81" t="str">
        <f>IFERROR(__xludf.DUMMYFUNCTION("""COMPUTED_VALUE"""),"CTA")</f>
        <v>CTA</v>
      </c>
      <c r="O27" s="82">
        <f>IFERROR(__xludf.DUMMYFUNCTION("""COMPUTED_VALUE"""),45141.0)</f>
        <v>45141</v>
      </c>
      <c r="P27" s="83" t="str">
        <f>IFERROR(__xludf.DUMMYFUNCTION("""COMPUTED_VALUE"""),"Volcanic Ash eruption of Mount Etna")</f>
        <v>Volcanic Ash eruption of Mount Etna</v>
      </c>
      <c r="Q27" s="77" t="str">
        <f>IFERROR(__xludf.DUMMYFUNCTION("""COMPUTED_VALUE"""),"REJECT")</f>
        <v>REJECT</v>
      </c>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row>
    <row r="28">
      <c r="A28" s="93"/>
      <c r="B28" s="85"/>
      <c r="C28" s="86"/>
      <c r="D28" s="93"/>
      <c r="E28" s="85"/>
      <c r="F28" s="85"/>
      <c r="G28" s="86"/>
      <c r="H28" s="78" t="str">
        <f>IFERROR(__xludf.DUMMYFUNCTION("""COMPUTED_VALUE"""),"45830Jordan")</f>
        <v>45830Jordan</v>
      </c>
      <c r="I28" s="85" t="str">
        <f>IFERROR(__xludf.DUMMYFUNCTION("""COMPUTED_VALUE"""),"Jordan")</f>
        <v>Jordan</v>
      </c>
      <c r="J28" s="101">
        <f>IFERROR(__xludf.DUMMYFUNCTION("""COMPUTED_VALUE"""),45830.0)</f>
        <v>45830</v>
      </c>
      <c r="K28" s="85" t="str">
        <f>IFERROR(__xludf.DUMMYFUNCTION("""COMPUTED_VALUE"""),"Political instability")</f>
        <v>Political instability</v>
      </c>
      <c r="L28" s="86" t="str">
        <f>IFERROR(__xludf.DUMMYFUNCTION("""COMPUTED_VALUE"""),"REJECT")</f>
        <v>REJECT</v>
      </c>
      <c r="M28" s="78" t="str">
        <f>IFERROR(__xludf.DUMMYFUNCTION("""COMPUTED_VALUE"""),"45142CTA")</f>
        <v>45142CTA</v>
      </c>
      <c r="N28" s="81" t="str">
        <f>IFERROR(__xludf.DUMMYFUNCTION("""COMPUTED_VALUE"""),"CTA")</f>
        <v>CTA</v>
      </c>
      <c r="O28" s="82">
        <f>IFERROR(__xludf.DUMMYFUNCTION("""COMPUTED_VALUE"""),45142.0)</f>
        <v>45142</v>
      </c>
      <c r="P28" s="83" t="str">
        <f>IFERROR(__xludf.DUMMYFUNCTION("""COMPUTED_VALUE"""),"Volcanic Ash eruption of Mount Etna")</f>
        <v>Volcanic Ash eruption of Mount Etna</v>
      </c>
      <c r="Q28" s="77" t="str">
        <f>IFERROR(__xludf.DUMMYFUNCTION("""COMPUTED_VALUE"""),"REJECT")</f>
        <v>REJECT</v>
      </c>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row>
    <row r="29">
      <c r="A29" s="93"/>
      <c r="B29" s="85"/>
      <c r="C29" s="86"/>
      <c r="D29" s="93"/>
      <c r="E29" s="85"/>
      <c r="F29" s="85"/>
      <c r="G29" s="86"/>
      <c r="H29" s="78" t="str">
        <f>IFERROR(__xludf.DUMMYFUNCTION("""COMPUTED_VALUE"""),"45831Jordan")</f>
        <v>45831Jordan</v>
      </c>
      <c r="I29" s="85" t="str">
        <f>IFERROR(__xludf.DUMMYFUNCTION("""COMPUTED_VALUE"""),"Jordan")</f>
        <v>Jordan</v>
      </c>
      <c r="J29" s="101">
        <f>IFERROR(__xludf.DUMMYFUNCTION("""COMPUTED_VALUE"""),45831.0)</f>
        <v>45831</v>
      </c>
      <c r="K29" s="85" t="str">
        <f>IFERROR(__xludf.DUMMYFUNCTION("""COMPUTED_VALUE"""),"Political instability")</f>
        <v>Political instability</v>
      </c>
      <c r="L29" s="86" t="str">
        <f>IFERROR(__xludf.DUMMYFUNCTION("""COMPUTED_VALUE"""),"REJECT")</f>
        <v>REJECT</v>
      </c>
      <c r="M29" s="78" t="str">
        <f>IFERROR(__xludf.DUMMYFUNCTION("""COMPUTED_VALUE"""),"45143CTA")</f>
        <v>45143CTA</v>
      </c>
      <c r="N29" s="81" t="str">
        <f>IFERROR(__xludf.DUMMYFUNCTION("""COMPUTED_VALUE"""),"CTA")</f>
        <v>CTA</v>
      </c>
      <c r="O29" s="82">
        <f>IFERROR(__xludf.DUMMYFUNCTION("""COMPUTED_VALUE"""),45143.0)</f>
        <v>45143</v>
      </c>
      <c r="P29" s="83" t="str">
        <f>IFERROR(__xludf.DUMMYFUNCTION("""COMPUTED_VALUE"""),"Volcanic Ash eruption of Mount Etna")</f>
        <v>Volcanic Ash eruption of Mount Etna</v>
      </c>
      <c r="Q29" s="77" t="str">
        <f>IFERROR(__xludf.DUMMYFUNCTION("""COMPUTED_VALUE"""),"REJECT")</f>
        <v>REJECT</v>
      </c>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row>
    <row r="30">
      <c r="A30" s="93"/>
      <c r="B30" s="85"/>
      <c r="C30" s="86"/>
      <c r="D30" s="93"/>
      <c r="E30" s="85"/>
      <c r="F30" s="85"/>
      <c r="G30" s="86"/>
      <c r="H30" s="78" t="str">
        <f>IFERROR(__xludf.DUMMYFUNCTION("""COMPUTED_VALUE"""),"45832Jordan")</f>
        <v>45832Jordan</v>
      </c>
      <c r="I30" s="85" t="str">
        <f>IFERROR(__xludf.DUMMYFUNCTION("""COMPUTED_VALUE"""),"Jordan")</f>
        <v>Jordan</v>
      </c>
      <c r="J30" s="101">
        <f>IFERROR(__xludf.DUMMYFUNCTION("""COMPUTED_VALUE"""),45832.0)</f>
        <v>45832</v>
      </c>
      <c r="K30" s="85" t="str">
        <f>IFERROR(__xludf.DUMMYFUNCTION("""COMPUTED_VALUE"""),"Political instability")</f>
        <v>Political instability</v>
      </c>
      <c r="L30" s="86" t="str">
        <f>IFERROR(__xludf.DUMMYFUNCTION("""COMPUTED_VALUE"""),"REJECT")</f>
        <v>REJECT</v>
      </c>
      <c r="M30" s="78" t="str">
        <f>IFERROR(__xludf.DUMMYFUNCTION("""COMPUTED_VALUE"""),"45602HAV")</f>
        <v>45602HAV</v>
      </c>
      <c r="N30" s="81" t="str">
        <f>IFERROR(__xludf.DUMMYFUNCTION("""COMPUTED_VALUE"""),"HAV")</f>
        <v>HAV</v>
      </c>
      <c r="O30" s="82">
        <f>IFERROR(__xludf.DUMMYFUNCTION("""COMPUTED_VALUE"""),45602.0)</f>
        <v>45602</v>
      </c>
      <c r="P30" s="83" t="str">
        <f>IFERROR(__xludf.DUMMYFUNCTION("""COMPUTED_VALUE"""),"ATC")</f>
        <v>ATC</v>
      </c>
      <c r="Q30" s="77" t="str">
        <f>IFERROR(__xludf.DUMMYFUNCTION("""COMPUTED_VALUE"""),"REJECT")</f>
        <v>REJECT</v>
      </c>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row>
    <row r="31">
      <c r="A31" s="93"/>
      <c r="B31" s="85"/>
      <c r="C31" s="86"/>
      <c r="D31" s="93"/>
      <c r="E31" s="85"/>
      <c r="F31" s="85"/>
      <c r="G31" s="86"/>
      <c r="H31" s="78" t="str">
        <f>IFERROR(__xludf.DUMMYFUNCTION("""COMPUTED_VALUE"""),"45833Jordan")</f>
        <v>45833Jordan</v>
      </c>
      <c r="I31" s="85" t="str">
        <f>IFERROR(__xludf.DUMMYFUNCTION("""COMPUTED_VALUE"""),"Jordan")</f>
        <v>Jordan</v>
      </c>
      <c r="J31" s="101">
        <f>IFERROR(__xludf.DUMMYFUNCTION("""COMPUTED_VALUE"""),45833.0)</f>
        <v>45833</v>
      </c>
      <c r="K31" s="85" t="str">
        <f>IFERROR(__xludf.DUMMYFUNCTION("""COMPUTED_VALUE"""),"Political instability")</f>
        <v>Political instability</v>
      </c>
      <c r="L31" s="86" t="str">
        <f>IFERROR(__xludf.DUMMYFUNCTION("""COMPUTED_VALUE"""),"REJECT")</f>
        <v>REJECT</v>
      </c>
      <c r="M31" s="78" t="str">
        <f>IFERROR(__xludf.DUMMYFUNCTION("""COMPUTED_VALUE"""),"45660BER")</f>
        <v>45660BER</v>
      </c>
      <c r="N31" s="81" t="str">
        <f>IFERROR(__xludf.DUMMYFUNCTION("""COMPUTED_VALUE"""),"BER")</f>
        <v>BER</v>
      </c>
      <c r="O31" s="82">
        <f>IFERROR(__xludf.DUMMYFUNCTION("""COMPUTED_VALUE"""),45660.0)</f>
        <v>45660</v>
      </c>
      <c r="P31" s="83" t="str">
        <f>IFERROR(__xludf.DUMMYFUNCTION("""COMPUTED_VALUE"""),"Nationwide IT outage (Major German airports (BER - DUS - FRA - MUC-DTM-CGN) (except Leipzig and Dresden was not affected))")</f>
        <v>Nationwide IT outage (Major German airports (BER - DUS - FRA - MUC-DTM-CGN) (except Leipzig and Dresden was not affected))</v>
      </c>
      <c r="Q31" s="77" t="str">
        <f>IFERROR(__xludf.DUMMYFUNCTION("""COMPUTED_VALUE"""),"REJECT")</f>
        <v>REJECT</v>
      </c>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row>
    <row r="32">
      <c r="A32" s="93"/>
      <c r="B32" s="85"/>
      <c r="C32" s="86"/>
      <c r="D32" s="93"/>
      <c r="E32" s="85"/>
      <c r="F32" s="85"/>
      <c r="G32" s="86"/>
      <c r="H32" s="78" t="str">
        <f>IFERROR(__xludf.DUMMYFUNCTION("""COMPUTED_VALUE"""),"45831Qatar")</f>
        <v>45831Qatar</v>
      </c>
      <c r="I32" s="85" t="str">
        <f>IFERROR(__xludf.DUMMYFUNCTION("""COMPUTED_VALUE"""),"Qatar")</f>
        <v>Qatar</v>
      </c>
      <c r="J32" s="101">
        <f>IFERROR(__xludf.DUMMYFUNCTION("""COMPUTED_VALUE"""),45831.0)</f>
        <v>45831</v>
      </c>
      <c r="K32" s="85" t="str">
        <f>IFERROR(__xludf.DUMMYFUNCTION("""COMPUTED_VALUE"""),"Political instability")</f>
        <v>Political instability</v>
      </c>
      <c r="L32" s="86" t="str">
        <f>IFERROR(__xludf.DUMMYFUNCTION("""COMPUTED_VALUE"""),"REJECT")</f>
        <v>REJECT</v>
      </c>
      <c r="M32" s="78" t="str">
        <f>IFERROR(__xludf.DUMMYFUNCTION("""COMPUTED_VALUE"""),"45660DUS")</f>
        <v>45660DUS</v>
      </c>
      <c r="N32" s="81" t="str">
        <f>IFERROR(__xludf.DUMMYFUNCTION("""COMPUTED_VALUE"""),"DUS")</f>
        <v>DUS</v>
      </c>
      <c r="O32" s="82">
        <f>IFERROR(__xludf.DUMMYFUNCTION("""COMPUTED_VALUE"""),45660.0)</f>
        <v>45660</v>
      </c>
      <c r="P32" s="83" t="str">
        <f>IFERROR(__xludf.DUMMYFUNCTION("""COMPUTED_VALUE"""),"Nationwide IT outage (Major German airports (BER - DUS - FRA - MUC-DTM-CGN) (except Leipzig and Dresden was not affected))")</f>
        <v>Nationwide IT outage (Major German airports (BER - DUS - FRA - MUC-DTM-CGN) (except Leipzig and Dresden was not affected))</v>
      </c>
      <c r="Q32" s="77" t="str">
        <f>IFERROR(__xludf.DUMMYFUNCTION("""COMPUTED_VALUE"""),"REJECT")</f>
        <v>REJECT</v>
      </c>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row>
    <row r="33">
      <c r="A33" s="93"/>
      <c r="B33" s="85"/>
      <c r="C33" s="86"/>
      <c r="D33" s="93"/>
      <c r="E33" s="85"/>
      <c r="F33" s="85"/>
      <c r="G33" s="86"/>
      <c r="H33" s="78" t="str">
        <f>IFERROR(__xludf.DUMMYFUNCTION("""COMPUTED_VALUE"""),"45832Qatar")</f>
        <v>45832Qatar</v>
      </c>
      <c r="I33" s="85" t="str">
        <f>IFERROR(__xludf.DUMMYFUNCTION("""COMPUTED_VALUE"""),"Qatar")</f>
        <v>Qatar</v>
      </c>
      <c r="J33" s="101">
        <f>IFERROR(__xludf.DUMMYFUNCTION("""COMPUTED_VALUE"""),45832.0)</f>
        <v>45832</v>
      </c>
      <c r="K33" s="85" t="str">
        <f>IFERROR(__xludf.DUMMYFUNCTION("""COMPUTED_VALUE"""),"Political instability")</f>
        <v>Political instability</v>
      </c>
      <c r="L33" s="86" t="str">
        <f>IFERROR(__xludf.DUMMYFUNCTION("""COMPUTED_VALUE"""),"REJECT")</f>
        <v>REJECT</v>
      </c>
      <c r="M33" s="78" t="str">
        <f>IFERROR(__xludf.DUMMYFUNCTION("""COMPUTED_VALUE"""),"45660FRA")</f>
        <v>45660FRA</v>
      </c>
      <c r="N33" s="81" t="str">
        <f>IFERROR(__xludf.DUMMYFUNCTION("""COMPUTED_VALUE"""),"FRA")</f>
        <v>FRA</v>
      </c>
      <c r="O33" s="82">
        <f>IFERROR(__xludf.DUMMYFUNCTION("""COMPUTED_VALUE"""),45660.0)</f>
        <v>45660</v>
      </c>
      <c r="P33" s="83" t="str">
        <f>IFERROR(__xludf.DUMMYFUNCTION("""COMPUTED_VALUE"""),"Nationwide IT outage (Major German airports (BER - DUS - FRA - MUC-DTM-CGN) (except Leipzig and Dresden was not affected))")</f>
        <v>Nationwide IT outage (Major German airports (BER - DUS - FRA - MUC-DTM-CGN) (except Leipzig and Dresden was not affected))</v>
      </c>
      <c r="Q33" s="77" t="str">
        <f>IFERROR(__xludf.DUMMYFUNCTION("""COMPUTED_VALUE"""),"REJECT")</f>
        <v>REJECT</v>
      </c>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row>
    <row r="34">
      <c r="A34" s="93"/>
      <c r="B34" s="85"/>
      <c r="C34" s="86"/>
      <c r="D34" s="93"/>
      <c r="E34" s="85"/>
      <c r="F34" s="85"/>
      <c r="G34" s="86"/>
      <c r="H34" s="78" t="str">
        <f>IFERROR(__xludf.DUMMYFUNCTION("""COMPUTED_VALUE"""),"45833Qatar")</f>
        <v>45833Qatar</v>
      </c>
      <c r="I34" s="85" t="str">
        <f>IFERROR(__xludf.DUMMYFUNCTION("""COMPUTED_VALUE"""),"Qatar")</f>
        <v>Qatar</v>
      </c>
      <c r="J34" s="101">
        <f>IFERROR(__xludf.DUMMYFUNCTION("""COMPUTED_VALUE"""),45833.0)</f>
        <v>45833</v>
      </c>
      <c r="K34" s="85" t="str">
        <f>IFERROR(__xludf.DUMMYFUNCTION("""COMPUTED_VALUE"""),"Political instability")</f>
        <v>Political instability</v>
      </c>
      <c r="L34" s="86" t="str">
        <f>IFERROR(__xludf.DUMMYFUNCTION("""COMPUTED_VALUE"""),"REJECT")</f>
        <v>REJECT</v>
      </c>
      <c r="M34" s="78" t="str">
        <f>IFERROR(__xludf.DUMMYFUNCTION("""COMPUTED_VALUE"""),"45660MUC")</f>
        <v>45660MUC</v>
      </c>
      <c r="N34" s="81" t="str">
        <f>IFERROR(__xludf.DUMMYFUNCTION("""COMPUTED_VALUE"""),"MUC")</f>
        <v>MUC</v>
      </c>
      <c r="O34" s="82">
        <f>IFERROR(__xludf.DUMMYFUNCTION("""COMPUTED_VALUE"""),45660.0)</f>
        <v>45660</v>
      </c>
      <c r="P34" s="83" t="str">
        <f>IFERROR(__xludf.DUMMYFUNCTION("""COMPUTED_VALUE"""),"Nationwide IT outage (Major German airports (BER - DUS - FRA - MUC-DTM-CGN) (except Leipzig and Dresden was not affected))")</f>
        <v>Nationwide IT outage (Major German airports (BER - DUS - FRA - MUC-DTM-CGN) (except Leipzig and Dresden was not affected))</v>
      </c>
      <c r="Q34" s="77" t="str">
        <f>IFERROR(__xludf.DUMMYFUNCTION("""COMPUTED_VALUE"""),"REJECT")</f>
        <v>REJECT</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row>
    <row r="35">
      <c r="A35" s="93"/>
      <c r="B35" s="85"/>
      <c r="C35" s="86"/>
      <c r="D35" s="93"/>
      <c r="E35" s="85"/>
      <c r="F35" s="85"/>
      <c r="G35" s="86"/>
      <c r="H35" s="78" t="str">
        <f>IFERROR(__xludf.DUMMYFUNCTION("""COMPUTED_VALUE"""),"45831Kuwait")</f>
        <v>45831Kuwait</v>
      </c>
      <c r="I35" s="85" t="str">
        <f>IFERROR(__xludf.DUMMYFUNCTION("""COMPUTED_VALUE"""),"Kuwait")</f>
        <v>Kuwait</v>
      </c>
      <c r="J35" s="101">
        <f>IFERROR(__xludf.DUMMYFUNCTION("""COMPUTED_VALUE"""),45831.0)</f>
        <v>45831</v>
      </c>
      <c r="K35" s="85" t="str">
        <f>IFERROR(__xludf.DUMMYFUNCTION("""COMPUTED_VALUE"""),"Political instability")</f>
        <v>Political instability</v>
      </c>
      <c r="L35" s="86" t="str">
        <f>IFERROR(__xludf.DUMMYFUNCTION("""COMPUTED_VALUE"""),"REJECT")</f>
        <v>REJECT</v>
      </c>
      <c r="M35" s="78" t="str">
        <f>IFERROR(__xludf.DUMMYFUNCTION("""COMPUTED_VALUE"""),"45660DTM")</f>
        <v>45660DTM</v>
      </c>
      <c r="N35" s="81" t="str">
        <f>IFERROR(__xludf.DUMMYFUNCTION("""COMPUTED_VALUE"""),"DTM")</f>
        <v>DTM</v>
      </c>
      <c r="O35" s="82">
        <f>IFERROR(__xludf.DUMMYFUNCTION("""COMPUTED_VALUE"""),45660.0)</f>
        <v>45660</v>
      </c>
      <c r="P35" s="83" t="str">
        <f>IFERROR(__xludf.DUMMYFUNCTION("""COMPUTED_VALUE"""),"Nationwide IT outage (Major German airports (BER - DUS - FRA - MUC-DTM-CGN) (except Leipzig and Dresden was not affected))")</f>
        <v>Nationwide IT outage (Major German airports (BER - DUS - FRA - MUC-DTM-CGN) (except Leipzig and Dresden was not affected))</v>
      </c>
      <c r="Q35" s="77" t="str">
        <f>IFERROR(__xludf.DUMMYFUNCTION("""COMPUTED_VALUE"""),"REJECT")</f>
        <v>REJECT</v>
      </c>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row>
    <row r="36">
      <c r="A36" s="93"/>
      <c r="B36" s="85"/>
      <c r="C36" s="86"/>
      <c r="D36" s="93"/>
      <c r="E36" s="85"/>
      <c r="F36" s="85"/>
      <c r="G36" s="86"/>
      <c r="H36" s="78" t="str">
        <f>IFERROR(__xludf.DUMMYFUNCTION("""COMPUTED_VALUE"""),"45832Kuwait")</f>
        <v>45832Kuwait</v>
      </c>
      <c r="I36" s="85" t="str">
        <f>IFERROR(__xludf.DUMMYFUNCTION("""COMPUTED_VALUE"""),"Kuwait")</f>
        <v>Kuwait</v>
      </c>
      <c r="J36" s="101">
        <f>IFERROR(__xludf.DUMMYFUNCTION("""COMPUTED_VALUE"""),45832.0)</f>
        <v>45832</v>
      </c>
      <c r="K36" s="85" t="str">
        <f>IFERROR(__xludf.DUMMYFUNCTION("""COMPUTED_VALUE"""),"Political instability")</f>
        <v>Political instability</v>
      </c>
      <c r="L36" s="86" t="str">
        <f>IFERROR(__xludf.DUMMYFUNCTION("""COMPUTED_VALUE"""),"REJECT")</f>
        <v>REJECT</v>
      </c>
      <c r="M36" s="78" t="str">
        <f>IFERROR(__xludf.DUMMYFUNCTION("""COMPUTED_VALUE"""),"45660CGN")</f>
        <v>45660CGN</v>
      </c>
      <c r="N36" s="81" t="str">
        <f>IFERROR(__xludf.DUMMYFUNCTION("""COMPUTED_VALUE"""),"CGN")</f>
        <v>CGN</v>
      </c>
      <c r="O36" s="82">
        <f>IFERROR(__xludf.DUMMYFUNCTION("""COMPUTED_VALUE"""),45660.0)</f>
        <v>45660</v>
      </c>
      <c r="P36" s="83" t="str">
        <f>IFERROR(__xludf.DUMMYFUNCTION("""COMPUTED_VALUE"""),"Nationwide IT outage (Major German airports (BER - DUS - FRA - MUC-DTM-CGN) (except Leipzig and Dresden was not affected))")</f>
        <v>Nationwide IT outage (Major German airports (BER - DUS - FRA - MUC-DTM-CGN) (except Leipzig and Dresden was not affected))</v>
      </c>
      <c r="Q36" s="77" t="str">
        <f>IFERROR(__xludf.DUMMYFUNCTION("""COMPUTED_VALUE"""),"REJECT")</f>
        <v>REJECT</v>
      </c>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row>
    <row r="37">
      <c r="A37" s="93"/>
      <c r="B37" s="85"/>
      <c r="C37" s="86"/>
      <c r="D37" s="93"/>
      <c r="E37" s="85"/>
      <c r="F37" s="85"/>
      <c r="G37" s="86"/>
      <c r="H37" s="78" t="str">
        <f>IFERROR(__xludf.DUMMYFUNCTION("""COMPUTED_VALUE"""),"45831bahrain")</f>
        <v>45831bahrain</v>
      </c>
      <c r="I37" s="85" t="str">
        <f>IFERROR(__xludf.DUMMYFUNCTION("""COMPUTED_VALUE"""),"bahrain")</f>
        <v>bahrain</v>
      </c>
      <c r="J37" s="101">
        <f>IFERROR(__xludf.DUMMYFUNCTION("""COMPUTED_VALUE"""),45831.0)</f>
        <v>45831</v>
      </c>
      <c r="K37" s="85" t="str">
        <f>IFERROR(__xludf.DUMMYFUNCTION("""COMPUTED_VALUE"""),"Political instability")</f>
        <v>Political instability</v>
      </c>
      <c r="L37" s="86" t="str">
        <f>IFERROR(__xludf.DUMMYFUNCTION("""COMPUTED_VALUE"""),"REJECT")</f>
        <v>REJECT</v>
      </c>
      <c r="M37" s="78" t="str">
        <f>IFERROR(__xludf.DUMMYFUNCTION("""COMPUTED_VALUE"""),"45398DXB")</f>
        <v>45398DXB</v>
      </c>
      <c r="N37" s="81" t="str">
        <f>IFERROR(__xludf.DUMMYFUNCTION("""COMPUTED_VALUE"""),"DXB")</f>
        <v>DXB</v>
      </c>
      <c r="O37" s="82">
        <f>IFERROR(__xludf.DUMMYFUNCTION("""COMPUTED_VALUE"""),45398.0)</f>
        <v>45398</v>
      </c>
      <c r="P37" s="83" t="str">
        <f>IFERROR(__xludf.DUMMYFUNCTION("""COMPUTED_VALUE"""),"Heavy Rainfall")</f>
        <v>Heavy Rainfall</v>
      </c>
      <c r="Q37" s="77" t="str">
        <f>IFERROR(__xludf.DUMMYFUNCTION("""COMPUTED_VALUE"""),"REJECT")</f>
        <v>REJECT</v>
      </c>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row>
    <row r="38">
      <c r="A38" s="93"/>
      <c r="B38" s="85"/>
      <c r="C38" s="86"/>
      <c r="D38" s="93"/>
      <c r="E38" s="85"/>
      <c r="F38" s="85"/>
      <c r="G38" s="86"/>
      <c r="H38" s="78" t="str">
        <f>IFERROR(__xludf.DUMMYFUNCTION("""COMPUTED_VALUE"""),"45832bahrain")</f>
        <v>45832bahrain</v>
      </c>
      <c r="I38" s="85" t="str">
        <f>IFERROR(__xludf.DUMMYFUNCTION("""COMPUTED_VALUE"""),"bahrain")</f>
        <v>bahrain</v>
      </c>
      <c r="J38" s="101">
        <f>IFERROR(__xludf.DUMMYFUNCTION("""COMPUTED_VALUE"""),45832.0)</f>
        <v>45832</v>
      </c>
      <c r="K38" s="85" t="str">
        <f>IFERROR(__xludf.DUMMYFUNCTION("""COMPUTED_VALUE"""),"Political instability")</f>
        <v>Political instability</v>
      </c>
      <c r="L38" s="86" t="str">
        <f>IFERROR(__xludf.DUMMYFUNCTION("""COMPUTED_VALUE"""),"REJECT")</f>
        <v>REJECT</v>
      </c>
      <c r="M38" s="78" t="str">
        <f>IFERROR(__xludf.DUMMYFUNCTION("""COMPUTED_VALUE"""),"45398DWC")</f>
        <v>45398DWC</v>
      </c>
      <c r="N38" s="81" t="str">
        <f>IFERROR(__xludf.DUMMYFUNCTION("""COMPUTED_VALUE"""),"DWC")</f>
        <v>DWC</v>
      </c>
      <c r="O38" s="82">
        <f>IFERROR(__xludf.DUMMYFUNCTION("""COMPUTED_VALUE"""),45398.0)</f>
        <v>45398</v>
      </c>
      <c r="P38" s="83" t="str">
        <f>IFERROR(__xludf.DUMMYFUNCTION("""COMPUTED_VALUE"""),"Heavy Rainfall")</f>
        <v>Heavy Rainfall</v>
      </c>
      <c r="Q38" s="77" t="str">
        <f>IFERROR(__xludf.DUMMYFUNCTION("""COMPUTED_VALUE"""),"REJECT")</f>
        <v>REJECT</v>
      </c>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row>
    <row r="39">
      <c r="A39" s="93"/>
      <c r="B39" s="85"/>
      <c r="C39" s="86"/>
      <c r="D39" s="93"/>
      <c r="E39" s="85"/>
      <c r="F39" s="85"/>
      <c r="G39" s="86"/>
      <c r="H39" s="78" t="str">
        <f>IFERROR(__xludf.DUMMYFUNCTION("""COMPUTED_VALUE"""),"45831Oman")</f>
        <v>45831Oman</v>
      </c>
      <c r="I39" s="85" t="str">
        <f>IFERROR(__xludf.DUMMYFUNCTION("""COMPUTED_VALUE"""),"Oman")</f>
        <v>Oman</v>
      </c>
      <c r="J39" s="101">
        <f>IFERROR(__xludf.DUMMYFUNCTION("""COMPUTED_VALUE"""),45831.0)</f>
        <v>45831</v>
      </c>
      <c r="K39" s="85" t="str">
        <f>IFERROR(__xludf.DUMMYFUNCTION("""COMPUTED_VALUE"""),"Political instability")</f>
        <v>Political instability</v>
      </c>
      <c r="L39" s="86" t="str">
        <f>IFERROR(__xludf.DUMMYFUNCTION("""COMPUTED_VALUE"""),"REJECT")</f>
        <v>REJECT</v>
      </c>
      <c r="M39" s="78" t="str">
        <f>IFERROR(__xludf.DUMMYFUNCTION("""COMPUTED_VALUE"""),"45399DXB")</f>
        <v>45399DXB</v>
      </c>
      <c r="N39" s="81" t="str">
        <f>IFERROR(__xludf.DUMMYFUNCTION("""COMPUTED_VALUE"""),"DXB")</f>
        <v>DXB</v>
      </c>
      <c r="O39" s="82">
        <f>IFERROR(__xludf.DUMMYFUNCTION("""COMPUTED_VALUE"""),45399.0)</f>
        <v>45399</v>
      </c>
      <c r="P39" s="83" t="str">
        <f>IFERROR(__xludf.DUMMYFUNCTION("""COMPUTED_VALUE"""),"Heavy Rainfall")</f>
        <v>Heavy Rainfall</v>
      </c>
      <c r="Q39" s="77" t="str">
        <f>IFERROR(__xludf.DUMMYFUNCTION("""COMPUTED_VALUE"""),"REJECT")</f>
        <v>REJECT</v>
      </c>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row>
    <row r="40">
      <c r="A40" s="93"/>
      <c r="B40" s="85"/>
      <c r="C40" s="86"/>
      <c r="D40" s="93"/>
      <c r="E40" s="85"/>
      <c r="F40" s="85"/>
      <c r="G40" s="86"/>
      <c r="H40" s="78" t="str">
        <f>IFERROR(__xludf.DUMMYFUNCTION("""COMPUTED_VALUE"""),"45832Oman")</f>
        <v>45832Oman</v>
      </c>
      <c r="I40" s="85" t="str">
        <f>IFERROR(__xludf.DUMMYFUNCTION("""COMPUTED_VALUE"""),"Oman")</f>
        <v>Oman</v>
      </c>
      <c r="J40" s="101">
        <f>IFERROR(__xludf.DUMMYFUNCTION("""COMPUTED_VALUE"""),45832.0)</f>
        <v>45832</v>
      </c>
      <c r="K40" s="85" t="str">
        <f>IFERROR(__xludf.DUMMYFUNCTION("""COMPUTED_VALUE"""),"Political instability")</f>
        <v>Political instability</v>
      </c>
      <c r="L40" s="86" t="str">
        <f>IFERROR(__xludf.DUMMYFUNCTION("""COMPUTED_VALUE"""),"REJECT")</f>
        <v>REJECT</v>
      </c>
      <c r="M40" s="78" t="str">
        <f>IFERROR(__xludf.DUMMYFUNCTION("""COMPUTED_VALUE"""),"45399DWC")</f>
        <v>45399DWC</v>
      </c>
      <c r="N40" s="81" t="str">
        <f>IFERROR(__xludf.DUMMYFUNCTION("""COMPUTED_VALUE"""),"DWC")</f>
        <v>DWC</v>
      </c>
      <c r="O40" s="82">
        <f>IFERROR(__xludf.DUMMYFUNCTION("""COMPUTED_VALUE"""),45399.0)</f>
        <v>45399</v>
      </c>
      <c r="P40" s="83" t="str">
        <f>IFERROR(__xludf.DUMMYFUNCTION("""COMPUTED_VALUE"""),"Heavy Rainfall")</f>
        <v>Heavy Rainfall</v>
      </c>
      <c r="Q40" s="77" t="str">
        <f>IFERROR(__xludf.DUMMYFUNCTION("""COMPUTED_VALUE"""),"REJECT")</f>
        <v>REJECT</v>
      </c>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row>
    <row r="41">
      <c r="A41" s="93"/>
      <c r="B41" s="85"/>
      <c r="C41" s="86"/>
      <c r="D41" s="93"/>
      <c r="E41" s="85"/>
      <c r="F41" s="85"/>
      <c r="G41" s="86"/>
      <c r="H41" s="78" t="str">
        <f>IFERROR(__xludf.DUMMYFUNCTION("""COMPUTED_VALUE"""),"45831United Arab Emirates")</f>
        <v>45831United Arab Emirates</v>
      </c>
      <c r="I41" s="85" t="str">
        <f>IFERROR(__xludf.DUMMYFUNCTION("""COMPUTED_VALUE"""),"United Arab Emirates")</f>
        <v>United Arab Emirates</v>
      </c>
      <c r="J41" s="101">
        <f>IFERROR(__xludf.DUMMYFUNCTION("""COMPUTED_VALUE"""),45831.0)</f>
        <v>45831</v>
      </c>
      <c r="K41" s="85" t="str">
        <f>IFERROR(__xludf.DUMMYFUNCTION("""COMPUTED_VALUE"""),"Political instability")</f>
        <v>Political instability</v>
      </c>
      <c r="L41" s="86" t="str">
        <f>IFERROR(__xludf.DUMMYFUNCTION("""COMPUTED_VALUE"""),"REJECT")</f>
        <v>REJECT</v>
      </c>
      <c r="M41" s="78" t="str">
        <f>IFERROR(__xludf.DUMMYFUNCTION("""COMPUTED_VALUE"""),"45400DXB")</f>
        <v>45400DXB</v>
      </c>
      <c r="N41" s="81" t="str">
        <f>IFERROR(__xludf.DUMMYFUNCTION("""COMPUTED_VALUE"""),"DXB")</f>
        <v>DXB</v>
      </c>
      <c r="O41" s="82">
        <f>IFERROR(__xludf.DUMMYFUNCTION("""COMPUTED_VALUE"""),45400.0)</f>
        <v>45400</v>
      </c>
      <c r="P41" s="83" t="str">
        <f>IFERROR(__xludf.DUMMYFUNCTION("""COMPUTED_VALUE"""),"Heavy Rainfall")</f>
        <v>Heavy Rainfall</v>
      </c>
      <c r="Q41" s="77" t="str">
        <f>IFERROR(__xludf.DUMMYFUNCTION("""COMPUTED_VALUE"""),"REJECT")</f>
        <v>REJECT</v>
      </c>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row>
    <row r="42">
      <c r="A42" s="93"/>
      <c r="B42" s="85"/>
      <c r="C42" s="86"/>
      <c r="D42" s="93"/>
      <c r="E42" s="85"/>
      <c r="F42" s="85"/>
      <c r="G42" s="86"/>
      <c r="H42" s="78" t="str">
        <f>IFERROR(__xludf.DUMMYFUNCTION("""COMPUTED_VALUE"""),"45832United Arab Emirates")</f>
        <v>45832United Arab Emirates</v>
      </c>
      <c r="I42" s="85" t="str">
        <f>IFERROR(__xludf.DUMMYFUNCTION("""COMPUTED_VALUE"""),"United Arab Emirates")</f>
        <v>United Arab Emirates</v>
      </c>
      <c r="J42" s="101">
        <f>IFERROR(__xludf.DUMMYFUNCTION("""COMPUTED_VALUE"""),45832.0)</f>
        <v>45832</v>
      </c>
      <c r="K42" s="85" t="str">
        <f>IFERROR(__xludf.DUMMYFUNCTION("""COMPUTED_VALUE"""),"Political instability")</f>
        <v>Political instability</v>
      </c>
      <c r="L42" s="86" t="str">
        <f>IFERROR(__xludf.DUMMYFUNCTION("""COMPUTED_VALUE"""),"REJECT")</f>
        <v>REJECT</v>
      </c>
      <c r="M42" s="78" t="str">
        <f>IFERROR(__xludf.DUMMYFUNCTION("""COMPUTED_VALUE"""),"45400DWC")</f>
        <v>45400DWC</v>
      </c>
      <c r="N42" s="81" t="str">
        <f>IFERROR(__xludf.DUMMYFUNCTION("""COMPUTED_VALUE"""),"DWC")</f>
        <v>DWC</v>
      </c>
      <c r="O42" s="82">
        <f>IFERROR(__xludf.DUMMYFUNCTION("""COMPUTED_VALUE"""),45400.0)</f>
        <v>45400</v>
      </c>
      <c r="P42" s="83" t="str">
        <f>IFERROR(__xludf.DUMMYFUNCTION("""COMPUTED_VALUE"""),"Heavy Rainfall")</f>
        <v>Heavy Rainfall</v>
      </c>
      <c r="Q42" s="77" t="str">
        <f>IFERROR(__xludf.DUMMYFUNCTION("""COMPUTED_VALUE"""),"REJECT")</f>
        <v>REJECT</v>
      </c>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row>
    <row r="43">
      <c r="A43" s="93"/>
      <c r="B43" s="85"/>
      <c r="C43" s="86"/>
      <c r="D43" s="93"/>
      <c r="E43" s="85"/>
      <c r="F43" s="85"/>
      <c r="G43" s="86"/>
      <c r="H43" s="78" t="str">
        <f>IFERROR(__xludf.DUMMYFUNCTION("""COMPUTED_VALUE"""),"45841France")</f>
        <v>45841France</v>
      </c>
      <c r="I43" s="85" t="str">
        <f>IFERROR(__xludf.DUMMYFUNCTION("""COMPUTED_VALUE"""),"France")</f>
        <v>France</v>
      </c>
      <c r="J43" s="101">
        <f>IFERROR(__xludf.DUMMYFUNCTION("""COMPUTED_VALUE"""),45841.0)</f>
        <v>45841</v>
      </c>
      <c r="K43" s="85" t="str">
        <f>IFERROR(__xludf.DUMMYFUNCTION("""COMPUTED_VALUE"""),"Strike (only proceed if client mentioned ""technical problems"")")</f>
        <v>Strike (only proceed if client mentioned "technical problems")</v>
      </c>
      <c r="L43" s="86" t="str">
        <f>IFERROR(__xludf.DUMMYFUNCTION("""COMPUTED_VALUE"""),"REJECT")</f>
        <v>REJECT</v>
      </c>
      <c r="M43" s="78" t="str">
        <f>IFERROR(__xludf.DUMMYFUNCTION("""COMPUTED_VALUE"""),"45401DXB")</f>
        <v>45401DXB</v>
      </c>
      <c r="N43" s="102" t="str">
        <f>IFERROR(__xludf.DUMMYFUNCTION("""COMPUTED_VALUE"""),"DXB")</f>
        <v>DXB</v>
      </c>
      <c r="O43" s="82">
        <f>IFERROR(__xludf.DUMMYFUNCTION("""COMPUTED_VALUE"""),45401.0)</f>
        <v>45401</v>
      </c>
      <c r="P43" s="103" t="str">
        <f>IFERROR(__xludf.DUMMYFUNCTION("""COMPUTED_VALUE"""),"Heavy Rainfall")</f>
        <v>Heavy Rainfall</v>
      </c>
      <c r="Q43" s="77" t="str">
        <f>IFERROR(__xludf.DUMMYFUNCTION("""COMPUTED_VALUE"""),"REJECT")</f>
        <v>REJECT</v>
      </c>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row>
    <row r="44">
      <c r="A44" s="93"/>
      <c r="B44" s="85"/>
      <c r="C44" s="86"/>
      <c r="D44" s="93"/>
      <c r="E44" s="85"/>
      <c r="F44" s="85"/>
      <c r="G44" s="86"/>
      <c r="H44" s="78" t="str">
        <f>IFERROR(__xludf.DUMMYFUNCTION("""COMPUTED_VALUE"""),"45842France")</f>
        <v>45842France</v>
      </c>
      <c r="I44" s="85" t="str">
        <f>IFERROR(__xludf.DUMMYFUNCTION("""COMPUTED_VALUE"""),"France")</f>
        <v>France</v>
      </c>
      <c r="J44" s="101">
        <f>IFERROR(__xludf.DUMMYFUNCTION("""COMPUTED_VALUE"""),45842.0)</f>
        <v>45842</v>
      </c>
      <c r="K44" s="85" t="str">
        <f>IFERROR(__xludf.DUMMYFUNCTION("""COMPUTED_VALUE"""),"Strike (only proceed if client mentioned ""technical problems with the aircraft"")")</f>
        <v>Strike (only proceed if client mentioned "technical problems with the aircraft")</v>
      </c>
      <c r="L44" s="86" t="str">
        <f>IFERROR(__xludf.DUMMYFUNCTION("""COMPUTED_VALUE"""),"REJECT")</f>
        <v>REJECT</v>
      </c>
      <c r="M44" s="78" t="str">
        <f>IFERROR(__xludf.DUMMYFUNCTION("""COMPUTED_VALUE"""),"45401DWC")</f>
        <v>45401DWC</v>
      </c>
      <c r="N44" s="81" t="str">
        <f>IFERROR(__xludf.DUMMYFUNCTION("""COMPUTED_VALUE"""),"DWC")</f>
        <v>DWC</v>
      </c>
      <c r="O44" s="82">
        <f>IFERROR(__xludf.DUMMYFUNCTION("""COMPUTED_VALUE"""),45401.0)</f>
        <v>45401</v>
      </c>
      <c r="P44" s="103" t="str">
        <f>IFERROR(__xludf.DUMMYFUNCTION("""COMPUTED_VALUE"""),"Heavy Rainfall")</f>
        <v>Heavy Rainfall</v>
      </c>
      <c r="Q44" s="77" t="str">
        <f>IFERROR(__xludf.DUMMYFUNCTION("""COMPUTED_VALUE"""),"REJECT")</f>
        <v>REJECT</v>
      </c>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row>
    <row r="45">
      <c r="A45" s="93"/>
      <c r="B45" s="85"/>
      <c r="C45" s="86"/>
      <c r="D45" s="93"/>
      <c r="E45" s="85"/>
      <c r="F45" s="85"/>
      <c r="G45" s="86"/>
      <c r="H45" s="78" t="str">
        <f>IFERROR(__xludf.DUMMYFUNCTION("""COMPUTED_VALUE"""),"45841Spain")</f>
        <v>45841Spain</v>
      </c>
      <c r="I45" s="85" t="str">
        <f>IFERROR(__xludf.DUMMYFUNCTION("""COMPUTED_VALUE"""),"Spain")</f>
        <v>Spain</v>
      </c>
      <c r="J45" s="101">
        <f>IFERROR(__xludf.DUMMYFUNCTION("""COMPUTED_VALUE"""),45841.0)</f>
        <v>45841</v>
      </c>
      <c r="K45"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L45" s="86" t="str">
        <f>IFERROR(__xludf.DUMMYFUNCTION("""COMPUTED_VALUE"""),"REJECT")</f>
        <v>REJECT</v>
      </c>
      <c r="M45" s="78" t="str">
        <f>IFERROR(__xludf.DUMMYFUNCTION("""COMPUTED_VALUE"""),"45402DXB")</f>
        <v>45402DXB</v>
      </c>
      <c r="N45" s="81" t="str">
        <f>IFERROR(__xludf.DUMMYFUNCTION("""COMPUTED_VALUE"""),"DXB")</f>
        <v>DXB</v>
      </c>
      <c r="O45" s="82">
        <f>IFERROR(__xludf.DUMMYFUNCTION("""COMPUTED_VALUE"""),45402.0)</f>
        <v>45402</v>
      </c>
      <c r="P45" s="103" t="str">
        <f>IFERROR(__xludf.DUMMYFUNCTION("""COMPUTED_VALUE"""),"Heavy Rainfall")</f>
        <v>Heavy Rainfall</v>
      </c>
      <c r="Q45" s="77" t="str">
        <f>IFERROR(__xludf.DUMMYFUNCTION("""COMPUTED_VALUE"""),"REJECT")</f>
        <v>REJECT</v>
      </c>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row>
    <row r="46">
      <c r="A46" s="93"/>
      <c r="B46" s="85"/>
      <c r="C46" s="86"/>
      <c r="D46" s="93"/>
      <c r="E46" s="85"/>
      <c r="F46" s="85"/>
      <c r="G46" s="86"/>
      <c r="H46" s="78" t="str">
        <f>IFERROR(__xludf.DUMMYFUNCTION("""COMPUTED_VALUE"""),"45842Spain")</f>
        <v>45842Spain</v>
      </c>
      <c r="I46" s="85" t="str">
        <f>IFERROR(__xludf.DUMMYFUNCTION("""COMPUTED_VALUE"""),"Spain")</f>
        <v>Spain</v>
      </c>
      <c r="J46" s="101">
        <f>IFERROR(__xludf.DUMMYFUNCTION("""COMPUTED_VALUE"""),45842.0)</f>
        <v>45842</v>
      </c>
      <c r="K46"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L46" s="86" t="str">
        <f>IFERROR(__xludf.DUMMYFUNCTION("""COMPUTED_VALUE"""),"REJECT")</f>
        <v>REJECT</v>
      </c>
      <c r="M46" s="78" t="str">
        <f>IFERROR(__xludf.DUMMYFUNCTION("""COMPUTED_VALUE"""),"45402DWC")</f>
        <v>45402DWC</v>
      </c>
      <c r="N46" s="81" t="str">
        <f>IFERROR(__xludf.DUMMYFUNCTION("""COMPUTED_VALUE"""),"DWC")</f>
        <v>DWC</v>
      </c>
      <c r="O46" s="82">
        <f>IFERROR(__xludf.DUMMYFUNCTION("""COMPUTED_VALUE"""),45402.0)</f>
        <v>45402</v>
      </c>
      <c r="P46" s="83" t="str">
        <f>IFERROR(__xludf.DUMMYFUNCTION("""COMPUTED_VALUE"""),"Heavy Rainfall")</f>
        <v>Heavy Rainfall</v>
      </c>
      <c r="Q46" s="77" t="str">
        <f>IFERROR(__xludf.DUMMYFUNCTION("""COMPUTED_VALUE"""),"REJECT")</f>
        <v>REJECT</v>
      </c>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row>
    <row r="47">
      <c r="A47" s="93"/>
      <c r="B47" s="85"/>
      <c r="C47" s="86"/>
      <c r="D47" s="93"/>
      <c r="E47" s="85"/>
      <c r="F47" s="85"/>
      <c r="G47" s="86"/>
      <c r="H47" s="78" t="str">
        <f>IFERROR(__xludf.DUMMYFUNCTION("""COMPUTED_VALUE"""),"45910Poland")</f>
        <v>45910Poland</v>
      </c>
      <c r="I47" s="85" t="str">
        <f>IFERROR(__xludf.DUMMYFUNCTION("""COMPUTED_VALUE"""),"Poland")</f>
        <v>Poland</v>
      </c>
      <c r="J47" s="101">
        <f>IFERROR(__xludf.DUMMYFUNCTION("""COMPUTED_VALUE"""),45910.0)</f>
        <v>45910</v>
      </c>
      <c r="K47" s="104" t="str">
        <f>IFERROR(__xludf.DUMMYFUNCTION("""COMPUTED_VALUE"""),"Political instability")</f>
        <v>Political instability</v>
      </c>
      <c r="L47" s="86" t="str">
        <f>IFERROR(__xludf.DUMMYFUNCTION("""COMPUTED_VALUE"""),"REJECT")</f>
        <v>REJECT</v>
      </c>
      <c r="M47" s="78" t="str">
        <f>IFERROR(__xludf.DUMMYFUNCTION("""COMPUTED_VALUE"""),"45585DUB")</f>
        <v>45585DUB</v>
      </c>
      <c r="N47" s="81" t="str">
        <f>IFERROR(__xludf.DUMMYFUNCTION("""COMPUTED_VALUE"""),"DUB")</f>
        <v>DUB</v>
      </c>
      <c r="O47" s="82">
        <f>IFERROR(__xludf.DUMMYFUNCTION("""COMPUTED_VALUE"""),45585.0)</f>
        <v>45585</v>
      </c>
      <c r="P47" s="83" t="str">
        <f>IFERROR(__xludf.DUMMYFUNCTION("""COMPUTED_VALUE"""),"Storm Ashley")</f>
        <v>Storm Ashley</v>
      </c>
      <c r="Q47" s="77" t="str">
        <f>IFERROR(__xludf.DUMMYFUNCTION("""COMPUTED_VALUE"""),"REJECT")</f>
        <v>REJECT</v>
      </c>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row>
    <row r="48">
      <c r="A48" s="93"/>
      <c r="B48" s="85"/>
      <c r="C48" s="86"/>
      <c r="D48" s="93"/>
      <c r="E48" s="85"/>
      <c r="F48" s="85"/>
      <c r="G48" s="86"/>
      <c r="H48" s="78" t="str">
        <f>IFERROR(__xludf.DUMMYFUNCTION("""COMPUTED_VALUE"""),"45910France")</f>
        <v>45910France</v>
      </c>
      <c r="I48" s="85" t="str">
        <f>IFERROR(__xludf.DUMMYFUNCTION("""COMPUTED_VALUE"""),"France")</f>
        <v>France</v>
      </c>
      <c r="J48" s="101">
        <f>IFERROR(__xludf.DUMMYFUNCTION("""COMPUTED_VALUE"""),45910.0)</f>
        <v>45910</v>
      </c>
      <c r="K48" s="104" t="str">
        <f>IFERROR(__xludf.DUMMYFUNCTION("""COMPUTED_VALUE"""),"Strike (proceed if the client didn't mention (strike/Force majeure /Problems at the airport/Influence by other flights)")</f>
        <v>Strike (proceed if the client didn't mention (strike/Force majeure /Problems at the airport/Influence by other flights)</v>
      </c>
      <c r="L48" s="86" t="str">
        <f>IFERROR(__xludf.DUMMYFUNCTION("""COMPUTED_VALUE"""),"REJECT")</f>
        <v>REJECT</v>
      </c>
      <c r="M48" s="78" t="str">
        <f>IFERROR(__xludf.DUMMYFUNCTION("""COMPUTED_VALUE"""),"44771FRA")</f>
        <v>44771FRA</v>
      </c>
      <c r="N48" s="81" t="str">
        <f>IFERROR(__xludf.DUMMYFUNCTION("""COMPUTED_VALUE"""),"FRA")</f>
        <v>FRA</v>
      </c>
      <c r="O48" s="82">
        <f>IFERROR(__xludf.DUMMYFUNCTION("""COMPUTED_VALUE"""),44771.0)</f>
        <v>44771</v>
      </c>
      <c r="P48" s="83" t="str">
        <f>IFERROR(__xludf.DUMMYFUNCTION("""COMPUTED_VALUE"""),"ATC")</f>
        <v>ATC</v>
      </c>
      <c r="Q48" s="77" t="str">
        <f>IFERROR(__xludf.DUMMYFUNCTION("""COMPUTED_VALUE"""),"REJECT")</f>
        <v>REJECT</v>
      </c>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row>
    <row r="49">
      <c r="A49" s="93"/>
      <c r="B49" s="85"/>
      <c r="C49" s="86"/>
      <c r="D49" s="93"/>
      <c r="E49" s="85"/>
      <c r="F49" s="85"/>
      <c r="G49" s="86"/>
      <c r="H49" s="78" t="str">
        <f>IFERROR(__xludf.DUMMYFUNCTION("""COMPUTED_VALUE"""),"45925Madagascar")</f>
        <v>45925Madagascar</v>
      </c>
      <c r="I49" s="85" t="str">
        <f>IFERROR(__xludf.DUMMYFUNCTION("""COMPUTED_VALUE"""),"Madagascar")</f>
        <v>Madagascar</v>
      </c>
      <c r="J49" s="101">
        <f>IFERROR(__xludf.DUMMYFUNCTION("""COMPUTED_VALUE"""),45925.0)</f>
        <v>45925</v>
      </c>
      <c r="K49" s="104" t="str">
        <f>IFERROR(__xludf.DUMMYFUNCTION("""COMPUTED_VALUE"""),"Political instability")</f>
        <v>Political instability</v>
      </c>
      <c r="L49" s="86" t="str">
        <f>IFERROR(__xludf.DUMMYFUNCTION("""COMPUTED_VALUE"""),"REJECT")</f>
        <v>REJECT</v>
      </c>
      <c r="M49" s="78" t="str">
        <f>IFERROR(__xludf.DUMMYFUNCTION("""COMPUTED_VALUE"""),"45107GVA")</f>
        <v>45107GVA</v>
      </c>
      <c r="N49" s="81" t="str">
        <f>IFERROR(__xludf.DUMMYFUNCTION("""COMPUTED_VALUE"""),"GVA")</f>
        <v>GVA</v>
      </c>
      <c r="O49" s="82">
        <f>IFERROR(__xludf.DUMMYFUNCTION("""COMPUTED_VALUE"""),45107.0)</f>
        <v>45107</v>
      </c>
      <c r="P49" s="83" t="str">
        <f>IFERROR(__xludf.DUMMYFUNCTION("""COMPUTED_VALUE"""),"workers strike")</f>
        <v>workers strike</v>
      </c>
      <c r="Q49" s="77" t="str">
        <f>IFERROR(__xludf.DUMMYFUNCTION("""COMPUTED_VALUE"""),"REJECT")</f>
        <v>REJECT</v>
      </c>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row>
    <row r="50">
      <c r="A50" s="93"/>
      <c r="B50" s="85"/>
      <c r="C50" s="86"/>
      <c r="D50" s="93"/>
      <c r="E50" s="85"/>
      <c r="F50" s="85"/>
      <c r="G50" s="86"/>
      <c r="H50" s="78" t="str">
        <f>IFERROR(__xludf.DUMMYFUNCTION("""COMPUTED_VALUE"""),"45926Madagascar")</f>
        <v>45926Madagascar</v>
      </c>
      <c r="I50" s="85" t="str">
        <f>IFERROR(__xludf.DUMMYFUNCTION("""COMPUTED_VALUE"""),"Madagascar")</f>
        <v>Madagascar</v>
      </c>
      <c r="J50" s="101">
        <f>IFERROR(__xludf.DUMMYFUNCTION("""COMPUTED_VALUE"""),45926.0)</f>
        <v>45926</v>
      </c>
      <c r="K50" s="104" t="str">
        <f>IFERROR(__xludf.DUMMYFUNCTION("""COMPUTED_VALUE"""),"Political instability")</f>
        <v>Political instability</v>
      </c>
      <c r="L50" s="86" t="str">
        <f>IFERROR(__xludf.DUMMYFUNCTION("""COMPUTED_VALUE"""),"REJECT")</f>
        <v>REJECT</v>
      </c>
      <c r="M50" s="78" t="str">
        <f>IFERROR(__xludf.DUMMYFUNCTION("""COMPUTED_VALUE"""),"45323STR")</f>
        <v>45323STR</v>
      </c>
      <c r="N50" s="81" t="str">
        <f>IFERROR(__xludf.DUMMYFUNCTION("""COMPUTED_VALUE"""),"STR")</f>
        <v>STR</v>
      </c>
      <c r="O50" s="82">
        <f>IFERROR(__xludf.DUMMYFUNCTION("""COMPUTED_VALUE"""),45323.0)</f>
        <v>45323</v>
      </c>
      <c r="P50" s="105" t="str">
        <f>IFERROR(__xludf.DUMMYFUNCTION("""COMPUTED_VALUE"""),"Verdi trade union strike")</f>
        <v>Verdi trade union strike</v>
      </c>
      <c r="Q50" s="77" t="str">
        <f>IFERROR(__xludf.DUMMYFUNCTION("""COMPUTED_VALUE"""),"REJECT")</f>
        <v>REJECT</v>
      </c>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row>
    <row r="51">
      <c r="A51" s="93"/>
      <c r="B51" s="85"/>
      <c r="C51" s="86"/>
      <c r="D51" s="93"/>
      <c r="E51" s="85"/>
      <c r="F51" s="85"/>
      <c r="G51" s="86"/>
      <c r="H51" s="78" t="str">
        <f>IFERROR(__xludf.DUMMYFUNCTION("""COMPUTED_VALUE"""),"45927Madagascar")</f>
        <v>45927Madagascar</v>
      </c>
      <c r="I51" s="85" t="str">
        <f>IFERROR(__xludf.DUMMYFUNCTION("""COMPUTED_VALUE"""),"Madagascar")</f>
        <v>Madagascar</v>
      </c>
      <c r="J51" s="101">
        <f>IFERROR(__xludf.DUMMYFUNCTION("""COMPUTED_VALUE"""),45927.0)</f>
        <v>45927</v>
      </c>
      <c r="K51" s="104" t="str">
        <f>IFERROR(__xludf.DUMMYFUNCTION("""COMPUTED_VALUE"""),"Political instability")</f>
        <v>Political instability</v>
      </c>
      <c r="L51" s="86" t="str">
        <f>IFERROR(__xludf.DUMMYFUNCTION("""COMPUTED_VALUE"""),"REJECT")</f>
        <v>REJECT</v>
      </c>
      <c r="M51" s="78" t="str">
        <f>IFERROR(__xludf.DUMMYFUNCTION("""COMPUTED_VALUE"""),"45358FRA")</f>
        <v>45358FRA</v>
      </c>
      <c r="N51" s="81" t="str">
        <f>IFERROR(__xludf.DUMMYFUNCTION("""COMPUTED_VALUE"""),"FRA")</f>
        <v>FRA</v>
      </c>
      <c r="O51" s="82">
        <f>IFERROR(__xludf.DUMMYFUNCTION("""COMPUTED_VALUE"""),45358.0)</f>
        <v>45358</v>
      </c>
      <c r="P51" s="103" t="str">
        <f>IFERROR(__xludf.DUMMYFUNCTION("""COMPUTED_VALUE"""),"Security Staff Strike")</f>
        <v>Security Staff Strike</v>
      </c>
      <c r="Q51" s="77" t="str">
        <f>IFERROR(__xludf.DUMMYFUNCTION("""COMPUTED_VALUE"""),"REJECT")</f>
        <v>REJECT</v>
      </c>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row>
    <row r="52">
      <c r="A52" s="93"/>
      <c r="B52" s="85"/>
      <c r="C52" s="86"/>
      <c r="D52" s="93"/>
      <c r="E52" s="85"/>
      <c r="F52" s="85"/>
      <c r="G52" s="86"/>
      <c r="H52" s="78" t="str">
        <f>IFERROR(__xludf.DUMMYFUNCTION("""COMPUTED_VALUE"""),"45928Madagascar")</f>
        <v>45928Madagascar</v>
      </c>
      <c r="I52" s="85" t="str">
        <f>IFERROR(__xludf.DUMMYFUNCTION("""COMPUTED_VALUE"""),"Madagascar")</f>
        <v>Madagascar</v>
      </c>
      <c r="J52" s="101">
        <f>IFERROR(__xludf.DUMMYFUNCTION("""COMPUTED_VALUE"""),45928.0)</f>
        <v>45928</v>
      </c>
      <c r="K52" s="104" t="str">
        <f>IFERROR(__xludf.DUMMYFUNCTION("""COMPUTED_VALUE"""),"Political instability")</f>
        <v>Political instability</v>
      </c>
      <c r="L52" s="86" t="str">
        <f>IFERROR(__xludf.DUMMYFUNCTION("""COMPUTED_VALUE"""),"REJECT")</f>
        <v>REJECT</v>
      </c>
      <c r="M52" s="78" t="str">
        <f>IFERROR(__xludf.DUMMYFUNCTION("""COMPUTED_VALUE"""),"45359FRA")</f>
        <v>45359FRA</v>
      </c>
      <c r="N52" s="81" t="str">
        <f>IFERROR(__xludf.DUMMYFUNCTION("""COMPUTED_VALUE"""),"FRA")</f>
        <v>FRA</v>
      </c>
      <c r="O52" s="82">
        <f>IFERROR(__xludf.DUMMYFUNCTION("""COMPUTED_VALUE"""),45359.0)</f>
        <v>45359</v>
      </c>
      <c r="P52" s="106" t="str">
        <f>IFERROR(__xludf.DUMMYFUNCTION("""COMPUTED_VALUE"""),"Security Staff Strike")</f>
        <v>Security Staff Strike</v>
      </c>
      <c r="Q52" s="77" t="str">
        <f>IFERROR(__xludf.DUMMYFUNCTION("""COMPUTED_VALUE"""),"REJECT")</f>
        <v>REJECT</v>
      </c>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row>
    <row r="53">
      <c r="A53" s="93"/>
      <c r="B53" s="85"/>
      <c r="C53" s="86"/>
      <c r="D53" s="93"/>
      <c r="E53" s="85"/>
      <c r="F53" s="85"/>
      <c r="G53" s="86"/>
      <c r="H53" s="78" t="str">
        <f>IFERROR(__xludf.DUMMYFUNCTION("""COMPUTED_VALUE"""),"45929Madagascar")</f>
        <v>45929Madagascar</v>
      </c>
      <c r="I53" s="85" t="str">
        <f>IFERROR(__xludf.DUMMYFUNCTION("""COMPUTED_VALUE"""),"Madagascar")</f>
        <v>Madagascar</v>
      </c>
      <c r="J53" s="101">
        <f>IFERROR(__xludf.DUMMYFUNCTION("""COMPUTED_VALUE"""),45929.0)</f>
        <v>45929</v>
      </c>
      <c r="K53" s="104" t="str">
        <f>IFERROR(__xludf.DUMMYFUNCTION("""COMPUTED_VALUE"""),"Political instability")</f>
        <v>Political instability</v>
      </c>
      <c r="L53" s="86" t="str">
        <f>IFERROR(__xludf.DUMMYFUNCTION("""COMPUTED_VALUE"""),"REJECT")</f>
        <v>REJECT</v>
      </c>
      <c r="M53" s="78" t="str">
        <f>IFERROR(__xludf.DUMMYFUNCTION("""COMPUTED_VALUE"""),"45407CDG ")</f>
        <v>45407CDG </v>
      </c>
      <c r="N53" s="81" t="str">
        <f>IFERROR(__xludf.DUMMYFUNCTION("""COMPUTED_VALUE"""),"CDG ")</f>
        <v>CDG </v>
      </c>
      <c r="O53" s="82">
        <f>IFERROR(__xludf.DUMMYFUNCTION("""COMPUTED_VALUE"""),45407.0)</f>
        <v>45407</v>
      </c>
      <c r="P53" s="103" t="str">
        <f>IFERROR(__xludf.DUMMYFUNCTION("""COMPUTED_VALUE"""),"Strike")</f>
        <v>Strike</v>
      </c>
      <c r="Q53" s="77" t="str">
        <f>IFERROR(__xludf.DUMMYFUNCTION("""COMPUTED_VALUE"""),"REJECT")</f>
        <v>REJECT</v>
      </c>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row>
    <row r="54">
      <c r="A54" s="93"/>
      <c r="B54" s="85"/>
      <c r="C54" s="86"/>
      <c r="D54" s="93"/>
      <c r="E54" s="85"/>
      <c r="F54" s="85"/>
      <c r="G54" s="86"/>
      <c r="H54" s="78" t="str">
        <f>IFERROR(__xludf.DUMMYFUNCTION("""COMPUTED_VALUE"""),"45930Madagascar")</f>
        <v>45930Madagascar</v>
      </c>
      <c r="I54" s="85" t="str">
        <f>IFERROR(__xludf.DUMMYFUNCTION("""COMPUTED_VALUE"""),"Madagascar")</f>
        <v>Madagascar</v>
      </c>
      <c r="J54" s="101">
        <f>IFERROR(__xludf.DUMMYFUNCTION("""COMPUTED_VALUE"""),45930.0)</f>
        <v>45930</v>
      </c>
      <c r="K54" s="104" t="str">
        <f>IFERROR(__xludf.DUMMYFUNCTION("""COMPUTED_VALUE"""),"Political instability")</f>
        <v>Political instability</v>
      </c>
      <c r="L54" s="86" t="str">
        <f>IFERROR(__xludf.DUMMYFUNCTION("""COMPUTED_VALUE"""),"REJECT")</f>
        <v>REJECT</v>
      </c>
      <c r="M54" s="78" t="str">
        <f>IFERROR(__xludf.DUMMYFUNCTION("""COMPUTED_VALUE"""),"45407ORY")</f>
        <v>45407ORY</v>
      </c>
      <c r="N54" s="81" t="str">
        <f>IFERROR(__xludf.DUMMYFUNCTION("""COMPUTED_VALUE"""),"ORY")</f>
        <v>ORY</v>
      </c>
      <c r="O54" s="82">
        <f>IFERROR(__xludf.DUMMYFUNCTION("""COMPUTED_VALUE"""),45407.0)</f>
        <v>45407</v>
      </c>
      <c r="P54" s="103" t="str">
        <f>IFERROR(__xludf.DUMMYFUNCTION("""COMPUTED_VALUE"""),"Strike")</f>
        <v>Strike</v>
      </c>
      <c r="Q54" s="77" t="str">
        <f>IFERROR(__xludf.DUMMYFUNCTION("""COMPUTED_VALUE"""),"REJECT")</f>
        <v>REJECT</v>
      </c>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row>
    <row r="55">
      <c r="A55" s="93"/>
      <c r="B55" s="85"/>
      <c r="C55" s="86"/>
      <c r="D55" s="93"/>
      <c r="E55" s="85"/>
      <c r="F55" s="85"/>
      <c r="G55" s="86"/>
      <c r="H55" s="78" t="str">
        <f>IFERROR(__xludf.DUMMYFUNCTION("""COMPUTED_VALUE"""),"45944Belgium")</f>
        <v>45944Belgium</v>
      </c>
      <c r="I55" s="85" t="str">
        <f>IFERROR(__xludf.DUMMYFUNCTION("""COMPUTED_VALUE"""),"Belgium")</f>
        <v>Belgium</v>
      </c>
      <c r="J55" s="101">
        <f>IFERROR(__xludf.DUMMYFUNCTION("""COMPUTED_VALUE"""),45944.0)</f>
        <v>45944</v>
      </c>
      <c r="K55" s="104" t="str">
        <f>IFERROR(__xludf.DUMMYFUNCTION("""COMPUTED_VALUE"""),"National strike")</f>
        <v>National strike</v>
      </c>
      <c r="L55" s="86" t="str">
        <f>IFERROR(__xludf.DUMMYFUNCTION("""COMPUTED_VALUE"""),"REJECT")</f>
        <v>REJECT</v>
      </c>
      <c r="M55" s="78" t="str">
        <f>IFERROR(__xludf.DUMMYFUNCTION("""COMPUTED_VALUE"""),"45445LIM")</f>
        <v>45445LIM</v>
      </c>
      <c r="N55" s="81" t="str">
        <f>IFERROR(__xludf.DUMMYFUNCTION("""COMPUTED_VALUE"""),"LIM")</f>
        <v>LIM</v>
      </c>
      <c r="O55" s="82">
        <f>IFERROR(__xludf.DUMMYFUNCTION("""COMPUTED_VALUE"""),45445.0)</f>
        <v>45445</v>
      </c>
      <c r="P55" s="107" t="str">
        <f>IFERROR(__xludf.DUMMYFUNCTION("""COMPUTED_VALUE"""),"runway light outage")</f>
        <v>runway light outage</v>
      </c>
      <c r="Q55" s="77" t="str">
        <f>IFERROR(__xludf.DUMMYFUNCTION("""COMPUTED_VALUE"""),"REJECT")</f>
        <v>REJECT</v>
      </c>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row>
    <row r="56">
      <c r="A56" s="93"/>
      <c r="B56" s="85"/>
      <c r="C56" s="86"/>
      <c r="D56" s="93"/>
      <c r="E56" s="85"/>
      <c r="F56" s="85"/>
      <c r="G56" s="86"/>
      <c r="H56" s="78" t="str">
        <f>IFERROR(__xludf.DUMMYFUNCTION("""COMPUTED_VALUE"""),"45987Belgium")</f>
        <v>45987Belgium</v>
      </c>
      <c r="I56" s="85" t="str">
        <f>IFERROR(__xludf.DUMMYFUNCTION("""COMPUTED_VALUE"""),"Belgium")</f>
        <v>Belgium</v>
      </c>
      <c r="J56" s="101">
        <f>IFERROR(__xludf.DUMMYFUNCTION("""COMPUTED_VALUE"""),45987.0)</f>
        <v>45987</v>
      </c>
      <c r="K56" s="104" t="str">
        <f>IFERROR(__xludf.DUMMYFUNCTION("""COMPUTED_VALUE"""),"National strike")</f>
        <v>National strike</v>
      </c>
      <c r="L56" s="86" t="str">
        <f>IFERROR(__xludf.DUMMYFUNCTION("""COMPUTED_VALUE"""),"REJECT")</f>
        <v>REJECT</v>
      </c>
      <c r="M56" s="78" t="str">
        <f>IFERROR(__xludf.DUMMYFUNCTION("""COMPUTED_VALUE"""),"45472JMK")</f>
        <v>45472JMK</v>
      </c>
      <c r="N56" s="81" t="str">
        <f>IFERROR(__xludf.DUMMYFUNCTION("""COMPUTED_VALUE"""),"JMK")</f>
        <v>JMK</v>
      </c>
      <c r="O56" s="82">
        <f>IFERROR(__xludf.DUMMYFUNCTION("""COMPUTED_VALUE"""),45472.0)</f>
        <v>45472</v>
      </c>
      <c r="P56" s="107" t="str">
        <f>IFERROR(__xludf.DUMMYFUNCTION("""COMPUTED_VALUE"""),"Adverse weather")</f>
        <v>Adverse weather</v>
      </c>
      <c r="Q56" s="108" t="str">
        <f>IFERROR(__xludf.DUMMYFUNCTION("""COMPUTED_VALUE"""),"REJECT")</f>
        <v>REJECT</v>
      </c>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row>
    <row r="57">
      <c r="A57" s="93"/>
      <c r="B57" s="85"/>
      <c r="C57" s="86"/>
      <c r="D57" s="93"/>
      <c r="E57" s="85"/>
      <c r="F57" s="85"/>
      <c r="G57" s="86"/>
      <c r="H57" s="78" t="str">
        <f>IFERROR(__xludf.DUMMYFUNCTION("""COMPUTED_VALUE"""),"46002Portugal")</f>
        <v>46002Portugal</v>
      </c>
      <c r="I57" s="85" t="str">
        <f>IFERROR(__xludf.DUMMYFUNCTION("""COMPUTED_VALUE"""),"Portugal")</f>
        <v>Portugal</v>
      </c>
      <c r="J57" s="101">
        <f>IFERROR(__xludf.DUMMYFUNCTION("""COMPUTED_VALUE"""),46002.0)</f>
        <v>46002</v>
      </c>
      <c r="K57" s="104" t="str">
        <f>IFERROR(__xludf.DUMMYFUNCTION("""COMPUTED_VALUE"""),"National strike")</f>
        <v>National strike</v>
      </c>
      <c r="L57" s="86" t="str">
        <f>IFERROR(__xludf.DUMMYFUNCTION("""COMPUTED_VALUE"""),"REJECT")</f>
        <v>REJECT</v>
      </c>
      <c r="M57" s="78" t="str">
        <f>IFERROR(__xludf.DUMMYFUNCTION("""COMPUTED_VALUE"""),"45485ZRH")</f>
        <v>45485ZRH</v>
      </c>
      <c r="N57" s="81" t="str">
        <f>IFERROR(__xludf.DUMMYFUNCTION("""COMPUTED_VALUE"""),"ZRH")</f>
        <v>ZRH</v>
      </c>
      <c r="O57" s="82">
        <f>IFERROR(__xludf.DUMMYFUNCTION("""COMPUTED_VALUE"""),45485.0)</f>
        <v>45485</v>
      </c>
      <c r="P57" s="107" t="str">
        <f>IFERROR(__xludf.DUMMYFUNCTION("""COMPUTED_VALUE"""),"ATC")</f>
        <v>ATC</v>
      </c>
      <c r="Q57" s="77" t="str">
        <f>IFERROR(__xludf.DUMMYFUNCTION("""COMPUTED_VALUE"""),"REJECT")</f>
        <v>REJECT</v>
      </c>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row>
    <row r="58">
      <c r="A58" s="93"/>
      <c r="B58" s="85"/>
      <c r="C58" s="86"/>
      <c r="D58" s="93"/>
      <c r="E58" s="85"/>
      <c r="F58" s="85"/>
      <c r="G58" s="86"/>
      <c r="H58" s="78" t="str">
        <f>IFERROR(__xludf.DUMMYFUNCTION("""COMPUTED_VALUE"""),"45968United States")</f>
        <v>45968United States</v>
      </c>
      <c r="I58" s="85" t="str">
        <f>IFERROR(__xludf.DUMMYFUNCTION("""COMPUTED_VALUE"""),"United States")</f>
        <v>United States</v>
      </c>
      <c r="J58" s="101">
        <f>IFERROR(__xludf.DUMMYFUNCTION("""COMPUTED_VALUE"""),45968.0)</f>
        <v>45968</v>
      </c>
      <c r="K58" s="104" t="str">
        <f>IFERROR(__xludf.DUMMYFUNCTION("""COMPUTED_VALUE"""),"The FAA's emergency")</f>
        <v>The FAA's emergency</v>
      </c>
      <c r="L58" s="86" t="str">
        <f>IFERROR(__xludf.DUMMYFUNCTION("""COMPUTED_VALUE"""),"REJECT")</f>
        <v>REJECT</v>
      </c>
      <c r="M58" s="78" t="str">
        <f>IFERROR(__xludf.DUMMYFUNCTION("""COMPUTED_VALUE"""),"45495SPU")</f>
        <v>45495SPU</v>
      </c>
      <c r="N58" s="81" t="str">
        <f>IFERROR(__xludf.DUMMYFUNCTION("""COMPUTED_VALUE"""),"SPU")</f>
        <v>SPU</v>
      </c>
      <c r="O58" s="82">
        <f>IFERROR(__xludf.DUMMYFUNCTION("""COMPUTED_VALUE"""),45495.0)</f>
        <v>45495</v>
      </c>
      <c r="P58" s="107" t="str">
        <f>IFERROR(__xludf.DUMMYFUNCTION("""COMPUTED_VALUE"""),"A cyber attack blocks the system")</f>
        <v>A cyber attack blocks the system</v>
      </c>
      <c r="Q58" s="77" t="str">
        <f>IFERROR(__xludf.DUMMYFUNCTION("""COMPUTED_VALUE"""),"REJECT")</f>
        <v>REJECT</v>
      </c>
      <c r="R58" s="66"/>
      <c r="S58" s="66"/>
      <c r="T58" s="66"/>
      <c r="U58" s="66"/>
      <c r="V58" s="66"/>
      <c r="W58" s="66"/>
      <c r="X58" s="66"/>
      <c r="Y58" s="66"/>
      <c r="Z58" s="66"/>
      <c r="AA58" s="66"/>
      <c r="AB58" s="66"/>
      <c r="AC58" s="66"/>
      <c r="AD58" s="66"/>
      <c r="AE58" s="66"/>
      <c r="AF58" s="66"/>
      <c r="AG58" s="66"/>
      <c r="AH58" s="66"/>
      <c r="AI58" s="66"/>
      <c r="AJ58" s="66"/>
      <c r="AK58" s="66"/>
      <c r="AL58" s="66"/>
      <c r="AM58" s="66"/>
      <c r="AN58" s="66"/>
      <c r="AO58" s="66"/>
    </row>
    <row r="59">
      <c r="A59" s="93"/>
      <c r="B59" s="85"/>
      <c r="C59" s="86"/>
      <c r="D59" s="93"/>
      <c r="E59" s="85"/>
      <c r="F59" s="85"/>
      <c r="G59" s="86"/>
      <c r="H59" s="78" t="str">
        <f>IFERROR(__xludf.DUMMYFUNCTION("""COMPUTED_VALUE"""),"45972United States")</f>
        <v>45972United States</v>
      </c>
      <c r="I59" s="85" t="str">
        <f>IFERROR(__xludf.DUMMYFUNCTION("""COMPUTED_VALUE"""),"United States")</f>
        <v>United States</v>
      </c>
      <c r="J59" s="101">
        <f>IFERROR(__xludf.DUMMYFUNCTION("""COMPUTED_VALUE"""),45972.0)</f>
        <v>45972</v>
      </c>
      <c r="K59" s="104" t="str">
        <f>IFERROR(__xludf.DUMMYFUNCTION("""COMPUTED_VALUE"""),"The FAA's emergency")</f>
        <v>The FAA's emergency</v>
      </c>
      <c r="L59" s="86" t="str">
        <f>IFERROR(__xludf.DUMMYFUNCTION("""COMPUTED_VALUE"""),"REJECT")</f>
        <v>REJECT</v>
      </c>
      <c r="M59" s="78" t="str">
        <f>IFERROR(__xludf.DUMMYFUNCTION("""COMPUTED_VALUE"""),"45498FRA")</f>
        <v>45498FRA</v>
      </c>
      <c r="N59" s="81" t="str">
        <f>IFERROR(__xludf.DUMMYFUNCTION("""COMPUTED_VALUE"""),"FRA")</f>
        <v>FRA</v>
      </c>
      <c r="O59" s="82">
        <f>IFERROR(__xludf.DUMMYFUNCTION("""COMPUTED_VALUE"""),45498.0)</f>
        <v>45498</v>
      </c>
      <c r="P59" s="107" t="str">
        <f>IFERROR(__xludf.DUMMYFUNCTION("""COMPUTED_VALUE"""),"ATC")</f>
        <v>ATC</v>
      </c>
      <c r="Q59" s="77" t="str">
        <f>IFERROR(__xludf.DUMMYFUNCTION("""COMPUTED_VALUE"""),"REJECT")</f>
        <v>REJECT</v>
      </c>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row>
    <row r="60">
      <c r="A60" s="93"/>
      <c r="B60" s="85"/>
      <c r="C60" s="86"/>
      <c r="D60" s="93"/>
      <c r="E60" s="85"/>
      <c r="F60" s="85"/>
      <c r="G60" s="86"/>
      <c r="H60" s="78" t="str">
        <f>IFERROR(__xludf.DUMMYFUNCTION("""COMPUTED_VALUE"""),"45974United States")</f>
        <v>45974United States</v>
      </c>
      <c r="I60" s="85" t="str">
        <f>IFERROR(__xludf.DUMMYFUNCTION("""COMPUTED_VALUE"""),"United States")</f>
        <v>United States</v>
      </c>
      <c r="J60" s="101">
        <f>IFERROR(__xludf.DUMMYFUNCTION("""COMPUTED_VALUE"""),45974.0)</f>
        <v>45974</v>
      </c>
      <c r="K60" s="104" t="str">
        <f>IFERROR(__xludf.DUMMYFUNCTION("""COMPUTED_VALUE"""),"The FAA's emergency")</f>
        <v>The FAA's emergency</v>
      </c>
      <c r="L60" s="86" t="str">
        <f>IFERROR(__xludf.DUMMYFUNCTION("""COMPUTED_VALUE"""),"REJECT")</f>
        <v>REJECT</v>
      </c>
      <c r="M60" s="78" t="str">
        <f>IFERROR(__xludf.DUMMYFUNCTION("""COMPUTED_VALUE"""),"45499BSL")</f>
        <v>45499BSL</v>
      </c>
      <c r="N60" s="81" t="str">
        <f>IFERROR(__xludf.DUMMYFUNCTION("""COMPUTED_VALUE"""),"BSL")</f>
        <v>BSL</v>
      </c>
      <c r="O60" s="82">
        <f>IFERROR(__xludf.DUMMYFUNCTION("""COMPUTED_VALUE"""),45499.0)</f>
        <v>45499</v>
      </c>
      <c r="P60" s="107" t="str">
        <f>IFERROR(__xludf.DUMMYFUNCTION("""COMPUTED_VALUE"""),"safety reasons")</f>
        <v>safety reasons</v>
      </c>
      <c r="Q60" s="77" t="str">
        <f>IFERROR(__xludf.DUMMYFUNCTION("""COMPUTED_VALUE"""),"REJECT")</f>
        <v>REJECT</v>
      </c>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row>
    <row r="61">
      <c r="A61" s="93"/>
      <c r="B61" s="85"/>
      <c r="C61" s="86"/>
      <c r="D61" s="93"/>
      <c r="E61" s="85"/>
      <c r="F61" s="85"/>
      <c r="G61" s="86"/>
      <c r="H61" s="78" t="str">
        <f>IFERROR(__xludf.DUMMYFUNCTION("""COMPUTED_VALUE"""),"45975United States")</f>
        <v>45975United States</v>
      </c>
      <c r="I61" s="85" t="str">
        <f>IFERROR(__xludf.DUMMYFUNCTION("""COMPUTED_VALUE"""),"United States")</f>
        <v>United States</v>
      </c>
      <c r="J61" s="101">
        <f>IFERROR(__xludf.DUMMYFUNCTION("""COMPUTED_VALUE"""),45975.0)</f>
        <v>45975</v>
      </c>
      <c r="K61" s="104" t="str">
        <f>IFERROR(__xludf.DUMMYFUNCTION("""COMPUTED_VALUE"""),"The FAA's emergency")</f>
        <v>The FAA's emergency</v>
      </c>
      <c r="L61" s="86" t="str">
        <f>IFERROR(__xludf.DUMMYFUNCTION("""COMPUTED_VALUE"""),"REJECT")</f>
        <v>REJECT</v>
      </c>
      <c r="M61" s="78" t="str">
        <f>IFERROR(__xludf.DUMMYFUNCTION("""COMPUTED_VALUE"""),"45505BEG")</f>
        <v>45505BEG</v>
      </c>
      <c r="N61" s="81" t="str">
        <f>IFERROR(__xludf.DUMMYFUNCTION("""COMPUTED_VALUE"""),"BEG")</f>
        <v>BEG</v>
      </c>
      <c r="O61" s="82">
        <f>IFERROR(__xludf.DUMMYFUNCTION("""COMPUTED_VALUE"""),45505.0)</f>
        <v>45505</v>
      </c>
      <c r="P61" s="107" t="str">
        <f>IFERROR(__xludf.DUMMYFUNCTION("""COMPUTED_VALUE"""),"malfunction in Airport's IT system")</f>
        <v>malfunction in Airport's IT system</v>
      </c>
      <c r="Q61" s="77" t="str">
        <f>IFERROR(__xludf.DUMMYFUNCTION("""COMPUTED_VALUE"""),"REJECT")</f>
        <v>REJECT</v>
      </c>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row>
    <row r="62">
      <c r="A62" s="93"/>
      <c r="B62" s="85"/>
      <c r="C62" s="86"/>
      <c r="D62" s="93"/>
      <c r="E62" s="85"/>
      <c r="F62" s="85"/>
      <c r="G62" s="86"/>
      <c r="H62" s="78" t="str">
        <f>IFERROR(__xludf.DUMMYFUNCTION("""COMPUTED_VALUE"""),"45989Italy")</f>
        <v>45989Italy</v>
      </c>
      <c r="I62" s="85" t="str">
        <f>IFERROR(__xludf.DUMMYFUNCTION("""COMPUTED_VALUE"""),"Italy")</f>
        <v>Italy</v>
      </c>
      <c r="J62" s="101">
        <f>IFERROR(__xludf.DUMMYFUNCTION("""COMPUTED_VALUE"""),45989.0)</f>
        <v>45989</v>
      </c>
      <c r="K62" s="104" t="str">
        <f>IFERROR(__xludf.DUMMYFUNCTION("""COMPUTED_VALUE"""),"Strike, Proceed if the client and airline didn't mention strike ")</f>
        <v>Strike, Proceed if the client and airline didn't mention strike </v>
      </c>
      <c r="L62" s="86" t="str">
        <f>IFERROR(__xludf.DUMMYFUNCTION("""COMPUTED_VALUE"""),"REJECT")</f>
        <v>REJECT</v>
      </c>
      <c r="M62" s="78" t="str">
        <f>IFERROR(__xludf.DUMMYFUNCTION("""COMPUTED_VALUE"""),"45547CRL")</f>
        <v>45547CRL</v>
      </c>
      <c r="N62" s="81" t="str">
        <f>IFERROR(__xludf.DUMMYFUNCTION("""COMPUTED_VALUE"""),"CRL")</f>
        <v>CRL</v>
      </c>
      <c r="O62" s="82">
        <f>IFERROR(__xludf.DUMMYFUNCTION("""COMPUTED_VALUE"""),45547.0)</f>
        <v>45547</v>
      </c>
      <c r="P62" s="107" t="str">
        <f>IFERROR(__xludf.DUMMYFUNCTION("""COMPUTED_VALUE"""),"Labour Strike")</f>
        <v>Labour Strike</v>
      </c>
      <c r="Q62" s="77" t="str">
        <f>IFERROR(__xludf.DUMMYFUNCTION("""COMPUTED_VALUE"""),"REJECT")</f>
        <v>REJECT</v>
      </c>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row>
    <row r="63">
      <c r="A63" s="93"/>
      <c r="B63" s="85"/>
      <c r="C63" s="86"/>
      <c r="D63" s="93"/>
      <c r="E63" s="85"/>
      <c r="F63" s="85"/>
      <c r="G63" s="86"/>
      <c r="H63" s="78" t="str">
        <f>IFERROR(__xludf.DUMMYFUNCTION("""COMPUTED_VALUE"""),"46026Greece")</f>
        <v>46026Greece</v>
      </c>
      <c r="I63" s="85" t="str">
        <f>IFERROR(__xludf.DUMMYFUNCTION("""COMPUTED_VALUE"""),"Greece")</f>
        <v>Greece</v>
      </c>
      <c r="J63" s="101">
        <f>IFERROR(__xludf.DUMMYFUNCTION("""COMPUTED_VALUE"""),46026.0)</f>
        <v>46026</v>
      </c>
      <c r="K63" s="104" t="str">
        <f>IFERROR(__xludf.DUMMYFUNCTION("""COMPUTED_VALUE"""),"ATC Strike")</f>
        <v>ATC Strike</v>
      </c>
      <c r="L63" s="86" t="str">
        <f>IFERROR(__xludf.DUMMYFUNCTION("""COMPUTED_VALUE"""),"REJECT")</f>
        <v>REJECT</v>
      </c>
      <c r="M63" s="78" t="str">
        <f>IFERROR(__xludf.DUMMYFUNCTION("""COMPUTED_VALUE"""),"45548CRL")</f>
        <v>45548CRL</v>
      </c>
      <c r="N63" s="81" t="str">
        <f>IFERROR(__xludf.DUMMYFUNCTION("""COMPUTED_VALUE"""),"CRL")</f>
        <v>CRL</v>
      </c>
      <c r="O63" s="82">
        <f>IFERROR(__xludf.DUMMYFUNCTION("""COMPUTED_VALUE"""),45548.0)</f>
        <v>45548</v>
      </c>
      <c r="P63" s="107" t="str">
        <f>IFERROR(__xludf.DUMMYFUNCTION("""COMPUTED_VALUE"""),"Labour Strike")</f>
        <v>Labour Strike</v>
      </c>
      <c r="Q63" s="77" t="str">
        <f>IFERROR(__xludf.DUMMYFUNCTION("""COMPUTED_VALUE"""),"REJECT")</f>
        <v>REJECT</v>
      </c>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row>
    <row r="64">
      <c r="A64" s="93"/>
      <c r="B64" s="85"/>
      <c r="C64" s="86"/>
      <c r="D64" s="93"/>
      <c r="E64" s="85"/>
      <c r="F64" s="85"/>
      <c r="G64" s="86"/>
      <c r="H64" s="78" t="str">
        <f>IFERROR(__xludf.DUMMYFUNCTION("""COMPUTED_VALUE"""),"46071Romania")</f>
        <v>46071Romania</v>
      </c>
      <c r="I64" s="85" t="str">
        <f>IFERROR(__xludf.DUMMYFUNCTION("""COMPUTED_VALUE"""),"Romania")</f>
        <v>Romania</v>
      </c>
      <c r="J64" s="101">
        <f>IFERROR(__xludf.DUMMYFUNCTION("""COMPUTED_VALUE"""),46071.0)</f>
        <v>46071</v>
      </c>
      <c r="K64" s="104" t="str">
        <f>IFERROR(__xludf.DUMMYFUNCTION("""COMPUTED_VALUE"""),"Snow Storm")</f>
        <v>Snow Storm</v>
      </c>
      <c r="L64" s="86" t="str">
        <f>IFERROR(__xludf.DUMMYFUNCTION("""COMPUTED_VALUE"""),"REJECT")</f>
        <v>REJECT</v>
      </c>
      <c r="M64" s="78" t="str">
        <f>IFERROR(__xludf.DUMMYFUNCTION("""COMPUTED_VALUE"""),"45551BRU")</f>
        <v>45551BRU</v>
      </c>
      <c r="N64" s="81" t="str">
        <f>IFERROR(__xludf.DUMMYFUNCTION("""COMPUTED_VALUE"""),"BRU")</f>
        <v>BRU</v>
      </c>
      <c r="O64" s="82">
        <f>IFERROR(__xludf.DUMMYFUNCTION("""COMPUTED_VALUE"""),45551.0)</f>
        <v>45551</v>
      </c>
      <c r="P64" s="107" t="str">
        <f>IFERROR(__xludf.DUMMYFUNCTION("""COMPUTED_VALUE"""),"strike")</f>
        <v>strike</v>
      </c>
      <c r="Q64" s="77" t="str">
        <f>IFERROR(__xludf.DUMMYFUNCTION("""COMPUTED_VALUE"""),"REJECT")</f>
        <v>REJECT</v>
      </c>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row>
    <row r="65">
      <c r="A65" s="93"/>
      <c r="B65" s="85"/>
      <c r="C65" s="86"/>
      <c r="D65" s="93"/>
      <c r="E65" s="85"/>
      <c r="F65" s="85"/>
      <c r="G65" s="86"/>
      <c r="H65" s="78" t="str">
        <f>IFERROR(__xludf.DUMMYFUNCTION("""COMPUTED_VALUE"""),"46072Romania")</f>
        <v>46072Romania</v>
      </c>
      <c r="I65" s="85" t="str">
        <f>IFERROR(__xludf.DUMMYFUNCTION("""COMPUTED_VALUE"""),"Romania")</f>
        <v>Romania</v>
      </c>
      <c r="J65" s="101">
        <f>IFERROR(__xludf.DUMMYFUNCTION("""COMPUTED_VALUE"""),46072.0)</f>
        <v>46072</v>
      </c>
      <c r="K65" s="104" t="str">
        <f>IFERROR(__xludf.DUMMYFUNCTION("""COMPUTED_VALUE"""),"Snow Storm")</f>
        <v>Snow Storm</v>
      </c>
      <c r="L65" s="86" t="str">
        <f>IFERROR(__xludf.DUMMYFUNCTION("""COMPUTED_VALUE"""),"REJECT")</f>
        <v>REJECT</v>
      </c>
      <c r="M65" s="78" t="str">
        <f>IFERROR(__xludf.DUMMYFUNCTION("""COMPUTED_VALUE"""),"45566BGY")</f>
        <v>45566BGY</v>
      </c>
      <c r="N65" s="81" t="str">
        <f>IFERROR(__xludf.DUMMYFUNCTION("""COMPUTED_VALUE"""),"BGY")</f>
        <v>BGY</v>
      </c>
      <c r="O65" s="82">
        <f>IFERROR(__xludf.DUMMYFUNCTION("""COMPUTED_VALUE"""),45566.0)</f>
        <v>45566</v>
      </c>
      <c r="P65" s="107" t="str">
        <f>IFERROR(__xludf.DUMMYFUNCTION("""COMPUTED_VALUE"""),"Runway incident")</f>
        <v>Runway incident</v>
      </c>
      <c r="Q65" s="77" t="str">
        <f>IFERROR(__xludf.DUMMYFUNCTION("""COMPUTED_VALUE"""),"REJECT")</f>
        <v>REJECT</v>
      </c>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row>
    <row r="66">
      <c r="A66" s="93"/>
      <c r="B66" s="85"/>
      <c r="C66" s="86"/>
      <c r="D66" s="93"/>
      <c r="E66" s="85"/>
      <c r="F66" s="85"/>
      <c r="G66" s="86"/>
      <c r="H66" s="78" t="str">
        <f>IFERROR(__xludf.DUMMYFUNCTION("""COMPUTED_VALUE"""),"46081United Arab Emirates")</f>
        <v>46081United Arab Emirates</v>
      </c>
      <c r="I66" s="85" t="str">
        <f>IFERROR(__xludf.DUMMYFUNCTION("""COMPUTED_VALUE"""),"United Arab Emirates")</f>
        <v>United Arab Emirates</v>
      </c>
      <c r="J66" s="101">
        <f>IFERROR(__xludf.DUMMYFUNCTION("""COMPUTED_VALUE"""),46081.0)</f>
        <v>46081</v>
      </c>
      <c r="K66" s="85" t="str">
        <f>IFERROR(__xludf.DUMMYFUNCTION("""COMPUTED_VALUE"""),"Closed post-strikes")</f>
        <v>Closed post-strikes</v>
      </c>
      <c r="L66" s="86" t="str">
        <f>IFERROR(__xludf.DUMMYFUNCTION("""COMPUTED_VALUE"""),"REJECT")</f>
        <v>REJECT</v>
      </c>
      <c r="M66" s="78" t="str">
        <f>IFERROR(__xludf.DUMMYFUNCTION("""COMPUTED_VALUE"""),"45573DAB")</f>
        <v>45573DAB</v>
      </c>
      <c r="N66" s="81" t="str">
        <f>IFERROR(__xludf.DUMMYFUNCTION("""COMPUTED_VALUE"""),"DAB")</f>
        <v>DAB</v>
      </c>
      <c r="O66" s="82">
        <f>IFERROR(__xludf.DUMMYFUNCTION("""COMPUTED_VALUE"""),45573.0)</f>
        <v>45573</v>
      </c>
      <c r="P66" s="107" t="str">
        <f>IFERROR(__xludf.DUMMYFUNCTION("""COMPUTED_VALUE"""),"Hurricane Milton")</f>
        <v>Hurricane Milton</v>
      </c>
      <c r="Q66" s="77" t="str">
        <f>IFERROR(__xludf.DUMMYFUNCTION("""COMPUTED_VALUE"""),"REJECT")</f>
        <v>REJECT</v>
      </c>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row>
    <row r="67">
      <c r="A67" s="93"/>
      <c r="B67" s="85"/>
      <c r="C67" s="86"/>
      <c r="D67" s="93"/>
      <c r="E67" s="85"/>
      <c r="F67" s="85"/>
      <c r="G67" s="86"/>
      <c r="H67" s="78" t="str">
        <f>IFERROR(__xludf.DUMMYFUNCTION("""COMPUTED_VALUE"""),"46082United Arab Emirates")</f>
        <v>46082United Arab Emirates</v>
      </c>
      <c r="I67" s="85" t="str">
        <f>IFERROR(__xludf.DUMMYFUNCTION("""COMPUTED_VALUE"""),"United Arab Emirates")</f>
        <v>United Arab Emirates</v>
      </c>
      <c r="J67" s="101">
        <f>IFERROR(__xludf.DUMMYFUNCTION("""COMPUTED_VALUE"""),46082.0)</f>
        <v>46082</v>
      </c>
      <c r="K67" s="85" t="str">
        <f>IFERROR(__xludf.DUMMYFUNCTION("""COMPUTED_VALUE"""),"Closed post-strikes")</f>
        <v>Closed post-strikes</v>
      </c>
      <c r="L67" s="86" t="str">
        <f>IFERROR(__xludf.DUMMYFUNCTION("""COMPUTED_VALUE"""),"REJECT")</f>
        <v>REJECT</v>
      </c>
      <c r="M67" s="78" t="str">
        <f>IFERROR(__xludf.DUMMYFUNCTION("""COMPUTED_VALUE"""),"45573LAL")</f>
        <v>45573LAL</v>
      </c>
      <c r="N67" s="81" t="str">
        <f>IFERROR(__xludf.DUMMYFUNCTION("""COMPUTED_VALUE"""),"LAL")</f>
        <v>LAL</v>
      </c>
      <c r="O67" s="82">
        <f>IFERROR(__xludf.DUMMYFUNCTION("""COMPUTED_VALUE"""),45573.0)</f>
        <v>45573</v>
      </c>
      <c r="P67" s="107" t="str">
        <f>IFERROR(__xludf.DUMMYFUNCTION("""COMPUTED_VALUE"""),"Hurricane Milton")</f>
        <v>Hurricane Milton</v>
      </c>
      <c r="Q67" s="77" t="str">
        <f>IFERROR(__xludf.DUMMYFUNCTION("""COMPUTED_VALUE"""),"REJECT")</f>
        <v>REJECT</v>
      </c>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row>
    <row r="68">
      <c r="A68" s="93"/>
      <c r="B68" s="85"/>
      <c r="C68" s="86"/>
      <c r="D68" s="93"/>
      <c r="E68" s="85"/>
      <c r="F68" s="85"/>
      <c r="G68" s="86"/>
      <c r="H68" s="78" t="str">
        <f>IFERROR(__xludf.DUMMYFUNCTION("""COMPUTED_VALUE"""),"46083United Arab Emirates")</f>
        <v>46083United Arab Emirates</v>
      </c>
      <c r="I68" s="85" t="str">
        <f>IFERROR(__xludf.DUMMYFUNCTION("""COMPUTED_VALUE"""),"United Arab Emirates")</f>
        <v>United Arab Emirates</v>
      </c>
      <c r="J68" s="101">
        <f>IFERROR(__xludf.DUMMYFUNCTION("""COMPUTED_VALUE"""),46083.0)</f>
        <v>46083</v>
      </c>
      <c r="K68" s="85" t="str">
        <f>IFERROR(__xludf.DUMMYFUNCTION("""COMPUTED_VALUE"""),"Closed post-strikes")</f>
        <v>Closed post-strikes</v>
      </c>
      <c r="L68" s="86" t="str">
        <f>IFERROR(__xludf.DUMMYFUNCTION("""COMPUTED_VALUE"""),"REJECT")</f>
        <v>REJECT</v>
      </c>
      <c r="M68" s="78" t="str">
        <f>IFERROR(__xludf.DUMMYFUNCTION("""COMPUTED_VALUE"""),"45573MCO")</f>
        <v>45573MCO</v>
      </c>
      <c r="N68" s="81" t="str">
        <f>IFERROR(__xludf.DUMMYFUNCTION("""COMPUTED_VALUE"""),"MCO")</f>
        <v>MCO</v>
      </c>
      <c r="O68" s="82">
        <f>IFERROR(__xludf.DUMMYFUNCTION("""COMPUTED_VALUE"""),45573.0)</f>
        <v>45573</v>
      </c>
      <c r="P68" s="107" t="str">
        <f>IFERROR(__xludf.DUMMYFUNCTION("""COMPUTED_VALUE"""),"Hurricane Milton")</f>
        <v>Hurricane Milton</v>
      </c>
      <c r="Q68" s="77" t="str">
        <f>IFERROR(__xludf.DUMMYFUNCTION("""COMPUTED_VALUE"""),"REJECT")</f>
        <v>REJECT</v>
      </c>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row>
    <row r="69">
      <c r="A69" s="93"/>
      <c r="B69" s="85"/>
      <c r="C69" s="86"/>
      <c r="D69" s="93"/>
      <c r="E69" s="85"/>
      <c r="F69" s="85"/>
      <c r="G69" s="86"/>
      <c r="H69" s="78" t="str">
        <f>IFERROR(__xludf.DUMMYFUNCTION("""COMPUTED_VALUE"""),"46081Qatar")</f>
        <v>46081Qatar</v>
      </c>
      <c r="I69" s="85" t="str">
        <f>IFERROR(__xludf.DUMMYFUNCTION("""COMPUTED_VALUE"""),"Qatar")</f>
        <v>Qatar</v>
      </c>
      <c r="J69" s="101">
        <f>IFERROR(__xludf.DUMMYFUNCTION("""COMPUTED_VALUE"""),46081.0)</f>
        <v>46081</v>
      </c>
      <c r="K69" s="85" t="str">
        <f>IFERROR(__xludf.DUMMYFUNCTION("""COMPUTED_VALUE"""),"Closed post-strikes")</f>
        <v>Closed post-strikes</v>
      </c>
      <c r="L69" s="86" t="str">
        <f>IFERROR(__xludf.DUMMYFUNCTION("""COMPUTED_VALUE"""),"REJECT")</f>
        <v>REJECT</v>
      </c>
      <c r="M69" s="78" t="str">
        <f>IFERROR(__xludf.DUMMYFUNCTION("""COMPUTED_VALUE"""),"45573MLB")</f>
        <v>45573MLB</v>
      </c>
      <c r="N69" s="81" t="str">
        <f>IFERROR(__xludf.DUMMYFUNCTION("""COMPUTED_VALUE"""),"MLB")</f>
        <v>MLB</v>
      </c>
      <c r="O69" s="82">
        <f>IFERROR(__xludf.DUMMYFUNCTION("""COMPUTED_VALUE"""),45573.0)</f>
        <v>45573</v>
      </c>
      <c r="P69" s="107" t="str">
        <f>IFERROR(__xludf.DUMMYFUNCTION("""COMPUTED_VALUE"""),"Hurricane Milton")</f>
        <v>Hurricane Milton</v>
      </c>
      <c r="Q69" s="77" t="str">
        <f>IFERROR(__xludf.DUMMYFUNCTION("""COMPUTED_VALUE"""),"REJECT")</f>
        <v>REJECT</v>
      </c>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row>
    <row r="70">
      <c r="A70" s="93"/>
      <c r="B70" s="85"/>
      <c r="C70" s="86"/>
      <c r="D70" s="93"/>
      <c r="E70" s="85"/>
      <c r="F70" s="85"/>
      <c r="G70" s="86"/>
      <c r="H70" s="78" t="str">
        <f>IFERROR(__xludf.DUMMYFUNCTION("""COMPUTED_VALUE"""),"46082Qatar")</f>
        <v>46082Qatar</v>
      </c>
      <c r="I70" s="85" t="str">
        <f>IFERROR(__xludf.DUMMYFUNCTION("""COMPUTED_VALUE"""),"Qatar")</f>
        <v>Qatar</v>
      </c>
      <c r="J70" s="101">
        <f>IFERROR(__xludf.DUMMYFUNCTION("""COMPUTED_VALUE"""),46082.0)</f>
        <v>46082</v>
      </c>
      <c r="K70" s="85" t="str">
        <f>IFERROR(__xludf.DUMMYFUNCTION("""COMPUTED_VALUE"""),"Closed post-strikes")</f>
        <v>Closed post-strikes</v>
      </c>
      <c r="L70" s="86" t="str">
        <f>IFERROR(__xludf.DUMMYFUNCTION("""COMPUTED_VALUE"""),"REJECT")</f>
        <v>REJECT</v>
      </c>
      <c r="M70" s="78" t="str">
        <f>IFERROR(__xludf.DUMMYFUNCTION("""COMPUTED_VALUE"""),"45573ORL")</f>
        <v>45573ORL</v>
      </c>
      <c r="N70" s="81" t="str">
        <f>IFERROR(__xludf.DUMMYFUNCTION("""COMPUTED_VALUE"""),"ORL")</f>
        <v>ORL</v>
      </c>
      <c r="O70" s="82">
        <f>IFERROR(__xludf.DUMMYFUNCTION("""COMPUTED_VALUE"""),45573.0)</f>
        <v>45573</v>
      </c>
      <c r="P70" s="107" t="str">
        <f>IFERROR(__xludf.DUMMYFUNCTION("""COMPUTED_VALUE"""),"Hurricane Milton")</f>
        <v>Hurricane Milton</v>
      </c>
      <c r="Q70" s="77" t="str">
        <f>IFERROR(__xludf.DUMMYFUNCTION("""COMPUTED_VALUE"""),"REJECT")</f>
        <v>REJECT</v>
      </c>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row>
    <row r="71">
      <c r="A71" s="93"/>
      <c r="B71" s="85"/>
      <c r="C71" s="86"/>
      <c r="D71" s="93"/>
      <c r="E71" s="85"/>
      <c r="F71" s="85"/>
      <c r="G71" s="86"/>
      <c r="H71" s="78" t="str">
        <f>IFERROR(__xludf.DUMMYFUNCTION("""COMPUTED_VALUE"""),"46083Qatar")</f>
        <v>46083Qatar</v>
      </c>
      <c r="I71" s="85" t="str">
        <f>IFERROR(__xludf.DUMMYFUNCTION("""COMPUTED_VALUE"""),"Qatar")</f>
        <v>Qatar</v>
      </c>
      <c r="J71" s="101">
        <f>IFERROR(__xludf.DUMMYFUNCTION("""COMPUTED_VALUE"""),46083.0)</f>
        <v>46083</v>
      </c>
      <c r="K71" s="85" t="str">
        <f>IFERROR(__xludf.DUMMYFUNCTION("""COMPUTED_VALUE"""),"Closed post-strikes")</f>
        <v>Closed post-strikes</v>
      </c>
      <c r="L71" s="86" t="str">
        <f>IFERROR(__xludf.DUMMYFUNCTION("""COMPUTED_VALUE"""),"REJECT")</f>
        <v>REJECT</v>
      </c>
      <c r="M71" s="78" t="str">
        <f>IFERROR(__xludf.DUMMYFUNCTION("""COMPUTED_VALUE"""),"45573PCM")</f>
        <v>45573PCM</v>
      </c>
      <c r="N71" s="81" t="str">
        <f>IFERROR(__xludf.DUMMYFUNCTION("""COMPUTED_VALUE"""),"PCM")</f>
        <v>PCM</v>
      </c>
      <c r="O71" s="82">
        <f>IFERROR(__xludf.DUMMYFUNCTION("""COMPUTED_VALUE"""),45573.0)</f>
        <v>45573</v>
      </c>
      <c r="P71" s="107" t="str">
        <f>IFERROR(__xludf.DUMMYFUNCTION("""COMPUTED_VALUE"""),"Hurricane Milton")</f>
        <v>Hurricane Milton</v>
      </c>
      <c r="Q71" s="77" t="str">
        <f>IFERROR(__xludf.DUMMYFUNCTION("""COMPUTED_VALUE"""),"REJECT")</f>
        <v>REJECT</v>
      </c>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row>
    <row r="72">
      <c r="A72" s="93"/>
      <c r="B72" s="85"/>
      <c r="C72" s="86"/>
      <c r="D72" s="93"/>
      <c r="E72" s="85"/>
      <c r="F72" s="85"/>
      <c r="G72" s="86"/>
      <c r="H72" s="78" t="str">
        <f>IFERROR(__xludf.DUMMYFUNCTION("""COMPUTED_VALUE"""),"46081Kuwait")</f>
        <v>46081Kuwait</v>
      </c>
      <c r="I72" s="85" t="str">
        <f>IFERROR(__xludf.DUMMYFUNCTION("""COMPUTED_VALUE"""),"Kuwait")</f>
        <v>Kuwait</v>
      </c>
      <c r="J72" s="101">
        <f>IFERROR(__xludf.DUMMYFUNCTION("""COMPUTED_VALUE"""),46081.0)</f>
        <v>46081</v>
      </c>
      <c r="K72" s="85" t="str">
        <f>IFERROR(__xludf.DUMMYFUNCTION("""COMPUTED_VALUE"""),"Closed post-strikes")</f>
        <v>Closed post-strikes</v>
      </c>
      <c r="L72" s="86" t="str">
        <f>IFERROR(__xludf.DUMMYFUNCTION("""COMPUTED_VALUE"""),"REJECT")</f>
        <v>REJECT</v>
      </c>
      <c r="M72" s="78" t="str">
        <f>IFERROR(__xludf.DUMMYFUNCTION("""COMPUTED_VALUE"""),"45573PIE")</f>
        <v>45573PIE</v>
      </c>
      <c r="N72" s="81" t="str">
        <f>IFERROR(__xludf.DUMMYFUNCTION("""COMPUTED_VALUE"""),"PIE")</f>
        <v>PIE</v>
      </c>
      <c r="O72" s="82">
        <f>IFERROR(__xludf.DUMMYFUNCTION("""COMPUTED_VALUE"""),45573.0)</f>
        <v>45573</v>
      </c>
      <c r="P72" s="107" t="str">
        <f>IFERROR(__xludf.DUMMYFUNCTION("""COMPUTED_VALUE"""),"Hurricane Milton")</f>
        <v>Hurricane Milton</v>
      </c>
      <c r="Q72" s="77" t="str">
        <f>IFERROR(__xludf.DUMMYFUNCTION("""COMPUTED_VALUE"""),"REJECT")</f>
        <v>REJECT</v>
      </c>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row>
    <row r="73">
      <c r="A73" s="93"/>
      <c r="B73" s="85"/>
      <c r="C73" s="86"/>
      <c r="D73" s="93"/>
      <c r="E73" s="85"/>
      <c r="F73" s="85"/>
      <c r="G73" s="86"/>
      <c r="H73" s="78" t="str">
        <f>IFERROR(__xludf.DUMMYFUNCTION("""COMPUTED_VALUE"""),"46082Kuwait")</f>
        <v>46082Kuwait</v>
      </c>
      <c r="I73" s="85" t="str">
        <f>IFERROR(__xludf.DUMMYFUNCTION("""COMPUTED_VALUE"""),"Kuwait")</f>
        <v>Kuwait</v>
      </c>
      <c r="J73" s="101">
        <f>IFERROR(__xludf.DUMMYFUNCTION("""COMPUTED_VALUE"""),46082.0)</f>
        <v>46082</v>
      </c>
      <c r="K73" s="85" t="str">
        <f>IFERROR(__xludf.DUMMYFUNCTION("""COMPUTED_VALUE"""),"Closed post-strikes")</f>
        <v>Closed post-strikes</v>
      </c>
      <c r="L73" s="86" t="str">
        <f>IFERROR(__xludf.DUMMYFUNCTION("""COMPUTED_VALUE"""),"REJECT")</f>
        <v>REJECT</v>
      </c>
      <c r="M73" s="78" t="str">
        <f>IFERROR(__xludf.DUMMYFUNCTION("""COMPUTED_VALUE"""),"45573RSW")</f>
        <v>45573RSW</v>
      </c>
      <c r="N73" s="81" t="str">
        <f>IFERROR(__xludf.DUMMYFUNCTION("""COMPUTED_VALUE"""),"RSW")</f>
        <v>RSW</v>
      </c>
      <c r="O73" s="82">
        <f>IFERROR(__xludf.DUMMYFUNCTION("""COMPUTED_VALUE"""),45573.0)</f>
        <v>45573</v>
      </c>
      <c r="P73" s="107" t="str">
        <f>IFERROR(__xludf.DUMMYFUNCTION("""COMPUTED_VALUE"""),"Hurricane Milton")</f>
        <v>Hurricane Milton</v>
      </c>
      <c r="Q73" s="77" t="str">
        <f>IFERROR(__xludf.DUMMYFUNCTION("""COMPUTED_VALUE"""),"REJECT")</f>
        <v>REJECT</v>
      </c>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row>
    <row r="74">
      <c r="A74" s="93"/>
      <c r="B74" s="85"/>
      <c r="C74" s="86"/>
      <c r="D74" s="93"/>
      <c r="E74" s="85"/>
      <c r="F74" s="85"/>
      <c r="G74" s="86"/>
      <c r="H74" s="78" t="str">
        <f>IFERROR(__xludf.DUMMYFUNCTION("""COMPUTED_VALUE"""),"46083Kuwait")</f>
        <v>46083Kuwait</v>
      </c>
      <c r="I74" s="85" t="str">
        <f>IFERROR(__xludf.DUMMYFUNCTION("""COMPUTED_VALUE"""),"Kuwait")</f>
        <v>Kuwait</v>
      </c>
      <c r="J74" s="101">
        <f>IFERROR(__xludf.DUMMYFUNCTION("""COMPUTED_VALUE"""),46083.0)</f>
        <v>46083</v>
      </c>
      <c r="K74" s="85" t="str">
        <f>IFERROR(__xludf.DUMMYFUNCTION("""COMPUTED_VALUE"""),"Closed post-strikes")</f>
        <v>Closed post-strikes</v>
      </c>
      <c r="L74" s="86" t="str">
        <f>IFERROR(__xludf.DUMMYFUNCTION("""COMPUTED_VALUE"""),"REJECT")</f>
        <v>REJECT</v>
      </c>
      <c r="M74" s="78" t="str">
        <f>IFERROR(__xludf.DUMMYFUNCTION("""COMPUTED_VALUE"""),"45573SFB")</f>
        <v>45573SFB</v>
      </c>
      <c r="N74" s="81" t="str">
        <f>IFERROR(__xludf.DUMMYFUNCTION("""COMPUTED_VALUE"""),"SFB")</f>
        <v>SFB</v>
      </c>
      <c r="O74" s="82">
        <f>IFERROR(__xludf.DUMMYFUNCTION("""COMPUTED_VALUE"""),45573.0)</f>
        <v>45573</v>
      </c>
      <c r="P74" s="107" t="str">
        <f>IFERROR(__xludf.DUMMYFUNCTION("""COMPUTED_VALUE"""),"Hurricane Milton")</f>
        <v>Hurricane Milton</v>
      </c>
      <c r="Q74" s="77" t="str">
        <f>IFERROR(__xludf.DUMMYFUNCTION("""COMPUTED_VALUE"""),"REJECT")</f>
        <v>REJECT</v>
      </c>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row>
    <row r="75">
      <c r="A75" s="93"/>
      <c r="B75" s="85"/>
      <c r="C75" s="86"/>
      <c r="D75" s="93"/>
      <c r="E75" s="85"/>
      <c r="F75" s="85"/>
      <c r="G75" s="86"/>
      <c r="H75" s="78" t="str">
        <f>IFERROR(__xludf.DUMMYFUNCTION("""COMPUTED_VALUE"""),"46081Jordan")</f>
        <v>46081Jordan</v>
      </c>
      <c r="I75" s="85" t="str">
        <f>IFERROR(__xludf.DUMMYFUNCTION("""COMPUTED_VALUE"""),"Jordan")</f>
        <v>Jordan</v>
      </c>
      <c r="J75" s="101">
        <f>IFERROR(__xludf.DUMMYFUNCTION("""COMPUTED_VALUE"""),46081.0)</f>
        <v>46081</v>
      </c>
      <c r="K75" s="85" t="str">
        <f>IFERROR(__xludf.DUMMYFUNCTION("""COMPUTED_VALUE"""),"Closed post-strikes")</f>
        <v>Closed post-strikes</v>
      </c>
      <c r="L75" s="86" t="str">
        <f>IFERROR(__xludf.DUMMYFUNCTION("""COMPUTED_VALUE"""),"REJECT")</f>
        <v>REJECT</v>
      </c>
      <c r="M75" s="78" t="str">
        <f>IFERROR(__xludf.DUMMYFUNCTION("""COMPUTED_VALUE"""),"45573SRQ")</f>
        <v>45573SRQ</v>
      </c>
      <c r="N75" s="81" t="str">
        <f>IFERROR(__xludf.DUMMYFUNCTION("""COMPUTED_VALUE"""),"SRQ")</f>
        <v>SRQ</v>
      </c>
      <c r="O75" s="82">
        <f>IFERROR(__xludf.DUMMYFUNCTION("""COMPUTED_VALUE"""),45573.0)</f>
        <v>45573</v>
      </c>
      <c r="P75" s="107" t="str">
        <f>IFERROR(__xludf.DUMMYFUNCTION("""COMPUTED_VALUE"""),"Hurricane Milton")</f>
        <v>Hurricane Milton</v>
      </c>
      <c r="Q75" s="77" t="str">
        <f>IFERROR(__xludf.DUMMYFUNCTION("""COMPUTED_VALUE"""),"REJECT")</f>
        <v>REJECT</v>
      </c>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row>
    <row r="76">
      <c r="A76" s="93"/>
      <c r="B76" s="85"/>
      <c r="C76" s="86"/>
      <c r="D76" s="93"/>
      <c r="E76" s="85"/>
      <c r="F76" s="85"/>
      <c r="G76" s="86"/>
      <c r="H76" s="78" t="str">
        <f>IFERROR(__xludf.DUMMYFUNCTION("""COMPUTED_VALUE"""),"46082Jordan")</f>
        <v>46082Jordan</v>
      </c>
      <c r="I76" s="85" t="str">
        <f>IFERROR(__xludf.DUMMYFUNCTION("""COMPUTED_VALUE"""),"Jordan")</f>
        <v>Jordan</v>
      </c>
      <c r="J76" s="101">
        <f>IFERROR(__xludf.DUMMYFUNCTION("""COMPUTED_VALUE"""),46082.0)</f>
        <v>46082</v>
      </c>
      <c r="K76" s="85" t="str">
        <f>IFERROR(__xludf.DUMMYFUNCTION("""COMPUTED_VALUE"""),"Closed post-strikes")</f>
        <v>Closed post-strikes</v>
      </c>
      <c r="L76" s="86" t="str">
        <f>IFERROR(__xludf.DUMMYFUNCTION("""COMPUTED_VALUE"""),"REJECT")</f>
        <v>REJECT</v>
      </c>
      <c r="M76" s="78" t="str">
        <f>IFERROR(__xludf.DUMMYFUNCTION("""COMPUTED_VALUE"""),"45573TPA")</f>
        <v>45573TPA</v>
      </c>
      <c r="N76" s="81" t="str">
        <f>IFERROR(__xludf.DUMMYFUNCTION("""COMPUTED_VALUE"""),"TPA")</f>
        <v>TPA</v>
      </c>
      <c r="O76" s="82">
        <f>IFERROR(__xludf.DUMMYFUNCTION("""COMPUTED_VALUE"""),45573.0)</f>
        <v>45573</v>
      </c>
      <c r="P76" s="107" t="str">
        <f>IFERROR(__xludf.DUMMYFUNCTION("""COMPUTED_VALUE"""),"Hurricane Milton")</f>
        <v>Hurricane Milton</v>
      </c>
      <c r="Q76" s="77" t="str">
        <f>IFERROR(__xludf.DUMMYFUNCTION("""COMPUTED_VALUE"""),"REJECT")</f>
        <v>REJECT</v>
      </c>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row>
    <row r="77">
      <c r="A77" s="93"/>
      <c r="B77" s="85"/>
      <c r="C77" s="86"/>
      <c r="D77" s="93"/>
      <c r="E77" s="85"/>
      <c r="F77" s="85"/>
      <c r="G77" s="86"/>
      <c r="H77" s="78" t="str">
        <f>IFERROR(__xludf.DUMMYFUNCTION("""COMPUTED_VALUE"""),"46083Jordan")</f>
        <v>46083Jordan</v>
      </c>
      <c r="I77" s="85" t="str">
        <f>IFERROR(__xludf.DUMMYFUNCTION("""COMPUTED_VALUE"""),"Jordan")</f>
        <v>Jordan</v>
      </c>
      <c r="J77" s="101">
        <f>IFERROR(__xludf.DUMMYFUNCTION("""COMPUTED_VALUE"""),46083.0)</f>
        <v>46083</v>
      </c>
      <c r="K77" s="85" t="str">
        <f>IFERROR(__xludf.DUMMYFUNCTION("""COMPUTED_VALUE"""),"Closed post-strikes")</f>
        <v>Closed post-strikes</v>
      </c>
      <c r="L77" s="86" t="str">
        <f>IFERROR(__xludf.DUMMYFUNCTION("""COMPUTED_VALUE"""),"REJECT")</f>
        <v>REJECT</v>
      </c>
      <c r="M77" s="78" t="str">
        <f>IFERROR(__xludf.DUMMYFUNCTION("""COMPUTED_VALUE"""),"45573TPF")</f>
        <v>45573TPF</v>
      </c>
      <c r="N77" s="81" t="str">
        <f>IFERROR(__xludf.DUMMYFUNCTION("""COMPUTED_VALUE"""),"TPF")</f>
        <v>TPF</v>
      </c>
      <c r="O77" s="82">
        <f>IFERROR(__xludf.DUMMYFUNCTION("""COMPUTED_VALUE"""),45573.0)</f>
        <v>45573</v>
      </c>
      <c r="P77" s="107" t="str">
        <f>IFERROR(__xludf.DUMMYFUNCTION("""COMPUTED_VALUE"""),"Hurricane Milton")</f>
        <v>Hurricane Milton</v>
      </c>
      <c r="Q77" s="77" t="str">
        <f>IFERROR(__xludf.DUMMYFUNCTION("""COMPUTED_VALUE"""),"REJECT")</f>
        <v>REJECT</v>
      </c>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row>
    <row r="78">
      <c r="A78" s="93"/>
      <c r="B78" s="85"/>
      <c r="C78" s="86"/>
      <c r="D78" s="93"/>
      <c r="E78" s="85"/>
      <c r="F78" s="85"/>
      <c r="G78" s="86"/>
      <c r="H78" s="78" t="str">
        <f>IFERROR(__xludf.DUMMYFUNCTION("""COMPUTED_VALUE"""),"46081Bahrain")</f>
        <v>46081Bahrain</v>
      </c>
      <c r="I78" s="85" t="str">
        <f>IFERROR(__xludf.DUMMYFUNCTION("""COMPUTED_VALUE"""),"Bahrain")</f>
        <v>Bahrain</v>
      </c>
      <c r="J78" s="101">
        <f>IFERROR(__xludf.DUMMYFUNCTION("""COMPUTED_VALUE"""),46081.0)</f>
        <v>46081</v>
      </c>
      <c r="K78" s="85" t="str">
        <f>IFERROR(__xludf.DUMMYFUNCTION("""COMPUTED_VALUE"""),"Closed post-strikes")</f>
        <v>Closed post-strikes</v>
      </c>
      <c r="L78" s="86" t="str">
        <f>IFERROR(__xludf.DUMMYFUNCTION("""COMPUTED_VALUE"""),"REJECT")</f>
        <v>REJECT</v>
      </c>
      <c r="M78" s="78" t="str">
        <f>IFERROR(__xludf.DUMMYFUNCTION("""COMPUTED_VALUE"""),"45573VDF")</f>
        <v>45573VDF</v>
      </c>
      <c r="N78" s="81" t="str">
        <f>IFERROR(__xludf.DUMMYFUNCTION("""COMPUTED_VALUE"""),"VDF")</f>
        <v>VDF</v>
      </c>
      <c r="O78" s="82">
        <f>IFERROR(__xludf.DUMMYFUNCTION("""COMPUTED_VALUE"""),45573.0)</f>
        <v>45573</v>
      </c>
      <c r="P78" s="107" t="str">
        <f>IFERROR(__xludf.DUMMYFUNCTION("""COMPUTED_VALUE"""),"Hurricane Milton")</f>
        <v>Hurricane Milton</v>
      </c>
      <c r="Q78" s="77" t="str">
        <f>IFERROR(__xludf.DUMMYFUNCTION("""COMPUTED_VALUE"""),"REJECT")</f>
        <v>REJECT</v>
      </c>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row>
    <row r="79">
      <c r="A79" s="93"/>
      <c r="B79" s="85"/>
      <c r="C79" s="86"/>
      <c r="D79" s="93"/>
      <c r="E79" s="85"/>
      <c r="F79" s="85"/>
      <c r="G79" s="86"/>
      <c r="H79" s="78" t="str">
        <f>IFERROR(__xludf.DUMMYFUNCTION("""COMPUTED_VALUE"""),"46082Bahrain")</f>
        <v>46082Bahrain</v>
      </c>
      <c r="I79" s="85" t="str">
        <f>IFERROR(__xludf.DUMMYFUNCTION("""COMPUTED_VALUE"""),"Bahrain")</f>
        <v>Bahrain</v>
      </c>
      <c r="J79" s="101">
        <f>IFERROR(__xludf.DUMMYFUNCTION("""COMPUTED_VALUE"""),46082.0)</f>
        <v>46082</v>
      </c>
      <c r="K79" s="85" t="str">
        <f>IFERROR(__xludf.DUMMYFUNCTION("""COMPUTED_VALUE"""),"Closed post-strikes")</f>
        <v>Closed post-strikes</v>
      </c>
      <c r="L79" s="86" t="str">
        <f>IFERROR(__xludf.DUMMYFUNCTION("""COMPUTED_VALUE"""),"REJECT")</f>
        <v>REJECT</v>
      </c>
      <c r="M79" s="78" t="str">
        <f>IFERROR(__xludf.DUMMYFUNCTION("""COMPUTED_VALUE"""),"45574DAB")</f>
        <v>45574DAB</v>
      </c>
      <c r="N79" s="81" t="str">
        <f>IFERROR(__xludf.DUMMYFUNCTION("""COMPUTED_VALUE"""),"DAB")</f>
        <v>DAB</v>
      </c>
      <c r="O79" s="82">
        <f>IFERROR(__xludf.DUMMYFUNCTION("""COMPUTED_VALUE"""),45574.0)</f>
        <v>45574</v>
      </c>
      <c r="P79" s="107" t="str">
        <f>IFERROR(__xludf.DUMMYFUNCTION("""COMPUTED_VALUE"""),"Hurricane Milton")</f>
        <v>Hurricane Milton</v>
      </c>
      <c r="Q79" s="77" t="str">
        <f>IFERROR(__xludf.DUMMYFUNCTION("""COMPUTED_VALUE"""),"REJECT")</f>
        <v>REJECT</v>
      </c>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row>
    <row r="80">
      <c r="A80" s="93"/>
      <c r="B80" s="85"/>
      <c r="C80" s="86"/>
      <c r="D80" s="93"/>
      <c r="E80" s="85"/>
      <c r="F80" s="85"/>
      <c r="G80" s="86"/>
      <c r="H80" s="78" t="str">
        <f>IFERROR(__xludf.DUMMYFUNCTION("""COMPUTED_VALUE"""),"46083Bahrain")</f>
        <v>46083Bahrain</v>
      </c>
      <c r="I80" s="85" t="str">
        <f>IFERROR(__xludf.DUMMYFUNCTION("""COMPUTED_VALUE"""),"Bahrain")</f>
        <v>Bahrain</v>
      </c>
      <c r="J80" s="101">
        <f>IFERROR(__xludf.DUMMYFUNCTION("""COMPUTED_VALUE"""),46083.0)</f>
        <v>46083</v>
      </c>
      <c r="K80" s="85" t="str">
        <f>IFERROR(__xludf.DUMMYFUNCTION("""COMPUTED_VALUE"""),"Closed post-strikes")</f>
        <v>Closed post-strikes</v>
      </c>
      <c r="L80" s="86" t="str">
        <f>IFERROR(__xludf.DUMMYFUNCTION("""COMPUTED_VALUE"""),"REJECT")</f>
        <v>REJECT</v>
      </c>
      <c r="M80" s="78" t="str">
        <f>IFERROR(__xludf.DUMMYFUNCTION("""COMPUTED_VALUE"""),"45574LAL")</f>
        <v>45574LAL</v>
      </c>
      <c r="N80" s="81" t="str">
        <f>IFERROR(__xludf.DUMMYFUNCTION("""COMPUTED_VALUE"""),"LAL")</f>
        <v>LAL</v>
      </c>
      <c r="O80" s="82">
        <f>IFERROR(__xludf.DUMMYFUNCTION("""COMPUTED_VALUE"""),45574.0)</f>
        <v>45574</v>
      </c>
      <c r="P80" s="107" t="str">
        <f>IFERROR(__xludf.DUMMYFUNCTION("""COMPUTED_VALUE"""),"Hurricane Milton")</f>
        <v>Hurricane Milton</v>
      </c>
      <c r="Q80" s="77" t="str">
        <f>IFERROR(__xludf.DUMMYFUNCTION("""COMPUTED_VALUE"""),"REJECT")</f>
        <v>REJECT</v>
      </c>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row>
    <row r="81">
      <c r="A81" s="93"/>
      <c r="B81" s="85"/>
      <c r="C81" s="86"/>
      <c r="D81" s="93"/>
      <c r="E81" s="85"/>
      <c r="F81" s="85"/>
      <c r="G81" s="86"/>
      <c r="H81" s="78" t="str">
        <f>IFERROR(__xludf.DUMMYFUNCTION("""COMPUTED_VALUE"""),"46081Iran")</f>
        <v>46081Iran</v>
      </c>
      <c r="I81" s="85" t="str">
        <f>IFERROR(__xludf.DUMMYFUNCTION("""COMPUTED_VALUE"""),"Iran")</f>
        <v>Iran</v>
      </c>
      <c r="J81" s="101">
        <f>IFERROR(__xludf.DUMMYFUNCTION("""COMPUTED_VALUE"""),46081.0)</f>
        <v>46081</v>
      </c>
      <c r="K81" s="85" t="str">
        <f>IFERROR(__xludf.DUMMYFUNCTION("""COMPUTED_VALUE"""),"Closed post-strikes")</f>
        <v>Closed post-strikes</v>
      </c>
      <c r="L81" s="86" t="str">
        <f>IFERROR(__xludf.DUMMYFUNCTION("""COMPUTED_VALUE"""),"REJECT")</f>
        <v>REJECT</v>
      </c>
      <c r="M81" s="78" t="str">
        <f>IFERROR(__xludf.DUMMYFUNCTION("""COMPUTED_VALUE"""),"45574MCO")</f>
        <v>45574MCO</v>
      </c>
      <c r="N81" s="81" t="str">
        <f>IFERROR(__xludf.DUMMYFUNCTION("""COMPUTED_VALUE"""),"MCO")</f>
        <v>MCO</v>
      </c>
      <c r="O81" s="82">
        <f>IFERROR(__xludf.DUMMYFUNCTION("""COMPUTED_VALUE"""),45574.0)</f>
        <v>45574</v>
      </c>
      <c r="P81" s="107" t="str">
        <f>IFERROR(__xludf.DUMMYFUNCTION("""COMPUTED_VALUE"""),"Hurricane Milton")</f>
        <v>Hurricane Milton</v>
      </c>
      <c r="Q81" s="77" t="str">
        <f>IFERROR(__xludf.DUMMYFUNCTION("""COMPUTED_VALUE"""),"REJECT")</f>
        <v>REJECT</v>
      </c>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row>
    <row r="82">
      <c r="A82" s="93"/>
      <c r="B82" s="85"/>
      <c r="C82" s="86"/>
      <c r="D82" s="93"/>
      <c r="E82" s="85"/>
      <c r="F82" s="85"/>
      <c r="G82" s="86"/>
      <c r="H82" s="78" t="str">
        <f>IFERROR(__xludf.DUMMYFUNCTION("""COMPUTED_VALUE"""),"46082Iran")</f>
        <v>46082Iran</v>
      </c>
      <c r="I82" s="85" t="str">
        <f>IFERROR(__xludf.DUMMYFUNCTION("""COMPUTED_VALUE"""),"Iran")</f>
        <v>Iran</v>
      </c>
      <c r="J82" s="101">
        <f>IFERROR(__xludf.DUMMYFUNCTION("""COMPUTED_VALUE"""),46082.0)</f>
        <v>46082</v>
      </c>
      <c r="K82" s="85" t="str">
        <f>IFERROR(__xludf.DUMMYFUNCTION("""COMPUTED_VALUE"""),"Closed post-strikes")</f>
        <v>Closed post-strikes</v>
      </c>
      <c r="L82" s="86" t="str">
        <f>IFERROR(__xludf.DUMMYFUNCTION("""COMPUTED_VALUE"""),"REJECT")</f>
        <v>REJECT</v>
      </c>
      <c r="M82" s="78" t="str">
        <f>IFERROR(__xludf.DUMMYFUNCTION("""COMPUTED_VALUE"""),"45574MLB")</f>
        <v>45574MLB</v>
      </c>
      <c r="N82" s="81" t="str">
        <f>IFERROR(__xludf.DUMMYFUNCTION("""COMPUTED_VALUE"""),"MLB")</f>
        <v>MLB</v>
      </c>
      <c r="O82" s="82">
        <f>IFERROR(__xludf.DUMMYFUNCTION("""COMPUTED_VALUE"""),45574.0)</f>
        <v>45574</v>
      </c>
      <c r="P82" s="107" t="str">
        <f>IFERROR(__xludf.DUMMYFUNCTION("""COMPUTED_VALUE"""),"Hurricane Milton")</f>
        <v>Hurricane Milton</v>
      </c>
      <c r="Q82" s="77" t="str">
        <f>IFERROR(__xludf.DUMMYFUNCTION("""COMPUTED_VALUE"""),"REJECT")</f>
        <v>REJECT</v>
      </c>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row>
    <row r="83">
      <c r="A83" s="93"/>
      <c r="B83" s="85"/>
      <c r="C83" s="86"/>
      <c r="D83" s="93"/>
      <c r="E83" s="85"/>
      <c r="F83" s="85"/>
      <c r="G83" s="86"/>
      <c r="H83" s="78" t="str">
        <f>IFERROR(__xludf.DUMMYFUNCTION("""COMPUTED_VALUE"""),"46083Iran")</f>
        <v>46083Iran</v>
      </c>
      <c r="I83" s="85" t="str">
        <f>IFERROR(__xludf.DUMMYFUNCTION("""COMPUTED_VALUE"""),"Iran")</f>
        <v>Iran</v>
      </c>
      <c r="J83" s="101">
        <f>IFERROR(__xludf.DUMMYFUNCTION("""COMPUTED_VALUE"""),46083.0)</f>
        <v>46083</v>
      </c>
      <c r="K83" s="85" t="str">
        <f>IFERROR(__xludf.DUMMYFUNCTION("""COMPUTED_VALUE"""),"Closed post-strikes")</f>
        <v>Closed post-strikes</v>
      </c>
      <c r="L83" s="86" t="str">
        <f>IFERROR(__xludf.DUMMYFUNCTION("""COMPUTED_VALUE"""),"REJECT")</f>
        <v>REJECT</v>
      </c>
      <c r="M83" s="78" t="str">
        <f>IFERROR(__xludf.DUMMYFUNCTION("""COMPUTED_VALUE"""),"45574ORL")</f>
        <v>45574ORL</v>
      </c>
      <c r="N83" s="81" t="str">
        <f>IFERROR(__xludf.DUMMYFUNCTION("""COMPUTED_VALUE"""),"ORL")</f>
        <v>ORL</v>
      </c>
      <c r="O83" s="82">
        <f>IFERROR(__xludf.DUMMYFUNCTION("""COMPUTED_VALUE"""),45574.0)</f>
        <v>45574</v>
      </c>
      <c r="P83" s="107" t="str">
        <f>IFERROR(__xludf.DUMMYFUNCTION("""COMPUTED_VALUE"""),"Hurricane Milton")</f>
        <v>Hurricane Milton</v>
      </c>
      <c r="Q83" s="77" t="str">
        <f>IFERROR(__xludf.DUMMYFUNCTION("""COMPUTED_VALUE"""),"REJECT")</f>
        <v>REJECT</v>
      </c>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row>
    <row r="84">
      <c r="A84" s="93"/>
      <c r="B84" s="85"/>
      <c r="C84" s="86"/>
      <c r="D84" s="93"/>
      <c r="E84" s="85"/>
      <c r="F84" s="85"/>
      <c r="G84" s="86"/>
      <c r="H84" s="78" t="str">
        <f>IFERROR(__xludf.DUMMYFUNCTION("""COMPUTED_VALUE"""),"46081Saudi Arabia")</f>
        <v>46081Saudi Arabia</v>
      </c>
      <c r="I84" s="85" t="str">
        <f>IFERROR(__xludf.DUMMYFUNCTION("""COMPUTED_VALUE"""),"Saudi Arabia")</f>
        <v>Saudi Arabia</v>
      </c>
      <c r="J84" s="101">
        <f>IFERROR(__xludf.DUMMYFUNCTION("""COMPUTED_VALUE"""),46081.0)</f>
        <v>46081</v>
      </c>
      <c r="K84" s="85" t="str">
        <f>IFERROR(__xludf.DUMMYFUNCTION("""COMPUTED_VALUE"""),"Closed post-strikes")</f>
        <v>Closed post-strikes</v>
      </c>
      <c r="L84" s="86" t="str">
        <f>IFERROR(__xludf.DUMMYFUNCTION("""COMPUTED_VALUE"""),"REJECT")</f>
        <v>REJECT</v>
      </c>
      <c r="M84" s="78" t="str">
        <f>IFERROR(__xludf.DUMMYFUNCTION("""COMPUTED_VALUE"""),"45574PCM")</f>
        <v>45574PCM</v>
      </c>
      <c r="N84" s="81" t="str">
        <f>IFERROR(__xludf.DUMMYFUNCTION("""COMPUTED_VALUE"""),"PCM")</f>
        <v>PCM</v>
      </c>
      <c r="O84" s="82">
        <f>IFERROR(__xludf.DUMMYFUNCTION("""COMPUTED_VALUE"""),45574.0)</f>
        <v>45574</v>
      </c>
      <c r="P84" s="107" t="str">
        <f>IFERROR(__xludf.DUMMYFUNCTION("""COMPUTED_VALUE"""),"Hurricane Milton")</f>
        <v>Hurricane Milton</v>
      </c>
      <c r="Q84" s="77" t="str">
        <f>IFERROR(__xludf.DUMMYFUNCTION("""COMPUTED_VALUE"""),"REJECT")</f>
        <v>REJECT</v>
      </c>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row>
    <row r="85">
      <c r="A85" s="93"/>
      <c r="B85" s="85"/>
      <c r="C85" s="86"/>
      <c r="D85" s="93"/>
      <c r="E85" s="85"/>
      <c r="F85" s="85"/>
      <c r="G85" s="86"/>
      <c r="H85" s="78" t="str">
        <f>IFERROR(__xludf.DUMMYFUNCTION("""COMPUTED_VALUE"""),"46082Saudi Arabia")</f>
        <v>46082Saudi Arabia</v>
      </c>
      <c r="I85" s="85" t="str">
        <f>IFERROR(__xludf.DUMMYFUNCTION("""COMPUTED_VALUE"""),"Saudi Arabia")</f>
        <v>Saudi Arabia</v>
      </c>
      <c r="J85" s="101">
        <f>IFERROR(__xludf.DUMMYFUNCTION("""COMPUTED_VALUE"""),46082.0)</f>
        <v>46082</v>
      </c>
      <c r="K85" s="85" t="str">
        <f>IFERROR(__xludf.DUMMYFUNCTION("""COMPUTED_VALUE"""),"Closed post-strikes")</f>
        <v>Closed post-strikes</v>
      </c>
      <c r="L85" s="86" t="str">
        <f>IFERROR(__xludf.DUMMYFUNCTION("""COMPUTED_VALUE"""),"REJECT")</f>
        <v>REJECT</v>
      </c>
      <c r="M85" s="78" t="str">
        <f>IFERROR(__xludf.DUMMYFUNCTION("""COMPUTED_VALUE"""),"45574PIE")</f>
        <v>45574PIE</v>
      </c>
      <c r="N85" s="81" t="str">
        <f>IFERROR(__xludf.DUMMYFUNCTION("""COMPUTED_VALUE"""),"PIE")</f>
        <v>PIE</v>
      </c>
      <c r="O85" s="82">
        <f>IFERROR(__xludf.DUMMYFUNCTION("""COMPUTED_VALUE"""),45574.0)</f>
        <v>45574</v>
      </c>
      <c r="P85" s="107" t="str">
        <f>IFERROR(__xludf.DUMMYFUNCTION("""COMPUTED_VALUE"""),"Hurricane Milton")</f>
        <v>Hurricane Milton</v>
      </c>
      <c r="Q85" s="77" t="str">
        <f>IFERROR(__xludf.DUMMYFUNCTION("""COMPUTED_VALUE"""),"REJECT")</f>
        <v>REJECT</v>
      </c>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row>
    <row r="86">
      <c r="A86" s="93"/>
      <c r="B86" s="85"/>
      <c r="C86" s="86"/>
      <c r="D86" s="93"/>
      <c r="E86" s="85"/>
      <c r="F86" s="85"/>
      <c r="G86" s="86"/>
      <c r="H86" s="78" t="str">
        <f>IFERROR(__xludf.DUMMYFUNCTION("""COMPUTED_VALUE"""),"46083Saudi Arabia")</f>
        <v>46083Saudi Arabia</v>
      </c>
      <c r="I86" s="85" t="str">
        <f>IFERROR(__xludf.DUMMYFUNCTION("""COMPUTED_VALUE"""),"Saudi Arabia")</f>
        <v>Saudi Arabia</v>
      </c>
      <c r="J86" s="101">
        <f>IFERROR(__xludf.DUMMYFUNCTION("""COMPUTED_VALUE"""),46083.0)</f>
        <v>46083</v>
      </c>
      <c r="K86" s="85" t="str">
        <f>IFERROR(__xludf.DUMMYFUNCTION("""COMPUTED_VALUE"""),"Closed post-strikes")</f>
        <v>Closed post-strikes</v>
      </c>
      <c r="L86" s="86" t="str">
        <f>IFERROR(__xludf.DUMMYFUNCTION("""COMPUTED_VALUE"""),"REJECT")</f>
        <v>REJECT</v>
      </c>
      <c r="M86" s="78" t="str">
        <f>IFERROR(__xludf.DUMMYFUNCTION("""COMPUTED_VALUE"""),"45574RSW")</f>
        <v>45574RSW</v>
      </c>
      <c r="N86" s="81" t="str">
        <f>IFERROR(__xludf.DUMMYFUNCTION("""COMPUTED_VALUE"""),"RSW")</f>
        <v>RSW</v>
      </c>
      <c r="O86" s="82">
        <f>IFERROR(__xludf.DUMMYFUNCTION("""COMPUTED_VALUE"""),45574.0)</f>
        <v>45574</v>
      </c>
      <c r="P86" s="107" t="str">
        <f>IFERROR(__xludf.DUMMYFUNCTION("""COMPUTED_VALUE"""),"Hurricane Milton")</f>
        <v>Hurricane Milton</v>
      </c>
      <c r="Q86" s="77" t="str">
        <f>IFERROR(__xludf.DUMMYFUNCTION("""COMPUTED_VALUE"""),"REJECT")</f>
        <v>REJECT</v>
      </c>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row>
    <row r="87">
      <c r="A87" s="93"/>
      <c r="B87" s="85"/>
      <c r="C87" s="86"/>
      <c r="D87" s="93"/>
      <c r="E87" s="85"/>
      <c r="F87" s="85"/>
      <c r="G87" s="86"/>
      <c r="H87" s="78" t="str">
        <f>IFERROR(__xludf.DUMMYFUNCTION("""COMPUTED_VALUE"""),"46084United Arab Emirates")</f>
        <v>46084United Arab Emirates</v>
      </c>
      <c r="I87" s="85" t="str">
        <f>IFERROR(__xludf.DUMMYFUNCTION("""COMPUTED_VALUE"""),"United Arab Emirates")</f>
        <v>United Arab Emirates</v>
      </c>
      <c r="J87" s="101">
        <f>IFERROR(__xludf.DUMMYFUNCTION("""COMPUTED_VALUE"""),46084.0)</f>
        <v>46084</v>
      </c>
      <c r="K87" s="85" t="str">
        <f>IFERROR(__xludf.DUMMYFUNCTION("""COMPUTED_VALUE"""),"Closed post-strikes")</f>
        <v>Closed post-strikes</v>
      </c>
      <c r="L87" s="86" t="str">
        <f>IFERROR(__xludf.DUMMYFUNCTION("""COMPUTED_VALUE"""),"REJECT")</f>
        <v>REJECT</v>
      </c>
      <c r="M87" s="78" t="str">
        <f>IFERROR(__xludf.DUMMYFUNCTION("""COMPUTED_VALUE"""),"45574SFB")</f>
        <v>45574SFB</v>
      </c>
      <c r="N87" s="81" t="str">
        <f>IFERROR(__xludf.DUMMYFUNCTION("""COMPUTED_VALUE"""),"SFB")</f>
        <v>SFB</v>
      </c>
      <c r="O87" s="82">
        <f>IFERROR(__xludf.DUMMYFUNCTION("""COMPUTED_VALUE"""),45574.0)</f>
        <v>45574</v>
      </c>
      <c r="P87" s="107" t="str">
        <f>IFERROR(__xludf.DUMMYFUNCTION("""COMPUTED_VALUE"""),"Hurricane Milton")</f>
        <v>Hurricane Milton</v>
      </c>
      <c r="Q87" s="77" t="str">
        <f>IFERROR(__xludf.DUMMYFUNCTION("""COMPUTED_VALUE"""),"REJECT")</f>
        <v>REJECT</v>
      </c>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row>
    <row r="88">
      <c r="A88" s="93"/>
      <c r="B88" s="85"/>
      <c r="C88" s="86"/>
      <c r="D88" s="93"/>
      <c r="E88" s="85"/>
      <c r="F88" s="85"/>
      <c r="G88" s="86"/>
      <c r="H88" s="78" t="str">
        <f>IFERROR(__xludf.DUMMYFUNCTION("""COMPUTED_VALUE"""),"46084Qatar")</f>
        <v>46084Qatar</v>
      </c>
      <c r="I88" s="85" t="str">
        <f>IFERROR(__xludf.DUMMYFUNCTION("""COMPUTED_VALUE"""),"Qatar")</f>
        <v>Qatar</v>
      </c>
      <c r="J88" s="101">
        <f>IFERROR(__xludf.DUMMYFUNCTION("""COMPUTED_VALUE"""),46084.0)</f>
        <v>46084</v>
      </c>
      <c r="K88" s="85" t="str">
        <f>IFERROR(__xludf.DUMMYFUNCTION("""COMPUTED_VALUE"""),"Closed post-strikes")</f>
        <v>Closed post-strikes</v>
      </c>
      <c r="L88" s="86" t="str">
        <f>IFERROR(__xludf.DUMMYFUNCTION("""COMPUTED_VALUE"""),"REJECT")</f>
        <v>REJECT</v>
      </c>
      <c r="M88" s="78" t="str">
        <f>IFERROR(__xludf.DUMMYFUNCTION("""COMPUTED_VALUE"""),"45574SRQ")</f>
        <v>45574SRQ</v>
      </c>
      <c r="N88" s="81" t="str">
        <f>IFERROR(__xludf.DUMMYFUNCTION("""COMPUTED_VALUE"""),"SRQ")</f>
        <v>SRQ</v>
      </c>
      <c r="O88" s="82">
        <f>IFERROR(__xludf.DUMMYFUNCTION("""COMPUTED_VALUE"""),45574.0)</f>
        <v>45574</v>
      </c>
      <c r="P88" s="107" t="str">
        <f>IFERROR(__xludf.DUMMYFUNCTION("""COMPUTED_VALUE"""),"Hurricane Milton")</f>
        <v>Hurricane Milton</v>
      </c>
      <c r="Q88" s="108" t="str">
        <f>IFERROR(__xludf.DUMMYFUNCTION("""COMPUTED_VALUE"""),"REJECT")</f>
        <v>REJECT</v>
      </c>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row>
    <row r="89">
      <c r="A89" s="93"/>
      <c r="B89" s="85"/>
      <c r="C89" s="86"/>
      <c r="D89" s="93"/>
      <c r="E89" s="85"/>
      <c r="F89" s="85"/>
      <c r="G89" s="86"/>
      <c r="H89" s="78" t="str">
        <f>IFERROR(__xludf.DUMMYFUNCTION("""COMPUTED_VALUE"""),"46084Kuwait")</f>
        <v>46084Kuwait</v>
      </c>
      <c r="I89" s="85" t="str">
        <f>IFERROR(__xludf.DUMMYFUNCTION("""COMPUTED_VALUE"""),"Kuwait")</f>
        <v>Kuwait</v>
      </c>
      <c r="J89" s="101">
        <f>IFERROR(__xludf.DUMMYFUNCTION("""COMPUTED_VALUE"""),46084.0)</f>
        <v>46084</v>
      </c>
      <c r="K89" s="85" t="str">
        <f>IFERROR(__xludf.DUMMYFUNCTION("""COMPUTED_VALUE"""),"Closed post-strikes")</f>
        <v>Closed post-strikes</v>
      </c>
      <c r="L89" s="86" t="str">
        <f>IFERROR(__xludf.DUMMYFUNCTION("""COMPUTED_VALUE"""),"REJECT")</f>
        <v>REJECT</v>
      </c>
      <c r="M89" s="78" t="str">
        <f>IFERROR(__xludf.DUMMYFUNCTION("""COMPUTED_VALUE"""),"45574TPA")</f>
        <v>45574TPA</v>
      </c>
      <c r="N89" s="81" t="str">
        <f>IFERROR(__xludf.DUMMYFUNCTION("""COMPUTED_VALUE"""),"TPA")</f>
        <v>TPA</v>
      </c>
      <c r="O89" s="82">
        <f>IFERROR(__xludf.DUMMYFUNCTION("""COMPUTED_VALUE"""),45574.0)</f>
        <v>45574</v>
      </c>
      <c r="P89" s="107" t="str">
        <f>IFERROR(__xludf.DUMMYFUNCTION("""COMPUTED_VALUE"""),"Hurricane Milton")</f>
        <v>Hurricane Milton</v>
      </c>
      <c r="Q89" s="108" t="str">
        <f>IFERROR(__xludf.DUMMYFUNCTION("""COMPUTED_VALUE"""),"REJECT")</f>
        <v>REJECT</v>
      </c>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row>
    <row r="90">
      <c r="A90" s="93"/>
      <c r="B90" s="85"/>
      <c r="C90" s="86"/>
      <c r="D90" s="93"/>
      <c r="E90" s="85"/>
      <c r="F90" s="85"/>
      <c r="G90" s="86"/>
      <c r="H90" s="78" t="str">
        <f>IFERROR(__xludf.DUMMYFUNCTION("""COMPUTED_VALUE"""),"46084Jordan")</f>
        <v>46084Jordan</v>
      </c>
      <c r="I90" s="85" t="str">
        <f>IFERROR(__xludf.DUMMYFUNCTION("""COMPUTED_VALUE"""),"Jordan")</f>
        <v>Jordan</v>
      </c>
      <c r="J90" s="101">
        <f>IFERROR(__xludf.DUMMYFUNCTION("""COMPUTED_VALUE"""),46084.0)</f>
        <v>46084</v>
      </c>
      <c r="K90" s="85" t="str">
        <f>IFERROR(__xludf.DUMMYFUNCTION("""COMPUTED_VALUE"""),"Closed post-strikes")</f>
        <v>Closed post-strikes</v>
      </c>
      <c r="L90" s="86" t="str">
        <f>IFERROR(__xludf.DUMMYFUNCTION("""COMPUTED_VALUE"""),"REJECT")</f>
        <v>REJECT</v>
      </c>
      <c r="M90" s="78" t="str">
        <f>IFERROR(__xludf.DUMMYFUNCTION("""COMPUTED_VALUE"""),"45574TPF")</f>
        <v>45574TPF</v>
      </c>
      <c r="N90" s="81" t="str">
        <f>IFERROR(__xludf.DUMMYFUNCTION("""COMPUTED_VALUE"""),"TPF")</f>
        <v>TPF</v>
      </c>
      <c r="O90" s="82">
        <f>IFERROR(__xludf.DUMMYFUNCTION("""COMPUTED_VALUE"""),45574.0)</f>
        <v>45574</v>
      </c>
      <c r="P90" s="107" t="str">
        <f>IFERROR(__xludf.DUMMYFUNCTION("""COMPUTED_VALUE"""),"Hurricane Milton")</f>
        <v>Hurricane Milton</v>
      </c>
      <c r="Q90" s="77" t="str">
        <f>IFERROR(__xludf.DUMMYFUNCTION("""COMPUTED_VALUE"""),"REJECT")</f>
        <v>REJECT</v>
      </c>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row>
    <row r="91">
      <c r="A91" s="93"/>
      <c r="B91" s="85"/>
      <c r="C91" s="86"/>
      <c r="D91" s="93"/>
      <c r="E91" s="85"/>
      <c r="F91" s="85"/>
      <c r="G91" s="86"/>
      <c r="H91" s="78" t="str">
        <f>IFERROR(__xludf.DUMMYFUNCTION("""COMPUTED_VALUE"""),"46084Bahrain")</f>
        <v>46084Bahrain</v>
      </c>
      <c r="I91" s="85" t="str">
        <f>IFERROR(__xludf.DUMMYFUNCTION("""COMPUTED_VALUE"""),"Bahrain")</f>
        <v>Bahrain</v>
      </c>
      <c r="J91" s="101">
        <f>IFERROR(__xludf.DUMMYFUNCTION("""COMPUTED_VALUE"""),46084.0)</f>
        <v>46084</v>
      </c>
      <c r="K91" s="85" t="str">
        <f>IFERROR(__xludf.DUMMYFUNCTION("""COMPUTED_VALUE"""),"Closed post-strikes")</f>
        <v>Closed post-strikes</v>
      </c>
      <c r="L91" s="86" t="str">
        <f>IFERROR(__xludf.DUMMYFUNCTION("""COMPUTED_VALUE"""),"REJECT")</f>
        <v>REJECT</v>
      </c>
      <c r="M91" s="78" t="str">
        <f>IFERROR(__xludf.DUMMYFUNCTION("""COMPUTED_VALUE"""),"45574VDF")</f>
        <v>45574VDF</v>
      </c>
      <c r="N91" s="81" t="str">
        <f>IFERROR(__xludf.DUMMYFUNCTION("""COMPUTED_VALUE"""),"VDF")</f>
        <v>VDF</v>
      </c>
      <c r="O91" s="82">
        <f>IFERROR(__xludf.DUMMYFUNCTION("""COMPUTED_VALUE"""),45574.0)</f>
        <v>45574</v>
      </c>
      <c r="P91" s="107" t="str">
        <f>IFERROR(__xludf.DUMMYFUNCTION("""COMPUTED_VALUE"""),"Hurricane Milton")</f>
        <v>Hurricane Milton</v>
      </c>
      <c r="Q91" s="77" t="str">
        <f>IFERROR(__xludf.DUMMYFUNCTION("""COMPUTED_VALUE"""),"REJECT")</f>
        <v>REJECT</v>
      </c>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row>
    <row r="92">
      <c r="A92" s="93"/>
      <c r="B92" s="85"/>
      <c r="C92" s="86"/>
      <c r="D92" s="93"/>
      <c r="E92" s="85"/>
      <c r="F92" s="85"/>
      <c r="G92" s="86"/>
      <c r="H92" s="78" t="str">
        <f>IFERROR(__xludf.DUMMYFUNCTION("""COMPUTED_VALUE"""),"46084Iran")</f>
        <v>46084Iran</v>
      </c>
      <c r="I92" s="85" t="str">
        <f>IFERROR(__xludf.DUMMYFUNCTION("""COMPUTED_VALUE"""),"Iran")</f>
        <v>Iran</v>
      </c>
      <c r="J92" s="101">
        <f>IFERROR(__xludf.DUMMYFUNCTION("""COMPUTED_VALUE"""),46084.0)</f>
        <v>46084</v>
      </c>
      <c r="K92" s="85" t="str">
        <f>IFERROR(__xludf.DUMMYFUNCTION("""COMPUTED_VALUE"""),"Closed post-strikes")</f>
        <v>Closed post-strikes</v>
      </c>
      <c r="L92" s="86" t="str">
        <f>IFERROR(__xludf.DUMMYFUNCTION("""COMPUTED_VALUE"""),"REJECT")</f>
        <v>REJECT</v>
      </c>
      <c r="M92" s="78" t="str">
        <f>IFERROR(__xludf.DUMMYFUNCTION("""COMPUTED_VALUE"""),"45575DAB")</f>
        <v>45575DAB</v>
      </c>
      <c r="N92" s="81" t="str">
        <f>IFERROR(__xludf.DUMMYFUNCTION("""COMPUTED_VALUE"""),"DAB")</f>
        <v>DAB</v>
      </c>
      <c r="O92" s="82">
        <f>IFERROR(__xludf.DUMMYFUNCTION("""COMPUTED_VALUE"""),45575.0)</f>
        <v>45575</v>
      </c>
      <c r="P92" s="107" t="str">
        <f>IFERROR(__xludf.DUMMYFUNCTION("""COMPUTED_VALUE"""),"Hurricane Milton")</f>
        <v>Hurricane Milton</v>
      </c>
      <c r="Q92" s="77" t="str">
        <f>IFERROR(__xludf.DUMMYFUNCTION("""COMPUTED_VALUE"""),"REJECT")</f>
        <v>REJECT</v>
      </c>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row>
    <row r="93">
      <c r="A93" s="93"/>
      <c r="B93" s="85"/>
      <c r="C93" s="86"/>
      <c r="D93" s="93"/>
      <c r="E93" s="85"/>
      <c r="F93" s="85"/>
      <c r="G93" s="86"/>
      <c r="H93" s="78" t="str">
        <f>IFERROR(__xludf.DUMMYFUNCTION("""COMPUTED_VALUE"""),"46084Saudi Arabia")</f>
        <v>46084Saudi Arabia</v>
      </c>
      <c r="I93" s="85" t="str">
        <f>IFERROR(__xludf.DUMMYFUNCTION("""COMPUTED_VALUE"""),"Saudi Arabia")</f>
        <v>Saudi Arabia</v>
      </c>
      <c r="J93" s="101">
        <f>IFERROR(__xludf.DUMMYFUNCTION("""COMPUTED_VALUE"""),46084.0)</f>
        <v>46084</v>
      </c>
      <c r="K93" s="85" t="str">
        <f>IFERROR(__xludf.DUMMYFUNCTION("""COMPUTED_VALUE"""),"Closed post-strikes")</f>
        <v>Closed post-strikes</v>
      </c>
      <c r="L93" s="86" t="str">
        <f>IFERROR(__xludf.DUMMYFUNCTION("""COMPUTED_VALUE"""),"REJECT")</f>
        <v>REJECT</v>
      </c>
      <c r="M93" s="78" t="str">
        <f>IFERROR(__xludf.DUMMYFUNCTION("""COMPUTED_VALUE"""),"45575LAL")</f>
        <v>45575LAL</v>
      </c>
      <c r="N93" s="81" t="str">
        <f>IFERROR(__xludf.DUMMYFUNCTION("""COMPUTED_VALUE"""),"LAL")</f>
        <v>LAL</v>
      </c>
      <c r="O93" s="82">
        <f>IFERROR(__xludf.DUMMYFUNCTION("""COMPUTED_VALUE"""),45575.0)</f>
        <v>45575</v>
      </c>
      <c r="P93" s="107" t="str">
        <f>IFERROR(__xludf.DUMMYFUNCTION("""COMPUTED_VALUE"""),"Hurricane Milton")</f>
        <v>Hurricane Milton</v>
      </c>
      <c r="Q93" s="77" t="str">
        <f>IFERROR(__xludf.DUMMYFUNCTION("""COMPUTED_VALUE"""),"REJECT")</f>
        <v>REJECT</v>
      </c>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row>
    <row r="94">
      <c r="A94" s="93"/>
      <c r="B94" s="85"/>
      <c r="C94" s="86"/>
      <c r="D94" s="93"/>
      <c r="E94" s="85"/>
      <c r="F94" s="85"/>
      <c r="G94" s="86"/>
      <c r="H94" s="78" t="str">
        <f>IFERROR(__xludf.DUMMYFUNCTION("""COMPUTED_VALUE"""),"46085United Arab Emirates")</f>
        <v>46085United Arab Emirates</v>
      </c>
      <c r="I94" s="85" t="str">
        <f>IFERROR(__xludf.DUMMYFUNCTION("""COMPUTED_VALUE"""),"United Arab Emirates")</f>
        <v>United Arab Emirates</v>
      </c>
      <c r="J94" s="101">
        <f>IFERROR(__xludf.DUMMYFUNCTION("""COMPUTED_VALUE"""),46085.0)</f>
        <v>46085</v>
      </c>
      <c r="K94" s="85" t="str">
        <f>IFERROR(__xludf.DUMMYFUNCTION("""COMPUTED_VALUE"""),"Closed post-strikes")</f>
        <v>Closed post-strikes</v>
      </c>
      <c r="L94" s="86" t="str">
        <f>IFERROR(__xludf.DUMMYFUNCTION("""COMPUTED_VALUE"""),"REJECT")</f>
        <v>REJECT</v>
      </c>
      <c r="M94" s="78" t="str">
        <f>IFERROR(__xludf.DUMMYFUNCTION("""COMPUTED_VALUE"""),"45575MCO")</f>
        <v>45575MCO</v>
      </c>
      <c r="N94" s="81" t="str">
        <f>IFERROR(__xludf.DUMMYFUNCTION("""COMPUTED_VALUE"""),"MCO")</f>
        <v>MCO</v>
      </c>
      <c r="O94" s="82">
        <f>IFERROR(__xludf.DUMMYFUNCTION("""COMPUTED_VALUE"""),45575.0)</f>
        <v>45575</v>
      </c>
      <c r="P94" s="107" t="str">
        <f>IFERROR(__xludf.DUMMYFUNCTION("""COMPUTED_VALUE"""),"Hurricane Milton")</f>
        <v>Hurricane Milton</v>
      </c>
      <c r="Q94" s="77" t="str">
        <f>IFERROR(__xludf.DUMMYFUNCTION("""COMPUTED_VALUE"""),"REJECT")</f>
        <v>REJECT</v>
      </c>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row>
    <row r="95">
      <c r="A95" s="93"/>
      <c r="B95" s="85"/>
      <c r="C95" s="86"/>
      <c r="D95" s="93"/>
      <c r="E95" s="85"/>
      <c r="F95" s="85"/>
      <c r="G95" s="86"/>
      <c r="H95" s="78" t="str">
        <f>IFERROR(__xludf.DUMMYFUNCTION("""COMPUTED_VALUE"""),"46085Qatar")</f>
        <v>46085Qatar</v>
      </c>
      <c r="I95" s="85" t="str">
        <f>IFERROR(__xludf.DUMMYFUNCTION("""COMPUTED_VALUE"""),"Qatar")</f>
        <v>Qatar</v>
      </c>
      <c r="J95" s="101">
        <f>IFERROR(__xludf.DUMMYFUNCTION("""COMPUTED_VALUE"""),46085.0)</f>
        <v>46085</v>
      </c>
      <c r="K95" s="85" t="str">
        <f>IFERROR(__xludf.DUMMYFUNCTION("""COMPUTED_VALUE"""),"Closed post-strikes")</f>
        <v>Closed post-strikes</v>
      </c>
      <c r="L95" s="86" t="str">
        <f>IFERROR(__xludf.DUMMYFUNCTION("""COMPUTED_VALUE"""),"REJECT")</f>
        <v>REJECT</v>
      </c>
      <c r="M95" s="78" t="str">
        <f>IFERROR(__xludf.DUMMYFUNCTION("""COMPUTED_VALUE"""),"45575MLB")</f>
        <v>45575MLB</v>
      </c>
      <c r="N95" s="81" t="str">
        <f>IFERROR(__xludf.DUMMYFUNCTION("""COMPUTED_VALUE"""),"MLB")</f>
        <v>MLB</v>
      </c>
      <c r="O95" s="82">
        <f>IFERROR(__xludf.DUMMYFUNCTION("""COMPUTED_VALUE"""),45575.0)</f>
        <v>45575</v>
      </c>
      <c r="P95" s="107" t="str">
        <f>IFERROR(__xludf.DUMMYFUNCTION("""COMPUTED_VALUE"""),"Hurricane Milton")</f>
        <v>Hurricane Milton</v>
      </c>
      <c r="Q95" s="77" t="str">
        <f>IFERROR(__xludf.DUMMYFUNCTION("""COMPUTED_VALUE"""),"REJECT")</f>
        <v>REJECT</v>
      </c>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row>
    <row r="96">
      <c r="A96" s="93"/>
      <c r="B96" s="85"/>
      <c r="C96" s="86"/>
      <c r="D96" s="93"/>
      <c r="E96" s="85"/>
      <c r="F96" s="85"/>
      <c r="G96" s="86"/>
      <c r="H96" s="78" t="str">
        <f>IFERROR(__xludf.DUMMYFUNCTION("""COMPUTED_VALUE"""),"46085Kuwait")</f>
        <v>46085Kuwait</v>
      </c>
      <c r="I96" s="85" t="str">
        <f>IFERROR(__xludf.DUMMYFUNCTION("""COMPUTED_VALUE"""),"Kuwait")</f>
        <v>Kuwait</v>
      </c>
      <c r="J96" s="101">
        <f>IFERROR(__xludf.DUMMYFUNCTION("""COMPUTED_VALUE"""),46085.0)</f>
        <v>46085</v>
      </c>
      <c r="K96" s="85" t="str">
        <f>IFERROR(__xludf.DUMMYFUNCTION("""COMPUTED_VALUE"""),"Closed post-strikes")</f>
        <v>Closed post-strikes</v>
      </c>
      <c r="L96" s="86" t="str">
        <f>IFERROR(__xludf.DUMMYFUNCTION("""COMPUTED_VALUE"""),"REJECT")</f>
        <v>REJECT</v>
      </c>
      <c r="M96" s="78" t="str">
        <f>IFERROR(__xludf.DUMMYFUNCTION("""COMPUTED_VALUE"""),"45575ORL")</f>
        <v>45575ORL</v>
      </c>
      <c r="N96" s="81" t="str">
        <f>IFERROR(__xludf.DUMMYFUNCTION("""COMPUTED_VALUE"""),"ORL")</f>
        <v>ORL</v>
      </c>
      <c r="O96" s="82">
        <f>IFERROR(__xludf.DUMMYFUNCTION("""COMPUTED_VALUE"""),45575.0)</f>
        <v>45575</v>
      </c>
      <c r="P96" s="107" t="str">
        <f>IFERROR(__xludf.DUMMYFUNCTION("""COMPUTED_VALUE"""),"Hurricane Milton")</f>
        <v>Hurricane Milton</v>
      </c>
      <c r="Q96" s="77" t="str">
        <f>IFERROR(__xludf.DUMMYFUNCTION("""COMPUTED_VALUE"""),"REJECT")</f>
        <v>REJECT</v>
      </c>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row>
    <row r="97">
      <c r="A97" s="93"/>
      <c r="B97" s="85"/>
      <c r="C97" s="86"/>
      <c r="D97" s="93"/>
      <c r="E97" s="85"/>
      <c r="F97" s="85"/>
      <c r="G97" s="86"/>
      <c r="H97" s="78" t="str">
        <f>IFERROR(__xludf.DUMMYFUNCTION("""COMPUTED_VALUE"""),"46085Jordan")</f>
        <v>46085Jordan</v>
      </c>
      <c r="I97" s="85" t="str">
        <f>IFERROR(__xludf.DUMMYFUNCTION("""COMPUTED_VALUE"""),"Jordan")</f>
        <v>Jordan</v>
      </c>
      <c r="J97" s="101">
        <f>IFERROR(__xludf.DUMMYFUNCTION("""COMPUTED_VALUE"""),46085.0)</f>
        <v>46085</v>
      </c>
      <c r="K97" s="85" t="str">
        <f>IFERROR(__xludf.DUMMYFUNCTION("""COMPUTED_VALUE"""),"Closed post-strikes")</f>
        <v>Closed post-strikes</v>
      </c>
      <c r="L97" s="86" t="str">
        <f>IFERROR(__xludf.DUMMYFUNCTION("""COMPUTED_VALUE"""),"REJECT")</f>
        <v>REJECT</v>
      </c>
      <c r="M97" s="78" t="str">
        <f>IFERROR(__xludf.DUMMYFUNCTION("""COMPUTED_VALUE"""),"45575PCM")</f>
        <v>45575PCM</v>
      </c>
      <c r="N97" s="81" t="str">
        <f>IFERROR(__xludf.DUMMYFUNCTION("""COMPUTED_VALUE"""),"PCM")</f>
        <v>PCM</v>
      </c>
      <c r="O97" s="82">
        <f>IFERROR(__xludf.DUMMYFUNCTION("""COMPUTED_VALUE"""),45575.0)</f>
        <v>45575</v>
      </c>
      <c r="P97" s="107" t="str">
        <f>IFERROR(__xludf.DUMMYFUNCTION("""COMPUTED_VALUE"""),"Hurricane Milton")</f>
        <v>Hurricane Milton</v>
      </c>
      <c r="Q97" s="77" t="str">
        <f>IFERROR(__xludf.DUMMYFUNCTION("""COMPUTED_VALUE"""),"REJECT")</f>
        <v>REJECT</v>
      </c>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row>
    <row r="98">
      <c r="A98" s="93"/>
      <c r="B98" s="85"/>
      <c r="C98" s="86"/>
      <c r="D98" s="93"/>
      <c r="E98" s="85"/>
      <c r="F98" s="85"/>
      <c r="G98" s="86"/>
      <c r="H98" s="78" t="str">
        <f>IFERROR(__xludf.DUMMYFUNCTION("""COMPUTED_VALUE"""),"46085Bahrain")</f>
        <v>46085Bahrain</v>
      </c>
      <c r="I98" s="85" t="str">
        <f>IFERROR(__xludf.DUMMYFUNCTION("""COMPUTED_VALUE"""),"Bahrain")</f>
        <v>Bahrain</v>
      </c>
      <c r="J98" s="101">
        <f>IFERROR(__xludf.DUMMYFUNCTION("""COMPUTED_VALUE"""),46085.0)</f>
        <v>46085</v>
      </c>
      <c r="K98" s="85" t="str">
        <f>IFERROR(__xludf.DUMMYFUNCTION("""COMPUTED_VALUE"""),"Closed post-strikes")</f>
        <v>Closed post-strikes</v>
      </c>
      <c r="L98" s="86" t="str">
        <f>IFERROR(__xludf.DUMMYFUNCTION("""COMPUTED_VALUE"""),"REJECT")</f>
        <v>REJECT</v>
      </c>
      <c r="M98" s="78" t="str">
        <f>IFERROR(__xludf.DUMMYFUNCTION("""COMPUTED_VALUE"""),"45575PIE")</f>
        <v>45575PIE</v>
      </c>
      <c r="N98" s="81" t="str">
        <f>IFERROR(__xludf.DUMMYFUNCTION("""COMPUTED_VALUE"""),"PIE")</f>
        <v>PIE</v>
      </c>
      <c r="O98" s="82">
        <f>IFERROR(__xludf.DUMMYFUNCTION("""COMPUTED_VALUE"""),45575.0)</f>
        <v>45575</v>
      </c>
      <c r="P98" s="107" t="str">
        <f>IFERROR(__xludf.DUMMYFUNCTION("""COMPUTED_VALUE"""),"Hurricane Milton")</f>
        <v>Hurricane Milton</v>
      </c>
      <c r="Q98" s="77" t="str">
        <f>IFERROR(__xludf.DUMMYFUNCTION("""COMPUTED_VALUE"""),"REJECT")</f>
        <v>REJECT</v>
      </c>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row>
    <row r="99">
      <c r="A99" s="93"/>
      <c r="B99" s="85"/>
      <c r="C99" s="86"/>
      <c r="D99" s="93"/>
      <c r="E99" s="85"/>
      <c r="F99" s="85"/>
      <c r="G99" s="86"/>
      <c r="H99" s="78" t="str">
        <f>IFERROR(__xludf.DUMMYFUNCTION("""COMPUTED_VALUE"""),"46085Iran")</f>
        <v>46085Iran</v>
      </c>
      <c r="I99" s="85" t="str">
        <f>IFERROR(__xludf.DUMMYFUNCTION("""COMPUTED_VALUE"""),"Iran")</f>
        <v>Iran</v>
      </c>
      <c r="J99" s="101">
        <f>IFERROR(__xludf.DUMMYFUNCTION("""COMPUTED_VALUE"""),46085.0)</f>
        <v>46085</v>
      </c>
      <c r="K99" s="85" t="str">
        <f>IFERROR(__xludf.DUMMYFUNCTION("""COMPUTED_VALUE"""),"Closed post-strikes")</f>
        <v>Closed post-strikes</v>
      </c>
      <c r="L99" s="86" t="str">
        <f>IFERROR(__xludf.DUMMYFUNCTION("""COMPUTED_VALUE"""),"REJECT")</f>
        <v>REJECT</v>
      </c>
      <c r="M99" s="78" t="str">
        <f>IFERROR(__xludf.DUMMYFUNCTION("""COMPUTED_VALUE"""),"45575RSW")</f>
        <v>45575RSW</v>
      </c>
      <c r="N99" s="81" t="str">
        <f>IFERROR(__xludf.DUMMYFUNCTION("""COMPUTED_VALUE"""),"RSW")</f>
        <v>RSW</v>
      </c>
      <c r="O99" s="82">
        <f>IFERROR(__xludf.DUMMYFUNCTION("""COMPUTED_VALUE"""),45575.0)</f>
        <v>45575</v>
      </c>
      <c r="P99" s="107" t="str">
        <f>IFERROR(__xludf.DUMMYFUNCTION("""COMPUTED_VALUE"""),"Hurricane Milton")</f>
        <v>Hurricane Milton</v>
      </c>
      <c r="Q99" s="77" t="str">
        <f>IFERROR(__xludf.DUMMYFUNCTION("""COMPUTED_VALUE"""),"REJECT")</f>
        <v>REJECT</v>
      </c>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row>
    <row r="100">
      <c r="A100" s="93"/>
      <c r="B100" s="85"/>
      <c r="C100" s="86"/>
      <c r="D100" s="93"/>
      <c r="E100" s="85"/>
      <c r="F100" s="85"/>
      <c r="G100" s="86"/>
      <c r="H100" s="78" t="str">
        <f>IFERROR(__xludf.DUMMYFUNCTION("""COMPUTED_VALUE"""),"46085Saudi Arabia")</f>
        <v>46085Saudi Arabia</v>
      </c>
      <c r="I100" s="85" t="str">
        <f>IFERROR(__xludf.DUMMYFUNCTION("""COMPUTED_VALUE"""),"Saudi Arabia")</f>
        <v>Saudi Arabia</v>
      </c>
      <c r="J100" s="101">
        <f>IFERROR(__xludf.DUMMYFUNCTION("""COMPUTED_VALUE"""),46085.0)</f>
        <v>46085</v>
      </c>
      <c r="K100" s="85" t="str">
        <f>IFERROR(__xludf.DUMMYFUNCTION("""COMPUTED_VALUE"""),"Closed post-strikes")</f>
        <v>Closed post-strikes</v>
      </c>
      <c r="L100" s="86" t="str">
        <f>IFERROR(__xludf.DUMMYFUNCTION("""COMPUTED_VALUE"""),"REJECT")</f>
        <v>REJECT</v>
      </c>
      <c r="M100" s="78" t="str">
        <f>IFERROR(__xludf.DUMMYFUNCTION("""COMPUTED_VALUE"""),"45575SFB")</f>
        <v>45575SFB</v>
      </c>
      <c r="N100" s="81" t="str">
        <f>IFERROR(__xludf.DUMMYFUNCTION("""COMPUTED_VALUE"""),"SFB")</f>
        <v>SFB</v>
      </c>
      <c r="O100" s="82">
        <f>IFERROR(__xludf.DUMMYFUNCTION("""COMPUTED_VALUE"""),45575.0)</f>
        <v>45575</v>
      </c>
      <c r="P100" s="107" t="str">
        <f>IFERROR(__xludf.DUMMYFUNCTION("""COMPUTED_VALUE"""),"Hurricane Milton")</f>
        <v>Hurricane Milton</v>
      </c>
      <c r="Q100" s="77" t="str">
        <f>IFERROR(__xludf.DUMMYFUNCTION("""COMPUTED_VALUE"""),"REJECT")</f>
        <v>REJECT</v>
      </c>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row>
    <row r="101">
      <c r="A101" s="93"/>
      <c r="B101" s="85"/>
      <c r="C101" s="86"/>
      <c r="D101" s="93"/>
      <c r="E101" s="85"/>
      <c r="F101" s="85"/>
      <c r="G101" s="86"/>
      <c r="H101" s="78" t="str">
        <f>IFERROR(__xludf.DUMMYFUNCTION("""COMPUTED_VALUE"""),"46086United Arab Emirates")</f>
        <v>46086United Arab Emirates</v>
      </c>
      <c r="I101" s="85" t="str">
        <f>IFERROR(__xludf.DUMMYFUNCTION("""COMPUTED_VALUE"""),"United Arab Emirates")</f>
        <v>United Arab Emirates</v>
      </c>
      <c r="J101" s="101">
        <f>IFERROR(__xludf.DUMMYFUNCTION("""COMPUTED_VALUE"""),46086.0)</f>
        <v>46086</v>
      </c>
      <c r="K101" s="85" t="str">
        <f>IFERROR(__xludf.DUMMYFUNCTION("""COMPUTED_VALUE"""),"Closed post-strikes")</f>
        <v>Closed post-strikes</v>
      </c>
      <c r="L101" s="86" t="str">
        <f>IFERROR(__xludf.DUMMYFUNCTION("""COMPUTED_VALUE"""),"REJECT")</f>
        <v>REJECT</v>
      </c>
      <c r="M101" s="78" t="str">
        <f>IFERROR(__xludf.DUMMYFUNCTION("""COMPUTED_VALUE"""),"45575SRQ")</f>
        <v>45575SRQ</v>
      </c>
      <c r="N101" s="81" t="str">
        <f>IFERROR(__xludf.DUMMYFUNCTION("""COMPUTED_VALUE"""),"SRQ")</f>
        <v>SRQ</v>
      </c>
      <c r="O101" s="82">
        <f>IFERROR(__xludf.DUMMYFUNCTION("""COMPUTED_VALUE"""),45575.0)</f>
        <v>45575</v>
      </c>
      <c r="P101" s="107" t="str">
        <f>IFERROR(__xludf.DUMMYFUNCTION("""COMPUTED_VALUE"""),"Hurricane Milton")</f>
        <v>Hurricane Milton</v>
      </c>
      <c r="Q101" s="108" t="str">
        <f>IFERROR(__xludf.DUMMYFUNCTION("""COMPUTED_VALUE"""),"REJECT")</f>
        <v>REJECT</v>
      </c>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row>
    <row r="102">
      <c r="A102" s="93"/>
      <c r="B102" s="85"/>
      <c r="C102" s="86"/>
      <c r="D102" s="93"/>
      <c r="E102" s="85"/>
      <c r="F102" s="85"/>
      <c r="G102" s="86"/>
      <c r="H102" s="78" t="str">
        <f>IFERROR(__xludf.DUMMYFUNCTION("""COMPUTED_VALUE"""),"46086Qatar")</f>
        <v>46086Qatar</v>
      </c>
      <c r="I102" s="85" t="str">
        <f>IFERROR(__xludf.DUMMYFUNCTION("""COMPUTED_VALUE"""),"Qatar")</f>
        <v>Qatar</v>
      </c>
      <c r="J102" s="101">
        <f>IFERROR(__xludf.DUMMYFUNCTION("""COMPUTED_VALUE"""),46086.0)</f>
        <v>46086</v>
      </c>
      <c r="K102" s="85" t="str">
        <f>IFERROR(__xludf.DUMMYFUNCTION("""COMPUTED_VALUE"""),"Closed post-strikes")</f>
        <v>Closed post-strikes</v>
      </c>
      <c r="L102" s="86" t="str">
        <f>IFERROR(__xludf.DUMMYFUNCTION("""COMPUTED_VALUE"""),"REJECT")</f>
        <v>REJECT</v>
      </c>
      <c r="M102" s="78" t="str">
        <f>IFERROR(__xludf.DUMMYFUNCTION("""COMPUTED_VALUE"""),"45575TPA")</f>
        <v>45575TPA</v>
      </c>
      <c r="N102" s="81" t="str">
        <f>IFERROR(__xludf.DUMMYFUNCTION("""COMPUTED_VALUE"""),"TPA")</f>
        <v>TPA</v>
      </c>
      <c r="O102" s="82">
        <f>IFERROR(__xludf.DUMMYFUNCTION("""COMPUTED_VALUE"""),45575.0)</f>
        <v>45575</v>
      </c>
      <c r="P102" s="107" t="str">
        <f>IFERROR(__xludf.DUMMYFUNCTION("""COMPUTED_VALUE"""),"Hurricane Milton")</f>
        <v>Hurricane Milton</v>
      </c>
      <c r="Q102" s="77" t="str">
        <f>IFERROR(__xludf.DUMMYFUNCTION("""COMPUTED_VALUE"""),"REJECT")</f>
        <v>REJECT</v>
      </c>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row>
    <row r="103">
      <c r="A103" s="93"/>
      <c r="B103" s="85"/>
      <c r="C103" s="86"/>
      <c r="D103" s="93"/>
      <c r="E103" s="85"/>
      <c r="F103" s="85"/>
      <c r="G103" s="86"/>
      <c r="H103" s="78" t="str">
        <f>IFERROR(__xludf.DUMMYFUNCTION("""COMPUTED_VALUE"""),"46086Kuwait")</f>
        <v>46086Kuwait</v>
      </c>
      <c r="I103" s="85" t="str">
        <f>IFERROR(__xludf.DUMMYFUNCTION("""COMPUTED_VALUE"""),"Kuwait")</f>
        <v>Kuwait</v>
      </c>
      <c r="J103" s="101">
        <f>IFERROR(__xludf.DUMMYFUNCTION("""COMPUTED_VALUE"""),46086.0)</f>
        <v>46086</v>
      </c>
      <c r="K103" s="85" t="str">
        <f>IFERROR(__xludf.DUMMYFUNCTION("""COMPUTED_VALUE"""),"Closed post-strikes")</f>
        <v>Closed post-strikes</v>
      </c>
      <c r="L103" s="86" t="str">
        <f>IFERROR(__xludf.DUMMYFUNCTION("""COMPUTED_VALUE"""),"REJECT")</f>
        <v>REJECT</v>
      </c>
      <c r="M103" s="78" t="str">
        <f>IFERROR(__xludf.DUMMYFUNCTION("""COMPUTED_VALUE"""),"45575TPF")</f>
        <v>45575TPF</v>
      </c>
      <c r="N103" s="81" t="str">
        <f>IFERROR(__xludf.DUMMYFUNCTION("""COMPUTED_VALUE"""),"TPF")</f>
        <v>TPF</v>
      </c>
      <c r="O103" s="82">
        <f>IFERROR(__xludf.DUMMYFUNCTION("""COMPUTED_VALUE"""),45575.0)</f>
        <v>45575</v>
      </c>
      <c r="P103" s="107" t="str">
        <f>IFERROR(__xludf.DUMMYFUNCTION("""COMPUTED_VALUE"""),"Hurricane Milton")</f>
        <v>Hurricane Milton</v>
      </c>
      <c r="Q103" s="77" t="str">
        <f>IFERROR(__xludf.DUMMYFUNCTION("""COMPUTED_VALUE"""),"REJECT")</f>
        <v>REJECT</v>
      </c>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row>
    <row r="104">
      <c r="A104" s="93"/>
      <c r="B104" s="85"/>
      <c r="C104" s="86"/>
      <c r="D104" s="93"/>
      <c r="E104" s="85"/>
      <c r="F104" s="85"/>
      <c r="G104" s="86"/>
      <c r="H104" s="78" t="str">
        <f>IFERROR(__xludf.DUMMYFUNCTION("""COMPUTED_VALUE"""),"46086Jordan")</f>
        <v>46086Jordan</v>
      </c>
      <c r="I104" s="85" t="str">
        <f>IFERROR(__xludf.DUMMYFUNCTION("""COMPUTED_VALUE"""),"Jordan")</f>
        <v>Jordan</v>
      </c>
      <c r="J104" s="101">
        <f>IFERROR(__xludf.DUMMYFUNCTION("""COMPUTED_VALUE"""),46086.0)</f>
        <v>46086</v>
      </c>
      <c r="K104" s="85" t="str">
        <f>IFERROR(__xludf.DUMMYFUNCTION("""COMPUTED_VALUE"""),"Closed post-strikes")</f>
        <v>Closed post-strikes</v>
      </c>
      <c r="L104" s="86" t="str">
        <f>IFERROR(__xludf.DUMMYFUNCTION("""COMPUTED_VALUE"""),"REJECT")</f>
        <v>REJECT</v>
      </c>
      <c r="M104" s="78" t="str">
        <f>IFERROR(__xludf.DUMMYFUNCTION("""COMPUTED_VALUE"""),"45575VDF")</f>
        <v>45575VDF</v>
      </c>
      <c r="N104" s="81" t="str">
        <f>IFERROR(__xludf.DUMMYFUNCTION("""COMPUTED_VALUE"""),"VDF")</f>
        <v>VDF</v>
      </c>
      <c r="O104" s="82">
        <f>IFERROR(__xludf.DUMMYFUNCTION("""COMPUTED_VALUE"""),45575.0)</f>
        <v>45575</v>
      </c>
      <c r="P104" s="107" t="str">
        <f>IFERROR(__xludf.DUMMYFUNCTION("""COMPUTED_VALUE"""),"Hurricane Milton")</f>
        <v>Hurricane Milton</v>
      </c>
      <c r="Q104" s="77" t="str">
        <f>IFERROR(__xludf.DUMMYFUNCTION("""COMPUTED_VALUE"""),"REJECT")</f>
        <v>REJECT</v>
      </c>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row>
    <row r="105">
      <c r="A105" s="93"/>
      <c r="B105" s="85"/>
      <c r="C105" s="86"/>
      <c r="D105" s="93"/>
      <c r="E105" s="85"/>
      <c r="F105" s="85"/>
      <c r="G105" s="86"/>
      <c r="H105" s="78" t="str">
        <f>IFERROR(__xludf.DUMMYFUNCTION("""COMPUTED_VALUE"""),"46086Bahrain")</f>
        <v>46086Bahrain</v>
      </c>
      <c r="I105" s="85" t="str">
        <f>IFERROR(__xludf.DUMMYFUNCTION("""COMPUTED_VALUE"""),"Bahrain")</f>
        <v>Bahrain</v>
      </c>
      <c r="J105" s="101">
        <f>IFERROR(__xludf.DUMMYFUNCTION("""COMPUTED_VALUE"""),46086.0)</f>
        <v>46086</v>
      </c>
      <c r="K105" s="85" t="str">
        <f>IFERROR(__xludf.DUMMYFUNCTION("""COMPUTED_VALUE"""),"Closed post-strikes")</f>
        <v>Closed post-strikes</v>
      </c>
      <c r="L105" s="86" t="str">
        <f>IFERROR(__xludf.DUMMYFUNCTION("""COMPUTED_VALUE"""),"REJECT")</f>
        <v>REJECT</v>
      </c>
      <c r="M105" s="78" t="str">
        <f>IFERROR(__xludf.DUMMYFUNCTION("""COMPUTED_VALUE"""),"45576DAB")</f>
        <v>45576DAB</v>
      </c>
      <c r="N105" s="81" t="str">
        <f>IFERROR(__xludf.DUMMYFUNCTION("""COMPUTED_VALUE"""),"DAB")</f>
        <v>DAB</v>
      </c>
      <c r="O105" s="82">
        <f>IFERROR(__xludf.DUMMYFUNCTION("""COMPUTED_VALUE"""),45576.0)</f>
        <v>45576</v>
      </c>
      <c r="P105" s="107" t="str">
        <f>IFERROR(__xludf.DUMMYFUNCTION("""COMPUTED_VALUE"""),"Hurricane Milton")</f>
        <v>Hurricane Milton</v>
      </c>
      <c r="Q105" s="77" t="str">
        <f>IFERROR(__xludf.DUMMYFUNCTION("""COMPUTED_VALUE"""),"REJECT")</f>
        <v>REJECT</v>
      </c>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row>
    <row r="106">
      <c r="A106" s="93"/>
      <c r="B106" s="85"/>
      <c r="C106" s="86"/>
      <c r="D106" s="93"/>
      <c r="E106" s="85"/>
      <c r="F106" s="85"/>
      <c r="G106" s="86"/>
      <c r="H106" s="78" t="str">
        <f>IFERROR(__xludf.DUMMYFUNCTION("""COMPUTED_VALUE"""),"46086Iran")</f>
        <v>46086Iran</v>
      </c>
      <c r="I106" s="85" t="str">
        <f>IFERROR(__xludf.DUMMYFUNCTION("""COMPUTED_VALUE"""),"Iran")</f>
        <v>Iran</v>
      </c>
      <c r="J106" s="101">
        <f>IFERROR(__xludf.DUMMYFUNCTION("""COMPUTED_VALUE"""),46086.0)</f>
        <v>46086</v>
      </c>
      <c r="K106" s="85" t="str">
        <f>IFERROR(__xludf.DUMMYFUNCTION("""COMPUTED_VALUE"""),"Closed post-strikes")</f>
        <v>Closed post-strikes</v>
      </c>
      <c r="L106" s="86" t="str">
        <f>IFERROR(__xludf.DUMMYFUNCTION("""COMPUTED_VALUE"""),"REJECT")</f>
        <v>REJECT</v>
      </c>
      <c r="M106" s="78" t="str">
        <f>IFERROR(__xludf.DUMMYFUNCTION("""COMPUTED_VALUE"""),"45576LAL")</f>
        <v>45576LAL</v>
      </c>
      <c r="N106" s="81" t="str">
        <f>IFERROR(__xludf.DUMMYFUNCTION("""COMPUTED_VALUE"""),"LAL")</f>
        <v>LAL</v>
      </c>
      <c r="O106" s="82">
        <f>IFERROR(__xludf.DUMMYFUNCTION("""COMPUTED_VALUE"""),45576.0)</f>
        <v>45576</v>
      </c>
      <c r="P106" s="107" t="str">
        <f>IFERROR(__xludf.DUMMYFUNCTION("""COMPUTED_VALUE"""),"Hurricane Milton")</f>
        <v>Hurricane Milton</v>
      </c>
      <c r="Q106" s="109" t="str">
        <f>IFERROR(__xludf.DUMMYFUNCTION("""COMPUTED_VALUE"""),"REJECT")</f>
        <v>REJECT</v>
      </c>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row>
    <row r="107">
      <c r="A107" s="93"/>
      <c r="B107" s="85"/>
      <c r="C107" s="86"/>
      <c r="D107" s="93"/>
      <c r="E107" s="85"/>
      <c r="F107" s="85"/>
      <c r="G107" s="86"/>
      <c r="H107" s="78" t="str">
        <f>IFERROR(__xludf.DUMMYFUNCTION("""COMPUTED_VALUE"""),"46086Saudi Arabia")</f>
        <v>46086Saudi Arabia</v>
      </c>
      <c r="I107" s="85" t="str">
        <f>IFERROR(__xludf.DUMMYFUNCTION("""COMPUTED_VALUE"""),"Saudi Arabia")</f>
        <v>Saudi Arabia</v>
      </c>
      <c r="J107" s="101">
        <f>IFERROR(__xludf.DUMMYFUNCTION("""COMPUTED_VALUE"""),46086.0)</f>
        <v>46086</v>
      </c>
      <c r="K107" s="85" t="str">
        <f>IFERROR(__xludf.DUMMYFUNCTION("""COMPUTED_VALUE"""),"Closed post-strikes")</f>
        <v>Closed post-strikes</v>
      </c>
      <c r="L107" s="86" t="str">
        <f>IFERROR(__xludf.DUMMYFUNCTION("""COMPUTED_VALUE"""),"REJECT")</f>
        <v>REJECT</v>
      </c>
      <c r="M107" s="78" t="str">
        <f>IFERROR(__xludf.DUMMYFUNCTION("""COMPUTED_VALUE"""),"45576MCO")</f>
        <v>45576MCO</v>
      </c>
      <c r="N107" s="81" t="str">
        <f>IFERROR(__xludf.DUMMYFUNCTION("""COMPUTED_VALUE"""),"MCO")</f>
        <v>MCO</v>
      </c>
      <c r="O107" s="82">
        <f>IFERROR(__xludf.DUMMYFUNCTION("""COMPUTED_VALUE"""),45576.0)</f>
        <v>45576</v>
      </c>
      <c r="P107" s="107" t="str">
        <f>IFERROR(__xludf.DUMMYFUNCTION("""COMPUTED_VALUE"""),"Hurricane Milton")</f>
        <v>Hurricane Milton</v>
      </c>
      <c r="Q107" s="109" t="str">
        <f>IFERROR(__xludf.DUMMYFUNCTION("""COMPUTED_VALUE"""),"REJECT")</f>
        <v>REJECT</v>
      </c>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row>
    <row r="108">
      <c r="A108" s="93"/>
      <c r="B108" s="85"/>
      <c r="C108" s="86"/>
      <c r="D108" s="93"/>
      <c r="E108" s="85"/>
      <c r="F108" s="85"/>
      <c r="G108" s="86"/>
      <c r="H108" s="78" t="str">
        <f>IFERROR(__xludf.DUMMYFUNCTION("""COMPUTED_VALUE"""),"46087United Arab Emirates")</f>
        <v>46087United Arab Emirates</v>
      </c>
      <c r="I108" s="85" t="str">
        <f>IFERROR(__xludf.DUMMYFUNCTION("""COMPUTED_VALUE"""),"United Arab Emirates")</f>
        <v>United Arab Emirates</v>
      </c>
      <c r="J108" s="101">
        <f>IFERROR(__xludf.DUMMYFUNCTION("""COMPUTED_VALUE"""),46087.0)</f>
        <v>46087</v>
      </c>
      <c r="K108" s="85" t="str">
        <f>IFERROR(__xludf.DUMMYFUNCTION("""COMPUTED_VALUE"""),"Closed post-strikes")</f>
        <v>Closed post-strikes</v>
      </c>
      <c r="L108" s="86" t="str">
        <f>IFERROR(__xludf.DUMMYFUNCTION("""COMPUTED_VALUE"""),"REJECT")</f>
        <v>REJECT</v>
      </c>
      <c r="M108" s="78" t="str">
        <f>IFERROR(__xludf.DUMMYFUNCTION("""COMPUTED_VALUE"""),"45576MLB")</f>
        <v>45576MLB</v>
      </c>
      <c r="N108" s="81" t="str">
        <f>IFERROR(__xludf.DUMMYFUNCTION("""COMPUTED_VALUE"""),"MLB")</f>
        <v>MLB</v>
      </c>
      <c r="O108" s="82">
        <f>IFERROR(__xludf.DUMMYFUNCTION("""COMPUTED_VALUE"""),45576.0)</f>
        <v>45576</v>
      </c>
      <c r="P108" s="107" t="str">
        <f>IFERROR(__xludf.DUMMYFUNCTION("""COMPUTED_VALUE"""),"Hurricane Milton")</f>
        <v>Hurricane Milton</v>
      </c>
      <c r="Q108" s="108" t="str">
        <f>IFERROR(__xludf.DUMMYFUNCTION("""COMPUTED_VALUE"""),"REJECT")</f>
        <v>REJECT</v>
      </c>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row>
    <row r="109">
      <c r="A109" s="93"/>
      <c r="B109" s="85"/>
      <c r="C109" s="86"/>
      <c r="D109" s="93"/>
      <c r="E109" s="85"/>
      <c r="F109" s="85"/>
      <c r="G109" s="86"/>
      <c r="H109" s="78" t="str">
        <f>IFERROR(__xludf.DUMMYFUNCTION("""COMPUTED_VALUE"""),"46087Qatar")</f>
        <v>46087Qatar</v>
      </c>
      <c r="I109" s="85" t="str">
        <f>IFERROR(__xludf.DUMMYFUNCTION("""COMPUTED_VALUE"""),"Qatar")</f>
        <v>Qatar</v>
      </c>
      <c r="J109" s="101">
        <f>IFERROR(__xludf.DUMMYFUNCTION("""COMPUTED_VALUE"""),46087.0)</f>
        <v>46087</v>
      </c>
      <c r="K109" s="85" t="str">
        <f>IFERROR(__xludf.DUMMYFUNCTION("""COMPUTED_VALUE"""),"Closed post-strikes")</f>
        <v>Closed post-strikes</v>
      </c>
      <c r="L109" s="86" t="str">
        <f>IFERROR(__xludf.DUMMYFUNCTION("""COMPUTED_VALUE"""),"REJECT")</f>
        <v>REJECT</v>
      </c>
      <c r="M109" s="78" t="str">
        <f>IFERROR(__xludf.DUMMYFUNCTION("""COMPUTED_VALUE"""),"45576ORL")</f>
        <v>45576ORL</v>
      </c>
      <c r="N109" s="81" t="str">
        <f>IFERROR(__xludf.DUMMYFUNCTION("""COMPUTED_VALUE"""),"ORL")</f>
        <v>ORL</v>
      </c>
      <c r="O109" s="82">
        <f>IFERROR(__xludf.DUMMYFUNCTION("""COMPUTED_VALUE"""),45576.0)</f>
        <v>45576</v>
      </c>
      <c r="P109" s="107" t="str">
        <f>IFERROR(__xludf.DUMMYFUNCTION("""COMPUTED_VALUE"""),"Hurricane Milton")</f>
        <v>Hurricane Milton</v>
      </c>
      <c r="Q109" s="77" t="str">
        <f>IFERROR(__xludf.DUMMYFUNCTION("""COMPUTED_VALUE"""),"REJECT")</f>
        <v>REJECT</v>
      </c>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row>
    <row r="110">
      <c r="A110" s="93"/>
      <c r="B110" s="85"/>
      <c r="C110" s="86"/>
      <c r="D110" s="93"/>
      <c r="E110" s="85"/>
      <c r="F110" s="85"/>
      <c r="G110" s="86"/>
      <c r="H110" s="78" t="str">
        <f>IFERROR(__xludf.DUMMYFUNCTION("""COMPUTED_VALUE"""),"46087Kuwait")</f>
        <v>46087Kuwait</v>
      </c>
      <c r="I110" s="85" t="str">
        <f>IFERROR(__xludf.DUMMYFUNCTION("""COMPUTED_VALUE"""),"Kuwait")</f>
        <v>Kuwait</v>
      </c>
      <c r="J110" s="101">
        <f>IFERROR(__xludf.DUMMYFUNCTION("""COMPUTED_VALUE"""),46087.0)</f>
        <v>46087</v>
      </c>
      <c r="K110" s="85" t="str">
        <f>IFERROR(__xludf.DUMMYFUNCTION("""COMPUTED_VALUE"""),"Closed post-strikes")</f>
        <v>Closed post-strikes</v>
      </c>
      <c r="L110" s="86" t="str">
        <f>IFERROR(__xludf.DUMMYFUNCTION("""COMPUTED_VALUE"""),"REJECT")</f>
        <v>REJECT</v>
      </c>
      <c r="M110" s="78" t="str">
        <f>IFERROR(__xludf.DUMMYFUNCTION("""COMPUTED_VALUE"""),"45576PCM")</f>
        <v>45576PCM</v>
      </c>
      <c r="N110" s="81" t="str">
        <f>IFERROR(__xludf.DUMMYFUNCTION("""COMPUTED_VALUE"""),"PCM")</f>
        <v>PCM</v>
      </c>
      <c r="O110" s="82">
        <f>IFERROR(__xludf.DUMMYFUNCTION("""COMPUTED_VALUE"""),45576.0)</f>
        <v>45576</v>
      </c>
      <c r="P110" s="107" t="str">
        <f>IFERROR(__xludf.DUMMYFUNCTION("""COMPUTED_VALUE"""),"Hurricane Milton")</f>
        <v>Hurricane Milton</v>
      </c>
      <c r="Q110" s="77" t="str">
        <f>IFERROR(__xludf.DUMMYFUNCTION("""COMPUTED_VALUE"""),"REJECT")</f>
        <v>REJECT</v>
      </c>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row>
    <row r="111">
      <c r="A111" s="93"/>
      <c r="B111" s="85"/>
      <c r="C111" s="86"/>
      <c r="D111" s="93"/>
      <c r="E111" s="85"/>
      <c r="F111" s="85"/>
      <c r="G111" s="86"/>
      <c r="H111" s="78" t="str">
        <f>IFERROR(__xludf.DUMMYFUNCTION("""COMPUTED_VALUE"""),"46087Jordan")</f>
        <v>46087Jordan</v>
      </c>
      <c r="I111" s="85" t="str">
        <f>IFERROR(__xludf.DUMMYFUNCTION("""COMPUTED_VALUE"""),"Jordan")</f>
        <v>Jordan</v>
      </c>
      <c r="J111" s="101">
        <f>IFERROR(__xludf.DUMMYFUNCTION("""COMPUTED_VALUE"""),46087.0)</f>
        <v>46087</v>
      </c>
      <c r="K111" s="85" t="str">
        <f>IFERROR(__xludf.DUMMYFUNCTION("""COMPUTED_VALUE"""),"Closed post-strikes")</f>
        <v>Closed post-strikes</v>
      </c>
      <c r="L111" s="86" t="str">
        <f>IFERROR(__xludf.DUMMYFUNCTION("""COMPUTED_VALUE"""),"REJECT")</f>
        <v>REJECT</v>
      </c>
      <c r="M111" s="78" t="str">
        <f>IFERROR(__xludf.DUMMYFUNCTION("""COMPUTED_VALUE"""),"45576PIE")</f>
        <v>45576PIE</v>
      </c>
      <c r="N111" s="81" t="str">
        <f>IFERROR(__xludf.DUMMYFUNCTION("""COMPUTED_VALUE"""),"PIE")</f>
        <v>PIE</v>
      </c>
      <c r="O111" s="82">
        <f>IFERROR(__xludf.DUMMYFUNCTION("""COMPUTED_VALUE"""),45576.0)</f>
        <v>45576</v>
      </c>
      <c r="P111" s="107" t="str">
        <f>IFERROR(__xludf.DUMMYFUNCTION("""COMPUTED_VALUE"""),"Hurricane Milton")</f>
        <v>Hurricane Milton</v>
      </c>
      <c r="Q111" s="77" t="str">
        <f>IFERROR(__xludf.DUMMYFUNCTION("""COMPUTED_VALUE"""),"REJECT")</f>
        <v>REJECT</v>
      </c>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row>
    <row r="112">
      <c r="A112" s="93"/>
      <c r="B112" s="85"/>
      <c r="C112" s="86"/>
      <c r="D112" s="93"/>
      <c r="E112" s="85"/>
      <c r="F112" s="85"/>
      <c r="G112" s="86"/>
      <c r="H112" s="78" t="str">
        <f>IFERROR(__xludf.DUMMYFUNCTION("""COMPUTED_VALUE"""),"46087Bahrain")</f>
        <v>46087Bahrain</v>
      </c>
      <c r="I112" s="85" t="str">
        <f>IFERROR(__xludf.DUMMYFUNCTION("""COMPUTED_VALUE"""),"Bahrain")</f>
        <v>Bahrain</v>
      </c>
      <c r="J112" s="101">
        <f>IFERROR(__xludf.DUMMYFUNCTION("""COMPUTED_VALUE"""),46087.0)</f>
        <v>46087</v>
      </c>
      <c r="K112" s="85" t="str">
        <f>IFERROR(__xludf.DUMMYFUNCTION("""COMPUTED_VALUE"""),"Closed post-strikes")</f>
        <v>Closed post-strikes</v>
      </c>
      <c r="L112" s="86" t="str">
        <f>IFERROR(__xludf.DUMMYFUNCTION("""COMPUTED_VALUE"""),"REJECT")</f>
        <v>REJECT</v>
      </c>
      <c r="M112" s="78" t="str">
        <f>IFERROR(__xludf.DUMMYFUNCTION("""COMPUTED_VALUE"""),"45576PMO")</f>
        <v>45576PMO</v>
      </c>
      <c r="N112" s="81" t="str">
        <f>IFERROR(__xludf.DUMMYFUNCTION("""COMPUTED_VALUE"""),"PMO")</f>
        <v>PMO</v>
      </c>
      <c r="O112" s="82">
        <f>IFERROR(__xludf.DUMMYFUNCTION("""COMPUTED_VALUE"""),45576.0)</f>
        <v>45576</v>
      </c>
      <c r="P112" s="107" t="str">
        <f>IFERROR(__xludf.DUMMYFUNCTION("""COMPUTED_VALUE"""),"ATC strike")</f>
        <v>ATC strike</v>
      </c>
      <c r="Q112" s="77" t="str">
        <f>IFERROR(__xludf.DUMMYFUNCTION("""COMPUTED_VALUE"""),"REJECT")</f>
        <v>REJECT</v>
      </c>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row>
    <row r="113">
      <c r="A113" s="93"/>
      <c r="B113" s="85"/>
      <c r="C113" s="86"/>
      <c r="D113" s="93"/>
      <c r="E113" s="85"/>
      <c r="F113" s="85"/>
      <c r="G113" s="86"/>
      <c r="H113" s="78" t="str">
        <f>IFERROR(__xludf.DUMMYFUNCTION("""COMPUTED_VALUE"""),"46087Iran")</f>
        <v>46087Iran</v>
      </c>
      <c r="I113" s="85" t="str">
        <f>IFERROR(__xludf.DUMMYFUNCTION("""COMPUTED_VALUE"""),"Iran")</f>
        <v>Iran</v>
      </c>
      <c r="J113" s="101">
        <f>IFERROR(__xludf.DUMMYFUNCTION("""COMPUTED_VALUE"""),46087.0)</f>
        <v>46087</v>
      </c>
      <c r="K113" s="85" t="str">
        <f>IFERROR(__xludf.DUMMYFUNCTION("""COMPUTED_VALUE"""),"Closed post-strikes")</f>
        <v>Closed post-strikes</v>
      </c>
      <c r="L113" s="86" t="str">
        <f>IFERROR(__xludf.DUMMYFUNCTION("""COMPUTED_VALUE"""),"REJECT")</f>
        <v>REJECT</v>
      </c>
      <c r="M113" s="78" t="str">
        <f>IFERROR(__xludf.DUMMYFUNCTION("""COMPUTED_VALUE"""),"45576SFB")</f>
        <v>45576SFB</v>
      </c>
      <c r="N113" s="81" t="str">
        <f>IFERROR(__xludf.DUMMYFUNCTION("""COMPUTED_VALUE"""),"SFB")</f>
        <v>SFB</v>
      </c>
      <c r="O113" s="82">
        <f>IFERROR(__xludf.DUMMYFUNCTION("""COMPUTED_VALUE"""),45576.0)</f>
        <v>45576</v>
      </c>
      <c r="P113" s="107" t="str">
        <f>IFERROR(__xludf.DUMMYFUNCTION("""COMPUTED_VALUE"""),"Hurricane Milton")</f>
        <v>Hurricane Milton</v>
      </c>
      <c r="Q113" s="77" t="str">
        <f>IFERROR(__xludf.DUMMYFUNCTION("""COMPUTED_VALUE"""),"REJECT")</f>
        <v>REJECT</v>
      </c>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row>
    <row r="114">
      <c r="A114" s="93"/>
      <c r="B114" s="85"/>
      <c r="C114" s="86"/>
      <c r="D114" s="93"/>
      <c r="E114" s="85"/>
      <c r="F114" s="85"/>
      <c r="G114" s="86"/>
      <c r="H114" s="78" t="str">
        <f>IFERROR(__xludf.DUMMYFUNCTION("""COMPUTED_VALUE"""),"46087Saudi Arabia")</f>
        <v>46087Saudi Arabia</v>
      </c>
      <c r="I114" s="85" t="str">
        <f>IFERROR(__xludf.DUMMYFUNCTION("""COMPUTED_VALUE"""),"Saudi Arabia")</f>
        <v>Saudi Arabia</v>
      </c>
      <c r="J114" s="101">
        <f>IFERROR(__xludf.DUMMYFUNCTION("""COMPUTED_VALUE"""),46087.0)</f>
        <v>46087</v>
      </c>
      <c r="K114" s="85" t="str">
        <f>IFERROR(__xludf.DUMMYFUNCTION("""COMPUTED_VALUE"""),"Closed post-strikes")</f>
        <v>Closed post-strikes</v>
      </c>
      <c r="L114" s="86" t="str">
        <f>IFERROR(__xludf.DUMMYFUNCTION("""COMPUTED_VALUE"""),"REJECT")</f>
        <v>REJECT</v>
      </c>
      <c r="M114" s="78" t="str">
        <f>IFERROR(__xludf.DUMMYFUNCTION("""COMPUTED_VALUE"""),"45576SRQ")</f>
        <v>45576SRQ</v>
      </c>
      <c r="N114" s="81" t="str">
        <f>IFERROR(__xludf.DUMMYFUNCTION("""COMPUTED_VALUE"""),"SRQ")</f>
        <v>SRQ</v>
      </c>
      <c r="O114" s="82">
        <f>IFERROR(__xludf.DUMMYFUNCTION("""COMPUTED_VALUE"""),45576.0)</f>
        <v>45576</v>
      </c>
      <c r="P114" s="107" t="str">
        <f>IFERROR(__xludf.DUMMYFUNCTION("""COMPUTED_VALUE"""),"Hurricane Milton")</f>
        <v>Hurricane Milton</v>
      </c>
      <c r="Q114" s="77" t="str">
        <f>IFERROR(__xludf.DUMMYFUNCTION("""COMPUTED_VALUE"""),"REJECT")</f>
        <v>REJECT</v>
      </c>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row>
    <row r="115">
      <c r="A115" s="93"/>
      <c r="B115" s="85"/>
      <c r="C115" s="86"/>
      <c r="D115" s="93"/>
      <c r="E115" s="85"/>
      <c r="F115" s="85"/>
      <c r="G115" s="86"/>
      <c r="H115" s="78" t="str">
        <f>IFERROR(__xludf.DUMMYFUNCTION("""COMPUTED_VALUE"""),"46088United Arab Emirates")</f>
        <v>46088United Arab Emirates</v>
      </c>
      <c r="I115" s="85" t="str">
        <f>IFERROR(__xludf.DUMMYFUNCTION("""COMPUTED_VALUE"""),"United Arab Emirates")</f>
        <v>United Arab Emirates</v>
      </c>
      <c r="J115" s="101">
        <f>IFERROR(__xludf.DUMMYFUNCTION("""COMPUTED_VALUE"""),46088.0)</f>
        <v>46088</v>
      </c>
      <c r="K115" s="85" t="str">
        <f>IFERROR(__xludf.DUMMYFUNCTION("""COMPUTED_VALUE"""),"Closed post-strikes")</f>
        <v>Closed post-strikes</v>
      </c>
      <c r="L115" s="86" t="str">
        <f>IFERROR(__xludf.DUMMYFUNCTION("""COMPUTED_VALUE"""),"REJECT")</f>
        <v>REJECT</v>
      </c>
      <c r="M115" s="78" t="str">
        <f>IFERROR(__xludf.DUMMYFUNCTION("""COMPUTED_VALUE"""),"45576TPA")</f>
        <v>45576TPA</v>
      </c>
      <c r="N115" s="81" t="str">
        <f>IFERROR(__xludf.DUMMYFUNCTION("""COMPUTED_VALUE"""),"TPA")</f>
        <v>TPA</v>
      </c>
      <c r="O115" s="82">
        <f>IFERROR(__xludf.DUMMYFUNCTION("""COMPUTED_VALUE"""),45576.0)</f>
        <v>45576</v>
      </c>
      <c r="P115" s="107" t="str">
        <f>IFERROR(__xludf.DUMMYFUNCTION("""COMPUTED_VALUE"""),"Hurricane Milton")</f>
        <v>Hurricane Milton</v>
      </c>
      <c r="Q115" s="77" t="str">
        <f>IFERROR(__xludf.DUMMYFUNCTION("""COMPUTED_VALUE"""),"REJECT")</f>
        <v>REJECT</v>
      </c>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row>
    <row r="116">
      <c r="A116" s="93"/>
      <c r="B116" s="85"/>
      <c r="C116" s="86"/>
      <c r="D116" s="93"/>
      <c r="E116" s="85"/>
      <c r="F116" s="85"/>
      <c r="G116" s="86"/>
      <c r="H116" s="78" t="str">
        <f>IFERROR(__xludf.DUMMYFUNCTION("""COMPUTED_VALUE"""),"46088Qatar")</f>
        <v>46088Qatar</v>
      </c>
      <c r="I116" s="85" t="str">
        <f>IFERROR(__xludf.DUMMYFUNCTION("""COMPUTED_VALUE"""),"Qatar")</f>
        <v>Qatar</v>
      </c>
      <c r="J116" s="101">
        <f>IFERROR(__xludf.DUMMYFUNCTION("""COMPUTED_VALUE"""),46088.0)</f>
        <v>46088</v>
      </c>
      <c r="K116" s="85" t="str">
        <f>IFERROR(__xludf.DUMMYFUNCTION("""COMPUTED_VALUE"""),"Closed post-strikes")</f>
        <v>Closed post-strikes</v>
      </c>
      <c r="L116" s="86" t="str">
        <f>IFERROR(__xludf.DUMMYFUNCTION("""COMPUTED_VALUE"""),"REJECT")</f>
        <v>REJECT</v>
      </c>
      <c r="M116" s="78" t="str">
        <f>IFERROR(__xludf.DUMMYFUNCTION("""COMPUTED_VALUE"""),"45576TPF")</f>
        <v>45576TPF</v>
      </c>
      <c r="N116" s="81" t="str">
        <f>IFERROR(__xludf.DUMMYFUNCTION("""COMPUTED_VALUE"""),"TPF")</f>
        <v>TPF</v>
      </c>
      <c r="O116" s="82">
        <f>IFERROR(__xludf.DUMMYFUNCTION("""COMPUTED_VALUE"""),45576.0)</f>
        <v>45576</v>
      </c>
      <c r="P116" s="107" t="str">
        <f>IFERROR(__xludf.DUMMYFUNCTION("""COMPUTED_VALUE"""),"Hurricane Milton")</f>
        <v>Hurricane Milton</v>
      </c>
      <c r="Q116" s="77" t="str">
        <f>IFERROR(__xludf.DUMMYFUNCTION("""COMPUTED_VALUE"""),"REJECT")</f>
        <v>REJECT</v>
      </c>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row>
    <row r="117">
      <c r="A117" s="93"/>
      <c r="B117" s="85"/>
      <c r="C117" s="86"/>
      <c r="D117" s="93"/>
      <c r="E117" s="85"/>
      <c r="F117" s="85"/>
      <c r="G117" s="86"/>
      <c r="H117" s="78" t="str">
        <f>IFERROR(__xludf.DUMMYFUNCTION("""COMPUTED_VALUE"""),"46088Kuwait")</f>
        <v>46088Kuwait</v>
      </c>
      <c r="I117" s="85" t="str">
        <f>IFERROR(__xludf.DUMMYFUNCTION("""COMPUTED_VALUE"""),"Kuwait")</f>
        <v>Kuwait</v>
      </c>
      <c r="J117" s="101">
        <f>IFERROR(__xludf.DUMMYFUNCTION("""COMPUTED_VALUE"""),46088.0)</f>
        <v>46088</v>
      </c>
      <c r="K117" s="85" t="str">
        <f>IFERROR(__xludf.DUMMYFUNCTION("""COMPUTED_VALUE"""),"Closed post-strikes")</f>
        <v>Closed post-strikes</v>
      </c>
      <c r="L117" s="86" t="str">
        <f>IFERROR(__xludf.DUMMYFUNCTION("""COMPUTED_VALUE"""),"REJECT")</f>
        <v>REJECT</v>
      </c>
      <c r="M117" s="78" t="str">
        <f>IFERROR(__xludf.DUMMYFUNCTION("""COMPUTED_VALUE"""),"45576VDF")</f>
        <v>45576VDF</v>
      </c>
      <c r="N117" s="81" t="str">
        <f>IFERROR(__xludf.DUMMYFUNCTION("""COMPUTED_VALUE"""),"VDF")</f>
        <v>VDF</v>
      </c>
      <c r="O117" s="82">
        <f>IFERROR(__xludf.DUMMYFUNCTION("""COMPUTED_VALUE"""),45576.0)</f>
        <v>45576</v>
      </c>
      <c r="P117" s="107" t="str">
        <f>IFERROR(__xludf.DUMMYFUNCTION("""COMPUTED_VALUE"""),"Hurricane Milton")</f>
        <v>Hurricane Milton</v>
      </c>
      <c r="Q117" s="77" t="str">
        <f>IFERROR(__xludf.DUMMYFUNCTION("""COMPUTED_VALUE"""),"REJECT")</f>
        <v>REJECT</v>
      </c>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row>
    <row r="118">
      <c r="A118" s="93"/>
      <c r="B118" s="85"/>
      <c r="C118" s="86"/>
      <c r="D118" s="93"/>
      <c r="E118" s="85"/>
      <c r="F118" s="85"/>
      <c r="G118" s="86"/>
      <c r="H118" s="78" t="str">
        <f>IFERROR(__xludf.DUMMYFUNCTION("""COMPUTED_VALUE"""),"46088Jordan")</f>
        <v>46088Jordan</v>
      </c>
      <c r="I118" s="85" t="str">
        <f>IFERROR(__xludf.DUMMYFUNCTION("""COMPUTED_VALUE"""),"Jordan")</f>
        <v>Jordan</v>
      </c>
      <c r="J118" s="101">
        <f>IFERROR(__xludf.DUMMYFUNCTION("""COMPUTED_VALUE"""),46088.0)</f>
        <v>46088</v>
      </c>
      <c r="K118" s="85" t="str">
        <f>IFERROR(__xludf.DUMMYFUNCTION("""COMPUTED_VALUE"""),"Closed post-strikes")</f>
        <v>Closed post-strikes</v>
      </c>
      <c r="L118" s="86" t="str">
        <f>IFERROR(__xludf.DUMMYFUNCTION("""COMPUTED_VALUE"""),"REJECT")</f>
        <v>REJECT</v>
      </c>
      <c r="M118" s="78" t="str">
        <f>IFERROR(__xludf.DUMMYFUNCTION("""COMPUTED_VALUE"""),"45577DAB")</f>
        <v>45577DAB</v>
      </c>
      <c r="N118" s="81" t="str">
        <f>IFERROR(__xludf.DUMMYFUNCTION("""COMPUTED_VALUE"""),"DAB")</f>
        <v>DAB</v>
      </c>
      <c r="O118" s="82">
        <f>IFERROR(__xludf.DUMMYFUNCTION("""COMPUTED_VALUE"""),45577.0)</f>
        <v>45577</v>
      </c>
      <c r="P118" s="107" t="str">
        <f>IFERROR(__xludf.DUMMYFUNCTION("""COMPUTED_VALUE"""),"Hurricane Milton")</f>
        <v>Hurricane Milton</v>
      </c>
      <c r="Q118" s="77" t="str">
        <f>IFERROR(__xludf.DUMMYFUNCTION("""COMPUTED_VALUE"""),"REJECT")</f>
        <v>REJECT</v>
      </c>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row>
    <row r="119">
      <c r="A119" s="93"/>
      <c r="B119" s="85"/>
      <c r="C119" s="86"/>
      <c r="D119" s="93"/>
      <c r="E119" s="85"/>
      <c r="F119" s="85"/>
      <c r="G119" s="86"/>
      <c r="H119" s="78" t="str">
        <f>IFERROR(__xludf.DUMMYFUNCTION("""COMPUTED_VALUE"""),"46088Bahrain")</f>
        <v>46088Bahrain</v>
      </c>
      <c r="I119" s="85" t="str">
        <f>IFERROR(__xludf.DUMMYFUNCTION("""COMPUTED_VALUE"""),"Bahrain")</f>
        <v>Bahrain</v>
      </c>
      <c r="J119" s="101">
        <f>IFERROR(__xludf.DUMMYFUNCTION("""COMPUTED_VALUE"""),46088.0)</f>
        <v>46088</v>
      </c>
      <c r="K119" s="85" t="str">
        <f>IFERROR(__xludf.DUMMYFUNCTION("""COMPUTED_VALUE"""),"Closed post-strikes")</f>
        <v>Closed post-strikes</v>
      </c>
      <c r="L119" s="86" t="str">
        <f>IFERROR(__xludf.DUMMYFUNCTION("""COMPUTED_VALUE"""),"REJECT")</f>
        <v>REJECT</v>
      </c>
      <c r="M119" s="78" t="str">
        <f>IFERROR(__xludf.DUMMYFUNCTION("""COMPUTED_VALUE"""),"45587CRL")</f>
        <v>45587CRL</v>
      </c>
      <c r="N119" s="81" t="str">
        <f>IFERROR(__xludf.DUMMYFUNCTION("""COMPUTED_VALUE"""),"CRL")</f>
        <v>CRL</v>
      </c>
      <c r="O119" s="82">
        <f>IFERROR(__xludf.DUMMYFUNCTION("""COMPUTED_VALUE"""),45587.0)</f>
        <v>45587</v>
      </c>
      <c r="P119" s="107" t="str">
        <f>IFERROR(__xludf.DUMMYFUNCTION("""COMPUTED_VALUE"""),"Security Staff Strike ")</f>
        <v>Security Staff Strike </v>
      </c>
      <c r="Q119" s="108" t="str">
        <f>IFERROR(__xludf.DUMMYFUNCTION("""COMPUTED_VALUE"""),"REJECT")</f>
        <v>REJECT</v>
      </c>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row>
    <row r="120">
      <c r="A120" s="93"/>
      <c r="B120" s="85"/>
      <c r="C120" s="86"/>
      <c r="D120" s="93"/>
      <c r="E120" s="85"/>
      <c r="F120" s="85"/>
      <c r="G120" s="86"/>
      <c r="H120" s="78" t="str">
        <f>IFERROR(__xludf.DUMMYFUNCTION("""COMPUTED_VALUE"""),"46088Iran")</f>
        <v>46088Iran</v>
      </c>
      <c r="I120" s="85" t="str">
        <f>IFERROR(__xludf.DUMMYFUNCTION("""COMPUTED_VALUE"""),"Iran")</f>
        <v>Iran</v>
      </c>
      <c r="J120" s="101">
        <f>IFERROR(__xludf.DUMMYFUNCTION("""COMPUTED_VALUE"""),46088.0)</f>
        <v>46088</v>
      </c>
      <c r="K120" s="85" t="str">
        <f>IFERROR(__xludf.DUMMYFUNCTION("""COMPUTED_VALUE"""),"Closed post-strikes")</f>
        <v>Closed post-strikes</v>
      </c>
      <c r="L120" s="86" t="str">
        <f>IFERROR(__xludf.DUMMYFUNCTION("""COMPUTED_VALUE"""),"REJECT")</f>
        <v>REJECT</v>
      </c>
      <c r="M120" s="78" t="str">
        <f>IFERROR(__xludf.DUMMYFUNCTION("""COMPUTED_VALUE"""),"45589DRS")</f>
        <v>45589DRS</v>
      </c>
      <c r="N120" s="81" t="str">
        <f>IFERROR(__xludf.DUMMYFUNCTION("""COMPUTED_VALUE"""),"DRS")</f>
        <v>DRS</v>
      </c>
      <c r="O120" s="82">
        <f>IFERROR(__xludf.DUMMYFUNCTION("""COMPUTED_VALUE"""),45589.0)</f>
        <v>45589</v>
      </c>
      <c r="P120" s="107" t="str">
        <f>IFERROR(__xludf.DUMMYFUNCTION("""COMPUTED_VALUE"""),"Strike")</f>
        <v>Strike</v>
      </c>
      <c r="Q120" s="77" t="str">
        <f>IFERROR(__xludf.DUMMYFUNCTION("""COMPUTED_VALUE"""),"REJECT")</f>
        <v>REJECT</v>
      </c>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row>
    <row r="121">
      <c r="A121" s="93"/>
      <c r="B121" s="85"/>
      <c r="C121" s="86"/>
      <c r="D121" s="93"/>
      <c r="E121" s="85"/>
      <c r="F121" s="85"/>
      <c r="G121" s="86"/>
      <c r="H121" s="78" t="str">
        <f>IFERROR(__xludf.DUMMYFUNCTION("""COMPUTED_VALUE"""),"46088Saudi Arabia")</f>
        <v>46088Saudi Arabia</v>
      </c>
      <c r="I121" s="85" t="str">
        <f>IFERROR(__xludf.DUMMYFUNCTION("""COMPUTED_VALUE"""),"Saudi Arabia")</f>
        <v>Saudi Arabia</v>
      </c>
      <c r="J121" s="101">
        <f>IFERROR(__xludf.DUMMYFUNCTION("""COMPUTED_VALUE"""),46088.0)</f>
        <v>46088</v>
      </c>
      <c r="K121" s="85" t="str">
        <f>IFERROR(__xludf.DUMMYFUNCTION("""COMPUTED_VALUE"""),"Closed post-strikes")</f>
        <v>Closed post-strikes</v>
      </c>
      <c r="L121" s="86" t="str">
        <f>IFERROR(__xludf.DUMMYFUNCTION("""COMPUTED_VALUE"""),"REJECT")</f>
        <v>REJECT</v>
      </c>
      <c r="M121" s="78" t="str">
        <f>IFERROR(__xludf.DUMMYFUNCTION("""COMPUTED_VALUE"""),"45590LEJ")</f>
        <v>45590LEJ</v>
      </c>
      <c r="N121" s="81" t="str">
        <f>IFERROR(__xludf.DUMMYFUNCTION("""COMPUTED_VALUE"""),"LEJ")</f>
        <v>LEJ</v>
      </c>
      <c r="O121" s="82">
        <f>IFERROR(__xludf.DUMMYFUNCTION("""COMPUTED_VALUE"""),45590.0)</f>
        <v>45590</v>
      </c>
      <c r="P121" s="107" t="str">
        <f>IFERROR(__xludf.DUMMYFUNCTION("""COMPUTED_VALUE"""),"Strike")</f>
        <v>Strike</v>
      </c>
      <c r="Q121" s="77" t="str">
        <f>IFERROR(__xludf.DUMMYFUNCTION("""COMPUTED_VALUE"""),"REJECT")</f>
        <v>REJECT</v>
      </c>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row>
    <row r="122">
      <c r="A122" s="93"/>
      <c r="B122" s="85"/>
      <c r="C122" s="86"/>
      <c r="D122" s="93"/>
      <c r="E122" s="85"/>
      <c r="F122" s="85"/>
      <c r="G122" s="86"/>
      <c r="H122" s="78" t="str">
        <f>IFERROR(__xludf.DUMMYFUNCTION("""COMPUTED_VALUE"""),"46089United Arab Emirates")</f>
        <v>46089United Arab Emirates</v>
      </c>
      <c r="I122" s="85" t="str">
        <f>IFERROR(__xludf.DUMMYFUNCTION("""COMPUTED_VALUE"""),"United Arab Emirates")</f>
        <v>United Arab Emirates</v>
      </c>
      <c r="J122" s="101">
        <f>IFERROR(__xludf.DUMMYFUNCTION("""COMPUTED_VALUE"""),46089.0)</f>
        <v>46089</v>
      </c>
      <c r="K122" s="85" t="str">
        <f>IFERROR(__xludf.DUMMYFUNCTION("""COMPUTED_VALUE"""),"Closed post-strikes")</f>
        <v>Closed post-strikes</v>
      </c>
      <c r="L122" s="86" t="str">
        <f>IFERROR(__xludf.DUMMYFUNCTION("""COMPUTED_VALUE"""),"REJECT")</f>
        <v>REJECT</v>
      </c>
      <c r="M122" s="78" t="str">
        <f>IFERROR(__xludf.DUMMYFUNCTION("""COMPUTED_VALUE"""),"45594AGP")</f>
        <v>45594AGP</v>
      </c>
      <c r="N122" s="81" t="str">
        <f>IFERROR(__xludf.DUMMYFUNCTION("""COMPUTED_VALUE"""),"AGP")</f>
        <v>AGP</v>
      </c>
      <c r="O122" s="82">
        <f>IFERROR(__xludf.DUMMYFUNCTION("""COMPUTED_VALUE"""),45594.0)</f>
        <v>45594</v>
      </c>
      <c r="P122" s="107" t="str">
        <f>IFERROR(__xludf.DUMMYFUNCTION("""COMPUTED_VALUE"""),"Adverse weather")</f>
        <v>Adverse weather</v>
      </c>
      <c r="Q122" s="77" t="str">
        <f>IFERROR(__xludf.DUMMYFUNCTION("""COMPUTED_VALUE"""),"REJECT")</f>
        <v>REJECT</v>
      </c>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row>
    <row r="123">
      <c r="A123" s="93"/>
      <c r="B123" s="85"/>
      <c r="C123" s="86"/>
      <c r="D123" s="93"/>
      <c r="E123" s="85"/>
      <c r="F123" s="85"/>
      <c r="G123" s="86"/>
      <c r="H123" s="78" t="str">
        <f>IFERROR(__xludf.DUMMYFUNCTION("""COMPUTED_VALUE"""),"46089Qatar")</f>
        <v>46089Qatar</v>
      </c>
      <c r="I123" s="85" t="str">
        <f>IFERROR(__xludf.DUMMYFUNCTION("""COMPUTED_VALUE"""),"Qatar")</f>
        <v>Qatar</v>
      </c>
      <c r="J123" s="101">
        <f>IFERROR(__xludf.DUMMYFUNCTION("""COMPUTED_VALUE"""),46089.0)</f>
        <v>46089</v>
      </c>
      <c r="K123" s="85" t="str">
        <f>IFERROR(__xludf.DUMMYFUNCTION("""COMPUTED_VALUE"""),"Closed post-strikes")</f>
        <v>Closed post-strikes</v>
      </c>
      <c r="L123" s="86" t="str">
        <f>IFERROR(__xludf.DUMMYFUNCTION("""COMPUTED_VALUE"""),"REJECT")</f>
        <v>REJECT</v>
      </c>
      <c r="M123" s="78" t="str">
        <f>IFERROR(__xludf.DUMMYFUNCTION("""COMPUTED_VALUE"""),"45594VLC")</f>
        <v>45594VLC</v>
      </c>
      <c r="N123" s="81" t="str">
        <f>IFERROR(__xludf.DUMMYFUNCTION("""COMPUTED_VALUE"""),"VLC")</f>
        <v>VLC</v>
      </c>
      <c r="O123" s="82">
        <f>IFERROR(__xludf.DUMMYFUNCTION("""COMPUTED_VALUE"""),45594.0)</f>
        <v>45594</v>
      </c>
      <c r="P123" s="107" t="str">
        <f>IFERROR(__xludf.DUMMYFUNCTION("""COMPUTED_VALUE"""),"Adverse weather")</f>
        <v>Adverse weather</v>
      </c>
      <c r="Q123" s="77" t="str">
        <f>IFERROR(__xludf.DUMMYFUNCTION("""COMPUTED_VALUE"""),"REJECT")</f>
        <v>REJECT</v>
      </c>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row>
    <row r="124">
      <c r="A124" s="93"/>
      <c r="B124" s="85"/>
      <c r="C124" s="86"/>
      <c r="D124" s="93"/>
      <c r="E124" s="85"/>
      <c r="F124" s="85"/>
      <c r="G124" s="86"/>
      <c r="H124" s="78" t="str">
        <f>IFERROR(__xludf.DUMMYFUNCTION("""COMPUTED_VALUE"""),"46089Kuwait")</f>
        <v>46089Kuwait</v>
      </c>
      <c r="I124" s="85" t="str">
        <f>IFERROR(__xludf.DUMMYFUNCTION("""COMPUTED_VALUE"""),"Kuwait")</f>
        <v>Kuwait</v>
      </c>
      <c r="J124" s="101">
        <f>IFERROR(__xludf.DUMMYFUNCTION("""COMPUTED_VALUE"""),46089.0)</f>
        <v>46089</v>
      </c>
      <c r="K124" s="85" t="str">
        <f>IFERROR(__xludf.DUMMYFUNCTION("""COMPUTED_VALUE"""),"Closed post-strikes")</f>
        <v>Closed post-strikes</v>
      </c>
      <c r="L124" s="86" t="str">
        <f>IFERROR(__xludf.DUMMYFUNCTION("""COMPUTED_VALUE"""),"REJECT")</f>
        <v>REJECT</v>
      </c>
      <c r="M124" s="78" t="str">
        <f>IFERROR(__xludf.DUMMYFUNCTION("""COMPUTED_VALUE"""),"45595VLC")</f>
        <v>45595VLC</v>
      </c>
      <c r="N124" s="81" t="str">
        <f>IFERROR(__xludf.DUMMYFUNCTION("""COMPUTED_VALUE"""),"VLC")</f>
        <v>VLC</v>
      </c>
      <c r="O124" s="82">
        <f>IFERROR(__xludf.DUMMYFUNCTION("""COMPUTED_VALUE"""),45595.0)</f>
        <v>45595</v>
      </c>
      <c r="P124" s="107" t="str">
        <f>IFERROR(__xludf.DUMMYFUNCTION("""COMPUTED_VALUE"""),"Adverse weather")</f>
        <v>Adverse weather</v>
      </c>
      <c r="Q124" s="77" t="str">
        <f>IFERROR(__xludf.DUMMYFUNCTION("""COMPUTED_VALUE"""),"REJECT")</f>
        <v>REJECT</v>
      </c>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row>
    <row r="125">
      <c r="A125" s="93"/>
      <c r="B125" s="85"/>
      <c r="C125" s="86"/>
      <c r="D125" s="93"/>
      <c r="E125" s="85"/>
      <c r="F125" s="85"/>
      <c r="G125" s="86"/>
      <c r="H125" s="78" t="str">
        <f>IFERROR(__xludf.DUMMYFUNCTION("""COMPUTED_VALUE"""),"46089Jordan")</f>
        <v>46089Jordan</v>
      </c>
      <c r="I125" s="85" t="str">
        <f>IFERROR(__xludf.DUMMYFUNCTION("""COMPUTED_VALUE"""),"Jordan")</f>
        <v>Jordan</v>
      </c>
      <c r="J125" s="101">
        <f>IFERROR(__xludf.DUMMYFUNCTION("""COMPUTED_VALUE"""),46089.0)</f>
        <v>46089</v>
      </c>
      <c r="K125" s="85" t="str">
        <f>IFERROR(__xludf.DUMMYFUNCTION("""COMPUTED_VALUE"""),"Closed post-strikes")</f>
        <v>Closed post-strikes</v>
      </c>
      <c r="L125" s="86" t="str">
        <f>IFERROR(__xludf.DUMMYFUNCTION("""COMPUTED_VALUE"""),"REJECT")</f>
        <v>REJECT</v>
      </c>
      <c r="M125" s="78" t="str">
        <f>IFERROR(__xludf.DUMMYFUNCTION("""COMPUTED_VALUE"""),"45599EiN")</f>
        <v>45599EiN</v>
      </c>
      <c r="N125" s="81" t="str">
        <f>IFERROR(__xludf.DUMMYFUNCTION("""COMPUTED_VALUE"""),"EiN")</f>
        <v>EiN</v>
      </c>
      <c r="O125" s="82">
        <f>IFERROR(__xludf.DUMMYFUNCTION("""COMPUTED_VALUE"""),45599.0)</f>
        <v>45599</v>
      </c>
      <c r="P125" s="107" t="str">
        <f>IFERROR(__xludf.DUMMYFUNCTION("""COMPUTED_VALUE"""),"Adverse weather")</f>
        <v>Adverse weather</v>
      </c>
      <c r="Q125" s="77" t="str">
        <f>IFERROR(__xludf.DUMMYFUNCTION("""COMPUTED_VALUE"""),"REJECT")</f>
        <v>REJECT</v>
      </c>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row>
    <row r="126">
      <c r="A126" s="93"/>
      <c r="B126" s="85"/>
      <c r="C126" s="86"/>
      <c r="D126" s="93"/>
      <c r="E126" s="85"/>
      <c r="F126" s="85"/>
      <c r="G126" s="86"/>
      <c r="H126" s="78" t="str">
        <f>IFERROR(__xludf.DUMMYFUNCTION("""COMPUTED_VALUE"""),"46089Bahrain")</f>
        <v>46089Bahrain</v>
      </c>
      <c r="I126" s="85" t="str">
        <f>IFERROR(__xludf.DUMMYFUNCTION("""COMPUTED_VALUE"""),"Bahrain")</f>
        <v>Bahrain</v>
      </c>
      <c r="J126" s="101">
        <f>IFERROR(__xludf.DUMMYFUNCTION("""COMPUTED_VALUE"""),46089.0)</f>
        <v>46089</v>
      </c>
      <c r="K126" s="85" t="str">
        <f>IFERROR(__xludf.DUMMYFUNCTION("""COMPUTED_VALUE"""),"Closed post-strikes")</f>
        <v>Closed post-strikes</v>
      </c>
      <c r="L126" s="86" t="str">
        <f>IFERROR(__xludf.DUMMYFUNCTION("""COMPUTED_VALUE"""),"REJECT")</f>
        <v>REJECT</v>
      </c>
      <c r="M126" s="78" t="str">
        <f>IFERROR(__xludf.DUMMYFUNCTION("""COMPUTED_VALUE"""),"45600BCN")</f>
        <v>45600BCN</v>
      </c>
      <c r="N126" s="81" t="str">
        <f>IFERROR(__xludf.DUMMYFUNCTION("""COMPUTED_VALUE"""),"BCN")</f>
        <v>BCN</v>
      </c>
      <c r="O126" s="82">
        <f>IFERROR(__xludf.DUMMYFUNCTION("""COMPUTED_VALUE"""),45600.0)</f>
        <v>45600</v>
      </c>
      <c r="P126" s="107" t="str">
        <f>IFERROR(__xludf.DUMMYFUNCTION("""COMPUTED_VALUE"""),"Adverse weather")</f>
        <v>Adverse weather</v>
      </c>
      <c r="Q126" s="77" t="str">
        <f>IFERROR(__xludf.DUMMYFUNCTION("""COMPUTED_VALUE"""),"REJECT")</f>
        <v>REJECT</v>
      </c>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row>
    <row r="127">
      <c r="A127" s="93"/>
      <c r="B127" s="85"/>
      <c r="C127" s="86"/>
      <c r="D127" s="93"/>
      <c r="E127" s="85"/>
      <c r="F127" s="85"/>
      <c r="G127" s="86"/>
      <c r="H127" s="78" t="str">
        <f>IFERROR(__xludf.DUMMYFUNCTION("""COMPUTED_VALUE"""),"46089Iran")</f>
        <v>46089Iran</v>
      </c>
      <c r="I127" s="85" t="str">
        <f>IFERROR(__xludf.DUMMYFUNCTION("""COMPUTED_VALUE"""),"Iran")</f>
        <v>Iran</v>
      </c>
      <c r="J127" s="101">
        <f>IFERROR(__xludf.DUMMYFUNCTION("""COMPUTED_VALUE"""),46089.0)</f>
        <v>46089</v>
      </c>
      <c r="K127" s="85" t="str">
        <f>IFERROR(__xludf.DUMMYFUNCTION("""COMPUTED_VALUE"""),"Closed post-strikes")</f>
        <v>Closed post-strikes</v>
      </c>
      <c r="L127" s="86" t="str">
        <f>IFERROR(__xludf.DUMMYFUNCTION("""COMPUTED_VALUE"""),"REJECT")</f>
        <v>REJECT</v>
      </c>
      <c r="M127" s="78" t="str">
        <f>IFERROR(__xludf.DUMMYFUNCTION("""COMPUTED_VALUE"""),"45616HEL")</f>
        <v>45616HEL</v>
      </c>
      <c r="N127" s="81" t="str">
        <f>IFERROR(__xludf.DUMMYFUNCTION("""COMPUTED_VALUE"""),"HEL")</f>
        <v>HEL</v>
      </c>
      <c r="O127" s="82">
        <f>IFERROR(__xludf.DUMMYFUNCTION("""COMPUTED_VALUE"""),45616.0)</f>
        <v>45616</v>
      </c>
      <c r="P127" s="107" t="str">
        <f>IFERROR(__xludf.DUMMYFUNCTION("""COMPUTED_VALUE"""),"heavy snowfall and gusty wind")</f>
        <v>heavy snowfall and gusty wind</v>
      </c>
      <c r="Q127" s="77" t="str">
        <f>IFERROR(__xludf.DUMMYFUNCTION("""COMPUTED_VALUE"""),"REJECT")</f>
        <v>REJECT</v>
      </c>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row>
    <row r="128">
      <c r="A128" s="93"/>
      <c r="B128" s="85"/>
      <c r="C128" s="86"/>
      <c r="D128" s="93"/>
      <c r="E128" s="85"/>
      <c r="F128" s="85"/>
      <c r="G128" s="86"/>
      <c r="H128" s="78" t="str">
        <f>IFERROR(__xludf.DUMMYFUNCTION("""COMPUTED_VALUE"""),"46089Saudi Arabia")</f>
        <v>46089Saudi Arabia</v>
      </c>
      <c r="I128" s="85" t="str">
        <f>IFERROR(__xludf.DUMMYFUNCTION("""COMPUTED_VALUE"""),"Saudi Arabia")</f>
        <v>Saudi Arabia</v>
      </c>
      <c r="J128" s="101">
        <f>IFERROR(__xludf.DUMMYFUNCTION("""COMPUTED_VALUE"""),46089.0)</f>
        <v>46089</v>
      </c>
      <c r="K128" s="85" t="str">
        <f>IFERROR(__xludf.DUMMYFUNCTION("""COMPUTED_VALUE"""),"Closed post-strikes")</f>
        <v>Closed post-strikes</v>
      </c>
      <c r="L128" s="86" t="str">
        <f>IFERROR(__xludf.DUMMYFUNCTION("""COMPUTED_VALUE"""),"REJECT")</f>
        <v>REJECT</v>
      </c>
      <c r="M128" s="78" t="str">
        <f>IFERROR(__xludf.DUMMYFUNCTION("""COMPUTED_VALUE"""),"45617NTE")</f>
        <v>45617NTE</v>
      </c>
      <c r="N128" s="81" t="str">
        <f>IFERROR(__xludf.DUMMYFUNCTION("""COMPUTED_VALUE"""),"NTE")</f>
        <v>NTE</v>
      </c>
      <c r="O128" s="82">
        <f>IFERROR(__xludf.DUMMYFUNCTION("""COMPUTED_VALUE"""),45617.0)</f>
        <v>45617</v>
      </c>
      <c r="P128" s="107" t="str">
        <f>IFERROR(__xludf.DUMMYFUNCTION("""COMPUTED_VALUE"""),"Adverse weather")</f>
        <v>Adverse weather</v>
      </c>
      <c r="Q128" s="77" t="str">
        <f>IFERROR(__xludf.DUMMYFUNCTION("""COMPUTED_VALUE"""),"REJECT")</f>
        <v>REJECT</v>
      </c>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row>
    <row r="129">
      <c r="A129" s="93"/>
      <c r="B129" s="85"/>
      <c r="C129" s="86"/>
      <c r="D129" s="93"/>
      <c r="E129" s="85"/>
      <c r="F129" s="85"/>
      <c r="G129" s="86"/>
      <c r="H129" s="78" t="str">
        <f>IFERROR(__xludf.DUMMYFUNCTION("""COMPUTED_VALUE"""),"46090United Arab Emirates")</f>
        <v>46090United Arab Emirates</v>
      </c>
      <c r="I129" s="85" t="str">
        <f>IFERROR(__xludf.DUMMYFUNCTION("""COMPUTED_VALUE"""),"United Arab Emirates")</f>
        <v>United Arab Emirates</v>
      </c>
      <c r="J129" s="101">
        <f>IFERROR(__xludf.DUMMYFUNCTION("""COMPUTED_VALUE"""),46090.0)</f>
        <v>46090</v>
      </c>
      <c r="K129" s="85" t="str">
        <f>IFERROR(__xludf.DUMMYFUNCTION("""COMPUTED_VALUE"""),"Closed post-strikes")</f>
        <v>Closed post-strikes</v>
      </c>
      <c r="L129" s="86" t="str">
        <f>IFERROR(__xludf.DUMMYFUNCTION("""COMPUTED_VALUE"""),"REJECT")</f>
        <v>REJECT</v>
      </c>
      <c r="M129" s="78" t="str">
        <f>IFERROR(__xludf.DUMMYFUNCTION("""COMPUTED_VALUE"""),"45617ORY")</f>
        <v>45617ORY</v>
      </c>
      <c r="N129" s="81" t="str">
        <f>IFERROR(__xludf.DUMMYFUNCTION("""COMPUTED_VALUE"""),"ORY")</f>
        <v>ORY</v>
      </c>
      <c r="O129" s="82">
        <f>IFERROR(__xludf.DUMMYFUNCTION("""COMPUTED_VALUE"""),45617.0)</f>
        <v>45617</v>
      </c>
      <c r="P129" s="107" t="str">
        <f>IFERROR(__xludf.DUMMYFUNCTION("""COMPUTED_VALUE"""),"Adverse weather")</f>
        <v>Adverse weather</v>
      </c>
      <c r="Q129" s="77" t="str">
        <f>IFERROR(__xludf.DUMMYFUNCTION("""COMPUTED_VALUE"""),"REJECT")</f>
        <v>REJECT</v>
      </c>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row>
    <row r="130">
      <c r="A130" s="93"/>
      <c r="B130" s="85"/>
      <c r="C130" s="86"/>
      <c r="D130" s="93"/>
      <c r="E130" s="85"/>
      <c r="F130" s="85"/>
      <c r="G130" s="86"/>
      <c r="H130" s="78" t="str">
        <f>IFERROR(__xludf.DUMMYFUNCTION("""COMPUTED_VALUE"""),"46090Qatar")</f>
        <v>46090Qatar</v>
      </c>
      <c r="I130" s="85" t="str">
        <f>IFERROR(__xludf.DUMMYFUNCTION("""COMPUTED_VALUE"""),"Qatar")</f>
        <v>Qatar</v>
      </c>
      <c r="J130" s="101">
        <f>IFERROR(__xludf.DUMMYFUNCTION("""COMPUTED_VALUE"""),46090.0)</f>
        <v>46090</v>
      </c>
      <c r="K130" s="85" t="str">
        <f>IFERROR(__xludf.DUMMYFUNCTION("""COMPUTED_VALUE"""),"Closed post-strikes")</f>
        <v>Closed post-strikes</v>
      </c>
      <c r="L130" s="86" t="str">
        <f>IFERROR(__xludf.DUMMYFUNCTION("""COMPUTED_VALUE"""),"REJECT")</f>
        <v>REJECT</v>
      </c>
      <c r="M130" s="78" t="str">
        <f>IFERROR(__xludf.DUMMYFUNCTION("""COMPUTED_VALUE"""),"45618LGW")</f>
        <v>45618LGW</v>
      </c>
      <c r="N130" s="81" t="str">
        <f>IFERROR(__xludf.DUMMYFUNCTION("""COMPUTED_VALUE"""),"LGW")</f>
        <v>LGW</v>
      </c>
      <c r="O130" s="82">
        <f>IFERROR(__xludf.DUMMYFUNCTION("""COMPUTED_VALUE"""),45618.0)</f>
        <v>45618</v>
      </c>
      <c r="P130" s="107" t="str">
        <f>IFERROR(__xludf.DUMMYFUNCTION("""COMPUTED_VALUE"""),"Security reasons")</f>
        <v>Security reasons</v>
      </c>
      <c r="Q130" s="77" t="str">
        <f>IFERROR(__xludf.DUMMYFUNCTION("""COMPUTED_VALUE"""),"REJECT")</f>
        <v>REJECT</v>
      </c>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row>
    <row r="131">
      <c r="A131" s="93"/>
      <c r="B131" s="85"/>
      <c r="C131" s="86"/>
      <c r="D131" s="93"/>
      <c r="E131" s="85"/>
      <c r="F131" s="85"/>
      <c r="G131" s="86"/>
      <c r="H131" s="78" t="str">
        <f>IFERROR(__xludf.DUMMYFUNCTION("""COMPUTED_VALUE"""),"46090Kuwait")</f>
        <v>46090Kuwait</v>
      </c>
      <c r="I131" s="85" t="str">
        <f>IFERROR(__xludf.DUMMYFUNCTION("""COMPUTED_VALUE"""),"Kuwait")</f>
        <v>Kuwait</v>
      </c>
      <c r="J131" s="101">
        <f>IFERROR(__xludf.DUMMYFUNCTION("""COMPUTED_VALUE"""),46090.0)</f>
        <v>46090</v>
      </c>
      <c r="K131" s="85" t="str">
        <f>IFERROR(__xludf.DUMMYFUNCTION("""COMPUTED_VALUE"""),"Closed post-strikes")</f>
        <v>Closed post-strikes</v>
      </c>
      <c r="L131" s="86" t="str">
        <f>IFERROR(__xludf.DUMMYFUNCTION("""COMPUTED_VALUE"""),"REJECT")</f>
        <v>REJECT</v>
      </c>
      <c r="M131" s="78" t="str">
        <f>IFERROR(__xludf.DUMMYFUNCTION("""COMPUTED_VALUE"""),"45620AYT")</f>
        <v>45620AYT</v>
      </c>
      <c r="N131" s="81" t="str">
        <f>IFERROR(__xludf.DUMMYFUNCTION("""COMPUTED_VALUE"""),"AYT")</f>
        <v>AYT</v>
      </c>
      <c r="O131" s="82">
        <f>IFERROR(__xludf.DUMMYFUNCTION("""COMPUTED_VALUE"""),45620.0)</f>
        <v>45620</v>
      </c>
      <c r="P131" s="107" t="str">
        <f>IFERROR(__xludf.DUMMYFUNCTION("""COMPUTED_VALUE"""),"Airport Clousre")</f>
        <v>Airport Clousre</v>
      </c>
      <c r="Q131" s="77" t="str">
        <f>IFERROR(__xludf.DUMMYFUNCTION("""COMPUTED_VALUE"""),"REJECT")</f>
        <v>REJECT</v>
      </c>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row>
    <row r="132">
      <c r="A132" s="93"/>
      <c r="B132" s="85"/>
      <c r="C132" s="86"/>
      <c r="D132" s="93"/>
      <c r="E132" s="85"/>
      <c r="F132" s="85"/>
      <c r="G132" s="86"/>
      <c r="H132" s="78" t="str">
        <f>IFERROR(__xludf.DUMMYFUNCTION("""COMPUTED_VALUE"""),"46090Jordan")</f>
        <v>46090Jordan</v>
      </c>
      <c r="I132" s="85" t="str">
        <f>IFERROR(__xludf.DUMMYFUNCTION("""COMPUTED_VALUE"""),"Jordan")</f>
        <v>Jordan</v>
      </c>
      <c r="J132" s="101">
        <f>IFERROR(__xludf.DUMMYFUNCTION("""COMPUTED_VALUE"""),46090.0)</f>
        <v>46090</v>
      </c>
      <c r="K132" s="85" t="str">
        <f>IFERROR(__xludf.DUMMYFUNCTION("""COMPUTED_VALUE"""),"Closed post-strikes")</f>
        <v>Closed post-strikes</v>
      </c>
      <c r="L132" s="86" t="str">
        <f>IFERROR(__xludf.DUMMYFUNCTION("""COMPUTED_VALUE"""),"REJECT")</f>
        <v>REJECT</v>
      </c>
      <c r="M132" s="78" t="str">
        <f>IFERROR(__xludf.DUMMYFUNCTION("""COMPUTED_VALUE"""),"45620GOA")</f>
        <v>45620GOA</v>
      </c>
      <c r="N132" s="81" t="str">
        <f>IFERROR(__xludf.DUMMYFUNCTION("""COMPUTED_VALUE"""),"GOA")</f>
        <v>GOA</v>
      </c>
      <c r="O132" s="82">
        <f>IFERROR(__xludf.DUMMYFUNCTION("""COMPUTED_VALUE"""),45620.0)</f>
        <v>45620</v>
      </c>
      <c r="P132" s="107" t="str">
        <f>IFERROR(__xludf.DUMMYFUNCTION("""COMPUTED_VALUE"""),"Adverse weather")</f>
        <v>Adverse weather</v>
      </c>
      <c r="Q132" s="77" t="str">
        <f>IFERROR(__xludf.DUMMYFUNCTION("""COMPUTED_VALUE"""),"REJECT")</f>
        <v>REJECT</v>
      </c>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row>
    <row r="133">
      <c r="A133" s="93"/>
      <c r="B133" s="85"/>
      <c r="C133" s="86"/>
      <c r="D133" s="93"/>
      <c r="E133" s="85"/>
      <c r="F133" s="85"/>
      <c r="G133" s="86"/>
      <c r="H133" s="78" t="str">
        <f>IFERROR(__xludf.DUMMYFUNCTION("""COMPUTED_VALUE"""),"46090Bahrain")</f>
        <v>46090Bahrain</v>
      </c>
      <c r="I133" s="85" t="str">
        <f>IFERROR(__xludf.DUMMYFUNCTION("""COMPUTED_VALUE"""),"Bahrain")</f>
        <v>Bahrain</v>
      </c>
      <c r="J133" s="101">
        <f>IFERROR(__xludf.DUMMYFUNCTION("""COMPUTED_VALUE"""),46090.0)</f>
        <v>46090</v>
      </c>
      <c r="K133" s="85" t="str">
        <f>IFERROR(__xludf.DUMMYFUNCTION("""COMPUTED_VALUE"""),"Closed post-strikes")</f>
        <v>Closed post-strikes</v>
      </c>
      <c r="L133" s="86" t="str">
        <f>IFERROR(__xludf.DUMMYFUNCTION("""COMPUTED_VALUE"""),"REJECT")</f>
        <v>REJECT</v>
      </c>
      <c r="M133" s="78" t="str">
        <f>IFERROR(__xludf.DUMMYFUNCTION("""COMPUTED_VALUE"""),"45628HEL")</f>
        <v>45628HEL</v>
      </c>
      <c r="N133" s="81" t="str">
        <f>IFERROR(__xludf.DUMMYFUNCTION("""COMPUTED_VALUE"""),"HEL")</f>
        <v>HEL</v>
      </c>
      <c r="O133" s="82">
        <f>IFERROR(__xludf.DUMMYFUNCTION("""COMPUTED_VALUE"""),45628.0)</f>
        <v>45628</v>
      </c>
      <c r="P133" s="107" t="str">
        <f>IFERROR(__xludf.DUMMYFUNCTION("""COMPUTED_VALUE"""),"illegal walk-out affects (14:00:16:15)")</f>
        <v>illegal walk-out affects (14:00:16:15)</v>
      </c>
      <c r="Q133" s="77" t="str">
        <f>IFERROR(__xludf.DUMMYFUNCTION("""COMPUTED_VALUE"""),"REJECT")</f>
        <v>REJECT</v>
      </c>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row>
    <row r="134">
      <c r="A134" s="93"/>
      <c r="B134" s="85"/>
      <c r="C134" s="86"/>
      <c r="D134" s="93"/>
      <c r="E134" s="85"/>
      <c r="F134" s="85"/>
      <c r="G134" s="86"/>
      <c r="H134" s="78" t="str">
        <f>IFERROR(__xludf.DUMMYFUNCTION("""COMPUTED_VALUE"""),"46090Iran")</f>
        <v>46090Iran</v>
      </c>
      <c r="I134" s="85" t="str">
        <f>IFERROR(__xludf.DUMMYFUNCTION("""COMPUTED_VALUE"""),"Iran")</f>
        <v>Iran</v>
      </c>
      <c r="J134" s="101">
        <f>IFERROR(__xludf.DUMMYFUNCTION("""COMPUTED_VALUE"""),46090.0)</f>
        <v>46090</v>
      </c>
      <c r="K134" s="85" t="str">
        <f>IFERROR(__xludf.DUMMYFUNCTION("""COMPUTED_VALUE"""),"Closed post-strikes")</f>
        <v>Closed post-strikes</v>
      </c>
      <c r="L134" s="86" t="str">
        <f>IFERROR(__xludf.DUMMYFUNCTION("""COMPUTED_VALUE"""),"REJECT")</f>
        <v>REJECT</v>
      </c>
      <c r="M134" s="78" t="str">
        <f>IFERROR(__xludf.DUMMYFUNCTION("""COMPUTED_VALUE"""),"45633LTN")</f>
        <v>45633LTN</v>
      </c>
      <c r="N134" s="81" t="str">
        <f>IFERROR(__xludf.DUMMYFUNCTION("""COMPUTED_VALUE"""),"LTN")</f>
        <v>LTN</v>
      </c>
      <c r="O134" s="82">
        <f>IFERROR(__xludf.DUMMYFUNCTION("""COMPUTED_VALUE"""),45633.0)</f>
        <v>45633</v>
      </c>
      <c r="P134" s="107" t="str">
        <f>IFERROR(__xludf.DUMMYFUNCTION("""COMPUTED_VALUE"""),"Adverse weather")</f>
        <v>Adverse weather</v>
      </c>
      <c r="Q134" s="77" t="str">
        <f>IFERROR(__xludf.DUMMYFUNCTION("""COMPUTED_VALUE"""),"REJECT")</f>
        <v>REJECT</v>
      </c>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row>
    <row r="135">
      <c r="A135" s="93"/>
      <c r="B135" s="85"/>
      <c r="C135" s="86"/>
      <c r="D135" s="93"/>
      <c r="E135" s="85"/>
      <c r="F135" s="85"/>
      <c r="G135" s="86"/>
      <c r="H135" s="78" t="str">
        <f>IFERROR(__xludf.DUMMYFUNCTION("""COMPUTED_VALUE"""),"46090Saudi Arabia")</f>
        <v>46090Saudi Arabia</v>
      </c>
      <c r="I135" s="85" t="str">
        <f>IFERROR(__xludf.DUMMYFUNCTION("""COMPUTED_VALUE"""),"Saudi Arabia")</f>
        <v>Saudi Arabia</v>
      </c>
      <c r="J135" s="101">
        <f>IFERROR(__xludf.DUMMYFUNCTION("""COMPUTED_VALUE"""),46090.0)</f>
        <v>46090</v>
      </c>
      <c r="K135" s="85" t="str">
        <f>IFERROR(__xludf.DUMMYFUNCTION("""COMPUTED_VALUE"""),"Closed post-strikes")</f>
        <v>Closed post-strikes</v>
      </c>
      <c r="L135" s="86" t="str">
        <f>IFERROR(__xludf.DUMMYFUNCTION("""COMPUTED_VALUE"""),"REJECT")</f>
        <v>REJECT</v>
      </c>
      <c r="M135" s="78" t="str">
        <f>IFERROR(__xludf.DUMMYFUNCTION("""COMPUTED_VALUE"""),"45634LTN")</f>
        <v>45634LTN</v>
      </c>
      <c r="N135" s="81" t="str">
        <f>IFERROR(__xludf.DUMMYFUNCTION("""COMPUTED_VALUE"""),"LTN")</f>
        <v>LTN</v>
      </c>
      <c r="O135" s="82">
        <f>IFERROR(__xludf.DUMMYFUNCTION("""COMPUTED_VALUE"""),45634.0)</f>
        <v>45634</v>
      </c>
      <c r="P135" s="107" t="str">
        <f>IFERROR(__xludf.DUMMYFUNCTION("""COMPUTED_VALUE"""),"Windy")</f>
        <v>Windy</v>
      </c>
      <c r="Q135" s="77" t="str">
        <f>IFERROR(__xludf.DUMMYFUNCTION("""COMPUTED_VALUE"""),"REJECT")</f>
        <v>REJECT</v>
      </c>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row>
    <row r="136">
      <c r="A136" s="93"/>
      <c r="B136" s="85"/>
      <c r="C136" s="86"/>
      <c r="D136" s="93"/>
      <c r="E136" s="85"/>
      <c r="F136" s="85"/>
      <c r="G136" s="86"/>
      <c r="H136" s="78" t="str">
        <f>IFERROR(__xludf.DUMMYFUNCTION("""COMPUTED_VALUE"""),"46091United Arab Emirates")</f>
        <v>46091United Arab Emirates</v>
      </c>
      <c r="I136" s="85" t="str">
        <f>IFERROR(__xludf.DUMMYFUNCTION("""COMPUTED_VALUE"""),"United Arab Emirates")</f>
        <v>United Arab Emirates</v>
      </c>
      <c r="J136" s="101">
        <f>IFERROR(__xludf.DUMMYFUNCTION("""COMPUTED_VALUE"""),46091.0)</f>
        <v>46091</v>
      </c>
      <c r="K136" s="85" t="str">
        <f>IFERROR(__xludf.DUMMYFUNCTION("""COMPUTED_VALUE"""),"Closed post-strikes")</f>
        <v>Closed post-strikes</v>
      </c>
      <c r="L136" s="86" t="str">
        <f>IFERROR(__xludf.DUMMYFUNCTION("""COMPUTED_VALUE"""),"REJECT")</f>
        <v>REJECT</v>
      </c>
      <c r="M136" s="78" t="str">
        <f>IFERROR(__xludf.DUMMYFUNCTION("""COMPUTED_VALUE"""),"45641EDI")</f>
        <v>45641EDI</v>
      </c>
      <c r="N136" s="81" t="str">
        <f>IFERROR(__xludf.DUMMYFUNCTION("""COMPUTED_VALUE"""),"EDI")</f>
        <v>EDI</v>
      </c>
      <c r="O136" s="82">
        <f>IFERROR(__xludf.DUMMYFUNCTION("""COMPUTED_VALUE"""),45641.0)</f>
        <v>45641</v>
      </c>
      <c r="P136" s="107" t="str">
        <f>IFERROR(__xludf.DUMMYFUNCTION("""COMPUTED_VALUE"""),"Air Traffic Control IT issue")</f>
        <v>Air Traffic Control IT issue</v>
      </c>
      <c r="Q136" s="77" t="str">
        <f>IFERROR(__xludf.DUMMYFUNCTION("""COMPUTED_VALUE"""),"REJECT")</f>
        <v>REJECT</v>
      </c>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row>
    <row r="137">
      <c r="A137" s="93"/>
      <c r="B137" s="85"/>
      <c r="C137" s="86"/>
      <c r="D137" s="93"/>
      <c r="E137" s="85"/>
      <c r="F137" s="85"/>
      <c r="G137" s="86"/>
      <c r="H137" s="78" t="str">
        <f>IFERROR(__xludf.DUMMYFUNCTION("""COMPUTED_VALUE"""),"46091Qatar")</f>
        <v>46091Qatar</v>
      </c>
      <c r="I137" s="85" t="str">
        <f>IFERROR(__xludf.DUMMYFUNCTION("""COMPUTED_VALUE"""),"Qatar")</f>
        <v>Qatar</v>
      </c>
      <c r="J137" s="101">
        <f>IFERROR(__xludf.DUMMYFUNCTION("""COMPUTED_VALUE"""),46091.0)</f>
        <v>46091</v>
      </c>
      <c r="K137" s="85" t="str">
        <f>IFERROR(__xludf.DUMMYFUNCTION("""COMPUTED_VALUE"""),"Closed post-strikes")</f>
        <v>Closed post-strikes</v>
      </c>
      <c r="L137" s="86" t="str">
        <f>IFERROR(__xludf.DUMMYFUNCTION("""COMPUTED_VALUE"""),"REJECT")</f>
        <v>REJECT</v>
      </c>
      <c r="M137" s="78" t="str">
        <f>IFERROR(__xludf.DUMMYFUNCTION("""COMPUTED_VALUE"""),"45643PGF")</f>
        <v>45643PGF</v>
      </c>
      <c r="N137" s="81" t="str">
        <f>IFERROR(__xludf.DUMMYFUNCTION("""COMPUTED_VALUE"""),"PGF")</f>
        <v>PGF</v>
      </c>
      <c r="O137" s="82">
        <f>IFERROR(__xludf.DUMMYFUNCTION("""COMPUTED_VALUE"""),45643.0)</f>
        <v>45643</v>
      </c>
      <c r="P137" s="107" t="str">
        <f>IFERROR(__xludf.DUMMYFUNCTION("""COMPUTED_VALUE"""),"ATC")</f>
        <v>ATC</v>
      </c>
      <c r="Q137" s="77" t="str">
        <f>IFERROR(__xludf.DUMMYFUNCTION("""COMPUTED_VALUE"""),"REJECT")</f>
        <v>REJECT</v>
      </c>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row>
    <row r="138">
      <c r="A138" s="93"/>
      <c r="B138" s="85"/>
      <c r="C138" s="86"/>
      <c r="D138" s="93"/>
      <c r="E138" s="85"/>
      <c r="F138" s="85"/>
      <c r="G138" s="86"/>
      <c r="H138" s="78" t="str">
        <f>IFERROR(__xludf.DUMMYFUNCTION("""COMPUTED_VALUE"""),"46091Kuwait")</f>
        <v>46091Kuwait</v>
      </c>
      <c r="I138" s="85" t="str">
        <f>IFERROR(__xludf.DUMMYFUNCTION("""COMPUTED_VALUE"""),"Kuwait")</f>
        <v>Kuwait</v>
      </c>
      <c r="J138" s="101">
        <f>IFERROR(__xludf.DUMMYFUNCTION("""COMPUTED_VALUE"""),46091.0)</f>
        <v>46091</v>
      </c>
      <c r="K138" s="85" t="str">
        <f>IFERROR(__xludf.DUMMYFUNCTION("""COMPUTED_VALUE"""),"Closed post-strikes")</f>
        <v>Closed post-strikes</v>
      </c>
      <c r="L138" s="86" t="str">
        <f>IFERROR(__xludf.DUMMYFUNCTION("""COMPUTED_VALUE"""),"REJECT")</f>
        <v>REJECT</v>
      </c>
      <c r="M138" s="78" t="str">
        <f>IFERROR(__xludf.DUMMYFUNCTION("""COMPUTED_VALUE"""),"45645IAS")</f>
        <v>45645IAS</v>
      </c>
      <c r="N138" s="81" t="str">
        <f>IFERROR(__xludf.DUMMYFUNCTION("""COMPUTED_VALUE"""),"IAS")</f>
        <v>IAS</v>
      </c>
      <c r="O138" s="82">
        <f>IFERROR(__xludf.DUMMYFUNCTION("""COMPUTED_VALUE"""),45645.0)</f>
        <v>45645</v>
      </c>
      <c r="P138" s="107" t="str">
        <f>IFERROR(__xludf.DUMMYFUNCTION("""COMPUTED_VALUE"""),"Adverse weather")</f>
        <v>Adverse weather</v>
      </c>
      <c r="Q138" s="77" t="str">
        <f>IFERROR(__xludf.DUMMYFUNCTION("""COMPUTED_VALUE"""),"REJECT")</f>
        <v>REJECT</v>
      </c>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row>
    <row r="139">
      <c r="A139" s="93"/>
      <c r="B139" s="85"/>
      <c r="C139" s="86"/>
      <c r="D139" s="93"/>
      <c r="E139" s="85"/>
      <c r="F139" s="85"/>
      <c r="G139" s="86"/>
      <c r="H139" s="78" t="str">
        <f>IFERROR(__xludf.DUMMYFUNCTION("""COMPUTED_VALUE"""),"46091Jordan")</f>
        <v>46091Jordan</v>
      </c>
      <c r="I139" s="85" t="str">
        <f>IFERROR(__xludf.DUMMYFUNCTION("""COMPUTED_VALUE"""),"Jordan")</f>
        <v>Jordan</v>
      </c>
      <c r="J139" s="101">
        <f>IFERROR(__xludf.DUMMYFUNCTION("""COMPUTED_VALUE"""),46091.0)</f>
        <v>46091</v>
      </c>
      <c r="K139" s="85" t="str">
        <f>IFERROR(__xludf.DUMMYFUNCTION("""COMPUTED_VALUE"""),"Closed post-strikes")</f>
        <v>Closed post-strikes</v>
      </c>
      <c r="L139" s="86" t="str">
        <f>IFERROR(__xludf.DUMMYFUNCTION("""COMPUTED_VALUE"""),"REJECT")</f>
        <v>REJECT</v>
      </c>
      <c r="M139" s="78" t="str">
        <f>IFERROR(__xludf.DUMMYFUNCTION("""COMPUTED_VALUE"""),"45646GOA")</f>
        <v>45646GOA</v>
      </c>
      <c r="N139" s="81" t="str">
        <f>IFERROR(__xludf.DUMMYFUNCTION("""COMPUTED_VALUE"""),"GOA")</f>
        <v>GOA</v>
      </c>
      <c r="O139" s="82">
        <f>IFERROR(__xludf.DUMMYFUNCTION("""COMPUTED_VALUE"""),45646.0)</f>
        <v>45646</v>
      </c>
      <c r="P139" s="107" t="str">
        <f>IFERROR(__xludf.DUMMYFUNCTION("""COMPUTED_VALUE"""),"Adverse weather")</f>
        <v>Adverse weather</v>
      </c>
      <c r="Q139" s="77" t="str">
        <f>IFERROR(__xludf.DUMMYFUNCTION("""COMPUTED_VALUE"""),"REJECT")</f>
        <v>REJECT</v>
      </c>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row>
    <row r="140">
      <c r="A140" s="93"/>
      <c r="B140" s="85"/>
      <c r="C140" s="86"/>
      <c r="D140" s="93"/>
      <c r="E140" s="85"/>
      <c r="F140" s="85"/>
      <c r="G140" s="86"/>
      <c r="H140" s="78" t="str">
        <f>IFERROR(__xludf.DUMMYFUNCTION("""COMPUTED_VALUE"""),"46091Bahrain")</f>
        <v>46091Bahrain</v>
      </c>
      <c r="I140" s="85" t="str">
        <f>IFERROR(__xludf.DUMMYFUNCTION("""COMPUTED_VALUE"""),"Bahrain")</f>
        <v>Bahrain</v>
      </c>
      <c r="J140" s="101">
        <f>IFERROR(__xludf.DUMMYFUNCTION("""COMPUTED_VALUE"""),46091.0)</f>
        <v>46091</v>
      </c>
      <c r="K140" s="85" t="str">
        <f>IFERROR(__xludf.DUMMYFUNCTION("""COMPUTED_VALUE"""),"Closed post-strikes")</f>
        <v>Closed post-strikes</v>
      </c>
      <c r="L140" s="86" t="str">
        <f>IFERROR(__xludf.DUMMYFUNCTION("""COMPUTED_VALUE"""),"REJECT")</f>
        <v>REJECT</v>
      </c>
      <c r="M140" s="78" t="str">
        <f>IFERROR(__xludf.DUMMYFUNCTION("""COMPUTED_VALUE"""),"45646IAS")</f>
        <v>45646IAS</v>
      </c>
      <c r="N140" s="81" t="str">
        <f>IFERROR(__xludf.DUMMYFUNCTION("""COMPUTED_VALUE"""),"IAS")</f>
        <v>IAS</v>
      </c>
      <c r="O140" s="82">
        <f>IFERROR(__xludf.DUMMYFUNCTION("""COMPUTED_VALUE"""),45646.0)</f>
        <v>45646</v>
      </c>
      <c r="P140" s="107" t="str">
        <f>IFERROR(__xludf.DUMMYFUNCTION("""COMPUTED_VALUE"""),"Adverse weather")</f>
        <v>Adverse weather</v>
      </c>
      <c r="Q140" s="77" t="str">
        <f>IFERROR(__xludf.DUMMYFUNCTION("""COMPUTED_VALUE"""),"REJECT")</f>
        <v>REJECT</v>
      </c>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row>
    <row r="141">
      <c r="A141" s="93"/>
      <c r="B141" s="85"/>
      <c r="C141" s="86"/>
      <c r="D141" s="93"/>
      <c r="E141" s="85"/>
      <c r="F141" s="85"/>
      <c r="G141" s="86"/>
      <c r="H141" s="78" t="str">
        <f>IFERROR(__xludf.DUMMYFUNCTION("""COMPUTED_VALUE"""),"46091Iran")</f>
        <v>46091Iran</v>
      </c>
      <c r="I141" s="85" t="str">
        <f>IFERROR(__xludf.DUMMYFUNCTION("""COMPUTED_VALUE"""),"Iran")</f>
        <v>Iran</v>
      </c>
      <c r="J141" s="101">
        <f>IFERROR(__xludf.DUMMYFUNCTION("""COMPUTED_VALUE"""),46091.0)</f>
        <v>46091</v>
      </c>
      <c r="K141" s="85" t="str">
        <f>IFERROR(__xludf.DUMMYFUNCTION("""COMPUTED_VALUE"""),"Closed post-strikes")</f>
        <v>Closed post-strikes</v>
      </c>
      <c r="L141" s="86" t="str">
        <f>IFERROR(__xludf.DUMMYFUNCTION("""COMPUTED_VALUE"""),"REJECT")</f>
        <v>REJECT</v>
      </c>
      <c r="M141" s="78" t="str">
        <f>IFERROR(__xludf.DUMMYFUNCTION("""COMPUTED_VALUE"""),"45654 LGW")</f>
        <v>45654 LGW</v>
      </c>
      <c r="N141" s="81" t="str">
        <f>IFERROR(__xludf.DUMMYFUNCTION("""COMPUTED_VALUE""")," LGW")</f>
        <v> LGW</v>
      </c>
      <c r="O141" s="82">
        <f>IFERROR(__xludf.DUMMYFUNCTION("""COMPUTED_VALUE"""),45654.0)</f>
        <v>45654</v>
      </c>
      <c r="P141" s="107" t="str">
        <f>IFERROR(__xludf.DUMMYFUNCTION("""COMPUTED_VALUE"""),"Adverse weather")</f>
        <v>Adverse weather</v>
      </c>
      <c r="Q141" s="77" t="str">
        <f>IFERROR(__xludf.DUMMYFUNCTION("""COMPUTED_VALUE"""),"REJECT")</f>
        <v>REJECT</v>
      </c>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row>
    <row r="142">
      <c r="A142" s="93"/>
      <c r="B142" s="85"/>
      <c r="C142" s="86"/>
      <c r="D142" s="93"/>
      <c r="E142" s="85"/>
      <c r="F142" s="85"/>
      <c r="G142" s="86"/>
      <c r="H142" s="78" t="str">
        <f>IFERROR(__xludf.DUMMYFUNCTION("""COMPUTED_VALUE"""),"46091Saudi Arabia")</f>
        <v>46091Saudi Arabia</v>
      </c>
      <c r="I142" s="85" t="str">
        <f>IFERROR(__xludf.DUMMYFUNCTION("""COMPUTED_VALUE"""),"Saudi Arabia")</f>
        <v>Saudi Arabia</v>
      </c>
      <c r="J142" s="101">
        <f>IFERROR(__xludf.DUMMYFUNCTION("""COMPUTED_VALUE"""),46091.0)</f>
        <v>46091</v>
      </c>
      <c r="K142" s="85" t="str">
        <f>IFERROR(__xludf.DUMMYFUNCTION("""COMPUTED_VALUE"""),"Closed post-strikes")</f>
        <v>Closed post-strikes</v>
      </c>
      <c r="L142" s="86" t="str">
        <f>IFERROR(__xludf.DUMMYFUNCTION("""COMPUTED_VALUE"""),"REJECT")</f>
        <v>REJECT</v>
      </c>
      <c r="M142" s="78" t="str">
        <f>IFERROR(__xludf.DUMMYFUNCTION("""COMPUTED_VALUE"""),"45654EIN")</f>
        <v>45654EIN</v>
      </c>
      <c r="N142" s="81" t="str">
        <f>IFERROR(__xludf.DUMMYFUNCTION("""COMPUTED_VALUE"""),"EIN")</f>
        <v>EIN</v>
      </c>
      <c r="O142" s="82">
        <f>IFERROR(__xludf.DUMMYFUNCTION("""COMPUTED_VALUE"""),45654.0)</f>
        <v>45654</v>
      </c>
      <c r="P142" s="107" t="str">
        <f>IFERROR(__xludf.DUMMYFUNCTION("""COMPUTED_VALUE"""),"Adverse weather")</f>
        <v>Adverse weather</v>
      </c>
      <c r="Q142" s="77" t="str">
        <f>IFERROR(__xludf.DUMMYFUNCTION("""COMPUTED_VALUE"""),"REJECT")</f>
        <v>REJECT</v>
      </c>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row>
    <row r="143">
      <c r="A143" s="93"/>
      <c r="B143" s="85"/>
      <c r="C143" s="86"/>
      <c r="D143" s="93"/>
      <c r="E143" s="85"/>
      <c r="F143" s="85"/>
      <c r="G143" s="86"/>
      <c r="H143" s="78" t="str">
        <f>IFERROR(__xludf.DUMMYFUNCTION("""COMPUTED_VALUE"""),"46092United Arab Emirates")</f>
        <v>46092United Arab Emirates</v>
      </c>
      <c r="I143" s="85" t="str">
        <f>IFERROR(__xludf.DUMMYFUNCTION("""COMPUTED_VALUE"""),"United Arab Emirates")</f>
        <v>United Arab Emirates</v>
      </c>
      <c r="J143" s="101">
        <f>IFERROR(__xludf.DUMMYFUNCTION("""COMPUTED_VALUE"""),46092.0)</f>
        <v>46092</v>
      </c>
      <c r="K143" s="85" t="str">
        <f>IFERROR(__xludf.DUMMYFUNCTION("""COMPUTED_VALUE"""),"Closed post-strikes")</f>
        <v>Closed post-strikes</v>
      </c>
      <c r="L143" s="86" t="str">
        <f>IFERROR(__xludf.DUMMYFUNCTION("""COMPUTED_VALUE"""),"REJECT")</f>
        <v>REJECT</v>
      </c>
      <c r="M143" s="78" t="str">
        <f>IFERROR(__xludf.DUMMYFUNCTION("""COMPUTED_VALUE"""),"45654FRA")</f>
        <v>45654FRA</v>
      </c>
      <c r="N143" s="81" t="str">
        <f>IFERROR(__xludf.DUMMYFUNCTION("""COMPUTED_VALUE"""),"FRA")</f>
        <v>FRA</v>
      </c>
      <c r="O143" s="82">
        <f>IFERROR(__xludf.DUMMYFUNCTION("""COMPUTED_VALUE"""),45654.0)</f>
        <v>45654</v>
      </c>
      <c r="P143" s="107" t="str">
        <f>IFERROR(__xludf.DUMMYFUNCTION("""COMPUTED_VALUE"""),"Adverse weather")</f>
        <v>Adverse weather</v>
      </c>
      <c r="Q143" s="77" t="str">
        <f>IFERROR(__xludf.DUMMYFUNCTION("""COMPUTED_VALUE"""),"REJECT")</f>
        <v>REJECT</v>
      </c>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row>
    <row r="144">
      <c r="A144" s="93"/>
      <c r="B144" s="85"/>
      <c r="C144" s="86"/>
      <c r="D144" s="93"/>
      <c r="E144" s="85"/>
      <c r="F144" s="85"/>
      <c r="G144" s="86"/>
      <c r="H144" s="78" t="str">
        <f>IFERROR(__xludf.DUMMYFUNCTION("""COMPUTED_VALUE"""),"46092Qatar")</f>
        <v>46092Qatar</v>
      </c>
      <c r="I144" s="85" t="str">
        <f>IFERROR(__xludf.DUMMYFUNCTION("""COMPUTED_VALUE"""),"Qatar")</f>
        <v>Qatar</v>
      </c>
      <c r="J144" s="101">
        <f>IFERROR(__xludf.DUMMYFUNCTION("""COMPUTED_VALUE"""),46092.0)</f>
        <v>46092</v>
      </c>
      <c r="K144" s="85" t="str">
        <f>IFERROR(__xludf.DUMMYFUNCTION("""COMPUTED_VALUE"""),"Closed post-strikes")</f>
        <v>Closed post-strikes</v>
      </c>
      <c r="L144" s="86" t="str">
        <f>IFERROR(__xludf.DUMMYFUNCTION("""COMPUTED_VALUE"""),"REJECT")</f>
        <v>REJECT</v>
      </c>
      <c r="M144" s="78" t="str">
        <f>IFERROR(__xludf.DUMMYFUNCTION("""COMPUTED_VALUE"""),"45655 LGW")</f>
        <v>45655 LGW</v>
      </c>
      <c r="N144" s="81" t="str">
        <f>IFERROR(__xludf.DUMMYFUNCTION("""COMPUTED_VALUE""")," LGW")</f>
        <v> LGW</v>
      </c>
      <c r="O144" s="82">
        <f>IFERROR(__xludf.DUMMYFUNCTION("""COMPUTED_VALUE"""),45655.0)</f>
        <v>45655</v>
      </c>
      <c r="P144" s="107" t="str">
        <f>IFERROR(__xludf.DUMMYFUNCTION("""COMPUTED_VALUE"""),"Adverse weather")</f>
        <v>Adverse weather</v>
      </c>
      <c r="Q144" s="77" t="str">
        <f>IFERROR(__xludf.DUMMYFUNCTION("""COMPUTED_VALUE"""),"REJECT")</f>
        <v>REJECT</v>
      </c>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row>
    <row r="145">
      <c r="A145" s="93"/>
      <c r="B145" s="85"/>
      <c r="C145" s="86"/>
      <c r="D145" s="93"/>
      <c r="E145" s="85"/>
      <c r="F145" s="85"/>
      <c r="G145" s="86"/>
      <c r="H145" s="78" t="str">
        <f>IFERROR(__xludf.DUMMYFUNCTION("""COMPUTED_VALUE"""),"46092Kuwait")</f>
        <v>46092Kuwait</v>
      </c>
      <c r="I145" s="85" t="str">
        <f>IFERROR(__xludf.DUMMYFUNCTION("""COMPUTED_VALUE"""),"Kuwait")</f>
        <v>Kuwait</v>
      </c>
      <c r="J145" s="101">
        <f>IFERROR(__xludf.DUMMYFUNCTION("""COMPUTED_VALUE"""),46092.0)</f>
        <v>46092</v>
      </c>
      <c r="K145" s="85" t="str">
        <f>IFERROR(__xludf.DUMMYFUNCTION("""COMPUTED_VALUE"""),"Closed post-strikes")</f>
        <v>Closed post-strikes</v>
      </c>
      <c r="L145" s="86" t="str">
        <f>IFERROR(__xludf.DUMMYFUNCTION("""COMPUTED_VALUE"""),"REJECT")</f>
        <v>REJECT</v>
      </c>
      <c r="M145" s="78" t="str">
        <f>IFERROR(__xludf.DUMMYFUNCTION("""COMPUTED_VALUE"""),"45655STR")</f>
        <v>45655STR</v>
      </c>
      <c r="N145" s="81" t="str">
        <f>IFERROR(__xludf.DUMMYFUNCTION("""COMPUTED_VALUE"""),"STR")</f>
        <v>STR</v>
      </c>
      <c r="O145" s="82">
        <f>IFERROR(__xludf.DUMMYFUNCTION("""COMPUTED_VALUE"""),45655.0)</f>
        <v>45655</v>
      </c>
      <c r="P145" s="107" t="str">
        <f>IFERROR(__xludf.DUMMYFUNCTION("""COMPUTED_VALUE"""),"Plane Crash")</f>
        <v>Plane Crash</v>
      </c>
      <c r="Q145" s="77" t="str">
        <f>IFERROR(__xludf.DUMMYFUNCTION("""COMPUTED_VALUE"""),"REJECT")</f>
        <v>REJECT</v>
      </c>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row>
    <row r="146">
      <c r="A146" s="93"/>
      <c r="B146" s="85"/>
      <c r="C146" s="86"/>
      <c r="D146" s="93"/>
      <c r="E146" s="85"/>
      <c r="F146" s="85"/>
      <c r="G146" s="86"/>
      <c r="H146" s="78" t="str">
        <f>IFERROR(__xludf.DUMMYFUNCTION("""COMPUTED_VALUE"""),"46092Jordan")</f>
        <v>46092Jordan</v>
      </c>
      <c r="I146" s="85" t="str">
        <f>IFERROR(__xludf.DUMMYFUNCTION("""COMPUTED_VALUE"""),"Jordan")</f>
        <v>Jordan</v>
      </c>
      <c r="J146" s="101">
        <f>IFERROR(__xludf.DUMMYFUNCTION("""COMPUTED_VALUE"""),46092.0)</f>
        <v>46092</v>
      </c>
      <c r="K146" s="85" t="str">
        <f>IFERROR(__xludf.DUMMYFUNCTION("""COMPUTED_VALUE"""),"Closed post-strikes")</f>
        <v>Closed post-strikes</v>
      </c>
      <c r="L146" s="86" t="str">
        <f>IFERROR(__xludf.DUMMYFUNCTION("""COMPUTED_VALUE"""),"REJECT")</f>
        <v>REJECT</v>
      </c>
      <c r="M146" s="78" t="str">
        <f>IFERROR(__xludf.DUMMYFUNCTION("""COMPUTED_VALUE"""),"45658CDG")</f>
        <v>45658CDG</v>
      </c>
      <c r="N146" s="81" t="str">
        <f>IFERROR(__xludf.DUMMYFUNCTION("""COMPUTED_VALUE"""),"CDG")</f>
        <v>CDG</v>
      </c>
      <c r="O146" s="82">
        <f>IFERROR(__xludf.DUMMYFUNCTION("""COMPUTED_VALUE"""),45658.0)</f>
        <v>45658</v>
      </c>
      <c r="P146" s="107" t="str">
        <f>IFERROR(__xludf.DUMMYFUNCTION("""COMPUTED_VALUE"""),"Adverse weather")</f>
        <v>Adverse weather</v>
      </c>
      <c r="Q146" s="77" t="str">
        <f>IFERROR(__xludf.DUMMYFUNCTION("""COMPUTED_VALUE"""),"REJECT")</f>
        <v>REJECT</v>
      </c>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row>
    <row r="147">
      <c r="A147" s="93"/>
      <c r="B147" s="85"/>
      <c r="C147" s="86"/>
      <c r="D147" s="93"/>
      <c r="E147" s="85"/>
      <c r="F147" s="85"/>
      <c r="G147" s="86"/>
      <c r="H147" s="78" t="str">
        <f>IFERROR(__xludf.DUMMYFUNCTION("""COMPUTED_VALUE"""),"46092Bahrain")</f>
        <v>46092Bahrain</v>
      </c>
      <c r="I147" s="85" t="str">
        <f>IFERROR(__xludf.DUMMYFUNCTION("""COMPUTED_VALUE"""),"Bahrain")</f>
        <v>Bahrain</v>
      </c>
      <c r="J147" s="101">
        <f>IFERROR(__xludf.DUMMYFUNCTION("""COMPUTED_VALUE"""),46092.0)</f>
        <v>46092</v>
      </c>
      <c r="K147" s="85" t="str">
        <f>IFERROR(__xludf.DUMMYFUNCTION("""COMPUTED_VALUE"""),"Closed post-strikes")</f>
        <v>Closed post-strikes</v>
      </c>
      <c r="L147" s="86" t="str">
        <f>IFERROR(__xludf.DUMMYFUNCTION("""COMPUTED_VALUE"""),"REJECT")</f>
        <v>REJECT</v>
      </c>
      <c r="M147" s="78" t="str">
        <f>IFERROR(__xludf.DUMMYFUNCTION("""COMPUTED_VALUE"""),"45658IAS")</f>
        <v>45658IAS</v>
      </c>
      <c r="N147" s="81" t="str">
        <f>IFERROR(__xludf.DUMMYFUNCTION("""COMPUTED_VALUE"""),"IAS")</f>
        <v>IAS</v>
      </c>
      <c r="O147" s="82">
        <f>IFERROR(__xludf.DUMMYFUNCTION("""COMPUTED_VALUE"""),45658.0)</f>
        <v>45658</v>
      </c>
      <c r="P147" s="107" t="str">
        <f>IFERROR(__xludf.DUMMYFUNCTION("""COMPUTED_VALUE"""),"Adverse weather")</f>
        <v>Adverse weather</v>
      </c>
      <c r="Q147" s="77" t="str">
        <f>IFERROR(__xludf.DUMMYFUNCTION("""COMPUTED_VALUE"""),"REJECT")</f>
        <v>REJECT</v>
      </c>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row>
    <row r="148">
      <c r="A148" s="93"/>
      <c r="B148" s="85"/>
      <c r="C148" s="86"/>
      <c r="D148" s="93"/>
      <c r="E148" s="85"/>
      <c r="F148" s="85"/>
      <c r="G148" s="86"/>
      <c r="H148" s="78" t="str">
        <f>IFERROR(__xludf.DUMMYFUNCTION("""COMPUTED_VALUE"""),"46092Iran")</f>
        <v>46092Iran</v>
      </c>
      <c r="I148" s="85" t="str">
        <f>IFERROR(__xludf.DUMMYFUNCTION("""COMPUTED_VALUE"""),"Iran")</f>
        <v>Iran</v>
      </c>
      <c r="J148" s="101">
        <f>IFERROR(__xludf.DUMMYFUNCTION("""COMPUTED_VALUE"""),46092.0)</f>
        <v>46092</v>
      </c>
      <c r="K148" s="85" t="str">
        <f>IFERROR(__xludf.DUMMYFUNCTION("""COMPUTED_VALUE"""),"Closed post-strikes")</f>
        <v>Closed post-strikes</v>
      </c>
      <c r="L148" s="86" t="str">
        <f>IFERROR(__xludf.DUMMYFUNCTION("""COMPUTED_VALUE"""),"REJECT")</f>
        <v>REJECT</v>
      </c>
      <c r="M148" s="78" t="str">
        <f>IFERROR(__xludf.DUMMYFUNCTION("""COMPUTED_VALUE"""),"45658ZRH")</f>
        <v>45658ZRH</v>
      </c>
      <c r="N148" s="81" t="str">
        <f>IFERROR(__xludf.DUMMYFUNCTION("""COMPUTED_VALUE"""),"ZRH")</f>
        <v>ZRH</v>
      </c>
      <c r="O148" s="82">
        <f>IFERROR(__xludf.DUMMYFUNCTION("""COMPUTED_VALUE"""),45658.0)</f>
        <v>45658</v>
      </c>
      <c r="P148" s="107" t="str">
        <f>IFERROR(__xludf.DUMMYFUNCTION("""COMPUTED_VALUE"""),"Adverse weather")</f>
        <v>Adverse weather</v>
      </c>
      <c r="Q148" s="77" t="str">
        <f>IFERROR(__xludf.DUMMYFUNCTION("""COMPUTED_VALUE"""),"REJECT")</f>
        <v>REJECT</v>
      </c>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row>
    <row r="149">
      <c r="A149" s="93"/>
      <c r="B149" s="85"/>
      <c r="C149" s="86"/>
      <c r="D149" s="93"/>
      <c r="E149" s="85"/>
      <c r="F149" s="85"/>
      <c r="G149" s="86"/>
      <c r="H149" s="78" t="str">
        <f>IFERROR(__xludf.DUMMYFUNCTION("""COMPUTED_VALUE"""),"46092Saudi Arabia")</f>
        <v>46092Saudi Arabia</v>
      </c>
      <c r="I149" s="85" t="str">
        <f>IFERROR(__xludf.DUMMYFUNCTION("""COMPUTED_VALUE"""),"Saudi Arabia")</f>
        <v>Saudi Arabia</v>
      </c>
      <c r="J149" s="101">
        <f>IFERROR(__xludf.DUMMYFUNCTION("""COMPUTED_VALUE"""),46092.0)</f>
        <v>46092</v>
      </c>
      <c r="K149" s="85" t="str">
        <f>IFERROR(__xludf.DUMMYFUNCTION("""COMPUTED_VALUE"""),"Closed post-strikes")</f>
        <v>Closed post-strikes</v>
      </c>
      <c r="L149" s="86" t="str">
        <f>IFERROR(__xludf.DUMMYFUNCTION("""COMPUTED_VALUE"""),"REJECT")</f>
        <v>REJECT</v>
      </c>
      <c r="M149" s="78" t="str">
        <f>IFERROR(__xludf.DUMMYFUNCTION("""COMPUTED_VALUE"""),"45661BER")</f>
        <v>45661BER</v>
      </c>
      <c r="N149" s="81" t="str">
        <f>IFERROR(__xludf.DUMMYFUNCTION("""COMPUTED_VALUE"""),"BER")</f>
        <v>BER</v>
      </c>
      <c r="O149" s="82">
        <f>IFERROR(__xludf.DUMMYFUNCTION("""COMPUTED_VALUE"""),45661.0)</f>
        <v>45661</v>
      </c>
      <c r="P149" s="107" t="str">
        <f>IFERROR(__xludf.DUMMYFUNCTION("""COMPUTED_VALUE"""),"IT outage")</f>
        <v>IT outage</v>
      </c>
      <c r="Q149" s="77" t="str">
        <f>IFERROR(__xludf.DUMMYFUNCTION("""COMPUTED_VALUE"""),"REJECT")</f>
        <v>REJECT</v>
      </c>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row>
    <row r="150">
      <c r="A150" s="93"/>
      <c r="B150" s="85"/>
      <c r="C150" s="86"/>
      <c r="D150" s="93"/>
      <c r="E150" s="85"/>
      <c r="F150" s="85"/>
      <c r="G150" s="86"/>
      <c r="H150" s="78" t="str">
        <f>IFERROR(__xludf.DUMMYFUNCTION("""COMPUTED_VALUE"""),"")</f>
        <v/>
      </c>
      <c r="I150" s="85"/>
      <c r="J150" s="85"/>
      <c r="K150" s="85"/>
      <c r="L150" s="86" t="str">
        <f>IFERROR(__xludf.DUMMYFUNCTION("""COMPUTED_VALUE"""),"REJECT")</f>
        <v>REJECT</v>
      </c>
      <c r="M150" s="78" t="str">
        <f>IFERROR(__xludf.DUMMYFUNCTION("""COMPUTED_VALUE"""),"45661BRS")</f>
        <v>45661BRS</v>
      </c>
      <c r="N150" s="81" t="str">
        <f>IFERROR(__xludf.DUMMYFUNCTION("""COMPUTED_VALUE"""),"BRS")</f>
        <v>BRS</v>
      </c>
      <c r="O150" s="82">
        <f>IFERROR(__xludf.DUMMYFUNCTION("""COMPUTED_VALUE"""),45661.0)</f>
        <v>45661</v>
      </c>
      <c r="P150" s="107" t="str">
        <f>IFERROR(__xludf.DUMMYFUNCTION("""COMPUTED_VALUE"""),"Adverse weather")</f>
        <v>Adverse weather</v>
      </c>
      <c r="Q150" s="77" t="str">
        <f>IFERROR(__xludf.DUMMYFUNCTION("""COMPUTED_VALUE"""),"REJECT")</f>
        <v>REJECT</v>
      </c>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row>
    <row r="151">
      <c r="A151" s="93"/>
      <c r="B151" s="85"/>
      <c r="C151" s="86"/>
      <c r="D151" s="93"/>
      <c r="E151" s="85"/>
      <c r="F151" s="85"/>
      <c r="G151" s="86"/>
      <c r="H151" s="78" t="str">
        <f>IFERROR(__xludf.DUMMYFUNCTION("""COMPUTED_VALUE"""),"")</f>
        <v/>
      </c>
      <c r="I151" s="85"/>
      <c r="J151" s="85"/>
      <c r="K151" s="85"/>
      <c r="L151" s="86" t="str">
        <f>IFERROR(__xludf.DUMMYFUNCTION("""COMPUTED_VALUE"""),"REJECT")</f>
        <v>REJECT</v>
      </c>
      <c r="M151" s="78" t="str">
        <f>IFERROR(__xludf.DUMMYFUNCTION("""COMPUTED_VALUE"""),"45661DEL")</f>
        <v>45661DEL</v>
      </c>
      <c r="N151" s="81" t="str">
        <f>IFERROR(__xludf.DUMMYFUNCTION("""COMPUTED_VALUE"""),"DEL")</f>
        <v>DEL</v>
      </c>
      <c r="O151" s="82">
        <f>IFERROR(__xludf.DUMMYFUNCTION("""COMPUTED_VALUE"""),45661.0)</f>
        <v>45661</v>
      </c>
      <c r="P151" s="107" t="str">
        <f>IFERROR(__xludf.DUMMYFUNCTION("""COMPUTED_VALUE"""),"Adverse weather")</f>
        <v>Adverse weather</v>
      </c>
      <c r="Q151" s="77" t="str">
        <f>IFERROR(__xludf.DUMMYFUNCTION("""COMPUTED_VALUE"""),"REJECT")</f>
        <v>REJECT</v>
      </c>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row>
    <row r="152">
      <c r="A152" s="93"/>
      <c r="B152" s="85"/>
      <c r="C152" s="86"/>
      <c r="D152" s="93"/>
      <c r="E152" s="85"/>
      <c r="F152" s="85"/>
      <c r="G152" s="86"/>
      <c r="H152" s="78" t="str">
        <f>IFERROR(__xludf.DUMMYFUNCTION("""COMPUTED_VALUE"""),"")</f>
        <v/>
      </c>
      <c r="I152" s="85"/>
      <c r="J152" s="85"/>
      <c r="K152" s="85"/>
      <c r="L152" s="86" t="str">
        <f>IFERROR(__xludf.DUMMYFUNCTION("""COMPUTED_VALUE"""),"REJECT")</f>
        <v>REJECT</v>
      </c>
      <c r="M152" s="78" t="str">
        <f>IFERROR(__xludf.DUMMYFUNCTION("""COMPUTED_VALUE"""),"45662AMS")</f>
        <v>45662AMS</v>
      </c>
      <c r="N152" s="81" t="str">
        <f>IFERROR(__xludf.DUMMYFUNCTION("""COMPUTED_VALUE"""),"AMS")</f>
        <v>AMS</v>
      </c>
      <c r="O152" s="82">
        <f>IFERROR(__xludf.DUMMYFUNCTION("""COMPUTED_VALUE"""),45662.0)</f>
        <v>45662</v>
      </c>
      <c r="P152" s="107" t="str">
        <f>IFERROR(__xludf.DUMMYFUNCTION("""COMPUTED_VALUE"""),"Adverse weather")</f>
        <v>Adverse weather</v>
      </c>
      <c r="Q152" s="77" t="str">
        <f>IFERROR(__xludf.DUMMYFUNCTION("""COMPUTED_VALUE"""),"REJECT")</f>
        <v>REJECT</v>
      </c>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row>
    <row r="153">
      <c r="A153" s="93"/>
      <c r="B153" s="85"/>
      <c r="C153" s="86"/>
      <c r="D153" s="93"/>
      <c r="E153" s="85"/>
      <c r="F153" s="85"/>
      <c r="G153" s="86"/>
      <c r="H153" s="78" t="str">
        <f>IFERROR(__xludf.DUMMYFUNCTION("""COMPUTED_VALUE"""),"")</f>
        <v/>
      </c>
      <c r="I153" s="85"/>
      <c r="J153" s="85"/>
      <c r="K153" s="85"/>
      <c r="L153" s="86" t="str">
        <f>IFERROR(__xludf.DUMMYFUNCTION("""COMPUTED_VALUE"""),"REJECT")</f>
        <v>REJECT</v>
      </c>
      <c r="M153" s="78" t="str">
        <f>IFERROR(__xludf.DUMMYFUNCTION("""COMPUTED_VALUE"""),"45662BHX")</f>
        <v>45662BHX</v>
      </c>
      <c r="N153" s="81" t="str">
        <f>IFERROR(__xludf.DUMMYFUNCTION("""COMPUTED_VALUE"""),"BHX")</f>
        <v>BHX</v>
      </c>
      <c r="O153" s="82">
        <f>IFERROR(__xludf.DUMMYFUNCTION("""COMPUTED_VALUE"""),45662.0)</f>
        <v>45662</v>
      </c>
      <c r="P153" s="107" t="str">
        <f>IFERROR(__xludf.DUMMYFUNCTION("""COMPUTED_VALUE"""),"Adverse weather")</f>
        <v>Adverse weather</v>
      </c>
      <c r="Q153" s="77" t="str">
        <f>IFERROR(__xludf.DUMMYFUNCTION("""COMPUTED_VALUE"""),"REJECT")</f>
        <v>REJECT</v>
      </c>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row>
    <row r="154">
      <c r="A154" s="93"/>
      <c r="B154" s="85"/>
      <c r="C154" s="86"/>
      <c r="D154" s="93"/>
      <c r="E154" s="85"/>
      <c r="F154" s="85"/>
      <c r="G154" s="86"/>
      <c r="H154" s="78" t="str">
        <f>IFERROR(__xludf.DUMMYFUNCTION("""COMPUTED_VALUE"""),"")</f>
        <v/>
      </c>
      <c r="I154" s="85"/>
      <c r="J154" s="85"/>
      <c r="K154" s="85"/>
      <c r="L154" s="86" t="str">
        <f>IFERROR(__xludf.DUMMYFUNCTION("""COMPUTED_VALUE"""),"REJECT")</f>
        <v>REJECT</v>
      </c>
      <c r="M154" s="78" t="str">
        <f>IFERROR(__xludf.DUMMYFUNCTION("""COMPUTED_VALUE"""),"45662LBA")</f>
        <v>45662LBA</v>
      </c>
      <c r="N154" s="81" t="str">
        <f>IFERROR(__xludf.DUMMYFUNCTION("""COMPUTED_VALUE"""),"LBA")</f>
        <v>LBA</v>
      </c>
      <c r="O154" s="82">
        <f>IFERROR(__xludf.DUMMYFUNCTION("""COMPUTED_VALUE"""),45662.0)</f>
        <v>45662</v>
      </c>
      <c r="P154" s="107" t="str">
        <f>IFERROR(__xludf.DUMMYFUNCTION("""COMPUTED_VALUE"""),"Adverse weather")</f>
        <v>Adverse weather</v>
      </c>
      <c r="Q154" s="77" t="str">
        <f>IFERROR(__xludf.DUMMYFUNCTION("""COMPUTED_VALUE"""),"REJECT")</f>
        <v>REJECT</v>
      </c>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row>
    <row r="155">
      <c r="A155" s="93"/>
      <c r="B155" s="85"/>
      <c r="C155" s="86"/>
      <c r="D155" s="93"/>
      <c r="E155" s="85"/>
      <c r="F155" s="85"/>
      <c r="G155" s="86"/>
      <c r="H155" s="78" t="str">
        <f>IFERROR(__xludf.DUMMYFUNCTION("""COMPUTED_VALUE"""),"")</f>
        <v/>
      </c>
      <c r="I155" s="85"/>
      <c r="J155" s="85"/>
      <c r="K155" s="85"/>
      <c r="L155" s="86" t="str">
        <f>IFERROR(__xludf.DUMMYFUNCTION("""COMPUTED_VALUE"""),"REJECT")</f>
        <v>REJECT</v>
      </c>
      <c r="M155" s="78" t="str">
        <f>IFERROR(__xludf.DUMMYFUNCTION("""COMPUTED_VALUE"""),"45662LPL")</f>
        <v>45662LPL</v>
      </c>
      <c r="N155" s="81" t="str">
        <f>IFERROR(__xludf.DUMMYFUNCTION("""COMPUTED_VALUE"""),"LPL")</f>
        <v>LPL</v>
      </c>
      <c r="O155" s="82">
        <f>IFERROR(__xludf.DUMMYFUNCTION("""COMPUTED_VALUE"""),45662.0)</f>
        <v>45662</v>
      </c>
      <c r="P155" s="107" t="str">
        <f>IFERROR(__xludf.DUMMYFUNCTION("""COMPUTED_VALUE"""),"Adverse weather")</f>
        <v>Adverse weather</v>
      </c>
      <c r="Q155" s="77" t="str">
        <f>IFERROR(__xludf.DUMMYFUNCTION("""COMPUTED_VALUE"""),"REJECT")</f>
        <v>REJECT</v>
      </c>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row>
    <row r="156">
      <c r="A156" s="93"/>
      <c r="B156" s="85"/>
      <c r="C156" s="86"/>
      <c r="D156" s="93"/>
      <c r="E156" s="85"/>
      <c r="F156" s="85"/>
      <c r="G156" s="86"/>
      <c r="H156" s="78" t="str">
        <f>IFERROR(__xludf.DUMMYFUNCTION("""COMPUTED_VALUE"""),"")</f>
        <v/>
      </c>
      <c r="I156" s="85"/>
      <c r="J156" s="85"/>
      <c r="K156" s="85"/>
      <c r="L156" s="86" t="str">
        <f>IFERROR(__xludf.DUMMYFUNCTION("""COMPUTED_VALUE"""),"REJECT")</f>
        <v>REJECT</v>
      </c>
      <c r="M156" s="78" t="str">
        <f>IFERROR(__xludf.DUMMYFUNCTION("""COMPUTED_VALUE"""),"45662LTN")</f>
        <v>45662LTN</v>
      </c>
      <c r="N156" s="81" t="str">
        <f>IFERROR(__xludf.DUMMYFUNCTION("""COMPUTED_VALUE"""),"LTN")</f>
        <v>LTN</v>
      </c>
      <c r="O156" s="82">
        <f>IFERROR(__xludf.DUMMYFUNCTION("""COMPUTED_VALUE"""),45662.0)</f>
        <v>45662</v>
      </c>
      <c r="P156" s="107" t="str">
        <f>IFERROR(__xludf.DUMMYFUNCTION("""COMPUTED_VALUE"""),"Adverse weather")</f>
        <v>Adverse weather</v>
      </c>
      <c r="Q156" s="77" t="str">
        <f>IFERROR(__xludf.DUMMYFUNCTION("""COMPUTED_VALUE"""),"REJECT")</f>
        <v>REJECT</v>
      </c>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row>
    <row r="157">
      <c r="A157" s="93"/>
      <c r="B157" s="85"/>
      <c r="C157" s="86"/>
      <c r="D157" s="93"/>
      <c r="E157" s="85"/>
      <c r="F157" s="85"/>
      <c r="G157" s="86"/>
      <c r="H157" s="78" t="str">
        <f>IFERROR(__xludf.DUMMYFUNCTION("""COMPUTED_VALUE"""),"")</f>
        <v/>
      </c>
      <c r="I157" s="85"/>
      <c r="J157" s="85"/>
      <c r="K157" s="85"/>
      <c r="L157" s="86" t="str">
        <f>IFERROR(__xludf.DUMMYFUNCTION("""COMPUTED_VALUE"""),"REJECT")</f>
        <v>REJECT</v>
      </c>
      <c r="M157" s="78" t="str">
        <f>IFERROR(__xludf.DUMMYFUNCTION("""COMPUTED_VALUE"""),"45662MAN")</f>
        <v>45662MAN</v>
      </c>
      <c r="N157" s="81" t="str">
        <f>IFERROR(__xludf.DUMMYFUNCTION("""COMPUTED_VALUE"""),"MAN")</f>
        <v>MAN</v>
      </c>
      <c r="O157" s="82">
        <f>IFERROR(__xludf.DUMMYFUNCTION("""COMPUTED_VALUE"""),45662.0)</f>
        <v>45662</v>
      </c>
      <c r="P157" s="107" t="str">
        <f>IFERROR(__xludf.DUMMYFUNCTION("""COMPUTED_VALUE"""),"Adverse weather")</f>
        <v>Adverse weather</v>
      </c>
      <c r="Q157" s="77" t="str">
        <f>IFERROR(__xludf.DUMMYFUNCTION("""COMPUTED_VALUE"""),"REJECT")</f>
        <v>REJECT</v>
      </c>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row>
    <row r="158">
      <c r="A158" s="93"/>
      <c r="B158" s="85"/>
      <c r="C158" s="86"/>
      <c r="D158" s="93"/>
      <c r="E158" s="85"/>
      <c r="F158" s="85"/>
      <c r="G158" s="86"/>
      <c r="H158" s="78" t="str">
        <f>IFERROR(__xludf.DUMMYFUNCTION("""COMPUTED_VALUE"""),"")</f>
        <v/>
      </c>
      <c r="I158" s="85"/>
      <c r="J158" s="85"/>
      <c r="K158" s="85"/>
      <c r="L158" s="86" t="str">
        <f>IFERROR(__xludf.DUMMYFUNCTION("""COMPUTED_VALUE"""),"REJECT")</f>
        <v>REJECT</v>
      </c>
      <c r="M158" s="78" t="str">
        <f>IFERROR(__xludf.DUMMYFUNCTION("""COMPUTED_VALUE"""),"45663LBA ")</f>
        <v>45663LBA </v>
      </c>
      <c r="N158" s="81" t="str">
        <f>IFERROR(__xludf.DUMMYFUNCTION("""COMPUTED_VALUE"""),"LBA ")</f>
        <v>LBA </v>
      </c>
      <c r="O158" s="82">
        <f>IFERROR(__xludf.DUMMYFUNCTION("""COMPUTED_VALUE"""),45663.0)</f>
        <v>45663</v>
      </c>
      <c r="P158" s="107" t="str">
        <f>IFERROR(__xludf.DUMMYFUNCTION("""COMPUTED_VALUE"""),"Adverse weather")</f>
        <v>Adverse weather</v>
      </c>
      <c r="Q158" s="77" t="str">
        <f>IFERROR(__xludf.DUMMYFUNCTION("""COMPUTED_VALUE"""),"REJECT")</f>
        <v>REJECT</v>
      </c>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row>
    <row r="159">
      <c r="A159" s="93"/>
      <c r="B159" s="85"/>
      <c r="C159" s="86"/>
      <c r="D159" s="93"/>
      <c r="E159" s="85"/>
      <c r="F159" s="85"/>
      <c r="G159" s="86"/>
      <c r="H159" s="78" t="str">
        <f>IFERROR(__xludf.DUMMYFUNCTION("""COMPUTED_VALUE"""),"")</f>
        <v/>
      </c>
      <c r="I159" s="85"/>
      <c r="J159" s="85"/>
      <c r="K159" s="85"/>
      <c r="L159" s="86" t="str">
        <f>IFERROR(__xludf.DUMMYFUNCTION("""COMPUTED_VALUE"""),"REJECT")</f>
        <v>REJECT</v>
      </c>
      <c r="M159" s="78" t="str">
        <f>IFERROR(__xludf.DUMMYFUNCTION("""COMPUTED_VALUE"""),"45663LPL")</f>
        <v>45663LPL</v>
      </c>
      <c r="N159" s="81" t="str">
        <f>IFERROR(__xludf.DUMMYFUNCTION("""COMPUTED_VALUE"""),"LPL")</f>
        <v>LPL</v>
      </c>
      <c r="O159" s="82">
        <f>IFERROR(__xludf.DUMMYFUNCTION("""COMPUTED_VALUE"""),45663.0)</f>
        <v>45663</v>
      </c>
      <c r="P159" s="107" t="str">
        <f>IFERROR(__xludf.DUMMYFUNCTION("""COMPUTED_VALUE"""),"Adverse weather")</f>
        <v>Adverse weather</v>
      </c>
      <c r="Q159" s="77" t="str">
        <f>IFERROR(__xludf.DUMMYFUNCTION("""COMPUTED_VALUE"""),"REJECT")</f>
        <v>REJECT</v>
      </c>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row>
    <row r="160">
      <c r="A160" s="93"/>
      <c r="B160" s="85"/>
      <c r="C160" s="86"/>
      <c r="D160" s="93"/>
      <c r="E160" s="85"/>
      <c r="F160" s="85"/>
      <c r="G160" s="86"/>
      <c r="H160" s="78" t="str">
        <f>IFERROR(__xludf.DUMMYFUNCTION("""COMPUTED_VALUE"""),"")</f>
        <v/>
      </c>
      <c r="I160" s="85"/>
      <c r="J160" s="85"/>
      <c r="K160" s="85"/>
      <c r="L160" s="86" t="str">
        <f>IFERROR(__xludf.DUMMYFUNCTION("""COMPUTED_VALUE"""),"REJECT")</f>
        <v>REJECT</v>
      </c>
      <c r="M160" s="78" t="str">
        <f>IFERROR(__xludf.DUMMYFUNCTION("""COMPUTED_VALUE"""),"45663MAN")</f>
        <v>45663MAN</v>
      </c>
      <c r="N160" s="81" t="str">
        <f>IFERROR(__xludf.DUMMYFUNCTION("""COMPUTED_VALUE"""),"MAN")</f>
        <v>MAN</v>
      </c>
      <c r="O160" s="82">
        <f>IFERROR(__xludf.DUMMYFUNCTION("""COMPUTED_VALUE"""),45663.0)</f>
        <v>45663</v>
      </c>
      <c r="P160" s="107" t="str">
        <f>IFERROR(__xludf.DUMMYFUNCTION("""COMPUTED_VALUE"""),"Adverse weather")</f>
        <v>Adverse weather</v>
      </c>
      <c r="Q160" s="77" t="str">
        <f>IFERROR(__xludf.DUMMYFUNCTION("""COMPUTED_VALUE"""),"REJECT")</f>
        <v>REJECT</v>
      </c>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row>
    <row r="161">
      <c r="A161" s="93"/>
      <c r="B161" s="85"/>
      <c r="C161" s="86"/>
      <c r="D161" s="93"/>
      <c r="E161" s="85"/>
      <c r="F161" s="85"/>
      <c r="G161" s="86"/>
      <c r="H161" s="78" t="str">
        <f>IFERROR(__xludf.DUMMYFUNCTION("""COMPUTED_VALUE"""),"")</f>
        <v/>
      </c>
      <c r="I161" s="85"/>
      <c r="J161" s="85"/>
      <c r="K161" s="85"/>
      <c r="L161" s="86" t="str">
        <f>IFERROR(__xludf.DUMMYFUNCTION("""COMPUTED_VALUE"""),"REJECT")</f>
        <v>REJECT</v>
      </c>
      <c r="M161" s="78" t="str">
        <f>IFERROR(__xludf.DUMMYFUNCTION("""COMPUTED_VALUE"""),"45664LBA ")</f>
        <v>45664LBA </v>
      </c>
      <c r="N161" s="81" t="str">
        <f>IFERROR(__xludf.DUMMYFUNCTION("""COMPUTED_VALUE"""),"LBA ")</f>
        <v>LBA </v>
      </c>
      <c r="O161" s="82">
        <f>IFERROR(__xludf.DUMMYFUNCTION("""COMPUTED_VALUE"""),45664.0)</f>
        <v>45664</v>
      </c>
      <c r="P161" s="107" t="str">
        <f>IFERROR(__xludf.DUMMYFUNCTION("""COMPUTED_VALUE"""),"Adverse weather")</f>
        <v>Adverse weather</v>
      </c>
      <c r="Q161" s="77" t="str">
        <f>IFERROR(__xludf.DUMMYFUNCTION("""COMPUTED_VALUE"""),"REJECT")</f>
        <v>REJECT</v>
      </c>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row>
    <row r="162">
      <c r="A162" s="93"/>
      <c r="B162" s="85"/>
      <c r="C162" s="86"/>
      <c r="D162" s="93"/>
      <c r="E162" s="85"/>
      <c r="F162" s="85"/>
      <c r="G162" s="86"/>
      <c r="H162" s="78" t="str">
        <f>IFERROR(__xludf.DUMMYFUNCTION("""COMPUTED_VALUE"""),"")</f>
        <v/>
      </c>
      <c r="I162" s="85"/>
      <c r="J162" s="85"/>
      <c r="K162" s="85"/>
      <c r="L162" s="86" t="str">
        <f>IFERROR(__xludf.DUMMYFUNCTION("""COMPUTED_VALUE"""),"REJECT")</f>
        <v>REJECT</v>
      </c>
      <c r="M162" s="78" t="str">
        <f>IFERROR(__xludf.DUMMYFUNCTION("""COMPUTED_VALUE"""),"45664LPL")</f>
        <v>45664LPL</v>
      </c>
      <c r="N162" s="81" t="str">
        <f>IFERROR(__xludf.DUMMYFUNCTION("""COMPUTED_VALUE"""),"LPL")</f>
        <v>LPL</v>
      </c>
      <c r="O162" s="82">
        <f>IFERROR(__xludf.DUMMYFUNCTION("""COMPUTED_VALUE"""),45664.0)</f>
        <v>45664</v>
      </c>
      <c r="P162" s="107" t="str">
        <f>IFERROR(__xludf.DUMMYFUNCTION("""COMPUTED_VALUE"""),"Adverse weather")</f>
        <v>Adverse weather</v>
      </c>
      <c r="Q162" s="77" t="str">
        <f>IFERROR(__xludf.DUMMYFUNCTION("""COMPUTED_VALUE"""),"REJECT")</f>
        <v>REJECT</v>
      </c>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row>
    <row r="163">
      <c r="A163" s="93"/>
      <c r="B163" s="85"/>
      <c r="C163" s="86"/>
      <c r="D163" s="93"/>
      <c r="E163" s="85"/>
      <c r="F163" s="85"/>
      <c r="G163" s="86"/>
      <c r="H163" s="78" t="str">
        <f>IFERROR(__xludf.DUMMYFUNCTION("""COMPUTED_VALUE"""),"")</f>
        <v/>
      </c>
      <c r="I163" s="85"/>
      <c r="J163" s="85"/>
      <c r="K163" s="85"/>
      <c r="L163" s="86" t="str">
        <f>IFERROR(__xludf.DUMMYFUNCTION("""COMPUTED_VALUE"""),"REJECT")</f>
        <v>REJECT</v>
      </c>
      <c r="M163" s="78" t="str">
        <f>IFERROR(__xludf.DUMMYFUNCTION("""COMPUTED_VALUE"""),"45664MAN")</f>
        <v>45664MAN</v>
      </c>
      <c r="N163" s="81" t="str">
        <f>IFERROR(__xludf.DUMMYFUNCTION("""COMPUTED_VALUE"""),"MAN")</f>
        <v>MAN</v>
      </c>
      <c r="O163" s="82">
        <f>IFERROR(__xludf.DUMMYFUNCTION("""COMPUTED_VALUE"""),45664.0)</f>
        <v>45664</v>
      </c>
      <c r="P163" s="107" t="str">
        <f>IFERROR(__xludf.DUMMYFUNCTION("""COMPUTED_VALUE"""),"Adverse weather")</f>
        <v>Adverse weather</v>
      </c>
      <c r="Q163" s="77" t="str">
        <f>IFERROR(__xludf.DUMMYFUNCTION("""COMPUTED_VALUE"""),"REJECT")</f>
        <v>REJECT</v>
      </c>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row>
    <row r="164">
      <c r="A164" s="93"/>
      <c r="B164" s="85"/>
      <c r="C164" s="86"/>
      <c r="D164" s="93"/>
      <c r="E164" s="85"/>
      <c r="F164" s="85"/>
      <c r="G164" s="86"/>
      <c r="H164" s="78" t="str">
        <f>IFERROR(__xludf.DUMMYFUNCTION("""COMPUTED_VALUE"""),"")</f>
        <v/>
      </c>
      <c r="I164" s="85"/>
      <c r="J164" s="85"/>
      <c r="K164" s="85"/>
      <c r="L164" s="86" t="str">
        <f>IFERROR(__xludf.DUMMYFUNCTION("""COMPUTED_VALUE"""),"REJECT")</f>
        <v>REJECT</v>
      </c>
      <c r="M164" s="78" t="str">
        <f>IFERROR(__xludf.DUMMYFUNCTION("""COMPUTED_VALUE"""),"45666MAN")</f>
        <v>45666MAN</v>
      </c>
      <c r="N164" s="81" t="str">
        <f>IFERROR(__xludf.DUMMYFUNCTION("""COMPUTED_VALUE"""),"MAN")</f>
        <v>MAN</v>
      </c>
      <c r="O164" s="82">
        <f>IFERROR(__xludf.DUMMYFUNCTION("""COMPUTED_VALUE"""),45666.0)</f>
        <v>45666</v>
      </c>
      <c r="P164" s="107" t="str">
        <f>IFERROR(__xludf.DUMMYFUNCTION("""COMPUTED_VALUE"""),"Adverse weather")</f>
        <v>Adverse weather</v>
      </c>
      <c r="Q164" s="77" t="str">
        <f>IFERROR(__xludf.DUMMYFUNCTION("""COMPUTED_VALUE"""),"REJECT")</f>
        <v>REJECT</v>
      </c>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row>
    <row r="165">
      <c r="A165" s="93"/>
      <c r="B165" s="85"/>
      <c r="C165" s="86"/>
      <c r="D165" s="93"/>
      <c r="E165" s="85"/>
      <c r="F165" s="85"/>
      <c r="G165" s="86"/>
      <c r="H165" s="78" t="str">
        <f>IFERROR(__xludf.DUMMYFUNCTION("""COMPUTED_VALUE"""),"")</f>
        <v/>
      </c>
      <c r="I165" s="85"/>
      <c r="J165" s="85"/>
      <c r="K165" s="85"/>
      <c r="L165" s="86" t="str">
        <f>IFERROR(__xludf.DUMMYFUNCTION("""COMPUTED_VALUE"""),"REJECT")</f>
        <v>REJECT</v>
      </c>
      <c r="M165" s="78" t="str">
        <f>IFERROR(__xludf.DUMMYFUNCTION("""COMPUTED_VALUE"""),"45667BNA")</f>
        <v>45667BNA</v>
      </c>
      <c r="N165" s="81" t="str">
        <f>IFERROR(__xludf.DUMMYFUNCTION("""COMPUTED_VALUE"""),"BNA")</f>
        <v>BNA</v>
      </c>
      <c r="O165" s="82">
        <f>IFERROR(__xludf.DUMMYFUNCTION("""COMPUTED_VALUE"""),45667.0)</f>
        <v>45667</v>
      </c>
      <c r="P165" s="107" t="str">
        <f>IFERROR(__xludf.DUMMYFUNCTION("""COMPUTED_VALUE"""),"Adverse weather")</f>
        <v>Adverse weather</v>
      </c>
      <c r="Q165" s="77" t="str">
        <f>IFERROR(__xludf.DUMMYFUNCTION("""COMPUTED_VALUE"""),"REJECT")</f>
        <v>REJECT</v>
      </c>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row>
    <row r="166">
      <c r="A166" s="93"/>
      <c r="B166" s="85"/>
      <c r="C166" s="86"/>
      <c r="D166" s="93"/>
      <c r="E166" s="85"/>
      <c r="F166" s="85"/>
      <c r="G166" s="86"/>
      <c r="H166" s="78" t="str">
        <f>IFERROR(__xludf.DUMMYFUNCTION("""COMPUTED_VALUE"""),"")</f>
        <v/>
      </c>
      <c r="I166" s="85"/>
      <c r="J166" s="85"/>
      <c r="K166" s="85"/>
      <c r="L166" s="86" t="str">
        <f>IFERROR(__xludf.DUMMYFUNCTION("""COMPUTED_VALUE"""),"REJECT")</f>
        <v>REJECT</v>
      </c>
      <c r="M166" s="78" t="str">
        <f>IFERROR(__xludf.DUMMYFUNCTION("""COMPUTED_VALUE"""),"45668BNA")</f>
        <v>45668BNA</v>
      </c>
      <c r="N166" s="81" t="str">
        <f>IFERROR(__xludf.DUMMYFUNCTION("""COMPUTED_VALUE"""),"BNA")</f>
        <v>BNA</v>
      </c>
      <c r="O166" s="82">
        <f>IFERROR(__xludf.DUMMYFUNCTION("""COMPUTED_VALUE"""),45668.0)</f>
        <v>45668</v>
      </c>
      <c r="P166" s="107" t="str">
        <f>IFERROR(__xludf.DUMMYFUNCTION("""COMPUTED_VALUE"""),"Adverse weather")</f>
        <v>Adverse weather</v>
      </c>
      <c r="Q166" s="77" t="str">
        <f>IFERROR(__xludf.DUMMYFUNCTION("""COMPUTED_VALUE"""),"REJECT")</f>
        <v>REJECT</v>
      </c>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row>
    <row r="167">
      <c r="A167" s="93"/>
      <c r="B167" s="85"/>
      <c r="C167" s="86"/>
      <c r="D167" s="93"/>
      <c r="E167" s="85"/>
      <c r="F167" s="85"/>
      <c r="G167" s="86"/>
      <c r="H167" s="78" t="str">
        <f>IFERROR(__xludf.DUMMYFUNCTION("""COMPUTED_VALUE"""),"")</f>
        <v/>
      </c>
      <c r="I167" s="85"/>
      <c r="J167" s="85"/>
      <c r="K167" s="85"/>
      <c r="L167" s="86" t="str">
        <f>IFERROR(__xludf.DUMMYFUNCTION("""COMPUTED_VALUE"""),"REJECT")</f>
        <v>REJECT</v>
      </c>
      <c r="M167" s="78" t="str">
        <f>IFERROR(__xludf.DUMMYFUNCTION("""COMPUTED_VALUE"""),"45668EIN")</f>
        <v>45668EIN</v>
      </c>
      <c r="N167" s="81" t="str">
        <f>IFERROR(__xludf.DUMMYFUNCTION("""COMPUTED_VALUE"""),"EIN")</f>
        <v>EIN</v>
      </c>
      <c r="O167" s="82">
        <f>IFERROR(__xludf.DUMMYFUNCTION("""COMPUTED_VALUE"""),45668.0)</f>
        <v>45668</v>
      </c>
      <c r="P167" s="107" t="str">
        <f>IFERROR(__xludf.DUMMYFUNCTION("""COMPUTED_VALUE"""),"Adverse weather")</f>
        <v>Adverse weather</v>
      </c>
      <c r="Q167" s="77" t="str">
        <f>IFERROR(__xludf.DUMMYFUNCTION("""COMPUTED_VALUE"""),"REJECT")</f>
        <v>REJECT</v>
      </c>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row>
    <row r="168">
      <c r="A168" s="93"/>
      <c r="B168" s="85"/>
      <c r="C168" s="86"/>
      <c r="D168" s="93"/>
      <c r="E168" s="85"/>
      <c r="F168" s="85"/>
      <c r="G168" s="86"/>
      <c r="H168" s="78" t="str">
        <f>IFERROR(__xludf.DUMMYFUNCTION("""COMPUTED_VALUE"""),"")</f>
        <v/>
      </c>
      <c r="I168" s="85"/>
      <c r="J168" s="85"/>
      <c r="K168" s="85"/>
      <c r="L168" s="86" t="str">
        <f>IFERROR(__xludf.DUMMYFUNCTION("""COMPUTED_VALUE"""),"REJECT")</f>
        <v>REJECT</v>
      </c>
      <c r="M168" s="78" t="str">
        <f>IFERROR(__xludf.DUMMYFUNCTION("""COMPUTED_VALUE"""),"45670BRU")</f>
        <v>45670BRU</v>
      </c>
      <c r="N168" s="81" t="str">
        <f>IFERROR(__xludf.DUMMYFUNCTION("""COMPUTED_VALUE"""),"BRU")</f>
        <v>BRU</v>
      </c>
      <c r="O168" s="82">
        <f>IFERROR(__xludf.DUMMYFUNCTION("""COMPUTED_VALUE"""),45670.0)</f>
        <v>45670</v>
      </c>
      <c r="P168" s="107" t="str">
        <f>IFERROR(__xludf.DUMMYFUNCTION("""COMPUTED_VALUE"""),"Nationwide strike")</f>
        <v>Nationwide strike</v>
      </c>
      <c r="Q168" s="77" t="str">
        <f>IFERROR(__xludf.DUMMYFUNCTION("""COMPUTED_VALUE"""),"REJECT")</f>
        <v>REJECT</v>
      </c>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row>
    <row r="169">
      <c r="A169" s="93"/>
      <c r="B169" s="85"/>
      <c r="C169" s="86"/>
      <c r="D169" s="93"/>
      <c r="E169" s="85"/>
      <c r="F169" s="85"/>
      <c r="G169" s="86"/>
      <c r="H169" s="78" t="str">
        <f>IFERROR(__xludf.DUMMYFUNCTION("""COMPUTED_VALUE"""),"")</f>
        <v/>
      </c>
      <c r="I169" s="85"/>
      <c r="J169" s="85"/>
      <c r="K169" s="85"/>
      <c r="L169" s="86" t="str">
        <f>IFERROR(__xludf.DUMMYFUNCTION("""COMPUTED_VALUE"""),"REJECT")</f>
        <v>REJECT</v>
      </c>
      <c r="M169" s="78" t="str">
        <f>IFERROR(__xludf.DUMMYFUNCTION("""COMPUTED_VALUE"""),"45672EIN")</f>
        <v>45672EIN</v>
      </c>
      <c r="N169" s="81" t="str">
        <f>IFERROR(__xludf.DUMMYFUNCTION("""COMPUTED_VALUE"""),"EIN")</f>
        <v>EIN</v>
      </c>
      <c r="O169" s="82">
        <f>IFERROR(__xludf.DUMMYFUNCTION("""COMPUTED_VALUE"""),45672.0)</f>
        <v>45672</v>
      </c>
      <c r="P169" s="107" t="str">
        <f>IFERROR(__xludf.DUMMYFUNCTION("""COMPUTED_VALUE"""),"Adverse weather")</f>
        <v>Adverse weather</v>
      </c>
      <c r="Q169" s="77" t="str">
        <f>IFERROR(__xludf.DUMMYFUNCTION("""COMPUTED_VALUE"""),"REJECT")</f>
        <v>REJECT</v>
      </c>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row>
    <row r="170">
      <c r="A170" s="93"/>
      <c r="B170" s="85"/>
      <c r="C170" s="86"/>
      <c r="D170" s="93"/>
      <c r="E170" s="85"/>
      <c r="F170" s="85"/>
      <c r="G170" s="86"/>
      <c r="H170" s="78" t="str">
        <f>IFERROR(__xludf.DUMMYFUNCTION("""COMPUTED_VALUE"""),"")</f>
        <v/>
      </c>
      <c r="I170" s="85"/>
      <c r="J170" s="85"/>
      <c r="K170" s="85"/>
      <c r="L170" s="86" t="str">
        <f>IFERROR(__xludf.DUMMYFUNCTION("""COMPUTED_VALUE"""),"REJECT")</f>
        <v>REJECT</v>
      </c>
      <c r="M170" s="78" t="str">
        <f>IFERROR(__xludf.DUMMYFUNCTION("""COMPUTED_VALUE"""),"45674DTM")</f>
        <v>45674DTM</v>
      </c>
      <c r="N170" s="81" t="str">
        <f>IFERROR(__xludf.DUMMYFUNCTION("""COMPUTED_VALUE"""),"DTM")</f>
        <v>DTM</v>
      </c>
      <c r="O170" s="82">
        <f>IFERROR(__xludf.DUMMYFUNCTION("""COMPUTED_VALUE"""),45674.0)</f>
        <v>45674</v>
      </c>
      <c r="P170" s="107" t="str">
        <f>IFERROR(__xludf.DUMMYFUNCTION("""COMPUTED_VALUE"""),"Adverse weather")</f>
        <v>Adverse weather</v>
      </c>
      <c r="Q170" s="77" t="str">
        <f>IFERROR(__xludf.DUMMYFUNCTION("""COMPUTED_VALUE"""),"REJECT")</f>
        <v>REJECT</v>
      </c>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row>
    <row r="171">
      <c r="A171" s="93"/>
      <c r="B171" s="85"/>
      <c r="C171" s="86"/>
      <c r="D171" s="93"/>
      <c r="E171" s="85"/>
      <c r="F171" s="85"/>
      <c r="G171" s="86"/>
      <c r="H171" s="78" t="str">
        <f>IFERROR(__xludf.DUMMYFUNCTION("""COMPUTED_VALUE"""),"")</f>
        <v/>
      </c>
      <c r="I171" s="85"/>
      <c r="J171" s="85"/>
      <c r="K171" s="85"/>
      <c r="L171" s="86" t="str">
        <f>IFERROR(__xludf.DUMMYFUNCTION("""COMPUTED_VALUE"""),"REJECT")</f>
        <v>REJECT</v>
      </c>
      <c r="M171" s="78" t="str">
        <f>IFERROR(__xludf.DUMMYFUNCTION("""COMPUTED_VALUE"""),"45688CRA")</f>
        <v>45688CRA</v>
      </c>
      <c r="N171" s="81" t="str">
        <f>IFERROR(__xludf.DUMMYFUNCTION("""COMPUTED_VALUE"""),"CRA")</f>
        <v>CRA</v>
      </c>
      <c r="O171" s="82">
        <f>IFERROR(__xludf.DUMMYFUNCTION("""COMPUTED_VALUE"""),45688.0)</f>
        <v>45688</v>
      </c>
      <c r="P171" s="107" t="str">
        <f>IFERROR(__xludf.DUMMYFUNCTION("""COMPUTED_VALUE"""),"Adverse weather")</f>
        <v>Adverse weather</v>
      </c>
      <c r="Q171" s="77" t="str">
        <f>IFERROR(__xludf.DUMMYFUNCTION("""COMPUTED_VALUE"""),"REJECT")</f>
        <v>REJECT</v>
      </c>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row>
    <row r="172">
      <c r="A172" s="93"/>
      <c r="B172" s="85"/>
      <c r="C172" s="86"/>
      <c r="D172" s="93"/>
      <c r="E172" s="85"/>
      <c r="F172" s="85"/>
      <c r="G172" s="86"/>
      <c r="H172" s="78" t="str">
        <f>IFERROR(__xludf.DUMMYFUNCTION("""COMPUTED_VALUE"""),"")</f>
        <v/>
      </c>
      <c r="I172" s="85"/>
      <c r="J172" s="85"/>
      <c r="K172" s="85"/>
      <c r="L172" s="86" t="str">
        <f>IFERROR(__xludf.DUMMYFUNCTION("""COMPUTED_VALUE"""),"REJECT")</f>
        <v>REJECT</v>
      </c>
      <c r="M172" s="78" t="str">
        <f>IFERROR(__xludf.DUMMYFUNCTION("""COMPUTED_VALUE"""),"45699IST")</f>
        <v>45699IST</v>
      </c>
      <c r="N172" s="81" t="str">
        <f>IFERROR(__xludf.DUMMYFUNCTION("""COMPUTED_VALUE"""),"IST")</f>
        <v>IST</v>
      </c>
      <c r="O172" s="82">
        <f>IFERROR(__xludf.DUMMYFUNCTION("""COMPUTED_VALUE"""),45699.0)</f>
        <v>45699</v>
      </c>
      <c r="P172" s="107" t="str">
        <f>IFERROR(__xludf.DUMMYFUNCTION("""COMPUTED_VALUE"""),"Adverse weather")</f>
        <v>Adverse weather</v>
      </c>
      <c r="Q172" s="77" t="str">
        <f>IFERROR(__xludf.DUMMYFUNCTION("""COMPUTED_VALUE"""),"REJECT")</f>
        <v>REJECT</v>
      </c>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row>
    <row r="173">
      <c r="A173" s="93"/>
      <c r="B173" s="85"/>
      <c r="C173" s="86"/>
      <c r="D173" s="93"/>
      <c r="E173" s="85"/>
      <c r="F173" s="85"/>
      <c r="G173" s="86"/>
      <c r="H173" s="78" t="str">
        <f>IFERROR(__xludf.DUMMYFUNCTION("""COMPUTED_VALUE"""),"")</f>
        <v/>
      </c>
      <c r="I173" s="85"/>
      <c r="J173" s="85"/>
      <c r="K173" s="85"/>
      <c r="L173" s="86" t="str">
        <f>IFERROR(__xludf.DUMMYFUNCTION("""COMPUTED_VALUE"""),"REJECT")</f>
        <v>REJECT</v>
      </c>
      <c r="M173" s="78" t="str">
        <f>IFERROR(__xludf.DUMMYFUNCTION("""COMPUTED_VALUE"""),"45702LIS")</f>
        <v>45702LIS</v>
      </c>
      <c r="N173" s="81" t="str">
        <f>IFERROR(__xludf.DUMMYFUNCTION("""COMPUTED_VALUE"""),"LIS")</f>
        <v>LIS</v>
      </c>
      <c r="O173" s="82">
        <f>IFERROR(__xludf.DUMMYFUNCTION("""COMPUTED_VALUE"""),45702.0)</f>
        <v>45702</v>
      </c>
      <c r="P173" s="107" t="str">
        <f>IFERROR(__xludf.DUMMYFUNCTION("""COMPUTED_VALUE"""),"ATC")</f>
        <v>ATC</v>
      </c>
      <c r="Q173" s="77" t="str">
        <f>IFERROR(__xludf.DUMMYFUNCTION("""COMPUTED_VALUE"""),"REJECT")</f>
        <v>REJECT</v>
      </c>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row>
    <row r="174">
      <c r="A174" s="93"/>
      <c r="B174" s="85"/>
      <c r="C174" s="86"/>
      <c r="D174" s="93"/>
      <c r="E174" s="85"/>
      <c r="F174" s="85"/>
      <c r="G174" s="86"/>
      <c r="H174" s="78" t="str">
        <f>IFERROR(__xludf.DUMMYFUNCTION("""COMPUTED_VALUE"""),"")</f>
        <v/>
      </c>
      <c r="I174" s="85"/>
      <c r="J174" s="85"/>
      <c r="K174" s="85"/>
      <c r="L174" s="86" t="str">
        <f>IFERROR(__xludf.DUMMYFUNCTION("""COMPUTED_VALUE"""),"REJECT")</f>
        <v>REJECT</v>
      </c>
      <c r="M174" s="78" t="str">
        <f>IFERROR(__xludf.DUMMYFUNCTION("""COMPUTED_VALUE"""),"45704CTA")</f>
        <v>45704CTA</v>
      </c>
      <c r="N174" s="81" t="str">
        <f>IFERROR(__xludf.DUMMYFUNCTION("""COMPUTED_VALUE"""),"CTA")</f>
        <v>CTA</v>
      </c>
      <c r="O174" s="82">
        <f>IFERROR(__xludf.DUMMYFUNCTION("""COMPUTED_VALUE"""),45704.0)</f>
        <v>45704</v>
      </c>
      <c r="P174" s="107" t="str">
        <f>IFERROR(__xludf.DUMMYFUNCTION("""COMPUTED_VALUE"""),"Run way Limitations")</f>
        <v>Run way Limitations</v>
      </c>
      <c r="Q174" s="77" t="str">
        <f>IFERROR(__xludf.DUMMYFUNCTION("""COMPUTED_VALUE"""),"REJECT")</f>
        <v>REJECT</v>
      </c>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row>
    <row r="175">
      <c r="A175" s="93"/>
      <c r="B175" s="85"/>
      <c r="C175" s="86"/>
      <c r="D175" s="93"/>
      <c r="E175" s="85"/>
      <c r="F175" s="85"/>
      <c r="G175" s="86"/>
      <c r="H175" s="78" t="str">
        <f>IFERROR(__xludf.DUMMYFUNCTION("""COMPUTED_VALUE"""),"")</f>
        <v/>
      </c>
      <c r="I175" s="85"/>
      <c r="J175" s="85"/>
      <c r="K175" s="85"/>
      <c r="L175" s="86" t="str">
        <f>IFERROR(__xludf.DUMMYFUNCTION("""COMPUTED_VALUE"""),"REJECT")</f>
        <v>REJECT</v>
      </c>
      <c r="M175" s="78" t="str">
        <f>IFERROR(__xludf.DUMMYFUNCTION("""COMPUTED_VALUE"""),"45705YYZ")</f>
        <v>45705YYZ</v>
      </c>
      <c r="N175" s="81" t="str">
        <f>IFERROR(__xludf.DUMMYFUNCTION("""COMPUTED_VALUE"""),"YYZ")</f>
        <v>YYZ</v>
      </c>
      <c r="O175" s="82">
        <f>IFERROR(__xludf.DUMMYFUNCTION("""COMPUTED_VALUE"""),45705.0)</f>
        <v>45705</v>
      </c>
      <c r="P175" s="107" t="str">
        <f>IFERROR(__xludf.DUMMYFUNCTION("""COMPUTED_VALUE"""),"Plane Crash /Snow fall")</f>
        <v>Plane Crash /Snow fall</v>
      </c>
      <c r="Q175" s="77" t="str">
        <f>IFERROR(__xludf.DUMMYFUNCTION("""COMPUTED_VALUE"""),"REJECT")</f>
        <v>REJECT</v>
      </c>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row>
    <row r="176">
      <c r="A176" s="93"/>
      <c r="B176" s="85"/>
      <c r="C176" s="86"/>
      <c r="D176" s="93"/>
      <c r="E176" s="85"/>
      <c r="F176" s="85"/>
      <c r="G176" s="86"/>
      <c r="H176" s="78" t="str">
        <f>IFERROR(__xludf.DUMMYFUNCTION("""COMPUTED_VALUE"""),"")</f>
        <v/>
      </c>
      <c r="I176" s="85"/>
      <c r="J176" s="85"/>
      <c r="K176" s="85"/>
      <c r="L176" s="86" t="str">
        <f>IFERROR(__xludf.DUMMYFUNCTION("""COMPUTED_VALUE"""),"REJECT")</f>
        <v>REJECT</v>
      </c>
      <c r="M176" s="78" t="str">
        <f>IFERROR(__xludf.DUMMYFUNCTION("""COMPUTED_VALUE"""),"45706YYZ")</f>
        <v>45706YYZ</v>
      </c>
      <c r="N176" s="81" t="str">
        <f>IFERROR(__xludf.DUMMYFUNCTION("""COMPUTED_VALUE"""),"YYZ")</f>
        <v>YYZ</v>
      </c>
      <c r="O176" s="82">
        <f>IFERROR(__xludf.DUMMYFUNCTION("""COMPUTED_VALUE"""),45706.0)</f>
        <v>45706</v>
      </c>
      <c r="P176" s="107" t="str">
        <f>IFERROR(__xludf.DUMMYFUNCTION("""COMPUTED_VALUE"""),"Plane Crash /Snow fall")</f>
        <v>Plane Crash /Snow fall</v>
      </c>
      <c r="Q176" s="77" t="str">
        <f>IFERROR(__xludf.DUMMYFUNCTION("""COMPUTED_VALUE"""),"REJECT")</f>
        <v>REJECT</v>
      </c>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row>
    <row r="177">
      <c r="A177" s="93"/>
      <c r="B177" s="85"/>
      <c r="C177" s="86"/>
      <c r="D177" s="93"/>
      <c r="E177" s="85"/>
      <c r="F177" s="85"/>
      <c r="G177" s="86"/>
      <c r="H177" s="78" t="str">
        <f>IFERROR(__xludf.DUMMYFUNCTION("""COMPUTED_VALUE"""),"")</f>
        <v/>
      </c>
      <c r="I177" s="85"/>
      <c r="J177" s="85"/>
      <c r="K177" s="85"/>
      <c r="L177" s="86" t="str">
        <f>IFERROR(__xludf.DUMMYFUNCTION("""COMPUTED_VALUE"""),"REJECT")</f>
        <v>REJECT</v>
      </c>
      <c r="M177" s="78" t="str">
        <f>IFERROR(__xludf.DUMMYFUNCTION("""COMPUTED_VALUE"""),"45707YYZ")</f>
        <v>45707YYZ</v>
      </c>
      <c r="N177" s="81" t="str">
        <f>IFERROR(__xludf.DUMMYFUNCTION("""COMPUTED_VALUE"""),"YYZ")</f>
        <v>YYZ</v>
      </c>
      <c r="O177" s="82">
        <f>IFERROR(__xludf.DUMMYFUNCTION("""COMPUTED_VALUE"""),45707.0)</f>
        <v>45707</v>
      </c>
      <c r="P177" s="107" t="str">
        <f>IFERROR(__xludf.DUMMYFUNCTION("""COMPUTED_VALUE"""),"Plane Crash /Snow fall")</f>
        <v>Plane Crash /Snow fall</v>
      </c>
      <c r="Q177" s="77" t="str">
        <f>IFERROR(__xludf.DUMMYFUNCTION("""COMPUTED_VALUE"""),"REJECT")</f>
        <v>REJECT</v>
      </c>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row>
    <row r="178">
      <c r="A178" s="93"/>
      <c r="B178" s="85"/>
      <c r="C178" s="86"/>
      <c r="D178" s="93"/>
      <c r="E178" s="85"/>
      <c r="F178" s="85"/>
      <c r="G178" s="86"/>
      <c r="H178" s="78" t="str">
        <f>IFERROR(__xludf.DUMMYFUNCTION("""COMPUTED_VALUE"""),"")</f>
        <v/>
      </c>
      <c r="I178" s="85"/>
      <c r="J178" s="85"/>
      <c r="K178" s="85"/>
      <c r="L178" s="86" t="str">
        <f>IFERROR(__xludf.DUMMYFUNCTION("""COMPUTED_VALUE"""),"REJECT")</f>
        <v>REJECT</v>
      </c>
      <c r="M178" s="78" t="str">
        <f>IFERROR(__xludf.DUMMYFUNCTION("""COMPUTED_VALUE"""),"45708YYZ")</f>
        <v>45708YYZ</v>
      </c>
      <c r="N178" s="81" t="str">
        <f>IFERROR(__xludf.DUMMYFUNCTION("""COMPUTED_VALUE"""),"YYZ")</f>
        <v>YYZ</v>
      </c>
      <c r="O178" s="82">
        <f>IFERROR(__xludf.DUMMYFUNCTION("""COMPUTED_VALUE"""),45708.0)</f>
        <v>45708</v>
      </c>
      <c r="P178" s="107" t="str">
        <f>IFERROR(__xludf.DUMMYFUNCTION("""COMPUTED_VALUE"""),"Plane Crash /Snow fall")</f>
        <v>Plane Crash /Snow fall</v>
      </c>
      <c r="Q178" s="77" t="str">
        <f>IFERROR(__xludf.DUMMYFUNCTION("""COMPUTED_VALUE"""),"REJECT")</f>
        <v>REJECT</v>
      </c>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row>
    <row r="179">
      <c r="A179" s="93"/>
      <c r="B179" s="85"/>
      <c r="C179" s="86"/>
      <c r="D179" s="93"/>
      <c r="E179" s="85"/>
      <c r="F179" s="85"/>
      <c r="G179" s="86"/>
      <c r="H179" s="78" t="str">
        <f>IFERROR(__xludf.DUMMYFUNCTION("""COMPUTED_VALUE"""),"")</f>
        <v/>
      </c>
      <c r="I179" s="85"/>
      <c r="J179" s="85"/>
      <c r="K179" s="85"/>
      <c r="L179" s="86" t="str">
        <f>IFERROR(__xludf.DUMMYFUNCTION("""COMPUTED_VALUE"""),"REJECT")</f>
        <v>REJECT</v>
      </c>
      <c r="M179" s="78" t="str">
        <f>IFERROR(__xludf.DUMMYFUNCTION("""COMPUTED_VALUE"""),"45709IST")</f>
        <v>45709IST</v>
      </c>
      <c r="N179" s="81" t="str">
        <f>IFERROR(__xludf.DUMMYFUNCTION("""COMPUTED_VALUE"""),"IST")</f>
        <v>IST</v>
      </c>
      <c r="O179" s="82">
        <f>IFERROR(__xludf.DUMMYFUNCTION("""COMPUTED_VALUE"""),45709.0)</f>
        <v>45709</v>
      </c>
      <c r="P179" s="107" t="str">
        <f>IFERROR(__xludf.DUMMYFUNCTION("""COMPUTED_VALUE"""),"Adverse weather")</f>
        <v>Adverse weather</v>
      </c>
      <c r="Q179" s="77" t="str">
        <f>IFERROR(__xludf.DUMMYFUNCTION("""COMPUTED_VALUE"""),"REJECT")</f>
        <v>REJECT</v>
      </c>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row>
    <row r="180">
      <c r="A180" s="93"/>
      <c r="B180" s="85"/>
      <c r="C180" s="86"/>
      <c r="D180" s="93"/>
      <c r="E180" s="85"/>
      <c r="F180" s="85"/>
      <c r="G180" s="86"/>
      <c r="H180" s="78" t="str">
        <f>IFERROR(__xludf.DUMMYFUNCTION("""COMPUTED_VALUE"""),"")</f>
        <v/>
      </c>
      <c r="I180" s="85"/>
      <c r="J180" s="85"/>
      <c r="K180" s="85"/>
      <c r="L180" s="86" t="str">
        <f>IFERROR(__xludf.DUMMYFUNCTION("""COMPUTED_VALUE"""),"REJECT")</f>
        <v>REJECT</v>
      </c>
      <c r="M180" s="78" t="str">
        <f>IFERROR(__xludf.DUMMYFUNCTION("""COMPUTED_VALUE"""),"45710IST")</f>
        <v>45710IST</v>
      </c>
      <c r="N180" s="81" t="str">
        <f>IFERROR(__xludf.DUMMYFUNCTION("""COMPUTED_VALUE"""),"IST")</f>
        <v>IST</v>
      </c>
      <c r="O180" s="82">
        <f>IFERROR(__xludf.DUMMYFUNCTION("""COMPUTED_VALUE"""),45710.0)</f>
        <v>45710</v>
      </c>
      <c r="P180" s="107" t="str">
        <f>IFERROR(__xludf.DUMMYFUNCTION("""COMPUTED_VALUE"""),"Adverse weather")</f>
        <v>Adverse weather</v>
      </c>
      <c r="Q180" s="77" t="str">
        <f>IFERROR(__xludf.DUMMYFUNCTION("""COMPUTED_VALUE"""),"REJECT")</f>
        <v>REJECT</v>
      </c>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row>
    <row r="181">
      <c r="A181" s="93"/>
      <c r="B181" s="85"/>
      <c r="C181" s="86"/>
      <c r="D181" s="93"/>
      <c r="E181" s="85"/>
      <c r="F181" s="85"/>
      <c r="G181" s="86"/>
      <c r="H181" s="78" t="str">
        <f>IFERROR(__xludf.DUMMYFUNCTION("""COMPUTED_VALUE"""),"")</f>
        <v/>
      </c>
      <c r="I181" s="85"/>
      <c r="J181" s="85"/>
      <c r="K181" s="85"/>
      <c r="L181" s="86" t="str">
        <f>IFERROR(__xludf.DUMMYFUNCTION("""COMPUTED_VALUE"""),"REJECT")</f>
        <v>REJECT</v>
      </c>
      <c r="M181" s="78" t="str">
        <f>IFERROR(__xludf.DUMMYFUNCTION("""COMPUTED_VALUE"""),"45711DUS")</f>
        <v>45711DUS</v>
      </c>
      <c r="N181" s="81" t="str">
        <f>IFERROR(__xludf.DUMMYFUNCTION("""COMPUTED_VALUE"""),"DUS")</f>
        <v>DUS</v>
      </c>
      <c r="O181" s="82">
        <f>IFERROR(__xludf.DUMMYFUNCTION("""COMPUTED_VALUE"""),45711.0)</f>
        <v>45711</v>
      </c>
      <c r="P181" s="107" t="str">
        <f>IFERROR(__xludf.DUMMYFUNCTION("""COMPUTED_VALUE"""),"Strike")</f>
        <v>Strike</v>
      </c>
      <c r="Q181" s="77" t="str">
        <f>IFERROR(__xludf.DUMMYFUNCTION("""COMPUTED_VALUE"""),"REJECT")</f>
        <v>REJECT</v>
      </c>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row>
    <row r="182">
      <c r="A182" s="93"/>
      <c r="B182" s="85"/>
      <c r="C182" s="86"/>
      <c r="D182" s="93"/>
      <c r="E182" s="85"/>
      <c r="F182" s="85"/>
      <c r="G182" s="86"/>
      <c r="H182" s="78" t="str">
        <f>IFERROR(__xludf.DUMMYFUNCTION("""COMPUTED_VALUE"""),"")</f>
        <v/>
      </c>
      <c r="I182" s="85"/>
      <c r="J182" s="85"/>
      <c r="K182" s="85"/>
      <c r="L182" s="86" t="str">
        <f>IFERROR(__xludf.DUMMYFUNCTION("""COMPUTED_VALUE"""),"REJECT")</f>
        <v>REJECT</v>
      </c>
      <c r="M182" s="78" t="str">
        <f>IFERROR(__xludf.DUMMYFUNCTION("""COMPUTED_VALUE"""),"45711IST")</f>
        <v>45711IST</v>
      </c>
      <c r="N182" s="81" t="str">
        <f>IFERROR(__xludf.DUMMYFUNCTION("""COMPUTED_VALUE"""),"IST")</f>
        <v>IST</v>
      </c>
      <c r="O182" s="82">
        <f>IFERROR(__xludf.DUMMYFUNCTION("""COMPUTED_VALUE"""),45711.0)</f>
        <v>45711</v>
      </c>
      <c r="P182" s="107" t="str">
        <f>IFERROR(__xludf.DUMMYFUNCTION("""COMPUTED_VALUE"""),"Adverse weather")</f>
        <v>Adverse weather</v>
      </c>
      <c r="Q182" s="77" t="str">
        <f>IFERROR(__xludf.DUMMYFUNCTION("""COMPUTED_VALUE"""),"REJECT")</f>
        <v>REJECT</v>
      </c>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row>
    <row r="183">
      <c r="A183" s="93"/>
      <c r="B183" s="85"/>
      <c r="C183" s="86"/>
      <c r="D183" s="93"/>
      <c r="E183" s="85"/>
      <c r="F183" s="85"/>
      <c r="G183" s="86"/>
      <c r="H183" s="78" t="str">
        <f>IFERROR(__xludf.DUMMYFUNCTION("""COMPUTED_VALUE"""),"")</f>
        <v/>
      </c>
      <c r="I183" s="85"/>
      <c r="J183" s="85"/>
      <c r="K183" s="85"/>
      <c r="L183" s="86" t="str">
        <f>IFERROR(__xludf.DUMMYFUNCTION("""COMPUTED_VALUE"""),"REJECT")</f>
        <v>REJECT</v>
      </c>
      <c r="M183" s="78" t="str">
        <f>IFERROR(__xludf.DUMMYFUNCTION("""COMPUTED_VALUE"""),"45712CGN")</f>
        <v>45712CGN</v>
      </c>
      <c r="N183" s="81" t="str">
        <f>IFERROR(__xludf.DUMMYFUNCTION("""COMPUTED_VALUE"""),"CGN")</f>
        <v>CGN</v>
      </c>
      <c r="O183" s="82">
        <f>IFERROR(__xludf.DUMMYFUNCTION("""COMPUTED_VALUE"""),45712.0)</f>
        <v>45712</v>
      </c>
      <c r="P183" s="107" t="str">
        <f>IFERROR(__xludf.DUMMYFUNCTION("""COMPUTED_VALUE"""),"Strike")</f>
        <v>Strike</v>
      </c>
      <c r="Q183" s="77" t="str">
        <f>IFERROR(__xludf.DUMMYFUNCTION("""COMPUTED_VALUE"""),"REJECT")</f>
        <v>REJECT</v>
      </c>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row>
    <row r="184">
      <c r="A184" s="93"/>
      <c r="B184" s="85"/>
      <c r="C184" s="86"/>
      <c r="D184" s="93"/>
      <c r="E184" s="85"/>
      <c r="F184" s="85"/>
      <c r="G184" s="86"/>
      <c r="H184" s="78" t="str">
        <f>IFERROR(__xludf.DUMMYFUNCTION("""COMPUTED_VALUE"""),"")</f>
        <v/>
      </c>
      <c r="I184" s="85"/>
      <c r="J184" s="85"/>
      <c r="K184" s="85"/>
      <c r="L184" s="86" t="str">
        <f>IFERROR(__xludf.DUMMYFUNCTION("""COMPUTED_VALUE"""),"REJECT")</f>
        <v>REJECT</v>
      </c>
      <c r="M184" s="78" t="str">
        <f>IFERROR(__xludf.DUMMYFUNCTION("""COMPUTED_VALUE"""),"45712DUS")</f>
        <v>45712DUS</v>
      </c>
      <c r="N184" s="81" t="str">
        <f>IFERROR(__xludf.DUMMYFUNCTION("""COMPUTED_VALUE"""),"DUS")</f>
        <v>DUS</v>
      </c>
      <c r="O184" s="82">
        <f>IFERROR(__xludf.DUMMYFUNCTION("""COMPUTED_VALUE"""),45712.0)</f>
        <v>45712</v>
      </c>
      <c r="P184" s="107" t="str">
        <f>IFERROR(__xludf.DUMMYFUNCTION("""COMPUTED_VALUE"""),"Strike")</f>
        <v>Strike</v>
      </c>
      <c r="Q184" s="77" t="str">
        <f>IFERROR(__xludf.DUMMYFUNCTION("""COMPUTED_VALUE"""),"REJECT")</f>
        <v>REJECT</v>
      </c>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row>
    <row r="185">
      <c r="A185" s="93"/>
      <c r="B185" s="85"/>
      <c r="C185" s="86"/>
      <c r="D185" s="93"/>
      <c r="E185" s="85"/>
      <c r="F185" s="85"/>
      <c r="G185" s="86"/>
      <c r="H185" s="78" t="str">
        <f>IFERROR(__xludf.DUMMYFUNCTION("""COMPUTED_VALUE"""),"")</f>
        <v/>
      </c>
      <c r="I185" s="85"/>
      <c r="J185" s="85"/>
      <c r="K185" s="85"/>
      <c r="L185" s="86" t="str">
        <f>IFERROR(__xludf.DUMMYFUNCTION("""COMPUTED_VALUE"""),"REJECT")</f>
        <v>REJECT</v>
      </c>
      <c r="M185" s="78" t="str">
        <f>IFERROR(__xludf.DUMMYFUNCTION("""COMPUTED_VALUE"""),"45714RUN")</f>
        <v>45714RUN</v>
      </c>
      <c r="N185" s="81" t="str">
        <f>IFERROR(__xludf.DUMMYFUNCTION("""COMPUTED_VALUE"""),"RUN")</f>
        <v>RUN</v>
      </c>
      <c r="O185" s="82">
        <f>IFERROR(__xludf.DUMMYFUNCTION("""COMPUTED_VALUE"""),45714.0)</f>
        <v>45714</v>
      </c>
      <c r="P185" s="107" t="str">
        <f>IFERROR(__xludf.DUMMYFUNCTION("""COMPUTED_VALUE"""),"ATC")</f>
        <v>ATC</v>
      </c>
      <c r="Q185" s="77" t="str">
        <f>IFERROR(__xludf.DUMMYFUNCTION("""COMPUTED_VALUE"""),"REJECT")</f>
        <v>REJECT</v>
      </c>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row>
    <row r="186">
      <c r="A186" s="93"/>
      <c r="B186" s="85"/>
      <c r="C186" s="86"/>
      <c r="D186" s="93"/>
      <c r="E186" s="85"/>
      <c r="F186" s="85"/>
      <c r="G186" s="86"/>
      <c r="H186" s="78" t="str">
        <f>IFERROR(__xludf.DUMMYFUNCTION("""COMPUTED_VALUE"""),"")</f>
        <v/>
      </c>
      <c r="I186" s="85"/>
      <c r="J186" s="85"/>
      <c r="K186" s="85"/>
      <c r="L186" s="86" t="str">
        <f>IFERROR(__xludf.DUMMYFUNCTION("""COMPUTED_VALUE"""),"REJECT")</f>
        <v>REJECT</v>
      </c>
      <c r="M186" s="78" t="str">
        <f>IFERROR(__xludf.DUMMYFUNCTION("""COMPUTED_VALUE"""),"45715MUC")</f>
        <v>45715MUC</v>
      </c>
      <c r="N186" s="81" t="str">
        <f>IFERROR(__xludf.DUMMYFUNCTION("""COMPUTED_VALUE"""),"MUC")</f>
        <v>MUC</v>
      </c>
      <c r="O186" s="82">
        <f>IFERROR(__xludf.DUMMYFUNCTION("""COMPUTED_VALUE"""),45715.0)</f>
        <v>45715</v>
      </c>
      <c r="P186" s="107" t="str">
        <f>IFERROR(__xludf.DUMMYFUNCTION("""COMPUTED_VALUE"""),"Strike")</f>
        <v>Strike</v>
      </c>
      <c r="Q186" s="77" t="str">
        <f>IFERROR(__xludf.DUMMYFUNCTION("""COMPUTED_VALUE"""),"REJECT")</f>
        <v>REJECT</v>
      </c>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row>
    <row r="187">
      <c r="A187" s="93"/>
      <c r="B187" s="85"/>
      <c r="C187" s="86"/>
      <c r="D187" s="93"/>
      <c r="E187" s="85"/>
      <c r="F187" s="85"/>
      <c r="G187" s="86"/>
      <c r="H187" s="78" t="str">
        <f>IFERROR(__xludf.DUMMYFUNCTION("""COMPUTED_VALUE"""),"")</f>
        <v/>
      </c>
      <c r="I187" s="85"/>
      <c r="J187" s="85"/>
      <c r="K187" s="85"/>
      <c r="L187" s="86" t="str">
        <f>IFERROR(__xludf.DUMMYFUNCTION("""COMPUTED_VALUE"""),"REJECT")</f>
        <v>REJECT</v>
      </c>
      <c r="M187" s="78" t="str">
        <f>IFERROR(__xludf.DUMMYFUNCTION("""COMPUTED_VALUE"""),"45715RUN")</f>
        <v>45715RUN</v>
      </c>
      <c r="N187" s="81" t="str">
        <f>IFERROR(__xludf.DUMMYFUNCTION("""COMPUTED_VALUE"""),"RUN")</f>
        <v>RUN</v>
      </c>
      <c r="O187" s="82">
        <f>IFERROR(__xludf.DUMMYFUNCTION("""COMPUTED_VALUE"""),45715.0)</f>
        <v>45715</v>
      </c>
      <c r="P187" s="107" t="str">
        <f>IFERROR(__xludf.DUMMYFUNCTION("""COMPUTED_VALUE"""),"ATC")</f>
        <v>ATC</v>
      </c>
      <c r="Q187" s="77" t="str">
        <f>IFERROR(__xludf.DUMMYFUNCTION("""COMPUTED_VALUE"""),"REJECT")</f>
        <v>REJECT</v>
      </c>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row>
    <row r="188">
      <c r="A188" s="93"/>
      <c r="B188" s="85"/>
      <c r="C188" s="86"/>
      <c r="D188" s="93"/>
      <c r="E188" s="85"/>
      <c r="F188" s="85"/>
      <c r="G188" s="86"/>
      <c r="H188" s="78" t="str">
        <f>IFERROR(__xludf.DUMMYFUNCTION("""COMPUTED_VALUE"""),"")</f>
        <v/>
      </c>
      <c r="I188" s="85"/>
      <c r="J188" s="85"/>
      <c r="K188" s="85"/>
      <c r="L188" s="86" t="str">
        <f>IFERROR(__xludf.DUMMYFUNCTION("""COMPUTED_VALUE"""),"REJECT")</f>
        <v>REJECT</v>
      </c>
      <c r="M188" s="78" t="str">
        <f>IFERROR(__xludf.DUMMYFUNCTION("""COMPUTED_VALUE"""),"45716MUC")</f>
        <v>45716MUC</v>
      </c>
      <c r="N188" s="81" t="str">
        <f>IFERROR(__xludf.DUMMYFUNCTION("""COMPUTED_VALUE"""),"MUC")</f>
        <v>MUC</v>
      </c>
      <c r="O188" s="82">
        <f>IFERROR(__xludf.DUMMYFUNCTION("""COMPUTED_VALUE"""),45716.0)</f>
        <v>45716</v>
      </c>
      <c r="P188" s="107" t="str">
        <f>IFERROR(__xludf.DUMMYFUNCTION("""COMPUTED_VALUE"""),"Strike")</f>
        <v>Strike</v>
      </c>
      <c r="Q188" s="77" t="str">
        <f>IFERROR(__xludf.DUMMYFUNCTION("""COMPUTED_VALUE"""),"REJECT")</f>
        <v>REJECT</v>
      </c>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row>
    <row r="189">
      <c r="A189" s="93"/>
      <c r="B189" s="85"/>
      <c r="C189" s="86"/>
      <c r="D189" s="93"/>
      <c r="E189" s="85"/>
      <c r="F189" s="85"/>
      <c r="G189" s="86"/>
      <c r="H189" s="78" t="str">
        <f>IFERROR(__xludf.DUMMYFUNCTION("""COMPUTED_VALUE"""),"")</f>
        <v/>
      </c>
      <c r="I189" s="85"/>
      <c r="J189" s="85"/>
      <c r="K189" s="85"/>
      <c r="L189" s="86" t="str">
        <f>IFERROR(__xludf.DUMMYFUNCTION("""COMPUTED_VALUE"""),"REJECT")</f>
        <v>REJECT</v>
      </c>
      <c r="M189" s="78" t="str">
        <f>IFERROR(__xludf.DUMMYFUNCTION("""COMPUTED_VALUE"""),"45716RUN")</f>
        <v>45716RUN</v>
      </c>
      <c r="N189" s="81" t="str">
        <f>IFERROR(__xludf.DUMMYFUNCTION("""COMPUTED_VALUE"""),"RUN")</f>
        <v>RUN</v>
      </c>
      <c r="O189" s="82">
        <f>IFERROR(__xludf.DUMMYFUNCTION("""COMPUTED_VALUE"""),45716.0)</f>
        <v>45716</v>
      </c>
      <c r="P189" s="107" t="str">
        <f>IFERROR(__xludf.DUMMYFUNCTION("""COMPUTED_VALUE"""),"ATC")</f>
        <v>ATC</v>
      </c>
      <c r="Q189" s="77" t="str">
        <f>IFERROR(__xludf.DUMMYFUNCTION("""COMPUTED_VALUE"""),"REJECT")</f>
        <v>REJECT</v>
      </c>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row>
    <row r="190">
      <c r="A190" s="93"/>
      <c r="B190" s="85"/>
      <c r="C190" s="86"/>
      <c r="D190" s="93"/>
      <c r="E190" s="85"/>
      <c r="F190" s="85"/>
      <c r="G190" s="86"/>
      <c r="H190" s="78" t="str">
        <f>IFERROR(__xludf.DUMMYFUNCTION("""COMPUTED_VALUE"""),"")</f>
        <v/>
      </c>
      <c r="I190" s="85"/>
      <c r="J190" s="85"/>
      <c r="K190" s="85"/>
      <c r="L190" s="86" t="str">
        <f>IFERROR(__xludf.DUMMYFUNCTION("""COMPUTED_VALUE"""),"REJECT")</f>
        <v>REJECT</v>
      </c>
      <c r="M190" s="78" t="str">
        <f>IFERROR(__xludf.DUMMYFUNCTION("""COMPUTED_VALUE"""),"45717RUN")</f>
        <v>45717RUN</v>
      </c>
      <c r="N190" s="81" t="str">
        <f>IFERROR(__xludf.DUMMYFUNCTION("""COMPUTED_VALUE"""),"RUN")</f>
        <v>RUN</v>
      </c>
      <c r="O190" s="82">
        <f>IFERROR(__xludf.DUMMYFUNCTION("""COMPUTED_VALUE"""),45717.0)</f>
        <v>45717</v>
      </c>
      <c r="P190" s="107" t="str">
        <f>IFERROR(__xludf.DUMMYFUNCTION("""COMPUTED_VALUE"""),"ATC")</f>
        <v>ATC</v>
      </c>
      <c r="Q190" s="77" t="str">
        <f>IFERROR(__xludf.DUMMYFUNCTION("""COMPUTED_VALUE"""),"REJECT")</f>
        <v>REJECT</v>
      </c>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row>
    <row r="191">
      <c r="A191" s="93"/>
      <c r="B191" s="85"/>
      <c r="C191" s="86"/>
      <c r="D191" s="93"/>
      <c r="E191" s="85"/>
      <c r="F191" s="85"/>
      <c r="G191" s="86"/>
      <c r="H191" s="78" t="str">
        <f>IFERROR(__xludf.DUMMYFUNCTION("""COMPUTED_VALUE"""),"")</f>
        <v/>
      </c>
      <c r="I191" s="85"/>
      <c r="J191" s="85"/>
      <c r="K191" s="85"/>
      <c r="L191" s="86" t="str">
        <f>IFERROR(__xludf.DUMMYFUNCTION("""COMPUTED_VALUE"""),"REJECT")</f>
        <v>REJECT</v>
      </c>
      <c r="M191" s="78" t="str">
        <f>IFERROR(__xludf.DUMMYFUNCTION("""COMPUTED_VALUE"""),"45718RUN")</f>
        <v>45718RUN</v>
      </c>
      <c r="N191" s="81" t="str">
        <f>IFERROR(__xludf.DUMMYFUNCTION("""COMPUTED_VALUE"""),"RUN")</f>
        <v>RUN</v>
      </c>
      <c r="O191" s="82">
        <f>IFERROR(__xludf.DUMMYFUNCTION("""COMPUTED_VALUE"""),45718.0)</f>
        <v>45718</v>
      </c>
      <c r="P191" s="107" t="str">
        <f>IFERROR(__xludf.DUMMYFUNCTION("""COMPUTED_VALUE"""),"ATC")</f>
        <v>ATC</v>
      </c>
      <c r="Q191" s="77" t="str">
        <f>IFERROR(__xludf.DUMMYFUNCTION("""COMPUTED_VALUE"""),"REJECT")</f>
        <v>REJECT</v>
      </c>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row>
    <row r="192">
      <c r="A192" s="93"/>
      <c r="B192" s="85"/>
      <c r="C192" s="86"/>
      <c r="D192" s="93"/>
      <c r="E192" s="85"/>
      <c r="F192" s="85"/>
      <c r="G192" s="86"/>
      <c r="H192" s="78" t="str">
        <f>IFERROR(__xludf.DUMMYFUNCTION("""COMPUTED_VALUE"""),"")</f>
        <v/>
      </c>
      <c r="I192" s="85"/>
      <c r="J192" s="85"/>
      <c r="K192" s="85"/>
      <c r="L192" s="86" t="str">
        <f>IFERROR(__xludf.DUMMYFUNCTION("""COMPUTED_VALUE"""),"REJECT")</f>
        <v>REJECT</v>
      </c>
      <c r="M192" s="78" t="str">
        <f>IFERROR(__xludf.DUMMYFUNCTION("""COMPUTED_VALUE"""),"45725HAM")</f>
        <v>45725HAM</v>
      </c>
      <c r="N192" s="81" t="str">
        <f>IFERROR(__xludf.DUMMYFUNCTION("""COMPUTED_VALUE"""),"HAM")</f>
        <v>HAM</v>
      </c>
      <c r="O192" s="82">
        <f>IFERROR(__xludf.DUMMYFUNCTION("""COMPUTED_VALUE"""),45725.0)</f>
        <v>45725</v>
      </c>
      <c r="P192" s="107" t="str">
        <f>IFERROR(__xludf.DUMMYFUNCTION("""COMPUTED_VALUE"""),"ATC")</f>
        <v>ATC</v>
      </c>
      <c r="Q192" s="77" t="str">
        <f>IFERROR(__xludf.DUMMYFUNCTION("""COMPUTED_VALUE"""),"REJECT")</f>
        <v>REJECT</v>
      </c>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row>
    <row r="193">
      <c r="A193" s="93"/>
      <c r="B193" s="85"/>
      <c r="C193" s="86"/>
      <c r="D193" s="93"/>
      <c r="E193" s="85"/>
      <c r="F193" s="85"/>
      <c r="G193" s="86"/>
      <c r="H193" s="78" t="str">
        <f>IFERROR(__xludf.DUMMYFUNCTION("""COMPUTED_VALUE"""),"")</f>
        <v/>
      </c>
      <c r="I193" s="85"/>
      <c r="J193" s="85"/>
      <c r="K193" s="85"/>
      <c r="L193" s="86" t="str">
        <f>IFERROR(__xludf.DUMMYFUNCTION("""COMPUTED_VALUE"""),"REJECT")</f>
        <v>REJECT</v>
      </c>
      <c r="M193" s="78" t="str">
        <f>IFERROR(__xludf.DUMMYFUNCTION("""COMPUTED_VALUE"""),"45737LHR")</f>
        <v>45737LHR</v>
      </c>
      <c r="N193" s="81" t="str">
        <f>IFERROR(__xludf.DUMMYFUNCTION("""COMPUTED_VALUE"""),"LHR")</f>
        <v>LHR</v>
      </c>
      <c r="O193" s="82">
        <f>IFERROR(__xludf.DUMMYFUNCTION("""COMPUTED_VALUE"""),45737.0)</f>
        <v>45737</v>
      </c>
      <c r="P193" s="107" t="str">
        <f>IFERROR(__xludf.DUMMYFUNCTION("""COMPUTED_VALUE"""),"Airport Shutdown")</f>
        <v>Airport Shutdown</v>
      </c>
      <c r="Q193" s="77" t="str">
        <f>IFERROR(__xludf.DUMMYFUNCTION("""COMPUTED_VALUE"""),"REJECT")</f>
        <v>REJECT</v>
      </c>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row>
    <row r="194">
      <c r="A194" s="93"/>
      <c r="B194" s="85"/>
      <c r="C194" s="86"/>
      <c r="D194" s="93"/>
      <c r="E194" s="85"/>
      <c r="F194" s="85"/>
      <c r="G194" s="86"/>
      <c r="H194" s="78" t="str">
        <f>IFERROR(__xludf.DUMMYFUNCTION("""COMPUTED_VALUE"""),"")</f>
        <v/>
      </c>
      <c r="I194" s="85"/>
      <c r="J194" s="85"/>
      <c r="K194" s="85"/>
      <c r="L194" s="86" t="str">
        <f>IFERROR(__xludf.DUMMYFUNCTION("""COMPUTED_VALUE"""),"REJECT")</f>
        <v>REJECT</v>
      </c>
      <c r="M194" s="78" t="str">
        <f>IFERROR(__xludf.DUMMYFUNCTION("""COMPUTED_VALUE"""),"44984DUS")</f>
        <v>44984DUS</v>
      </c>
      <c r="N194" s="81" t="str">
        <f>IFERROR(__xludf.DUMMYFUNCTION("""COMPUTED_VALUE"""),"DUS")</f>
        <v>DUS</v>
      </c>
      <c r="O194" s="82">
        <f>IFERROR(__xludf.DUMMYFUNCTION("""COMPUTED_VALUE"""),44984.0)</f>
        <v>44984</v>
      </c>
      <c r="P194" s="110" t="str">
        <f>IFERROR(__xludf.DUMMYFUNCTION("""COMPUTED_VALUE"""),"Strike")</f>
        <v>Strike</v>
      </c>
      <c r="Q194" s="77" t="str">
        <f>IFERROR(__xludf.DUMMYFUNCTION("""COMPUTED_VALUE"""),"REJECT")</f>
        <v>REJECT</v>
      </c>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row>
    <row r="195">
      <c r="A195" s="93"/>
      <c r="B195" s="85"/>
      <c r="C195" s="86"/>
      <c r="D195" s="93"/>
      <c r="E195" s="85"/>
      <c r="F195" s="85"/>
      <c r="G195" s="86"/>
      <c r="H195" s="78" t="str">
        <f>IFERROR(__xludf.DUMMYFUNCTION("""COMPUTED_VALUE"""),"")</f>
        <v/>
      </c>
      <c r="I195" s="85"/>
      <c r="J195" s="85"/>
      <c r="K195" s="85"/>
      <c r="L195" s="86" t="str">
        <f>IFERROR(__xludf.DUMMYFUNCTION("""COMPUTED_VALUE"""),"REJECT")</f>
        <v>REJECT</v>
      </c>
      <c r="M195" s="78" t="str">
        <f>IFERROR(__xludf.DUMMYFUNCTION("""COMPUTED_VALUE"""),"44984CGN")</f>
        <v>44984CGN</v>
      </c>
      <c r="N195" s="81" t="str">
        <f>IFERROR(__xludf.DUMMYFUNCTION("""COMPUTED_VALUE"""),"CGN")</f>
        <v>CGN</v>
      </c>
      <c r="O195" s="82">
        <f>IFERROR(__xludf.DUMMYFUNCTION("""COMPUTED_VALUE"""),44984.0)</f>
        <v>44984</v>
      </c>
      <c r="P195" s="110" t="str">
        <f>IFERROR(__xludf.DUMMYFUNCTION("""COMPUTED_VALUE"""),"Strike")</f>
        <v>Strike</v>
      </c>
      <c r="Q195" s="77" t="str">
        <f>IFERROR(__xludf.DUMMYFUNCTION("""COMPUTED_VALUE"""),"REJECT")</f>
        <v>REJECT</v>
      </c>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row>
    <row r="196">
      <c r="A196" s="93"/>
      <c r="B196" s="85"/>
      <c r="C196" s="86"/>
      <c r="D196" s="93"/>
      <c r="E196" s="85"/>
      <c r="F196" s="85"/>
      <c r="G196" s="86"/>
      <c r="H196" s="78" t="str">
        <f>IFERROR(__xludf.DUMMYFUNCTION("""COMPUTED_VALUE"""),"")</f>
        <v/>
      </c>
      <c r="I196" s="85"/>
      <c r="J196" s="85"/>
      <c r="K196" s="85"/>
      <c r="L196" s="86" t="str">
        <f>IFERROR(__xludf.DUMMYFUNCTION("""COMPUTED_VALUE"""),"REJECT")</f>
        <v>REJECT</v>
      </c>
      <c r="M196" s="78" t="str">
        <f>IFERROR(__xludf.DUMMYFUNCTION("""COMPUTED_VALUE"""),"45496CTA")</f>
        <v>45496CTA</v>
      </c>
      <c r="N196" s="81" t="str">
        <f>IFERROR(__xludf.DUMMYFUNCTION("""COMPUTED_VALUE"""),"CTA")</f>
        <v>CTA</v>
      </c>
      <c r="O196" s="82">
        <f>IFERROR(__xludf.DUMMYFUNCTION("""COMPUTED_VALUE"""),45496.0)</f>
        <v>45496</v>
      </c>
      <c r="P196" s="107" t="str">
        <f>IFERROR(__xludf.DUMMYFUNCTION("""COMPUTED_VALUE"""),"Sicily's Mount Etna erupts")</f>
        <v>Sicily's Mount Etna erupts</v>
      </c>
      <c r="Q196" s="77" t="str">
        <f>IFERROR(__xludf.DUMMYFUNCTION("""COMPUTED_VALUE"""),"REJECT")</f>
        <v>REJECT</v>
      </c>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row>
    <row r="197">
      <c r="A197" s="93"/>
      <c r="B197" s="85"/>
      <c r="C197" s="86"/>
      <c r="D197" s="93"/>
      <c r="E197" s="85"/>
      <c r="F197" s="85"/>
      <c r="G197" s="86"/>
      <c r="H197" s="78" t="str">
        <f>IFERROR(__xludf.DUMMYFUNCTION("""COMPUTED_VALUE"""),"")</f>
        <v/>
      </c>
      <c r="I197" s="85"/>
      <c r="J197" s="85"/>
      <c r="K197" s="85"/>
      <c r="L197" s="86" t="str">
        <f>IFERROR(__xludf.DUMMYFUNCTION("""COMPUTED_VALUE"""),"REJECT")</f>
        <v>REJECT</v>
      </c>
      <c r="M197" s="78" t="str">
        <f>IFERROR(__xludf.DUMMYFUNCTION("""COMPUTED_VALUE"""),"45677IAH")</f>
        <v>45677IAH</v>
      </c>
      <c r="N197" s="81" t="str">
        <f>IFERROR(__xludf.DUMMYFUNCTION("""COMPUTED_VALUE"""),"IAH")</f>
        <v>IAH</v>
      </c>
      <c r="O197" s="82">
        <f>IFERROR(__xludf.DUMMYFUNCTION("""COMPUTED_VALUE"""),45677.0)</f>
        <v>45677</v>
      </c>
      <c r="P197" s="110" t="str">
        <f>IFERROR(__xludf.DUMMYFUNCTION("""COMPUTED_VALUE"""),"Adverse weather flights after 2 PM")</f>
        <v>Adverse weather flights after 2 PM</v>
      </c>
      <c r="Q197" s="77" t="str">
        <f>IFERROR(__xludf.DUMMYFUNCTION("""COMPUTED_VALUE"""),"REJECT")</f>
        <v>REJECT</v>
      </c>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row>
    <row r="198">
      <c r="A198" s="93"/>
      <c r="B198" s="85"/>
      <c r="C198" s="86"/>
      <c r="D198" s="93"/>
      <c r="E198" s="85"/>
      <c r="F198" s="85"/>
      <c r="G198" s="86"/>
      <c r="H198" s="78" t="str">
        <f>IFERROR(__xludf.DUMMYFUNCTION("""COMPUTED_VALUE"""),"")</f>
        <v/>
      </c>
      <c r="I198" s="85"/>
      <c r="J198" s="85"/>
      <c r="K198" s="85"/>
      <c r="L198" s="86" t="str">
        <f>IFERROR(__xludf.DUMMYFUNCTION("""COMPUTED_VALUE"""),"REJECT")</f>
        <v>REJECT</v>
      </c>
      <c r="M198" s="78" t="str">
        <f>IFERROR(__xludf.DUMMYFUNCTION("""COMPUTED_VALUE"""),"45678IAH")</f>
        <v>45678IAH</v>
      </c>
      <c r="N198" s="81" t="str">
        <f>IFERROR(__xludf.DUMMYFUNCTION("""COMPUTED_VALUE"""),"IAH")</f>
        <v>IAH</v>
      </c>
      <c r="O198" s="82">
        <f>IFERROR(__xludf.DUMMYFUNCTION("""COMPUTED_VALUE"""),45678.0)</f>
        <v>45678</v>
      </c>
      <c r="P198" s="110" t="str">
        <f>IFERROR(__xludf.DUMMYFUNCTION("""COMPUTED_VALUE"""),"Adverse weather")</f>
        <v>Adverse weather</v>
      </c>
      <c r="Q198" s="77" t="str">
        <f>IFERROR(__xludf.DUMMYFUNCTION("""COMPUTED_VALUE"""),"REJECT")</f>
        <v>REJECT</v>
      </c>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row>
    <row r="199">
      <c r="A199" s="93"/>
      <c r="B199" s="85"/>
      <c r="C199" s="86"/>
      <c r="D199" s="93"/>
      <c r="E199" s="85"/>
      <c r="F199" s="85"/>
      <c r="G199" s="86"/>
      <c r="H199" s="78" t="str">
        <f>IFERROR(__xludf.DUMMYFUNCTION("""COMPUTED_VALUE"""),"")</f>
        <v/>
      </c>
      <c r="I199" s="85"/>
      <c r="J199" s="85"/>
      <c r="K199" s="85"/>
      <c r="L199" s="86" t="str">
        <f>IFERROR(__xludf.DUMMYFUNCTION("""COMPUTED_VALUE"""),"REJECT")</f>
        <v>REJECT</v>
      </c>
      <c r="M199" s="78" t="str">
        <f>IFERROR(__xludf.DUMMYFUNCTION("""COMPUTED_VALUE"""),"45679IAH")</f>
        <v>45679IAH</v>
      </c>
      <c r="N199" s="81" t="str">
        <f>IFERROR(__xludf.DUMMYFUNCTION("""COMPUTED_VALUE"""),"IAH")</f>
        <v>IAH</v>
      </c>
      <c r="O199" s="82">
        <f>IFERROR(__xludf.DUMMYFUNCTION("""COMPUTED_VALUE"""),45679.0)</f>
        <v>45679</v>
      </c>
      <c r="P199" s="110" t="str">
        <f>IFERROR(__xludf.DUMMYFUNCTION("""COMPUTED_VALUE"""),"Adverse weather")</f>
        <v>Adverse weather</v>
      </c>
      <c r="Q199" s="77" t="str">
        <f>IFERROR(__xludf.DUMMYFUNCTION("""COMPUTED_VALUE"""),"REJECT")</f>
        <v>REJECT</v>
      </c>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row>
    <row r="200">
      <c r="A200" s="93"/>
      <c r="B200" s="85"/>
      <c r="C200" s="86"/>
      <c r="D200" s="93"/>
      <c r="E200" s="85"/>
      <c r="F200" s="85"/>
      <c r="G200" s="86"/>
      <c r="H200" s="78" t="str">
        <f>IFERROR(__xludf.DUMMYFUNCTION("""COMPUTED_VALUE"""),"")</f>
        <v/>
      </c>
      <c r="I200" s="85"/>
      <c r="J200" s="85"/>
      <c r="K200" s="85"/>
      <c r="L200" s="86" t="str">
        <f>IFERROR(__xludf.DUMMYFUNCTION("""COMPUTED_VALUE"""),"REJECT")</f>
        <v>REJECT</v>
      </c>
      <c r="M200" s="78" t="str">
        <f>IFERROR(__xludf.DUMMYFUNCTION("""COMPUTED_VALUE"""),"45641BGY")</f>
        <v>45641BGY</v>
      </c>
      <c r="N200" s="81" t="str">
        <f>IFERROR(__xludf.DUMMYFUNCTION("""COMPUTED_VALUE"""),"BGY")</f>
        <v>BGY</v>
      </c>
      <c r="O200" s="82">
        <f>IFERROR(__xludf.DUMMYFUNCTION("""COMPUTED_VALUE"""),45641.0)</f>
        <v>45641</v>
      </c>
      <c r="P200" s="107" t="str">
        <f>IFERROR(__xludf.DUMMYFUNCTION("""COMPUTED_VALUE"""),"Airport workers strike")</f>
        <v>Airport workers strike</v>
      </c>
      <c r="Q200" s="77" t="str">
        <f>IFERROR(__xludf.DUMMYFUNCTION("""COMPUTED_VALUE"""),"REJECT")</f>
        <v>REJECT</v>
      </c>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row>
    <row r="201">
      <c r="A201" s="93"/>
      <c r="B201" s="85"/>
      <c r="C201" s="86"/>
      <c r="D201" s="93"/>
      <c r="E201" s="85"/>
      <c r="F201" s="85"/>
      <c r="G201" s="86"/>
      <c r="H201" s="78" t="str">
        <f>IFERROR(__xludf.DUMMYFUNCTION("""COMPUTED_VALUE"""),"")</f>
        <v/>
      </c>
      <c r="I201" s="85"/>
      <c r="J201" s="85"/>
      <c r="K201" s="85"/>
      <c r="L201" s="86" t="str">
        <f>IFERROR(__xludf.DUMMYFUNCTION("""COMPUTED_VALUE"""),"REJECT")</f>
        <v>REJECT</v>
      </c>
      <c r="M201" s="78" t="str">
        <f>IFERROR(__xludf.DUMMYFUNCTION("""COMPUTED_VALUE"""),"45641MXP")</f>
        <v>45641MXP</v>
      </c>
      <c r="N201" s="81" t="str">
        <f>IFERROR(__xludf.DUMMYFUNCTION("""COMPUTED_VALUE"""),"MXP")</f>
        <v>MXP</v>
      </c>
      <c r="O201" s="82">
        <f>IFERROR(__xludf.DUMMYFUNCTION("""COMPUTED_VALUE"""),45641.0)</f>
        <v>45641</v>
      </c>
      <c r="P201" s="107" t="str">
        <f>IFERROR(__xludf.DUMMYFUNCTION("""COMPUTED_VALUE"""),"Airport workers strike")</f>
        <v>Airport workers strike</v>
      </c>
      <c r="Q201" s="77" t="str">
        <f>IFERROR(__xludf.DUMMYFUNCTION("""COMPUTED_VALUE"""),"REJECT")</f>
        <v>REJECT</v>
      </c>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row>
    <row r="202">
      <c r="A202" s="93"/>
      <c r="B202" s="85"/>
      <c r="C202" s="86"/>
      <c r="D202" s="93"/>
      <c r="E202" s="85"/>
      <c r="F202" s="85"/>
      <c r="G202" s="86"/>
      <c r="H202" s="78" t="str">
        <f>IFERROR(__xludf.DUMMYFUNCTION("""COMPUTED_VALUE"""),"")</f>
        <v/>
      </c>
      <c r="I202" s="85"/>
      <c r="J202" s="85"/>
      <c r="K202" s="85"/>
      <c r="L202" s="86" t="str">
        <f>IFERROR(__xludf.DUMMYFUNCTION("""COMPUTED_VALUE"""),"REJECT")</f>
        <v>REJECT</v>
      </c>
      <c r="M202" s="78" t="str">
        <f>IFERROR(__xludf.DUMMYFUNCTION("""COMPUTED_VALUE"""),"45641LIN")</f>
        <v>45641LIN</v>
      </c>
      <c r="N202" s="81" t="str">
        <f>IFERROR(__xludf.DUMMYFUNCTION("""COMPUTED_VALUE"""),"LIN")</f>
        <v>LIN</v>
      </c>
      <c r="O202" s="82">
        <f>IFERROR(__xludf.DUMMYFUNCTION("""COMPUTED_VALUE"""),45641.0)</f>
        <v>45641</v>
      </c>
      <c r="P202" s="107" t="str">
        <f>IFERROR(__xludf.DUMMYFUNCTION("""COMPUTED_VALUE"""),"Airport workers strike")</f>
        <v>Airport workers strike</v>
      </c>
      <c r="Q202" s="77" t="str">
        <f>IFERROR(__xludf.DUMMYFUNCTION("""COMPUTED_VALUE"""),"REJECT")</f>
        <v>REJECT</v>
      </c>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row>
    <row r="203">
      <c r="A203" s="93"/>
      <c r="B203" s="85"/>
      <c r="C203" s="86"/>
      <c r="D203" s="93"/>
      <c r="E203" s="85"/>
      <c r="F203" s="85"/>
      <c r="G203" s="86"/>
      <c r="H203" s="78" t="str">
        <f>IFERROR(__xludf.DUMMYFUNCTION("""COMPUTED_VALUE"""),"")</f>
        <v/>
      </c>
      <c r="I203" s="85"/>
      <c r="J203" s="85"/>
      <c r="K203" s="85"/>
      <c r="L203" s="86" t="str">
        <f>IFERROR(__xludf.DUMMYFUNCTION("""COMPUTED_VALUE"""),"REJECT")</f>
        <v>REJECT</v>
      </c>
      <c r="M203" s="78" t="str">
        <f>IFERROR(__xludf.DUMMYFUNCTION("""COMPUTED_VALUE"""),"45608DPS")</f>
        <v>45608DPS</v>
      </c>
      <c r="N203" s="81" t="str">
        <f>IFERROR(__xludf.DUMMYFUNCTION("""COMPUTED_VALUE"""),"DPS")</f>
        <v>DPS</v>
      </c>
      <c r="O203" s="82">
        <f>IFERROR(__xludf.DUMMYFUNCTION("""COMPUTED_VALUE"""),45608.0)</f>
        <v>45608</v>
      </c>
      <c r="P203" s="107" t="str">
        <f>IFERROR(__xludf.DUMMYFUNCTION("""COMPUTED_VALUE"""),"Mount Lewotobi Eruption")</f>
        <v>Mount Lewotobi Eruption</v>
      </c>
      <c r="Q203" s="77" t="str">
        <f>IFERROR(__xludf.DUMMYFUNCTION("""COMPUTED_VALUE"""),"REJECT")</f>
        <v>REJECT</v>
      </c>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row>
    <row r="204">
      <c r="A204" s="93"/>
      <c r="B204" s="85"/>
      <c r="C204" s="86"/>
      <c r="D204" s="93"/>
      <c r="E204" s="85"/>
      <c r="F204" s="85"/>
      <c r="G204" s="86"/>
      <c r="H204" s="78" t="str">
        <f>IFERROR(__xludf.DUMMYFUNCTION("""COMPUTED_VALUE"""),"")</f>
        <v/>
      </c>
      <c r="I204" s="85"/>
      <c r="J204" s="85"/>
      <c r="K204" s="85"/>
      <c r="L204" s="86" t="str">
        <f>IFERROR(__xludf.DUMMYFUNCTION("""COMPUTED_VALUE"""),"REJECT")</f>
        <v>REJECT</v>
      </c>
      <c r="M204" s="78" t="str">
        <f>IFERROR(__xludf.DUMMYFUNCTION("""COMPUTED_VALUE"""),"45609DPS")</f>
        <v>45609DPS</v>
      </c>
      <c r="N204" s="81" t="str">
        <f>IFERROR(__xludf.DUMMYFUNCTION("""COMPUTED_VALUE"""),"DPS")</f>
        <v>DPS</v>
      </c>
      <c r="O204" s="82">
        <f>IFERROR(__xludf.DUMMYFUNCTION("""COMPUTED_VALUE"""),45609.0)</f>
        <v>45609</v>
      </c>
      <c r="P204" s="107" t="str">
        <f>IFERROR(__xludf.DUMMYFUNCTION("""COMPUTED_VALUE"""),"Mount Lewotobi Eruption")</f>
        <v>Mount Lewotobi Eruption</v>
      </c>
      <c r="Q204" s="77" t="str">
        <f>IFERROR(__xludf.DUMMYFUNCTION("""COMPUTED_VALUE"""),"REJECT")</f>
        <v>REJECT</v>
      </c>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row>
    <row r="205">
      <c r="A205" s="93"/>
      <c r="B205" s="85"/>
      <c r="C205" s="86"/>
      <c r="D205" s="93"/>
      <c r="E205" s="85"/>
      <c r="F205" s="85"/>
      <c r="G205" s="86"/>
      <c r="H205" s="78" t="str">
        <f>IFERROR(__xludf.DUMMYFUNCTION("""COMPUTED_VALUE"""),"")</f>
        <v/>
      </c>
      <c r="I205" s="85"/>
      <c r="J205" s="85"/>
      <c r="K205" s="85"/>
      <c r="L205" s="86" t="str">
        <f>IFERROR(__xludf.DUMMYFUNCTION("""COMPUTED_VALUE"""),"REJECT")</f>
        <v>REJECT</v>
      </c>
      <c r="M205" s="78" t="str">
        <f>IFERROR(__xludf.DUMMYFUNCTION("""COMPUTED_VALUE"""),"45610DPS")</f>
        <v>45610DPS</v>
      </c>
      <c r="N205" s="81" t="str">
        <f>IFERROR(__xludf.DUMMYFUNCTION("""COMPUTED_VALUE"""),"DPS")</f>
        <v>DPS</v>
      </c>
      <c r="O205" s="82">
        <f>IFERROR(__xludf.DUMMYFUNCTION("""COMPUTED_VALUE"""),45610.0)</f>
        <v>45610</v>
      </c>
      <c r="P205" s="107" t="str">
        <f>IFERROR(__xludf.DUMMYFUNCTION("""COMPUTED_VALUE"""),"Mount Lewotobi Eruption")</f>
        <v>Mount Lewotobi Eruption</v>
      </c>
      <c r="Q205" s="77" t="str">
        <f>IFERROR(__xludf.DUMMYFUNCTION("""COMPUTED_VALUE"""),"REJECT")</f>
        <v>REJECT</v>
      </c>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row>
    <row r="206">
      <c r="A206" s="93"/>
      <c r="B206" s="85"/>
      <c r="C206" s="86"/>
      <c r="D206" s="93"/>
      <c r="E206" s="85"/>
      <c r="F206" s="85"/>
      <c r="G206" s="86"/>
      <c r="H206" s="78" t="str">
        <f>IFERROR(__xludf.DUMMYFUNCTION("""COMPUTED_VALUE"""),"")</f>
        <v/>
      </c>
      <c r="I206" s="85"/>
      <c r="J206" s="85"/>
      <c r="K206" s="85"/>
      <c r="L206" s="86" t="str">
        <f>IFERROR(__xludf.DUMMYFUNCTION("""COMPUTED_VALUE"""),"REJECT")</f>
        <v>REJECT</v>
      </c>
      <c r="M206" s="78" t="str">
        <f>IFERROR(__xludf.DUMMYFUNCTION("""COMPUTED_VALUE"""),"45611DPS")</f>
        <v>45611DPS</v>
      </c>
      <c r="N206" s="81" t="str">
        <f>IFERROR(__xludf.DUMMYFUNCTION("""COMPUTED_VALUE"""),"DPS")</f>
        <v>DPS</v>
      </c>
      <c r="O206" s="82">
        <f>IFERROR(__xludf.DUMMYFUNCTION("""COMPUTED_VALUE"""),45611.0)</f>
        <v>45611</v>
      </c>
      <c r="P206" s="107" t="str">
        <f>IFERROR(__xludf.DUMMYFUNCTION("""COMPUTED_VALUE"""),"Mount Lewotobi Eruption")</f>
        <v>Mount Lewotobi Eruption</v>
      </c>
      <c r="Q206" s="77" t="str">
        <f>IFERROR(__xludf.DUMMYFUNCTION("""COMPUTED_VALUE"""),"REJECT")</f>
        <v>REJECT</v>
      </c>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row>
    <row r="207">
      <c r="A207" s="93"/>
      <c r="B207" s="85"/>
      <c r="C207" s="86"/>
      <c r="D207" s="93"/>
      <c r="E207" s="85"/>
      <c r="F207" s="85"/>
      <c r="G207" s="86"/>
      <c r="H207" s="78" t="str">
        <f>IFERROR(__xludf.DUMMYFUNCTION("""COMPUTED_VALUE"""),"")</f>
        <v/>
      </c>
      <c r="I207" s="85"/>
      <c r="J207" s="85"/>
      <c r="K207" s="85"/>
      <c r="L207" s="86" t="str">
        <f>IFERROR(__xludf.DUMMYFUNCTION("""COMPUTED_VALUE"""),"REJECT")</f>
        <v>REJECT</v>
      </c>
      <c r="M207" s="78" t="str">
        <f>IFERROR(__xludf.DUMMYFUNCTION("""COMPUTED_VALUE"""),"45612DPS")</f>
        <v>45612DPS</v>
      </c>
      <c r="N207" s="81" t="str">
        <f>IFERROR(__xludf.DUMMYFUNCTION("""COMPUTED_VALUE"""),"DPS")</f>
        <v>DPS</v>
      </c>
      <c r="O207" s="82">
        <f>IFERROR(__xludf.DUMMYFUNCTION("""COMPUTED_VALUE"""),45612.0)</f>
        <v>45612</v>
      </c>
      <c r="P207" s="107" t="str">
        <f>IFERROR(__xludf.DUMMYFUNCTION("""COMPUTED_VALUE"""),"Mount Lewotobi Eruption")</f>
        <v>Mount Lewotobi Eruption</v>
      </c>
      <c r="Q207" s="77" t="str">
        <f>IFERROR(__xludf.DUMMYFUNCTION("""COMPUTED_VALUE"""),"REJECT")</f>
        <v>REJECT</v>
      </c>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row>
    <row r="208">
      <c r="A208" s="93"/>
      <c r="B208" s="85"/>
      <c r="C208" s="86"/>
      <c r="D208" s="93"/>
      <c r="E208" s="85"/>
      <c r="F208" s="85"/>
      <c r="G208" s="86"/>
      <c r="H208" s="78" t="str">
        <f>IFERROR(__xludf.DUMMYFUNCTION("""COMPUTED_VALUE"""),"")</f>
        <v/>
      </c>
      <c r="I208" s="85"/>
      <c r="J208" s="85"/>
      <c r="K208" s="85"/>
      <c r="L208" s="86" t="str">
        <f>IFERROR(__xludf.DUMMYFUNCTION("""COMPUTED_VALUE"""),"REJECT")</f>
        <v>REJECT</v>
      </c>
      <c r="M208" s="78" t="str">
        <f>IFERROR(__xludf.DUMMYFUNCTION("""COMPUTED_VALUE"""),"45603AEY")</f>
        <v>45603AEY</v>
      </c>
      <c r="N208" s="81" t="str">
        <f>IFERROR(__xludf.DUMMYFUNCTION("""COMPUTED_VALUE"""),"AEY")</f>
        <v>AEY</v>
      </c>
      <c r="O208" s="82">
        <f>IFERROR(__xludf.DUMMYFUNCTION("""COMPUTED_VALUE"""),45603.0)</f>
        <v>45603</v>
      </c>
      <c r="P208" s="110" t="str">
        <f>IFERROR(__xludf.DUMMYFUNCTION("""COMPUTED_VALUE"""),"Adverse weather")</f>
        <v>Adverse weather</v>
      </c>
      <c r="Q208" s="77" t="str">
        <f>IFERROR(__xludf.DUMMYFUNCTION("""COMPUTED_VALUE"""),"REJECT")</f>
        <v>REJECT</v>
      </c>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row>
    <row r="209">
      <c r="A209" s="93"/>
      <c r="B209" s="85"/>
      <c r="C209" s="86"/>
      <c r="D209" s="93"/>
      <c r="E209" s="85"/>
      <c r="F209" s="85"/>
      <c r="G209" s="86"/>
      <c r="H209" s="78" t="str">
        <f>IFERROR(__xludf.DUMMYFUNCTION("""COMPUTED_VALUE"""),"")</f>
        <v/>
      </c>
      <c r="I209" s="85"/>
      <c r="J209" s="85"/>
      <c r="K209" s="85"/>
      <c r="L209" s="86" t="str">
        <f>IFERROR(__xludf.DUMMYFUNCTION("""COMPUTED_VALUE"""),"REJECT")</f>
        <v>REJECT</v>
      </c>
      <c r="M209" s="78" t="str">
        <f>IFERROR(__xludf.DUMMYFUNCTION("""COMPUTED_VALUE"""),"45623KRK")</f>
        <v>45623KRK</v>
      </c>
      <c r="N209" s="81" t="str">
        <f>IFERROR(__xludf.DUMMYFUNCTION("""COMPUTED_VALUE"""),"KRK")</f>
        <v>KRK</v>
      </c>
      <c r="O209" s="82">
        <f>IFERROR(__xludf.DUMMYFUNCTION("""COMPUTED_VALUE"""),45623.0)</f>
        <v>45623</v>
      </c>
      <c r="P209" s="110" t="str">
        <f>IFERROR(__xludf.DUMMYFUNCTION("""COMPUTED_VALUE"""),"Adverse weather")</f>
        <v>Adverse weather</v>
      </c>
      <c r="Q209" s="77" t="str">
        <f>IFERROR(__xludf.DUMMYFUNCTION("""COMPUTED_VALUE"""),"REJECT")</f>
        <v>REJECT</v>
      </c>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row>
    <row r="210">
      <c r="A210" s="93"/>
      <c r="B210" s="85"/>
      <c r="C210" s="86"/>
      <c r="D210" s="93"/>
      <c r="E210" s="85"/>
      <c r="F210" s="85"/>
      <c r="G210" s="86"/>
      <c r="H210" s="78" t="str">
        <f>IFERROR(__xludf.DUMMYFUNCTION("""COMPUTED_VALUE"""),"")</f>
        <v/>
      </c>
      <c r="I210" s="85"/>
      <c r="J210" s="85"/>
      <c r="K210" s="85"/>
      <c r="L210" s="86" t="str">
        <f>IFERROR(__xludf.DUMMYFUNCTION("""COMPUTED_VALUE"""),"REJECT")</f>
        <v>REJECT</v>
      </c>
      <c r="M210" s="78" t="str">
        <f>IFERROR(__xludf.DUMMYFUNCTION("""COMPUTED_VALUE"""),"45681ABZ")</f>
        <v>45681ABZ</v>
      </c>
      <c r="N210" s="81" t="str">
        <f>IFERROR(__xludf.DUMMYFUNCTION("""COMPUTED_VALUE"""),"ABZ")</f>
        <v>ABZ</v>
      </c>
      <c r="O210" s="82">
        <f>IFERROR(__xludf.DUMMYFUNCTION("""COMPUTED_VALUE"""),45681.0)</f>
        <v>45681</v>
      </c>
      <c r="P210" s="110" t="str">
        <f>IFERROR(__xludf.DUMMYFUNCTION("""COMPUTED_VALUE"""),"Adverse weather")</f>
        <v>Adverse weather</v>
      </c>
      <c r="Q210" s="77" t="str">
        <f>IFERROR(__xludf.DUMMYFUNCTION("""COMPUTED_VALUE"""),"REJECT")</f>
        <v>REJECT</v>
      </c>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row>
    <row r="211">
      <c r="A211" s="93"/>
      <c r="B211" s="85"/>
      <c r="C211" s="86"/>
      <c r="D211" s="93"/>
      <c r="E211" s="85"/>
      <c r="F211" s="85"/>
      <c r="G211" s="86"/>
      <c r="H211" s="78" t="str">
        <f>IFERROR(__xludf.DUMMYFUNCTION("""COMPUTED_VALUE"""),"")</f>
        <v/>
      </c>
      <c r="I211" s="85"/>
      <c r="J211" s="85"/>
      <c r="K211" s="85"/>
      <c r="L211" s="86" t="str">
        <f>IFERROR(__xludf.DUMMYFUNCTION("""COMPUTED_VALUE"""),"REJECT")</f>
        <v>REJECT</v>
      </c>
      <c r="M211" s="78" t="str">
        <f>IFERROR(__xludf.DUMMYFUNCTION("""COMPUTED_VALUE"""),"45633LPL")</f>
        <v>45633LPL</v>
      </c>
      <c r="N211" s="81" t="str">
        <f>IFERROR(__xludf.DUMMYFUNCTION("""COMPUTED_VALUE"""),"LPL")</f>
        <v>LPL</v>
      </c>
      <c r="O211" s="82">
        <f>IFERROR(__xludf.DUMMYFUNCTION("""COMPUTED_VALUE"""),45633.0)</f>
        <v>45633</v>
      </c>
      <c r="P211" s="110" t="str">
        <f>IFERROR(__xludf.DUMMYFUNCTION("""COMPUTED_VALUE"""),"Adverse weather")</f>
        <v>Adverse weather</v>
      </c>
      <c r="Q211" s="77" t="str">
        <f>IFERROR(__xludf.DUMMYFUNCTION("""COMPUTED_VALUE"""),"REJECT")</f>
        <v>REJECT</v>
      </c>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row>
    <row r="212">
      <c r="A212" s="93"/>
      <c r="B212" s="85"/>
      <c r="C212" s="86"/>
      <c r="D212" s="93"/>
      <c r="E212" s="85"/>
      <c r="F212" s="85"/>
      <c r="G212" s="86"/>
      <c r="H212" s="78" t="str">
        <f>IFERROR(__xludf.DUMMYFUNCTION("""COMPUTED_VALUE"""),"")</f>
        <v/>
      </c>
      <c r="I212" s="85"/>
      <c r="J212" s="85"/>
      <c r="K212" s="85"/>
      <c r="L212" s="86" t="str">
        <f>IFERROR(__xludf.DUMMYFUNCTION("""COMPUTED_VALUE"""),"REJECT")</f>
        <v>REJECT</v>
      </c>
      <c r="M212" s="78" t="str">
        <f>IFERROR(__xludf.DUMMYFUNCTION("""COMPUTED_VALUE"""),"45657Ias")</f>
        <v>45657Ias</v>
      </c>
      <c r="N212" s="81" t="str">
        <f>IFERROR(__xludf.DUMMYFUNCTION("""COMPUTED_VALUE"""),"Ias")</f>
        <v>Ias</v>
      </c>
      <c r="O212" s="82">
        <f>IFERROR(__xludf.DUMMYFUNCTION("""COMPUTED_VALUE"""),45657.0)</f>
        <v>45657</v>
      </c>
      <c r="P212" s="110" t="str">
        <f>IFERROR(__xludf.DUMMYFUNCTION("""COMPUTED_VALUE"""),"Adverse weather")</f>
        <v>Adverse weather</v>
      </c>
      <c r="Q212" s="77" t="str">
        <f>IFERROR(__xludf.DUMMYFUNCTION("""COMPUTED_VALUE"""),"REJECT")</f>
        <v>REJECT</v>
      </c>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row>
    <row r="213">
      <c r="A213" s="93"/>
      <c r="B213" s="85"/>
      <c r="C213" s="86"/>
      <c r="D213" s="93"/>
      <c r="E213" s="85"/>
      <c r="F213" s="85"/>
      <c r="G213" s="86"/>
      <c r="H213" s="78" t="str">
        <f>IFERROR(__xludf.DUMMYFUNCTION("""COMPUTED_VALUE"""),"")</f>
        <v/>
      </c>
      <c r="I213" s="85"/>
      <c r="J213" s="85"/>
      <c r="K213" s="85"/>
      <c r="L213" s="86" t="str">
        <f>IFERROR(__xludf.DUMMYFUNCTION("""COMPUTED_VALUE"""),"REJECT")</f>
        <v>REJECT</v>
      </c>
      <c r="M213" s="78" t="str">
        <f>IFERROR(__xludf.DUMMYFUNCTION("""COMPUTED_VALUE"""),"45589Lej")</f>
        <v>45589Lej</v>
      </c>
      <c r="N213" s="81" t="str">
        <f>IFERROR(__xludf.DUMMYFUNCTION("""COMPUTED_VALUE"""),"Lej")</f>
        <v>Lej</v>
      </c>
      <c r="O213" s="82">
        <f>IFERROR(__xludf.DUMMYFUNCTION("""COMPUTED_VALUE"""),45589.0)</f>
        <v>45589</v>
      </c>
      <c r="P213" s="107" t="str">
        <f>IFERROR(__xludf.DUMMYFUNCTION("""COMPUTED_VALUE"""),"Strike")</f>
        <v>Strike</v>
      </c>
      <c r="Q213" s="77" t="str">
        <f>IFERROR(__xludf.DUMMYFUNCTION("""COMPUTED_VALUE"""),"REJECT")</f>
        <v>REJECT</v>
      </c>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row>
    <row r="214">
      <c r="A214" s="93"/>
      <c r="B214" s="85"/>
      <c r="C214" s="86"/>
      <c r="D214" s="93"/>
      <c r="E214" s="85"/>
      <c r="F214" s="85"/>
      <c r="G214" s="86"/>
      <c r="H214" s="78" t="str">
        <f>IFERROR(__xludf.DUMMYFUNCTION("""COMPUTED_VALUE"""),"")</f>
        <v/>
      </c>
      <c r="I214" s="85"/>
      <c r="J214" s="85"/>
      <c r="K214" s="85"/>
      <c r="L214" s="86" t="str">
        <f>IFERROR(__xludf.DUMMYFUNCTION("""COMPUTED_VALUE"""),"REJECT")</f>
        <v>REJECT</v>
      </c>
      <c r="M214" s="78" t="str">
        <f>IFERROR(__xludf.DUMMYFUNCTION("""COMPUTED_VALUE"""),"45594APG")</f>
        <v>45594APG</v>
      </c>
      <c r="N214" s="81" t="str">
        <f>IFERROR(__xludf.DUMMYFUNCTION("""COMPUTED_VALUE"""),"APG")</f>
        <v>APG</v>
      </c>
      <c r="O214" s="82">
        <f>IFERROR(__xludf.DUMMYFUNCTION("""COMPUTED_VALUE"""),45594.0)</f>
        <v>45594</v>
      </c>
      <c r="P214" s="110" t="str">
        <f>IFERROR(__xludf.DUMMYFUNCTION("""COMPUTED_VALUE"""),"Adverse weather")</f>
        <v>Adverse weather</v>
      </c>
      <c r="Q214" s="77" t="str">
        <f>IFERROR(__xludf.DUMMYFUNCTION("""COMPUTED_VALUE"""),"REJECT")</f>
        <v>REJECT</v>
      </c>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row>
    <row r="215">
      <c r="A215" s="93"/>
      <c r="B215" s="85"/>
      <c r="C215" s="86"/>
      <c r="D215" s="93"/>
      <c r="E215" s="85"/>
      <c r="F215" s="85"/>
      <c r="G215" s="86"/>
      <c r="H215" s="78" t="str">
        <f>IFERROR(__xludf.DUMMYFUNCTION("""COMPUTED_VALUE"""),"")</f>
        <v/>
      </c>
      <c r="I215" s="85"/>
      <c r="J215" s="85"/>
      <c r="K215" s="85"/>
      <c r="L215" s="86" t="str">
        <f>IFERROR(__xludf.DUMMYFUNCTION("""COMPUTED_VALUE"""),"REJECT")</f>
        <v>REJECT</v>
      </c>
      <c r="M215" s="78" t="str">
        <f>IFERROR(__xludf.DUMMYFUNCTION("""COMPUTED_VALUE"""),"45628KRK")</f>
        <v>45628KRK</v>
      </c>
      <c r="N215" s="81" t="str">
        <f>IFERROR(__xludf.DUMMYFUNCTION("""COMPUTED_VALUE"""),"KRK")</f>
        <v>KRK</v>
      </c>
      <c r="O215" s="82">
        <f>IFERROR(__xludf.DUMMYFUNCTION("""COMPUTED_VALUE"""),45628.0)</f>
        <v>45628</v>
      </c>
      <c r="P215" s="110" t="str">
        <f>IFERROR(__xludf.DUMMYFUNCTION("""COMPUTED_VALUE"""),"Adverse weather")</f>
        <v>Adverse weather</v>
      </c>
      <c r="Q215" s="77" t="str">
        <f>IFERROR(__xludf.DUMMYFUNCTION("""COMPUTED_VALUE"""),"REJECT")</f>
        <v>REJECT</v>
      </c>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row>
    <row r="216">
      <c r="A216" s="93"/>
      <c r="B216" s="85"/>
      <c r="C216" s="86"/>
      <c r="D216" s="93"/>
      <c r="E216" s="85"/>
      <c r="F216" s="85"/>
      <c r="G216" s="86"/>
      <c r="H216" s="78" t="str">
        <f>IFERROR(__xludf.DUMMYFUNCTION("""COMPUTED_VALUE"""),"")</f>
        <v/>
      </c>
      <c r="I216" s="85"/>
      <c r="J216" s="85"/>
      <c r="K216" s="85"/>
      <c r="L216" s="86" t="str">
        <f>IFERROR(__xludf.DUMMYFUNCTION("""COMPUTED_VALUE"""),"REJECT")</f>
        <v>REJECT</v>
      </c>
      <c r="M216" s="78" t="str">
        <f>IFERROR(__xludf.DUMMYFUNCTION("""COMPUTED_VALUE"""),"45655LGW")</f>
        <v>45655LGW</v>
      </c>
      <c r="N216" s="81" t="str">
        <f>IFERROR(__xludf.DUMMYFUNCTION("""COMPUTED_VALUE"""),"LGW")</f>
        <v>LGW</v>
      </c>
      <c r="O216" s="82">
        <f>IFERROR(__xludf.DUMMYFUNCTION("""COMPUTED_VALUE"""),45655.0)</f>
        <v>45655</v>
      </c>
      <c r="P216" s="110" t="str">
        <f>IFERROR(__xludf.DUMMYFUNCTION("""COMPUTED_VALUE"""),"Adverse weather")</f>
        <v>Adverse weather</v>
      </c>
      <c r="Q216" s="77" t="str">
        <f>IFERROR(__xludf.DUMMYFUNCTION("""COMPUTED_VALUE"""),"REJECT")</f>
        <v>REJECT</v>
      </c>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row>
    <row r="217">
      <c r="A217" s="93"/>
      <c r="B217" s="85"/>
      <c r="C217" s="86"/>
      <c r="D217" s="93"/>
      <c r="E217" s="85"/>
      <c r="F217" s="85"/>
      <c r="G217" s="86"/>
      <c r="H217" s="78" t="str">
        <f>IFERROR(__xludf.DUMMYFUNCTION("""COMPUTED_VALUE"""),"")</f>
        <v/>
      </c>
      <c r="I217" s="85"/>
      <c r="J217" s="85"/>
      <c r="K217" s="85"/>
      <c r="L217" s="86" t="str">
        <f>IFERROR(__xludf.DUMMYFUNCTION("""COMPUTED_VALUE"""),"REJECT")</f>
        <v>REJECT</v>
      </c>
      <c r="M217" s="78" t="str">
        <f>IFERROR(__xludf.DUMMYFUNCTION("""COMPUTED_VALUE"""),"45654LGW")</f>
        <v>45654LGW</v>
      </c>
      <c r="N217" s="81" t="str">
        <f>IFERROR(__xludf.DUMMYFUNCTION("""COMPUTED_VALUE"""),"LGW")</f>
        <v>LGW</v>
      </c>
      <c r="O217" s="82">
        <f>IFERROR(__xludf.DUMMYFUNCTION("""COMPUTED_VALUE"""),45654.0)</f>
        <v>45654</v>
      </c>
      <c r="P217" s="110" t="str">
        <f>IFERROR(__xludf.DUMMYFUNCTION("""COMPUTED_VALUE"""),"Adverse weather")</f>
        <v>Adverse weather</v>
      </c>
      <c r="Q217" s="77" t="str">
        <f>IFERROR(__xludf.DUMMYFUNCTION("""COMPUTED_VALUE"""),"REJECT")</f>
        <v>REJECT</v>
      </c>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row>
    <row r="218">
      <c r="A218" s="93"/>
      <c r="B218" s="85"/>
      <c r="C218" s="86"/>
      <c r="D218" s="93"/>
      <c r="E218" s="85"/>
      <c r="F218" s="85"/>
      <c r="G218" s="86"/>
      <c r="H218" s="78" t="str">
        <f>IFERROR(__xludf.DUMMYFUNCTION("""COMPUTED_VALUE"""),"")</f>
        <v/>
      </c>
      <c r="I218" s="85"/>
      <c r="J218" s="85"/>
      <c r="K218" s="85"/>
      <c r="L218" s="86" t="str">
        <f>IFERROR(__xludf.DUMMYFUNCTION("""COMPUTED_VALUE"""),"REJECT")</f>
        <v>REJECT</v>
      </c>
      <c r="M218" s="78" t="str">
        <f>IFERROR(__xludf.DUMMYFUNCTION("""COMPUTED_VALUE"""),"45677KRK")</f>
        <v>45677KRK</v>
      </c>
      <c r="N218" s="81" t="str">
        <f>IFERROR(__xludf.DUMMYFUNCTION("""COMPUTED_VALUE"""),"KRK")</f>
        <v>KRK</v>
      </c>
      <c r="O218" s="82">
        <f>IFERROR(__xludf.DUMMYFUNCTION("""COMPUTED_VALUE"""),45677.0)</f>
        <v>45677</v>
      </c>
      <c r="P218" s="110" t="str">
        <f>IFERROR(__xludf.DUMMYFUNCTION("""COMPUTED_VALUE"""),"Adverse weather")</f>
        <v>Adverse weather</v>
      </c>
      <c r="Q218" s="77" t="str">
        <f>IFERROR(__xludf.DUMMYFUNCTION("""COMPUTED_VALUE"""),"REJECT")</f>
        <v>REJECT</v>
      </c>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row>
    <row r="219">
      <c r="A219" s="93"/>
      <c r="B219" s="85"/>
      <c r="C219" s="86"/>
      <c r="D219" s="93"/>
      <c r="E219" s="85"/>
      <c r="F219" s="85"/>
      <c r="G219" s="86"/>
      <c r="H219" s="78" t="str">
        <f>IFERROR(__xludf.DUMMYFUNCTION("""COMPUTED_VALUE"""),"")</f>
        <v/>
      </c>
      <c r="I219" s="85"/>
      <c r="J219" s="85"/>
      <c r="K219" s="85"/>
      <c r="L219" s="86" t="str">
        <f>IFERROR(__xludf.DUMMYFUNCTION("""COMPUTED_VALUE"""),"REJECT")</f>
        <v>REJECT</v>
      </c>
      <c r="M219" s="78" t="str">
        <f>IFERROR(__xludf.DUMMYFUNCTION("""COMPUTED_VALUE"""),"45693KEF")</f>
        <v>45693KEF</v>
      </c>
      <c r="N219" s="81" t="str">
        <f>IFERROR(__xludf.DUMMYFUNCTION("""COMPUTED_VALUE"""),"KEF")</f>
        <v>KEF</v>
      </c>
      <c r="O219" s="82">
        <f>IFERROR(__xludf.DUMMYFUNCTION("""COMPUTED_VALUE"""),45693.0)</f>
        <v>45693</v>
      </c>
      <c r="P219" s="110" t="str">
        <f>IFERROR(__xludf.DUMMYFUNCTION("""COMPUTED_VALUE"""),"Adverse weather")</f>
        <v>Adverse weather</v>
      </c>
      <c r="Q219" s="77" t="str">
        <f>IFERROR(__xludf.DUMMYFUNCTION("""COMPUTED_VALUE"""),"REJECT")</f>
        <v>REJECT</v>
      </c>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row>
    <row r="220">
      <c r="A220" s="93"/>
      <c r="B220" s="85"/>
      <c r="C220" s="86"/>
      <c r="D220" s="93"/>
      <c r="E220" s="85"/>
      <c r="F220" s="85"/>
      <c r="G220" s="86"/>
      <c r="H220" s="78" t="str">
        <f>IFERROR(__xludf.DUMMYFUNCTION("""COMPUTED_VALUE"""),"")</f>
        <v/>
      </c>
      <c r="I220" s="85"/>
      <c r="J220" s="85"/>
      <c r="K220" s="85"/>
      <c r="L220" s="86" t="str">
        <f>IFERROR(__xludf.DUMMYFUNCTION("""COMPUTED_VALUE"""),"REJECT")</f>
        <v>REJECT</v>
      </c>
      <c r="M220" s="78" t="str">
        <f>IFERROR(__xludf.DUMMYFUNCTION("""COMPUTED_VALUE"""),"45258ARN")</f>
        <v>45258ARN</v>
      </c>
      <c r="N220" s="81" t="str">
        <f>IFERROR(__xludf.DUMMYFUNCTION("""COMPUTED_VALUE"""),"ARN")</f>
        <v>ARN</v>
      </c>
      <c r="O220" s="82">
        <f>IFERROR(__xludf.DUMMYFUNCTION("""COMPUTED_VALUE"""),45258.0)</f>
        <v>45258</v>
      </c>
      <c r="P220" s="110" t="str">
        <f>IFERROR(__xludf.DUMMYFUNCTION("""COMPUTED_VALUE"""),"Adverse weather")</f>
        <v>Adverse weather</v>
      </c>
      <c r="Q220" s="77" t="str">
        <f>IFERROR(__xludf.DUMMYFUNCTION("""COMPUTED_VALUE"""),"REJECT")</f>
        <v>REJECT</v>
      </c>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row>
    <row r="221">
      <c r="A221" s="93"/>
      <c r="B221" s="85"/>
      <c r="C221" s="86"/>
      <c r="D221" s="93"/>
      <c r="E221" s="85"/>
      <c r="F221" s="85"/>
      <c r="G221" s="86"/>
      <c r="H221" s="78" t="str">
        <f>IFERROR(__xludf.DUMMYFUNCTION("""COMPUTED_VALUE"""),"")</f>
        <v/>
      </c>
      <c r="I221" s="85"/>
      <c r="J221" s="85"/>
      <c r="K221" s="85"/>
      <c r="L221" s="86" t="str">
        <f>IFERROR(__xludf.DUMMYFUNCTION("""COMPUTED_VALUE"""),"REJECT")</f>
        <v>REJECT</v>
      </c>
      <c r="M221" s="78" t="str">
        <f>IFERROR(__xludf.DUMMYFUNCTION("""COMPUTED_VALUE"""),"45662FRA")</f>
        <v>45662FRA</v>
      </c>
      <c r="N221" s="81" t="str">
        <f>IFERROR(__xludf.DUMMYFUNCTION("""COMPUTED_VALUE"""),"FRA")</f>
        <v>FRA</v>
      </c>
      <c r="O221" s="82">
        <f>IFERROR(__xludf.DUMMYFUNCTION("""COMPUTED_VALUE"""),45662.0)</f>
        <v>45662</v>
      </c>
      <c r="P221" s="110" t="str">
        <f>IFERROR(__xludf.DUMMYFUNCTION("""COMPUTED_VALUE"""),"Adverse weather")</f>
        <v>Adverse weather</v>
      </c>
      <c r="Q221" s="77" t="str">
        <f>IFERROR(__xludf.DUMMYFUNCTION("""COMPUTED_VALUE"""),"REJECT")</f>
        <v>REJECT</v>
      </c>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row>
    <row r="222">
      <c r="A222" s="93"/>
      <c r="B222" s="85"/>
      <c r="C222" s="86"/>
      <c r="D222" s="93"/>
      <c r="E222" s="85"/>
      <c r="F222" s="85"/>
      <c r="G222" s="86"/>
      <c r="H222" s="78" t="str">
        <f>IFERROR(__xludf.DUMMYFUNCTION("""COMPUTED_VALUE"""),"")</f>
        <v/>
      </c>
      <c r="I222" s="85"/>
      <c r="J222" s="85"/>
      <c r="K222" s="85"/>
      <c r="L222" s="86" t="str">
        <f>IFERROR(__xludf.DUMMYFUNCTION("""COMPUTED_VALUE"""),"REJECT")</f>
        <v>REJECT</v>
      </c>
      <c r="M222" s="78" t="str">
        <f>IFERROR(__xludf.DUMMYFUNCTION("""COMPUTED_VALUE"""),"45660BGO")</f>
        <v>45660BGO</v>
      </c>
      <c r="N222" s="81" t="str">
        <f>IFERROR(__xludf.DUMMYFUNCTION("""COMPUTED_VALUE"""),"BGO")</f>
        <v>BGO</v>
      </c>
      <c r="O222" s="82">
        <f>IFERROR(__xludf.DUMMYFUNCTION("""COMPUTED_VALUE"""),45660.0)</f>
        <v>45660</v>
      </c>
      <c r="P222" s="110" t="str">
        <f>IFERROR(__xludf.DUMMYFUNCTION("""COMPUTED_VALUE"""),"Adverse weather")</f>
        <v>Adverse weather</v>
      </c>
      <c r="Q222" s="77" t="str">
        <f>IFERROR(__xludf.DUMMYFUNCTION("""COMPUTED_VALUE"""),"REJECT")</f>
        <v>REJECT</v>
      </c>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row>
    <row r="223">
      <c r="A223" s="93"/>
      <c r="B223" s="85"/>
      <c r="C223" s="86"/>
      <c r="D223" s="93"/>
      <c r="E223" s="85"/>
      <c r="F223" s="85"/>
      <c r="G223" s="86"/>
      <c r="H223" s="78" t="str">
        <f>IFERROR(__xludf.DUMMYFUNCTION("""COMPUTED_VALUE"""),"")</f>
        <v/>
      </c>
      <c r="I223" s="85"/>
      <c r="J223" s="85"/>
      <c r="K223" s="85"/>
      <c r="L223" s="86" t="str">
        <f>IFERROR(__xludf.DUMMYFUNCTION("""COMPUTED_VALUE"""),"REJECT")</f>
        <v>REJECT</v>
      </c>
      <c r="M223" s="78" t="str">
        <f>IFERROR(__xludf.DUMMYFUNCTION("""COMPUTED_VALUE"""),"45662BGO")</f>
        <v>45662BGO</v>
      </c>
      <c r="N223" s="81" t="str">
        <f>IFERROR(__xludf.DUMMYFUNCTION("""COMPUTED_VALUE"""),"BGO")</f>
        <v>BGO</v>
      </c>
      <c r="O223" s="82">
        <f>IFERROR(__xludf.DUMMYFUNCTION("""COMPUTED_VALUE"""),45662.0)</f>
        <v>45662</v>
      </c>
      <c r="P223" s="110" t="str">
        <f>IFERROR(__xludf.DUMMYFUNCTION("""COMPUTED_VALUE"""),"Adverse weather")</f>
        <v>Adverse weather</v>
      </c>
      <c r="Q223" s="77" t="str">
        <f>IFERROR(__xludf.DUMMYFUNCTION("""COMPUTED_VALUE"""),"REJECT")</f>
        <v>REJECT</v>
      </c>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row>
    <row r="224">
      <c r="A224" s="93"/>
      <c r="B224" s="85"/>
      <c r="C224" s="86"/>
      <c r="D224" s="93"/>
      <c r="E224" s="85"/>
      <c r="F224" s="85"/>
      <c r="G224" s="86"/>
      <c r="H224" s="78" t="str">
        <f>IFERROR(__xludf.DUMMYFUNCTION("""COMPUTED_VALUE"""),"")</f>
        <v/>
      </c>
      <c r="I224" s="85"/>
      <c r="J224" s="85"/>
      <c r="K224" s="85"/>
      <c r="L224" s="86" t="str">
        <f>IFERROR(__xludf.DUMMYFUNCTION("""COMPUTED_VALUE"""),"REJECT")</f>
        <v>REJECT</v>
      </c>
      <c r="M224" s="78" t="str">
        <f>IFERROR(__xludf.DUMMYFUNCTION("""COMPUTED_VALUE"""),"45654KRK")</f>
        <v>45654KRK</v>
      </c>
      <c r="N224" s="81" t="str">
        <f>IFERROR(__xludf.DUMMYFUNCTION("""COMPUTED_VALUE"""),"KRK")</f>
        <v>KRK</v>
      </c>
      <c r="O224" s="82">
        <f>IFERROR(__xludf.DUMMYFUNCTION("""COMPUTED_VALUE"""),45654.0)</f>
        <v>45654</v>
      </c>
      <c r="P224" s="110" t="str">
        <f>IFERROR(__xludf.DUMMYFUNCTION("""COMPUTED_VALUE"""),"Adverse weather")</f>
        <v>Adverse weather</v>
      </c>
      <c r="Q224" s="77" t="str">
        <f>IFERROR(__xludf.DUMMYFUNCTION("""COMPUTED_VALUE"""),"REJECT")</f>
        <v>REJECT</v>
      </c>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row>
    <row r="225">
      <c r="A225" s="93"/>
      <c r="B225" s="85"/>
      <c r="C225" s="86"/>
      <c r="D225" s="93"/>
      <c r="E225" s="85"/>
      <c r="F225" s="85"/>
      <c r="G225" s="86"/>
      <c r="H225" s="78" t="str">
        <f>IFERROR(__xludf.DUMMYFUNCTION("""COMPUTED_VALUE"""),"")</f>
        <v/>
      </c>
      <c r="I225" s="85"/>
      <c r="J225" s="85"/>
      <c r="K225" s="85"/>
      <c r="L225" s="86" t="str">
        <f>IFERROR(__xludf.DUMMYFUNCTION("""COMPUTED_VALUE"""),"REJECT")</f>
        <v>REJECT</v>
      </c>
      <c r="M225" s="78" t="str">
        <f>IFERROR(__xludf.DUMMYFUNCTION("""COMPUTED_VALUE"""),"45656BOO")</f>
        <v>45656BOO</v>
      </c>
      <c r="N225" s="81" t="str">
        <f>IFERROR(__xludf.DUMMYFUNCTION("""COMPUTED_VALUE"""),"BOO")</f>
        <v>BOO</v>
      </c>
      <c r="O225" s="82">
        <f>IFERROR(__xludf.DUMMYFUNCTION("""COMPUTED_VALUE"""),45656.0)</f>
        <v>45656</v>
      </c>
      <c r="P225" s="110" t="str">
        <f>IFERROR(__xludf.DUMMYFUNCTION("""COMPUTED_VALUE"""),"Adverse weather")</f>
        <v>Adverse weather</v>
      </c>
      <c r="Q225" s="77" t="str">
        <f>IFERROR(__xludf.DUMMYFUNCTION("""COMPUTED_VALUE"""),"REJECT")</f>
        <v>REJECT</v>
      </c>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row>
    <row r="226">
      <c r="A226" s="93"/>
      <c r="B226" s="85"/>
      <c r="C226" s="86"/>
      <c r="D226" s="93"/>
      <c r="E226" s="85"/>
      <c r="F226" s="85"/>
      <c r="G226" s="86"/>
      <c r="H226" s="78" t="str">
        <f>IFERROR(__xludf.DUMMYFUNCTION("""COMPUTED_VALUE"""),"")</f>
        <v/>
      </c>
      <c r="I226" s="85"/>
      <c r="J226" s="85"/>
      <c r="K226" s="85"/>
      <c r="L226" s="86" t="str">
        <f>IFERROR(__xludf.DUMMYFUNCTION("""COMPUTED_VALUE"""),"REJECT")</f>
        <v>REJECT</v>
      </c>
      <c r="M226" s="78" t="str">
        <f>IFERROR(__xludf.DUMMYFUNCTION("""COMPUTED_VALUE"""),"45519PMI")</f>
        <v>45519PMI</v>
      </c>
      <c r="N226" s="81" t="str">
        <f>IFERROR(__xludf.DUMMYFUNCTION("""COMPUTED_VALUE"""),"PMI")</f>
        <v>PMI</v>
      </c>
      <c r="O226" s="82">
        <f>IFERROR(__xludf.DUMMYFUNCTION("""COMPUTED_VALUE"""),45519.0)</f>
        <v>45519</v>
      </c>
      <c r="P226" s="110" t="str">
        <f>IFERROR(__xludf.DUMMYFUNCTION("""COMPUTED_VALUE"""),"ATC")</f>
        <v>ATC</v>
      </c>
      <c r="Q226" s="77" t="str">
        <f>IFERROR(__xludf.DUMMYFUNCTION("""COMPUTED_VALUE"""),"REJECT")</f>
        <v>REJECT</v>
      </c>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row>
    <row r="227">
      <c r="A227" s="93"/>
      <c r="B227" s="85"/>
      <c r="C227" s="86"/>
      <c r="D227" s="93"/>
      <c r="E227" s="85"/>
      <c r="F227" s="85"/>
      <c r="G227" s="86"/>
      <c r="H227" s="78" t="str">
        <f>IFERROR(__xludf.DUMMYFUNCTION("""COMPUTED_VALUE"""),"")</f>
        <v/>
      </c>
      <c r="I227" s="85"/>
      <c r="J227" s="85"/>
      <c r="K227" s="85"/>
      <c r="L227" s="86" t="str">
        <f>IFERROR(__xludf.DUMMYFUNCTION("""COMPUTED_VALUE"""),"REJECT")</f>
        <v>REJECT</v>
      </c>
      <c r="M227" s="78" t="str">
        <f>IFERROR(__xludf.DUMMYFUNCTION("""COMPUTED_VALUE"""),"45653MAN")</f>
        <v>45653MAN</v>
      </c>
      <c r="N227" s="81" t="str">
        <f>IFERROR(__xludf.DUMMYFUNCTION("""COMPUTED_VALUE"""),"MAN")</f>
        <v>MAN</v>
      </c>
      <c r="O227" s="82">
        <f>IFERROR(__xludf.DUMMYFUNCTION("""COMPUTED_VALUE"""),45653.0)</f>
        <v>45653</v>
      </c>
      <c r="P227" s="110" t="str">
        <f>IFERROR(__xludf.DUMMYFUNCTION("""COMPUTED_VALUE"""),"Adverse weather")</f>
        <v>Adverse weather</v>
      </c>
      <c r="Q227" s="77" t="str">
        <f>IFERROR(__xludf.DUMMYFUNCTION("""COMPUTED_VALUE"""),"REJECT")</f>
        <v>REJECT</v>
      </c>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row>
    <row r="228">
      <c r="A228" s="93"/>
      <c r="B228" s="85"/>
      <c r="C228" s="86"/>
      <c r="D228" s="93"/>
      <c r="E228" s="85"/>
      <c r="F228" s="85"/>
      <c r="G228" s="86"/>
      <c r="H228" s="78" t="str">
        <f>IFERROR(__xludf.DUMMYFUNCTION("""COMPUTED_VALUE"""),"")</f>
        <v/>
      </c>
      <c r="I228" s="85"/>
      <c r="J228" s="85"/>
      <c r="K228" s="85"/>
      <c r="L228" s="86" t="str">
        <f>IFERROR(__xludf.DUMMYFUNCTION("""COMPUTED_VALUE"""),"REJECT")</f>
        <v>REJECT</v>
      </c>
      <c r="M228" s="78" t="str">
        <f>IFERROR(__xludf.DUMMYFUNCTION("""COMPUTED_VALUE"""),"45520HND")</f>
        <v>45520HND</v>
      </c>
      <c r="N228" s="81" t="str">
        <f>IFERROR(__xludf.DUMMYFUNCTION("""COMPUTED_VALUE"""),"HND")</f>
        <v>HND</v>
      </c>
      <c r="O228" s="82">
        <f>IFERROR(__xludf.DUMMYFUNCTION("""COMPUTED_VALUE"""),45520.0)</f>
        <v>45520</v>
      </c>
      <c r="P228" s="110" t="str">
        <f>IFERROR(__xludf.DUMMYFUNCTION("""COMPUTED_VALUE"""),"Adverse weather")</f>
        <v>Adverse weather</v>
      </c>
      <c r="Q228" s="77" t="str">
        <f>IFERROR(__xludf.DUMMYFUNCTION("""COMPUTED_VALUE"""),"REJECT")</f>
        <v>REJECT</v>
      </c>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row>
    <row r="229">
      <c r="A229" s="93"/>
      <c r="B229" s="85"/>
      <c r="C229" s="86"/>
      <c r="D229" s="93"/>
      <c r="E229" s="85"/>
      <c r="F229" s="85"/>
      <c r="G229" s="86"/>
      <c r="H229" s="78" t="str">
        <f>IFERROR(__xludf.DUMMYFUNCTION("""COMPUTED_VALUE"""),"")</f>
        <v/>
      </c>
      <c r="I229" s="85"/>
      <c r="J229" s="85"/>
      <c r="K229" s="85"/>
      <c r="L229" s="86" t="str">
        <f>IFERROR(__xludf.DUMMYFUNCTION("""COMPUTED_VALUE"""),"REJECT")</f>
        <v>REJECT</v>
      </c>
      <c r="M229" s="78" t="str">
        <f>IFERROR(__xludf.DUMMYFUNCTION("""COMPUTED_VALUE"""),"45521HND")</f>
        <v>45521HND</v>
      </c>
      <c r="N229" s="81" t="str">
        <f>IFERROR(__xludf.DUMMYFUNCTION("""COMPUTED_VALUE"""),"HND")</f>
        <v>HND</v>
      </c>
      <c r="O229" s="82">
        <f>IFERROR(__xludf.DUMMYFUNCTION("""COMPUTED_VALUE"""),45521.0)</f>
        <v>45521</v>
      </c>
      <c r="P229" s="110" t="str">
        <f>IFERROR(__xludf.DUMMYFUNCTION("""COMPUTED_VALUE"""),"Adverse weather")</f>
        <v>Adverse weather</v>
      </c>
      <c r="Q229" s="77" t="str">
        <f>IFERROR(__xludf.DUMMYFUNCTION("""COMPUTED_VALUE"""),"REJECT")</f>
        <v>REJECT</v>
      </c>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row>
    <row r="230">
      <c r="A230" s="93"/>
      <c r="B230" s="85"/>
      <c r="C230" s="86"/>
      <c r="D230" s="93"/>
      <c r="E230" s="85"/>
      <c r="F230" s="85"/>
      <c r="G230" s="86"/>
      <c r="H230" s="78" t="str">
        <f>IFERROR(__xludf.DUMMYFUNCTION("""COMPUTED_VALUE"""),"")</f>
        <v/>
      </c>
      <c r="I230" s="85"/>
      <c r="J230" s="85"/>
      <c r="K230" s="85"/>
      <c r="L230" s="86" t="str">
        <f>IFERROR(__xludf.DUMMYFUNCTION("""COMPUTED_VALUE"""),"REJECT")</f>
        <v>REJECT</v>
      </c>
      <c r="M230" s="78" t="str">
        <f>IFERROR(__xludf.DUMMYFUNCTION("""COMPUTED_VALUE"""),"45643LYS")</f>
        <v>45643LYS</v>
      </c>
      <c r="N230" s="81" t="str">
        <f>IFERROR(__xludf.DUMMYFUNCTION("""COMPUTED_VALUE"""),"LYS")</f>
        <v>LYS</v>
      </c>
      <c r="O230" s="82">
        <f>IFERROR(__xludf.DUMMYFUNCTION("""COMPUTED_VALUE"""),45643.0)</f>
        <v>45643</v>
      </c>
      <c r="P230" s="110" t="str">
        <f>IFERROR(__xludf.DUMMYFUNCTION("""COMPUTED_VALUE"""),"Strike")</f>
        <v>Strike</v>
      </c>
      <c r="Q230" s="77" t="str">
        <f>IFERROR(__xludf.DUMMYFUNCTION("""COMPUTED_VALUE"""),"REJECT")</f>
        <v>REJECT</v>
      </c>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row>
    <row r="231">
      <c r="A231" s="93"/>
      <c r="B231" s="85"/>
      <c r="C231" s="86"/>
      <c r="D231" s="93"/>
      <c r="E231" s="85"/>
      <c r="F231" s="85"/>
      <c r="G231" s="86"/>
      <c r="H231" s="78" t="str">
        <f>IFERROR(__xludf.DUMMYFUNCTION("""COMPUTED_VALUE"""),"")</f>
        <v/>
      </c>
      <c r="I231" s="85"/>
      <c r="J231" s="85"/>
      <c r="K231" s="85"/>
      <c r="L231" s="86" t="str">
        <f>IFERROR(__xludf.DUMMYFUNCTION("""COMPUTED_VALUE"""),"REJECT")</f>
        <v>REJECT</v>
      </c>
      <c r="M231" s="78" t="str">
        <f>IFERROR(__xludf.DUMMYFUNCTION("""COMPUTED_VALUE"""),"45519CTA")</f>
        <v>45519CTA</v>
      </c>
      <c r="N231" s="81" t="str">
        <f>IFERROR(__xludf.DUMMYFUNCTION("""COMPUTED_VALUE"""),"CTA")</f>
        <v>CTA</v>
      </c>
      <c r="O231" s="82">
        <f>IFERROR(__xludf.DUMMYFUNCTION("""COMPUTED_VALUE"""),45519.0)</f>
        <v>45519</v>
      </c>
      <c r="P231" s="110" t="str">
        <f>IFERROR(__xludf.DUMMYFUNCTION("""COMPUTED_VALUE"""),"Adverse weather")</f>
        <v>Adverse weather</v>
      </c>
      <c r="Q231" s="77" t="str">
        <f>IFERROR(__xludf.DUMMYFUNCTION("""COMPUTED_VALUE"""),"REJECT")</f>
        <v>REJECT</v>
      </c>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row>
    <row r="232">
      <c r="A232" s="93"/>
      <c r="B232" s="85"/>
      <c r="C232" s="86"/>
      <c r="D232" s="93"/>
      <c r="E232" s="85"/>
      <c r="F232" s="85"/>
      <c r="G232" s="86"/>
      <c r="H232" s="78" t="str">
        <f>IFERROR(__xludf.DUMMYFUNCTION("""COMPUTED_VALUE"""),"")</f>
        <v/>
      </c>
      <c r="I232" s="85"/>
      <c r="J232" s="85"/>
      <c r="K232" s="85"/>
      <c r="L232" s="86" t="str">
        <f>IFERROR(__xludf.DUMMYFUNCTION("""COMPUTED_VALUE"""),"REJECT")</f>
        <v>REJECT</v>
      </c>
      <c r="M232" s="78" t="str">
        <f>IFERROR(__xludf.DUMMYFUNCTION("""COMPUTED_VALUE"""),"45681EDI")</f>
        <v>45681EDI</v>
      </c>
      <c r="N232" s="81" t="str">
        <f>IFERROR(__xludf.DUMMYFUNCTION("""COMPUTED_VALUE"""),"EDI")</f>
        <v>EDI</v>
      </c>
      <c r="O232" s="82">
        <f>IFERROR(__xludf.DUMMYFUNCTION("""COMPUTED_VALUE"""),45681.0)</f>
        <v>45681</v>
      </c>
      <c r="P232" s="110" t="str">
        <f>IFERROR(__xludf.DUMMYFUNCTION("""COMPUTED_VALUE"""),"Adverse weather")</f>
        <v>Adverse weather</v>
      </c>
      <c r="Q232" s="77" t="str">
        <f>IFERROR(__xludf.DUMMYFUNCTION("""COMPUTED_VALUE"""),"REJECT")</f>
        <v>REJECT</v>
      </c>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row>
    <row r="233">
      <c r="A233" s="93"/>
      <c r="B233" s="85"/>
      <c r="C233" s="86"/>
      <c r="D233" s="93"/>
      <c r="E233" s="85"/>
      <c r="F233" s="85"/>
      <c r="G233" s="86"/>
      <c r="H233" s="78" t="str">
        <f>IFERROR(__xludf.DUMMYFUNCTION("""COMPUTED_VALUE"""),"")</f>
        <v/>
      </c>
      <c r="I233" s="85"/>
      <c r="J233" s="85"/>
      <c r="K233" s="85"/>
      <c r="L233" s="86" t="str">
        <f>IFERROR(__xludf.DUMMYFUNCTION("""COMPUTED_VALUE"""),"REJECT")</f>
        <v>REJECT</v>
      </c>
      <c r="M233" s="78" t="str">
        <f>IFERROR(__xludf.DUMMYFUNCTION("""COMPUTED_VALUE"""),"45306AMS")</f>
        <v>45306AMS</v>
      </c>
      <c r="N233" s="81" t="str">
        <f>IFERROR(__xludf.DUMMYFUNCTION("""COMPUTED_VALUE"""),"AMS")</f>
        <v>AMS</v>
      </c>
      <c r="O233" s="82">
        <f>IFERROR(__xludf.DUMMYFUNCTION("""COMPUTED_VALUE"""),45306.0)</f>
        <v>45306</v>
      </c>
      <c r="P233" s="110" t="str">
        <f>IFERROR(__xludf.DUMMYFUNCTION("""COMPUTED_VALUE"""),"Adverse weather")</f>
        <v>Adverse weather</v>
      </c>
      <c r="Q233" s="77" t="str">
        <f>IFERROR(__xludf.DUMMYFUNCTION("""COMPUTED_VALUE"""),"REJECT")</f>
        <v>REJECT</v>
      </c>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row>
    <row r="234">
      <c r="A234" s="93"/>
      <c r="B234" s="85"/>
      <c r="C234" s="86"/>
      <c r="D234" s="93"/>
      <c r="E234" s="85"/>
      <c r="F234" s="85"/>
      <c r="G234" s="86"/>
      <c r="H234" s="78" t="str">
        <f>IFERROR(__xludf.DUMMYFUNCTION("""COMPUTED_VALUE"""),"")</f>
        <v/>
      </c>
      <c r="I234" s="85"/>
      <c r="J234" s="85"/>
      <c r="K234" s="85"/>
      <c r="L234" s="86" t="str">
        <f>IFERROR(__xludf.DUMMYFUNCTION("""COMPUTED_VALUE"""),"REJECT")</f>
        <v>REJECT</v>
      </c>
      <c r="M234" s="78" t="str">
        <f>IFERROR(__xludf.DUMMYFUNCTION("""COMPUTED_VALUE"""),"45609LOP")</f>
        <v>45609LOP</v>
      </c>
      <c r="N234" s="81" t="str">
        <f>IFERROR(__xludf.DUMMYFUNCTION("""COMPUTED_VALUE"""),"LOP")</f>
        <v>LOP</v>
      </c>
      <c r="O234" s="82">
        <f>IFERROR(__xludf.DUMMYFUNCTION("""COMPUTED_VALUE"""),45609.0)</f>
        <v>45609</v>
      </c>
      <c r="P234" s="110" t="str">
        <f>IFERROR(__xludf.DUMMYFUNCTION("""COMPUTED_VALUE"""),"Volcanic ash from Indonesia's Mt. Lewotobi")</f>
        <v>Volcanic ash from Indonesia's Mt. Lewotobi</v>
      </c>
      <c r="Q234" s="77" t="str">
        <f>IFERROR(__xludf.DUMMYFUNCTION("""COMPUTED_VALUE"""),"REJECT")</f>
        <v>REJECT</v>
      </c>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row>
    <row r="235">
      <c r="A235" s="93"/>
      <c r="B235" s="85"/>
      <c r="C235" s="86"/>
      <c r="D235" s="93"/>
      <c r="E235" s="85"/>
      <c r="F235" s="85"/>
      <c r="G235" s="86"/>
      <c r="H235" s="78" t="str">
        <f>IFERROR(__xludf.DUMMYFUNCTION("""COMPUTED_VALUE"""),"")</f>
        <v/>
      </c>
      <c r="I235" s="85"/>
      <c r="J235" s="85"/>
      <c r="K235" s="85"/>
      <c r="L235" s="86" t="str">
        <f>IFERROR(__xludf.DUMMYFUNCTION("""COMPUTED_VALUE"""),"REJECT")</f>
        <v>REJECT</v>
      </c>
      <c r="M235" s="78" t="str">
        <f>IFERROR(__xludf.DUMMYFUNCTION("""COMPUTED_VALUE"""),"45522FNC")</f>
        <v>45522FNC</v>
      </c>
      <c r="N235" s="81" t="str">
        <f>IFERROR(__xludf.DUMMYFUNCTION("""COMPUTED_VALUE"""),"FNC")</f>
        <v>FNC</v>
      </c>
      <c r="O235" s="82">
        <f>IFERROR(__xludf.DUMMYFUNCTION("""COMPUTED_VALUE"""),45522.0)</f>
        <v>45522</v>
      </c>
      <c r="P235" s="110" t="str">
        <f>IFERROR(__xludf.DUMMYFUNCTION("""COMPUTED_VALUE"""),"Adverse weather")</f>
        <v>Adverse weather</v>
      </c>
      <c r="Q235" s="77" t="str">
        <f>IFERROR(__xludf.DUMMYFUNCTION("""COMPUTED_VALUE"""),"REJECT")</f>
        <v>REJECT</v>
      </c>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row>
    <row r="236">
      <c r="A236" s="93"/>
      <c r="B236" s="85"/>
      <c r="C236" s="86"/>
      <c r="D236" s="93"/>
      <c r="E236" s="85"/>
      <c r="F236" s="85"/>
      <c r="G236" s="86"/>
      <c r="H236" s="78" t="str">
        <f>IFERROR(__xludf.DUMMYFUNCTION("""COMPUTED_VALUE"""),"")</f>
        <v/>
      </c>
      <c r="I236" s="85"/>
      <c r="J236" s="85"/>
      <c r="K236" s="85"/>
      <c r="L236" s="86" t="str">
        <f>IFERROR(__xludf.DUMMYFUNCTION("""COMPUTED_VALUE"""),"REJECT")</f>
        <v>REJECT</v>
      </c>
      <c r="M236" s="78" t="str">
        <f>IFERROR(__xludf.DUMMYFUNCTION("""COMPUTED_VALUE"""),"45523FNC")</f>
        <v>45523FNC</v>
      </c>
      <c r="N236" s="81" t="str">
        <f>IFERROR(__xludf.DUMMYFUNCTION("""COMPUTED_VALUE"""),"FNC")</f>
        <v>FNC</v>
      </c>
      <c r="O236" s="82">
        <f>IFERROR(__xludf.DUMMYFUNCTION("""COMPUTED_VALUE"""),45523.0)</f>
        <v>45523</v>
      </c>
      <c r="P236" s="110" t="str">
        <f>IFERROR(__xludf.DUMMYFUNCTION("""COMPUTED_VALUE"""),"Adverse weather")</f>
        <v>Adverse weather</v>
      </c>
      <c r="Q236" s="77" t="str">
        <f>IFERROR(__xludf.DUMMYFUNCTION("""COMPUTED_VALUE"""),"REJECT")</f>
        <v>REJECT</v>
      </c>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row>
    <row r="237">
      <c r="A237" s="93"/>
      <c r="B237" s="85"/>
      <c r="C237" s="86"/>
      <c r="D237" s="93"/>
      <c r="E237" s="85"/>
      <c r="F237" s="85"/>
      <c r="G237" s="86"/>
      <c r="H237" s="78" t="str">
        <f>IFERROR(__xludf.DUMMYFUNCTION("""COMPUTED_VALUE"""),"")</f>
        <v/>
      </c>
      <c r="I237" s="85"/>
      <c r="J237" s="85"/>
      <c r="K237" s="85"/>
      <c r="L237" s="86" t="str">
        <f>IFERROR(__xludf.DUMMYFUNCTION("""COMPUTED_VALUE"""),"REJECT")</f>
        <v>REJECT</v>
      </c>
      <c r="M237" s="78" t="str">
        <f>IFERROR(__xludf.DUMMYFUNCTION("""COMPUTED_VALUE"""),"45634LHR")</f>
        <v>45634LHR</v>
      </c>
      <c r="N237" s="81" t="str">
        <f>IFERROR(__xludf.DUMMYFUNCTION("""COMPUTED_VALUE"""),"LHR")</f>
        <v>LHR</v>
      </c>
      <c r="O237" s="82">
        <f>IFERROR(__xludf.DUMMYFUNCTION("""COMPUTED_VALUE"""),45634.0)</f>
        <v>45634</v>
      </c>
      <c r="P237" s="110" t="str">
        <f>IFERROR(__xludf.DUMMYFUNCTION("""COMPUTED_VALUE"""),"Storm Darragh")</f>
        <v>Storm Darragh</v>
      </c>
      <c r="Q237" s="77" t="str">
        <f>IFERROR(__xludf.DUMMYFUNCTION("""COMPUTED_VALUE"""),"REJECT")</f>
        <v>REJECT</v>
      </c>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row>
    <row r="238">
      <c r="A238" s="93"/>
      <c r="B238" s="85"/>
      <c r="C238" s="86"/>
      <c r="D238" s="93"/>
      <c r="E238" s="85"/>
      <c r="F238" s="85"/>
      <c r="G238" s="86"/>
      <c r="H238" s="78" t="str">
        <f>IFERROR(__xludf.DUMMYFUNCTION("""COMPUTED_VALUE"""),"")</f>
        <v/>
      </c>
      <c r="I238" s="85"/>
      <c r="J238" s="85"/>
      <c r="K238" s="85"/>
      <c r="L238" s="86" t="str">
        <f>IFERROR(__xludf.DUMMYFUNCTION("""COMPUTED_VALUE"""),"REJECT")</f>
        <v>REJECT</v>
      </c>
      <c r="M238" s="78" t="str">
        <f>IFERROR(__xludf.DUMMYFUNCTION("""COMPUTED_VALUE"""),"45633BRS")</f>
        <v>45633BRS</v>
      </c>
      <c r="N238" s="81" t="str">
        <f>IFERROR(__xludf.DUMMYFUNCTION("""COMPUTED_VALUE"""),"BRS")</f>
        <v>BRS</v>
      </c>
      <c r="O238" s="82">
        <f>IFERROR(__xludf.DUMMYFUNCTION("""COMPUTED_VALUE"""),45633.0)</f>
        <v>45633</v>
      </c>
      <c r="P238" s="110" t="str">
        <f>IFERROR(__xludf.DUMMYFUNCTION("""COMPUTED_VALUE"""),"Adverse weather")</f>
        <v>Adverse weather</v>
      </c>
      <c r="Q238" s="77" t="str">
        <f>IFERROR(__xludf.DUMMYFUNCTION("""COMPUTED_VALUE"""),"REJECT")</f>
        <v>REJECT</v>
      </c>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row>
    <row r="239">
      <c r="A239" s="93"/>
      <c r="B239" s="85"/>
      <c r="C239" s="86"/>
      <c r="D239" s="93"/>
      <c r="E239" s="85"/>
      <c r="F239" s="85"/>
      <c r="G239" s="86"/>
      <c r="H239" s="78" t="str">
        <f>IFERROR(__xludf.DUMMYFUNCTION("""COMPUTED_VALUE"""),"")</f>
        <v/>
      </c>
      <c r="I239" s="85"/>
      <c r="J239" s="85"/>
      <c r="K239" s="85"/>
      <c r="L239" s="86" t="str">
        <f>IFERROR(__xludf.DUMMYFUNCTION("""COMPUTED_VALUE"""),"REJECT")</f>
        <v>REJECT</v>
      </c>
      <c r="M239" s="78" t="str">
        <f>IFERROR(__xludf.DUMMYFUNCTION("""COMPUTED_VALUE"""),"45643MPL")</f>
        <v>45643MPL</v>
      </c>
      <c r="N239" s="81" t="str">
        <f>IFERROR(__xludf.DUMMYFUNCTION("""COMPUTED_VALUE"""),"MPL")</f>
        <v>MPL</v>
      </c>
      <c r="O239" s="82">
        <f>IFERROR(__xludf.DUMMYFUNCTION("""COMPUTED_VALUE"""),45643.0)</f>
        <v>45643</v>
      </c>
      <c r="P239" s="110" t="str">
        <f>IFERROR(__xludf.DUMMYFUNCTION("""COMPUTED_VALUE"""),"ATC")</f>
        <v>ATC</v>
      </c>
      <c r="Q239" s="77" t="str">
        <f>IFERROR(__xludf.DUMMYFUNCTION("""COMPUTED_VALUE"""),"REJECT")</f>
        <v>REJECT</v>
      </c>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row>
    <row r="240">
      <c r="A240" s="93"/>
      <c r="B240" s="85"/>
      <c r="C240" s="86"/>
      <c r="D240" s="93"/>
      <c r="E240" s="85"/>
      <c r="F240" s="85"/>
      <c r="G240" s="86"/>
      <c r="H240" s="78" t="str">
        <f>IFERROR(__xludf.DUMMYFUNCTION("""COMPUTED_VALUE"""),"")</f>
        <v/>
      </c>
      <c r="I240" s="85"/>
      <c r="J240" s="85"/>
      <c r="K240" s="85"/>
      <c r="L240" s="86" t="str">
        <f>IFERROR(__xludf.DUMMYFUNCTION("""COMPUTED_VALUE"""),"REJECT")</f>
        <v>REJECT</v>
      </c>
      <c r="M240" s="78" t="str">
        <f>IFERROR(__xludf.DUMMYFUNCTION("""COMPUTED_VALUE"""),"45654STN")</f>
        <v>45654STN</v>
      </c>
      <c r="N240" s="81" t="str">
        <f>IFERROR(__xludf.DUMMYFUNCTION("""COMPUTED_VALUE"""),"STN")</f>
        <v>STN</v>
      </c>
      <c r="O240" s="82">
        <f>IFERROR(__xludf.DUMMYFUNCTION("""COMPUTED_VALUE"""),45654.0)</f>
        <v>45654</v>
      </c>
      <c r="P240" s="110" t="str">
        <f>IFERROR(__xludf.DUMMYFUNCTION("""COMPUTED_VALUE"""),"Adverse weather")</f>
        <v>Adverse weather</v>
      </c>
      <c r="Q240" s="77" t="str">
        <f>IFERROR(__xludf.DUMMYFUNCTION("""COMPUTED_VALUE"""),"REJECT")</f>
        <v>REJECT</v>
      </c>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row>
    <row r="241">
      <c r="A241" s="93"/>
      <c r="B241" s="85"/>
      <c r="C241" s="86"/>
      <c r="D241" s="93"/>
      <c r="E241" s="85"/>
      <c r="F241" s="85"/>
      <c r="G241" s="86"/>
      <c r="H241" s="78" t="str">
        <f>IFERROR(__xludf.DUMMYFUNCTION("""COMPUTED_VALUE"""),"")</f>
        <v/>
      </c>
      <c r="I241" s="85"/>
      <c r="J241" s="85"/>
      <c r="K241" s="85"/>
      <c r="L241" s="86" t="str">
        <f>IFERROR(__xludf.DUMMYFUNCTION("""COMPUTED_VALUE"""),"REJECT")</f>
        <v>REJECT</v>
      </c>
      <c r="M241" s="78" t="str">
        <f>IFERROR(__xludf.DUMMYFUNCTION("""COMPUTED_VALUE"""),"45655KRK")</f>
        <v>45655KRK</v>
      </c>
      <c r="N241" s="85" t="str">
        <f>IFERROR(__xludf.DUMMYFUNCTION("""COMPUTED_VALUE"""),"KRK")</f>
        <v>KRK</v>
      </c>
      <c r="O241" s="101">
        <f>IFERROR(__xludf.DUMMYFUNCTION("""COMPUTED_VALUE"""),45655.0)</f>
        <v>45655</v>
      </c>
      <c r="P241" s="85" t="str">
        <f>IFERROR(__xludf.DUMMYFUNCTION("""COMPUTED_VALUE"""),"Adverse weather")</f>
        <v>Adverse weather</v>
      </c>
      <c r="Q241" s="86" t="str">
        <f>IFERROR(__xludf.DUMMYFUNCTION("""COMPUTED_VALUE"""),"REJECT")</f>
        <v>REJECT</v>
      </c>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row>
    <row r="242">
      <c r="A242" s="93"/>
      <c r="B242" s="85"/>
      <c r="C242" s="86"/>
      <c r="D242" s="93"/>
      <c r="E242" s="85"/>
      <c r="F242" s="85"/>
      <c r="G242" s="86"/>
      <c r="H242" s="78" t="str">
        <f>IFERROR(__xludf.DUMMYFUNCTION("""COMPUTED_VALUE"""),"")</f>
        <v/>
      </c>
      <c r="I242" s="85"/>
      <c r="J242" s="85"/>
      <c r="K242" s="85"/>
      <c r="L242" s="86" t="str">
        <f>IFERROR(__xludf.DUMMYFUNCTION("""COMPUTED_VALUE"""),"REJECT")</f>
        <v>REJECT</v>
      </c>
      <c r="M242" s="78" t="str">
        <f>IFERROR(__xludf.DUMMYFUNCTION("""COMPUTED_VALUE"""),"45719RUN")</f>
        <v>45719RUN</v>
      </c>
      <c r="N242" s="85" t="str">
        <f>IFERROR(__xludf.DUMMYFUNCTION("""COMPUTED_VALUE"""),"RUN")</f>
        <v>RUN</v>
      </c>
      <c r="O242" s="101">
        <f>IFERROR(__xludf.DUMMYFUNCTION("""COMPUTED_VALUE"""),45719.0)</f>
        <v>45719</v>
      </c>
      <c r="P242" s="85" t="str">
        <f>IFERROR(__xludf.DUMMYFUNCTION("""COMPUTED_VALUE"""),"ATC")</f>
        <v>ATC</v>
      </c>
      <c r="Q242" s="86" t="str">
        <f>IFERROR(__xludf.DUMMYFUNCTION("""COMPUTED_VALUE"""),"REJECT")</f>
        <v>REJECT</v>
      </c>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row>
    <row r="243">
      <c r="A243" s="93"/>
      <c r="B243" s="85"/>
      <c r="C243" s="86"/>
      <c r="D243" s="93"/>
      <c r="E243" s="85"/>
      <c r="F243" s="85"/>
      <c r="G243" s="86"/>
      <c r="H243" s="78" t="str">
        <f>IFERROR(__xludf.DUMMYFUNCTION("""COMPUTED_VALUE"""),"")</f>
        <v/>
      </c>
      <c r="I243" s="85"/>
      <c r="J243" s="85"/>
      <c r="K243" s="85"/>
      <c r="L243" s="86" t="str">
        <f>IFERROR(__xludf.DUMMYFUNCTION("""COMPUTED_VALUE"""),"REJECT")</f>
        <v>REJECT</v>
      </c>
      <c r="M243" s="78" t="str">
        <f>IFERROR(__xludf.DUMMYFUNCTION("""COMPUTED_VALUE"""),"45740MXP")</f>
        <v>45740MXP</v>
      </c>
      <c r="N243" s="85" t="str">
        <f>IFERROR(__xludf.DUMMYFUNCTION("""COMPUTED_VALUE"""),"MXP")</f>
        <v>MXP</v>
      </c>
      <c r="O243" s="101">
        <f>IFERROR(__xludf.DUMMYFUNCTION("""COMPUTED_VALUE"""),45740.0)</f>
        <v>45740</v>
      </c>
      <c r="P243" s="104" t="str">
        <f>IFERROR(__xludf.DUMMYFUNCTION("""COMPUTED_VALUE"""),"Strike")</f>
        <v>Strike</v>
      </c>
      <c r="Q243" s="86" t="str">
        <f>IFERROR(__xludf.DUMMYFUNCTION("""COMPUTED_VALUE"""),"REJECT")</f>
        <v>REJECT</v>
      </c>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row>
    <row r="244">
      <c r="A244" s="93"/>
      <c r="B244" s="85"/>
      <c r="C244" s="86"/>
      <c r="D244" s="93"/>
      <c r="E244" s="85"/>
      <c r="F244" s="85"/>
      <c r="G244" s="86"/>
      <c r="H244" s="78" t="str">
        <f>IFERROR(__xludf.DUMMYFUNCTION("""COMPUTED_VALUE"""),"")</f>
        <v/>
      </c>
      <c r="I244" s="85"/>
      <c r="J244" s="85"/>
      <c r="K244" s="85"/>
      <c r="L244" s="86" t="str">
        <f>IFERROR(__xludf.DUMMYFUNCTION("""COMPUTED_VALUE"""),"REJECT")</f>
        <v>REJECT</v>
      </c>
      <c r="M244" s="78" t="str">
        <f>IFERROR(__xludf.DUMMYFUNCTION("""COMPUTED_VALUE"""),"45619LHR")</f>
        <v>45619LHR</v>
      </c>
      <c r="N244" s="85" t="str">
        <f>IFERROR(__xludf.DUMMYFUNCTION("""COMPUTED_VALUE"""),"LHR")</f>
        <v>LHR</v>
      </c>
      <c r="O244" s="101">
        <f>IFERROR(__xludf.DUMMYFUNCTION("""COMPUTED_VALUE"""),45619.0)</f>
        <v>45619</v>
      </c>
      <c r="P244" s="85" t="str">
        <f>IFERROR(__xludf.DUMMYFUNCTION("""COMPUTED_VALUE"""),"Adverse weather")</f>
        <v>Adverse weather</v>
      </c>
      <c r="Q244" s="86" t="str">
        <f>IFERROR(__xludf.DUMMYFUNCTION("""COMPUTED_VALUE"""),"REJECT")</f>
        <v>REJECT</v>
      </c>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row>
    <row r="245">
      <c r="A245" s="93"/>
      <c r="B245" s="85"/>
      <c r="C245" s="86"/>
      <c r="D245" s="93"/>
      <c r="E245" s="85"/>
      <c r="F245" s="85"/>
      <c r="G245" s="86"/>
      <c r="H245" s="78" t="str">
        <f>IFERROR(__xludf.DUMMYFUNCTION("""COMPUTED_VALUE"""),"")</f>
        <v/>
      </c>
      <c r="I245" s="85"/>
      <c r="J245" s="85"/>
      <c r="K245" s="85"/>
      <c r="L245" s="86" t="str">
        <f>IFERROR(__xludf.DUMMYFUNCTION("""COMPUTED_VALUE"""),"REJECT")</f>
        <v>REJECT</v>
      </c>
      <c r="M245" s="78" t="str">
        <f>IFERROR(__xludf.DUMMYFUNCTION("""COMPUTED_VALUE"""),"45619EDI")</f>
        <v>45619EDI</v>
      </c>
      <c r="N245" s="85" t="str">
        <f>IFERROR(__xludf.DUMMYFUNCTION("""COMPUTED_VALUE"""),"EDI")</f>
        <v>EDI</v>
      </c>
      <c r="O245" s="101">
        <f>IFERROR(__xludf.DUMMYFUNCTION("""COMPUTED_VALUE"""),45619.0)</f>
        <v>45619</v>
      </c>
      <c r="P245" s="104" t="str">
        <f>IFERROR(__xludf.DUMMYFUNCTION("""COMPUTED_VALUE"""),"Adverse weather")</f>
        <v>Adverse weather</v>
      </c>
      <c r="Q245" s="86" t="str">
        <f>IFERROR(__xludf.DUMMYFUNCTION("""COMPUTED_VALUE"""),"REJECT")</f>
        <v>REJECT</v>
      </c>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row>
    <row r="246">
      <c r="A246" s="93"/>
      <c r="B246" s="85"/>
      <c r="C246" s="86"/>
      <c r="D246" s="93"/>
      <c r="E246" s="85"/>
      <c r="F246" s="85"/>
      <c r="G246" s="86"/>
      <c r="H246" s="78" t="str">
        <f>IFERROR(__xludf.DUMMYFUNCTION("""COMPUTED_VALUE"""),"")</f>
        <v/>
      </c>
      <c r="I246" s="85"/>
      <c r="J246" s="85"/>
      <c r="K246" s="85"/>
      <c r="L246" s="86" t="str">
        <f>IFERROR(__xludf.DUMMYFUNCTION("""COMPUTED_VALUE"""),"REJECT")</f>
        <v>REJECT</v>
      </c>
      <c r="M246" s="78" t="str">
        <f>IFERROR(__xludf.DUMMYFUNCTION("""COMPUTED_VALUE"""),"45620EDI")</f>
        <v>45620EDI</v>
      </c>
      <c r="N246" s="85" t="str">
        <f>IFERROR(__xludf.DUMMYFUNCTION("""COMPUTED_VALUE"""),"EDI")</f>
        <v>EDI</v>
      </c>
      <c r="O246" s="101">
        <f>IFERROR(__xludf.DUMMYFUNCTION("""COMPUTED_VALUE"""),45620.0)</f>
        <v>45620</v>
      </c>
      <c r="P246" s="104" t="str">
        <f>IFERROR(__xludf.DUMMYFUNCTION("""COMPUTED_VALUE"""),"Adverse weather")</f>
        <v>Adverse weather</v>
      </c>
      <c r="Q246" s="86" t="str">
        <f>IFERROR(__xludf.DUMMYFUNCTION("""COMPUTED_VALUE"""),"REJECT")</f>
        <v>REJECT</v>
      </c>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row>
    <row r="247">
      <c r="A247" s="93"/>
      <c r="B247" s="85"/>
      <c r="C247" s="86"/>
      <c r="D247" s="93"/>
      <c r="E247" s="85"/>
      <c r="F247" s="85"/>
      <c r="G247" s="86"/>
      <c r="H247" s="78" t="str">
        <f>IFERROR(__xludf.DUMMYFUNCTION("""COMPUTED_VALUE"""),"")</f>
        <v/>
      </c>
      <c r="I247" s="85"/>
      <c r="J247" s="85"/>
      <c r="K247" s="85"/>
      <c r="L247" s="86" t="str">
        <f>IFERROR(__xludf.DUMMYFUNCTION("""COMPUTED_VALUE"""),"REJECT")</f>
        <v>REJECT</v>
      </c>
      <c r="M247" s="78" t="str">
        <f>IFERROR(__xludf.DUMMYFUNCTION("""COMPUTED_VALUE"""),"45619GLA")</f>
        <v>45619GLA</v>
      </c>
      <c r="N247" s="85" t="str">
        <f>IFERROR(__xludf.DUMMYFUNCTION("""COMPUTED_VALUE"""),"GLA")</f>
        <v>GLA</v>
      </c>
      <c r="O247" s="101">
        <f>IFERROR(__xludf.DUMMYFUNCTION("""COMPUTED_VALUE"""),45619.0)</f>
        <v>45619</v>
      </c>
      <c r="P247" s="85" t="str">
        <f>IFERROR(__xludf.DUMMYFUNCTION("""COMPUTED_VALUE"""),"Adverse weather")</f>
        <v>Adverse weather</v>
      </c>
      <c r="Q247" s="86" t="str">
        <f>IFERROR(__xludf.DUMMYFUNCTION("""COMPUTED_VALUE"""),"REJECT")</f>
        <v>REJECT</v>
      </c>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row>
    <row r="248">
      <c r="A248" s="93"/>
      <c r="B248" s="85"/>
      <c r="C248" s="86"/>
      <c r="D248" s="93"/>
      <c r="E248" s="85"/>
      <c r="F248" s="85"/>
      <c r="G248" s="86"/>
      <c r="H248" s="78" t="str">
        <f>IFERROR(__xludf.DUMMYFUNCTION("""COMPUTED_VALUE"""),"")</f>
        <v/>
      </c>
      <c r="I248" s="85"/>
      <c r="J248" s="85"/>
      <c r="K248" s="85"/>
      <c r="L248" s="86" t="str">
        <f>IFERROR(__xludf.DUMMYFUNCTION("""COMPUTED_VALUE"""),"REJECT")</f>
        <v>REJECT</v>
      </c>
      <c r="M248" s="78" t="str">
        <f>IFERROR(__xludf.DUMMYFUNCTION("""COMPUTED_VALUE"""),"45620GLA")</f>
        <v>45620GLA</v>
      </c>
      <c r="N248" s="85" t="str">
        <f>IFERROR(__xludf.DUMMYFUNCTION("""COMPUTED_VALUE"""),"GLA")</f>
        <v>GLA</v>
      </c>
      <c r="O248" s="101">
        <f>IFERROR(__xludf.DUMMYFUNCTION("""COMPUTED_VALUE"""),45620.0)</f>
        <v>45620</v>
      </c>
      <c r="P248" s="104" t="str">
        <f>IFERROR(__xludf.DUMMYFUNCTION("""COMPUTED_VALUE"""),"Adverse weather")</f>
        <v>Adverse weather</v>
      </c>
      <c r="Q248" s="86" t="str">
        <f>IFERROR(__xludf.DUMMYFUNCTION("""COMPUTED_VALUE"""),"REJECT")</f>
        <v>REJECT</v>
      </c>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row>
    <row r="249">
      <c r="A249" s="93"/>
      <c r="B249" s="85"/>
      <c r="C249" s="86"/>
      <c r="D249" s="93"/>
      <c r="E249" s="85"/>
      <c r="F249" s="85"/>
      <c r="G249" s="86"/>
      <c r="H249" s="78" t="str">
        <f>IFERROR(__xludf.DUMMYFUNCTION("""COMPUTED_VALUE"""),"")</f>
        <v/>
      </c>
      <c r="I249" s="85"/>
      <c r="J249" s="85"/>
      <c r="K249" s="85"/>
      <c r="L249" s="86" t="str">
        <f>IFERROR(__xludf.DUMMYFUNCTION("""COMPUTED_VALUE"""),"REJECT")</f>
        <v>REJECT</v>
      </c>
      <c r="M249" s="78" t="str">
        <f>IFERROR(__xludf.DUMMYFUNCTION("""COMPUTED_VALUE"""),"45619BRS")</f>
        <v>45619BRS</v>
      </c>
      <c r="N249" s="85" t="str">
        <f>IFERROR(__xludf.DUMMYFUNCTION("""COMPUTED_VALUE"""),"BRS")</f>
        <v>BRS</v>
      </c>
      <c r="O249" s="101">
        <f>IFERROR(__xludf.DUMMYFUNCTION("""COMPUTED_VALUE"""),45619.0)</f>
        <v>45619</v>
      </c>
      <c r="P249" s="85" t="str">
        <f>IFERROR(__xludf.DUMMYFUNCTION("""COMPUTED_VALUE"""),"Adverse weather")</f>
        <v>Adverse weather</v>
      </c>
      <c r="Q249" s="86" t="str">
        <f>IFERROR(__xludf.DUMMYFUNCTION("""COMPUTED_VALUE"""),"REJECT")</f>
        <v>REJECT</v>
      </c>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row>
    <row r="250">
      <c r="A250" s="93"/>
      <c r="B250" s="85"/>
      <c r="C250" s="86"/>
      <c r="D250" s="93"/>
      <c r="E250" s="85"/>
      <c r="F250" s="85"/>
      <c r="G250" s="86"/>
      <c r="H250" s="78" t="str">
        <f>IFERROR(__xludf.DUMMYFUNCTION("""COMPUTED_VALUE"""),"")</f>
        <v/>
      </c>
      <c r="I250" s="85"/>
      <c r="J250" s="85"/>
      <c r="K250" s="85"/>
      <c r="L250" s="86" t="str">
        <f>IFERROR(__xludf.DUMMYFUNCTION("""COMPUTED_VALUE"""),"REJECT")</f>
        <v>REJECT</v>
      </c>
      <c r="M250" s="78" t="str">
        <f>IFERROR(__xludf.DUMMYFUNCTION("""COMPUTED_VALUE"""),"44998BER")</f>
        <v>44998BER</v>
      </c>
      <c r="N250" s="85" t="str">
        <f>IFERROR(__xludf.DUMMYFUNCTION("""COMPUTED_VALUE"""),"BER")</f>
        <v>BER</v>
      </c>
      <c r="O250" s="101">
        <f>IFERROR(__xludf.DUMMYFUNCTION("""COMPUTED_VALUE"""),44998.0)</f>
        <v>44998</v>
      </c>
      <c r="P250" s="104" t="str">
        <f>IFERROR(__xludf.DUMMYFUNCTION("""COMPUTED_VALUE"""),"ATC")</f>
        <v>ATC</v>
      </c>
      <c r="Q250" s="86" t="str">
        <f>IFERROR(__xludf.DUMMYFUNCTION("""COMPUTED_VALUE"""),"REJECT")</f>
        <v>REJECT</v>
      </c>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row>
    <row r="251">
      <c r="A251" s="93"/>
      <c r="B251" s="85"/>
      <c r="C251" s="86"/>
      <c r="D251" s="93"/>
      <c r="E251" s="85"/>
      <c r="F251" s="85"/>
      <c r="G251" s="86"/>
      <c r="H251" s="78" t="str">
        <f>IFERROR(__xludf.DUMMYFUNCTION("""COMPUTED_VALUE"""),"")</f>
        <v/>
      </c>
      <c r="I251" s="85"/>
      <c r="J251" s="85"/>
      <c r="K251" s="85"/>
      <c r="L251" s="86" t="str">
        <f>IFERROR(__xludf.DUMMYFUNCTION("""COMPUTED_VALUE"""),"REJECT")</f>
        <v>REJECT</v>
      </c>
      <c r="M251" s="78" t="str">
        <f>IFERROR(__xludf.DUMMYFUNCTION("""COMPUTED_VALUE"""),"45001SKG")</f>
        <v>45001SKG</v>
      </c>
      <c r="N251" s="85" t="str">
        <f>IFERROR(__xludf.DUMMYFUNCTION("""COMPUTED_VALUE"""),"SKG")</f>
        <v>SKG</v>
      </c>
      <c r="O251" s="101">
        <f>IFERROR(__xludf.DUMMYFUNCTION("""COMPUTED_VALUE"""),45001.0)</f>
        <v>45001</v>
      </c>
      <c r="P251" s="104" t="str">
        <f>IFERROR(__xludf.DUMMYFUNCTION("""COMPUTED_VALUE"""),"ATC")</f>
        <v>ATC</v>
      </c>
      <c r="Q251" s="86" t="str">
        <f>IFERROR(__xludf.DUMMYFUNCTION("""COMPUTED_VALUE"""),"REJECT")</f>
        <v>REJECT</v>
      </c>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row>
    <row r="252">
      <c r="A252" s="93"/>
      <c r="B252" s="85"/>
      <c r="C252" s="86"/>
      <c r="D252" s="93"/>
      <c r="E252" s="85"/>
      <c r="F252" s="85"/>
      <c r="G252" s="86"/>
      <c r="H252" s="78" t="str">
        <f>IFERROR(__xludf.DUMMYFUNCTION("""COMPUTED_VALUE"""),"")</f>
        <v/>
      </c>
      <c r="I252" s="85"/>
      <c r="J252" s="85"/>
      <c r="K252" s="85"/>
      <c r="L252" s="86" t="str">
        <f>IFERROR(__xludf.DUMMYFUNCTION("""COMPUTED_VALUE"""),"REJECT")</f>
        <v>REJECT</v>
      </c>
      <c r="M252" s="78" t="str">
        <f>IFERROR(__xludf.DUMMYFUNCTION("""COMPUTED_VALUE"""),"45651KEF")</f>
        <v>45651KEF</v>
      </c>
      <c r="N252" s="85" t="str">
        <f>IFERROR(__xludf.DUMMYFUNCTION("""COMPUTED_VALUE"""),"KEF")</f>
        <v>KEF</v>
      </c>
      <c r="O252" s="101">
        <f>IFERROR(__xludf.DUMMYFUNCTION("""COMPUTED_VALUE"""),45651.0)</f>
        <v>45651</v>
      </c>
      <c r="P252" s="104" t="str">
        <f>IFERROR(__xludf.DUMMYFUNCTION("""COMPUTED_VALUE"""),"Adverse weather")</f>
        <v>Adverse weather</v>
      </c>
      <c r="Q252" s="86" t="str">
        <f>IFERROR(__xludf.DUMMYFUNCTION("""COMPUTED_VALUE"""),"REJECT")</f>
        <v>REJECT</v>
      </c>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row>
    <row r="253">
      <c r="A253" s="93"/>
      <c r="B253" s="85"/>
      <c r="C253" s="86"/>
      <c r="D253" s="93"/>
      <c r="E253" s="85"/>
      <c r="F253" s="85"/>
      <c r="G253" s="86"/>
      <c r="H253" s="78" t="str">
        <f>IFERROR(__xludf.DUMMYFUNCTION("""COMPUTED_VALUE"""),"")</f>
        <v/>
      </c>
      <c r="I253" s="85"/>
      <c r="J253" s="85"/>
      <c r="K253" s="85"/>
      <c r="L253" s="86" t="str">
        <f>IFERROR(__xludf.DUMMYFUNCTION("""COMPUTED_VALUE"""),"REJECT")</f>
        <v>REJECT</v>
      </c>
      <c r="M253" s="78" t="str">
        <f>IFERROR(__xludf.DUMMYFUNCTION("""COMPUTED_VALUE"""),"45752MEM")</f>
        <v>45752MEM</v>
      </c>
      <c r="N253" s="85" t="str">
        <f>IFERROR(__xludf.DUMMYFUNCTION("""COMPUTED_VALUE"""),"MEM")</f>
        <v>MEM</v>
      </c>
      <c r="O253" s="101">
        <f>IFERROR(__xludf.DUMMYFUNCTION("""COMPUTED_VALUE"""),45752.0)</f>
        <v>45752</v>
      </c>
      <c r="P253" s="104" t="str">
        <f>IFERROR(__xludf.DUMMYFUNCTION("""COMPUTED_VALUE"""),"Adverse Weather")</f>
        <v>Adverse Weather</v>
      </c>
      <c r="Q253" s="86" t="str">
        <f>IFERROR(__xludf.DUMMYFUNCTION("""COMPUTED_VALUE"""),"REJECT")</f>
        <v>REJECT</v>
      </c>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row>
    <row r="254">
      <c r="A254" s="93"/>
      <c r="B254" s="85"/>
      <c r="C254" s="86"/>
      <c r="D254" s="93"/>
      <c r="E254" s="85"/>
      <c r="F254" s="85"/>
      <c r="G254" s="86"/>
      <c r="H254" s="78" t="str">
        <f>IFERROR(__xludf.DUMMYFUNCTION("""COMPUTED_VALUE"""),"")</f>
        <v/>
      </c>
      <c r="I254" s="85"/>
      <c r="J254" s="85"/>
      <c r="K254" s="85"/>
      <c r="L254" s="86" t="str">
        <f>IFERROR(__xludf.DUMMYFUNCTION("""COMPUTED_VALUE"""),"REJECT")</f>
        <v>REJECT</v>
      </c>
      <c r="M254" s="78" t="str">
        <f>IFERROR(__xludf.DUMMYFUNCTION("""COMPUTED_VALUE"""),"45653LGW")</f>
        <v>45653LGW</v>
      </c>
      <c r="N254" s="85" t="str">
        <f>IFERROR(__xludf.DUMMYFUNCTION("""COMPUTED_VALUE"""),"LGW")</f>
        <v>LGW</v>
      </c>
      <c r="O254" s="101">
        <f>IFERROR(__xludf.DUMMYFUNCTION("""COMPUTED_VALUE"""),45653.0)</f>
        <v>45653</v>
      </c>
      <c r="P254" s="104" t="str">
        <f>IFERROR(__xludf.DUMMYFUNCTION("""COMPUTED_VALUE"""),"Adverse Weather")</f>
        <v>Adverse Weather</v>
      </c>
      <c r="Q254" s="86" t="str">
        <f>IFERROR(__xludf.DUMMYFUNCTION("""COMPUTED_VALUE"""),"REJECT")</f>
        <v>REJECT</v>
      </c>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row>
    <row r="255">
      <c r="A255" s="93"/>
      <c r="B255" s="85"/>
      <c r="C255" s="86"/>
      <c r="D255" s="93"/>
      <c r="E255" s="85"/>
      <c r="F255" s="85"/>
      <c r="G255" s="86"/>
      <c r="H255" s="78" t="str">
        <f>IFERROR(__xludf.DUMMYFUNCTION("""COMPUTED_VALUE"""),"")</f>
        <v/>
      </c>
      <c r="I255" s="85"/>
      <c r="J255" s="85"/>
      <c r="K255" s="85"/>
      <c r="L255" s="86" t="str">
        <f>IFERROR(__xludf.DUMMYFUNCTION("""COMPUTED_VALUE"""),"REJECT")</f>
        <v>REJECT</v>
      </c>
      <c r="M255" s="78" t="str">
        <f>IFERROR(__xludf.DUMMYFUNCTION("""COMPUTED_VALUE"""),"45776LIS")</f>
        <v>45776LIS</v>
      </c>
      <c r="N255" s="85" t="str">
        <f>IFERROR(__xludf.DUMMYFUNCTION("""COMPUTED_VALUE"""),"LIS")</f>
        <v>LIS</v>
      </c>
      <c r="O255" s="101">
        <f>IFERROR(__xludf.DUMMYFUNCTION("""COMPUTED_VALUE"""),45776.0)</f>
        <v>45776</v>
      </c>
      <c r="P255" s="104" t="str">
        <f>IFERROR(__xludf.DUMMYFUNCTION("""COMPUTED_VALUE"""),"power outage")</f>
        <v>power outage</v>
      </c>
      <c r="Q255" s="86" t="str">
        <f>IFERROR(__xludf.DUMMYFUNCTION("""COMPUTED_VALUE"""),"REJECT")</f>
        <v>REJECT</v>
      </c>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row>
    <row r="256">
      <c r="A256" s="93"/>
      <c r="B256" s="85"/>
      <c r="C256" s="86"/>
      <c r="D256" s="93"/>
      <c r="E256" s="85"/>
      <c r="F256" s="85"/>
      <c r="G256" s="86"/>
      <c r="H256" s="78" t="str">
        <f>IFERROR(__xludf.DUMMYFUNCTION("""COMPUTED_VALUE"""),"")</f>
        <v/>
      </c>
      <c r="I256" s="85"/>
      <c r="J256" s="85"/>
      <c r="K256" s="85"/>
      <c r="L256" s="86" t="str">
        <f>IFERROR(__xludf.DUMMYFUNCTION("""COMPUTED_VALUE"""),"REJECT")</f>
        <v>REJECT</v>
      </c>
      <c r="M256" s="78" t="str">
        <f>IFERROR(__xludf.DUMMYFUNCTION("""COMPUTED_VALUE"""),"45775OPO")</f>
        <v>45775OPO</v>
      </c>
      <c r="N256" s="85" t="str">
        <f>IFERROR(__xludf.DUMMYFUNCTION("""COMPUTED_VALUE"""),"OPO")</f>
        <v>OPO</v>
      </c>
      <c r="O256" s="101">
        <f>IFERROR(__xludf.DUMMYFUNCTION("""COMPUTED_VALUE"""),45775.0)</f>
        <v>45775</v>
      </c>
      <c r="P256" s="104" t="str">
        <f>IFERROR(__xludf.DUMMYFUNCTION("""COMPUTED_VALUE"""),"Power outage")</f>
        <v>Power outage</v>
      </c>
      <c r="Q256" s="86" t="str">
        <f>IFERROR(__xludf.DUMMYFUNCTION("""COMPUTED_VALUE"""),"REJECT")</f>
        <v>REJECT</v>
      </c>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row>
    <row r="257">
      <c r="A257" s="93"/>
      <c r="B257" s="85"/>
      <c r="C257" s="86"/>
      <c r="D257" s="93"/>
      <c r="E257" s="85"/>
      <c r="F257" s="85"/>
      <c r="G257" s="86"/>
      <c r="H257" s="78" t="str">
        <f>IFERROR(__xludf.DUMMYFUNCTION("""COMPUTED_VALUE"""),"")</f>
        <v/>
      </c>
      <c r="I257" s="85"/>
      <c r="J257" s="85"/>
      <c r="K257" s="85"/>
      <c r="L257" s="86" t="str">
        <f>IFERROR(__xludf.DUMMYFUNCTION("""COMPUTED_VALUE"""),"REJECT")</f>
        <v>REJECT</v>
      </c>
      <c r="M257" s="78" t="str">
        <f>IFERROR(__xludf.DUMMYFUNCTION("""COMPUTED_VALUE"""),"45775FNC")</f>
        <v>45775FNC</v>
      </c>
      <c r="N257" s="85" t="str">
        <f>IFERROR(__xludf.DUMMYFUNCTION("""COMPUTED_VALUE"""),"FNC")</f>
        <v>FNC</v>
      </c>
      <c r="O257" s="101">
        <f>IFERROR(__xludf.DUMMYFUNCTION("""COMPUTED_VALUE"""),45775.0)</f>
        <v>45775</v>
      </c>
      <c r="P257" s="104" t="str">
        <f>IFERROR(__xludf.DUMMYFUNCTION("""COMPUTED_VALUE"""),"Power outage")</f>
        <v>Power outage</v>
      </c>
      <c r="Q257" s="86" t="str">
        <f>IFERROR(__xludf.DUMMYFUNCTION("""COMPUTED_VALUE"""),"REJECT")</f>
        <v>REJECT</v>
      </c>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row>
    <row r="258">
      <c r="A258" s="93"/>
      <c r="B258" s="85"/>
      <c r="C258" s="86"/>
      <c r="D258" s="93"/>
      <c r="E258" s="85"/>
      <c r="F258" s="85"/>
      <c r="G258" s="86"/>
      <c r="H258" s="78" t="str">
        <f>IFERROR(__xludf.DUMMYFUNCTION("""COMPUTED_VALUE"""),"")</f>
        <v/>
      </c>
      <c r="I258" s="85"/>
      <c r="J258" s="85"/>
      <c r="K258" s="85"/>
      <c r="L258" s="86" t="str">
        <f>IFERROR(__xludf.DUMMYFUNCTION("""COMPUTED_VALUE"""),"REJECT")</f>
        <v>REJECT</v>
      </c>
      <c r="M258" s="78" t="str">
        <f>IFERROR(__xludf.DUMMYFUNCTION("""COMPUTED_VALUE"""),"45775PDL")</f>
        <v>45775PDL</v>
      </c>
      <c r="N258" s="85" t="str">
        <f>IFERROR(__xludf.DUMMYFUNCTION("""COMPUTED_VALUE"""),"PDL")</f>
        <v>PDL</v>
      </c>
      <c r="O258" s="101">
        <f>IFERROR(__xludf.DUMMYFUNCTION("""COMPUTED_VALUE"""),45775.0)</f>
        <v>45775</v>
      </c>
      <c r="P258" s="104" t="str">
        <f>IFERROR(__xludf.DUMMYFUNCTION("""COMPUTED_VALUE"""),"Power outage")</f>
        <v>Power outage</v>
      </c>
      <c r="Q258" s="86" t="str">
        <f>IFERROR(__xludf.DUMMYFUNCTION("""COMPUTED_VALUE"""),"REJECT")</f>
        <v>REJECT</v>
      </c>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row>
    <row r="259">
      <c r="A259" s="93"/>
      <c r="B259" s="85"/>
      <c r="C259" s="86"/>
      <c r="D259" s="93"/>
      <c r="E259" s="85"/>
      <c r="F259" s="85"/>
      <c r="G259" s="86"/>
      <c r="H259" s="78" t="str">
        <f>IFERROR(__xludf.DUMMYFUNCTION("""COMPUTED_VALUE"""),"")</f>
        <v/>
      </c>
      <c r="I259" s="85"/>
      <c r="J259" s="85"/>
      <c r="K259" s="85"/>
      <c r="L259" s="86" t="str">
        <f>IFERROR(__xludf.DUMMYFUNCTION("""COMPUTED_VALUE"""),"REJECT")</f>
        <v>REJECT</v>
      </c>
      <c r="M259" s="78" t="str">
        <f>IFERROR(__xludf.DUMMYFUNCTION("""COMPUTED_VALUE"""),"45775MRS")</f>
        <v>45775MRS</v>
      </c>
      <c r="N259" s="85" t="str">
        <f>IFERROR(__xludf.DUMMYFUNCTION("""COMPUTED_VALUE"""),"MRS")</f>
        <v>MRS</v>
      </c>
      <c r="O259" s="101">
        <f>IFERROR(__xludf.DUMMYFUNCTION("""COMPUTED_VALUE"""),45775.0)</f>
        <v>45775</v>
      </c>
      <c r="P259" s="104" t="str">
        <f>IFERROR(__xludf.DUMMYFUNCTION("""COMPUTED_VALUE"""),"power outage")</f>
        <v>power outage</v>
      </c>
      <c r="Q259" s="86" t="str">
        <f>IFERROR(__xludf.DUMMYFUNCTION("""COMPUTED_VALUE"""),"REJECT")</f>
        <v>REJECT</v>
      </c>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row>
    <row r="260">
      <c r="A260" s="93"/>
      <c r="B260" s="85"/>
      <c r="C260" s="86"/>
      <c r="D260" s="93"/>
      <c r="E260" s="85"/>
      <c r="F260" s="85"/>
      <c r="G260" s="86"/>
      <c r="H260" s="78" t="str">
        <f>IFERROR(__xludf.DUMMYFUNCTION("""COMPUTED_VALUE"""),"")</f>
        <v/>
      </c>
      <c r="I260" s="85"/>
      <c r="J260" s="85"/>
      <c r="K260" s="85"/>
      <c r="L260" s="86" t="str">
        <f>IFERROR(__xludf.DUMMYFUNCTION("""COMPUTED_VALUE"""),"REJECT")</f>
        <v>REJECT</v>
      </c>
      <c r="M260" s="78" t="str">
        <f>IFERROR(__xludf.DUMMYFUNCTION("""COMPUTED_VALUE"""),"45775MAD")</f>
        <v>45775MAD</v>
      </c>
      <c r="N260" s="85" t="str">
        <f>IFERROR(__xludf.DUMMYFUNCTION("""COMPUTED_VALUE"""),"MAD")</f>
        <v>MAD</v>
      </c>
      <c r="O260" s="101">
        <f>IFERROR(__xludf.DUMMYFUNCTION("""COMPUTED_VALUE"""),45775.0)</f>
        <v>45775</v>
      </c>
      <c r="P260" s="85" t="str">
        <f>IFERROR(__xludf.DUMMYFUNCTION("""COMPUTED_VALUE"""),"power outage")</f>
        <v>power outage</v>
      </c>
      <c r="Q260" s="86" t="str">
        <f>IFERROR(__xludf.DUMMYFUNCTION("""COMPUTED_VALUE"""),"REJECT")</f>
        <v>REJECT</v>
      </c>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row>
    <row r="261">
      <c r="A261" s="93"/>
      <c r="B261" s="85"/>
      <c r="C261" s="86"/>
      <c r="D261" s="93"/>
      <c r="E261" s="85"/>
      <c r="F261" s="85"/>
      <c r="G261" s="86"/>
      <c r="H261" s="78" t="str">
        <f>IFERROR(__xludf.DUMMYFUNCTION("""COMPUTED_VALUE"""),"")</f>
        <v/>
      </c>
      <c r="I261" s="85"/>
      <c r="J261" s="85"/>
      <c r="K261" s="85"/>
      <c r="L261" s="86" t="str">
        <f>IFERROR(__xludf.DUMMYFUNCTION("""COMPUTED_VALUE"""),"REJECT")</f>
        <v>REJECT</v>
      </c>
      <c r="M261" s="78" t="str">
        <f>IFERROR(__xludf.DUMMYFUNCTION("""COMPUTED_VALUE"""),"45775BCN")</f>
        <v>45775BCN</v>
      </c>
      <c r="N261" s="85" t="str">
        <f>IFERROR(__xludf.DUMMYFUNCTION("""COMPUTED_VALUE"""),"BCN")</f>
        <v>BCN</v>
      </c>
      <c r="O261" s="101">
        <f>IFERROR(__xludf.DUMMYFUNCTION("""COMPUTED_VALUE"""),45775.0)</f>
        <v>45775</v>
      </c>
      <c r="P261" s="85" t="str">
        <f>IFERROR(__xludf.DUMMYFUNCTION("""COMPUTED_VALUE"""),"power outage")</f>
        <v>power outage</v>
      </c>
      <c r="Q261" s="86" t="str">
        <f>IFERROR(__xludf.DUMMYFUNCTION("""COMPUTED_VALUE"""),"REJECT")</f>
        <v>REJECT</v>
      </c>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row>
    <row r="262">
      <c r="A262" s="93"/>
      <c r="B262" s="85"/>
      <c r="C262" s="86"/>
      <c r="D262" s="93"/>
      <c r="E262" s="85"/>
      <c r="F262" s="85"/>
      <c r="G262" s="86"/>
      <c r="H262" s="78" t="str">
        <f>IFERROR(__xludf.DUMMYFUNCTION("""COMPUTED_VALUE"""),"")</f>
        <v/>
      </c>
      <c r="I262" s="85"/>
      <c r="J262" s="85"/>
      <c r="K262" s="85"/>
      <c r="L262" s="86" t="str">
        <f>IFERROR(__xludf.DUMMYFUNCTION("""COMPUTED_VALUE"""),"REJECT")</f>
        <v>REJECT</v>
      </c>
      <c r="M262" s="78" t="str">
        <f>IFERROR(__xludf.DUMMYFUNCTION("""COMPUTED_VALUE"""),"45775VLC")</f>
        <v>45775VLC</v>
      </c>
      <c r="N262" s="85" t="str">
        <f>IFERROR(__xludf.DUMMYFUNCTION("""COMPUTED_VALUE"""),"VLC")</f>
        <v>VLC</v>
      </c>
      <c r="O262" s="101">
        <f>IFERROR(__xludf.DUMMYFUNCTION("""COMPUTED_VALUE"""),45775.0)</f>
        <v>45775</v>
      </c>
      <c r="P262" s="85" t="str">
        <f>IFERROR(__xludf.DUMMYFUNCTION("""COMPUTED_VALUE"""),"power outage")</f>
        <v>power outage</v>
      </c>
      <c r="Q262" s="86" t="str">
        <f>IFERROR(__xludf.DUMMYFUNCTION("""COMPUTED_VALUE"""),"REJECT")</f>
        <v>REJECT</v>
      </c>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row>
    <row r="263">
      <c r="A263" s="93"/>
      <c r="B263" s="85"/>
      <c r="C263" s="86"/>
      <c r="D263" s="93"/>
      <c r="E263" s="85"/>
      <c r="F263" s="85"/>
      <c r="G263" s="86"/>
      <c r="H263" s="78" t="str">
        <f>IFERROR(__xludf.DUMMYFUNCTION("""COMPUTED_VALUE"""),"")</f>
        <v/>
      </c>
      <c r="I263" s="85"/>
      <c r="J263" s="85"/>
      <c r="K263" s="85"/>
      <c r="L263" s="86" t="str">
        <f>IFERROR(__xludf.DUMMYFUNCTION("""COMPUTED_VALUE"""),"REJECT")</f>
        <v>REJECT</v>
      </c>
      <c r="M263" s="78" t="str">
        <f>IFERROR(__xludf.DUMMYFUNCTION("""COMPUTED_VALUE"""),"45775SVQ")</f>
        <v>45775SVQ</v>
      </c>
      <c r="N263" s="85" t="str">
        <f>IFERROR(__xludf.DUMMYFUNCTION("""COMPUTED_VALUE"""),"SVQ")</f>
        <v>SVQ</v>
      </c>
      <c r="O263" s="101">
        <f>IFERROR(__xludf.DUMMYFUNCTION("""COMPUTED_VALUE"""),45775.0)</f>
        <v>45775</v>
      </c>
      <c r="P263" s="104" t="str">
        <f>IFERROR(__xludf.DUMMYFUNCTION("""COMPUTED_VALUE"""),"power outage")</f>
        <v>power outage</v>
      </c>
      <c r="Q263" s="86" t="str">
        <f>IFERROR(__xludf.DUMMYFUNCTION("""COMPUTED_VALUE"""),"REJECT")</f>
        <v>REJECT</v>
      </c>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row>
    <row r="264">
      <c r="A264" s="93"/>
      <c r="B264" s="85"/>
      <c r="C264" s="86"/>
      <c r="D264" s="93"/>
      <c r="E264" s="85"/>
      <c r="F264" s="85"/>
      <c r="G264" s="86"/>
      <c r="H264" s="78" t="str">
        <f>IFERROR(__xludf.DUMMYFUNCTION("""COMPUTED_VALUE"""),"")</f>
        <v/>
      </c>
      <c r="I264" s="85"/>
      <c r="J264" s="85"/>
      <c r="K264" s="85"/>
      <c r="L264" s="86" t="str">
        <f>IFERROR(__xludf.DUMMYFUNCTION("""COMPUTED_VALUE"""),"REJECT")</f>
        <v>REJECT</v>
      </c>
      <c r="M264" s="78" t="str">
        <f>IFERROR(__xludf.DUMMYFUNCTION("""COMPUTED_VALUE"""),"45775AGP")</f>
        <v>45775AGP</v>
      </c>
      <c r="N264" s="85" t="str">
        <f>IFERROR(__xludf.DUMMYFUNCTION("""COMPUTED_VALUE"""),"AGP")</f>
        <v>AGP</v>
      </c>
      <c r="O264" s="101">
        <f>IFERROR(__xludf.DUMMYFUNCTION("""COMPUTED_VALUE"""),45775.0)</f>
        <v>45775</v>
      </c>
      <c r="P264" s="104" t="str">
        <f>IFERROR(__xludf.DUMMYFUNCTION("""COMPUTED_VALUE"""),"power outage")</f>
        <v>power outage</v>
      </c>
      <c r="Q264" s="86" t="str">
        <f>IFERROR(__xludf.DUMMYFUNCTION("""COMPUTED_VALUE"""),"REJECT")</f>
        <v>REJECT</v>
      </c>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row>
    <row r="265">
      <c r="A265" s="93"/>
      <c r="B265" s="85"/>
      <c r="C265" s="86"/>
      <c r="D265" s="93"/>
      <c r="E265" s="85"/>
      <c r="F265" s="85"/>
      <c r="G265" s="86"/>
      <c r="H265" s="78" t="str">
        <f>IFERROR(__xludf.DUMMYFUNCTION("""COMPUTED_VALUE"""),"")</f>
        <v/>
      </c>
      <c r="I265" s="85"/>
      <c r="J265" s="85"/>
      <c r="K265" s="85"/>
      <c r="L265" s="86" t="str">
        <f>IFERROR(__xludf.DUMMYFUNCTION("""COMPUTED_VALUE"""),"REJECT")</f>
        <v>REJECT</v>
      </c>
      <c r="M265" s="78" t="str">
        <f>IFERROR(__xludf.DUMMYFUNCTION("""COMPUTED_VALUE"""),"45775BIO")</f>
        <v>45775BIO</v>
      </c>
      <c r="N265" s="85" t="str">
        <f>IFERROR(__xludf.DUMMYFUNCTION("""COMPUTED_VALUE"""),"BIO")</f>
        <v>BIO</v>
      </c>
      <c r="O265" s="101">
        <f>IFERROR(__xludf.DUMMYFUNCTION("""COMPUTED_VALUE"""),45775.0)</f>
        <v>45775</v>
      </c>
      <c r="P265" s="104" t="str">
        <f>IFERROR(__xludf.DUMMYFUNCTION("""COMPUTED_VALUE"""),"power outage")</f>
        <v>power outage</v>
      </c>
      <c r="Q265" s="86" t="str">
        <f>IFERROR(__xludf.DUMMYFUNCTION("""COMPUTED_VALUE"""),"REJECT")</f>
        <v>REJECT</v>
      </c>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row>
    <row r="266">
      <c r="A266" s="93"/>
      <c r="B266" s="85"/>
      <c r="C266" s="86"/>
      <c r="D266" s="93"/>
      <c r="E266" s="85"/>
      <c r="F266" s="85"/>
      <c r="G266" s="86"/>
      <c r="H266" s="78" t="str">
        <f>IFERROR(__xludf.DUMMYFUNCTION("""COMPUTED_VALUE"""),"")</f>
        <v/>
      </c>
      <c r="I266" s="85"/>
      <c r="J266" s="85"/>
      <c r="K266" s="85"/>
      <c r="L266" s="86" t="str">
        <f>IFERROR(__xludf.DUMMYFUNCTION("""COMPUTED_VALUE"""),"REJECT")</f>
        <v>REJECT</v>
      </c>
      <c r="M266" s="78" t="str">
        <f>IFERROR(__xludf.DUMMYFUNCTION("""COMPUTED_VALUE"""),"45775ALC")</f>
        <v>45775ALC</v>
      </c>
      <c r="N266" s="85" t="str">
        <f>IFERROR(__xludf.DUMMYFUNCTION("""COMPUTED_VALUE"""),"ALC")</f>
        <v>ALC</v>
      </c>
      <c r="O266" s="101">
        <f>IFERROR(__xludf.DUMMYFUNCTION("""COMPUTED_VALUE"""),45775.0)</f>
        <v>45775</v>
      </c>
      <c r="P266" s="104" t="str">
        <f>IFERROR(__xludf.DUMMYFUNCTION("""COMPUTED_VALUE"""),"power outage")</f>
        <v>power outage</v>
      </c>
      <c r="Q266" s="86" t="str">
        <f>IFERROR(__xludf.DUMMYFUNCTION("""COMPUTED_VALUE"""),"REJECT")</f>
        <v>REJECT</v>
      </c>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row>
    <row r="267">
      <c r="A267" s="93"/>
      <c r="B267" s="85"/>
      <c r="C267" s="86"/>
      <c r="D267" s="93"/>
      <c r="E267" s="85"/>
      <c r="F267" s="85"/>
      <c r="G267" s="86"/>
      <c r="H267" s="78" t="str">
        <f>IFERROR(__xludf.DUMMYFUNCTION("""COMPUTED_VALUE"""),"")</f>
        <v/>
      </c>
      <c r="I267" s="85"/>
      <c r="J267" s="85"/>
      <c r="K267" s="85"/>
      <c r="L267" s="86" t="str">
        <f>IFERROR(__xludf.DUMMYFUNCTION("""COMPUTED_VALUE"""),"REJECT")</f>
        <v>REJECT</v>
      </c>
      <c r="M267" s="78" t="str">
        <f>IFERROR(__xludf.DUMMYFUNCTION("""COMPUTED_VALUE"""),"45775PNA")</f>
        <v>45775PNA</v>
      </c>
      <c r="N267" s="85" t="str">
        <f>IFERROR(__xludf.DUMMYFUNCTION("""COMPUTED_VALUE"""),"PNA")</f>
        <v>PNA</v>
      </c>
      <c r="O267" s="101">
        <f>IFERROR(__xludf.DUMMYFUNCTION("""COMPUTED_VALUE"""),45775.0)</f>
        <v>45775</v>
      </c>
      <c r="P267" s="104" t="str">
        <f>IFERROR(__xludf.DUMMYFUNCTION("""COMPUTED_VALUE"""),"power outage")</f>
        <v>power outage</v>
      </c>
      <c r="Q267" s="86" t="str">
        <f>IFERROR(__xludf.DUMMYFUNCTION("""COMPUTED_VALUE"""),"REJECT")</f>
        <v>REJECT</v>
      </c>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row>
    <row r="268">
      <c r="A268" s="93"/>
      <c r="B268" s="85"/>
      <c r="C268" s="86"/>
      <c r="D268" s="93"/>
      <c r="E268" s="85"/>
      <c r="F268" s="85"/>
      <c r="G268" s="86"/>
      <c r="H268" s="78" t="str">
        <f>IFERROR(__xludf.DUMMYFUNCTION("""COMPUTED_VALUE"""),"")</f>
        <v/>
      </c>
      <c r="I268" s="85"/>
      <c r="J268" s="85"/>
      <c r="K268" s="85"/>
      <c r="L268" s="86" t="str">
        <f>IFERROR(__xludf.DUMMYFUNCTION("""COMPUTED_VALUE"""),"REJECT")</f>
        <v>REJECT</v>
      </c>
      <c r="M268" s="78" t="str">
        <f>IFERROR(__xludf.DUMMYFUNCTION("""COMPUTED_VALUE"""),"45775LIS")</f>
        <v>45775LIS</v>
      </c>
      <c r="N268" s="85" t="str">
        <f>IFERROR(__xludf.DUMMYFUNCTION("""COMPUTED_VALUE"""),"LIS")</f>
        <v>LIS</v>
      </c>
      <c r="O268" s="101">
        <f>IFERROR(__xludf.DUMMYFUNCTION("""COMPUTED_VALUE"""),45775.0)</f>
        <v>45775</v>
      </c>
      <c r="P268" s="85" t="str">
        <f>IFERROR(__xludf.DUMMYFUNCTION("""COMPUTED_VALUE"""),"power outage")</f>
        <v>power outage</v>
      </c>
      <c r="Q268" s="86" t="str">
        <f>IFERROR(__xludf.DUMMYFUNCTION("""COMPUTED_VALUE"""),"REJECT")</f>
        <v>REJECT</v>
      </c>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row>
    <row r="269">
      <c r="A269" s="93"/>
      <c r="B269" s="85"/>
      <c r="C269" s="86"/>
      <c r="D269" s="93"/>
      <c r="E269" s="85"/>
      <c r="F269" s="85"/>
      <c r="G269" s="86"/>
      <c r="H269" s="78" t="str">
        <f>IFERROR(__xludf.DUMMYFUNCTION("""COMPUTED_VALUE"""),"")</f>
        <v/>
      </c>
      <c r="I269" s="85"/>
      <c r="J269" s="85"/>
      <c r="K269" s="85"/>
      <c r="L269" s="86" t="str">
        <f>IFERROR(__xludf.DUMMYFUNCTION("""COMPUTED_VALUE"""),"REJECT")</f>
        <v>REJECT</v>
      </c>
      <c r="M269" s="78" t="str">
        <f>IFERROR(__xludf.DUMMYFUNCTION("""COMPUTED_VALUE"""),"45776AGP")</f>
        <v>45776AGP</v>
      </c>
      <c r="N269" s="85" t="str">
        <f>IFERROR(__xludf.DUMMYFUNCTION("""COMPUTED_VALUE"""),"AGP")</f>
        <v>AGP</v>
      </c>
      <c r="O269" s="101">
        <f>IFERROR(__xludf.DUMMYFUNCTION("""COMPUTED_VALUE"""),45776.0)</f>
        <v>45776</v>
      </c>
      <c r="P269" s="104" t="str">
        <f>IFERROR(__xludf.DUMMYFUNCTION("""COMPUTED_VALUE"""),"power outage")</f>
        <v>power outage</v>
      </c>
      <c r="Q269" s="86" t="str">
        <f>IFERROR(__xludf.DUMMYFUNCTION("""COMPUTED_VALUE"""),"REJECT")</f>
        <v>REJECT</v>
      </c>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row>
    <row r="270">
      <c r="A270" s="93"/>
      <c r="B270" s="85"/>
      <c r="C270" s="86"/>
      <c r="D270" s="93"/>
      <c r="E270" s="85"/>
      <c r="F270" s="85"/>
      <c r="G270" s="86"/>
      <c r="H270" s="78" t="str">
        <f>IFERROR(__xludf.DUMMYFUNCTION("""COMPUTED_VALUE"""),"")</f>
        <v/>
      </c>
      <c r="I270" s="85"/>
      <c r="J270" s="85"/>
      <c r="K270" s="85"/>
      <c r="L270" s="86" t="str">
        <f>IFERROR(__xludf.DUMMYFUNCTION("""COMPUTED_VALUE"""),"REJECT")</f>
        <v>REJECT</v>
      </c>
      <c r="M270" s="78" t="str">
        <f>IFERROR(__xludf.DUMMYFUNCTION("""COMPUTED_VALUE"""),"45776CRL")</f>
        <v>45776CRL</v>
      </c>
      <c r="N270" s="85" t="str">
        <f>IFERROR(__xludf.DUMMYFUNCTION("""COMPUTED_VALUE"""),"CRL")</f>
        <v>CRL</v>
      </c>
      <c r="O270" s="101">
        <f>IFERROR(__xludf.DUMMYFUNCTION("""COMPUTED_VALUE"""),45776.0)</f>
        <v>45776</v>
      </c>
      <c r="P270" s="104" t="str">
        <f>IFERROR(__xludf.DUMMYFUNCTION("""COMPUTED_VALUE"""),"ATC")</f>
        <v>ATC</v>
      </c>
      <c r="Q270" s="86" t="str">
        <f>IFERROR(__xludf.DUMMYFUNCTION("""COMPUTED_VALUE"""),"REJECT")</f>
        <v>REJECT</v>
      </c>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row>
    <row r="271">
      <c r="A271" s="93"/>
      <c r="B271" s="85"/>
      <c r="C271" s="86"/>
      <c r="D271" s="93"/>
      <c r="E271" s="85"/>
      <c r="F271" s="85"/>
      <c r="G271" s="86"/>
      <c r="H271" s="78" t="str">
        <f>IFERROR(__xludf.DUMMYFUNCTION("""COMPUTED_VALUE"""),"")</f>
        <v/>
      </c>
      <c r="I271" s="85"/>
      <c r="J271" s="85"/>
      <c r="K271" s="85"/>
      <c r="L271" s="86" t="str">
        <f>IFERROR(__xludf.DUMMYFUNCTION("""COMPUTED_VALUE"""),"REJECT")</f>
        <v>REJECT</v>
      </c>
      <c r="M271" s="78" t="str">
        <f>IFERROR(__xludf.DUMMYFUNCTION("""COMPUTED_VALUE"""),"45776BRU")</f>
        <v>45776BRU</v>
      </c>
      <c r="N271" s="85" t="str">
        <f>IFERROR(__xludf.DUMMYFUNCTION("""COMPUTED_VALUE"""),"BRU")</f>
        <v>BRU</v>
      </c>
      <c r="O271" s="101">
        <f>IFERROR(__xludf.DUMMYFUNCTION("""COMPUTED_VALUE"""),45776.0)</f>
        <v>45776</v>
      </c>
      <c r="P271" s="104" t="str">
        <f>IFERROR(__xludf.DUMMYFUNCTION("""COMPUTED_VALUE"""),"ATC")</f>
        <v>ATC</v>
      </c>
      <c r="Q271" s="86" t="str">
        <f>IFERROR(__xludf.DUMMYFUNCTION("""COMPUTED_VALUE"""),"REJECT")</f>
        <v>REJECT</v>
      </c>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row>
    <row r="272">
      <c r="A272" s="93"/>
      <c r="B272" s="85"/>
      <c r="C272" s="86"/>
      <c r="D272" s="93"/>
      <c r="E272" s="85"/>
      <c r="F272" s="85"/>
      <c r="G272" s="86"/>
      <c r="H272" s="78" t="str">
        <f>IFERROR(__xludf.DUMMYFUNCTION("""COMPUTED_VALUE"""),"")</f>
        <v/>
      </c>
      <c r="I272" s="85"/>
      <c r="J272" s="85"/>
      <c r="K272" s="85"/>
      <c r="L272" s="86" t="str">
        <f>IFERROR(__xludf.DUMMYFUNCTION("""COMPUTED_VALUE"""),"REJECT")</f>
        <v>REJECT</v>
      </c>
      <c r="M272" s="78" t="str">
        <f>IFERROR(__xludf.DUMMYFUNCTION("""COMPUTED_VALUE"""),"45747BRU")</f>
        <v>45747BRU</v>
      </c>
      <c r="N272" s="85" t="str">
        <f>IFERROR(__xludf.DUMMYFUNCTION("""COMPUTED_VALUE"""),"BRU")</f>
        <v>BRU</v>
      </c>
      <c r="O272" s="101">
        <f>IFERROR(__xludf.DUMMYFUNCTION("""COMPUTED_VALUE"""),45747.0)</f>
        <v>45747</v>
      </c>
      <c r="P272" s="104" t="str">
        <f>IFERROR(__xludf.DUMMYFUNCTION("""COMPUTED_VALUE"""),"ATC")</f>
        <v>ATC</v>
      </c>
      <c r="Q272" s="86" t="str">
        <f>IFERROR(__xludf.DUMMYFUNCTION("""COMPUTED_VALUE"""),"REJECT")</f>
        <v>REJECT</v>
      </c>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row>
    <row r="273">
      <c r="A273" s="93"/>
      <c r="B273" s="85"/>
      <c r="C273" s="86"/>
      <c r="D273" s="93"/>
      <c r="E273" s="85"/>
      <c r="F273" s="85"/>
      <c r="G273" s="86"/>
      <c r="H273" s="78" t="str">
        <f>IFERROR(__xludf.DUMMYFUNCTION("""COMPUTED_VALUE"""),"")</f>
        <v/>
      </c>
      <c r="I273" s="85"/>
      <c r="J273" s="85"/>
      <c r="K273" s="85"/>
      <c r="L273" s="86" t="str">
        <f>IFERROR(__xludf.DUMMYFUNCTION("""COMPUTED_VALUE"""),"REJECT")</f>
        <v>REJECT</v>
      </c>
      <c r="M273" s="78" t="str">
        <f>IFERROR(__xludf.DUMMYFUNCTION("""COMPUTED_VALUE"""),"45747CRL")</f>
        <v>45747CRL</v>
      </c>
      <c r="N273" s="85" t="str">
        <f>IFERROR(__xludf.DUMMYFUNCTION("""COMPUTED_VALUE"""),"CRL")</f>
        <v>CRL</v>
      </c>
      <c r="O273" s="101">
        <f>IFERROR(__xludf.DUMMYFUNCTION("""COMPUTED_VALUE"""),45747.0)</f>
        <v>45747</v>
      </c>
      <c r="P273" s="104" t="str">
        <f>IFERROR(__xludf.DUMMYFUNCTION("""COMPUTED_VALUE"""),"ATC")</f>
        <v>ATC</v>
      </c>
      <c r="Q273" s="86" t="str">
        <f>IFERROR(__xludf.DUMMYFUNCTION("""COMPUTED_VALUE"""),"REJECT")</f>
        <v>REJECT</v>
      </c>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row>
    <row r="274">
      <c r="A274" s="93"/>
      <c r="B274" s="85"/>
      <c r="C274" s="86"/>
      <c r="D274" s="93"/>
      <c r="E274" s="85"/>
      <c r="F274" s="85"/>
      <c r="G274" s="86"/>
      <c r="H274" s="78" t="str">
        <f>IFERROR(__xludf.DUMMYFUNCTION("""COMPUTED_VALUE"""),"")</f>
        <v/>
      </c>
      <c r="I274" s="85"/>
      <c r="J274" s="85"/>
      <c r="K274" s="85"/>
      <c r="L274" s="86" t="str">
        <f>IFERROR(__xludf.DUMMYFUNCTION("""COMPUTED_VALUE"""),"REJECT")</f>
        <v>REJECT</v>
      </c>
      <c r="M274" s="78" t="str">
        <f>IFERROR(__xludf.DUMMYFUNCTION("""COMPUTED_VALUE"""),"44760LTN")</f>
        <v>44760LTN</v>
      </c>
      <c r="N274" s="85" t="str">
        <f>IFERROR(__xludf.DUMMYFUNCTION("""COMPUTED_VALUE"""),"LTN")</f>
        <v>LTN</v>
      </c>
      <c r="O274" s="101">
        <f>IFERROR(__xludf.DUMMYFUNCTION("""COMPUTED_VALUE"""),44760.0)</f>
        <v>44760</v>
      </c>
      <c r="P274" s="104" t="str">
        <f>IFERROR(__xludf.DUMMYFUNCTION("""COMPUTED_VALUE"""),"airport ad-hoc closure")</f>
        <v>airport ad-hoc closure</v>
      </c>
      <c r="Q274" s="86" t="str">
        <f>IFERROR(__xludf.DUMMYFUNCTION("""COMPUTED_VALUE"""),"REJECT")</f>
        <v>REJECT</v>
      </c>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row>
    <row r="275">
      <c r="A275" s="93"/>
      <c r="B275" s="85"/>
      <c r="C275" s="86"/>
      <c r="D275" s="93"/>
      <c r="E275" s="85"/>
      <c r="F275" s="85"/>
      <c r="G275" s="86"/>
      <c r="H275" s="78" t="str">
        <f>IFERROR(__xludf.DUMMYFUNCTION("""COMPUTED_VALUE"""),"")</f>
        <v/>
      </c>
      <c r="I275" s="85"/>
      <c r="J275" s="85"/>
      <c r="K275" s="85"/>
      <c r="L275" s="86" t="str">
        <f>IFERROR(__xludf.DUMMYFUNCTION("""COMPUTED_VALUE"""),"REJECT")</f>
        <v>REJECT</v>
      </c>
      <c r="M275" s="78" t="str">
        <f>IFERROR(__xludf.DUMMYFUNCTION("""COMPUTED_VALUE"""),"45793HEL")</f>
        <v>45793HEL</v>
      </c>
      <c r="N275" s="85" t="str">
        <f>IFERROR(__xludf.DUMMYFUNCTION("""COMPUTED_VALUE"""),"HEL")</f>
        <v>HEL</v>
      </c>
      <c r="O275" s="101">
        <f>IFERROR(__xludf.DUMMYFUNCTION("""COMPUTED_VALUE"""),45793.0)</f>
        <v>45793</v>
      </c>
      <c r="P275" s="85" t="str">
        <f>IFERROR(__xludf.DUMMYFUNCTION("""COMPUTED_VALUE"""),"Strike")</f>
        <v>Strike</v>
      </c>
      <c r="Q275" s="86" t="str">
        <f>IFERROR(__xludf.DUMMYFUNCTION("""COMPUTED_VALUE"""),"REJECT")</f>
        <v>REJECT</v>
      </c>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row>
    <row r="276">
      <c r="A276" s="93"/>
      <c r="B276" s="85"/>
      <c r="C276" s="86"/>
      <c r="D276" s="93"/>
      <c r="E276" s="85"/>
      <c r="F276" s="85"/>
      <c r="G276" s="86"/>
      <c r="H276" s="78" t="str">
        <f>IFERROR(__xludf.DUMMYFUNCTION("""COMPUTED_VALUE"""),"")</f>
        <v/>
      </c>
      <c r="I276" s="85"/>
      <c r="J276" s="85"/>
      <c r="K276" s="85"/>
      <c r="L276" s="86" t="str">
        <f>IFERROR(__xludf.DUMMYFUNCTION("""COMPUTED_VALUE"""),"REJECT")</f>
        <v>REJECT</v>
      </c>
      <c r="M276" s="78" t="str">
        <f>IFERROR(__xludf.DUMMYFUNCTION("""COMPUTED_VALUE"""),"45795ORY")</f>
        <v>45795ORY</v>
      </c>
      <c r="N276" s="85" t="str">
        <f>IFERROR(__xludf.DUMMYFUNCTION("""COMPUTED_VALUE"""),"ORY")</f>
        <v>ORY</v>
      </c>
      <c r="O276" s="101">
        <f>IFERROR(__xludf.DUMMYFUNCTION("""COMPUTED_VALUE"""),45795.0)</f>
        <v>45795</v>
      </c>
      <c r="P276" s="104" t="str">
        <f>IFERROR(__xludf.DUMMYFUNCTION("""COMPUTED_VALUE"""),"Strike")</f>
        <v>Strike</v>
      </c>
      <c r="Q276" s="86" t="str">
        <f>IFERROR(__xludf.DUMMYFUNCTION("""COMPUTED_VALUE"""),"REJECT")</f>
        <v>REJECT</v>
      </c>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row>
    <row r="277">
      <c r="A277" s="93"/>
      <c r="B277" s="85"/>
      <c r="C277" s="86"/>
      <c r="D277" s="93"/>
      <c r="E277" s="85"/>
      <c r="F277" s="85"/>
      <c r="G277" s="86"/>
      <c r="H277" s="78" t="str">
        <f>IFERROR(__xludf.DUMMYFUNCTION("""COMPUTED_VALUE"""),"")</f>
        <v/>
      </c>
      <c r="I277" s="85"/>
      <c r="J277" s="85"/>
      <c r="K277" s="85"/>
      <c r="L277" s="86" t="str">
        <f>IFERROR(__xludf.DUMMYFUNCTION("""COMPUTED_VALUE"""),"REJECT")</f>
        <v>REJECT</v>
      </c>
      <c r="M277" s="78" t="str">
        <f>IFERROR(__xludf.DUMMYFUNCTION("""COMPUTED_VALUE"""),"45796ORY")</f>
        <v>45796ORY</v>
      </c>
      <c r="N277" s="85" t="str">
        <f>IFERROR(__xludf.DUMMYFUNCTION("""COMPUTED_VALUE"""),"ORY")</f>
        <v>ORY</v>
      </c>
      <c r="O277" s="101">
        <f>IFERROR(__xludf.DUMMYFUNCTION("""COMPUTED_VALUE"""),45796.0)</f>
        <v>45796</v>
      </c>
      <c r="P277" s="104" t="str">
        <f>IFERROR(__xludf.DUMMYFUNCTION("""COMPUTED_VALUE"""),"strike")</f>
        <v>strike</v>
      </c>
      <c r="Q277" s="86" t="str">
        <f>IFERROR(__xludf.DUMMYFUNCTION("""COMPUTED_VALUE"""),"REJECT")</f>
        <v>REJECT</v>
      </c>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row>
    <row r="278">
      <c r="A278" s="93"/>
      <c r="B278" s="85"/>
      <c r="C278" s="86"/>
      <c r="D278" s="93"/>
      <c r="E278" s="85"/>
      <c r="F278" s="85"/>
      <c r="G278" s="86"/>
      <c r="H278" s="78" t="str">
        <f>IFERROR(__xludf.DUMMYFUNCTION("""COMPUTED_VALUE"""),"")</f>
        <v/>
      </c>
      <c r="I278" s="85"/>
      <c r="J278" s="85"/>
      <c r="K278" s="85"/>
      <c r="L278" s="86" t="str">
        <f>IFERROR(__xludf.DUMMYFUNCTION("""COMPUTED_VALUE"""),"REJECT")</f>
        <v>REJECT</v>
      </c>
      <c r="M278" s="78" t="str">
        <f>IFERROR(__xludf.DUMMYFUNCTION("""COMPUTED_VALUE"""),"45210LTN")</f>
        <v>45210LTN</v>
      </c>
      <c r="N278" s="85" t="str">
        <f>IFERROR(__xludf.DUMMYFUNCTION("""COMPUTED_VALUE"""),"LTN")</f>
        <v>LTN</v>
      </c>
      <c r="O278" s="101">
        <f>IFERROR(__xludf.DUMMYFUNCTION("""COMPUTED_VALUE"""),45210.0)</f>
        <v>45210</v>
      </c>
      <c r="P278" s="104" t="str">
        <f>IFERROR(__xludf.DUMMYFUNCTION("""COMPUTED_VALUE"""),"ATC")</f>
        <v>ATC</v>
      </c>
      <c r="Q278" s="86" t="str">
        <f>IFERROR(__xludf.DUMMYFUNCTION("""COMPUTED_VALUE"""),"REJECT")</f>
        <v>REJECT</v>
      </c>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row>
    <row r="279">
      <c r="A279" s="93"/>
      <c r="B279" s="85"/>
      <c r="C279" s="86"/>
      <c r="D279" s="93"/>
      <c r="E279" s="85"/>
      <c r="F279" s="85"/>
      <c r="G279" s="86"/>
      <c r="H279" s="78" t="str">
        <f>IFERROR(__xludf.DUMMYFUNCTION("""COMPUTED_VALUE"""),"")</f>
        <v/>
      </c>
      <c r="I279" s="85"/>
      <c r="J279" s="85"/>
      <c r="K279" s="85"/>
      <c r="L279" s="86" t="str">
        <f>IFERROR(__xludf.DUMMYFUNCTION("""COMPUTED_VALUE"""),"REJECT")</f>
        <v>REJECT</v>
      </c>
      <c r="M279" s="78" t="str">
        <f>IFERROR(__xludf.DUMMYFUNCTION("""COMPUTED_VALUE"""),"45720DFW ")</f>
        <v>45720DFW </v>
      </c>
      <c r="N279" s="85" t="str">
        <f>IFERROR(__xludf.DUMMYFUNCTION("""COMPUTED_VALUE"""),"DFW ")</f>
        <v>DFW </v>
      </c>
      <c r="O279" s="101">
        <f>IFERROR(__xludf.DUMMYFUNCTION("""COMPUTED_VALUE"""),45720.0)</f>
        <v>45720</v>
      </c>
      <c r="P279" s="104" t="str">
        <f>IFERROR(__xludf.DUMMYFUNCTION("""COMPUTED_VALUE"""),"Adverse weather")</f>
        <v>Adverse weather</v>
      </c>
      <c r="Q279" s="86" t="str">
        <f>IFERROR(__xludf.DUMMYFUNCTION("""COMPUTED_VALUE"""),"REJECT")</f>
        <v>REJECT</v>
      </c>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row>
    <row r="280">
      <c r="A280" s="93"/>
      <c r="B280" s="85"/>
      <c r="C280" s="86"/>
      <c r="D280" s="93"/>
      <c r="E280" s="85"/>
      <c r="F280" s="85"/>
      <c r="G280" s="86"/>
      <c r="H280" s="78" t="str">
        <f>IFERROR(__xludf.DUMMYFUNCTION("""COMPUTED_VALUE"""),"")</f>
        <v/>
      </c>
      <c r="I280" s="85"/>
      <c r="J280" s="85"/>
      <c r="K280" s="85"/>
      <c r="L280" s="86" t="str">
        <f>IFERROR(__xludf.DUMMYFUNCTION("""COMPUTED_VALUE"""),"REJECT")</f>
        <v>REJECT</v>
      </c>
      <c r="M280" s="78" t="str">
        <f>IFERROR(__xludf.DUMMYFUNCTION("""COMPUTED_VALUE"""),"45631CDG")</f>
        <v>45631CDG</v>
      </c>
      <c r="N280" s="85" t="str">
        <f>IFERROR(__xludf.DUMMYFUNCTION("""COMPUTED_VALUE"""),"CDG")</f>
        <v>CDG</v>
      </c>
      <c r="O280" s="101">
        <f>IFERROR(__xludf.DUMMYFUNCTION("""COMPUTED_VALUE"""),45631.0)</f>
        <v>45631</v>
      </c>
      <c r="P280" s="104" t="str">
        <f>IFERROR(__xludf.DUMMYFUNCTION("""COMPUTED_VALUE"""),"ATC strike")</f>
        <v>ATC strike</v>
      </c>
      <c r="Q280" s="86" t="str">
        <f>IFERROR(__xludf.DUMMYFUNCTION("""COMPUTED_VALUE"""),"REJECT")</f>
        <v>REJECT</v>
      </c>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row>
    <row r="281">
      <c r="A281" s="93"/>
      <c r="B281" s="85"/>
      <c r="C281" s="86"/>
      <c r="D281" s="93"/>
      <c r="E281" s="85"/>
      <c r="F281" s="85"/>
      <c r="G281" s="86"/>
      <c r="H281" s="78" t="str">
        <f>IFERROR(__xludf.DUMMYFUNCTION("""COMPUTED_VALUE"""),"")</f>
        <v/>
      </c>
      <c r="I281" s="85"/>
      <c r="J281" s="85"/>
      <c r="K281" s="85"/>
      <c r="L281" s="86" t="str">
        <f>IFERROR(__xludf.DUMMYFUNCTION("""COMPUTED_VALUE"""),"REJECT")</f>
        <v>REJECT</v>
      </c>
      <c r="M281" s="78" t="str">
        <f>IFERROR(__xludf.DUMMYFUNCTION("""COMPUTED_VALUE"""),"45631ORY")</f>
        <v>45631ORY</v>
      </c>
      <c r="N281" s="85" t="str">
        <f>IFERROR(__xludf.DUMMYFUNCTION("""COMPUTED_VALUE"""),"ORY")</f>
        <v>ORY</v>
      </c>
      <c r="O281" s="101">
        <f>IFERROR(__xludf.DUMMYFUNCTION("""COMPUTED_VALUE"""),45631.0)</f>
        <v>45631</v>
      </c>
      <c r="P281" s="104" t="str">
        <f>IFERROR(__xludf.DUMMYFUNCTION("""COMPUTED_VALUE"""),"ATC strike")</f>
        <v>ATC strike</v>
      </c>
      <c r="Q281" s="86" t="str">
        <f>IFERROR(__xludf.DUMMYFUNCTION("""COMPUTED_VALUE"""),"REJECT")</f>
        <v>REJECT</v>
      </c>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row>
    <row r="282">
      <c r="A282" s="93"/>
      <c r="B282" s="85"/>
      <c r="C282" s="86"/>
      <c r="D282" s="93"/>
      <c r="E282" s="85"/>
      <c r="F282" s="85"/>
      <c r="G282" s="86"/>
      <c r="H282" s="78" t="str">
        <f>IFERROR(__xludf.DUMMYFUNCTION("""COMPUTED_VALUE"""),"")</f>
        <v/>
      </c>
      <c r="I282" s="85"/>
      <c r="J282" s="85"/>
      <c r="K282" s="85"/>
      <c r="L282" s="86" t="str">
        <f>IFERROR(__xludf.DUMMYFUNCTION("""COMPUTED_VALUE"""),"REJECT")</f>
        <v>REJECT</v>
      </c>
      <c r="M282" s="78" t="str">
        <f>IFERROR(__xludf.DUMMYFUNCTION("""COMPUTED_VALUE"""),"45631MRS")</f>
        <v>45631MRS</v>
      </c>
      <c r="N282" s="85" t="str">
        <f>IFERROR(__xludf.DUMMYFUNCTION("""COMPUTED_VALUE"""),"MRS")</f>
        <v>MRS</v>
      </c>
      <c r="O282" s="101">
        <f>IFERROR(__xludf.DUMMYFUNCTION("""COMPUTED_VALUE"""),45631.0)</f>
        <v>45631</v>
      </c>
      <c r="P282" s="104" t="str">
        <f>IFERROR(__xludf.DUMMYFUNCTION("""COMPUTED_VALUE"""),"ATC strike")</f>
        <v>ATC strike</v>
      </c>
      <c r="Q282" s="86" t="str">
        <f>IFERROR(__xludf.DUMMYFUNCTION("""COMPUTED_VALUE"""),"REJECT")</f>
        <v>REJECT</v>
      </c>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row>
    <row r="283">
      <c r="A283" s="93"/>
      <c r="B283" s="85"/>
      <c r="C283" s="86"/>
      <c r="D283" s="93"/>
      <c r="E283" s="85"/>
      <c r="F283" s="85"/>
      <c r="G283" s="86"/>
      <c r="H283" s="78" t="str">
        <f>IFERROR(__xludf.DUMMYFUNCTION("""COMPUTED_VALUE"""),"")</f>
        <v/>
      </c>
      <c r="I283" s="85"/>
      <c r="J283" s="85"/>
      <c r="K283" s="85"/>
      <c r="L283" s="86" t="str">
        <f>IFERROR(__xludf.DUMMYFUNCTION("""COMPUTED_VALUE"""),"REJECT")</f>
        <v>REJECT</v>
      </c>
      <c r="M283" s="78" t="str">
        <f>IFERROR(__xludf.DUMMYFUNCTION("""COMPUTED_VALUE"""),"45631TLS")</f>
        <v>45631TLS</v>
      </c>
      <c r="N283" s="85" t="str">
        <f>IFERROR(__xludf.DUMMYFUNCTION("""COMPUTED_VALUE"""),"TLS")</f>
        <v>TLS</v>
      </c>
      <c r="O283" s="101">
        <f>IFERROR(__xludf.DUMMYFUNCTION("""COMPUTED_VALUE"""),45631.0)</f>
        <v>45631</v>
      </c>
      <c r="P283" s="104" t="str">
        <f>IFERROR(__xludf.DUMMYFUNCTION("""COMPUTED_VALUE"""),"ATC strike")</f>
        <v>ATC strike</v>
      </c>
      <c r="Q283" s="86" t="str">
        <f>IFERROR(__xludf.DUMMYFUNCTION("""COMPUTED_VALUE"""),"REJECT")</f>
        <v>REJECT</v>
      </c>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row>
    <row r="284">
      <c r="A284" s="93"/>
      <c r="B284" s="85"/>
      <c r="C284" s="86"/>
      <c r="D284" s="93"/>
      <c r="E284" s="85"/>
      <c r="F284" s="85"/>
      <c r="G284" s="86"/>
      <c r="H284" s="78" t="str">
        <f>IFERROR(__xludf.DUMMYFUNCTION("""COMPUTED_VALUE"""),"")</f>
        <v/>
      </c>
      <c r="I284" s="85"/>
      <c r="J284" s="85"/>
      <c r="K284" s="85"/>
      <c r="L284" s="86" t="str">
        <f>IFERROR(__xludf.DUMMYFUNCTION("""COMPUTED_VALUE"""),"REJECT")</f>
        <v>REJECT</v>
      </c>
      <c r="M284" s="78" t="str">
        <f>IFERROR(__xludf.DUMMYFUNCTION("""COMPUTED_VALUE"""),"45611KEF")</f>
        <v>45611KEF</v>
      </c>
      <c r="N284" s="85" t="str">
        <f>IFERROR(__xludf.DUMMYFUNCTION("""COMPUTED_VALUE"""),"KEF")</f>
        <v>KEF</v>
      </c>
      <c r="O284" s="101">
        <f>IFERROR(__xludf.DUMMYFUNCTION("""COMPUTED_VALUE"""),45611.0)</f>
        <v>45611</v>
      </c>
      <c r="P284" s="104" t="str">
        <f>IFERROR(__xludf.DUMMYFUNCTION("""COMPUTED_VALUE"""),"Bad Weather")</f>
        <v>Bad Weather</v>
      </c>
      <c r="Q284" s="86" t="str">
        <f>IFERROR(__xludf.DUMMYFUNCTION("""COMPUTED_VALUE"""),"REJECT")</f>
        <v>REJECT</v>
      </c>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row>
    <row r="285">
      <c r="A285" s="93"/>
      <c r="B285" s="85"/>
      <c r="C285" s="86"/>
      <c r="D285" s="93"/>
      <c r="E285" s="85"/>
      <c r="F285" s="85"/>
      <c r="G285" s="86"/>
      <c r="H285" s="78" t="str">
        <f>IFERROR(__xludf.DUMMYFUNCTION("""COMPUTED_VALUE"""),"")</f>
        <v/>
      </c>
      <c r="I285" s="85"/>
      <c r="J285" s="85"/>
      <c r="K285" s="85"/>
      <c r="L285" s="86" t="str">
        <f>IFERROR(__xludf.DUMMYFUNCTION("""COMPUTED_VALUE"""),"REJECT")</f>
        <v>REJECT</v>
      </c>
      <c r="M285" s="78" t="str">
        <f>IFERROR(__xludf.DUMMYFUNCTION("""COMPUTED_VALUE"""),"45817NAP")</f>
        <v>45817NAP</v>
      </c>
      <c r="N285" s="85" t="str">
        <f>IFERROR(__xludf.DUMMYFUNCTION("""COMPUTED_VALUE"""),"NAP")</f>
        <v>NAP</v>
      </c>
      <c r="O285" s="101">
        <f>IFERROR(__xludf.DUMMYFUNCTION("""COMPUTED_VALUE"""),45817.0)</f>
        <v>45817</v>
      </c>
      <c r="P285" s="104" t="str">
        <f>IFERROR(__xludf.DUMMYFUNCTION("""COMPUTED_VALUE"""),"mechanical failure")</f>
        <v>mechanical failure</v>
      </c>
      <c r="Q285" s="86" t="str">
        <f>IFERROR(__xludf.DUMMYFUNCTION("""COMPUTED_VALUE"""),"REJECT")</f>
        <v>REJECT</v>
      </c>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row>
    <row r="286">
      <c r="A286" s="93"/>
      <c r="B286" s="85"/>
      <c r="C286" s="86"/>
      <c r="D286" s="93"/>
      <c r="E286" s="85"/>
      <c r="F286" s="85"/>
      <c r="G286" s="86"/>
      <c r="H286" s="78" t="str">
        <f>IFERROR(__xludf.DUMMYFUNCTION("""COMPUTED_VALUE"""),"")</f>
        <v/>
      </c>
      <c r="I286" s="85"/>
      <c r="J286" s="85"/>
      <c r="K286" s="85"/>
      <c r="L286" s="86" t="str">
        <f>IFERROR(__xludf.DUMMYFUNCTION("""COMPUTED_VALUE"""),"REJECT")</f>
        <v>REJECT</v>
      </c>
      <c r="M286" s="78" t="str">
        <f>IFERROR(__xludf.DUMMYFUNCTION("""COMPUTED_VALUE"""),"45818NAP")</f>
        <v>45818NAP</v>
      </c>
      <c r="N286" s="85" t="str">
        <f>IFERROR(__xludf.DUMMYFUNCTION("""COMPUTED_VALUE"""),"NAP")</f>
        <v>NAP</v>
      </c>
      <c r="O286" s="101">
        <f>IFERROR(__xludf.DUMMYFUNCTION("""COMPUTED_VALUE"""),45818.0)</f>
        <v>45818</v>
      </c>
      <c r="P286" s="104" t="str">
        <f>IFERROR(__xludf.DUMMYFUNCTION("""COMPUTED_VALUE"""),"mechanical failure")</f>
        <v>mechanical failure</v>
      </c>
      <c r="Q286" s="86" t="str">
        <f>IFERROR(__xludf.DUMMYFUNCTION("""COMPUTED_VALUE"""),"REJECT")</f>
        <v>REJECT</v>
      </c>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row>
    <row r="287">
      <c r="A287" s="93"/>
      <c r="B287" s="85"/>
      <c r="C287" s="86"/>
      <c r="D287" s="93"/>
      <c r="E287" s="85"/>
      <c r="F287" s="85"/>
      <c r="G287" s="86"/>
      <c r="H287" s="78" t="str">
        <f>IFERROR(__xludf.DUMMYFUNCTION("""COMPUTED_VALUE"""),"")</f>
        <v/>
      </c>
      <c r="I287" s="85"/>
      <c r="J287" s="85"/>
      <c r="K287" s="85"/>
      <c r="L287" s="86" t="str">
        <f>IFERROR(__xludf.DUMMYFUNCTION("""COMPUTED_VALUE"""),"REJECT")</f>
        <v>REJECT</v>
      </c>
      <c r="M287" s="78" t="str">
        <f>IFERROR(__xludf.DUMMYFUNCTION("""COMPUTED_VALUE"""),"45783TLS")</f>
        <v>45783TLS</v>
      </c>
      <c r="N287" s="85" t="str">
        <f>IFERROR(__xludf.DUMMYFUNCTION("""COMPUTED_VALUE"""),"TLS")</f>
        <v>TLS</v>
      </c>
      <c r="O287" s="101">
        <f>IFERROR(__xludf.DUMMYFUNCTION("""COMPUTED_VALUE"""),45783.0)</f>
        <v>45783</v>
      </c>
      <c r="P287" s="104" t="str">
        <f>IFERROR(__xludf.DUMMYFUNCTION("""COMPUTED_VALUE"""),"Strike")</f>
        <v>Strike</v>
      </c>
      <c r="Q287" s="86" t="str">
        <f>IFERROR(__xludf.DUMMYFUNCTION("""COMPUTED_VALUE"""),"REJECT")</f>
        <v>REJECT</v>
      </c>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row>
    <row r="288">
      <c r="A288" s="93"/>
      <c r="B288" s="85"/>
      <c r="C288" s="86"/>
      <c r="D288" s="93"/>
      <c r="E288" s="85"/>
      <c r="F288" s="85"/>
      <c r="G288" s="86"/>
      <c r="H288" s="78" t="str">
        <f>IFERROR(__xludf.DUMMYFUNCTION("""COMPUTED_VALUE"""),"")</f>
        <v/>
      </c>
      <c r="I288" s="85"/>
      <c r="J288" s="85"/>
      <c r="K288" s="85"/>
      <c r="L288" s="86" t="str">
        <f>IFERROR(__xludf.DUMMYFUNCTION("""COMPUTED_VALUE"""),"REJECT")</f>
        <v>REJECT</v>
      </c>
      <c r="M288" s="78" t="str">
        <f>IFERROR(__xludf.DUMMYFUNCTION("""COMPUTED_VALUE"""),"45681DUB")</f>
        <v>45681DUB</v>
      </c>
      <c r="N288" s="85" t="str">
        <f>IFERROR(__xludf.DUMMYFUNCTION("""COMPUTED_VALUE"""),"DUB")</f>
        <v>DUB</v>
      </c>
      <c r="O288" s="101">
        <f>IFERROR(__xludf.DUMMYFUNCTION("""COMPUTED_VALUE"""),45681.0)</f>
        <v>45681</v>
      </c>
      <c r="P288" s="104" t="str">
        <f>IFERROR(__xludf.DUMMYFUNCTION("""COMPUTED_VALUE"""),"ATC")</f>
        <v>ATC</v>
      </c>
      <c r="Q288" s="86" t="str">
        <f>IFERROR(__xludf.DUMMYFUNCTION("""COMPUTED_VALUE"""),"REJECT")</f>
        <v>REJECT</v>
      </c>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row>
    <row r="289">
      <c r="A289" s="93"/>
      <c r="B289" s="85"/>
      <c r="C289" s="86"/>
      <c r="D289" s="93"/>
      <c r="E289" s="85"/>
      <c r="F289" s="85"/>
      <c r="G289" s="86"/>
      <c r="H289" s="78" t="str">
        <f>IFERROR(__xludf.DUMMYFUNCTION("""COMPUTED_VALUE"""),"")</f>
        <v/>
      </c>
      <c r="I289" s="85"/>
      <c r="J289" s="85"/>
      <c r="K289" s="85"/>
      <c r="L289" s="86" t="str">
        <f>IFERROR(__xludf.DUMMYFUNCTION("""COMPUTED_VALUE"""),"REJECT")</f>
        <v>REJECT</v>
      </c>
      <c r="M289" s="78" t="str">
        <f>IFERROR(__xludf.DUMMYFUNCTION("""COMPUTED_VALUE"""),"45466MAN")</f>
        <v>45466MAN</v>
      </c>
      <c r="N289" s="85" t="str">
        <f>IFERROR(__xludf.DUMMYFUNCTION("""COMPUTED_VALUE"""),"MAN")</f>
        <v>MAN</v>
      </c>
      <c r="O289" s="101">
        <f>IFERROR(__xludf.DUMMYFUNCTION("""COMPUTED_VALUE"""),45466.0)</f>
        <v>45466</v>
      </c>
      <c r="P289" s="104" t="str">
        <f>IFERROR(__xludf.DUMMYFUNCTION("""COMPUTED_VALUE"""),"ATC")</f>
        <v>ATC</v>
      </c>
      <c r="Q289" s="86" t="str">
        <f>IFERROR(__xludf.DUMMYFUNCTION("""COMPUTED_VALUE"""),"REJECT")</f>
        <v>REJECT</v>
      </c>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row>
    <row r="290">
      <c r="A290" s="93"/>
      <c r="B290" s="85"/>
      <c r="C290" s="86"/>
      <c r="D290" s="93"/>
      <c r="E290" s="85"/>
      <c r="F290" s="85"/>
      <c r="G290" s="86"/>
      <c r="H290" s="78" t="str">
        <f>IFERROR(__xludf.DUMMYFUNCTION("""COMPUTED_VALUE"""),"")</f>
        <v/>
      </c>
      <c r="I290" s="85"/>
      <c r="J290" s="85"/>
      <c r="K290" s="85"/>
      <c r="L290" s="86" t="str">
        <f>IFERROR(__xludf.DUMMYFUNCTION("""COMPUTED_VALUE"""),"REJECT")</f>
        <v>REJECT</v>
      </c>
      <c r="M290" s="78" t="str">
        <f>IFERROR(__xludf.DUMMYFUNCTION("""COMPUTED_VALUE"""),"45807OPO")</f>
        <v>45807OPO</v>
      </c>
      <c r="N290" s="85" t="str">
        <f>IFERROR(__xludf.DUMMYFUNCTION("""COMPUTED_VALUE"""),"OPO")</f>
        <v>OPO</v>
      </c>
      <c r="O290" s="101">
        <f>IFERROR(__xludf.DUMMYFUNCTION("""COMPUTED_VALUE"""),45807.0)</f>
        <v>45807</v>
      </c>
      <c r="P290" s="104" t="str">
        <f>IFERROR(__xludf.DUMMYFUNCTION("""COMPUTED_VALUE"""),"Adverse weather")</f>
        <v>Adverse weather</v>
      </c>
      <c r="Q290" s="86" t="str">
        <f>IFERROR(__xludf.DUMMYFUNCTION("""COMPUTED_VALUE"""),"REJECT")</f>
        <v>REJECT</v>
      </c>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row>
    <row r="291">
      <c r="A291" s="93"/>
      <c r="B291" s="85"/>
      <c r="C291" s="86"/>
      <c r="D291" s="93"/>
      <c r="E291" s="85"/>
      <c r="F291" s="85"/>
      <c r="G291" s="86"/>
      <c r="H291" s="78" t="str">
        <f>IFERROR(__xludf.DUMMYFUNCTION("""COMPUTED_VALUE"""),"")</f>
        <v/>
      </c>
      <c r="I291" s="85"/>
      <c r="J291" s="85"/>
      <c r="K291" s="85"/>
      <c r="L291" s="86" t="str">
        <f>IFERROR(__xludf.DUMMYFUNCTION("""COMPUTED_VALUE"""),"REJECT")</f>
        <v>REJECT</v>
      </c>
      <c r="M291" s="78" t="str">
        <f>IFERROR(__xludf.DUMMYFUNCTION("""COMPUTED_VALUE"""),"45097MXP")</f>
        <v>45097MXP</v>
      </c>
      <c r="N291" s="85" t="str">
        <f>IFERROR(__xludf.DUMMYFUNCTION("""COMPUTED_VALUE"""),"MXP")</f>
        <v>MXP</v>
      </c>
      <c r="O291" s="101">
        <f>IFERROR(__xludf.DUMMYFUNCTION("""COMPUTED_VALUE"""),45097.0)</f>
        <v>45097</v>
      </c>
      <c r="P291" s="104" t="str">
        <f>IFERROR(__xludf.DUMMYFUNCTION("""COMPUTED_VALUE"""),"Strike")</f>
        <v>Strike</v>
      </c>
      <c r="Q291" s="86" t="str">
        <f>IFERROR(__xludf.DUMMYFUNCTION("""COMPUTED_VALUE"""),"REJECT")</f>
        <v>REJECT</v>
      </c>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row>
    <row r="292">
      <c r="A292" s="93"/>
      <c r="B292" s="85"/>
      <c r="C292" s="86"/>
      <c r="D292" s="93"/>
      <c r="E292" s="85"/>
      <c r="F292" s="85"/>
      <c r="G292" s="86"/>
      <c r="H292" s="78" t="str">
        <f>IFERROR(__xludf.DUMMYFUNCTION("""COMPUTED_VALUE"""),"")</f>
        <v/>
      </c>
      <c r="I292" s="85"/>
      <c r="J292" s="85"/>
      <c r="K292" s="85"/>
      <c r="L292" s="86" t="str">
        <f>IFERROR(__xludf.DUMMYFUNCTION("""COMPUTED_VALUE"""),"REJECT")</f>
        <v>REJECT</v>
      </c>
      <c r="M292" s="78" t="str">
        <f>IFERROR(__xludf.DUMMYFUNCTION("""COMPUTED_VALUE"""),"45808OPO ")</f>
        <v>45808OPO </v>
      </c>
      <c r="N292" s="85" t="str">
        <f>IFERROR(__xludf.DUMMYFUNCTION("""COMPUTED_VALUE"""),"OPO ")</f>
        <v>OPO </v>
      </c>
      <c r="O292" s="101">
        <f>IFERROR(__xludf.DUMMYFUNCTION("""COMPUTED_VALUE"""),45808.0)</f>
        <v>45808</v>
      </c>
      <c r="P292" s="104" t="str">
        <f>IFERROR(__xludf.DUMMYFUNCTION("""COMPUTED_VALUE"""),"Adverse weather")</f>
        <v>Adverse weather</v>
      </c>
      <c r="Q292" s="86" t="str">
        <f>IFERROR(__xludf.DUMMYFUNCTION("""COMPUTED_VALUE"""),"REJECT")</f>
        <v>REJECT</v>
      </c>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row>
    <row r="293">
      <c r="A293" s="93"/>
      <c r="B293" s="85"/>
      <c r="C293" s="86"/>
      <c r="D293" s="93"/>
      <c r="E293" s="85"/>
      <c r="F293" s="85"/>
      <c r="G293" s="86"/>
      <c r="H293" s="78" t="str">
        <f>IFERROR(__xludf.DUMMYFUNCTION("""COMPUTED_VALUE"""),"")</f>
        <v/>
      </c>
      <c r="I293" s="85"/>
      <c r="J293" s="85"/>
      <c r="K293" s="85"/>
      <c r="L293" s="86" t="str">
        <f>IFERROR(__xludf.DUMMYFUNCTION("""COMPUTED_VALUE"""),"REJECT")</f>
        <v>REJECT</v>
      </c>
      <c r="M293" s="78" t="str">
        <f>IFERROR(__xludf.DUMMYFUNCTION("""COMPUTED_VALUE"""),"45261MUC")</f>
        <v>45261MUC</v>
      </c>
      <c r="N293" s="85" t="str">
        <f>IFERROR(__xludf.DUMMYFUNCTION("""COMPUTED_VALUE"""),"MUC")</f>
        <v>MUC</v>
      </c>
      <c r="O293" s="101">
        <f>IFERROR(__xludf.DUMMYFUNCTION("""COMPUTED_VALUE"""),45261.0)</f>
        <v>45261</v>
      </c>
      <c r="P293" s="104" t="str">
        <f>IFERROR(__xludf.DUMMYFUNCTION("""COMPUTED_VALUE"""),"Adverse Weather")</f>
        <v>Adverse Weather</v>
      </c>
      <c r="Q293" s="86" t="str">
        <f>IFERROR(__xludf.DUMMYFUNCTION("""COMPUTED_VALUE"""),"REJECT")</f>
        <v>REJECT</v>
      </c>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row>
    <row r="294">
      <c r="A294" s="93"/>
      <c r="B294" s="85"/>
      <c r="C294" s="86"/>
      <c r="D294" s="93"/>
      <c r="E294" s="85"/>
      <c r="F294" s="85"/>
      <c r="G294" s="86"/>
      <c r="H294" s="78" t="str">
        <f>IFERROR(__xludf.DUMMYFUNCTION("""COMPUTED_VALUE"""),"")</f>
        <v/>
      </c>
      <c r="I294" s="85"/>
      <c r="J294" s="85"/>
      <c r="K294" s="85"/>
      <c r="L294" s="86" t="str">
        <f>IFERROR(__xludf.DUMMYFUNCTION("""COMPUTED_VALUE"""),"REJECT")</f>
        <v>REJECT</v>
      </c>
      <c r="M294" s="78" t="str">
        <f>IFERROR(__xludf.DUMMYFUNCTION("""COMPUTED_VALUE"""),"45666DTM")</f>
        <v>45666DTM</v>
      </c>
      <c r="N294" s="85" t="str">
        <f>IFERROR(__xludf.DUMMYFUNCTION("""COMPUTED_VALUE"""),"DTM")</f>
        <v>DTM</v>
      </c>
      <c r="O294" s="101">
        <f>IFERROR(__xludf.DUMMYFUNCTION("""COMPUTED_VALUE"""),45666.0)</f>
        <v>45666</v>
      </c>
      <c r="P294" s="104" t="str">
        <f>IFERROR(__xludf.DUMMYFUNCTION("""COMPUTED_VALUE"""),"Adverse Weather")</f>
        <v>Adverse Weather</v>
      </c>
      <c r="Q294" s="86" t="str">
        <f>IFERROR(__xludf.DUMMYFUNCTION("""COMPUTED_VALUE"""),"REJECT")</f>
        <v>REJECT</v>
      </c>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row>
    <row r="295">
      <c r="A295" s="93"/>
      <c r="B295" s="85"/>
      <c r="C295" s="86"/>
      <c r="D295" s="93"/>
      <c r="E295" s="85"/>
      <c r="F295" s="85"/>
      <c r="G295" s="86"/>
      <c r="H295" s="78" t="str">
        <f>IFERROR(__xludf.DUMMYFUNCTION("""COMPUTED_VALUE"""),"")</f>
        <v/>
      </c>
      <c r="I295" s="85"/>
      <c r="J295" s="85"/>
      <c r="K295" s="85"/>
      <c r="L295" s="86" t="str">
        <f>IFERROR(__xludf.DUMMYFUNCTION("""COMPUTED_VALUE"""),"REJECT")</f>
        <v>REJECT</v>
      </c>
      <c r="M295" s="78" t="str">
        <f>IFERROR(__xludf.DUMMYFUNCTION("""COMPUTED_VALUE"""),"45726FRA")</f>
        <v>45726FRA</v>
      </c>
      <c r="N295" s="85" t="str">
        <f>IFERROR(__xludf.DUMMYFUNCTION("""COMPUTED_VALUE"""),"FRA")</f>
        <v>FRA</v>
      </c>
      <c r="O295" s="101">
        <f>IFERROR(__xludf.DUMMYFUNCTION("""COMPUTED_VALUE"""),45726.0)</f>
        <v>45726</v>
      </c>
      <c r="P295" s="104" t="str">
        <f>IFERROR(__xludf.DUMMYFUNCTION("""COMPUTED_VALUE"""),"Strike")</f>
        <v>Strike</v>
      </c>
      <c r="Q295" s="86" t="str">
        <f>IFERROR(__xludf.DUMMYFUNCTION("""COMPUTED_VALUE"""),"REJECT")</f>
        <v>REJECT</v>
      </c>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row>
    <row r="296">
      <c r="A296" s="93"/>
      <c r="B296" s="85"/>
      <c r="C296" s="86"/>
      <c r="D296" s="93"/>
      <c r="E296" s="85"/>
      <c r="F296" s="85"/>
      <c r="G296" s="86"/>
      <c r="H296" s="78" t="str">
        <f>IFERROR(__xludf.DUMMYFUNCTION("""COMPUTED_VALUE"""),"")</f>
        <v/>
      </c>
      <c r="I296" s="85"/>
      <c r="J296" s="85"/>
      <c r="K296" s="85"/>
      <c r="L296" s="86" t="str">
        <f>IFERROR(__xludf.DUMMYFUNCTION("""COMPUTED_VALUE"""),"REJECT")</f>
        <v>REJECT</v>
      </c>
      <c r="M296" s="78" t="str">
        <f>IFERROR(__xludf.DUMMYFUNCTION("""COMPUTED_VALUE"""),"45848MXP")</f>
        <v>45848MXP</v>
      </c>
      <c r="N296" s="85" t="str">
        <f>IFERROR(__xludf.DUMMYFUNCTION("""COMPUTED_VALUE"""),"MXP")</f>
        <v>MXP</v>
      </c>
      <c r="O296" s="101">
        <f>IFERROR(__xludf.DUMMYFUNCTION("""COMPUTED_VALUE"""),45848.0)</f>
        <v>45848</v>
      </c>
      <c r="P296" s="104" t="str">
        <f>IFERROR(__xludf.DUMMYFUNCTION("""COMPUTED_VALUE"""),"Strike")</f>
        <v>Strike</v>
      </c>
      <c r="Q296" s="86" t="str">
        <f>IFERROR(__xludf.DUMMYFUNCTION("""COMPUTED_VALUE"""),"REJECT")</f>
        <v>REJECT</v>
      </c>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row>
    <row r="297">
      <c r="A297" s="93"/>
      <c r="B297" s="85"/>
      <c r="C297" s="86"/>
      <c r="D297" s="93"/>
      <c r="E297" s="85"/>
      <c r="F297" s="85"/>
      <c r="G297" s="86"/>
      <c r="H297" s="78" t="str">
        <f>IFERROR(__xludf.DUMMYFUNCTION("""COMPUTED_VALUE"""),"")</f>
        <v/>
      </c>
      <c r="I297" s="85"/>
      <c r="J297" s="85"/>
      <c r="K297" s="85"/>
      <c r="L297" s="86" t="str">
        <f>IFERROR(__xludf.DUMMYFUNCTION("""COMPUTED_VALUE"""),"REJECT")</f>
        <v>REJECT</v>
      </c>
      <c r="M297" s="78" t="str">
        <f>IFERROR(__xludf.DUMMYFUNCTION("""COMPUTED_VALUE"""),"45848LIN")</f>
        <v>45848LIN</v>
      </c>
      <c r="N297" s="85" t="str">
        <f>IFERROR(__xludf.DUMMYFUNCTION("""COMPUTED_VALUE"""),"LIN")</f>
        <v>LIN</v>
      </c>
      <c r="O297" s="101">
        <f>IFERROR(__xludf.DUMMYFUNCTION("""COMPUTED_VALUE"""),45848.0)</f>
        <v>45848</v>
      </c>
      <c r="P297" s="104" t="str">
        <f>IFERROR(__xludf.DUMMYFUNCTION("""COMPUTED_VALUE"""),"Strike")</f>
        <v>Strike</v>
      </c>
      <c r="Q297" s="86" t="str">
        <f>IFERROR(__xludf.DUMMYFUNCTION("""COMPUTED_VALUE"""),"REJECT")</f>
        <v>REJECT</v>
      </c>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row>
    <row r="298">
      <c r="A298" s="93"/>
      <c r="B298" s="85"/>
      <c r="C298" s="86"/>
      <c r="D298" s="93"/>
      <c r="E298" s="85"/>
      <c r="F298" s="85"/>
      <c r="G298" s="86"/>
      <c r="H298" s="78" t="str">
        <f>IFERROR(__xludf.DUMMYFUNCTION("""COMPUTED_VALUE"""),"")</f>
        <v/>
      </c>
      <c r="I298" s="85"/>
      <c r="J298" s="85"/>
      <c r="K298" s="85"/>
      <c r="L298" s="86" t="str">
        <f>IFERROR(__xludf.DUMMYFUNCTION("""COMPUTED_VALUE"""),"REJECT")</f>
        <v>REJECT</v>
      </c>
      <c r="M298" s="78" t="str">
        <f>IFERROR(__xludf.DUMMYFUNCTION("""COMPUTED_VALUE"""),"45848VCE")</f>
        <v>45848VCE</v>
      </c>
      <c r="N298" s="85" t="str">
        <f>IFERROR(__xludf.DUMMYFUNCTION("""COMPUTED_VALUE"""),"VCE")</f>
        <v>VCE</v>
      </c>
      <c r="O298" s="101">
        <f>IFERROR(__xludf.DUMMYFUNCTION("""COMPUTED_VALUE"""),45848.0)</f>
        <v>45848</v>
      </c>
      <c r="P298" s="104" t="str">
        <f>IFERROR(__xludf.DUMMYFUNCTION("""COMPUTED_VALUE"""),"Strike")</f>
        <v>Strike</v>
      </c>
      <c r="Q298" s="86" t="str">
        <f>IFERROR(__xludf.DUMMYFUNCTION("""COMPUTED_VALUE"""),"REJECT")</f>
        <v>REJECT</v>
      </c>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row>
    <row r="299">
      <c r="A299" s="93"/>
      <c r="B299" s="85"/>
      <c r="C299" s="86"/>
      <c r="D299" s="93"/>
      <c r="E299" s="85"/>
      <c r="F299" s="85"/>
      <c r="G299" s="86"/>
      <c r="H299" s="78" t="str">
        <f>IFERROR(__xludf.DUMMYFUNCTION("""COMPUTED_VALUE"""),"")</f>
        <v/>
      </c>
      <c r="I299" s="85"/>
      <c r="J299" s="85"/>
      <c r="K299" s="85"/>
      <c r="L299" s="86" t="str">
        <f>IFERROR(__xludf.DUMMYFUNCTION("""COMPUTED_VALUE"""),"REJECT")</f>
        <v>REJECT</v>
      </c>
      <c r="M299" s="78" t="str">
        <f>IFERROR(__xludf.DUMMYFUNCTION("""COMPUTED_VALUE"""),"45848NAP")</f>
        <v>45848NAP</v>
      </c>
      <c r="N299" s="85" t="str">
        <f>IFERROR(__xludf.DUMMYFUNCTION("""COMPUTED_VALUE"""),"NAP")</f>
        <v>NAP</v>
      </c>
      <c r="O299" s="101">
        <f>IFERROR(__xludf.DUMMYFUNCTION("""COMPUTED_VALUE"""),45848.0)</f>
        <v>45848</v>
      </c>
      <c r="P299" s="104" t="str">
        <f>IFERROR(__xludf.DUMMYFUNCTION("""COMPUTED_VALUE"""),"Strike")</f>
        <v>Strike</v>
      </c>
      <c r="Q299" s="86" t="str">
        <f>IFERROR(__xludf.DUMMYFUNCTION("""COMPUTED_VALUE"""),"REJECT")</f>
        <v>REJECT</v>
      </c>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row>
    <row r="300">
      <c r="A300" s="93"/>
      <c r="B300" s="85"/>
      <c r="C300" s="86"/>
      <c r="D300" s="93"/>
      <c r="E300" s="85"/>
      <c r="F300" s="85"/>
      <c r="G300" s="86"/>
      <c r="H300" s="78" t="str">
        <f>IFERROR(__xludf.DUMMYFUNCTION("""COMPUTED_VALUE"""),"")</f>
        <v/>
      </c>
      <c r="I300" s="85"/>
      <c r="J300" s="85"/>
      <c r="K300" s="85"/>
      <c r="L300" s="86" t="str">
        <f>IFERROR(__xludf.DUMMYFUNCTION("""COMPUTED_VALUE"""),"REJECT")</f>
        <v>REJECT</v>
      </c>
      <c r="M300" s="78" t="str">
        <f>IFERROR(__xludf.DUMMYFUNCTION("""COMPUTED_VALUE"""),"45846MRS")</f>
        <v>45846MRS</v>
      </c>
      <c r="N300" s="85" t="str">
        <f>IFERROR(__xludf.DUMMYFUNCTION("""COMPUTED_VALUE"""),"MRS")</f>
        <v>MRS</v>
      </c>
      <c r="O300" s="101">
        <f>IFERROR(__xludf.DUMMYFUNCTION("""COMPUTED_VALUE"""),45846.0)</f>
        <v>45846</v>
      </c>
      <c r="P300" s="104" t="str">
        <f>IFERROR(__xludf.DUMMYFUNCTION("""COMPUTED_VALUE"""),"Airport shutdown due to wildfires")</f>
        <v>Airport shutdown due to wildfires</v>
      </c>
      <c r="Q300" s="86" t="str">
        <f>IFERROR(__xludf.DUMMYFUNCTION("""COMPUTED_VALUE"""),"REJECT")</f>
        <v>REJECT</v>
      </c>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row>
    <row r="301">
      <c r="A301" s="93"/>
      <c r="B301" s="85"/>
      <c r="C301" s="86"/>
      <c r="D301" s="93"/>
      <c r="E301" s="85"/>
      <c r="F301" s="85"/>
      <c r="G301" s="86"/>
      <c r="H301" s="78" t="str">
        <f>IFERROR(__xludf.DUMMYFUNCTION("""COMPUTED_VALUE"""),"")</f>
        <v/>
      </c>
      <c r="I301" s="85"/>
      <c r="J301" s="85"/>
      <c r="K301" s="85"/>
      <c r="L301" s="86" t="str">
        <f>IFERROR(__xludf.DUMMYFUNCTION("""COMPUTED_VALUE"""),"REJECT")</f>
        <v>REJECT</v>
      </c>
      <c r="M301" s="78" t="str">
        <f>IFERROR(__xludf.DUMMYFUNCTION("""COMPUTED_VALUE"""),"45833BRU")</f>
        <v>45833BRU</v>
      </c>
      <c r="N301" s="85" t="str">
        <f>IFERROR(__xludf.DUMMYFUNCTION("""COMPUTED_VALUE"""),"BRU")</f>
        <v>BRU</v>
      </c>
      <c r="O301" s="101">
        <f>IFERROR(__xludf.DUMMYFUNCTION("""COMPUTED_VALUE"""),45833.0)</f>
        <v>45833</v>
      </c>
      <c r="P301" s="104" t="str">
        <f>IFERROR(__xludf.DUMMYFUNCTION("""COMPUTED_VALUE"""),"Strike")</f>
        <v>Strike</v>
      </c>
      <c r="Q301" s="86" t="str">
        <f>IFERROR(__xludf.DUMMYFUNCTION("""COMPUTED_VALUE"""),"REJECT")</f>
        <v>REJECT</v>
      </c>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row>
    <row r="302">
      <c r="A302" s="93"/>
      <c r="B302" s="85"/>
      <c r="C302" s="86"/>
      <c r="D302" s="93"/>
      <c r="E302" s="85"/>
      <c r="F302" s="85"/>
      <c r="G302" s="86"/>
      <c r="H302" s="78" t="str">
        <f>IFERROR(__xludf.DUMMYFUNCTION("""COMPUTED_VALUE"""),"")</f>
        <v/>
      </c>
      <c r="I302" s="85"/>
      <c r="J302" s="85"/>
      <c r="K302" s="85"/>
      <c r="L302" s="86" t="str">
        <f>IFERROR(__xludf.DUMMYFUNCTION("""COMPUTED_VALUE"""),"REJECT")</f>
        <v>REJECT</v>
      </c>
      <c r="M302" s="78" t="str">
        <f>IFERROR(__xludf.DUMMYFUNCTION("""COMPUTED_VALUE"""),"45833CRL")</f>
        <v>45833CRL</v>
      </c>
      <c r="N302" s="85" t="str">
        <f>IFERROR(__xludf.DUMMYFUNCTION("""COMPUTED_VALUE"""),"CRL")</f>
        <v>CRL</v>
      </c>
      <c r="O302" s="101">
        <f>IFERROR(__xludf.DUMMYFUNCTION("""COMPUTED_VALUE"""),45833.0)</f>
        <v>45833</v>
      </c>
      <c r="P302" s="104" t="str">
        <f>IFERROR(__xludf.DUMMYFUNCTION("""COMPUTED_VALUE"""),"Strike")</f>
        <v>Strike</v>
      </c>
      <c r="Q302" s="86" t="str">
        <f>IFERROR(__xludf.DUMMYFUNCTION("""COMPUTED_VALUE"""),"REJECT")</f>
        <v>REJECT</v>
      </c>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row>
    <row r="303">
      <c r="A303" s="93"/>
      <c r="B303" s="85"/>
      <c r="C303" s="86"/>
      <c r="D303" s="93"/>
      <c r="E303" s="85"/>
      <c r="F303" s="85"/>
      <c r="G303" s="86"/>
      <c r="H303" s="78" t="str">
        <f>IFERROR(__xludf.DUMMYFUNCTION("""COMPUTED_VALUE"""),"")</f>
        <v/>
      </c>
      <c r="I303" s="85"/>
      <c r="J303" s="85"/>
      <c r="K303" s="85"/>
      <c r="L303" s="86" t="str">
        <f>IFERROR(__xludf.DUMMYFUNCTION("""COMPUTED_VALUE"""),"REJECT")</f>
        <v>REJECT</v>
      </c>
      <c r="M303" s="78" t="str">
        <f>IFERROR(__xludf.DUMMYFUNCTION("""COMPUTED_VALUE"""),"45166LTN")</f>
        <v>45166LTN</v>
      </c>
      <c r="N303" s="85" t="str">
        <f>IFERROR(__xludf.DUMMYFUNCTION("""COMPUTED_VALUE"""),"LTN")</f>
        <v>LTN</v>
      </c>
      <c r="O303" s="101">
        <f>IFERROR(__xludf.DUMMYFUNCTION("""COMPUTED_VALUE"""),45166.0)</f>
        <v>45166</v>
      </c>
      <c r="P303" s="104" t="str">
        <f>IFERROR(__xludf.DUMMYFUNCTION("""COMPUTED_VALUE"""),"ATC")</f>
        <v>ATC</v>
      </c>
      <c r="Q303" s="86" t="str">
        <f>IFERROR(__xludf.DUMMYFUNCTION("""COMPUTED_VALUE"""),"REJECT")</f>
        <v>REJECT</v>
      </c>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row>
    <row r="304">
      <c r="A304" s="93"/>
      <c r="B304" s="85"/>
      <c r="C304" s="86"/>
      <c r="D304" s="93"/>
      <c r="E304" s="85"/>
      <c r="F304" s="85"/>
      <c r="G304" s="86"/>
      <c r="H304" s="78" t="str">
        <f>IFERROR(__xludf.DUMMYFUNCTION("""COMPUTED_VALUE"""),"")</f>
        <v/>
      </c>
      <c r="I304" s="85"/>
      <c r="J304" s="85"/>
      <c r="K304" s="85"/>
      <c r="L304" s="86" t="str">
        <f>IFERROR(__xludf.DUMMYFUNCTION("""COMPUTED_VALUE"""),"REJECT")</f>
        <v>REJECT</v>
      </c>
      <c r="M304" s="78" t="str">
        <f>IFERROR(__xludf.DUMMYFUNCTION("""COMPUTED_VALUE"""),"45438ORY")</f>
        <v>45438ORY</v>
      </c>
      <c r="N304" s="85" t="str">
        <f>IFERROR(__xludf.DUMMYFUNCTION("""COMPUTED_VALUE"""),"ORY")</f>
        <v>ORY</v>
      </c>
      <c r="O304" s="101">
        <f>IFERROR(__xludf.DUMMYFUNCTION("""COMPUTED_VALUE"""),45438.0)</f>
        <v>45438</v>
      </c>
      <c r="P304" s="104" t="str">
        <f>IFERROR(__xludf.DUMMYFUNCTION("""COMPUTED_VALUE"""),"ATC")</f>
        <v>ATC</v>
      </c>
      <c r="Q304" s="86" t="str">
        <f>IFERROR(__xludf.DUMMYFUNCTION("""COMPUTED_VALUE"""),"REJECT")</f>
        <v>REJECT</v>
      </c>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row>
    <row r="305">
      <c r="A305" s="93"/>
      <c r="B305" s="85"/>
      <c r="C305" s="86"/>
      <c r="D305" s="93"/>
      <c r="E305" s="85"/>
      <c r="F305" s="85"/>
      <c r="G305" s="86"/>
      <c r="H305" s="78" t="str">
        <f>IFERROR(__xludf.DUMMYFUNCTION("""COMPUTED_VALUE"""),"")</f>
        <v/>
      </c>
      <c r="I305" s="85"/>
      <c r="J305" s="85"/>
      <c r="K305" s="85"/>
      <c r="L305" s="86" t="str">
        <f>IFERROR(__xludf.DUMMYFUNCTION("""COMPUTED_VALUE"""),"REJECT")</f>
        <v>REJECT</v>
      </c>
      <c r="M305" s="78" t="str">
        <f>IFERROR(__xludf.DUMMYFUNCTION("""COMPUTED_VALUE"""),"45836BGY")</f>
        <v>45836BGY</v>
      </c>
      <c r="N305" s="85" t="str">
        <f>IFERROR(__xludf.DUMMYFUNCTION("""COMPUTED_VALUE"""),"BGY")</f>
        <v>BGY</v>
      </c>
      <c r="O305" s="101">
        <f>IFERROR(__xludf.DUMMYFUNCTION("""COMPUTED_VALUE"""),45836.0)</f>
        <v>45836</v>
      </c>
      <c r="P305" s="104" t="str">
        <f>IFERROR(__xludf.DUMMYFUNCTION("""COMPUTED_VALUE"""),"Radar Failure")</f>
        <v>Radar Failure</v>
      </c>
      <c r="Q305" s="86" t="str">
        <f>IFERROR(__xludf.DUMMYFUNCTION("""COMPUTED_VALUE"""),"REJECT")</f>
        <v>REJECT</v>
      </c>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row>
    <row r="306">
      <c r="A306" s="93"/>
      <c r="B306" s="85"/>
      <c r="C306" s="86"/>
      <c r="D306" s="93"/>
      <c r="E306" s="85"/>
      <c r="F306" s="85"/>
      <c r="G306" s="86"/>
      <c r="H306" s="78" t="str">
        <f>IFERROR(__xludf.DUMMYFUNCTION("""COMPUTED_VALUE"""),"")</f>
        <v/>
      </c>
      <c r="I306" s="85"/>
      <c r="J306" s="85"/>
      <c r="K306" s="85"/>
      <c r="L306" s="86" t="str">
        <f>IFERROR(__xludf.DUMMYFUNCTION("""COMPUTED_VALUE"""),"REJECT")</f>
        <v>REJECT</v>
      </c>
      <c r="M306" s="78" t="str">
        <f>IFERROR(__xludf.DUMMYFUNCTION("""COMPUTED_VALUE"""),"45836LIN")</f>
        <v>45836LIN</v>
      </c>
      <c r="N306" s="85" t="str">
        <f>IFERROR(__xludf.DUMMYFUNCTION("""COMPUTED_VALUE"""),"LIN")</f>
        <v>LIN</v>
      </c>
      <c r="O306" s="101">
        <f>IFERROR(__xludf.DUMMYFUNCTION("""COMPUTED_VALUE"""),45836.0)</f>
        <v>45836</v>
      </c>
      <c r="P306" s="104" t="str">
        <f>IFERROR(__xludf.DUMMYFUNCTION("""COMPUTED_VALUE"""),"Radar Failure")</f>
        <v>Radar Failure</v>
      </c>
      <c r="Q306" s="86" t="str">
        <f>IFERROR(__xludf.DUMMYFUNCTION("""COMPUTED_VALUE"""),"REJECT")</f>
        <v>REJECT</v>
      </c>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row>
    <row r="307">
      <c r="A307" s="93"/>
      <c r="B307" s="85"/>
      <c r="C307" s="86"/>
      <c r="D307" s="93"/>
      <c r="E307" s="85"/>
      <c r="F307" s="85"/>
      <c r="G307" s="86"/>
      <c r="H307" s="78" t="str">
        <f>IFERROR(__xludf.DUMMYFUNCTION("""COMPUTED_VALUE"""),"")</f>
        <v/>
      </c>
      <c r="I307" s="85"/>
      <c r="J307" s="85"/>
      <c r="K307" s="85"/>
      <c r="L307" s="86" t="str">
        <f>IFERROR(__xludf.DUMMYFUNCTION("""COMPUTED_VALUE"""),"REJECT")</f>
        <v>REJECT</v>
      </c>
      <c r="M307" s="78" t="str">
        <f>IFERROR(__xludf.DUMMYFUNCTION("""COMPUTED_VALUE"""),"45427SAP")</f>
        <v>45427SAP</v>
      </c>
      <c r="N307" s="85" t="str">
        <f>IFERROR(__xludf.DUMMYFUNCTION("""COMPUTED_VALUE"""),"SAP")</f>
        <v>SAP</v>
      </c>
      <c r="O307" s="101">
        <f>IFERROR(__xludf.DUMMYFUNCTION("""COMPUTED_VALUE"""),45427.0)</f>
        <v>45427</v>
      </c>
      <c r="P307" s="104" t="str">
        <f>IFERROR(__xludf.DUMMYFUNCTION("""COMPUTED_VALUE"""),"ATC")</f>
        <v>ATC</v>
      </c>
      <c r="Q307" s="86" t="str">
        <f>IFERROR(__xludf.DUMMYFUNCTION("""COMPUTED_VALUE"""),"REJECT")</f>
        <v>REJECT</v>
      </c>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row>
    <row r="308">
      <c r="A308" s="93"/>
      <c r="B308" s="85"/>
      <c r="C308" s="86"/>
      <c r="D308" s="93"/>
      <c r="E308" s="85"/>
      <c r="F308" s="85"/>
      <c r="G308" s="86"/>
      <c r="H308" s="78" t="str">
        <f>IFERROR(__xludf.DUMMYFUNCTION("""COMPUTED_VALUE"""),"")</f>
        <v/>
      </c>
      <c r="I308" s="85"/>
      <c r="J308" s="85"/>
      <c r="K308" s="85"/>
      <c r="L308" s="86" t="str">
        <f>IFERROR(__xludf.DUMMYFUNCTION("""COMPUTED_VALUE"""),"REJECT")</f>
        <v>REJECT</v>
      </c>
      <c r="M308" s="78" t="str">
        <f>IFERROR(__xludf.DUMMYFUNCTION("""COMPUTED_VALUE"""),"45841MAD")</f>
        <v>45841MAD</v>
      </c>
      <c r="N308" s="85" t="str">
        <f>IFERROR(__xludf.DUMMYFUNCTION("""COMPUTED_VALUE"""),"MAD")</f>
        <v>MAD</v>
      </c>
      <c r="O308" s="101">
        <f>IFERROR(__xludf.DUMMYFUNCTION("""COMPUTED_VALUE"""),45841.0)</f>
        <v>45841</v>
      </c>
      <c r="P308" s="104" t="str">
        <f>IFERROR(__xludf.DUMMYFUNCTION("""COMPUTED_VALUE"""),"Strike")</f>
        <v>Strike</v>
      </c>
      <c r="Q308" s="86" t="str">
        <f>IFERROR(__xludf.DUMMYFUNCTION("""COMPUTED_VALUE"""),"REJECT")</f>
        <v>REJECT</v>
      </c>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row>
    <row r="309">
      <c r="A309" s="93"/>
      <c r="B309" s="85"/>
      <c r="C309" s="86"/>
      <c r="D309" s="93"/>
      <c r="E309" s="85"/>
      <c r="F309" s="85"/>
      <c r="G309" s="86"/>
      <c r="H309" s="78" t="str">
        <f>IFERROR(__xludf.DUMMYFUNCTION("""COMPUTED_VALUE"""),"")</f>
        <v/>
      </c>
      <c r="I309" s="85"/>
      <c r="J309" s="85"/>
      <c r="K309" s="85"/>
      <c r="L309" s="86" t="str">
        <f>IFERROR(__xludf.DUMMYFUNCTION("""COMPUTED_VALUE"""),"REJECT")</f>
        <v>REJECT</v>
      </c>
      <c r="M309" s="78" t="str">
        <f>IFERROR(__xludf.DUMMYFUNCTION("""COMPUTED_VALUE"""),"45841IBZ")</f>
        <v>45841IBZ</v>
      </c>
      <c r="N309" s="85" t="str">
        <f>IFERROR(__xludf.DUMMYFUNCTION("""COMPUTED_VALUE"""),"IBZ")</f>
        <v>IBZ</v>
      </c>
      <c r="O309" s="101">
        <f>IFERROR(__xludf.DUMMYFUNCTION("""COMPUTED_VALUE"""),45841.0)</f>
        <v>45841</v>
      </c>
      <c r="P309" s="104" t="str">
        <f>IFERROR(__xludf.DUMMYFUNCTION("""COMPUTED_VALUE"""),"ATC")</f>
        <v>ATC</v>
      </c>
      <c r="Q309" s="86" t="str">
        <f>IFERROR(__xludf.DUMMYFUNCTION("""COMPUTED_VALUE"""),"REJECT")</f>
        <v>REJECT</v>
      </c>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row>
    <row r="310">
      <c r="A310" s="93"/>
      <c r="B310" s="85"/>
      <c r="C310" s="86"/>
      <c r="D310" s="93"/>
      <c r="E310" s="85"/>
      <c r="F310" s="85"/>
      <c r="G310" s="86"/>
      <c r="H310" s="78" t="str">
        <f>IFERROR(__xludf.DUMMYFUNCTION("""COMPUTED_VALUE"""),"")</f>
        <v/>
      </c>
      <c r="I310" s="85"/>
      <c r="J310" s="85"/>
      <c r="K310" s="85"/>
      <c r="L310" s="86" t="str">
        <f>IFERROR(__xludf.DUMMYFUNCTION("""COMPUTED_VALUE"""),"REJECT")</f>
        <v>REJECT</v>
      </c>
      <c r="M310" s="78" t="str">
        <f>IFERROR(__xludf.DUMMYFUNCTION("""COMPUTED_VALUE"""),"44998BRE ")</f>
        <v>44998BRE </v>
      </c>
      <c r="N310" s="85" t="str">
        <f>IFERROR(__xludf.DUMMYFUNCTION("""COMPUTED_VALUE"""),"BRE ")</f>
        <v>BRE </v>
      </c>
      <c r="O310" s="101">
        <f>IFERROR(__xludf.DUMMYFUNCTION("""COMPUTED_VALUE"""),44998.0)</f>
        <v>44998</v>
      </c>
      <c r="P310" s="104" t="str">
        <f>IFERROR(__xludf.DUMMYFUNCTION("""COMPUTED_VALUE"""),"strike ")</f>
        <v>strike </v>
      </c>
      <c r="Q310" s="86" t="str">
        <f>IFERROR(__xludf.DUMMYFUNCTION("""COMPUTED_VALUE"""),"REJECT")</f>
        <v>REJECT</v>
      </c>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row>
    <row r="311">
      <c r="A311" s="93"/>
      <c r="B311" s="85"/>
      <c r="C311" s="86"/>
      <c r="D311" s="93"/>
      <c r="E311" s="85"/>
      <c r="F311" s="85"/>
      <c r="G311" s="86"/>
      <c r="H311" s="78" t="str">
        <f>IFERROR(__xludf.DUMMYFUNCTION("""COMPUTED_VALUE"""),"")</f>
        <v/>
      </c>
      <c r="I311" s="85"/>
      <c r="J311" s="85"/>
      <c r="K311" s="85"/>
      <c r="L311" s="86" t="str">
        <f>IFERROR(__xludf.DUMMYFUNCTION("""COMPUTED_VALUE"""),"REJECT")</f>
        <v>REJECT</v>
      </c>
      <c r="M311" s="78" t="str">
        <f>IFERROR(__xludf.DUMMYFUNCTION("""COMPUTED_VALUE"""),"44998HAM")</f>
        <v>44998HAM</v>
      </c>
      <c r="N311" s="85" t="str">
        <f>IFERROR(__xludf.DUMMYFUNCTION("""COMPUTED_VALUE"""),"HAM")</f>
        <v>HAM</v>
      </c>
      <c r="O311" s="101">
        <f>IFERROR(__xludf.DUMMYFUNCTION("""COMPUTED_VALUE"""),44998.0)</f>
        <v>44998</v>
      </c>
      <c r="P311" s="85" t="str">
        <f>IFERROR(__xludf.DUMMYFUNCTION("""COMPUTED_VALUE"""),"strike ")</f>
        <v>strike </v>
      </c>
      <c r="Q311" s="86" t="str">
        <f>IFERROR(__xludf.DUMMYFUNCTION("""COMPUTED_VALUE"""),"REJECT")</f>
        <v>REJECT</v>
      </c>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row>
    <row r="312">
      <c r="A312" s="93"/>
      <c r="B312" s="85"/>
      <c r="C312" s="86"/>
      <c r="D312" s="93"/>
      <c r="E312" s="85"/>
      <c r="F312" s="85"/>
      <c r="G312" s="86"/>
      <c r="H312" s="78" t="str">
        <f>IFERROR(__xludf.DUMMYFUNCTION("""COMPUTED_VALUE"""),"")</f>
        <v/>
      </c>
      <c r="I312" s="85"/>
      <c r="J312" s="85"/>
      <c r="K312" s="85"/>
      <c r="L312" s="86" t="str">
        <f>IFERROR(__xludf.DUMMYFUNCTION("""COMPUTED_VALUE"""),"REJECT")</f>
        <v>REJECT</v>
      </c>
      <c r="M312" s="78" t="str">
        <f>IFERROR(__xludf.DUMMYFUNCTION("""COMPUTED_VALUE"""),"45670CRL")</f>
        <v>45670CRL</v>
      </c>
      <c r="N312" s="85" t="str">
        <f>IFERROR(__xludf.DUMMYFUNCTION("""COMPUTED_VALUE"""),"CRL")</f>
        <v>CRL</v>
      </c>
      <c r="O312" s="101">
        <f>IFERROR(__xludf.DUMMYFUNCTION("""COMPUTED_VALUE"""),45670.0)</f>
        <v>45670</v>
      </c>
      <c r="P312" s="85" t="str">
        <f>IFERROR(__xludf.DUMMYFUNCTION("""COMPUTED_VALUE"""),"ATC")</f>
        <v>ATC</v>
      </c>
      <c r="Q312" s="86" t="str">
        <f>IFERROR(__xludf.DUMMYFUNCTION("""COMPUTED_VALUE"""),"REJECT")</f>
        <v>REJECT</v>
      </c>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row>
    <row r="313">
      <c r="A313" s="93"/>
      <c r="B313" s="85"/>
      <c r="C313" s="86"/>
      <c r="D313" s="93"/>
      <c r="E313" s="85"/>
      <c r="F313" s="85"/>
      <c r="G313" s="86"/>
      <c r="H313" s="78" t="str">
        <f>IFERROR(__xludf.DUMMYFUNCTION("""COMPUTED_VALUE"""),"")</f>
        <v/>
      </c>
      <c r="I313" s="85"/>
      <c r="J313" s="85"/>
      <c r="K313" s="85"/>
      <c r="L313" s="86" t="str">
        <f>IFERROR(__xludf.DUMMYFUNCTION("""COMPUTED_VALUE"""),"REJECT")</f>
        <v>REJECT</v>
      </c>
      <c r="M313" s="78" t="str">
        <f>IFERROR(__xludf.DUMMYFUNCTION("""COMPUTED_VALUE"""),"45047BVA")</f>
        <v>45047BVA</v>
      </c>
      <c r="N313" s="85" t="str">
        <f>IFERROR(__xludf.DUMMYFUNCTION("""COMPUTED_VALUE"""),"BVA")</f>
        <v>BVA</v>
      </c>
      <c r="O313" s="101">
        <f>IFERROR(__xludf.DUMMYFUNCTION("""COMPUTED_VALUE"""),45047.0)</f>
        <v>45047</v>
      </c>
      <c r="P313" s="104" t="str">
        <f>IFERROR(__xludf.DUMMYFUNCTION("""COMPUTED_VALUE"""),"ATC")</f>
        <v>ATC</v>
      </c>
      <c r="Q313" s="86" t="str">
        <f>IFERROR(__xludf.DUMMYFUNCTION("""COMPUTED_VALUE"""),"REJECT")</f>
        <v>REJECT</v>
      </c>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row>
    <row r="314">
      <c r="A314" s="93"/>
      <c r="B314" s="85"/>
      <c r="C314" s="86"/>
      <c r="D314" s="93"/>
      <c r="E314" s="85"/>
      <c r="F314" s="85"/>
      <c r="G314" s="86"/>
      <c r="H314" s="78" t="str">
        <f>IFERROR(__xludf.DUMMYFUNCTION("""COMPUTED_VALUE"""),"")</f>
        <v/>
      </c>
      <c r="I314" s="85"/>
      <c r="J314" s="85"/>
      <c r="K314" s="85"/>
      <c r="L314" s="86" t="str">
        <f>IFERROR(__xludf.DUMMYFUNCTION("""COMPUTED_VALUE"""),"REJECT")</f>
        <v>REJECT</v>
      </c>
      <c r="M314" s="78" t="str">
        <f>IFERROR(__xludf.DUMMYFUNCTION("""COMPUTED_VALUE"""),"45310ZAZ")</f>
        <v>45310ZAZ</v>
      </c>
      <c r="N314" s="85" t="str">
        <f>IFERROR(__xludf.DUMMYFUNCTION("""COMPUTED_VALUE"""),"ZAZ")</f>
        <v>ZAZ</v>
      </c>
      <c r="O314" s="101">
        <f>IFERROR(__xludf.DUMMYFUNCTION("""COMPUTED_VALUE"""),45310.0)</f>
        <v>45310</v>
      </c>
      <c r="P314" s="104" t="str">
        <f>IFERROR(__xludf.DUMMYFUNCTION("""COMPUTED_VALUE"""),"Adverse Weather")</f>
        <v>Adverse Weather</v>
      </c>
      <c r="Q314" s="86" t="str">
        <f>IFERROR(__xludf.DUMMYFUNCTION("""COMPUTED_VALUE"""),"REJECT")</f>
        <v>REJECT</v>
      </c>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row>
    <row r="315">
      <c r="A315" s="93"/>
      <c r="B315" s="85"/>
      <c r="C315" s="86"/>
      <c r="D315" s="93"/>
      <c r="E315" s="85"/>
      <c r="F315" s="85"/>
      <c r="G315" s="86"/>
      <c r="H315" s="78" t="str">
        <f>IFERROR(__xludf.DUMMYFUNCTION("""COMPUTED_VALUE"""),"")</f>
        <v/>
      </c>
      <c r="I315" s="85"/>
      <c r="J315" s="85"/>
      <c r="K315" s="85"/>
      <c r="L315" s="86" t="str">
        <f>IFERROR(__xludf.DUMMYFUNCTION("""COMPUTED_VALUE"""),"REJECT")</f>
        <v>REJECT</v>
      </c>
      <c r="M315" s="78" t="str">
        <f>IFERROR(__xludf.DUMMYFUNCTION("""COMPUTED_VALUE"""),"45816ZAG")</f>
        <v>45816ZAG</v>
      </c>
      <c r="N315" s="85" t="str">
        <f>IFERROR(__xludf.DUMMYFUNCTION("""COMPUTED_VALUE"""),"ZAG")</f>
        <v>ZAG</v>
      </c>
      <c r="O315" s="101">
        <f>IFERROR(__xludf.DUMMYFUNCTION("""COMPUTED_VALUE"""),45816.0)</f>
        <v>45816</v>
      </c>
      <c r="P315" s="104" t="str">
        <f>IFERROR(__xludf.DUMMYFUNCTION("""COMPUTED_VALUE"""),"ATC")</f>
        <v>ATC</v>
      </c>
      <c r="Q315" s="86" t="str">
        <f>IFERROR(__xludf.DUMMYFUNCTION("""COMPUTED_VALUE"""),"REJECT")</f>
        <v>REJECT</v>
      </c>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row>
    <row r="316">
      <c r="A316" s="93"/>
      <c r="B316" s="85"/>
      <c r="C316" s="86"/>
      <c r="D316" s="93"/>
      <c r="E316" s="85"/>
      <c r="F316" s="85"/>
      <c r="G316" s="86"/>
      <c r="H316" s="78" t="str">
        <f>IFERROR(__xludf.DUMMYFUNCTION("""COMPUTED_VALUE"""),"")</f>
        <v/>
      </c>
      <c r="I316" s="85"/>
      <c r="J316" s="85"/>
      <c r="K316" s="85"/>
      <c r="L316" s="86" t="str">
        <f>IFERROR(__xludf.DUMMYFUNCTION("""COMPUTED_VALUE"""),"REJECT")</f>
        <v>REJECT</v>
      </c>
      <c r="M316" s="78" t="str">
        <f>IFERROR(__xludf.DUMMYFUNCTION("""COMPUTED_VALUE"""),"45841LIS")</f>
        <v>45841LIS</v>
      </c>
      <c r="N316" s="85" t="str">
        <f>IFERROR(__xludf.DUMMYFUNCTION("""COMPUTED_VALUE"""),"LIS")</f>
        <v>LIS</v>
      </c>
      <c r="O316" s="101">
        <f>IFERROR(__xludf.DUMMYFUNCTION("""COMPUTED_VALUE"""),45841.0)</f>
        <v>45841</v>
      </c>
      <c r="P316" s="104"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16" s="86" t="str">
        <f>IFERROR(__xludf.DUMMYFUNCTION("""COMPUTED_VALUE"""),"REJECT")</f>
        <v>REJECT</v>
      </c>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row>
    <row r="317">
      <c r="A317" s="93"/>
      <c r="B317" s="85"/>
      <c r="C317" s="86"/>
      <c r="D317" s="93"/>
      <c r="E317" s="85"/>
      <c r="F317" s="85"/>
      <c r="G317" s="86"/>
      <c r="H317" s="78" t="str">
        <f>IFERROR(__xludf.DUMMYFUNCTION("""COMPUTED_VALUE"""),"")</f>
        <v/>
      </c>
      <c r="I317" s="85"/>
      <c r="J317" s="85"/>
      <c r="K317" s="85"/>
      <c r="L317" s="86" t="str">
        <f>IFERROR(__xludf.DUMMYFUNCTION("""COMPUTED_VALUE"""),"REJECT")</f>
        <v>REJECT</v>
      </c>
      <c r="M317" s="78" t="str">
        <f>IFERROR(__xludf.DUMMYFUNCTION("""COMPUTED_VALUE"""),"45842LIS")</f>
        <v>45842LIS</v>
      </c>
      <c r="N317" s="85" t="str">
        <f>IFERROR(__xludf.DUMMYFUNCTION("""COMPUTED_VALUE"""),"LIS")</f>
        <v>LIS</v>
      </c>
      <c r="O317" s="101">
        <f>IFERROR(__xludf.DUMMYFUNCTION("""COMPUTED_VALUE"""),45842.0)</f>
        <v>45842</v>
      </c>
      <c r="P317" s="104"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17" s="86" t="str">
        <f>IFERROR(__xludf.DUMMYFUNCTION("""COMPUTED_VALUE"""),"REJECT")</f>
        <v>REJECT</v>
      </c>
      <c r="R317" s="66"/>
      <c r="S317" s="66"/>
      <c r="T317" s="66"/>
      <c r="U317" s="66"/>
      <c r="V317" s="66"/>
      <c r="W317" s="66"/>
      <c r="X317" s="66"/>
      <c r="Y317" s="66"/>
      <c r="Z317" s="66"/>
      <c r="AA317" s="66"/>
      <c r="AB317" s="66"/>
      <c r="AC317" s="66"/>
      <c r="AD317" s="66"/>
      <c r="AE317" s="66"/>
      <c r="AF317" s="66"/>
      <c r="AG317" s="66"/>
      <c r="AH317" s="66"/>
      <c r="AI317" s="66"/>
      <c r="AJ317" s="66"/>
      <c r="AK317" s="66"/>
      <c r="AL317" s="66"/>
      <c r="AM317" s="66"/>
      <c r="AN317" s="66"/>
      <c r="AO317" s="66"/>
    </row>
    <row r="318">
      <c r="A318" s="93"/>
      <c r="B318" s="85"/>
      <c r="C318" s="86"/>
      <c r="D318" s="93"/>
      <c r="E318" s="85"/>
      <c r="F318" s="85"/>
      <c r="G318" s="86"/>
      <c r="H318" s="78" t="str">
        <f>IFERROR(__xludf.DUMMYFUNCTION("""COMPUTED_VALUE"""),"")</f>
        <v/>
      </c>
      <c r="I318" s="85"/>
      <c r="J318" s="85"/>
      <c r="K318" s="85"/>
      <c r="L318" s="86" t="str">
        <f>IFERROR(__xludf.DUMMYFUNCTION("""COMPUTED_VALUE"""),"REJECT")</f>
        <v>REJECT</v>
      </c>
      <c r="M318" s="78" t="str">
        <f>IFERROR(__xludf.DUMMYFUNCTION("""COMPUTED_VALUE"""),"45841FNC")</f>
        <v>45841FNC</v>
      </c>
      <c r="N318" s="85" t="str">
        <f>IFERROR(__xludf.DUMMYFUNCTION("""COMPUTED_VALUE"""),"FNC")</f>
        <v>FNC</v>
      </c>
      <c r="O318" s="101">
        <f>IFERROR(__xludf.DUMMYFUNCTION("""COMPUTED_VALUE"""),45841.0)</f>
        <v>45841</v>
      </c>
      <c r="P318"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18" s="86" t="str">
        <f>IFERROR(__xludf.DUMMYFUNCTION("""COMPUTED_VALUE"""),"REJECT")</f>
        <v>REJECT</v>
      </c>
      <c r="R318" s="66"/>
      <c r="S318" s="66"/>
      <c r="T318" s="66"/>
      <c r="U318" s="66"/>
      <c r="V318" s="66"/>
      <c r="W318" s="66"/>
      <c r="X318" s="66"/>
      <c r="Y318" s="66"/>
      <c r="Z318" s="66"/>
      <c r="AA318" s="66"/>
      <c r="AB318" s="66"/>
      <c r="AC318" s="66"/>
      <c r="AD318" s="66"/>
      <c r="AE318" s="66"/>
      <c r="AF318" s="66"/>
      <c r="AG318" s="66"/>
      <c r="AH318" s="66"/>
      <c r="AI318" s="66"/>
      <c r="AJ318" s="66"/>
      <c r="AK318" s="66"/>
      <c r="AL318" s="66"/>
      <c r="AM318" s="66"/>
      <c r="AN318" s="66"/>
      <c r="AO318" s="66"/>
    </row>
    <row r="319">
      <c r="A319" s="93"/>
      <c r="B319" s="85"/>
      <c r="C319" s="86"/>
      <c r="D319" s="93"/>
      <c r="E319" s="85"/>
      <c r="F319" s="85"/>
      <c r="G319" s="86"/>
      <c r="H319" s="78" t="str">
        <f>IFERROR(__xludf.DUMMYFUNCTION("""COMPUTED_VALUE"""),"")</f>
        <v/>
      </c>
      <c r="I319" s="85"/>
      <c r="J319" s="85"/>
      <c r="K319" s="85"/>
      <c r="L319" s="86" t="str">
        <f>IFERROR(__xludf.DUMMYFUNCTION("""COMPUTED_VALUE"""),"REJECT")</f>
        <v>REJECT</v>
      </c>
      <c r="M319" s="78" t="str">
        <f>IFERROR(__xludf.DUMMYFUNCTION("""COMPUTED_VALUE"""),"45842FNC")</f>
        <v>45842FNC</v>
      </c>
      <c r="N319" s="85" t="str">
        <f>IFERROR(__xludf.DUMMYFUNCTION("""COMPUTED_VALUE"""),"FNC")</f>
        <v>FNC</v>
      </c>
      <c r="O319" s="101">
        <f>IFERROR(__xludf.DUMMYFUNCTION("""COMPUTED_VALUE"""),45842.0)</f>
        <v>45842</v>
      </c>
      <c r="P319"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19" s="86" t="str">
        <f>IFERROR(__xludf.DUMMYFUNCTION("""COMPUTED_VALUE"""),"REJECT")</f>
        <v>REJECT</v>
      </c>
      <c r="R319" s="66"/>
      <c r="S319" s="66"/>
      <c r="T319" s="66"/>
      <c r="U319" s="66"/>
      <c r="V319" s="66"/>
      <c r="W319" s="66"/>
      <c r="X319" s="66"/>
      <c r="Y319" s="66"/>
      <c r="Z319" s="66"/>
      <c r="AA319" s="66"/>
      <c r="AB319" s="66"/>
      <c r="AC319" s="66"/>
      <c r="AD319" s="66"/>
      <c r="AE319" s="66"/>
      <c r="AF319" s="66"/>
      <c r="AG319" s="66"/>
      <c r="AH319" s="66"/>
      <c r="AI319" s="66"/>
      <c r="AJ319" s="66"/>
      <c r="AK319" s="66"/>
      <c r="AL319" s="66"/>
      <c r="AM319" s="66"/>
      <c r="AN319" s="66"/>
      <c r="AO319" s="66"/>
    </row>
    <row r="320">
      <c r="A320" s="93"/>
      <c r="B320" s="85"/>
      <c r="C320" s="86"/>
      <c r="D320" s="93"/>
      <c r="E320" s="85"/>
      <c r="F320" s="85"/>
      <c r="G320" s="86"/>
      <c r="H320" s="78" t="str">
        <f>IFERROR(__xludf.DUMMYFUNCTION("""COMPUTED_VALUE"""),"")</f>
        <v/>
      </c>
      <c r="I320" s="85"/>
      <c r="J320" s="85"/>
      <c r="K320" s="85"/>
      <c r="L320" s="86" t="str">
        <f>IFERROR(__xludf.DUMMYFUNCTION("""COMPUTED_VALUE"""),"REJECT")</f>
        <v>REJECT</v>
      </c>
      <c r="M320" s="78" t="str">
        <f>IFERROR(__xludf.DUMMYFUNCTION("""COMPUTED_VALUE"""),"45841OPO")</f>
        <v>45841OPO</v>
      </c>
      <c r="N320" s="85" t="str">
        <f>IFERROR(__xludf.DUMMYFUNCTION("""COMPUTED_VALUE"""),"OPO")</f>
        <v>OPO</v>
      </c>
      <c r="O320" s="101">
        <f>IFERROR(__xludf.DUMMYFUNCTION("""COMPUTED_VALUE"""),45841.0)</f>
        <v>45841</v>
      </c>
      <c r="P320"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20" s="86" t="str">
        <f>IFERROR(__xludf.DUMMYFUNCTION("""COMPUTED_VALUE"""),"REJECT")</f>
        <v>REJECT</v>
      </c>
      <c r="R320" s="66"/>
      <c r="S320" s="66"/>
      <c r="T320" s="66"/>
      <c r="U320" s="66"/>
      <c r="V320" s="66"/>
      <c r="W320" s="66"/>
      <c r="X320" s="66"/>
      <c r="Y320" s="66"/>
      <c r="Z320" s="66"/>
      <c r="AA320" s="66"/>
      <c r="AB320" s="66"/>
      <c r="AC320" s="66"/>
      <c r="AD320" s="66"/>
      <c r="AE320" s="66"/>
      <c r="AF320" s="66"/>
      <c r="AG320" s="66"/>
      <c r="AH320" s="66"/>
      <c r="AI320" s="66"/>
      <c r="AJ320" s="66"/>
      <c r="AK320" s="66"/>
      <c r="AL320" s="66"/>
      <c r="AM320" s="66"/>
      <c r="AN320" s="66"/>
      <c r="AO320" s="66"/>
    </row>
    <row r="321">
      <c r="A321" s="93"/>
      <c r="B321" s="85"/>
      <c r="C321" s="86"/>
      <c r="D321" s="93"/>
      <c r="E321" s="85"/>
      <c r="F321" s="85"/>
      <c r="G321" s="86"/>
      <c r="H321" s="78" t="str">
        <f>IFERROR(__xludf.DUMMYFUNCTION("""COMPUTED_VALUE"""),"")</f>
        <v/>
      </c>
      <c r="I321" s="85"/>
      <c r="J321" s="85"/>
      <c r="K321" s="85"/>
      <c r="L321" s="86" t="str">
        <f>IFERROR(__xludf.DUMMYFUNCTION("""COMPUTED_VALUE"""),"REJECT")</f>
        <v>REJECT</v>
      </c>
      <c r="M321" s="78" t="str">
        <f>IFERROR(__xludf.DUMMYFUNCTION("""COMPUTED_VALUE"""),"45842OPO")</f>
        <v>45842OPO</v>
      </c>
      <c r="N321" s="85" t="str">
        <f>IFERROR(__xludf.DUMMYFUNCTION("""COMPUTED_VALUE"""),"OPO")</f>
        <v>OPO</v>
      </c>
      <c r="O321" s="101">
        <f>IFERROR(__xludf.DUMMYFUNCTION("""COMPUTED_VALUE"""),45842.0)</f>
        <v>45842</v>
      </c>
      <c r="P321"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21" s="86" t="str">
        <f>IFERROR(__xludf.DUMMYFUNCTION("""COMPUTED_VALUE"""),"REJECT")</f>
        <v>REJECT</v>
      </c>
      <c r="R321" s="66"/>
      <c r="S321" s="66"/>
      <c r="T321" s="66"/>
      <c r="U321" s="66"/>
      <c r="V321" s="66"/>
      <c r="W321" s="66"/>
      <c r="X321" s="66"/>
      <c r="Y321" s="66"/>
      <c r="Z321" s="66"/>
      <c r="AA321" s="66"/>
      <c r="AB321" s="66"/>
      <c r="AC321" s="66"/>
      <c r="AD321" s="66"/>
      <c r="AE321" s="66"/>
      <c r="AF321" s="66"/>
      <c r="AG321" s="66"/>
      <c r="AH321" s="66"/>
      <c r="AI321" s="66"/>
      <c r="AJ321" s="66"/>
      <c r="AK321" s="66"/>
      <c r="AL321" s="66"/>
      <c r="AM321" s="66"/>
      <c r="AN321" s="66"/>
      <c r="AO321" s="66"/>
    </row>
    <row r="322">
      <c r="A322" s="93"/>
      <c r="B322" s="85"/>
      <c r="C322" s="86"/>
      <c r="D322" s="93"/>
      <c r="E322" s="85"/>
      <c r="F322" s="85"/>
      <c r="G322" s="86"/>
      <c r="H322" s="78" t="str">
        <f>IFERROR(__xludf.DUMMYFUNCTION("""COMPUTED_VALUE"""),"")</f>
        <v/>
      </c>
      <c r="I322" s="85"/>
      <c r="J322" s="85"/>
      <c r="K322" s="85"/>
      <c r="L322" s="86" t="str">
        <f>IFERROR(__xludf.DUMMYFUNCTION("""COMPUTED_VALUE"""),"REJECT")</f>
        <v>REJECT</v>
      </c>
      <c r="M322" s="78" t="str">
        <f>IFERROR(__xludf.DUMMYFUNCTION("""COMPUTED_VALUE"""),"45841FAO")</f>
        <v>45841FAO</v>
      </c>
      <c r="N322" s="85" t="str">
        <f>IFERROR(__xludf.DUMMYFUNCTION("""COMPUTED_VALUE"""),"FAO")</f>
        <v>FAO</v>
      </c>
      <c r="O322" s="101">
        <f>IFERROR(__xludf.DUMMYFUNCTION("""COMPUTED_VALUE"""),45841.0)</f>
        <v>45841</v>
      </c>
      <c r="P322"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22" s="86" t="str">
        <f>IFERROR(__xludf.DUMMYFUNCTION("""COMPUTED_VALUE"""),"REJECT")</f>
        <v>REJECT</v>
      </c>
      <c r="R322" s="66"/>
      <c r="S322" s="66"/>
      <c r="T322" s="66"/>
      <c r="U322" s="66"/>
      <c r="V322" s="66"/>
      <c r="W322" s="66"/>
      <c r="X322" s="66"/>
      <c r="Y322" s="66"/>
      <c r="Z322" s="66"/>
      <c r="AA322" s="66"/>
      <c r="AB322" s="66"/>
      <c r="AC322" s="66"/>
      <c r="AD322" s="66"/>
      <c r="AE322" s="66"/>
      <c r="AF322" s="66"/>
      <c r="AG322" s="66"/>
      <c r="AH322" s="66"/>
      <c r="AI322" s="66"/>
      <c r="AJ322" s="66"/>
      <c r="AK322" s="66"/>
      <c r="AL322" s="66"/>
      <c r="AM322" s="66"/>
      <c r="AN322" s="66"/>
      <c r="AO322" s="66"/>
    </row>
    <row r="323">
      <c r="A323" s="93"/>
      <c r="B323" s="85"/>
      <c r="C323" s="86"/>
      <c r="D323" s="93"/>
      <c r="E323" s="85"/>
      <c r="F323" s="85"/>
      <c r="G323" s="86"/>
      <c r="H323" s="78" t="str">
        <f>IFERROR(__xludf.DUMMYFUNCTION("""COMPUTED_VALUE"""),"")</f>
        <v/>
      </c>
      <c r="I323" s="85"/>
      <c r="J323" s="85"/>
      <c r="K323" s="85"/>
      <c r="L323" s="86" t="str">
        <f>IFERROR(__xludf.DUMMYFUNCTION("""COMPUTED_VALUE"""),"REJECT")</f>
        <v>REJECT</v>
      </c>
      <c r="M323" s="78" t="str">
        <f>IFERROR(__xludf.DUMMYFUNCTION("""COMPUTED_VALUE"""),"45842FAO")</f>
        <v>45842FAO</v>
      </c>
      <c r="N323" s="85" t="str">
        <f>IFERROR(__xludf.DUMMYFUNCTION("""COMPUTED_VALUE"""),"FAO")</f>
        <v>FAO</v>
      </c>
      <c r="O323" s="101">
        <f>IFERROR(__xludf.DUMMYFUNCTION("""COMPUTED_VALUE"""),45842.0)</f>
        <v>45842</v>
      </c>
      <c r="P323"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23" s="86" t="str">
        <f>IFERROR(__xludf.DUMMYFUNCTION("""COMPUTED_VALUE"""),"REJECT")</f>
        <v>REJECT</v>
      </c>
      <c r="R323" s="66"/>
      <c r="S323" s="66"/>
      <c r="T323" s="66"/>
      <c r="U323" s="66"/>
      <c r="V323" s="66"/>
      <c r="W323" s="66"/>
      <c r="X323" s="66"/>
      <c r="Y323" s="66"/>
      <c r="Z323" s="66"/>
      <c r="AA323" s="66"/>
      <c r="AB323" s="66"/>
      <c r="AC323" s="66"/>
      <c r="AD323" s="66"/>
      <c r="AE323" s="66"/>
      <c r="AF323" s="66"/>
      <c r="AG323" s="66"/>
      <c r="AH323" s="66"/>
      <c r="AI323" s="66"/>
      <c r="AJ323" s="66"/>
      <c r="AK323" s="66"/>
      <c r="AL323" s="66"/>
      <c r="AM323" s="66"/>
      <c r="AN323" s="66"/>
      <c r="AO323" s="66"/>
    </row>
    <row r="324">
      <c r="A324" s="93"/>
      <c r="B324" s="85"/>
      <c r="C324" s="86"/>
      <c r="D324" s="93"/>
      <c r="E324" s="85"/>
      <c r="F324" s="85"/>
      <c r="G324" s="86"/>
      <c r="H324" s="78" t="str">
        <f>IFERROR(__xludf.DUMMYFUNCTION("""COMPUTED_VALUE"""),"")</f>
        <v/>
      </c>
      <c r="I324" s="85"/>
      <c r="J324" s="85"/>
      <c r="K324" s="85"/>
      <c r="L324" s="86" t="str">
        <f>IFERROR(__xludf.DUMMYFUNCTION("""COMPUTED_VALUE"""),"REJECT")</f>
        <v>REJECT</v>
      </c>
      <c r="M324" s="78" t="str">
        <f>IFERROR(__xludf.DUMMYFUNCTION("""COMPUTED_VALUE"""),"45841RAK")</f>
        <v>45841RAK</v>
      </c>
      <c r="N324" s="85" t="str">
        <f>IFERROR(__xludf.DUMMYFUNCTION("""COMPUTED_VALUE"""),"RAK")</f>
        <v>RAK</v>
      </c>
      <c r="O324" s="101">
        <f>IFERROR(__xludf.DUMMYFUNCTION("""COMPUTED_VALUE"""),45841.0)</f>
        <v>45841</v>
      </c>
      <c r="P324"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24" s="86" t="str">
        <f>IFERROR(__xludf.DUMMYFUNCTION("""COMPUTED_VALUE"""),"REJECT")</f>
        <v>REJECT</v>
      </c>
      <c r="R324" s="66"/>
      <c r="S324" s="66"/>
      <c r="T324" s="66"/>
      <c r="U324" s="66"/>
      <c r="V324" s="66"/>
      <c r="W324" s="66"/>
      <c r="X324" s="66"/>
      <c r="Y324" s="66"/>
      <c r="Z324" s="66"/>
      <c r="AA324" s="66"/>
      <c r="AB324" s="66"/>
      <c r="AC324" s="66"/>
      <c r="AD324" s="66"/>
      <c r="AE324" s="66"/>
      <c r="AF324" s="66"/>
      <c r="AG324" s="66"/>
      <c r="AH324" s="66"/>
      <c r="AI324" s="66"/>
      <c r="AJ324" s="66"/>
      <c r="AK324" s="66"/>
      <c r="AL324" s="66"/>
      <c r="AM324" s="66"/>
      <c r="AN324" s="66"/>
      <c r="AO324" s="66"/>
    </row>
    <row r="325">
      <c r="A325" s="93"/>
      <c r="B325" s="85"/>
      <c r="C325" s="86"/>
      <c r="D325" s="93"/>
      <c r="E325" s="85"/>
      <c r="F325" s="85"/>
      <c r="G325" s="86"/>
      <c r="H325" s="78" t="str">
        <f>IFERROR(__xludf.DUMMYFUNCTION("""COMPUTED_VALUE"""),"")</f>
        <v/>
      </c>
      <c r="I325" s="85"/>
      <c r="J325" s="85"/>
      <c r="K325" s="85"/>
      <c r="L325" s="86" t="str">
        <f>IFERROR(__xludf.DUMMYFUNCTION("""COMPUTED_VALUE"""),"REJECT")</f>
        <v>REJECT</v>
      </c>
      <c r="M325" s="78" t="str">
        <f>IFERROR(__xludf.DUMMYFUNCTION("""COMPUTED_VALUE"""),"45842RAK")</f>
        <v>45842RAK</v>
      </c>
      <c r="N325" s="85" t="str">
        <f>IFERROR(__xludf.DUMMYFUNCTION("""COMPUTED_VALUE"""),"RAK")</f>
        <v>RAK</v>
      </c>
      <c r="O325" s="101">
        <f>IFERROR(__xludf.DUMMYFUNCTION("""COMPUTED_VALUE"""),45842.0)</f>
        <v>45842</v>
      </c>
      <c r="P325" s="85" t="str">
        <f>IFERROR(__xludf.DUMMYFUNCTION("""COMPUTED_VALUE"""),"ATC strike in France affected airport's operations proceed if the client didn't mention (strike/Force majeure /Problems at the airport/Influence by other flights)")</f>
        <v>ATC strike in France affected airport's operations proceed if the client didn't mention (strike/Force majeure /Problems at the airport/Influence by other flights)</v>
      </c>
      <c r="Q325" s="86" t="str">
        <f>IFERROR(__xludf.DUMMYFUNCTION("""COMPUTED_VALUE"""),"REJECT")</f>
        <v>REJECT</v>
      </c>
      <c r="R325" s="66"/>
      <c r="S325" s="66"/>
      <c r="T325" s="66"/>
      <c r="U325" s="66"/>
      <c r="V325" s="66"/>
      <c r="W325" s="66"/>
      <c r="X325" s="66"/>
      <c r="Y325" s="66"/>
      <c r="Z325" s="66"/>
      <c r="AA325" s="66"/>
      <c r="AB325" s="66"/>
      <c r="AC325" s="66"/>
      <c r="AD325" s="66"/>
      <c r="AE325" s="66"/>
      <c r="AF325" s="66"/>
      <c r="AG325" s="66"/>
      <c r="AH325" s="66"/>
      <c r="AI325" s="66"/>
      <c r="AJ325" s="66"/>
      <c r="AK325" s="66"/>
      <c r="AL325" s="66"/>
      <c r="AM325" s="66"/>
      <c r="AN325" s="66"/>
      <c r="AO325" s="66"/>
    </row>
    <row r="326">
      <c r="A326" s="93"/>
      <c r="B326" s="85"/>
      <c r="C326" s="86"/>
      <c r="D326" s="93"/>
      <c r="E326" s="85"/>
      <c r="F326" s="85"/>
      <c r="G326" s="86"/>
      <c r="H326" s="78" t="str">
        <f>IFERROR(__xludf.DUMMYFUNCTION("""COMPUTED_VALUE"""),"")</f>
        <v/>
      </c>
      <c r="I326" s="85"/>
      <c r="J326" s="85"/>
      <c r="K326" s="85"/>
      <c r="L326" s="86" t="str">
        <f>IFERROR(__xludf.DUMMYFUNCTION("""COMPUTED_VALUE"""),"REJECT")</f>
        <v>REJECT</v>
      </c>
      <c r="M326" s="78" t="str">
        <f>IFERROR(__xludf.DUMMYFUNCTION("""COMPUTED_VALUE"""),"45875BHX")</f>
        <v>45875BHX</v>
      </c>
      <c r="N326" s="85" t="str">
        <f>IFERROR(__xludf.DUMMYFUNCTION("""COMPUTED_VALUE"""),"BHX")</f>
        <v>BHX</v>
      </c>
      <c r="O326" s="101">
        <f>IFERROR(__xludf.DUMMYFUNCTION("""COMPUTED_VALUE"""),45875.0)</f>
        <v>45875</v>
      </c>
      <c r="P326" s="85" t="str">
        <f>IFERROR(__xludf.DUMMYFUNCTION("""COMPUTED_VALUE"""),"ATC")</f>
        <v>ATC</v>
      </c>
      <c r="Q326" s="86" t="str">
        <f>IFERROR(__xludf.DUMMYFUNCTION("""COMPUTED_VALUE"""),"REJECT")</f>
        <v>REJECT</v>
      </c>
      <c r="R326" s="66"/>
      <c r="S326" s="66"/>
      <c r="T326" s="66"/>
      <c r="U326" s="66"/>
      <c r="V326" s="66"/>
      <c r="W326" s="66"/>
      <c r="X326" s="66"/>
      <c r="Y326" s="66"/>
      <c r="Z326" s="66"/>
      <c r="AA326" s="66"/>
      <c r="AB326" s="66"/>
      <c r="AC326" s="66"/>
      <c r="AD326" s="66"/>
      <c r="AE326" s="66"/>
      <c r="AF326" s="66"/>
      <c r="AG326" s="66"/>
      <c r="AH326" s="66"/>
      <c r="AI326" s="66"/>
      <c r="AJ326" s="66"/>
      <c r="AK326" s="66"/>
      <c r="AL326" s="66"/>
      <c r="AM326" s="66"/>
      <c r="AN326" s="66"/>
      <c r="AO326" s="66"/>
    </row>
    <row r="327">
      <c r="A327" s="93"/>
      <c r="B327" s="85"/>
      <c r="C327" s="86"/>
      <c r="D327" s="93"/>
      <c r="E327" s="85"/>
      <c r="F327" s="85"/>
      <c r="G327" s="86"/>
      <c r="H327" s="78" t="str">
        <f>IFERROR(__xludf.DUMMYFUNCTION("""COMPUTED_VALUE"""),"")</f>
        <v/>
      </c>
      <c r="I327" s="85"/>
      <c r="J327" s="85"/>
      <c r="K327" s="85"/>
      <c r="L327" s="86" t="str">
        <f>IFERROR(__xludf.DUMMYFUNCTION("""COMPUTED_VALUE"""),"REJECT")</f>
        <v>REJECT</v>
      </c>
      <c r="M327" s="78" t="str">
        <f>IFERROR(__xludf.DUMMYFUNCTION("""COMPUTED_VALUE"""),"45870BGY")</f>
        <v>45870BGY</v>
      </c>
      <c r="N327" s="85" t="str">
        <f>IFERROR(__xludf.DUMMYFUNCTION("""COMPUTED_VALUE"""),"BGY")</f>
        <v>BGY</v>
      </c>
      <c r="O327" s="101">
        <f>IFERROR(__xludf.DUMMYFUNCTION("""COMPUTED_VALUE"""),45870.0)</f>
        <v>45870</v>
      </c>
      <c r="P327" s="85" t="str">
        <f>IFERROR(__xludf.DUMMYFUNCTION("""COMPUTED_VALUE"""),"Airport Closure")</f>
        <v>Airport Closure</v>
      </c>
      <c r="Q327" s="86" t="str">
        <f>IFERROR(__xludf.DUMMYFUNCTION("""COMPUTED_VALUE"""),"REJECT")</f>
        <v>REJECT</v>
      </c>
      <c r="R327" s="66"/>
      <c r="S327" s="66"/>
      <c r="T327" s="66"/>
      <c r="U327" s="66"/>
      <c r="V327" s="66"/>
      <c r="W327" s="66"/>
      <c r="X327" s="66"/>
      <c r="Y327" s="66"/>
      <c r="Z327" s="66"/>
      <c r="AA327" s="66"/>
      <c r="AB327" s="66"/>
      <c r="AC327" s="66"/>
      <c r="AD327" s="66"/>
      <c r="AE327" s="66"/>
      <c r="AF327" s="66"/>
      <c r="AG327" s="66"/>
      <c r="AH327" s="66"/>
      <c r="AI327" s="66"/>
      <c r="AJ327" s="66"/>
      <c r="AK327" s="66"/>
      <c r="AL327" s="66"/>
      <c r="AM327" s="66"/>
      <c r="AN327" s="66"/>
      <c r="AO327" s="66"/>
    </row>
    <row r="328">
      <c r="A328" s="93"/>
      <c r="B328" s="85"/>
      <c r="C328" s="86"/>
      <c r="D328" s="93"/>
      <c r="E328" s="85"/>
      <c r="F328" s="85"/>
      <c r="G328" s="86"/>
      <c r="H328" s="78" t="str">
        <f>IFERROR(__xludf.DUMMYFUNCTION("""COMPUTED_VALUE"""),"")</f>
        <v/>
      </c>
      <c r="I328" s="85"/>
      <c r="J328" s="85"/>
      <c r="K328" s="85"/>
      <c r="L328" s="86" t="str">
        <f>IFERROR(__xludf.DUMMYFUNCTION("""COMPUTED_VALUE"""),"REJECT")</f>
        <v>REJECT</v>
      </c>
      <c r="M328" s="78" t="str">
        <f>IFERROR(__xludf.DUMMYFUNCTION("""COMPUTED_VALUE"""),"45342AOI")</f>
        <v>45342AOI</v>
      </c>
      <c r="N328" s="85" t="str">
        <f>IFERROR(__xludf.DUMMYFUNCTION("""COMPUTED_VALUE"""),"AOI")</f>
        <v>AOI</v>
      </c>
      <c r="O328" s="101">
        <f>IFERROR(__xludf.DUMMYFUNCTION("""COMPUTED_VALUE"""),45342.0)</f>
        <v>45342</v>
      </c>
      <c r="P328" s="104" t="str">
        <f>IFERROR(__xludf.DUMMYFUNCTION("""COMPUTED_VALUE"""),"ATC")</f>
        <v>ATC</v>
      </c>
      <c r="Q328" s="86" t="str">
        <f>IFERROR(__xludf.DUMMYFUNCTION("""COMPUTED_VALUE"""),"REJECT")</f>
        <v>REJECT</v>
      </c>
      <c r="R328" s="66"/>
      <c r="S328" s="66"/>
      <c r="T328" s="66"/>
      <c r="U328" s="66"/>
      <c r="V328" s="66"/>
      <c r="W328" s="66"/>
      <c r="X328" s="66"/>
      <c r="Y328" s="66"/>
      <c r="Z328" s="66"/>
      <c r="AA328" s="66"/>
      <c r="AB328" s="66"/>
      <c r="AC328" s="66"/>
      <c r="AD328" s="66"/>
      <c r="AE328" s="66"/>
      <c r="AF328" s="66"/>
      <c r="AG328" s="66"/>
      <c r="AH328" s="66"/>
      <c r="AI328" s="66"/>
      <c r="AJ328" s="66"/>
      <c r="AK328" s="66"/>
      <c r="AL328" s="66"/>
      <c r="AM328" s="66"/>
      <c r="AN328" s="66"/>
      <c r="AO328" s="66"/>
    </row>
    <row r="329">
      <c r="A329" s="93"/>
      <c r="B329" s="85"/>
      <c r="C329" s="86"/>
      <c r="D329" s="93"/>
      <c r="E329" s="85"/>
      <c r="F329" s="85"/>
      <c r="G329" s="86"/>
      <c r="H329" s="78" t="str">
        <f>IFERROR(__xludf.DUMMYFUNCTION("""COMPUTED_VALUE"""),"")</f>
        <v/>
      </c>
      <c r="I329" s="85"/>
      <c r="J329" s="85"/>
      <c r="K329" s="85"/>
      <c r="L329" s="86" t="str">
        <f>IFERROR(__xludf.DUMMYFUNCTION("""COMPUTED_VALUE"""),"REJECT")</f>
        <v>REJECT</v>
      </c>
      <c r="M329" s="78" t="str">
        <f>IFERROR(__xludf.DUMMYFUNCTION("""COMPUTED_VALUE"""),"45407BVA")</f>
        <v>45407BVA</v>
      </c>
      <c r="N329" s="85" t="str">
        <f>IFERROR(__xludf.DUMMYFUNCTION("""COMPUTED_VALUE"""),"BVA")</f>
        <v>BVA</v>
      </c>
      <c r="O329" s="101">
        <f>IFERROR(__xludf.DUMMYFUNCTION("""COMPUTED_VALUE"""),45407.0)</f>
        <v>45407</v>
      </c>
      <c r="P329" s="104" t="str">
        <f>IFERROR(__xludf.DUMMYFUNCTION("""COMPUTED_VALUE"""),"ATC")</f>
        <v>ATC</v>
      </c>
      <c r="Q329" s="86" t="str">
        <f>IFERROR(__xludf.DUMMYFUNCTION("""COMPUTED_VALUE"""),"REJECT")</f>
        <v>REJECT</v>
      </c>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row>
    <row r="330">
      <c r="A330" s="93"/>
      <c r="B330" s="85"/>
      <c r="C330" s="86"/>
      <c r="D330" s="93"/>
      <c r="E330" s="85"/>
      <c r="F330" s="85"/>
      <c r="G330" s="86"/>
      <c r="H330" s="78" t="str">
        <f>IFERROR(__xludf.DUMMYFUNCTION("""COMPUTED_VALUE"""),"")</f>
        <v/>
      </c>
      <c r="I330" s="85"/>
      <c r="J330" s="85"/>
      <c r="K330" s="85"/>
      <c r="L330" s="86" t="str">
        <f>IFERROR(__xludf.DUMMYFUNCTION("""COMPUTED_VALUE"""),"REJECT")</f>
        <v>REJECT</v>
      </c>
      <c r="M330" s="78" t="str">
        <f>IFERROR(__xludf.DUMMYFUNCTION("""COMPUTED_VALUE"""),"45633LGW")</f>
        <v>45633LGW</v>
      </c>
      <c r="N330" s="85" t="str">
        <f>IFERROR(__xludf.DUMMYFUNCTION("""COMPUTED_VALUE"""),"LGW")</f>
        <v>LGW</v>
      </c>
      <c r="O330" s="101">
        <f>IFERROR(__xludf.DUMMYFUNCTION("""COMPUTED_VALUE"""),45633.0)</f>
        <v>45633</v>
      </c>
      <c r="P330" s="104" t="str">
        <f>IFERROR(__xludf.DUMMYFUNCTION("""COMPUTED_VALUE"""),"Adverse weather")</f>
        <v>Adverse weather</v>
      </c>
      <c r="Q330" s="86" t="str">
        <f>IFERROR(__xludf.DUMMYFUNCTION("""COMPUTED_VALUE"""),"REJECT")</f>
        <v>REJECT</v>
      </c>
      <c r="R330" s="66"/>
      <c r="S330" s="66"/>
      <c r="T330" s="66"/>
      <c r="U330" s="66"/>
      <c r="V330" s="66"/>
      <c r="W330" s="66"/>
      <c r="X330" s="66"/>
      <c r="Y330" s="66"/>
      <c r="Z330" s="66"/>
      <c r="AA330" s="66"/>
      <c r="AB330" s="66"/>
      <c r="AC330" s="66"/>
      <c r="AD330" s="66"/>
      <c r="AE330" s="66"/>
      <c r="AF330" s="66"/>
      <c r="AG330" s="66"/>
      <c r="AH330" s="66"/>
      <c r="AI330" s="66"/>
      <c r="AJ330" s="66"/>
      <c r="AK330" s="66"/>
      <c r="AL330" s="66"/>
      <c r="AM330" s="66"/>
      <c r="AN330" s="66"/>
      <c r="AO330" s="66"/>
    </row>
    <row r="331">
      <c r="A331" s="93"/>
      <c r="B331" s="85"/>
      <c r="C331" s="86"/>
      <c r="D331" s="93"/>
      <c r="E331" s="85"/>
      <c r="F331" s="85"/>
      <c r="G331" s="86"/>
      <c r="H331" s="78" t="str">
        <f>IFERROR(__xludf.DUMMYFUNCTION("""COMPUTED_VALUE"""),"")</f>
        <v/>
      </c>
      <c r="I331" s="85"/>
      <c r="J331" s="85"/>
      <c r="K331" s="85"/>
      <c r="L331" s="86" t="str">
        <f>IFERROR(__xludf.DUMMYFUNCTION("""COMPUTED_VALUE"""),"REJECT")</f>
        <v>REJECT</v>
      </c>
      <c r="M331" s="78" t="str">
        <f>IFERROR(__xludf.DUMMYFUNCTION("""COMPUTED_VALUE"""),"45634LGW")</f>
        <v>45634LGW</v>
      </c>
      <c r="N331" s="85" t="str">
        <f>IFERROR(__xludf.DUMMYFUNCTION("""COMPUTED_VALUE"""),"LGW")</f>
        <v>LGW</v>
      </c>
      <c r="O331" s="101">
        <f>IFERROR(__xludf.DUMMYFUNCTION("""COMPUTED_VALUE"""),45634.0)</f>
        <v>45634</v>
      </c>
      <c r="P331" s="104" t="str">
        <f>IFERROR(__xludf.DUMMYFUNCTION("""COMPUTED_VALUE"""),"Adverse weather")</f>
        <v>Adverse weather</v>
      </c>
      <c r="Q331" s="86" t="str">
        <f>IFERROR(__xludf.DUMMYFUNCTION("""COMPUTED_VALUE"""),"REJECT")</f>
        <v>REJECT</v>
      </c>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row>
    <row r="332">
      <c r="A332" s="93"/>
      <c r="B332" s="85"/>
      <c r="C332" s="86"/>
      <c r="D332" s="93"/>
      <c r="E332" s="85"/>
      <c r="F332" s="85"/>
      <c r="G332" s="86"/>
      <c r="H332" s="78" t="str">
        <f>IFERROR(__xludf.DUMMYFUNCTION("""COMPUTED_VALUE"""),"")</f>
        <v/>
      </c>
      <c r="I332" s="85"/>
      <c r="J332" s="85"/>
      <c r="K332" s="85"/>
      <c r="L332" s="86" t="str">
        <f>IFERROR(__xludf.DUMMYFUNCTION("""COMPUTED_VALUE"""),"REJECT")</f>
        <v>REJECT</v>
      </c>
      <c r="M332" s="78" t="str">
        <f>IFERROR(__xludf.DUMMYFUNCTION("""COMPUTED_VALUE"""),"44956DFW ")</f>
        <v>44956DFW </v>
      </c>
      <c r="N332" s="85" t="str">
        <f>IFERROR(__xludf.DUMMYFUNCTION("""COMPUTED_VALUE"""),"DFW ")</f>
        <v>DFW </v>
      </c>
      <c r="O332" s="101">
        <f>IFERROR(__xludf.DUMMYFUNCTION("""COMPUTED_VALUE"""),44956.0)</f>
        <v>44956</v>
      </c>
      <c r="P332" s="104" t="str">
        <f>IFERROR(__xludf.DUMMYFUNCTION("""COMPUTED_VALUE"""),"Adverse weather")</f>
        <v>Adverse weather</v>
      </c>
      <c r="Q332" s="86" t="str">
        <f>IFERROR(__xludf.DUMMYFUNCTION("""COMPUTED_VALUE"""),"REJECT")</f>
        <v>REJECT</v>
      </c>
      <c r="R332" s="66"/>
      <c r="S332" s="66"/>
      <c r="T332" s="66"/>
      <c r="U332" s="66"/>
      <c r="V332" s="66"/>
      <c r="W332" s="66"/>
      <c r="X332" s="66"/>
      <c r="Y332" s="66"/>
      <c r="Z332" s="66"/>
      <c r="AA332" s="66"/>
      <c r="AB332" s="66"/>
      <c r="AC332" s="66"/>
      <c r="AD332" s="66"/>
      <c r="AE332" s="66"/>
      <c r="AF332" s="66"/>
      <c r="AG332" s="66"/>
      <c r="AH332" s="66"/>
      <c r="AI332" s="66"/>
      <c r="AJ332" s="66"/>
      <c r="AK332" s="66"/>
      <c r="AL332" s="66"/>
      <c r="AM332" s="66"/>
      <c r="AN332" s="66"/>
      <c r="AO332" s="66"/>
    </row>
    <row r="333">
      <c r="A333" s="93"/>
      <c r="B333" s="85"/>
      <c r="C333" s="86"/>
      <c r="D333" s="93"/>
      <c r="E333" s="85"/>
      <c r="F333" s="85"/>
      <c r="G333" s="86"/>
      <c r="H333" s="78" t="str">
        <f>IFERROR(__xludf.DUMMYFUNCTION("""COMPUTED_VALUE"""),"")</f>
        <v/>
      </c>
      <c r="I333" s="85"/>
      <c r="J333" s="85"/>
      <c r="K333" s="85"/>
      <c r="L333" s="86" t="str">
        <f>IFERROR(__xludf.DUMMYFUNCTION("""COMPUTED_VALUE"""),"REJECT")</f>
        <v>REJECT</v>
      </c>
      <c r="M333" s="78" t="str">
        <f>IFERROR(__xludf.DUMMYFUNCTION("""COMPUTED_VALUE"""),"44957DFW ")</f>
        <v>44957DFW </v>
      </c>
      <c r="N333" s="85" t="str">
        <f>IFERROR(__xludf.DUMMYFUNCTION("""COMPUTED_VALUE"""),"DFW ")</f>
        <v>DFW </v>
      </c>
      <c r="O333" s="101">
        <f>IFERROR(__xludf.DUMMYFUNCTION("""COMPUTED_VALUE"""),44957.0)</f>
        <v>44957</v>
      </c>
      <c r="P333" s="104" t="str">
        <f>IFERROR(__xludf.DUMMYFUNCTION("""COMPUTED_VALUE"""),"Adverse weather")</f>
        <v>Adverse weather</v>
      </c>
      <c r="Q333" s="86" t="str">
        <f>IFERROR(__xludf.DUMMYFUNCTION("""COMPUTED_VALUE"""),"REJECT")</f>
        <v>REJECT</v>
      </c>
      <c r="R333" s="66"/>
      <c r="S333" s="66"/>
      <c r="T333" s="66"/>
      <c r="U333" s="66"/>
      <c r="V333" s="66"/>
      <c r="W333" s="66"/>
      <c r="X333" s="66"/>
      <c r="Y333" s="66"/>
      <c r="Z333" s="66"/>
      <c r="AA333" s="66"/>
      <c r="AB333" s="66"/>
      <c r="AC333" s="66"/>
      <c r="AD333" s="66"/>
      <c r="AE333" s="66"/>
      <c r="AF333" s="66"/>
      <c r="AG333" s="66"/>
      <c r="AH333" s="66"/>
      <c r="AI333" s="66"/>
      <c r="AJ333" s="66"/>
      <c r="AK333" s="66"/>
      <c r="AL333" s="66"/>
      <c r="AM333" s="66"/>
      <c r="AN333" s="66"/>
      <c r="AO333" s="66"/>
    </row>
    <row r="334">
      <c r="A334" s="93"/>
      <c r="B334" s="85"/>
      <c r="C334" s="86"/>
      <c r="D334" s="93"/>
      <c r="E334" s="85"/>
      <c r="F334" s="85"/>
      <c r="G334" s="86"/>
      <c r="H334" s="78" t="str">
        <f>IFERROR(__xludf.DUMMYFUNCTION("""COMPUTED_VALUE"""),"")</f>
        <v/>
      </c>
      <c r="I334" s="85"/>
      <c r="J334" s="85"/>
      <c r="K334" s="85"/>
      <c r="L334" s="86" t="str">
        <f>IFERROR(__xludf.DUMMYFUNCTION("""COMPUTED_VALUE"""),"REJECT")</f>
        <v>REJECT</v>
      </c>
      <c r="M334" s="78" t="str">
        <f>IFERROR(__xludf.DUMMYFUNCTION("""COMPUTED_VALUE"""),"44958DFW ")</f>
        <v>44958DFW </v>
      </c>
      <c r="N334" s="85" t="str">
        <f>IFERROR(__xludf.DUMMYFUNCTION("""COMPUTED_VALUE"""),"DFW ")</f>
        <v>DFW </v>
      </c>
      <c r="O334" s="101">
        <f>IFERROR(__xludf.DUMMYFUNCTION("""COMPUTED_VALUE"""),44958.0)</f>
        <v>44958</v>
      </c>
      <c r="P334" s="85" t="str">
        <f>IFERROR(__xludf.DUMMYFUNCTION("""COMPUTED_VALUE"""),"Adverse weather")</f>
        <v>Adverse weather</v>
      </c>
      <c r="Q334" s="86" t="str">
        <f>IFERROR(__xludf.DUMMYFUNCTION("""COMPUTED_VALUE"""),"REJECT")</f>
        <v>REJECT</v>
      </c>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row>
    <row r="335">
      <c r="A335" s="93"/>
      <c r="B335" s="85"/>
      <c r="C335" s="86"/>
      <c r="D335" s="93"/>
      <c r="E335" s="85"/>
      <c r="F335" s="85"/>
      <c r="G335" s="86"/>
      <c r="H335" s="78" t="str">
        <f>IFERROR(__xludf.DUMMYFUNCTION("""COMPUTED_VALUE"""),"")</f>
        <v/>
      </c>
      <c r="I335" s="85"/>
      <c r="J335" s="85"/>
      <c r="K335" s="85"/>
      <c r="L335" s="86" t="str">
        <f>IFERROR(__xludf.DUMMYFUNCTION("""COMPUTED_VALUE"""),"REJECT")</f>
        <v>REJECT</v>
      </c>
      <c r="M335" s="78" t="str">
        <f>IFERROR(__xludf.DUMMYFUNCTION("""COMPUTED_VALUE"""),"44959DFW ")</f>
        <v>44959DFW </v>
      </c>
      <c r="N335" s="85" t="str">
        <f>IFERROR(__xludf.DUMMYFUNCTION("""COMPUTED_VALUE"""),"DFW ")</f>
        <v>DFW </v>
      </c>
      <c r="O335" s="101">
        <f>IFERROR(__xludf.DUMMYFUNCTION("""COMPUTED_VALUE"""),44959.0)</f>
        <v>44959</v>
      </c>
      <c r="P335" s="85" t="str">
        <f>IFERROR(__xludf.DUMMYFUNCTION("""COMPUTED_VALUE"""),"Adverse weather")</f>
        <v>Adverse weather</v>
      </c>
      <c r="Q335" s="86" t="str">
        <f>IFERROR(__xludf.DUMMYFUNCTION("""COMPUTED_VALUE"""),"REJECT")</f>
        <v>REJECT</v>
      </c>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row>
    <row r="336">
      <c r="A336" s="93"/>
      <c r="B336" s="85"/>
      <c r="C336" s="86"/>
      <c r="D336" s="93"/>
      <c r="E336" s="85"/>
      <c r="F336" s="85"/>
      <c r="G336" s="86"/>
      <c r="H336" s="78" t="str">
        <f>IFERROR(__xludf.DUMMYFUNCTION("""COMPUTED_VALUE"""),"")</f>
        <v/>
      </c>
      <c r="I336" s="85"/>
      <c r="J336" s="85"/>
      <c r="K336" s="85"/>
      <c r="L336" s="86" t="str">
        <f>IFERROR(__xludf.DUMMYFUNCTION("""COMPUTED_VALUE"""),"REJECT")</f>
        <v>REJECT</v>
      </c>
      <c r="M336" s="78" t="str">
        <f>IFERROR(__xludf.DUMMYFUNCTION("""COMPUTED_VALUE"""),"45777DFW ")</f>
        <v>45777DFW </v>
      </c>
      <c r="N336" s="85" t="str">
        <f>IFERROR(__xludf.DUMMYFUNCTION("""COMPUTED_VALUE"""),"DFW ")</f>
        <v>DFW </v>
      </c>
      <c r="O336" s="101">
        <f>IFERROR(__xludf.DUMMYFUNCTION("""COMPUTED_VALUE"""),45777.0)</f>
        <v>45777</v>
      </c>
      <c r="P336" s="85" t="str">
        <f>IFERROR(__xludf.DUMMYFUNCTION("""COMPUTED_VALUE"""),"Adverse weather")</f>
        <v>Adverse weather</v>
      </c>
      <c r="Q336" s="86" t="str">
        <f>IFERROR(__xludf.DUMMYFUNCTION("""COMPUTED_VALUE"""),"REJECT")</f>
        <v>REJECT</v>
      </c>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row>
    <row r="337">
      <c r="A337" s="93"/>
      <c r="B337" s="85"/>
      <c r="C337" s="86"/>
      <c r="D337" s="93"/>
      <c r="E337" s="85"/>
      <c r="F337" s="85"/>
      <c r="G337" s="86"/>
      <c r="H337" s="78" t="str">
        <f>IFERROR(__xludf.DUMMYFUNCTION("""COMPUTED_VALUE"""),"")</f>
        <v/>
      </c>
      <c r="I337" s="85"/>
      <c r="J337" s="85"/>
      <c r="K337" s="85"/>
      <c r="L337" s="86" t="str">
        <f>IFERROR(__xludf.DUMMYFUNCTION("""COMPUTED_VALUE"""),"REJECT")</f>
        <v>REJECT</v>
      </c>
      <c r="M337" s="78" t="str">
        <f>IFERROR(__xludf.DUMMYFUNCTION("""COMPUTED_VALUE"""),"45920LHR")</f>
        <v>45920LHR</v>
      </c>
      <c r="N337" s="85" t="str">
        <f>IFERROR(__xludf.DUMMYFUNCTION("""COMPUTED_VALUE"""),"LHR")</f>
        <v>LHR</v>
      </c>
      <c r="O337" s="101">
        <f>IFERROR(__xludf.DUMMYFUNCTION("""COMPUTED_VALUE"""),45920.0)</f>
        <v>45920</v>
      </c>
      <c r="P337" s="85" t="str">
        <f>IFERROR(__xludf.DUMMYFUNCTION("""COMPUTED_VALUE"""),"cyberattack")</f>
        <v>cyberattack</v>
      </c>
      <c r="Q337" s="86" t="str">
        <f>IFERROR(__xludf.DUMMYFUNCTION("""COMPUTED_VALUE"""),"REJECT")</f>
        <v>REJECT</v>
      </c>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row>
    <row r="338">
      <c r="A338" s="93"/>
      <c r="B338" s="85"/>
      <c r="C338" s="86"/>
      <c r="D338" s="93"/>
      <c r="E338" s="85"/>
      <c r="F338" s="85"/>
      <c r="G338" s="86"/>
      <c r="H338" s="78" t="str">
        <f>IFERROR(__xludf.DUMMYFUNCTION("""COMPUTED_VALUE"""),"")</f>
        <v/>
      </c>
      <c r="I338" s="85"/>
      <c r="J338" s="85"/>
      <c r="K338" s="85"/>
      <c r="L338" s="86" t="str">
        <f>IFERROR(__xludf.DUMMYFUNCTION("""COMPUTED_VALUE"""),"REJECT")</f>
        <v>REJECT</v>
      </c>
      <c r="M338" s="78" t="str">
        <f>IFERROR(__xludf.DUMMYFUNCTION("""COMPUTED_VALUE"""),"45920BRU")</f>
        <v>45920BRU</v>
      </c>
      <c r="N338" s="85" t="str">
        <f>IFERROR(__xludf.DUMMYFUNCTION("""COMPUTED_VALUE"""),"BRU")</f>
        <v>BRU</v>
      </c>
      <c r="O338" s="101">
        <f>IFERROR(__xludf.DUMMYFUNCTION("""COMPUTED_VALUE"""),45920.0)</f>
        <v>45920</v>
      </c>
      <c r="P338" s="104" t="str">
        <f>IFERROR(__xludf.DUMMYFUNCTION("""COMPUTED_VALUE"""),"cyberattack")</f>
        <v>cyberattack</v>
      </c>
      <c r="Q338" s="86" t="str">
        <f>IFERROR(__xludf.DUMMYFUNCTION("""COMPUTED_VALUE"""),"REJECT")</f>
        <v>REJECT</v>
      </c>
      <c r="R338" s="66"/>
      <c r="S338" s="66"/>
      <c r="T338" s="66"/>
      <c r="U338" s="66"/>
      <c r="V338" s="66"/>
      <c r="W338" s="66"/>
      <c r="X338" s="66"/>
      <c r="Y338" s="66"/>
      <c r="Z338" s="66"/>
      <c r="AA338" s="66"/>
      <c r="AB338" s="66"/>
      <c r="AC338" s="66"/>
      <c r="AD338" s="66"/>
      <c r="AE338" s="66"/>
      <c r="AF338" s="66"/>
      <c r="AG338" s="66"/>
      <c r="AH338" s="66"/>
      <c r="AI338" s="66"/>
      <c r="AJ338" s="66"/>
      <c r="AK338" s="66"/>
      <c r="AL338" s="66"/>
      <c r="AM338" s="66"/>
      <c r="AN338" s="66"/>
      <c r="AO338" s="66"/>
    </row>
    <row r="339">
      <c r="A339" s="93"/>
      <c r="B339" s="85"/>
      <c r="C339" s="86"/>
      <c r="D339" s="93"/>
      <c r="E339" s="85"/>
      <c r="F339" s="85"/>
      <c r="G339" s="86"/>
      <c r="H339" s="78" t="str">
        <f>IFERROR(__xludf.DUMMYFUNCTION("""COMPUTED_VALUE"""),"")</f>
        <v/>
      </c>
      <c r="I339" s="85"/>
      <c r="J339" s="85"/>
      <c r="K339" s="85"/>
      <c r="L339" s="86" t="str">
        <f>IFERROR(__xludf.DUMMYFUNCTION("""COMPUTED_VALUE"""),"REJECT")</f>
        <v>REJECT</v>
      </c>
      <c r="M339" s="78" t="str">
        <f>IFERROR(__xludf.DUMMYFUNCTION("""COMPUTED_VALUE"""),"45920BER")</f>
        <v>45920BER</v>
      </c>
      <c r="N339" s="85" t="str">
        <f>IFERROR(__xludf.DUMMYFUNCTION("""COMPUTED_VALUE"""),"BER")</f>
        <v>BER</v>
      </c>
      <c r="O339" s="101">
        <f>IFERROR(__xludf.DUMMYFUNCTION("""COMPUTED_VALUE"""),45920.0)</f>
        <v>45920</v>
      </c>
      <c r="P339" s="104" t="str">
        <f>IFERROR(__xludf.DUMMYFUNCTION("""COMPUTED_VALUE"""),"cyberattack")</f>
        <v>cyberattack</v>
      </c>
      <c r="Q339" s="86" t="str">
        <f>IFERROR(__xludf.DUMMYFUNCTION("""COMPUTED_VALUE"""),"REJECT")</f>
        <v>REJECT</v>
      </c>
      <c r="R339" s="66"/>
      <c r="S339" s="66"/>
      <c r="T339" s="66"/>
      <c r="U339" s="66"/>
      <c r="V339" s="66"/>
      <c r="W339" s="66"/>
      <c r="X339" s="66"/>
      <c r="Y339" s="66"/>
      <c r="Z339" s="66"/>
      <c r="AA339" s="66"/>
      <c r="AB339" s="66"/>
      <c r="AC339" s="66"/>
      <c r="AD339" s="66"/>
      <c r="AE339" s="66"/>
      <c r="AF339" s="66"/>
      <c r="AG339" s="66"/>
      <c r="AH339" s="66"/>
      <c r="AI339" s="66"/>
      <c r="AJ339" s="66"/>
      <c r="AK339" s="66"/>
      <c r="AL339" s="66"/>
      <c r="AM339" s="66"/>
      <c r="AN339" s="66"/>
      <c r="AO339" s="66"/>
    </row>
    <row r="340">
      <c r="A340" s="93"/>
      <c r="B340" s="85"/>
      <c r="C340" s="86"/>
      <c r="D340" s="93"/>
      <c r="E340" s="85"/>
      <c r="F340" s="85"/>
      <c r="G340" s="86"/>
      <c r="H340" s="78" t="str">
        <f>IFERROR(__xludf.DUMMYFUNCTION("""COMPUTED_VALUE"""),"")</f>
        <v/>
      </c>
      <c r="I340" s="85"/>
      <c r="J340" s="85"/>
      <c r="K340" s="85"/>
      <c r="L340" s="86" t="str">
        <f>IFERROR(__xludf.DUMMYFUNCTION("""COMPUTED_VALUE"""),"REJECT")</f>
        <v>REJECT</v>
      </c>
      <c r="M340" s="78" t="str">
        <f>IFERROR(__xludf.DUMMYFUNCTION("""COMPUTED_VALUE"""),"45921LHR")</f>
        <v>45921LHR</v>
      </c>
      <c r="N340" s="85" t="str">
        <f>IFERROR(__xludf.DUMMYFUNCTION("""COMPUTED_VALUE"""),"LHR")</f>
        <v>LHR</v>
      </c>
      <c r="O340" s="101">
        <f>IFERROR(__xludf.DUMMYFUNCTION("""COMPUTED_VALUE"""),45921.0)</f>
        <v>45921</v>
      </c>
      <c r="P340" s="104" t="str">
        <f>IFERROR(__xludf.DUMMYFUNCTION("""COMPUTED_VALUE"""),"cyberattack")</f>
        <v>cyberattack</v>
      </c>
      <c r="Q340" s="86" t="str">
        <f>IFERROR(__xludf.DUMMYFUNCTION("""COMPUTED_VALUE"""),"REJECT")</f>
        <v>REJECT</v>
      </c>
      <c r="R340" s="66"/>
      <c r="S340" s="66"/>
      <c r="T340" s="66"/>
      <c r="U340" s="66"/>
      <c r="V340" s="66"/>
      <c r="W340" s="66"/>
      <c r="X340" s="66"/>
      <c r="Y340" s="66"/>
      <c r="Z340" s="66"/>
      <c r="AA340" s="66"/>
      <c r="AB340" s="66"/>
      <c r="AC340" s="66"/>
      <c r="AD340" s="66"/>
      <c r="AE340" s="66"/>
      <c r="AF340" s="66"/>
      <c r="AG340" s="66"/>
      <c r="AH340" s="66"/>
      <c r="AI340" s="66"/>
      <c r="AJ340" s="66"/>
      <c r="AK340" s="66"/>
      <c r="AL340" s="66"/>
      <c r="AM340" s="66"/>
      <c r="AN340" s="66"/>
      <c r="AO340" s="66"/>
    </row>
    <row r="341">
      <c r="A341" s="93"/>
      <c r="B341" s="85"/>
      <c r="C341" s="86"/>
      <c r="D341" s="93"/>
      <c r="E341" s="85"/>
      <c r="F341" s="85"/>
      <c r="G341" s="86"/>
      <c r="H341" s="78" t="str">
        <f>IFERROR(__xludf.DUMMYFUNCTION("""COMPUTED_VALUE"""),"")</f>
        <v/>
      </c>
      <c r="I341" s="85"/>
      <c r="J341" s="85"/>
      <c r="K341" s="85"/>
      <c r="L341" s="86" t="str">
        <f>IFERROR(__xludf.DUMMYFUNCTION("""COMPUTED_VALUE"""),"REJECT")</f>
        <v>REJECT</v>
      </c>
      <c r="M341" s="78" t="str">
        <f>IFERROR(__xludf.DUMMYFUNCTION("""COMPUTED_VALUE"""),"45921BRU")</f>
        <v>45921BRU</v>
      </c>
      <c r="N341" s="85" t="str">
        <f>IFERROR(__xludf.DUMMYFUNCTION("""COMPUTED_VALUE"""),"BRU")</f>
        <v>BRU</v>
      </c>
      <c r="O341" s="101">
        <f>IFERROR(__xludf.DUMMYFUNCTION("""COMPUTED_VALUE"""),45921.0)</f>
        <v>45921</v>
      </c>
      <c r="P341" s="104" t="str">
        <f>IFERROR(__xludf.DUMMYFUNCTION("""COMPUTED_VALUE"""),"cyberattack")</f>
        <v>cyberattack</v>
      </c>
      <c r="Q341" s="86" t="str">
        <f>IFERROR(__xludf.DUMMYFUNCTION("""COMPUTED_VALUE"""),"REJECT")</f>
        <v>REJECT</v>
      </c>
      <c r="R341" s="66"/>
      <c r="S341" s="66"/>
      <c r="T341" s="66"/>
      <c r="U341" s="66"/>
      <c r="V341" s="66"/>
      <c r="W341" s="66"/>
      <c r="X341" s="66"/>
      <c r="Y341" s="66"/>
      <c r="Z341" s="66"/>
      <c r="AA341" s="66"/>
      <c r="AB341" s="66"/>
      <c r="AC341" s="66"/>
      <c r="AD341" s="66"/>
      <c r="AE341" s="66"/>
      <c r="AF341" s="66"/>
      <c r="AG341" s="66"/>
      <c r="AH341" s="66"/>
      <c r="AI341" s="66"/>
      <c r="AJ341" s="66"/>
      <c r="AK341" s="66"/>
      <c r="AL341" s="66"/>
      <c r="AM341" s="66"/>
      <c r="AN341" s="66"/>
      <c r="AO341" s="66"/>
    </row>
    <row r="342">
      <c r="A342" s="93"/>
      <c r="B342" s="85"/>
      <c r="C342" s="86"/>
      <c r="D342" s="93"/>
      <c r="E342" s="85"/>
      <c r="F342" s="85"/>
      <c r="G342" s="86"/>
      <c r="H342" s="78" t="str">
        <f>IFERROR(__xludf.DUMMYFUNCTION("""COMPUTED_VALUE"""),"")</f>
        <v/>
      </c>
      <c r="I342" s="85"/>
      <c r="J342" s="85"/>
      <c r="K342" s="85"/>
      <c r="L342" s="86" t="str">
        <f>IFERROR(__xludf.DUMMYFUNCTION("""COMPUTED_VALUE"""),"REJECT")</f>
        <v>REJECT</v>
      </c>
      <c r="M342" s="78" t="str">
        <f>IFERROR(__xludf.DUMMYFUNCTION("""COMPUTED_VALUE"""),"45921BER")</f>
        <v>45921BER</v>
      </c>
      <c r="N342" s="85" t="str">
        <f>IFERROR(__xludf.DUMMYFUNCTION("""COMPUTED_VALUE"""),"BER")</f>
        <v>BER</v>
      </c>
      <c r="O342" s="101">
        <f>IFERROR(__xludf.DUMMYFUNCTION("""COMPUTED_VALUE"""),45921.0)</f>
        <v>45921</v>
      </c>
      <c r="P342" s="104" t="str">
        <f>IFERROR(__xludf.DUMMYFUNCTION("""COMPUTED_VALUE"""),"cyberattack")</f>
        <v>cyberattack</v>
      </c>
      <c r="Q342" s="86" t="str">
        <f>IFERROR(__xludf.DUMMYFUNCTION("""COMPUTED_VALUE"""),"REJECT")</f>
        <v>REJECT</v>
      </c>
      <c r="R342" s="66"/>
      <c r="S342" s="66"/>
      <c r="T342" s="66"/>
      <c r="U342" s="66"/>
      <c r="V342" s="66"/>
      <c r="W342" s="66"/>
      <c r="X342" s="66"/>
      <c r="Y342" s="66"/>
      <c r="Z342" s="66"/>
      <c r="AA342" s="66"/>
      <c r="AB342" s="66"/>
      <c r="AC342" s="66"/>
      <c r="AD342" s="66"/>
      <c r="AE342" s="66"/>
      <c r="AF342" s="66"/>
      <c r="AG342" s="66"/>
      <c r="AH342" s="66"/>
      <c r="AI342" s="66"/>
      <c r="AJ342" s="66"/>
      <c r="AK342" s="66"/>
      <c r="AL342" s="66"/>
      <c r="AM342" s="66"/>
      <c r="AN342" s="66"/>
      <c r="AO342" s="66"/>
    </row>
    <row r="343">
      <c r="A343" s="93"/>
      <c r="B343" s="85"/>
      <c r="C343" s="86"/>
      <c r="D343" s="93"/>
      <c r="E343" s="85"/>
      <c r="F343" s="85"/>
      <c r="G343" s="86"/>
      <c r="H343" s="78" t="str">
        <f>IFERROR(__xludf.DUMMYFUNCTION("""COMPUTED_VALUE"""),"")</f>
        <v/>
      </c>
      <c r="I343" s="85"/>
      <c r="J343" s="85"/>
      <c r="K343" s="85"/>
      <c r="L343" s="86" t="str">
        <f>IFERROR(__xludf.DUMMYFUNCTION("""COMPUTED_VALUE"""),"REJECT")</f>
        <v>REJECT</v>
      </c>
      <c r="M343" s="78" t="str">
        <f>IFERROR(__xludf.DUMMYFUNCTION("""COMPUTED_VALUE"""),"45922LHR")</f>
        <v>45922LHR</v>
      </c>
      <c r="N343" s="85" t="str">
        <f>IFERROR(__xludf.DUMMYFUNCTION("""COMPUTED_VALUE"""),"LHR")</f>
        <v>LHR</v>
      </c>
      <c r="O343" s="101">
        <f>IFERROR(__xludf.DUMMYFUNCTION("""COMPUTED_VALUE"""),45922.0)</f>
        <v>45922</v>
      </c>
      <c r="P343" s="104" t="str">
        <f>IFERROR(__xludf.DUMMYFUNCTION("""COMPUTED_VALUE"""),"cyberattack")</f>
        <v>cyberattack</v>
      </c>
      <c r="Q343" s="86" t="str">
        <f>IFERROR(__xludf.DUMMYFUNCTION("""COMPUTED_VALUE"""),"REJECT")</f>
        <v>REJECT</v>
      </c>
      <c r="R343" s="66"/>
      <c r="S343" s="66"/>
      <c r="T343" s="66"/>
      <c r="U343" s="66"/>
      <c r="V343" s="66"/>
      <c r="W343" s="66"/>
      <c r="X343" s="66"/>
      <c r="Y343" s="66"/>
      <c r="Z343" s="66"/>
      <c r="AA343" s="66"/>
      <c r="AB343" s="66"/>
      <c r="AC343" s="66"/>
      <c r="AD343" s="66"/>
      <c r="AE343" s="66"/>
      <c r="AF343" s="66"/>
      <c r="AG343" s="66"/>
      <c r="AH343" s="66"/>
      <c r="AI343" s="66"/>
      <c r="AJ343" s="66"/>
      <c r="AK343" s="66"/>
      <c r="AL343" s="66"/>
      <c r="AM343" s="66"/>
      <c r="AN343" s="66"/>
      <c r="AO343" s="66"/>
    </row>
    <row r="344">
      <c r="A344" s="93"/>
      <c r="B344" s="85"/>
      <c r="C344" s="86"/>
      <c r="D344" s="93"/>
      <c r="E344" s="85"/>
      <c r="F344" s="85"/>
      <c r="G344" s="86"/>
      <c r="H344" s="78" t="str">
        <f>IFERROR(__xludf.DUMMYFUNCTION("""COMPUTED_VALUE"""),"")</f>
        <v/>
      </c>
      <c r="I344" s="85"/>
      <c r="J344" s="85"/>
      <c r="K344" s="85"/>
      <c r="L344" s="86" t="str">
        <f>IFERROR(__xludf.DUMMYFUNCTION("""COMPUTED_VALUE"""),"REJECT")</f>
        <v>REJECT</v>
      </c>
      <c r="M344" s="78" t="str">
        <f>IFERROR(__xludf.DUMMYFUNCTION("""COMPUTED_VALUE"""),"45922BRU")</f>
        <v>45922BRU</v>
      </c>
      <c r="N344" s="85" t="str">
        <f>IFERROR(__xludf.DUMMYFUNCTION("""COMPUTED_VALUE"""),"BRU")</f>
        <v>BRU</v>
      </c>
      <c r="O344" s="101">
        <f>IFERROR(__xludf.DUMMYFUNCTION("""COMPUTED_VALUE"""),45922.0)</f>
        <v>45922</v>
      </c>
      <c r="P344" s="104" t="str">
        <f>IFERROR(__xludf.DUMMYFUNCTION("""COMPUTED_VALUE"""),"cyberattack")</f>
        <v>cyberattack</v>
      </c>
      <c r="Q344" s="86" t="str">
        <f>IFERROR(__xludf.DUMMYFUNCTION("""COMPUTED_VALUE"""),"REJECT")</f>
        <v>REJECT</v>
      </c>
      <c r="R344" s="66"/>
      <c r="S344" s="66"/>
      <c r="T344" s="66"/>
      <c r="U344" s="66"/>
      <c r="V344" s="66"/>
      <c r="W344" s="66"/>
      <c r="X344" s="66"/>
      <c r="Y344" s="66"/>
      <c r="Z344" s="66"/>
      <c r="AA344" s="66"/>
      <c r="AB344" s="66"/>
      <c r="AC344" s="66"/>
      <c r="AD344" s="66"/>
      <c r="AE344" s="66"/>
      <c r="AF344" s="66"/>
      <c r="AG344" s="66"/>
      <c r="AH344" s="66"/>
      <c r="AI344" s="66"/>
      <c r="AJ344" s="66"/>
      <c r="AK344" s="66"/>
      <c r="AL344" s="66"/>
      <c r="AM344" s="66"/>
      <c r="AN344" s="66"/>
      <c r="AO344" s="66"/>
    </row>
    <row r="345">
      <c r="A345" s="93"/>
      <c r="B345" s="85"/>
      <c r="C345" s="86"/>
      <c r="D345" s="93"/>
      <c r="E345" s="85"/>
      <c r="F345" s="85"/>
      <c r="G345" s="86"/>
      <c r="H345" s="78" t="str">
        <f>IFERROR(__xludf.DUMMYFUNCTION("""COMPUTED_VALUE"""),"")</f>
        <v/>
      </c>
      <c r="I345" s="85"/>
      <c r="J345" s="85"/>
      <c r="K345" s="85"/>
      <c r="L345" s="86" t="str">
        <f>IFERROR(__xludf.DUMMYFUNCTION("""COMPUTED_VALUE"""),"REJECT")</f>
        <v>REJECT</v>
      </c>
      <c r="M345" s="78" t="str">
        <f>IFERROR(__xludf.DUMMYFUNCTION("""COMPUTED_VALUE"""),"45922BER")</f>
        <v>45922BER</v>
      </c>
      <c r="N345" s="85" t="str">
        <f>IFERROR(__xludf.DUMMYFUNCTION("""COMPUTED_VALUE"""),"BER")</f>
        <v>BER</v>
      </c>
      <c r="O345" s="101">
        <f>IFERROR(__xludf.DUMMYFUNCTION("""COMPUTED_VALUE"""),45922.0)</f>
        <v>45922</v>
      </c>
      <c r="P345" s="104" t="str">
        <f>IFERROR(__xludf.DUMMYFUNCTION("""COMPUTED_VALUE"""),"cyberattack")</f>
        <v>cyberattack</v>
      </c>
      <c r="Q345" s="86" t="str">
        <f>IFERROR(__xludf.DUMMYFUNCTION("""COMPUTED_VALUE"""),"REJECT")</f>
        <v>REJECT</v>
      </c>
      <c r="R345" s="66"/>
      <c r="S345" s="66"/>
      <c r="T345" s="66"/>
      <c r="U345" s="66"/>
      <c r="V345" s="66"/>
      <c r="W345" s="66"/>
      <c r="X345" s="66"/>
      <c r="Y345" s="66"/>
      <c r="Z345" s="66"/>
      <c r="AA345" s="66"/>
      <c r="AB345" s="66"/>
      <c r="AC345" s="66"/>
      <c r="AD345" s="66"/>
      <c r="AE345" s="66"/>
      <c r="AF345" s="66"/>
      <c r="AG345" s="66"/>
      <c r="AH345" s="66"/>
      <c r="AI345" s="66"/>
      <c r="AJ345" s="66"/>
      <c r="AK345" s="66"/>
      <c r="AL345" s="66"/>
      <c r="AM345" s="66"/>
      <c r="AN345" s="66"/>
      <c r="AO345" s="66"/>
    </row>
    <row r="346">
      <c r="A346" s="93"/>
      <c r="B346" s="85"/>
      <c r="C346" s="86"/>
      <c r="D346" s="93"/>
      <c r="E346" s="85"/>
      <c r="F346" s="85"/>
      <c r="G346" s="86"/>
      <c r="H346" s="78" t="str">
        <f>IFERROR(__xludf.DUMMYFUNCTION("""COMPUTED_VALUE"""),"")</f>
        <v/>
      </c>
      <c r="I346" s="85"/>
      <c r="J346" s="85"/>
      <c r="K346" s="85"/>
      <c r="L346" s="86" t="str">
        <f>IFERROR(__xludf.DUMMYFUNCTION("""COMPUTED_VALUE"""),"REJECT")</f>
        <v>REJECT</v>
      </c>
      <c r="M346" s="78" t="str">
        <f>IFERROR(__xludf.DUMMYFUNCTION("""COMPUTED_VALUE"""),"45920DUB")</f>
        <v>45920DUB</v>
      </c>
      <c r="N346" s="85" t="str">
        <f>IFERROR(__xludf.DUMMYFUNCTION("""COMPUTED_VALUE"""),"DUB")</f>
        <v>DUB</v>
      </c>
      <c r="O346" s="101">
        <f>IFERROR(__xludf.DUMMYFUNCTION("""COMPUTED_VALUE"""),45920.0)</f>
        <v>45920</v>
      </c>
      <c r="P346" s="104" t="str">
        <f>IFERROR(__xludf.DUMMYFUNCTION("""COMPUTED_VALUE"""),"Security issue")</f>
        <v>Security issue</v>
      </c>
      <c r="Q346" s="86" t="str">
        <f>IFERROR(__xludf.DUMMYFUNCTION("""COMPUTED_VALUE"""),"REJECT")</f>
        <v>REJECT</v>
      </c>
      <c r="R346" s="66"/>
      <c r="S346" s="66"/>
      <c r="T346" s="66"/>
      <c r="U346" s="66"/>
      <c r="V346" s="66"/>
      <c r="W346" s="66"/>
      <c r="X346" s="66"/>
      <c r="Y346" s="66"/>
      <c r="Z346" s="66"/>
      <c r="AA346" s="66"/>
      <c r="AB346" s="66"/>
      <c r="AC346" s="66"/>
      <c r="AD346" s="66"/>
      <c r="AE346" s="66"/>
      <c r="AF346" s="66"/>
      <c r="AG346" s="66"/>
      <c r="AH346" s="66"/>
      <c r="AI346" s="66"/>
      <c r="AJ346" s="66"/>
      <c r="AK346" s="66"/>
      <c r="AL346" s="66"/>
      <c r="AM346" s="66"/>
      <c r="AN346" s="66"/>
      <c r="AO346" s="66"/>
    </row>
    <row r="347">
      <c r="A347" s="93"/>
      <c r="B347" s="85"/>
      <c r="C347" s="86"/>
      <c r="D347" s="93"/>
      <c r="E347" s="85"/>
      <c r="F347" s="85"/>
      <c r="G347" s="86"/>
      <c r="H347" s="78" t="str">
        <f>IFERROR(__xludf.DUMMYFUNCTION("""COMPUTED_VALUE"""),"")</f>
        <v/>
      </c>
      <c r="I347" s="85"/>
      <c r="J347" s="85"/>
      <c r="K347" s="85"/>
      <c r="L347" s="86" t="str">
        <f>IFERROR(__xludf.DUMMYFUNCTION("""COMPUTED_VALUE"""),"REJECT")</f>
        <v>REJECT</v>
      </c>
      <c r="M347" s="78" t="str">
        <f>IFERROR(__xludf.DUMMYFUNCTION("""COMPUTED_VALUE"""),"45914KRK")</f>
        <v>45914KRK</v>
      </c>
      <c r="N347" s="85" t="str">
        <f>IFERROR(__xludf.DUMMYFUNCTION("""COMPUTED_VALUE"""),"KRK")</f>
        <v>KRK</v>
      </c>
      <c r="O347" s="101">
        <f>IFERROR(__xludf.DUMMYFUNCTION("""COMPUTED_VALUE"""),45914.0)</f>
        <v>45914</v>
      </c>
      <c r="P347" s="104" t="str">
        <f>IFERROR(__xludf.DUMMYFUNCTION("""COMPUTED_VALUE"""),"Airport Closure")</f>
        <v>Airport Closure</v>
      </c>
      <c r="Q347" s="86" t="str">
        <f>IFERROR(__xludf.DUMMYFUNCTION("""COMPUTED_VALUE"""),"REJECT")</f>
        <v>REJECT</v>
      </c>
      <c r="R347" s="66"/>
      <c r="S347" s="66"/>
      <c r="T347" s="66"/>
      <c r="U347" s="66"/>
      <c r="V347" s="66"/>
      <c r="W347" s="66"/>
      <c r="X347" s="66"/>
      <c r="Y347" s="66"/>
      <c r="Z347" s="66"/>
      <c r="AA347" s="66"/>
      <c r="AB347" s="66"/>
      <c r="AC347" s="66"/>
      <c r="AD347" s="66"/>
      <c r="AE347" s="66"/>
      <c r="AF347" s="66"/>
      <c r="AG347" s="66"/>
      <c r="AH347" s="66"/>
      <c r="AI347" s="66"/>
      <c r="AJ347" s="66"/>
      <c r="AK347" s="66"/>
      <c r="AL347" s="66"/>
      <c r="AM347" s="66"/>
      <c r="AN347" s="66"/>
      <c r="AO347" s="66"/>
    </row>
    <row r="348">
      <c r="A348" s="93"/>
      <c r="B348" s="85"/>
      <c r="C348" s="86"/>
      <c r="D348" s="93"/>
      <c r="E348" s="85"/>
      <c r="F348" s="85"/>
      <c r="G348" s="86"/>
      <c r="H348" s="78" t="str">
        <f>IFERROR(__xludf.DUMMYFUNCTION("""COMPUTED_VALUE"""),"")</f>
        <v/>
      </c>
      <c r="I348" s="85"/>
      <c r="J348" s="85"/>
      <c r="K348" s="85"/>
      <c r="L348" s="86" t="str">
        <f>IFERROR(__xludf.DUMMYFUNCTION("""COMPUTED_VALUE"""),"REJECT")</f>
        <v>REJECT</v>
      </c>
      <c r="M348" s="78" t="str">
        <f>IFERROR(__xludf.DUMMYFUNCTION("""COMPUTED_VALUE"""),"45933MXP")</f>
        <v>45933MXP</v>
      </c>
      <c r="N348" s="85" t="str">
        <f>IFERROR(__xludf.DUMMYFUNCTION("""COMPUTED_VALUE"""),"MXP")</f>
        <v>MXP</v>
      </c>
      <c r="O348" s="101">
        <f>IFERROR(__xludf.DUMMYFUNCTION("""COMPUTED_VALUE"""),45933.0)</f>
        <v>45933</v>
      </c>
      <c r="P348" s="104" t="str">
        <f>IFERROR(__xludf.DUMMYFUNCTION("""COMPUTED_VALUE"""),"Strike")</f>
        <v>Strike</v>
      </c>
      <c r="Q348" s="86" t="str">
        <f>IFERROR(__xludf.DUMMYFUNCTION("""COMPUTED_VALUE"""),"REJECT")</f>
        <v>REJECT</v>
      </c>
      <c r="R348" s="66"/>
      <c r="S348" s="66"/>
      <c r="T348" s="66"/>
      <c r="U348" s="66"/>
      <c r="V348" s="66"/>
      <c r="W348" s="66"/>
      <c r="X348" s="66"/>
      <c r="Y348" s="66"/>
      <c r="Z348" s="66"/>
      <c r="AA348" s="66"/>
      <c r="AB348" s="66"/>
      <c r="AC348" s="66"/>
      <c r="AD348" s="66"/>
      <c r="AE348" s="66"/>
      <c r="AF348" s="66"/>
      <c r="AG348" s="66"/>
      <c r="AH348" s="66"/>
      <c r="AI348" s="66"/>
      <c r="AJ348" s="66"/>
      <c r="AK348" s="66"/>
      <c r="AL348" s="66"/>
      <c r="AM348" s="66"/>
      <c r="AN348" s="66"/>
      <c r="AO348" s="66"/>
    </row>
    <row r="349">
      <c r="A349" s="93"/>
      <c r="B349" s="85"/>
      <c r="C349" s="86"/>
      <c r="D349" s="93"/>
      <c r="E349" s="85"/>
      <c r="F349" s="85"/>
      <c r="G349" s="86"/>
      <c r="H349" s="78" t="str">
        <f>IFERROR(__xludf.DUMMYFUNCTION("""COMPUTED_VALUE"""),"")</f>
        <v/>
      </c>
      <c r="I349" s="85"/>
      <c r="J349" s="85"/>
      <c r="K349" s="85"/>
      <c r="L349" s="86" t="str">
        <f>IFERROR(__xludf.DUMMYFUNCTION("""COMPUTED_VALUE"""),"REJECT")</f>
        <v>REJECT</v>
      </c>
      <c r="M349" s="78" t="str">
        <f>IFERROR(__xludf.DUMMYFUNCTION("""COMPUTED_VALUE"""),"45933BLQ")</f>
        <v>45933BLQ</v>
      </c>
      <c r="N349" s="85" t="str">
        <f>IFERROR(__xludf.DUMMYFUNCTION("""COMPUTED_VALUE"""),"BLQ")</f>
        <v>BLQ</v>
      </c>
      <c r="O349" s="101">
        <f>IFERROR(__xludf.DUMMYFUNCTION("""COMPUTED_VALUE"""),45933.0)</f>
        <v>45933</v>
      </c>
      <c r="P349" s="104" t="str">
        <f>IFERROR(__xludf.DUMMYFUNCTION("""COMPUTED_VALUE"""),"Strike")</f>
        <v>Strike</v>
      </c>
      <c r="Q349" s="86" t="str">
        <f>IFERROR(__xludf.DUMMYFUNCTION("""COMPUTED_VALUE"""),"REJECT")</f>
        <v>REJECT</v>
      </c>
      <c r="R349" s="66"/>
      <c r="S349" s="66"/>
      <c r="T349" s="66"/>
      <c r="U349" s="66"/>
      <c r="V349" s="66"/>
      <c r="W349" s="66"/>
      <c r="X349" s="66"/>
      <c r="Y349" s="66"/>
      <c r="Z349" s="66"/>
      <c r="AA349" s="66"/>
      <c r="AB349" s="66"/>
      <c r="AC349" s="66"/>
      <c r="AD349" s="66"/>
      <c r="AE349" s="66"/>
      <c r="AF349" s="66"/>
      <c r="AG349" s="66"/>
      <c r="AH349" s="66"/>
      <c r="AI349" s="66"/>
      <c r="AJ349" s="66"/>
      <c r="AK349" s="66"/>
      <c r="AL349" s="66"/>
      <c r="AM349" s="66"/>
      <c r="AN349" s="66"/>
      <c r="AO349" s="66"/>
    </row>
    <row r="350">
      <c r="A350" s="93"/>
      <c r="B350" s="85"/>
      <c r="C350" s="86"/>
      <c r="D350" s="93"/>
      <c r="E350" s="85"/>
      <c r="F350" s="85"/>
      <c r="G350" s="86"/>
      <c r="H350" s="78" t="str">
        <f>IFERROR(__xludf.DUMMYFUNCTION("""COMPUTED_VALUE"""),"")</f>
        <v/>
      </c>
      <c r="I350" s="85"/>
      <c r="J350" s="85"/>
      <c r="K350" s="85"/>
      <c r="L350" s="86" t="str">
        <f>IFERROR(__xludf.DUMMYFUNCTION("""COMPUTED_VALUE"""),"REJECT")</f>
        <v>REJECT</v>
      </c>
      <c r="M350" s="78" t="str">
        <f>IFERROR(__xludf.DUMMYFUNCTION("""COMPUTED_VALUE"""),"45933NAP")</f>
        <v>45933NAP</v>
      </c>
      <c r="N350" s="85" t="str">
        <f>IFERROR(__xludf.DUMMYFUNCTION("""COMPUTED_VALUE"""),"NAP")</f>
        <v>NAP</v>
      </c>
      <c r="O350" s="101">
        <f>IFERROR(__xludf.DUMMYFUNCTION("""COMPUTED_VALUE"""),45933.0)</f>
        <v>45933</v>
      </c>
      <c r="P350" s="104" t="str">
        <f>IFERROR(__xludf.DUMMYFUNCTION("""COMPUTED_VALUE"""),"Strike")</f>
        <v>Strike</v>
      </c>
      <c r="Q350" s="86" t="str">
        <f>IFERROR(__xludf.DUMMYFUNCTION("""COMPUTED_VALUE"""),"REJECT")</f>
        <v>REJECT</v>
      </c>
      <c r="R350" s="66"/>
      <c r="S350" s="66"/>
      <c r="T350" s="66"/>
      <c r="U350" s="66"/>
      <c r="V350" s="66"/>
      <c r="W350" s="66"/>
      <c r="X350" s="66"/>
      <c r="Y350" s="66"/>
      <c r="Z350" s="66"/>
      <c r="AA350" s="66"/>
      <c r="AB350" s="66"/>
      <c r="AC350" s="66"/>
      <c r="AD350" s="66"/>
      <c r="AE350" s="66"/>
      <c r="AF350" s="66"/>
      <c r="AG350" s="66"/>
      <c r="AH350" s="66"/>
      <c r="AI350" s="66"/>
      <c r="AJ350" s="66"/>
      <c r="AK350" s="66"/>
      <c r="AL350" s="66"/>
      <c r="AM350" s="66"/>
      <c r="AN350" s="66"/>
      <c r="AO350" s="66"/>
    </row>
    <row r="351">
      <c r="A351" s="93"/>
      <c r="B351" s="85"/>
      <c r="C351" s="86"/>
      <c r="D351" s="93"/>
      <c r="E351" s="85"/>
      <c r="F351" s="85"/>
      <c r="G351" s="86"/>
      <c r="H351" s="78" t="str">
        <f>IFERROR(__xludf.DUMMYFUNCTION("""COMPUTED_VALUE"""),"")</f>
        <v/>
      </c>
      <c r="I351" s="85"/>
      <c r="J351" s="85"/>
      <c r="K351" s="85"/>
      <c r="L351" s="86" t="str">
        <f>IFERROR(__xludf.DUMMYFUNCTION("""COMPUTED_VALUE"""),"REJECT")</f>
        <v>REJECT</v>
      </c>
      <c r="M351" s="78" t="str">
        <f>IFERROR(__xludf.DUMMYFUNCTION("""COMPUTED_VALUE"""),"45933FCO")</f>
        <v>45933FCO</v>
      </c>
      <c r="N351" s="85" t="str">
        <f>IFERROR(__xludf.DUMMYFUNCTION("""COMPUTED_VALUE"""),"FCO")</f>
        <v>FCO</v>
      </c>
      <c r="O351" s="101">
        <f>IFERROR(__xludf.DUMMYFUNCTION("""COMPUTED_VALUE"""),45933.0)</f>
        <v>45933</v>
      </c>
      <c r="P351" s="104" t="str">
        <f>IFERROR(__xludf.DUMMYFUNCTION("""COMPUTED_VALUE"""),"Strike")</f>
        <v>Strike</v>
      </c>
      <c r="Q351" s="86" t="str">
        <f>IFERROR(__xludf.DUMMYFUNCTION("""COMPUTED_VALUE"""),"REJECT")</f>
        <v>REJECT</v>
      </c>
      <c r="R351" s="66"/>
      <c r="S351" s="66"/>
      <c r="T351" s="66"/>
      <c r="U351" s="66"/>
      <c r="V351" s="66"/>
      <c r="W351" s="66"/>
      <c r="X351" s="66"/>
      <c r="Y351" s="66"/>
      <c r="Z351" s="66"/>
      <c r="AA351" s="66"/>
      <c r="AB351" s="66"/>
      <c r="AC351" s="66"/>
      <c r="AD351" s="66"/>
      <c r="AE351" s="66"/>
      <c r="AF351" s="66"/>
      <c r="AG351" s="66"/>
      <c r="AH351" s="66"/>
      <c r="AI351" s="66"/>
      <c r="AJ351" s="66"/>
      <c r="AK351" s="66"/>
      <c r="AL351" s="66"/>
      <c r="AM351" s="66"/>
      <c r="AN351" s="66"/>
      <c r="AO351" s="66"/>
    </row>
    <row r="352">
      <c r="A352" s="93"/>
      <c r="B352" s="85"/>
      <c r="C352" s="86"/>
      <c r="D352" s="93"/>
      <c r="E352" s="85"/>
      <c r="F352" s="85"/>
      <c r="G352" s="86"/>
      <c r="H352" s="78" t="str">
        <f>IFERROR(__xludf.DUMMYFUNCTION("""COMPUTED_VALUE"""),"")</f>
        <v/>
      </c>
      <c r="I352" s="85"/>
      <c r="J352" s="85"/>
      <c r="K352" s="85"/>
      <c r="L352" s="86" t="str">
        <f>IFERROR(__xludf.DUMMYFUNCTION("""COMPUTED_VALUE"""),"REJECT")</f>
        <v>REJECT</v>
      </c>
      <c r="M352" s="78" t="str">
        <f>IFERROR(__xludf.DUMMYFUNCTION("""COMPUTED_VALUE"""),"45923HKG")</f>
        <v>45923HKG</v>
      </c>
      <c r="N352" s="85" t="str">
        <f>IFERROR(__xludf.DUMMYFUNCTION("""COMPUTED_VALUE"""),"HKG")</f>
        <v>HKG</v>
      </c>
      <c r="O352" s="101">
        <f>IFERROR(__xludf.DUMMYFUNCTION("""COMPUTED_VALUE"""),45923.0)</f>
        <v>45923</v>
      </c>
      <c r="P352" s="104" t="str">
        <f>IFERROR(__xludf.DUMMYFUNCTION("""COMPUTED_VALUE"""),"Bad Weather")</f>
        <v>Bad Weather</v>
      </c>
      <c r="Q352" s="86" t="str">
        <f>IFERROR(__xludf.DUMMYFUNCTION("""COMPUTED_VALUE"""),"REJECT")</f>
        <v>REJECT</v>
      </c>
      <c r="R352" s="66"/>
      <c r="S352" s="66"/>
      <c r="T352" s="66"/>
      <c r="U352" s="66"/>
      <c r="V352" s="66"/>
      <c r="W352" s="66"/>
      <c r="X352" s="66"/>
      <c r="Y352" s="66"/>
      <c r="Z352" s="66"/>
      <c r="AA352" s="66"/>
      <c r="AB352" s="66"/>
      <c r="AC352" s="66"/>
      <c r="AD352" s="66"/>
      <c r="AE352" s="66"/>
      <c r="AF352" s="66"/>
      <c r="AG352" s="66"/>
      <c r="AH352" s="66"/>
      <c r="AI352" s="66"/>
      <c r="AJ352" s="66"/>
      <c r="AK352" s="66"/>
      <c r="AL352" s="66"/>
      <c r="AM352" s="66"/>
      <c r="AN352" s="66"/>
      <c r="AO352" s="66"/>
    </row>
    <row r="353">
      <c r="A353" s="93"/>
      <c r="B353" s="85"/>
      <c r="C353" s="86"/>
      <c r="D353" s="93"/>
      <c r="E353" s="85"/>
      <c r="F353" s="85"/>
      <c r="G353" s="86"/>
      <c r="H353" s="78" t="str">
        <f>IFERROR(__xludf.DUMMYFUNCTION("""COMPUTED_VALUE"""),"")</f>
        <v/>
      </c>
      <c r="I353" s="85"/>
      <c r="J353" s="85"/>
      <c r="K353" s="85"/>
      <c r="L353" s="86" t="str">
        <f>IFERROR(__xludf.DUMMYFUNCTION("""COMPUTED_VALUE"""),"REJECT")</f>
        <v>REJECT</v>
      </c>
      <c r="M353" s="78" t="str">
        <f>IFERROR(__xludf.DUMMYFUNCTION("""COMPUTED_VALUE"""),"45923SZX")</f>
        <v>45923SZX</v>
      </c>
      <c r="N353" s="85" t="str">
        <f>IFERROR(__xludf.DUMMYFUNCTION("""COMPUTED_VALUE"""),"SZX")</f>
        <v>SZX</v>
      </c>
      <c r="O353" s="101">
        <f>IFERROR(__xludf.DUMMYFUNCTION("""COMPUTED_VALUE"""),45923.0)</f>
        <v>45923</v>
      </c>
      <c r="P353" s="104" t="str">
        <f>IFERROR(__xludf.DUMMYFUNCTION("""COMPUTED_VALUE"""),"Bad Weather")</f>
        <v>Bad Weather</v>
      </c>
      <c r="Q353" s="86" t="str">
        <f>IFERROR(__xludf.DUMMYFUNCTION("""COMPUTED_VALUE"""),"REJECT")</f>
        <v>REJECT</v>
      </c>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row>
    <row r="354">
      <c r="A354" s="93"/>
      <c r="B354" s="85"/>
      <c r="C354" s="86"/>
      <c r="D354" s="93"/>
      <c r="E354" s="85"/>
      <c r="F354" s="85"/>
      <c r="G354" s="86"/>
      <c r="H354" s="78" t="str">
        <f>IFERROR(__xludf.DUMMYFUNCTION("""COMPUTED_VALUE"""),"")</f>
        <v/>
      </c>
      <c r="I354" s="85"/>
      <c r="J354" s="85"/>
      <c r="K354" s="85"/>
      <c r="L354" s="86" t="str">
        <f>IFERROR(__xludf.DUMMYFUNCTION("""COMPUTED_VALUE"""),"REJECT")</f>
        <v>REJECT</v>
      </c>
      <c r="M354" s="78" t="str">
        <f>IFERROR(__xludf.DUMMYFUNCTION("""COMPUTED_VALUE"""),"45923CAN")</f>
        <v>45923CAN</v>
      </c>
      <c r="N354" s="85" t="str">
        <f>IFERROR(__xludf.DUMMYFUNCTION("""COMPUTED_VALUE"""),"CAN")</f>
        <v>CAN</v>
      </c>
      <c r="O354" s="101">
        <f>IFERROR(__xludf.DUMMYFUNCTION("""COMPUTED_VALUE"""),45923.0)</f>
        <v>45923</v>
      </c>
      <c r="P354" s="104" t="str">
        <f>IFERROR(__xludf.DUMMYFUNCTION("""COMPUTED_VALUE"""),"Bad Weather")</f>
        <v>Bad Weather</v>
      </c>
      <c r="Q354" s="86" t="str">
        <f>IFERROR(__xludf.DUMMYFUNCTION("""COMPUTED_VALUE"""),"REJECT")</f>
        <v>REJECT</v>
      </c>
      <c r="R354" s="66"/>
      <c r="S354" s="66"/>
      <c r="T354" s="66"/>
      <c r="U354" s="66"/>
      <c r="V354" s="66"/>
      <c r="W354" s="66"/>
      <c r="X354" s="66"/>
      <c r="Y354" s="66"/>
      <c r="Z354" s="66"/>
      <c r="AA354" s="66"/>
      <c r="AB354" s="66"/>
      <c r="AC354" s="66"/>
      <c r="AD354" s="66"/>
      <c r="AE354" s="66"/>
      <c r="AF354" s="66"/>
      <c r="AG354" s="66"/>
      <c r="AH354" s="66"/>
      <c r="AI354" s="66"/>
      <c r="AJ354" s="66"/>
      <c r="AK354" s="66"/>
      <c r="AL354" s="66"/>
      <c r="AM354" s="66"/>
      <c r="AN354" s="66"/>
      <c r="AO354" s="66"/>
    </row>
    <row r="355">
      <c r="A355" s="93"/>
      <c r="B355" s="85"/>
      <c r="C355" s="86"/>
      <c r="D355" s="93"/>
      <c r="E355" s="85"/>
      <c r="F355" s="85"/>
      <c r="G355" s="86"/>
      <c r="H355" s="78" t="str">
        <f>IFERROR(__xludf.DUMMYFUNCTION("""COMPUTED_VALUE"""),"")</f>
        <v/>
      </c>
      <c r="I355" s="85"/>
      <c r="J355" s="85"/>
      <c r="K355" s="85"/>
      <c r="L355" s="86" t="str">
        <f>IFERROR(__xludf.DUMMYFUNCTION("""COMPUTED_VALUE"""),"REJECT")</f>
        <v>REJECT</v>
      </c>
      <c r="M355" s="78" t="str">
        <f>IFERROR(__xludf.DUMMYFUNCTION("""COMPUTED_VALUE"""),"45923PKX")</f>
        <v>45923PKX</v>
      </c>
      <c r="N355" s="85" t="str">
        <f>IFERROR(__xludf.DUMMYFUNCTION("""COMPUTED_VALUE"""),"PKX")</f>
        <v>PKX</v>
      </c>
      <c r="O355" s="101">
        <f>IFERROR(__xludf.DUMMYFUNCTION("""COMPUTED_VALUE"""),45923.0)</f>
        <v>45923</v>
      </c>
      <c r="P355" s="104" t="str">
        <f>IFERROR(__xludf.DUMMYFUNCTION("""COMPUTED_VALUE"""),"Bad Weather")</f>
        <v>Bad Weather</v>
      </c>
      <c r="Q355" s="86" t="str">
        <f>IFERROR(__xludf.DUMMYFUNCTION("""COMPUTED_VALUE"""),"REJECT")</f>
        <v>REJECT</v>
      </c>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row>
    <row r="356">
      <c r="A356" s="93"/>
      <c r="B356" s="85"/>
      <c r="C356" s="86"/>
      <c r="D356" s="93"/>
      <c r="E356" s="85"/>
      <c r="F356" s="85"/>
      <c r="G356" s="86"/>
      <c r="H356" s="78" t="str">
        <f>IFERROR(__xludf.DUMMYFUNCTION("""COMPUTED_VALUE"""),"")</f>
        <v/>
      </c>
      <c r="I356" s="85"/>
      <c r="J356" s="85"/>
      <c r="K356" s="85"/>
      <c r="L356" s="86" t="str">
        <f>IFERROR(__xludf.DUMMYFUNCTION("""COMPUTED_VALUE"""),"REJECT")</f>
        <v>REJECT</v>
      </c>
      <c r="M356" s="78" t="str">
        <f>IFERROR(__xludf.DUMMYFUNCTION("""COMPUTED_VALUE"""),"45923SHA")</f>
        <v>45923SHA</v>
      </c>
      <c r="N356" s="85" t="str">
        <f>IFERROR(__xludf.DUMMYFUNCTION("""COMPUTED_VALUE"""),"SHA")</f>
        <v>SHA</v>
      </c>
      <c r="O356" s="101">
        <f>IFERROR(__xludf.DUMMYFUNCTION("""COMPUTED_VALUE"""),45923.0)</f>
        <v>45923</v>
      </c>
      <c r="P356" s="104" t="str">
        <f>IFERROR(__xludf.DUMMYFUNCTION("""COMPUTED_VALUE"""),"Bad Weather")</f>
        <v>Bad Weather</v>
      </c>
      <c r="Q356" s="86" t="str">
        <f>IFERROR(__xludf.DUMMYFUNCTION("""COMPUTED_VALUE"""),"REJECT")</f>
        <v>REJECT</v>
      </c>
      <c r="R356" s="66"/>
      <c r="S356" s="66"/>
      <c r="T356" s="66"/>
      <c r="U356" s="66"/>
      <c r="V356" s="66"/>
      <c r="W356" s="66"/>
      <c r="X356" s="66"/>
      <c r="Y356" s="66"/>
      <c r="Z356" s="66"/>
      <c r="AA356" s="66"/>
      <c r="AB356" s="66"/>
      <c r="AC356" s="66"/>
      <c r="AD356" s="66"/>
      <c r="AE356" s="66"/>
      <c r="AF356" s="66"/>
      <c r="AG356" s="66"/>
      <c r="AH356" s="66"/>
      <c r="AI356" s="66"/>
      <c r="AJ356" s="66"/>
      <c r="AK356" s="66"/>
      <c r="AL356" s="66"/>
      <c r="AM356" s="66"/>
      <c r="AN356" s="66"/>
      <c r="AO356" s="66"/>
    </row>
    <row r="357">
      <c r="A357" s="93"/>
      <c r="B357" s="85"/>
      <c r="C357" s="86"/>
      <c r="D357" s="93"/>
      <c r="E357" s="85"/>
      <c r="F357" s="85"/>
      <c r="G357" s="86"/>
      <c r="H357" s="78" t="str">
        <f>IFERROR(__xludf.DUMMYFUNCTION("""COMPUTED_VALUE"""),"")</f>
        <v/>
      </c>
      <c r="I357" s="85"/>
      <c r="J357" s="85"/>
      <c r="K357" s="85"/>
      <c r="L357" s="86" t="str">
        <f>IFERROR(__xludf.DUMMYFUNCTION("""COMPUTED_VALUE"""),"REJECT")</f>
        <v>REJECT</v>
      </c>
      <c r="M357" s="78" t="str">
        <f>IFERROR(__xludf.DUMMYFUNCTION("""COMPUTED_VALUE"""),"45923MFM")</f>
        <v>45923MFM</v>
      </c>
      <c r="N357" s="85" t="str">
        <f>IFERROR(__xludf.DUMMYFUNCTION("""COMPUTED_VALUE"""),"MFM")</f>
        <v>MFM</v>
      </c>
      <c r="O357" s="101">
        <f>IFERROR(__xludf.DUMMYFUNCTION("""COMPUTED_VALUE"""),45923.0)</f>
        <v>45923</v>
      </c>
      <c r="P357" s="104" t="str">
        <f>IFERROR(__xludf.DUMMYFUNCTION("""COMPUTED_VALUE"""),"Bad Weather")</f>
        <v>Bad Weather</v>
      </c>
      <c r="Q357" s="86" t="str">
        <f>IFERROR(__xludf.DUMMYFUNCTION("""COMPUTED_VALUE"""),"REJECT")</f>
        <v>REJECT</v>
      </c>
      <c r="R357" s="66"/>
      <c r="S357" s="66"/>
      <c r="T357" s="66"/>
      <c r="U357" s="66"/>
      <c r="V357" s="66"/>
      <c r="W357" s="66"/>
      <c r="X357" s="66"/>
      <c r="Y357" s="66"/>
      <c r="Z357" s="66"/>
      <c r="AA357" s="66"/>
      <c r="AB357" s="66"/>
      <c r="AC357" s="66"/>
      <c r="AD357" s="66"/>
      <c r="AE357" s="66"/>
      <c r="AF357" s="66"/>
      <c r="AG357" s="66"/>
      <c r="AH357" s="66"/>
      <c r="AI357" s="66"/>
      <c r="AJ357" s="66"/>
      <c r="AK357" s="66"/>
      <c r="AL357" s="66"/>
      <c r="AM357" s="66"/>
      <c r="AN357" s="66"/>
      <c r="AO357" s="66"/>
    </row>
    <row r="358">
      <c r="A358" s="93"/>
      <c r="B358" s="85"/>
      <c r="C358" s="86"/>
      <c r="D358" s="93"/>
      <c r="E358" s="85"/>
      <c r="F358" s="85"/>
      <c r="G358" s="86"/>
      <c r="H358" s="78" t="str">
        <f>IFERROR(__xludf.DUMMYFUNCTION("""COMPUTED_VALUE"""),"")</f>
        <v/>
      </c>
      <c r="I358" s="85"/>
      <c r="J358" s="85"/>
      <c r="K358" s="85"/>
      <c r="L358" s="86" t="str">
        <f>IFERROR(__xludf.DUMMYFUNCTION("""COMPUTED_VALUE"""),"REJECT")</f>
        <v>REJECT</v>
      </c>
      <c r="M358" s="78" t="str">
        <f>IFERROR(__xludf.DUMMYFUNCTION("""COMPUTED_VALUE"""),"45924MFM")</f>
        <v>45924MFM</v>
      </c>
      <c r="N358" s="85" t="str">
        <f>IFERROR(__xludf.DUMMYFUNCTION("""COMPUTED_VALUE"""),"MFM")</f>
        <v>MFM</v>
      </c>
      <c r="O358" s="101">
        <f>IFERROR(__xludf.DUMMYFUNCTION("""COMPUTED_VALUE"""),45924.0)</f>
        <v>45924</v>
      </c>
      <c r="P358" s="104" t="str">
        <f>IFERROR(__xludf.DUMMYFUNCTION("""COMPUTED_VALUE"""),"Bad Weather")</f>
        <v>Bad Weather</v>
      </c>
      <c r="Q358" s="86" t="str">
        <f>IFERROR(__xludf.DUMMYFUNCTION("""COMPUTED_VALUE"""),"REJECT")</f>
        <v>REJECT</v>
      </c>
      <c r="R358" s="66"/>
      <c r="S358" s="66"/>
      <c r="T358" s="66"/>
      <c r="U358" s="66"/>
      <c r="V358" s="66"/>
      <c r="W358" s="66"/>
      <c r="X358" s="66"/>
      <c r="Y358" s="66"/>
      <c r="Z358" s="66"/>
      <c r="AA358" s="66"/>
      <c r="AB358" s="66"/>
      <c r="AC358" s="66"/>
      <c r="AD358" s="66"/>
      <c r="AE358" s="66"/>
      <c r="AF358" s="66"/>
      <c r="AG358" s="66"/>
      <c r="AH358" s="66"/>
      <c r="AI358" s="66"/>
      <c r="AJ358" s="66"/>
      <c r="AK358" s="66"/>
      <c r="AL358" s="66"/>
      <c r="AM358" s="66"/>
      <c r="AN358" s="66"/>
      <c r="AO358" s="66"/>
    </row>
    <row r="359">
      <c r="A359" s="93"/>
      <c r="B359" s="85"/>
      <c r="C359" s="86"/>
      <c r="D359" s="93"/>
      <c r="E359" s="85"/>
      <c r="F359" s="85"/>
      <c r="G359" s="86"/>
      <c r="H359" s="78" t="str">
        <f>IFERROR(__xludf.DUMMYFUNCTION("""COMPUTED_VALUE"""),"")</f>
        <v/>
      </c>
      <c r="I359" s="85"/>
      <c r="J359" s="85"/>
      <c r="K359" s="85"/>
      <c r="L359" s="86" t="str">
        <f>IFERROR(__xludf.DUMMYFUNCTION("""COMPUTED_VALUE"""),"REJECT")</f>
        <v>REJECT</v>
      </c>
      <c r="M359" s="78" t="str">
        <f>IFERROR(__xludf.DUMMYFUNCTION("""COMPUTED_VALUE"""),"45924HKG")</f>
        <v>45924HKG</v>
      </c>
      <c r="N359" s="85" t="str">
        <f>IFERROR(__xludf.DUMMYFUNCTION("""COMPUTED_VALUE"""),"HKG")</f>
        <v>HKG</v>
      </c>
      <c r="O359" s="101">
        <f>IFERROR(__xludf.DUMMYFUNCTION("""COMPUTED_VALUE"""),45924.0)</f>
        <v>45924</v>
      </c>
      <c r="P359" s="104" t="str">
        <f>IFERROR(__xludf.DUMMYFUNCTION("""COMPUTED_VALUE"""),"Bad Weather")</f>
        <v>Bad Weather</v>
      </c>
      <c r="Q359" s="86" t="str">
        <f>IFERROR(__xludf.DUMMYFUNCTION("""COMPUTED_VALUE"""),"REJECT")</f>
        <v>REJECT</v>
      </c>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row>
    <row r="360">
      <c r="A360" s="93"/>
      <c r="B360" s="85"/>
      <c r="C360" s="86"/>
      <c r="D360" s="93"/>
      <c r="E360" s="85"/>
      <c r="F360" s="85"/>
      <c r="G360" s="86"/>
      <c r="H360" s="78" t="str">
        <f>IFERROR(__xludf.DUMMYFUNCTION("""COMPUTED_VALUE"""),"")</f>
        <v/>
      </c>
      <c r="I360" s="85"/>
      <c r="J360" s="85"/>
      <c r="K360" s="85"/>
      <c r="L360" s="86" t="str">
        <f>IFERROR(__xludf.DUMMYFUNCTION("""COMPUTED_VALUE"""),"REJECT")</f>
        <v>REJECT</v>
      </c>
      <c r="M360" s="78" t="str">
        <f>IFERROR(__xludf.DUMMYFUNCTION("""COMPUTED_VALUE"""),"45924SZX")</f>
        <v>45924SZX</v>
      </c>
      <c r="N360" s="85" t="str">
        <f>IFERROR(__xludf.DUMMYFUNCTION("""COMPUTED_VALUE"""),"SZX")</f>
        <v>SZX</v>
      </c>
      <c r="O360" s="101">
        <f>IFERROR(__xludf.DUMMYFUNCTION("""COMPUTED_VALUE"""),45924.0)</f>
        <v>45924</v>
      </c>
      <c r="P360" s="104" t="str">
        <f>IFERROR(__xludf.DUMMYFUNCTION("""COMPUTED_VALUE"""),"Bad Weather")</f>
        <v>Bad Weather</v>
      </c>
      <c r="Q360" s="86" t="str">
        <f>IFERROR(__xludf.DUMMYFUNCTION("""COMPUTED_VALUE"""),"REJECT")</f>
        <v>REJECT</v>
      </c>
      <c r="R360" s="66"/>
      <c r="S360" s="66"/>
      <c r="T360" s="66"/>
      <c r="U360" s="66"/>
      <c r="V360" s="66"/>
      <c r="W360" s="66"/>
      <c r="X360" s="66"/>
      <c r="Y360" s="66"/>
      <c r="Z360" s="66"/>
      <c r="AA360" s="66"/>
      <c r="AB360" s="66"/>
      <c r="AC360" s="66"/>
      <c r="AD360" s="66"/>
      <c r="AE360" s="66"/>
      <c r="AF360" s="66"/>
      <c r="AG360" s="66"/>
      <c r="AH360" s="66"/>
      <c r="AI360" s="66"/>
      <c r="AJ360" s="66"/>
      <c r="AK360" s="66"/>
      <c r="AL360" s="66"/>
      <c r="AM360" s="66"/>
      <c r="AN360" s="66"/>
      <c r="AO360" s="66"/>
    </row>
    <row r="361">
      <c r="A361" s="93"/>
      <c r="B361" s="85"/>
      <c r="C361" s="86"/>
      <c r="D361" s="93"/>
      <c r="E361" s="85"/>
      <c r="F361" s="85"/>
      <c r="G361" s="86"/>
      <c r="H361" s="78" t="str">
        <f>IFERROR(__xludf.DUMMYFUNCTION("""COMPUTED_VALUE"""),"")</f>
        <v/>
      </c>
      <c r="I361" s="85"/>
      <c r="J361" s="85"/>
      <c r="K361" s="85"/>
      <c r="L361" s="86" t="str">
        <f>IFERROR(__xludf.DUMMYFUNCTION("""COMPUTED_VALUE"""),"REJECT")</f>
        <v>REJECT</v>
      </c>
      <c r="M361" s="78" t="str">
        <f>IFERROR(__xludf.DUMMYFUNCTION("""COMPUTED_VALUE"""),"45924CAN")</f>
        <v>45924CAN</v>
      </c>
      <c r="N361" s="85" t="str">
        <f>IFERROR(__xludf.DUMMYFUNCTION("""COMPUTED_VALUE"""),"CAN")</f>
        <v>CAN</v>
      </c>
      <c r="O361" s="101">
        <f>IFERROR(__xludf.DUMMYFUNCTION("""COMPUTED_VALUE"""),45924.0)</f>
        <v>45924</v>
      </c>
      <c r="P361" s="104" t="str">
        <f>IFERROR(__xludf.DUMMYFUNCTION("""COMPUTED_VALUE"""),"Bad Weather")</f>
        <v>Bad Weather</v>
      </c>
      <c r="Q361" s="86" t="str">
        <f>IFERROR(__xludf.DUMMYFUNCTION("""COMPUTED_VALUE"""),"REJECT")</f>
        <v>REJECT</v>
      </c>
      <c r="R361" s="66"/>
      <c r="S361" s="66"/>
      <c r="T361" s="66"/>
      <c r="U361" s="66"/>
      <c r="V361" s="66"/>
      <c r="W361" s="66"/>
      <c r="X361" s="66"/>
      <c r="Y361" s="66"/>
      <c r="Z361" s="66"/>
      <c r="AA361" s="66"/>
      <c r="AB361" s="66"/>
      <c r="AC361" s="66"/>
      <c r="AD361" s="66"/>
      <c r="AE361" s="66"/>
      <c r="AF361" s="66"/>
      <c r="AG361" s="66"/>
      <c r="AH361" s="66"/>
      <c r="AI361" s="66"/>
      <c r="AJ361" s="66"/>
      <c r="AK361" s="66"/>
      <c r="AL361" s="66"/>
      <c r="AM361" s="66"/>
      <c r="AN361" s="66"/>
      <c r="AO361" s="66"/>
    </row>
    <row r="362">
      <c r="A362" s="93"/>
      <c r="B362" s="85"/>
      <c r="C362" s="86"/>
      <c r="D362" s="93"/>
      <c r="E362" s="85"/>
      <c r="F362" s="85"/>
      <c r="G362" s="86"/>
      <c r="H362" s="78" t="str">
        <f>IFERROR(__xludf.DUMMYFUNCTION("""COMPUTED_VALUE"""),"")</f>
        <v/>
      </c>
      <c r="I362" s="85"/>
      <c r="J362" s="85"/>
      <c r="K362" s="85"/>
      <c r="L362" s="86" t="str">
        <f>IFERROR(__xludf.DUMMYFUNCTION("""COMPUTED_VALUE"""),"REJECT")</f>
        <v>REJECT</v>
      </c>
      <c r="M362" s="78" t="str">
        <f>IFERROR(__xludf.DUMMYFUNCTION("""COMPUTED_VALUE"""),"45924PKX")</f>
        <v>45924PKX</v>
      </c>
      <c r="N362" s="85" t="str">
        <f>IFERROR(__xludf.DUMMYFUNCTION("""COMPUTED_VALUE"""),"PKX")</f>
        <v>PKX</v>
      </c>
      <c r="O362" s="101">
        <f>IFERROR(__xludf.DUMMYFUNCTION("""COMPUTED_VALUE"""),45924.0)</f>
        <v>45924</v>
      </c>
      <c r="P362" s="104" t="str">
        <f>IFERROR(__xludf.DUMMYFUNCTION("""COMPUTED_VALUE"""),"Bad Weather")</f>
        <v>Bad Weather</v>
      </c>
      <c r="Q362" s="86" t="str">
        <f>IFERROR(__xludf.DUMMYFUNCTION("""COMPUTED_VALUE"""),"REJECT")</f>
        <v>REJECT</v>
      </c>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row>
    <row r="363">
      <c r="A363" s="93"/>
      <c r="B363" s="85"/>
      <c r="C363" s="86"/>
      <c r="D363" s="93"/>
      <c r="E363" s="85"/>
      <c r="F363" s="85"/>
      <c r="G363" s="86"/>
      <c r="H363" s="78" t="str">
        <f>IFERROR(__xludf.DUMMYFUNCTION("""COMPUTED_VALUE"""),"")</f>
        <v/>
      </c>
      <c r="I363" s="85"/>
      <c r="J363" s="85"/>
      <c r="K363" s="85"/>
      <c r="L363" s="86" t="str">
        <f>IFERROR(__xludf.DUMMYFUNCTION("""COMPUTED_VALUE"""),"REJECT")</f>
        <v>REJECT</v>
      </c>
      <c r="M363" s="78" t="str">
        <f>IFERROR(__xludf.DUMMYFUNCTION("""COMPUTED_VALUE"""),"45924SHA")</f>
        <v>45924SHA</v>
      </c>
      <c r="N363" s="85" t="str">
        <f>IFERROR(__xludf.DUMMYFUNCTION("""COMPUTED_VALUE"""),"SHA")</f>
        <v>SHA</v>
      </c>
      <c r="O363" s="101">
        <f>IFERROR(__xludf.DUMMYFUNCTION("""COMPUTED_VALUE"""),45924.0)</f>
        <v>45924</v>
      </c>
      <c r="P363" s="104" t="str">
        <f>IFERROR(__xludf.DUMMYFUNCTION("""COMPUTED_VALUE"""),"Bad Weather")</f>
        <v>Bad Weather</v>
      </c>
      <c r="Q363" s="86" t="str">
        <f>IFERROR(__xludf.DUMMYFUNCTION("""COMPUTED_VALUE"""),"REJECT")</f>
        <v>REJECT</v>
      </c>
      <c r="R363" s="66"/>
      <c r="S363" s="66"/>
      <c r="T363" s="66"/>
      <c r="U363" s="66"/>
      <c r="V363" s="66"/>
      <c r="W363" s="66"/>
      <c r="X363" s="66"/>
      <c r="Y363" s="66"/>
      <c r="Z363" s="66"/>
      <c r="AA363" s="66"/>
      <c r="AB363" s="66"/>
      <c r="AC363" s="66"/>
      <c r="AD363" s="66"/>
      <c r="AE363" s="66"/>
      <c r="AF363" s="66"/>
      <c r="AG363" s="66"/>
      <c r="AH363" s="66"/>
      <c r="AI363" s="66"/>
      <c r="AJ363" s="66"/>
      <c r="AK363" s="66"/>
      <c r="AL363" s="66"/>
      <c r="AM363" s="66"/>
      <c r="AN363" s="66"/>
      <c r="AO363" s="66"/>
    </row>
    <row r="364">
      <c r="A364" s="93"/>
      <c r="B364" s="85"/>
      <c r="C364" s="86"/>
      <c r="D364" s="93"/>
      <c r="E364" s="85"/>
      <c r="F364" s="85"/>
      <c r="G364" s="86"/>
      <c r="H364" s="78" t="str">
        <f>IFERROR(__xludf.DUMMYFUNCTION("""COMPUTED_VALUE"""),"")</f>
        <v/>
      </c>
      <c r="I364" s="85"/>
      <c r="J364" s="85"/>
      <c r="K364" s="85"/>
      <c r="L364" s="86" t="str">
        <f>IFERROR(__xludf.DUMMYFUNCTION("""COMPUTED_VALUE"""),"REJECT")</f>
        <v>REJECT</v>
      </c>
      <c r="M364" s="78" t="str">
        <f>IFERROR(__xludf.DUMMYFUNCTION("""COMPUTED_VALUE"""),"45925HKG")</f>
        <v>45925HKG</v>
      </c>
      <c r="N364" s="85" t="str">
        <f>IFERROR(__xludf.DUMMYFUNCTION("""COMPUTED_VALUE"""),"HKG")</f>
        <v>HKG</v>
      </c>
      <c r="O364" s="101">
        <f>IFERROR(__xludf.DUMMYFUNCTION("""COMPUTED_VALUE"""),45925.0)</f>
        <v>45925</v>
      </c>
      <c r="P364" s="104" t="str">
        <f>IFERROR(__xludf.DUMMYFUNCTION("""COMPUTED_VALUE"""),"Bad Weather")</f>
        <v>Bad Weather</v>
      </c>
      <c r="Q364" s="86" t="str">
        <f>IFERROR(__xludf.DUMMYFUNCTION("""COMPUTED_VALUE"""),"REJECT")</f>
        <v>REJECT</v>
      </c>
      <c r="R364" s="66"/>
      <c r="S364" s="66"/>
      <c r="T364" s="66"/>
      <c r="U364" s="66"/>
      <c r="V364" s="66"/>
      <c r="W364" s="66"/>
      <c r="X364" s="66"/>
      <c r="Y364" s="66"/>
      <c r="Z364" s="66"/>
      <c r="AA364" s="66"/>
      <c r="AB364" s="66"/>
      <c r="AC364" s="66"/>
      <c r="AD364" s="66"/>
      <c r="AE364" s="66"/>
      <c r="AF364" s="66"/>
      <c r="AG364" s="66"/>
      <c r="AH364" s="66"/>
      <c r="AI364" s="66"/>
      <c r="AJ364" s="66"/>
      <c r="AK364" s="66"/>
      <c r="AL364" s="66"/>
      <c r="AM364" s="66"/>
      <c r="AN364" s="66"/>
      <c r="AO364" s="66"/>
    </row>
    <row r="365">
      <c r="A365" s="93"/>
      <c r="B365" s="85"/>
      <c r="C365" s="86"/>
      <c r="D365" s="93"/>
      <c r="E365" s="85"/>
      <c r="F365" s="85"/>
      <c r="G365" s="86"/>
      <c r="H365" s="78" t="str">
        <f>IFERROR(__xludf.DUMMYFUNCTION("""COMPUTED_VALUE"""),"")</f>
        <v/>
      </c>
      <c r="I365" s="85"/>
      <c r="J365" s="85"/>
      <c r="K365" s="85"/>
      <c r="L365" s="86" t="str">
        <f>IFERROR(__xludf.DUMMYFUNCTION("""COMPUTED_VALUE"""),"REJECT")</f>
        <v>REJECT</v>
      </c>
      <c r="M365" s="78" t="str">
        <f>IFERROR(__xludf.DUMMYFUNCTION("""COMPUTED_VALUE"""),"45925SZX")</f>
        <v>45925SZX</v>
      </c>
      <c r="N365" s="85" t="str">
        <f>IFERROR(__xludf.DUMMYFUNCTION("""COMPUTED_VALUE"""),"SZX")</f>
        <v>SZX</v>
      </c>
      <c r="O365" s="101">
        <f>IFERROR(__xludf.DUMMYFUNCTION("""COMPUTED_VALUE"""),45925.0)</f>
        <v>45925</v>
      </c>
      <c r="P365" s="104" t="str">
        <f>IFERROR(__xludf.DUMMYFUNCTION("""COMPUTED_VALUE"""),"Bad Weather")</f>
        <v>Bad Weather</v>
      </c>
      <c r="Q365" s="86" t="str">
        <f>IFERROR(__xludf.DUMMYFUNCTION("""COMPUTED_VALUE"""),"REJECT")</f>
        <v>REJECT</v>
      </c>
      <c r="R365" s="66"/>
      <c r="S365" s="66"/>
      <c r="T365" s="66"/>
      <c r="U365" s="66"/>
      <c r="V365" s="66"/>
      <c r="W365" s="66"/>
      <c r="X365" s="66"/>
      <c r="Y365" s="66"/>
      <c r="Z365" s="66"/>
      <c r="AA365" s="66"/>
      <c r="AB365" s="66"/>
      <c r="AC365" s="66"/>
      <c r="AD365" s="66"/>
      <c r="AE365" s="66"/>
      <c r="AF365" s="66"/>
      <c r="AG365" s="66"/>
      <c r="AH365" s="66"/>
      <c r="AI365" s="66"/>
      <c r="AJ365" s="66"/>
      <c r="AK365" s="66"/>
      <c r="AL365" s="66"/>
      <c r="AM365" s="66"/>
      <c r="AN365" s="66"/>
      <c r="AO365" s="66"/>
    </row>
    <row r="366">
      <c r="A366" s="93"/>
      <c r="B366" s="85"/>
      <c r="C366" s="86"/>
      <c r="D366" s="93"/>
      <c r="E366" s="85"/>
      <c r="F366" s="85"/>
      <c r="G366" s="86"/>
      <c r="H366" s="78" t="str">
        <f>IFERROR(__xludf.DUMMYFUNCTION("""COMPUTED_VALUE"""),"")</f>
        <v/>
      </c>
      <c r="I366" s="85"/>
      <c r="J366" s="85"/>
      <c r="K366" s="85"/>
      <c r="L366" s="86" t="str">
        <f>IFERROR(__xludf.DUMMYFUNCTION("""COMPUTED_VALUE"""),"REJECT")</f>
        <v>REJECT</v>
      </c>
      <c r="M366" s="78" t="str">
        <f>IFERROR(__xludf.DUMMYFUNCTION("""COMPUTED_VALUE"""),"45925CAN")</f>
        <v>45925CAN</v>
      </c>
      <c r="N366" s="85" t="str">
        <f>IFERROR(__xludf.DUMMYFUNCTION("""COMPUTED_VALUE"""),"CAN")</f>
        <v>CAN</v>
      </c>
      <c r="O366" s="101">
        <f>IFERROR(__xludf.DUMMYFUNCTION("""COMPUTED_VALUE"""),45925.0)</f>
        <v>45925</v>
      </c>
      <c r="P366" s="104" t="str">
        <f>IFERROR(__xludf.DUMMYFUNCTION("""COMPUTED_VALUE"""),"Bad Weather")</f>
        <v>Bad Weather</v>
      </c>
      <c r="Q366" s="86" t="str">
        <f>IFERROR(__xludf.DUMMYFUNCTION("""COMPUTED_VALUE"""),"REJECT")</f>
        <v>REJECT</v>
      </c>
      <c r="R366" s="66"/>
      <c r="S366" s="66"/>
      <c r="T366" s="66"/>
      <c r="U366" s="66"/>
      <c r="V366" s="66"/>
      <c r="W366" s="66"/>
      <c r="X366" s="66"/>
      <c r="Y366" s="66"/>
      <c r="Z366" s="66"/>
      <c r="AA366" s="66"/>
      <c r="AB366" s="66"/>
      <c r="AC366" s="66"/>
      <c r="AD366" s="66"/>
      <c r="AE366" s="66"/>
      <c r="AF366" s="66"/>
      <c r="AG366" s="66"/>
      <c r="AH366" s="66"/>
      <c r="AI366" s="66"/>
      <c r="AJ366" s="66"/>
      <c r="AK366" s="66"/>
      <c r="AL366" s="66"/>
      <c r="AM366" s="66"/>
      <c r="AN366" s="66"/>
      <c r="AO366" s="66"/>
    </row>
    <row r="367">
      <c r="A367" s="93"/>
      <c r="B367" s="85"/>
      <c r="C367" s="86"/>
      <c r="D367" s="93"/>
      <c r="E367" s="85"/>
      <c r="F367" s="85"/>
      <c r="G367" s="86"/>
      <c r="H367" s="78" t="str">
        <f>IFERROR(__xludf.DUMMYFUNCTION("""COMPUTED_VALUE"""),"")</f>
        <v/>
      </c>
      <c r="I367" s="85"/>
      <c r="J367" s="85"/>
      <c r="K367" s="85"/>
      <c r="L367" s="86" t="str">
        <f>IFERROR(__xludf.DUMMYFUNCTION("""COMPUTED_VALUE"""),"REJECT")</f>
        <v>REJECT</v>
      </c>
      <c r="M367" s="78" t="str">
        <f>IFERROR(__xludf.DUMMYFUNCTION("""COMPUTED_VALUE"""),"45925PKX")</f>
        <v>45925PKX</v>
      </c>
      <c r="N367" s="85" t="str">
        <f>IFERROR(__xludf.DUMMYFUNCTION("""COMPUTED_VALUE"""),"PKX")</f>
        <v>PKX</v>
      </c>
      <c r="O367" s="101">
        <f>IFERROR(__xludf.DUMMYFUNCTION("""COMPUTED_VALUE"""),45925.0)</f>
        <v>45925</v>
      </c>
      <c r="P367" s="104" t="str">
        <f>IFERROR(__xludf.DUMMYFUNCTION("""COMPUTED_VALUE"""),"Bad Weather")</f>
        <v>Bad Weather</v>
      </c>
      <c r="Q367" s="86" t="str">
        <f>IFERROR(__xludf.DUMMYFUNCTION("""COMPUTED_VALUE"""),"REJECT")</f>
        <v>REJECT</v>
      </c>
      <c r="R367" s="66"/>
      <c r="S367" s="66"/>
      <c r="T367" s="66"/>
      <c r="U367" s="66"/>
      <c r="V367" s="66"/>
      <c r="W367" s="66"/>
      <c r="X367" s="66"/>
      <c r="Y367" s="66"/>
      <c r="Z367" s="66"/>
      <c r="AA367" s="66"/>
      <c r="AB367" s="66"/>
      <c r="AC367" s="66"/>
      <c r="AD367" s="66"/>
      <c r="AE367" s="66"/>
      <c r="AF367" s="66"/>
      <c r="AG367" s="66"/>
      <c r="AH367" s="66"/>
      <c r="AI367" s="66"/>
      <c r="AJ367" s="66"/>
      <c r="AK367" s="66"/>
      <c r="AL367" s="66"/>
      <c r="AM367" s="66"/>
      <c r="AN367" s="66"/>
      <c r="AO367" s="66"/>
    </row>
    <row r="368">
      <c r="A368" s="93"/>
      <c r="B368" s="85"/>
      <c r="C368" s="86"/>
      <c r="D368" s="93"/>
      <c r="E368" s="85"/>
      <c r="F368" s="85"/>
      <c r="G368" s="86"/>
      <c r="H368" s="78" t="str">
        <f>IFERROR(__xludf.DUMMYFUNCTION("""COMPUTED_VALUE"""),"")</f>
        <v/>
      </c>
      <c r="I368" s="85"/>
      <c r="J368" s="85"/>
      <c r="K368" s="85"/>
      <c r="L368" s="86" t="str">
        <f>IFERROR(__xludf.DUMMYFUNCTION("""COMPUTED_VALUE"""),"REJECT")</f>
        <v>REJECT</v>
      </c>
      <c r="M368" s="78" t="str">
        <f>IFERROR(__xludf.DUMMYFUNCTION("""COMPUTED_VALUE"""),"45925SHA")</f>
        <v>45925SHA</v>
      </c>
      <c r="N368" s="85" t="str">
        <f>IFERROR(__xludf.DUMMYFUNCTION("""COMPUTED_VALUE"""),"SHA")</f>
        <v>SHA</v>
      </c>
      <c r="O368" s="101">
        <f>IFERROR(__xludf.DUMMYFUNCTION("""COMPUTED_VALUE"""),45925.0)</f>
        <v>45925</v>
      </c>
      <c r="P368" s="104" t="str">
        <f>IFERROR(__xludf.DUMMYFUNCTION("""COMPUTED_VALUE"""),"Bad Weather")</f>
        <v>Bad Weather</v>
      </c>
      <c r="Q368" s="86" t="str">
        <f>IFERROR(__xludf.DUMMYFUNCTION("""COMPUTED_VALUE"""),"REJECT")</f>
        <v>REJECT</v>
      </c>
      <c r="R368" s="66"/>
      <c r="S368" s="66"/>
      <c r="T368" s="66"/>
      <c r="U368" s="66"/>
      <c r="V368" s="66"/>
      <c r="W368" s="66"/>
      <c r="X368" s="66"/>
      <c r="Y368" s="66"/>
      <c r="Z368" s="66"/>
      <c r="AA368" s="66"/>
      <c r="AB368" s="66"/>
      <c r="AC368" s="66"/>
      <c r="AD368" s="66"/>
      <c r="AE368" s="66"/>
      <c r="AF368" s="66"/>
      <c r="AG368" s="66"/>
      <c r="AH368" s="66"/>
      <c r="AI368" s="66"/>
      <c r="AJ368" s="66"/>
      <c r="AK368" s="66"/>
      <c r="AL368" s="66"/>
      <c r="AM368" s="66"/>
      <c r="AN368" s="66"/>
      <c r="AO368" s="66"/>
    </row>
    <row r="369">
      <c r="A369" s="93"/>
      <c r="B369" s="85"/>
      <c r="C369" s="86"/>
      <c r="D369" s="93"/>
      <c r="E369" s="85"/>
      <c r="F369" s="85"/>
      <c r="G369" s="86"/>
      <c r="H369" s="78" t="str">
        <f>IFERROR(__xludf.DUMMYFUNCTION("""COMPUTED_VALUE"""),"")</f>
        <v/>
      </c>
      <c r="I369" s="85"/>
      <c r="J369" s="85"/>
      <c r="K369" s="85"/>
      <c r="L369" s="86" t="str">
        <f>IFERROR(__xludf.DUMMYFUNCTION("""COMPUTED_VALUE"""),"REJECT")</f>
        <v>REJECT</v>
      </c>
      <c r="M369" s="78" t="str">
        <f>IFERROR(__xludf.DUMMYFUNCTION("""COMPUTED_VALUE"""),"45925MFM")</f>
        <v>45925MFM</v>
      </c>
      <c r="N369" s="85" t="str">
        <f>IFERROR(__xludf.DUMMYFUNCTION("""COMPUTED_VALUE"""),"MFM")</f>
        <v>MFM</v>
      </c>
      <c r="O369" s="101">
        <f>IFERROR(__xludf.DUMMYFUNCTION("""COMPUTED_VALUE"""),45925.0)</f>
        <v>45925</v>
      </c>
      <c r="P369" s="104" t="str">
        <f>IFERROR(__xludf.DUMMYFUNCTION("""COMPUTED_VALUE"""),"Bad Weather")</f>
        <v>Bad Weather</v>
      </c>
      <c r="Q369" s="86" t="str">
        <f>IFERROR(__xludf.DUMMYFUNCTION("""COMPUTED_VALUE"""),"REJECT")</f>
        <v>REJECT</v>
      </c>
      <c r="R369" s="66"/>
      <c r="S369" s="66"/>
      <c r="T369" s="66"/>
      <c r="U369" s="66"/>
      <c r="V369" s="66"/>
      <c r="W369" s="66"/>
      <c r="X369" s="66"/>
      <c r="Y369" s="66"/>
      <c r="Z369" s="66"/>
      <c r="AA369" s="66"/>
      <c r="AB369" s="66"/>
      <c r="AC369" s="66"/>
      <c r="AD369" s="66"/>
      <c r="AE369" s="66"/>
      <c r="AF369" s="66"/>
      <c r="AG369" s="66"/>
      <c r="AH369" s="66"/>
      <c r="AI369" s="66"/>
      <c r="AJ369" s="66"/>
      <c r="AK369" s="66"/>
      <c r="AL369" s="66"/>
      <c r="AM369" s="66"/>
      <c r="AN369" s="66"/>
      <c r="AO369" s="66"/>
    </row>
    <row r="370">
      <c r="A370" s="93"/>
      <c r="B370" s="85"/>
      <c r="C370" s="86"/>
      <c r="D370" s="93"/>
      <c r="E370" s="85"/>
      <c r="F370" s="85"/>
      <c r="G370" s="86"/>
      <c r="H370" s="78" t="str">
        <f>IFERROR(__xludf.DUMMYFUNCTION("""COMPUTED_VALUE"""),"")</f>
        <v/>
      </c>
      <c r="I370" s="85"/>
      <c r="J370" s="85"/>
      <c r="K370" s="85"/>
      <c r="L370" s="86" t="str">
        <f>IFERROR(__xludf.DUMMYFUNCTION("""COMPUTED_VALUE"""),"REJECT")</f>
        <v>REJECT</v>
      </c>
      <c r="M370" s="78" t="str">
        <f>IFERROR(__xludf.DUMMYFUNCTION("""COMPUTED_VALUE"""),"45926HKG")</f>
        <v>45926HKG</v>
      </c>
      <c r="N370" s="85" t="str">
        <f>IFERROR(__xludf.DUMMYFUNCTION("""COMPUTED_VALUE"""),"HKG")</f>
        <v>HKG</v>
      </c>
      <c r="O370" s="101">
        <f>IFERROR(__xludf.DUMMYFUNCTION("""COMPUTED_VALUE"""),45926.0)</f>
        <v>45926</v>
      </c>
      <c r="P370" s="104" t="str">
        <f>IFERROR(__xludf.DUMMYFUNCTION("""COMPUTED_VALUE"""),"Bad Weather (proceed if client didn't mention: Bad weather, problems at airport, Force majeure)")</f>
        <v>Bad Weather (proceed if client didn't mention: Bad weather, problems at airport, Force majeure)</v>
      </c>
      <c r="Q370" s="86" t="str">
        <f>IFERROR(__xludf.DUMMYFUNCTION("""COMPUTED_VALUE"""),"REJECT")</f>
        <v>REJECT</v>
      </c>
      <c r="R370" s="66"/>
      <c r="S370" s="66"/>
      <c r="T370" s="66"/>
      <c r="U370" s="66"/>
      <c r="V370" s="66"/>
      <c r="W370" s="66"/>
      <c r="X370" s="66"/>
      <c r="Y370" s="66"/>
      <c r="Z370" s="66"/>
      <c r="AA370" s="66"/>
      <c r="AB370" s="66"/>
      <c r="AC370" s="66"/>
      <c r="AD370" s="66"/>
      <c r="AE370" s="66"/>
      <c r="AF370" s="66"/>
      <c r="AG370" s="66"/>
      <c r="AH370" s="66"/>
      <c r="AI370" s="66"/>
      <c r="AJ370" s="66"/>
      <c r="AK370" s="66"/>
      <c r="AL370" s="66"/>
      <c r="AM370" s="66"/>
      <c r="AN370" s="66"/>
      <c r="AO370" s="66"/>
    </row>
    <row r="371">
      <c r="A371" s="93"/>
      <c r="B371" s="85"/>
      <c r="C371" s="86"/>
      <c r="D371" s="93"/>
      <c r="E371" s="85"/>
      <c r="F371" s="85"/>
      <c r="G371" s="86"/>
      <c r="H371" s="78" t="str">
        <f>IFERROR(__xludf.DUMMYFUNCTION("""COMPUTED_VALUE"""),"")</f>
        <v/>
      </c>
      <c r="I371" s="85"/>
      <c r="J371" s="85"/>
      <c r="K371" s="85"/>
      <c r="L371" s="86" t="str">
        <f>IFERROR(__xludf.DUMMYFUNCTION("""COMPUTED_VALUE"""),"REJECT")</f>
        <v>REJECT</v>
      </c>
      <c r="M371" s="78" t="str">
        <f>IFERROR(__xludf.DUMMYFUNCTION("""COMPUTED_VALUE"""),"45926SZX")</f>
        <v>45926SZX</v>
      </c>
      <c r="N371" s="85" t="str">
        <f>IFERROR(__xludf.DUMMYFUNCTION("""COMPUTED_VALUE"""),"SZX")</f>
        <v>SZX</v>
      </c>
      <c r="O371" s="101">
        <f>IFERROR(__xludf.DUMMYFUNCTION("""COMPUTED_VALUE"""),45926.0)</f>
        <v>45926</v>
      </c>
      <c r="P371" s="104" t="str">
        <f>IFERROR(__xludf.DUMMYFUNCTION("""COMPUTED_VALUE"""),"Bad Weather (proceed if client didn't mention: Bad weather, problems at airport, Force majeure)")</f>
        <v>Bad Weather (proceed if client didn't mention: Bad weather, problems at airport, Force majeure)</v>
      </c>
      <c r="Q371" s="86" t="str">
        <f>IFERROR(__xludf.DUMMYFUNCTION("""COMPUTED_VALUE"""),"REJECT")</f>
        <v>REJECT</v>
      </c>
      <c r="R371" s="66"/>
      <c r="S371" s="66"/>
      <c r="T371" s="66"/>
      <c r="U371" s="66"/>
      <c r="V371" s="66"/>
      <c r="W371" s="66"/>
      <c r="X371" s="66"/>
      <c r="Y371" s="66"/>
      <c r="Z371" s="66"/>
      <c r="AA371" s="66"/>
      <c r="AB371" s="66"/>
      <c r="AC371" s="66"/>
      <c r="AD371" s="66"/>
      <c r="AE371" s="66"/>
      <c r="AF371" s="66"/>
      <c r="AG371" s="66"/>
      <c r="AH371" s="66"/>
      <c r="AI371" s="66"/>
      <c r="AJ371" s="66"/>
      <c r="AK371" s="66"/>
      <c r="AL371" s="66"/>
      <c r="AM371" s="66"/>
      <c r="AN371" s="66"/>
      <c r="AO371" s="66"/>
    </row>
    <row r="372">
      <c r="A372" s="93"/>
      <c r="B372" s="85"/>
      <c r="C372" s="86"/>
      <c r="D372" s="93"/>
      <c r="E372" s="85"/>
      <c r="F372" s="85"/>
      <c r="G372" s="86"/>
      <c r="H372" s="78" t="str">
        <f>IFERROR(__xludf.DUMMYFUNCTION("""COMPUTED_VALUE"""),"")</f>
        <v/>
      </c>
      <c r="I372" s="85"/>
      <c r="J372" s="85"/>
      <c r="K372" s="85"/>
      <c r="L372" s="86" t="str">
        <f>IFERROR(__xludf.DUMMYFUNCTION("""COMPUTED_VALUE"""),"REJECT")</f>
        <v>REJECT</v>
      </c>
      <c r="M372" s="78" t="str">
        <f>IFERROR(__xludf.DUMMYFUNCTION("""COMPUTED_VALUE"""),"45926CAN")</f>
        <v>45926CAN</v>
      </c>
      <c r="N372" s="85" t="str">
        <f>IFERROR(__xludf.DUMMYFUNCTION("""COMPUTED_VALUE"""),"CAN")</f>
        <v>CAN</v>
      </c>
      <c r="O372" s="101">
        <f>IFERROR(__xludf.DUMMYFUNCTION("""COMPUTED_VALUE"""),45926.0)</f>
        <v>45926</v>
      </c>
      <c r="P372" s="104" t="str">
        <f>IFERROR(__xludf.DUMMYFUNCTION("""COMPUTED_VALUE"""),"Bad Weather (proceed if client didn't mention: Bad weather, problems at airport, Force majeure)")</f>
        <v>Bad Weather (proceed if client didn't mention: Bad weather, problems at airport, Force majeure)</v>
      </c>
      <c r="Q372" s="86" t="str">
        <f>IFERROR(__xludf.DUMMYFUNCTION("""COMPUTED_VALUE"""),"REJECT")</f>
        <v>REJECT</v>
      </c>
      <c r="R372" s="66"/>
      <c r="S372" s="66"/>
      <c r="T372" s="66"/>
      <c r="U372" s="66"/>
      <c r="V372" s="66"/>
      <c r="W372" s="66"/>
      <c r="X372" s="66"/>
      <c r="Y372" s="66"/>
      <c r="Z372" s="66"/>
      <c r="AA372" s="66"/>
      <c r="AB372" s="66"/>
      <c r="AC372" s="66"/>
      <c r="AD372" s="66"/>
      <c r="AE372" s="66"/>
      <c r="AF372" s="66"/>
      <c r="AG372" s="66"/>
      <c r="AH372" s="66"/>
      <c r="AI372" s="66"/>
      <c r="AJ372" s="66"/>
      <c r="AK372" s="66"/>
      <c r="AL372" s="66"/>
      <c r="AM372" s="66"/>
      <c r="AN372" s="66"/>
      <c r="AO372" s="66"/>
    </row>
    <row r="373">
      <c r="A373" s="93"/>
      <c r="B373" s="85"/>
      <c r="C373" s="86"/>
      <c r="D373" s="93"/>
      <c r="E373" s="85"/>
      <c r="F373" s="85"/>
      <c r="G373" s="86"/>
      <c r="H373" s="78" t="str">
        <f>IFERROR(__xludf.DUMMYFUNCTION("""COMPUTED_VALUE"""),"")</f>
        <v/>
      </c>
      <c r="I373" s="85"/>
      <c r="J373" s="85"/>
      <c r="K373" s="85"/>
      <c r="L373" s="86" t="str">
        <f>IFERROR(__xludf.DUMMYFUNCTION("""COMPUTED_VALUE"""),"REJECT")</f>
        <v>REJECT</v>
      </c>
      <c r="M373" s="78" t="str">
        <f>IFERROR(__xludf.DUMMYFUNCTION("""COMPUTED_VALUE"""),"45926PKX")</f>
        <v>45926PKX</v>
      </c>
      <c r="N373" s="85" t="str">
        <f>IFERROR(__xludf.DUMMYFUNCTION("""COMPUTED_VALUE"""),"PKX")</f>
        <v>PKX</v>
      </c>
      <c r="O373" s="101">
        <f>IFERROR(__xludf.DUMMYFUNCTION("""COMPUTED_VALUE"""),45926.0)</f>
        <v>45926</v>
      </c>
      <c r="P373" s="104" t="str">
        <f>IFERROR(__xludf.DUMMYFUNCTION("""COMPUTED_VALUE"""),"Bad Weather (proceed if client didn't mention: Bad weather, problems at airport, Force majeure)")</f>
        <v>Bad Weather (proceed if client didn't mention: Bad weather, problems at airport, Force majeure)</v>
      </c>
      <c r="Q373" s="86" t="str">
        <f>IFERROR(__xludf.DUMMYFUNCTION("""COMPUTED_VALUE"""),"REJECT")</f>
        <v>REJECT</v>
      </c>
      <c r="R373" s="66"/>
      <c r="S373" s="66"/>
      <c r="T373" s="66"/>
      <c r="U373" s="66"/>
      <c r="V373" s="66"/>
      <c r="W373" s="66"/>
      <c r="X373" s="66"/>
      <c r="Y373" s="66"/>
      <c r="Z373" s="66"/>
      <c r="AA373" s="66"/>
      <c r="AB373" s="66"/>
      <c r="AC373" s="66"/>
      <c r="AD373" s="66"/>
      <c r="AE373" s="66"/>
      <c r="AF373" s="66"/>
      <c r="AG373" s="66"/>
      <c r="AH373" s="66"/>
      <c r="AI373" s="66"/>
      <c r="AJ373" s="66"/>
      <c r="AK373" s="66"/>
      <c r="AL373" s="66"/>
      <c r="AM373" s="66"/>
      <c r="AN373" s="66"/>
      <c r="AO373" s="66"/>
    </row>
    <row r="374">
      <c r="A374" s="93"/>
      <c r="B374" s="85"/>
      <c r="C374" s="86"/>
      <c r="D374" s="93"/>
      <c r="E374" s="85"/>
      <c r="F374" s="85"/>
      <c r="G374" s="86"/>
      <c r="H374" s="78" t="str">
        <f>IFERROR(__xludf.DUMMYFUNCTION("""COMPUTED_VALUE"""),"")</f>
        <v/>
      </c>
      <c r="I374" s="85"/>
      <c r="J374" s="85"/>
      <c r="K374" s="85"/>
      <c r="L374" s="86" t="str">
        <f>IFERROR(__xludf.DUMMYFUNCTION("""COMPUTED_VALUE"""),"REJECT")</f>
        <v>REJECT</v>
      </c>
      <c r="M374" s="78" t="str">
        <f>IFERROR(__xludf.DUMMYFUNCTION("""COMPUTED_VALUE"""),"45926SHA")</f>
        <v>45926SHA</v>
      </c>
      <c r="N374" s="85" t="str">
        <f>IFERROR(__xludf.DUMMYFUNCTION("""COMPUTED_VALUE"""),"SHA")</f>
        <v>SHA</v>
      </c>
      <c r="O374" s="101">
        <f>IFERROR(__xludf.DUMMYFUNCTION("""COMPUTED_VALUE"""),45926.0)</f>
        <v>45926</v>
      </c>
      <c r="P374" s="104" t="str">
        <f>IFERROR(__xludf.DUMMYFUNCTION("""COMPUTED_VALUE"""),"Bad Weather (proceed if client didn't mention: Bad weather, problems at airport, Force majeure)")</f>
        <v>Bad Weather (proceed if client didn't mention: Bad weather, problems at airport, Force majeure)</v>
      </c>
      <c r="Q374" s="86" t="str">
        <f>IFERROR(__xludf.DUMMYFUNCTION("""COMPUTED_VALUE"""),"REJECT")</f>
        <v>REJECT</v>
      </c>
      <c r="R374" s="66"/>
      <c r="S374" s="66"/>
      <c r="T374" s="66"/>
      <c r="U374" s="66"/>
      <c r="V374" s="66"/>
      <c r="W374" s="66"/>
      <c r="X374" s="66"/>
      <c r="Y374" s="66"/>
      <c r="Z374" s="66"/>
      <c r="AA374" s="66"/>
      <c r="AB374" s="66"/>
      <c r="AC374" s="66"/>
      <c r="AD374" s="66"/>
      <c r="AE374" s="66"/>
      <c r="AF374" s="66"/>
      <c r="AG374" s="66"/>
      <c r="AH374" s="66"/>
      <c r="AI374" s="66"/>
      <c r="AJ374" s="66"/>
      <c r="AK374" s="66"/>
      <c r="AL374" s="66"/>
      <c r="AM374" s="66"/>
      <c r="AN374" s="66"/>
      <c r="AO374" s="66"/>
    </row>
    <row r="375">
      <c r="A375" s="93"/>
      <c r="B375" s="85"/>
      <c r="C375" s="86"/>
      <c r="D375" s="93"/>
      <c r="E375" s="85"/>
      <c r="F375" s="85"/>
      <c r="G375" s="86"/>
      <c r="H375" s="78" t="str">
        <f>IFERROR(__xludf.DUMMYFUNCTION("""COMPUTED_VALUE"""),"")</f>
        <v/>
      </c>
      <c r="I375" s="85"/>
      <c r="J375" s="85"/>
      <c r="K375" s="85"/>
      <c r="L375" s="86" t="str">
        <f>IFERROR(__xludf.DUMMYFUNCTION("""COMPUTED_VALUE"""),"REJECT")</f>
        <v>REJECT</v>
      </c>
      <c r="M375" s="78" t="str">
        <f>IFERROR(__xludf.DUMMYFUNCTION("""COMPUTED_VALUE"""),"45926MFM")</f>
        <v>45926MFM</v>
      </c>
      <c r="N375" s="85" t="str">
        <f>IFERROR(__xludf.DUMMYFUNCTION("""COMPUTED_VALUE"""),"MFM")</f>
        <v>MFM</v>
      </c>
      <c r="O375" s="101">
        <f>IFERROR(__xludf.DUMMYFUNCTION("""COMPUTED_VALUE"""),45926.0)</f>
        <v>45926</v>
      </c>
      <c r="P375" s="104" t="str">
        <f>IFERROR(__xludf.DUMMYFUNCTION("""COMPUTED_VALUE"""),"Bad Weather (proceed if client didn't mention: Bad weather, problems at airport, Force majeure)")</f>
        <v>Bad Weather (proceed if client didn't mention: Bad weather, problems at airport, Force majeure)</v>
      </c>
      <c r="Q375" s="86" t="str">
        <f>IFERROR(__xludf.DUMMYFUNCTION("""COMPUTED_VALUE"""),"REJECT")</f>
        <v>REJECT</v>
      </c>
      <c r="R375" s="66"/>
      <c r="S375" s="66"/>
      <c r="T375" s="66"/>
      <c r="U375" s="66"/>
      <c r="V375" s="66"/>
      <c r="W375" s="66"/>
      <c r="X375" s="66"/>
      <c r="Y375" s="66"/>
      <c r="Z375" s="66"/>
      <c r="AA375" s="66"/>
      <c r="AB375" s="66"/>
      <c r="AC375" s="66"/>
      <c r="AD375" s="66"/>
      <c r="AE375" s="66"/>
      <c r="AF375" s="66"/>
      <c r="AG375" s="66"/>
      <c r="AH375" s="66"/>
      <c r="AI375" s="66"/>
      <c r="AJ375" s="66"/>
      <c r="AK375" s="66"/>
      <c r="AL375" s="66"/>
      <c r="AM375" s="66"/>
      <c r="AN375" s="66"/>
      <c r="AO375" s="66"/>
    </row>
    <row r="376">
      <c r="A376" s="93"/>
      <c r="B376" s="85"/>
      <c r="C376" s="86"/>
      <c r="D376" s="93"/>
      <c r="E376" s="85"/>
      <c r="F376" s="85"/>
      <c r="G376" s="86"/>
      <c r="H376" s="78" t="str">
        <f>IFERROR(__xludf.DUMMYFUNCTION("""COMPUTED_VALUE"""),"")</f>
        <v/>
      </c>
      <c r="I376" s="85"/>
      <c r="J376" s="85"/>
      <c r="K376" s="85"/>
      <c r="L376" s="86" t="str">
        <f>IFERROR(__xludf.DUMMYFUNCTION("""COMPUTED_VALUE"""),"REJECT")</f>
        <v>REJECT</v>
      </c>
      <c r="M376" s="78" t="str">
        <f>IFERROR(__xludf.DUMMYFUNCTION("""COMPUTED_VALUE"""),"45851SEN")</f>
        <v>45851SEN</v>
      </c>
      <c r="N376" s="85" t="str">
        <f>IFERROR(__xludf.DUMMYFUNCTION("""COMPUTED_VALUE"""),"SEN")</f>
        <v>SEN</v>
      </c>
      <c r="O376" s="101">
        <f>IFERROR(__xludf.DUMMYFUNCTION("""COMPUTED_VALUE"""),45851.0)</f>
        <v>45851</v>
      </c>
      <c r="P376" s="104" t="str">
        <f>IFERROR(__xludf.DUMMYFUNCTION("""COMPUTED_VALUE"""),"Airport closure due to plane crash")</f>
        <v>Airport closure due to plane crash</v>
      </c>
      <c r="Q376" s="86" t="str">
        <f>IFERROR(__xludf.DUMMYFUNCTION("""COMPUTED_VALUE"""),"REJECT")</f>
        <v>REJECT</v>
      </c>
      <c r="R376" s="66"/>
      <c r="S376" s="66"/>
      <c r="T376" s="66"/>
      <c r="U376" s="66"/>
      <c r="V376" s="66"/>
      <c r="W376" s="66"/>
      <c r="X376" s="66"/>
      <c r="Y376" s="66"/>
      <c r="Z376" s="66"/>
      <c r="AA376" s="66"/>
      <c r="AB376" s="66"/>
      <c r="AC376" s="66"/>
      <c r="AD376" s="66"/>
      <c r="AE376" s="66"/>
      <c r="AF376" s="66"/>
      <c r="AG376" s="66"/>
      <c r="AH376" s="66"/>
      <c r="AI376" s="66"/>
      <c r="AJ376" s="66"/>
      <c r="AK376" s="66"/>
      <c r="AL376" s="66"/>
      <c r="AM376" s="66"/>
      <c r="AN376" s="66"/>
      <c r="AO376" s="66"/>
    </row>
    <row r="377">
      <c r="A377" s="93"/>
      <c r="B377" s="85"/>
      <c r="C377" s="86"/>
      <c r="D377" s="93"/>
      <c r="E377" s="85"/>
      <c r="F377" s="85"/>
      <c r="G377" s="86"/>
      <c r="H377" s="78" t="str">
        <f>IFERROR(__xludf.DUMMYFUNCTION("""COMPUTED_VALUE"""),"")</f>
        <v/>
      </c>
      <c r="I377" s="85"/>
      <c r="J377" s="85"/>
      <c r="K377" s="85"/>
      <c r="L377" s="86" t="str">
        <f>IFERROR(__xludf.DUMMYFUNCTION("""COMPUTED_VALUE"""),"REJECT")</f>
        <v>REJECT</v>
      </c>
      <c r="M377" s="78" t="str">
        <f>IFERROR(__xludf.DUMMYFUNCTION("""COMPUTED_VALUE"""),"45852SEN")</f>
        <v>45852SEN</v>
      </c>
      <c r="N377" s="85" t="str">
        <f>IFERROR(__xludf.DUMMYFUNCTION("""COMPUTED_VALUE"""),"SEN")</f>
        <v>SEN</v>
      </c>
      <c r="O377" s="101">
        <f>IFERROR(__xludf.DUMMYFUNCTION("""COMPUTED_VALUE"""),45852.0)</f>
        <v>45852</v>
      </c>
      <c r="P377" s="104" t="str">
        <f>IFERROR(__xludf.DUMMYFUNCTION("""COMPUTED_VALUE"""),"Airport closure due to plane crash")</f>
        <v>Airport closure due to plane crash</v>
      </c>
      <c r="Q377" s="86" t="str">
        <f>IFERROR(__xludf.DUMMYFUNCTION("""COMPUTED_VALUE"""),"REJECT")</f>
        <v>REJECT</v>
      </c>
      <c r="R377" s="66"/>
      <c r="S377" s="66"/>
      <c r="T377" s="66"/>
      <c r="U377" s="66"/>
      <c r="V377" s="66"/>
      <c r="W377" s="66"/>
      <c r="X377" s="66"/>
      <c r="Y377" s="66"/>
      <c r="Z377" s="66"/>
      <c r="AA377" s="66"/>
      <c r="AB377" s="66"/>
      <c r="AC377" s="66"/>
      <c r="AD377" s="66"/>
      <c r="AE377" s="66"/>
      <c r="AF377" s="66"/>
      <c r="AG377" s="66"/>
      <c r="AH377" s="66"/>
      <c r="AI377" s="66"/>
      <c r="AJ377" s="66"/>
      <c r="AK377" s="66"/>
      <c r="AL377" s="66"/>
      <c r="AM377" s="66"/>
      <c r="AN377" s="66"/>
      <c r="AO377" s="66"/>
    </row>
    <row r="378">
      <c r="A378" s="93"/>
      <c r="B378" s="85"/>
      <c r="C378" s="86"/>
      <c r="D378" s="93"/>
      <c r="E378" s="85"/>
      <c r="F378" s="85"/>
      <c r="G378" s="86"/>
      <c r="H378" s="78" t="str">
        <f>IFERROR(__xludf.DUMMYFUNCTION("""COMPUTED_VALUE"""),"")</f>
        <v/>
      </c>
      <c r="I378" s="85"/>
      <c r="J378" s="85"/>
      <c r="K378" s="85"/>
      <c r="L378" s="86" t="str">
        <f>IFERROR(__xludf.DUMMYFUNCTION("""COMPUTED_VALUE"""),"REJECT")</f>
        <v>REJECT</v>
      </c>
      <c r="M378" s="78" t="str">
        <f>IFERROR(__xludf.DUMMYFUNCTION("""COMPUTED_VALUE"""),"45853SEN")</f>
        <v>45853SEN</v>
      </c>
      <c r="N378" s="85" t="str">
        <f>IFERROR(__xludf.DUMMYFUNCTION("""COMPUTED_VALUE"""),"SEN")</f>
        <v>SEN</v>
      </c>
      <c r="O378" s="101">
        <f>IFERROR(__xludf.DUMMYFUNCTION("""COMPUTED_VALUE"""),45853.0)</f>
        <v>45853</v>
      </c>
      <c r="P378" s="104" t="str">
        <f>IFERROR(__xludf.DUMMYFUNCTION("""COMPUTED_VALUE"""),"Airport closure due to plane crash")</f>
        <v>Airport closure due to plane crash</v>
      </c>
      <c r="Q378" s="86" t="str">
        <f>IFERROR(__xludf.DUMMYFUNCTION("""COMPUTED_VALUE"""),"REJECT")</f>
        <v>REJECT</v>
      </c>
      <c r="R378" s="66"/>
      <c r="S378" s="66"/>
      <c r="T378" s="66"/>
      <c r="U378" s="66"/>
      <c r="V378" s="66"/>
      <c r="W378" s="66"/>
      <c r="X378" s="66"/>
      <c r="Y378" s="66"/>
      <c r="Z378" s="66"/>
      <c r="AA378" s="66"/>
      <c r="AB378" s="66"/>
      <c r="AC378" s="66"/>
      <c r="AD378" s="66"/>
      <c r="AE378" s="66"/>
      <c r="AF378" s="66"/>
      <c r="AG378" s="66"/>
      <c r="AH378" s="66"/>
      <c r="AI378" s="66"/>
      <c r="AJ378" s="66"/>
      <c r="AK378" s="66"/>
      <c r="AL378" s="66"/>
      <c r="AM378" s="66"/>
      <c r="AN378" s="66"/>
      <c r="AO378" s="66"/>
    </row>
    <row r="379">
      <c r="A379" s="93"/>
      <c r="B379" s="85"/>
      <c r="C379" s="86"/>
      <c r="D379" s="93"/>
      <c r="E379" s="85"/>
      <c r="F379" s="85"/>
      <c r="G379" s="86"/>
      <c r="H379" s="78" t="str">
        <f>IFERROR(__xludf.DUMMYFUNCTION("""COMPUTED_VALUE"""),"")</f>
        <v/>
      </c>
      <c r="I379" s="85"/>
      <c r="J379" s="85"/>
      <c r="K379" s="85"/>
      <c r="L379" s="86" t="str">
        <f>IFERROR(__xludf.DUMMYFUNCTION("""COMPUTED_VALUE"""),"REJECT")</f>
        <v>REJECT</v>
      </c>
      <c r="M379" s="78" t="str">
        <f>IFERROR(__xludf.DUMMYFUNCTION("""COMPUTED_VALUE"""),"45854SEN")</f>
        <v>45854SEN</v>
      </c>
      <c r="N379" s="85" t="str">
        <f>IFERROR(__xludf.DUMMYFUNCTION("""COMPUTED_VALUE"""),"SEN")</f>
        <v>SEN</v>
      </c>
      <c r="O379" s="101">
        <f>IFERROR(__xludf.DUMMYFUNCTION("""COMPUTED_VALUE"""),45854.0)</f>
        <v>45854</v>
      </c>
      <c r="P379" s="104" t="str">
        <f>IFERROR(__xludf.DUMMYFUNCTION("""COMPUTED_VALUE"""),"Airport closure due to plane crash")</f>
        <v>Airport closure due to plane crash</v>
      </c>
      <c r="Q379" s="86" t="str">
        <f>IFERROR(__xludf.DUMMYFUNCTION("""COMPUTED_VALUE"""),"REJECT")</f>
        <v>REJECT</v>
      </c>
      <c r="R379" s="66"/>
      <c r="S379" s="66"/>
      <c r="T379" s="66"/>
      <c r="U379" s="66"/>
      <c r="V379" s="66"/>
      <c r="W379" s="66"/>
      <c r="X379" s="66"/>
      <c r="Y379" s="66"/>
      <c r="Z379" s="66"/>
      <c r="AA379" s="66"/>
      <c r="AB379" s="66"/>
      <c r="AC379" s="66"/>
      <c r="AD379" s="66"/>
      <c r="AE379" s="66"/>
      <c r="AF379" s="66"/>
      <c r="AG379" s="66"/>
      <c r="AH379" s="66"/>
      <c r="AI379" s="66"/>
      <c r="AJ379" s="66"/>
      <c r="AK379" s="66"/>
      <c r="AL379" s="66"/>
      <c r="AM379" s="66"/>
      <c r="AN379" s="66"/>
      <c r="AO379" s="66"/>
    </row>
    <row r="380">
      <c r="A380" s="93"/>
      <c r="B380" s="85"/>
      <c r="C380" s="86"/>
      <c r="D380" s="93"/>
      <c r="E380" s="85"/>
      <c r="F380" s="85"/>
      <c r="G380" s="86"/>
      <c r="H380" s="78" t="str">
        <f>IFERROR(__xludf.DUMMYFUNCTION("""COMPUTED_VALUE"""),"")</f>
        <v/>
      </c>
      <c r="I380" s="85"/>
      <c r="J380" s="85"/>
      <c r="K380" s="85"/>
      <c r="L380" s="86" t="str">
        <f>IFERROR(__xludf.DUMMYFUNCTION("""COMPUTED_VALUE"""),"REJECT")</f>
        <v>REJECT</v>
      </c>
      <c r="M380" s="78" t="str">
        <f>IFERROR(__xludf.DUMMYFUNCTION("""COMPUTED_VALUE"""),"45827JFK")</f>
        <v>45827JFK</v>
      </c>
      <c r="N380" s="85" t="str">
        <f>IFERROR(__xludf.DUMMYFUNCTION("""COMPUTED_VALUE"""),"JFK")</f>
        <v>JFK</v>
      </c>
      <c r="O380" s="101">
        <f>IFERROR(__xludf.DUMMYFUNCTION("""COMPUTED_VALUE"""),45827.0)</f>
        <v>45827</v>
      </c>
      <c r="P380" s="104" t="str">
        <f>IFERROR(__xludf.DUMMYFUNCTION("""COMPUTED_VALUE"""),"Bad weather")</f>
        <v>Bad weather</v>
      </c>
      <c r="Q380" s="86" t="str">
        <f>IFERROR(__xludf.DUMMYFUNCTION("""COMPUTED_VALUE"""),"REJECT")</f>
        <v>REJECT</v>
      </c>
      <c r="R380" s="66"/>
      <c r="S380" s="66"/>
      <c r="T380" s="66"/>
      <c r="U380" s="66"/>
      <c r="V380" s="66"/>
      <c r="W380" s="66"/>
      <c r="X380" s="66"/>
      <c r="Y380" s="66"/>
      <c r="Z380" s="66"/>
      <c r="AA380" s="66"/>
      <c r="AB380" s="66"/>
      <c r="AC380" s="66"/>
      <c r="AD380" s="66"/>
      <c r="AE380" s="66"/>
      <c r="AF380" s="66"/>
      <c r="AG380" s="66"/>
      <c r="AH380" s="66"/>
      <c r="AI380" s="66"/>
      <c r="AJ380" s="66"/>
      <c r="AK380" s="66"/>
      <c r="AL380" s="66"/>
      <c r="AM380" s="66"/>
      <c r="AN380" s="66"/>
      <c r="AO380" s="66"/>
    </row>
    <row r="381">
      <c r="A381" s="93"/>
      <c r="B381" s="85"/>
      <c r="C381" s="86"/>
      <c r="D381" s="93"/>
      <c r="E381" s="85"/>
      <c r="F381" s="85"/>
      <c r="G381" s="86"/>
      <c r="H381" s="78" t="str">
        <f>IFERROR(__xludf.DUMMYFUNCTION("""COMPUTED_VALUE"""),"")</f>
        <v/>
      </c>
      <c r="I381" s="85"/>
      <c r="J381" s="85"/>
      <c r="K381" s="85"/>
      <c r="L381" s="86" t="str">
        <f>IFERROR(__xludf.DUMMYFUNCTION("""COMPUTED_VALUE"""),"REJECT")</f>
        <v>REJECT</v>
      </c>
      <c r="M381" s="78" t="str">
        <f>IFERROR(__xludf.DUMMYFUNCTION("""COMPUTED_VALUE"""),"45885SXM ")</f>
        <v>45885SXM </v>
      </c>
      <c r="N381" s="85" t="str">
        <f>IFERROR(__xludf.DUMMYFUNCTION("""COMPUTED_VALUE"""),"SXM ")</f>
        <v>SXM </v>
      </c>
      <c r="O381" s="101">
        <f>IFERROR(__xludf.DUMMYFUNCTION("""COMPUTED_VALUE"""),45885.0)</f>
        <v>45885</v>
      </c>
      <c r="P381" s="104" t="str">
        <f>IFERROR(__xludf.DUMMYFUNCTION("""COMPUTED_VALUE"""),"Bad weather")</f>
        <v>Bad weather</v>
      </c>
      <c r="Q381" s="86" t="str">
        <f>IFERROR(__xludf.DUMMYFUNCTION("""COMPUTED_VALUE"""),"REJECT")</f>
        <v>REJECT</v>
      </c>
      <c r="R381" s="66"/>
      <c r="S381" s="66"/>
      <c r="T381" s="66"/>
      <c r="U381" s="66"/>
      <c r="V381" s="66"/>
      <c r="W381" s="66"/>
      <c r="X381" s="66"/>
      <c r="Y381" s="66"/>
      <c r="Z381" s="66"/>
      <c r="AA381" s="66"/>
      <c r="AB381" s="66"/>
      <c r="AC381" s="66"/>
      <c r="AD381" s="66"/>
      <c r="AE381" s="66"/>
      <c r="AF381" s="66"/>
      <c r="AG381" s="66"/>
      <c r="AH381" s="66"/>
      <c r="AI381" s="66"/>
      <c r="AJ381" s="66"/>
      <c r="AK381" s="66"/>
      <c r="AL381" s="66"/>
      <c r="AM381" s="66"/>
      <c r="AN381" s="66"/>
      <c r="AO381" s="66"/>
    </row>
    <row r="382">
      <c r="A382" s="93"/>
      <c r="B382" s="85"/>
      <c r="C382" s="86"/>
      <c r="D382" s="93"/>
      <c r="E382" s="85"/>
      <c r="F382" s="85"/>
      <c r="G382" s="86"/>
      <c r="H382" s="78" t="str">
        <f>IFERROR(__xludf.DUMMYFUNCTION("""COMPUTED_VALUE"""),"")</f>
        <v/>
      </c>
      <c r="I382" s="85"/>
      <c r="J382" s="85"/>
      <c r="K382" s="85"/>
      <c r="L382" s="86" t="str">
        <f>IFERROR(__xludf.DUMMYFUNCTION("""COMPUTED_VALUE"""),"REJECT")</f>
        <v>REJECT</v>
      </c>
      <c r="M382" s="78" t="str">
        <f>IFERROR(__xludf.DUMMYFUNCTION("""COMPUTED_VALUE"""),"45940SXM ")</f>
        <v>45940SXM </v>
      </c>
      <c r="N382" s="85" t="str">
        <f>IFERROR(__xludf.DUMMYFUNCTION("""COMPUTED_VALUE"""),"SXM ")</f>
        <v>SXM </v>
      </c>
      <c r="O382" s="101">
        <f>IFERROR(__xludf.DUMMYFUNCTION("""COMPUTED_VALUE"""),45940.0)</f>
        <v>45940</v>
      </c>
      <c r="P382" s="104" t="str">
        <f>IFERROR(__xludf.DUMMYFUNCTION("""COMPUTED_VALUE"""),"Airport closure")</f>
        <v>Airport closure</v>
      </c>
      <c r="Q382" s="86" t="str">
        <f>IFERROR(__xludf.DUMMYFUNCTION("""COMPUTED_VALUE"""),"REJECT")</f>
        <v>REJECT</v>
      </c>
      <c r="R382" s="66"/>
      <c r="S382" s="66"/>
      <c r="T382" s="66"/>
      <c r="U382" s="66"/>
      <c r="V382" s="66"/>
      <c r="W382" s="66"/>
      <c r="X382" s="66"/>
      <c r="Y382" s="66"/>
      <c r="Z382" s="66"/>
      <c r="AA382" s="66"/>
      <c r="AB382" s="66"/>
      <c r="AC382" s="66"/>
      <c r="AD382" s="66"/>
      <c r="AE382" s="66"/>
      <c r="AF382" s="66"/>
      <c r="AG382" s="66"/>
      <c r="AH382" s="66"/>
      <c r="AI382" s="66"/>
      <c r="AJ382" s="66"/>
      <c r="AK382" s="66"/>
      <c r="AL382" s="66"/>
      <c r="AM382" s="66"/>
      <c r="AN382" s="66"/>
      <c r="AO382" s="66"/>
    </row>
    <row r="383">
      <c r="A383" s="93"/>
      <c r="B383" s="85"/>
      <c r="C383" s="86"/>
      <c r="D383" s="93"/>
      <c r="E383" s="85"/>
      <c r="F383" s="85"/>
      <c r="G383" s="86"/>
      <c r="H383" s="78" t="str">
        <f>IFERROR(__xludf.DUMMYFUNCTION("""COMPUTED_VALUE"""),"")</f>
        <v/>
      </c>
      <c r="I383" s="85"/>
      <c r="J383" s="85"/>
      <c r="K383" s="85"/>
      <c r="L383" s="86" t="str">
        <f>IFERROR(__xludf.DUMMYFUNCTION("""COMPUTED_VALUE"""),"REJECT")</f>
        <v>REJECT</v>
      </c>
      <c r="M383" s="78" t="str">
        <f>IFERROR(__xludf.DUMMYFUNCTION("""COMPUTED_VALUE"""),"45933DUB")</f>
        <v>45933DUB</v>
      </c>
      <c r="N383" s="85" t="str">
        <f>IFERROR(__xludf.DUMMYFUNCTION("""COMPUTED_VALUE"""),"DUB")</f>
        <v>DUB</v>
      </c>
      <c r="O383" s="101">
        <f>IFERROR(__xludf.DUMMYFUNCTION("""COMPUTED_VALUE"""),45933.0)</f>
        <v>45933</v>
      </c>
      <c r="P383" s="104" t="str">
        <f>IFERROR(__xludf.DUMMYFUNCTION("""COMPUTED_VALUE"""),"Storm Amy")</f>
        <v>Storm Amy</v>
      </c>
      <c r="Q383" s="86" t="str">
        <f>IFERROR(__xludf.DUMMYFUNCTION("""COMPUTED_VALUE"""),"REJECT")</f>
        <v>REJECT</v>
      </c>
      <c r="R383" s="66"/>
      <c r="S383" s="66"/>
      <c r="T383" s="66"/>
      <c r="U383" s="66"/>
      <c r="V383" s="66"/>
      <c r="W383" s="66"/>
      <c r="X383" s="66"/>
      <c r="Y383" s="66"/>
      <c r="Z383" s="66"/>
      <c r="AA383" s="66"/>
      <c r="AB383" s="66"/>
      <c r="AC383" s="66"/>
      <c r="AD383" s="66"/>
      <c r="AE383" s="66"/>
      <c r="AF383" s="66"/>
      <c r="AG383" s="66"/>
      <c r="AH383" s="66"/>
      <c r="AI383" s="66"/>
      <c r="AJ383" s="66"/>
      <c r="AK383" s="66"/>
      <c r="AL383" s="66"/>
      <c r="AM383" s="66"/>
      <c r="AN383" s="66"/>
      <c r="AO383" s="66"/>
    </row>
    <row r="384">
      <c r="A384" s="93"/>
      <c r="B384" s="85"/>
      <c r="C384" s="86"/>
      <c r="D384" s="93"/>
      <c r="E384" s="85"/>
      <c r="F384" s="85"/>
      <c r="G384" s="86"/>
      <c r="H384" s="78" t="str">
        <f>IFERROR(__xludf.DUMMYFUNCTION("""COMPUTED_VALUE"""),"")</f>
        <v/>
      </c>
      <c r="I384" s="85"/>
      <c r="J384" s="85"/>
      <c r="K384" s="85"/>
      <c r="L384" s="86" t="str">
        <f>IFERROR(__xludf.DUMMYFUNCTION("""COMPUTED_VALUE"""),"REJECT")</f>
        <v>REJECT</v>
      </c>
      <c r="M384" s="78" t="str">
        <f>IFERROR(__xludf.DUMMYFUNCTION("""COMPUTED_VALUE"""),"45933ORK")</f>
        <v>45933ORK</v>
      </c>
      <c r="N384" s="85" t="str">
        <f>IFERROR(__xludf.DUMMYFUNCTION("""COMPUTED_VALUE"""),"ORK")</f>
        <v>ORK</v>
      </c>
      <c r="O384" s="101">
        <f>IFERROR(__xludf.DUMMYFUNCTION("""COMPUTED_VALUE"""),45933.0)</f>
        <v>45933</v>
      </c>
      <c r="P384" s="104" t="str">
        <f>IFERROR(__xludf.DUMMYFUNCTION("""COMPUTED_VALUE"""),"Storm Amy")</f>
        <v>Storm Amy</v>
      </c>
      <c r="Q384" s="86" t="str">
        <f>IFERROR(__xludf.DUMMYFUNCTION("""COMPUTED_VALUE"""),"REJECT")</f>
        <v>REJECT</v>
      </c>
      <c r="R384" s="66"/>
      <c r="S384" s="66"/>
      <c r="T384" s="66"/>
      <c r="U384" s="66"/>
      <c r="V384" s="66"/>
      <c r="W384" s="66"/>
      <c r="X384" s="66"/>
      <c r="Y384" s="66"/>
      <c r="Z384" s="66"/>
      <c r="AA384" s="66"/>
      <c r="AB384" s="66"/>
      <c r="AC384" s="66"/>
      <c r="AD384" s="66"/>
      <c r="AE384" s="66"/>
      <c r="AF384" s="66"/>
      <c r="AG384" s="66"/>
      <c r="AH384" s="66"/>
      <c r="AI384" s="66"/>
      <c r="AJ384" s="66"/>
      <c r="AK384" s="66"/>
      <c r="AL384" s="66"/>
      <c r="AM384" s="66"/>
      <c r="AN384" s="66"/>
      <c r="AO384" s="66"/>
    </row>
    <row r="385">
      <c r="A385" s="93"/>
      <c r="B385" s="85"/>
      <c r="C385" s="86"/>
      <c r="D385" s="93"/>
      <c r="E385" s="85"/>
      <c r="F385" s="85"/>
      <c r="G385" s="86"/>
      <c r="H385" s="78" t="str">
        <f>IFERROR(__xludf.DUMMYFUNCTION("""COMPUTED_VALUE"""),"")</f>
        <v/>
      </c>
      <c r="I385" s="85"/>
      <c r="J385" s="85"/>
      <c r="K385" s="85"/>
      <c r="L385" s="86" t="str">
        <f>IFERROR(__xludf.DUMMYFUNCTION("""COMPUTED_VALUE"""),"REJECT")</f>
        <v>REJECT</v>
      </c>
      <c r="M385" s="78" t="str">
        <f>IFERROR(__xludf.DUMMYFUNCTION("""COMPUTED_VALUE"""),"45933KIR")</f>
        <v>45933KIR</v>
      </c>
      <c r="N385" s="85" t="str">
        <f>IFERROR(__xludf.DUMMYFUNCTION("""COMPUTED_VALUE"""),"KIR")</f>
        <v>KIR</v>
      </c>
      <c r="O385" s="101">
        <f>IFERROR(__xludf.DUMMYFUNCTION("""COMPUTED_VALUE"""),45933.0)</f>
        <v>45933</v>
      </c>
      <c r="P385" s="104" t="str">
        <f>IFERROR(__xludf.DUMMYFUNCTION("""COMPUTED_VALUE"""),"Storm Amy")</f>
        <v>Storm Amy</v>
      </c>
      <c r="Q385" s="86" t="str">
        <f>IFERROR(__xludf.DUMMYFUNCTION("""COMPUTED_VALUE"""),"REJECT")</f>
        <v>REJECT</v>
      </c>
      <c r="R385" s="66"/>
      <c r="S385" s="66"/>
      <c r="T385" s="66"/>
      <c r="U385" s="66"/>
      <c r="V385" s="66"/>
      <c r="W385" s="66"/>
      <c r="X385" s="66"/>
      <c r="Y385" s="66"/>
      <c r="Z385" s="66"/>
      <c r="AA385" s="66"/>
      <c r="AB385" s="66"/>
      <c r="AC385" s="66"/>
      <c r="AD385" s="66"/>
      <c r="AE385" s="66"/>
      <c r="AF385" s="66"/>
      <c r="AG385" s="66"/>
      <c r="AH385" s="66"/>
      <c r="AI385" s="66"/>
      <c r="AJ385" s="66"/>
      <c r="AK385" s="66"/>
      <c r="AL385" s="66"/>
      <c r="AM385" s="66"/>
      <c r="AN385" s="66"/>
      <c r="AO385" s="66"/>
    </row>
    <row r="386">
      <c r="A386" s="93"/>
      <c r="B386" s="85"/>
      <c r="C386" s="86"/>
      <c r="D386" s="93"/>
      <c r="E386" s="85"/>
      <c r="F386" s="85"/>
      <c r="G386" s="86"/>
      <c r="H386" s="78" t="str">
        <f>IFERROR(__xludf.DUMMYFUNCTION("""COMPUTED_VALUE"""),"")</f>
        <v/>
      </c>
      <c r="I386" s="85"/>
      <c r="J386" s="85"/>
      <c r="K386" s="85"/>
      <c r="L386" s="86" t="str">
        <f>IFERROR(__xludf.DUMMYFUNCTION("""COMPUTED_VALUE"""),"REJECT")</f>
        <v>REJECT</v>
      </c>
      <c r="M386" s="78" t="str">
        <f>IFERROR(__xludf.DUMMYFUNCTION("""COMPUTED_VALUE"""),"45933CFN")</f>
        <v>45933CFN</v>
      </c>
      <c r="N386" s="85" t="str">
        <f>IFERROR(__xludf.DUMMYFUNCTION("""COMPUTED_VALUE"""),"CFN")</f>
        <v>CFN</v>
      </c>
      <c r="O386" s="101">
        <f>IFERROR(__xludf.DUMMYFUNCTION("""COMPUTED_VALUE"""),45933.0)</f>
        <v>45933</v>
      </c>
      <c r="P386" s="104" t="str">
        <f>IFERROR(__xludf.DUMMYFUNCTION("""COMPUTED_VALUE"""),"Storm Amy")</f>
        <v>Storm Amy</v>
      </c>
      <c r="Q386" s="86" t="str">
        <f>IFERROR(__xludf.DUMMYFUNCTION("""COMPUTED_VALUE"""),"REJECT")</f>
        <v>REJECT</v>
      </c>
      <c r="R386" s="66"/>
      <c r="S386" s="66"/>
      <c r="T386" s="66"/>
      <c r="U386" s="66"/>
      <c r="V386" s="66"/>
      <c r="W386" s="66"/>
      <c r="X386" s="66"/>
      <c r="Y386" s="66"/>
      <c r="Z386" s="66"/>
      <c r="AA386" s="66"/>
      <c r="AB386" s="66"/>
      <c r="AC386" s="66"/>
      <c r="AD386" s="66"/>
      <c r="AE386" s="66"/>
      <c r="AF386" s="66"/>
      <c r="AG386" s="66"/>
      <c r="AH386" s="66"/>
      <c r="AI386" s="66"/>
      <c r="AJ386" s="66"/>
      <c r="AK386" s="66"/>
      <c r="AL386" s="66"/>
      <c r="AM386" s="66"/>
      <c r="AN386" s="66"/>
      <c r="AO386" s="66"/>
    </row>
    <row r="387">
      <c r="A387" s="93"/>
      <c r="B387" s="85"/>
      <c r="C387" s="86"/>
      <c r="D387" s="93"/>
      <c r="E387" s="85"/>
      <c r="F387" s="85"/>
      <c r="G387" s="86"/>
      <c r="H387" s="78" t="str">
        <f>IFERROR(__xludf.DUMMYFUNCTION("""COMPUTED_VALUE"""),"")</f>
        <v/>
      </c>
      <c r="I387" s="85"/>
      <c r="J387" s="85"/>
      <c r="K387" s="85"/>
      <c r="L387" s="86" t="str">
        <f>IFERROR(__xludf.DUMMYFUNCTION("""COMPUTED_VALUE"""),"REJECT")</f>
        <v>REJECT</v>
      </c>
      <c r="M387" s="78" t="str">
        <f>IFERROR(__xludf.DUMMYFUNCTION("""COMPUTED_VALUE"""),"45933SNN")</f>
        <v>45933SNN</v>
      </c>
      <c r="N387" s="85" t="str">
        <f>IFERROR(__xludf.DUMMYFUNCTION("""COMPUTED_VALUE"""),"SNN")</f>
        <v>SNN</v>
      </c>
      <c r="O387" s="101">
        <f>IFERROR(__xludf.DUMMYFUNCTION("""COMPUTED_VALUE"""),45933.0)</f>
        <v>45933</v>
      </c>
      <c r="P387" s="104" t="str">
        <f>IFERROR(__xludf.DUMMYFUNCTION("""COMPUTED_VALUE"""),"Storm Amy")</f>
        <v>Storm Amy</v>
      </c>
      <c r="Q387" s="86" t="str">
        <f>IFERROR(__xludf.DUMMYFUNCTION("""COMPUTED_VALUE"""),"REJECT")</f>
        <v>REJECT</v>
      </c>
      <c r="R387" s="66"/>
      <c r="S387" s="66"/>
      <c r="T387" s="66"/>
      <c r="U387" s="66"/>
      <c r="V387" s="66"/>
      <c r="W387" s="66"/>
      <c r="X387" s="66"/>
      <c r="Y387" s="66"/>
      <c r="Z387" s="66"/>
      <c r="AA387" s="66"/>
      <c r="AB387" s="66"/>
      <c r="AC387" s="66"/>
      <c r="AD387" s="66"/>
      <c r="AE387" s="66"/>
      <c r="AF387" s="66"/>
      <c r="AG387" s="66"/>
      <c r="AH387" s="66"/>
      <c r="AI387" s="66"/>
      <c r="AJ387" s="66"/>
      <c r="AK387" s="66"/>
      <c r="AL387" s="66"/>
      <c r="AM387" s="66"/>
      <c r="AN387" s="66"/>
      <c r="AO387" s="66"/>
    </row>
    <row r="388">
      <c r="A388" s="93"/>
      <c r="B388" s="85"/>
      <c r="C388" s="86"/>
      <c r="D388" s="93"/>
      <c r="E388" s="85"/>
      <c r="F388" s="85"/>
      <c r="G388" s="86"/>
      <c r="H388" s="78" t="str">
        <f>IFERROR(__xludf.DUMMYFUNCTION("""COMPUTED_VALUE"""),"")</f>
        <v/>
      </c>
      <c r="I388" s="85"/>
      <c r="J388" s="85"/>
      <c r="K388" s="85"/>
      <c r="L388" s="86" t="str">
        <f>IFERROR(__xludf.DUMMYFUNCTION("""COMPUTED_VALUE"""),"REJECT")</f>
        <v>REJECT</v>
      </c>
      <c r="M388" s="78" t="str">
        <f>IFERROR(__xludf.DUMMYFUNCTION("""COMPUTED_VALUE"""),"45933BHD")</f>
        <v>45933BHD</v>
      </c>
      <c r="N388" s="85" t="str">
        <f>IFERROR(__xludf.DUMMYFUNCTION("""COMPUTED_VALUE"""),"BHD")</f>
        <v>BHD</v>
      </c>
      <c r="O388" s="101">
        <f>IFERROR(__xludf.DUMMYFUNCTION("""COMPUTED_VALUE"""),45933.0)</f>
        <v>45933</v>
      </c>
      <c r="P388" s="104" t="str">
        <f>IFERROR(__xludf.DUMMYFUNCTION("""COMPUTED_VALUE"""),"Storm Amy")</f>
        <v>Storm Amy</v>
      </c>
      <c r="Q388" s="86" t="str">
        <f>IFERROR(__xludf.DUMMYFUNCTION("""COMPUTED_VALUE"""),"REJECT")</f>
        <v>REJECT</v>
      </c>
      <c r="R388" s="66"/>
      <c r="S388" s="66"/>
      <c r="T388" s="66"/>
      <c r="U388" s="66"/>
      <c r="V388" s="66"/>
      <c r="W388" s="66"/>
      <c r="X388" s="66"/>
      <c r="Y388" s="66"/>
      <c r="Z388" s="66"/>
      <c r="AA388" s="66"/>
      <c r="AB388" s="66"/>
      <c r="AC388" s="66"/>
      <c r="AD388" s="66"/>
      <c r="AE388" s="66"/>
      <c r="AF388" s="66"/>
      <c r="AG388" s="66"/>
      <c r="AH388" s="66"/>
      <c r="AI388" s="66"/>
      <c r="AJ388" s="66"/>
      <c r="AK388" s="66"/>
      <c r="AL388" s="66"/>
      <c r="AM388" s="66"/>
      <c r="AN388" s="66"/>
      <c r="AO388" s="66"/>
    </row>
    <row r="389">
      <c r="A389" s="93"/>
      <c r="B389" s="85"/>
      <c r="C389" s="86"/>
      <c r="D389" s="93"/>
      <c r="E389" s="85"/>
      <c r="F389" s="85"/>
      <c r="G389" s="86"/>
      <c r="H389" s="78" t="str">
        <f>IFERROR(__xludf.DUMMYFUNCTION("""COMPUTED_VALUE"""),"")</f>
        <v/>
      </c>
      <c r="I389" s="85"/>
      <c r="J389" s="85"/>
      <c r="K389" s="85"/>
      <c r="L389" s="86" t="str">
        <f>IFERROR(__xludf.DUMMYFUNCTION("""COMPUTED_VALUE"""),"REJECT")</f>
        <v>REJECT</v>
      </c>
      <c r="M389" s="78" t="str">
        <f>IFERROR(__xludf.DUMMYFUNCTION("""COMPUTED_VALUE"""),"45933BFS")</f>
        <v>45933BFS</v>
      </c>
      <c r="N389" s="85" t="str">
        <f>IFERROR(__xludf.DUMMYFUNCTION("""COMPUTED_VALUE"""),"BFS")</f>
        <v>BFS</v>
      </c>
      <c r="O389" s="101">
        <f>IFERROR(__xludf.DUMMYFUNCTION("""COMPUTED_VALUE"""),45933.0)</f>
        <v>45933</v>
      </c>
      <c r="P389" s="104" t="str">
        <f>IFERROR(__xludf.DUMMYFUNCTION("""COMPUTED_VALUE"""),"Storm Amy")</f>
        <v>Storm Amy</v>
      </c>
      <c r="Q389" s="86" t="str">
        <f>IFERROR(__xludf.DUMMYFUNCTION("""COMPUTED_VALUE"""),"REJECT")</f>
        <v>REJECT</v>
      </c>
      <c r="R389" s="66"/>
      <c r="S389" s="66"/>
      <c r="T389" s="66"/>
      <c r="U389" s="66"/>
      <c r="V389" s="66"/>
      <c r="W389" s="66"/>
      <c r="X389" s="66"/>
      <c r="Y389" s="66"/>
      <c r="Z389" s="66"/>
      <c r="AA389" s="66"/>
      <c r="AB389" s="66"/>
      <c r="AC389" s="66"/>
      <c r="AD389" s="66"/>
      <c r="AE389" s="66"/>
      <c r="AF389" s="66"/>
      <c r="AG389" s="66"/>
      <c r="AH389" s="66"/>
      <c r="AI389" s="66"/>
      <c r="AJ389" s="66"/>
      <c r="AK389" s="66"/>
      <c r="AL389" s="66"/>
      <c r="AM389" s="66"/>
      <c r="AN389" s="66"/>
      <c r="AO389" s="66"/>
    </row>
    <row r="390">
      <c r="A390" s="93"/>
      <c r="B390" s="85"/>
      <c r="C390" s="86"/>
      <c r="D390" s="93"/>
      <c r="E390" s="85"/>
      <c r="F390" s="85"/>
      <c r="G390" s="86"/>
      <c r="H390" s="78" t="str">
        <f>IFERROR(__xludf.DUMMYFUNCTION("""COMPUTED_VALUE"""),"")</f>
        <v/>
      </c>
      <c r="I390" s="85"/>
      <c r="J390" s="85"/>
      <c r="K390" s="85"/>
      <c r="L390" s="86" t="str">
        <f>IFERROR(__xludf.DUMMYFUNCTION("""COMPUTED_VALUE"""),"REJECT")</f>
        <v>REJECT</v>
      </c>
      <c r="M390" s="78" t="str">
        <f>IFERROR(__xludf.DUMMYFUNCTION("""COMPUTED_VALUE"""),"45933LDY")</f>
        <v>45933LDY</v>
      </c>
      <c r="N390" s="85" t="str">
        <f>IFERROR(__xludf.DUMMYFUNCTION("""COMPUTED_VALUE"""),"LDY")</f>
        <v>LDY</v>
      </c>
      <c r="O390" s="101">
        <f>IFERROR(__xludf.DUMMYFUNCTION("""COMPUTED_VALUE"""),45933.0)</f>
        <v>45933</v>
      </c>
      <c r="P390" s="104" t="str">
        <f>IFERROR(__xludf.DUMMYFUNCTION("""COMPUTED_VALUE"""),"Storm Amy")</f>
        <v>Storm Amy</v>
      </c>
      <c r="Q390" s="86" t="str">
        <f>IFERROR(__xludf.DUMMYFUNCTION("""COMPUTED_VALUE"""),"REJECT")</f>
        <v>REJECT</v>
      </c>
      <c r="R390" s="66"/>
      <c r="S390" s="66"/>
      <c r="T390" s="66"/>
      <c r="U390" s="66"/>
      <c r="V390" s="66"/>
      <c r="W390" s="66"/>
      <c r="X390" s="66"/>
      <c r="Y390" s="66"/>
      <c r="Z390" s="66"/>
      <c r="AA390" s="66"/>
      <c r="AB390" s="66"/>
      <c r="AC390" s="66"/>
      <c r="AD390" s="66"/>
      <c r="AE390" s="66"/>
      <c r="AF390" s="66"/>
      <c r="AG390" s="66"/>
      <c r="AH390" s="66"/>
      <c r="AI390" s="66"/>
      <c r="AJ390" s="66"/>
      <c r="AK390" s="66"/>
      <c r="AL390" s="66"/>
      <c r="AM390" s="66"/>
      <c r="AN390" s="66"/>
      <c r="AO390" s="66"/>
    </row>
    <row r="391">
      <c r="A391" s="93"/>
      <c r="B391" s="85"/>
      <c r="C391" s="86"/>
      <c r="D391" s="93"/>
      <c r="E391" s="85"/>
      <c r="F391" s="85"/>
      <c r="G391" s="86"/>
      <c r="H391" s="78" t="str">
        <f>IFERROR(__xludf.DUMMYFUNCTION("""COMPUTED_VALUE"""),"")</f>
        <v/>
      </c>
      <c r="I391" s="85"/>
      <c r="J391" s="85"/>
      <c r="K391" s="85"/>
      <c r="L391" s="86" t="str">
        <f>IFERROR(__xludf.DUMMYFUNCTION("""COMPUTED_VALUE"""),"REJECT")</f>
        <v>REJECT</v>
      </c>
      <c r="M391" s="78" t="str">
        <f>IFERROR(__xludf.DUMMYFUNCTION("""COMPUTED_VALUE"""),"45934DUB")</f>
        <v>45934DUB</v>
      </c>
      <c r="N391" s="85" t="str">
        <f>IFERROR(__xludf.DUMMYFUNCTION("""COMPUTED_VALUE"""),"DUB")</f>
        <v>DUB</v>
      </c>
      <c r="O391" s="101">
        <f>IFERROR(__xludf.DUMMYFUNCTION("""COMPUTED_VALUE"""),45934.0)</f>
        <v>45934</v>
      </c>
      <c r="P391" s="104" t="str">
        <f>IFERROR(__xludf.DUMMYFUNCTION("""COMPUTED_VALUE"""),"Storm Amy")</f>
        <v>Storm Amy</v>
      </c>
      <c r="Q391" s="86" t="str">
        <f>IFERROR(__xludf.DUMMYFUNCTION("""COMPUTED_VALUE"""),"REJECT")</f>
        <v>REJECT</v>
      </c>
      <c r="R391" s="66"/>
      <c r="S391" s="66"/>
      <c r="T391" s="66"/>
      <c r="U391" s="66"/>
      <c r="V391" s="66"/>
      <c r="W391" s="66"/>
      <c r="X391" s="66"/>
      <c r="Y391" s="66"/>
      <c r="Z391" s="66"/>
      <c r="AA391" s="66"/>
      <c r="AB391" s="66"/>
      <c r="AC391" s="66"/>
      <c r="AD391" s="66"/>
      <c r="AE391" s="66"/>
      <c r="AF391" s="66"/>
      <c r="AG391" s="66"/>
      <c r="AH391" s="66"/>
      <c r="AI391" s="66"/>
      <c r="AJ391" s="66"/>
      <c r="AK391" s="66"/>
      <c r="AL391" s="66"/>
      <c r="AM391" s="66"/>
      <c r="AN391" s="66"/>
      <c r="AO391" s="66"/>
    </row>
    <row r="392">
      <c r="A392" s="93"/>
      <c r="B392" s="85"/>
      <c r="C392" s="86"/>
      <c r="D392" s="93"/>
      <c r="E392" s="85"/>
      <c r="F392" s="85"/>
      <c r="G392" s="86"/>
      <c r="H392" s="78" t="str">
        <f>IFERROR(__xludf.DUMMYFUNCTION("""COMPUTED_VALUE"""),"")</f>
        <v/>
      </c>
      <c r="I392" s="85"/>
      <c r="J392" s="85"/>
      <c r="K392" s="85"/>
      <c r="L392" s="86" t="str">
        <f>IFERROR(__xludf.DUMMYFUNCTION("""COMPUTED_VALUE"""),"REJECT")</f>
        <v>REJECT</v>
      </c>
      <c r="M392" s="78" t="str">
        <f>IFERROR(__xludf.DUMMYFUNCTION("""COMPUTED_VALUE"""),"45934KIR")</f>
        <v>45934KIR</v>
      </c>
      <c r="N392" s="85" t="str">
        <f>IFERROR(__xludf.DUMMYFUNCTION("""COMPUTED_VALUE"""),"KIR")</f>
        <v>KIR</v>
      </c>
      <c r="O392" s="101">
        <f>IFERROR(__xludf.DUMMYFUNCTION("""COMPUTED_VALUE"""),45934.0)</f>
        <v>45934</v>
      </c>
      <c r="P392" s="104" t="str">
        <f>IFERROR(__xludf.DUMMYFUNCTION("""COMPUTED_VALUE"""),"Storm Amy")</f>
        <v>Storm Amy</v>
      </c>
      <c r="Q392" s="86" t="str">
        <f>IFERROR(__xludf.DUMMYFUNCTION("""COMPUTED_VALUE"""),"REJECT")</f>
        <v>REJECT</v>
      </c>
      <c r="R392" s="66"/>
      <c r="S392" s="66"/>
      <c r="T392" s="66"/>
      <c r="U392" s="66"/>
      <c r="V392" s="66"/>
      <c r="W392" s="66"/>
      <c r="X392" s="66"/>
      <c r="Y392" s="66"/>
      <c r="Z392" s="66"/>
      <c r="AA392" s="66"/>
      <c r="AB392" s="66"/>
      <c r="AC392" s="66"/>
      <c r="AD392" s="66"/>
      <c r="AE392" s="66"/>
      <c r="AF392" s="66"/>
      <c r="AG392" s="66"/>
      <c r="AH392" s="66"/>
      <c r="AI392" s="66"/>
      <c r="AJ392" s="66"/>
      <c r="AK392" s="66"/>
      <c r="AL392" s="66"/>
      <c r="AM392" s="66"/>
      <c r="AN392" s="66"/>
      <c r="AO392" s="66"/>
    </row>
    <row r="393">
      <c r="A393" s="93"/>
      <c r="B393" s="85"/>
      <c r="C393" s="86"/>
      <c r="D393" s="93"/>
      <c r="E393" s="85"/>
      <c r="F393" s="85"/>
      <c r="G393" s="86"/>
      <c r="H393" s="78" t="str">
        <f>IFERROR(__xludf.DUMMYFUNCTION("""COMPUTED_VALUE"""),"")</f>
        <v/>
      </c>
      <c r="I393" s="85"/>
      <c r="J393" s="85"/>
      <c r="K393" s="85"/>
      <c r="L393" s="86" t="str">
        <f>IFERROR(__xludf.DUMMYFUNCTION("""COMPUTED_VALUE"""),"REJECT")</f>
        <v>REJECT</v>
      </c>
      <c r="M393" s="78" t="str">
        <f>IFERROR(__xludf.DUMMYFUNCTION("""COMPUTED_VALUE"""),"45934CFN")</f>
        <v>45934CFN</v>
      </c>
      <c r="N393" s="85" t="str">
        <f>IFERROR(__xludf.DUMMYFUNCTION("""COMPUTED_VALUE"""),"CFN")</f>
        <v>CFN</v>
      </c>
      <c r="O393" s="101">
        <f>IFERROR(__xludf.DUMMYFUNCTION("""COMPUTED_VALUE"""),45934.0)</f>
        <v>45934</v>
      </c>
      <c r="P393" s="104" t="str">
        <f>IFERROR(__xludf.DUMMYFUNCTION("""COMPUTED_VALUE"""),"Storm Amy")</f>
        <v>Storm Amy</v>
      </c>
      <c r="Q393" s="86" t="str">
        <f>IFERROR(__xludf.DUMMYFUNCTION("""COMPUTED_VALUE"""),"REJECT")</f>
        <v>REJECT</v>
      </c>
      <c r="R393" s="66"/>
      <c r="S393" s="66"/>
      <c r="T393" s="66"/>
      <c r="U393" s="66"/>
      <c r="V393" s="66"/>
      <c r="W393" s="66"/>
      <c r="X393" s="66"/>
      <c r="Y393" s="66"/>
      <c r="Z393" s="66"/>
      <c r="AA393" s="66"/>
      <c r="AB393" s="66"/>
      <c r="AC393" s="66"/>
      <c r="AD393" s="66"/>
      <c r="AE393" s="66"/>
      <c r="AF393" s="66"/>
      <c r="AG393" s="66"/>
      <c r="AH393" s="66"/>
      <c r="AI393" s="66"/>
      <c r="AJ393" s="66"/>
      <c r="AK393" s="66"/>
      <c r="AL393" s="66"/>
      <c r="AM393" s="66"/>
      <c r="AN393" s="66"/>
      <c r="AO393" s="66"/>
    </row>
    <row r="394">
      <c r="A394" s="93"/>
      <c r="B394" s="85"/>
      <c r="C394" s="86"/>
      <c r="D394" s="93"/>
      <c r="E394" s="85"/>
      <c r="F394" s="85"/>
      <c r="G394" s="86"/>
      <c r="H394" s="78" t="str">
        <f>IFERROR(__xludf.DUMMYFUNCTION("""COMPUTED_VALUE"""),"")</f>
        <v/>
      </c>
      <c r="I394" s="85"/>
      <c r="J394" s="85"/>
      <c r="K394" s="85"/>
      <c r="L394" s="86" t="str">
        <f>IFERROR(__xludf.DUMMYFUNCTION("""COMPUTED_VALUE"""),"REJECT")</f>
        <v>REJECT</v>
      </c>
      <c r="M394" s="78" t="str">
        <f>IFERROR(__xludf.DUMMYFUNCTION("""COMPUTED_VALUE"""),"45934SNN")</f>
        <v>45934SNN</v>
      </c>
      <c r="N394" s="85" t="str">
        <f>IFERROR(__xludf.DUMMYFUNCTION("""COMPUTED_VALUE"""),"SNN")</f>
        <v>SNN</v>
      </c>
      <c r="O394" s="101">
        <f>IFERROR(__xludf.DUMMYFUNCTION("""COMPUTED_VALUE"""),45934.0)</f>
        <v>45934</v>
      </c>
      <c r="P394" s="104" t="str">
        <f>IFERROR(__xludf.DUMMYFUNCTION("""COMPUTED_VALUE"""),"Storm Amy")</f>
        <v>Storm Amy</v>
      </c>
      <c r="Q394" s="86" t="str">
        <f>IFERROR(__xludf.DUMMYFUNCTION("""COMPUTED_VALUE"""),"REJECT")</f>
        <v>REJECT</v>
      </c>
      <c r="R394" s="66"/>
      <c r="S394" s="66"/>
      <c r="T394" s="66"/>
      <c r="U394" s="66"/>
      <c r="V394" s="66"/>
      <c r="W394" s="66"/>
      <c r="X394" s="66"/>
      <c r="Y394" s="66"/>
      <c r="Z394" s="66"/>
      <c r="AA394" s="66"/>
      <c r="AB394" s="66"/>
      <c r="AC394" s="66"/>
      <c r="AD394" s="66"/>
      <c r="AE394" s="66"/>
      <c r="AF394" s="66"/>
      <c r="AG394" s="66"/>
      <c r="AH394" s="66"/>
      <c r="AI394" s="66"/>
      <c r="AJ394" s="66"/>
      <c r="AK394" s="66"/>
      <c r="AL394" s="66"/>
      <c r="AM394" s="66"/>
      <c r="AN394" s="66"/>
      <c r="AO394" s="66"/>
    </row>
    <row r="395">
      <c r="A395" s="93"/>
      <c r="B395" s="85"/>
      <c r="C395" s="86"/>
      <c r="D395" s="93"/>
      <c r="E395" s="85"/>
      <c r="F395" s="85"/>
      <c r="G395" s="86"/>
      <c r="H395" s="78" t="str">
        <f>IFERROR(__xludf.DUMMYFUNCTION("""COMPUTED_VALUE"""),"")</f>
        <v/>
      </c>
      <c r="I395" s="85"/>
      <c r="J395" s="85"/>
      <c r="K395" s="85"/>
      <c r="L395" s="86" t="str">
        <f>IFERROR(__xludf.DUMMYFUNCTION("""COMPUTED_VALUE"""),"REJECT")</f>
        <v>REJECT</v>
      </c>
      <c r="M395" s="78" t="str">
        <f>IFERROR(__xludf.DUMMYFUNCTION("""COMPUTED_VALUE"""),"45934BHD")</f>
        <v>45934BHD</v>
      </c>
      <c r="N395" s="85" t="str">
        <f>IFERROR(__xludf.DUMMYFUNCTION("""COMPUTED_VALUE"""),"BHD")</f>
        <v>BHD</v>
      </c>
      <c r="O395" s="101">
        <f>IFERROR(__xludf.DUMMYFUNCTION("""COMPUTED_VALUE"""),45934.0)</f>
        <v>45934</v>
      </c>
      <c r="P395" s="104" t="str">
        <f>IFERROR(__xludf.DUMMYFUNCTION("""COMPUTED_VALUE"""),"Storm Amy")</f>
        <v>Storm Amy</v>
      </c>
      <c r="Q395" s="86" t="str">
        <f>IFERROR(__xludf.DUMMYFUNCTION("""COMPUTED_VALUE"""),"REJECT")</f>
        <v>REJECT</v>
      </c>
      <c r="R395" s="66"/>
      <c r="S395" s="66"/>
      <c r="T395" s="66"/>
      <c r="U395" s="66"/>
      <c r="V395" s="66"/>
      <c r="W395" s="66"/>
      <c r="X395" s="66"/>
      <c r="Y395" s="66"/>
      <c r="Z395" s="66"/>
      <c r="AA395" s="66"/>
      <c r="AB395" s="66"/>
      <c r="AC395" s="66"/>
      <c r="AD395" s="66"/>
      <c r="AE395" s="66"/>
      <c r="AF395" s="66"/>
      <c r="AG395" s="66"/>
      <c r="AH395" s="66"/>
      <c r="AI395" s="66"/>
      <c r="AJ395" s="66"/>
      <c r="AK395" s="66"/>
      <c r="AL395" s="66"/>
      <c r="AM395" s="66"/>
      <c r="AN395" s="66"/>
      <c r="AO395" s="66"/>
    </row>
    <row r="396">
      <c r="A396" s="93"/>
      <c r="B396" s="85"/>
      <c r="C396" s="86"/>
      <c r="D396" s="93"/>
      <c r="E396" s="85"/>
      <c r="F396" s="85"/>
      <c r="G396" s="86"/>
      <c r="H396" s="78" t="str">
        <f>IFERROR(__xludf.DUMMYFUNCTION("""COMPUTED_VALUE"""),"")</f>
        <v/>
      </c>
      <c r="I396" s="85"/>
      <c r="J396" s="85"/>
      <c r="K396" s="85"/>
      <c r="L396" s="86" t="str">
        <f>IFERROR(__xludf.DUMMYFUNCTION("""COMPUTED_VALUE"""),"REJECT")</f>
        <v>REJECT</v>
      </c>
      <c r="M396" s="78" t="str">
        <f>IFERROR(__xludf.DUMMYFUNCTION("""COMPUTED_VALUE"""),"45934BFS")</f>
        <v>45934BFS</v>
      </c>
      <c r="N396" s="85" t="str">
        <f>IFERROR(__xludf.DUMMYFUNCTION("""COMPUTED_VALUE"""),"BFS")</f>
        <v>BFS</v>
      </c>
      <c r="O396" s="101">
        <f>IFERROR(__xludf.DUMMYFUNCTION("""COMPUTED_VALUE"""),45934.0)</f>
        <v>45934</v>
      </c>
      <c r="P396" s="104" t="str">
        <f>IFERROR(__xludf.DUMMYFUNCTION("""COMPUTED_VALUE"""),"Storm Amy")</f>
        <v>Storm Amy</v>
      </c>
      <c r="Q396" s="86" t="str">
        <f>IFERROR(__xludf.DUMMYFUNCTION("""COMPUTED_VALUE"""),"REJECT")</f>
        <v>REJECT</v>
      </c>
      <c r="R396" s="66"/>
      <c r="S396" s="66"/>
      <c r="T396" s="66"/>
      <c r="U396" s="66"/>
      <c r="V396" s="66"/>
      <c r="W396" s="66"/>
      <c r="X396" s="66"/>
      <c r="Y396" s="66"/>
      <c r="Z396" s="66"/>
      <c r="AA396" s="66"/>
      <c r="AB396" s="66"/>
      <c r="AC396" s="66"/>
      <c r="AD396" s="66"/>
      <c r="AE396" s="66"/>
      <c r="AF396" s="66"/>
      <c r="AG396" s="66"/>
      <c r="AH396" s="66"/>
      <c r="AI396" s="66"/>
      <c r="AJ396" s="66"/>
      <c r="AK396" s="66"/>
      <c r="AL396" s="66"/>
      <c r="AM396" s="66"/>
      <c r="AN396" s="66"/>
      <c r="AO396" s="66"/>
    </row>
    <row r="397">
      <c r="A397" s="93"/>
      <c r="B397" s="85"/>
      <c r="C397" s="86"/>
      <c r="D397" s="93"/>
      <c r="E397" s="85"/>
      <c r="F397" s="85"/>
      <c r="G397" s="86"/>
      <c r="H397" s="78" t="str">
        <f>IFERROR(__xludf.DUMMYFUNCTION("""COMPUTED_VALUE"""),"")</f>
        <v/>
      </c>
      <c r="I397" s="85"/>
      <c r="J397" s="85"/>
      <c r="K397" s="85"/>
      <c r="L397" s="86" t="str">
        <f>IFERROR(__xludf.DUMMYFUNCTION("""COMPUTED_VALUE"""),"REJECT")</f>
        <v>REJECT</v>
      </c>
      <c r="M397" s="78" t="str">
        <f>IFERROR(__xludf.DUMMYFUNCTION("""COMPUTED_VALUE"""),"43980LTN")</f>
        <v>43980LTN</v>
      </c>
      <c r="N397" s="85" t="str">
        <f>IFERROR(__xludf.DUMMYFUNCTION("""COMPUTED_VALUE"""),"LTN")</f>
        <v>LTN</v>
      </c>
      <c r="O397" s="101">
        <f>IFERROR(__xludf.DUMMYFUNCTION("""COMPUTED_VALUE"""),43980.0)</f>
        <v>43980</v>
      </c>
      <c r="P397" s="104" t="str">
        <f>IFERROR(__xludf.DUMMYFUNCTION("""COMPUTED_VALUE"""),"ATC")</f>
        <v>ATC</v>
      </c>
      <c r="Q397" s="86" t="str">
        <f>IFERROR(__xludf.DUMMYFUNCTION("""COMPUTED_VALUE"""),"REJECT")</f>
        <v>REJECT</v>
      </c>
      <c r="R397" s="66"/>
      <c r="S397" s="66"/>
      <c r="T397" s="66"/>
      <c r="U397" s="66"/>
      <c r="V397" s="66"/>
      <c r="W397" s="66"/>
      <c r="X397" s="66"/>
      <c r="Y397" s="66"/>
      <c r="Z397" s="66"/>
      <c r="AA397" s="66"/>
      <c r="AB397" s="66"/>
      <c r="AC397" s="66"/>
      <c r="AD397" s="66"/>
      <c r="AE397" s="66"/>
      <c r="AF397" s="66"/>
      <c r="AG397" s="66"/>
      <c r="AH397" s="66"/>
      <c r="AI397" s="66"/>
      <c r="AJ397" s="66"/>
      <c r="AK397" s="66"/>
      <c r="AL397" s="66"/>
      <c r="AM397" s="66"/>
      <c r="AN397" s="66"/>
      <c r="AO397" s="66"/>
    </row>
    <row r="398">
      <c r="A398" s="93"/>
      <c r="B398" s="85"/>
      <c r="C398" s="86"/>
      <c r="D398" s="93"/>
      <c r="E398" s="85"/>
      <c r="F398" s="85"/>
      <c r="G398" s="86"/>
      <c r="H398" s="78" t="str">
        <f>IFERROR(__xludf.DUMMYFUNCTION("""COMPUTED_VALUE"""),"")</f>
        <v/>
      </c>
      <c r="I398" s="85"/>
      <c r="J398" s="85"/>
      <c r="K398" s="85"/>
      <c r="L398" s="86" t="str">
        <f>IFERROR(__xludf.DUMMYFUNCTION("""COMPUTED_VALUE"""),"REJECT")</f>
        <v>REJECT</v>
      </c>
      <c r="M398" s="78" t="str">
        <f>IFERROR(__xludf.DUMMYFUNCTION("""COMPUTED_VALUE"""),"45921BCN")</f>
        <v>45921BCN</v>
      </c>
      <c r="N398" s="85" t="str">
        <f>IFERROR(__xludf.DUMMYFUNCTION("""COMPUTED_VALUE"""),"BCN")</f>
        <v>BCN</v>
      </c>
      <c r="O398" s="101">
        <f>IFERROR(__xludf.DUMMYFUNCTION("""COMPUTED_VALUE"""),45921.0)</f>
        <v>45921</v>
      </c>
      <c r="P398" s="104" t="str">
        <f>IFERROR(__xludf.DUMMYFUNCTION("""COMPUTED_VALUE"""),"Bad weather")</f>
        <v>Bad weather</v>
      </c>
      <c r="Q398" s="86" t="str">
        <f>IFERROR(__xludf.DUMMYFUNCTION("""COMPUTED_VALUE"""),"REJECT")</f>
        <v>REJECT</v>
      </c>
      <c r="R398" s="66"/>
      <c r="S398" s="66"/>
      <c r="T398" s="66"/>
      <c r="U398" s="66"/>
      <c r="V398" s="66"/>
      <c r="W398" s="66"/>
      <c r="X398" s="66"/>
      <c r="Y398" s="66"/>
      <c r="Z398" s="66"/>
      <c r="AA398" s="66"/>
      <c r="AB398" s="66"/>
      <c r="AC398" s="66"/>
      <c r="AD398" s="66"/>
      <c r="AE398" s="66"/>
      <c r="AF398" s="66"/>
      <c r="AG398" s="66"/>
      <c r="AH398" s="66"/>
      <c r="AI398" s="66"/>
      <c r="AJ398" s="66"/>
      <c r="AK398" s="66"/>
      <c r="AL398" s="66"/>
      <c r="AM398" s="66"/>
      <c r="AN398" s="66"/>
      <c r="AO398" s="66"/>
    </row>
    <row r="399">
      <c r="A399" s="93"/>
      <c r="B399" s="85"/>
      <c r="C399" s="86"/>
      <c r="D399" s="93"/>
      <c r="E399" s="85"/>
      <c r="F399" s="85"/>
      <c r="G399" s="86"/>
      <c r="H399" s="78" t="str">
        <f>IFERROR(__xludf.DUMMYFUNCTION("""COMPUTED_VALUE"""),"")</f>
        <v/>
      </c>
      <c r="I399" s="85"/>
      <c r="J399" s="85"/>
      <c r="K399" s="85"/>
      <c r="L399" s="86" t="str">
        <f>IFERROR(__xludf.DUMMYFUNCTION("""COMPUTED_VALUE"""),"REJECT")</f>
        <v>REJECT</v>
      </c>
      <c r="M399" s="78" t="str">
        <f>IFERROR(__xludf.DUMMYFUNCTION("""COMPUTED_VALUE"""),"45921PMI")</f>
        <v>45921PMI</v>
      </c>
      <c r="N399" s="85" t="str">
        <f>IFERROR(__xludf.DUMMYFUNCTION("""COMPUTED_VALUE"""),"PMI")</f>
        <v>PMI</v>
      </c>
      <c r="O399" s="101">
        <f>IFERROR(__xludf.DUMMYFUNCTION("""COMPUTED_VALUE"""),45921.0)</f>
        <v>45921</v>
      </c>
      <c r="P399" s="104" t="str">
        <f>IFERROR(__xludf.DUMMYFUNCTION("""COMPUTED_VALUE"""),"Bad weather")</f>
        <v>Bad weather</v>
      </c>
      <c r="Q399" s="86" t="str">
        <f>IFERROR(__xludf.DUMMYFUNCTION("""COMPUTED_VALUE"""),"REJECT")</f>
        <v>REJECT</v>
      </c>
      <c r="R399" s="66"/>
      <c r="S399" s="66"/>
      <c r="T399" s="66"/>
      <c r="U399" s="66"/>
      <c r="V399" s="66"/>
      <c r="W399" s="66"/>
      <c r="X399" s="66"/>
      <c r="Y399" s="66"/>
      <c r="Z399" s="66"/>
      <c r="AA399" s="66"/>
      <c r="AB399" s="66"/>
      <c r="AC399" s="66"/>
      <c r="AD399" s="66"/>
      <c r="AE399" s="66"/>
      <c r="AF399" s="66"/>
      <c r="AG399" s="66"/>
      <c r="AH399" s="66"/>
      <c r="AI399" s="66"/>
      <c r="AJ399" s="66"/>
      <c r="AK399" s="66"/>
      <c r="AL399" s="66"/>
      <c r="AM399" s="66"/>
      <c r="AN399" s="66"/>
      <c r="AO399" s="66"/>
    </row>
    <row r="400">
      <c r="A400" s="93"/>
      <c r="B400" s="85"/>
      <c r="C400" s="86"/>
      <c r="D400" s="93"/>
      <c r="E400" s="85"/>
      <c r="F400" s="85"/>
      <c r="G400" s="86"/>
      <c r="H400" s="78" t="str">
        <f>IFERROR(__xludf.DUMMYFUNCTION("""COMPUTED_VALUE"""),"")</f>
        <v/>
      </c>
      <c r="I400" s="85"/>
      <c r="J400" s="85"/>
      <c r="K400" s="85"/>
      <c r="L400" s="86" t="str">
        <f>IFERROR(__xludf.DUMMYFUNCTION("""COMPUTED_VALUE"""),"REJECT")</f>
        <v>REJECT</v>
      </c>
      <c r="M400" s="78" t="str">
        <f>IFERROR(__xludf.DUMMYFUNCTION("""COMPUTED_VALUE"""),"45681GLA ")</f>
        <v>45681GLA </v>
      </c>
      <c r="N400" s="85" t="str">
        <f>IFERROR(__xludf.DUMMYFUNCTION("""COMPUTED_VALUE"""),"GLA ")</f>
        <v>GLA </v>
      </c>
      <c r="O400" s="101">
        <f>IFERROR(__xludf.DUMMYFUNCTION("""COMPUTED_VALUE"""),45681.0)</f>
        <v>45681</v>
      </c>
      <c r="P400" s="104" t="str">
        <f>IFERROR(__xludf.DUMMYFUNCTION("""COMPUTED_VALUE"""),"Bad weather")</f>
        <v>Bad weather</v>
      </c>
      <c r="Q400" s="86" t="str">
        <f>IFERROR(__xludf.DUMMYFUNCTION("""COMPUTED_VALUE"""),"REJECT")</f>
        <v>REJECT</v>
      </c>
      <c r="R400" s="66"/>
      <c r="S400" s="66"/>
      <c r="T400" s="66"/>
      <c r="U400" s="66"/>
      <c r="V400" s="66"/>
      <c r="W400" s="66"/>
      <c r="X400" s="66"/>
      <c r="Y400" s="66"/>
      <c r="Z400" s="66"/>
      <c r="AA400" s="66"/>
      <c r="AB400" s="66"/>
      <c r="AC400" s="66"/>
      <c r="AD400" s="66"/>
      <c r="AE400" s="66"/>
      <c r="AF400" s="66"/>
      <c r="AG400" s="66"/>
      <c r="AH400" s="66"/>
      <c r="AI400" s="66"/>
      <c r="AJ400" s="66"/>
      <c r="AK400" s="66"/>
      <c r="AL400" s="66"/>
      <c r="AM400" s="66"/>
      <c r="AN400" s="66"/>
      <c r="AO400" s="66"/>
    </row>
    <row r="401">
      <c r="A401" s="93"/>
      <c r="B401" s="85"/>
      <c r="C401" s="86"/>
      <c r="D401" s="93"/>
      <c r="E401" s="85"/>
      <c r="F401" s="85"/>
      <c r="G401" s="86"/>
      <c r="H401" s="78" t="str">
        <f>IFERROR(__xludf.DUMMYFUNCTION("""COMPUTED_VALUE"""),"")</f>
        <v/>
      </c>
      <c r="I401" s="85"/>
      <c r="J401" s="85"/>
      <c r="K401" s="85"/>
      <c r="L401" s="86" t="str">
        <f>IFERROR(__xludf.DUMMYFUNCTION("""COMPUTED_VALUE"""),"REJECT")</f>
        <v>REJECT</v>
      </c>
      <c r="M401" s="78" t="str">
        <f>IFERROR(__xludf.DUMMYFUNCTION("""COMPUTED_VALUE"""),"45868LHR")</f>
        <v>45868LHR</v>
      </c>
      <c r="N401" s="85" t="str">
        <f>IFERROR(__xludf.DUMMYFUNCTION("""COMPUTED_VALUE"""),"LHR")</f>
        <v>LHR</v>
      </c>
      <c r="O401" s="101">
        <f>IFERROR(__xludf.DUMMYFUNCTION("""COMPUTED_VALUE"""),45868.0)</f>
        <v>45868</v>
      </c>
      <c r="P401" s="104" t="str">
        <f>IFERROR(__xludf.DUMMYFUNCTION("""COMPUTED_VALUE"""),"Radar Failure")</f>
        <v>Radar Failure</v>
      </c>
      <c r="Q401" s="86" t="str">
        <f>IFERROR(__xludf.DUMMYFUNCTION("""COMPUTED_VALUE"""),"REJECT")</f>
        <v>REJECT</v>
      </c>
      <c r="R401" s="66"/>
      <c r="S401" s="66"/>
      <c r="T401" s="66"/>
      <c r="U401" s="66"/>
      <c r="V401" s="66"/>
      <c r="W401" s="66"/>
      <c r="X401" s="66"/>
      <c r="Y401" s="66"/>
      <c r="Z401" s="66"/>
      <c r="AA401" s="66"/>
      <c r="AB401" s="66"/>
      <c r="AC401" s="66"/>
      <c r="AD401" s="66"/>
      <c r="AE401" s="66"/>
      <c r="AF401" s="66"/>
      <c r="AG401" s="66"/>
      <c r="AH401" s="66"/>
      <c r="AI401" s="66"/>
      <c r="AJ401" s="66"/>
      <c r="AK401" s="66"/>
      <c r="AL401" s="66"/>
      <c r="AM401" s="66"/>
      <c r="AN401" s="66"/>
      <c r="AO401" s="66"/>
    </row>
    <row r="402">
      <c r="A402" s="93"/>
      <c r="B402" s="85"/>
      <c r="C402" s="86"/>
      <c r="D402" s="93"/>
      <c r="E402" s="85"/>
      <c r="F402" s="85"/>
      <c r="G402" s="86"/>
      <c r="H402" s="78" t="str">
        <f>IFERROR(__xludf.DUMMYFUNCTION("""COMPUTED_VALUE"""),"")</f>
        <v/>
      </c>
      <c r="I402" s="85"/>
      <c r="J402" s="85"/>
      <c r="K402" s="85"/>
      <c r="L402" s="86" t="str">
        <f>IFERROR(__xludf.DUMMYFUNCTION("""COMPUTED_VALUE"""),"REJECT")</f>
        <v>REJECT</v>
      </c>
      <c r="M402" s="78" t="str">
        <f>IFERROR(__xludf.DUMMYFUNCTION("""COMPUTED_VALUE"""),"45934MUC")</f>
        <v>45934MUC</v>
      </c>
      <c r="N402" s="85" t="str">
        <f>IFERROR(__xludf.DUMMYFUNCTION("""COMPUTED_VALUE"""),"MUC")</f>
        <v>MUC</v>
      </c>
      <c r="O402" s="101">
        <f>IFERROR(__xludf.DUMMYFUNCTION("""COMPUTED_VALUE"""),45934.0)</f>
        <v>45934</v>
      </c>
      <c r="P402" s="104" t="str">
        <f>IFERROR(__xludf.DUMMYFUNCTION("""COMPUTED_VALUE"""),"Operation suspended due to drone sighting ")</f>
        <v>Operation suspended due to drone sighting </v>
      </c>
      <c r="Q402" s="86" t="str">
        <f>IFERROR(__xludf.DUMMYFUNCTION("""COMPUTED_VALUE"""),"REJECT")</f>
        <v>REJECT</v>
      </c>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row>
    <row r="403">
      <c r="A403" s="93"/>
      <c r="B403" s="85"/>
      <c r="C403" s="86"/>
      <c r="D403" s="93"/>
      <c r="E403" s="85"/>
      <c r="F403" s="85"/>
      <c r="G403" s="86"/>
      <c r="H403" s="78" t="str">
        <f>IFERROR(__xludf.DUMMYFUNCTION("""COMPUTED_VALUE"""),"")</f>
        <v/>
      </c>
      <c r="I403" s="85"/>
      <c r="J403" s="85"/>
      <c r="K403" s="85"/>
      <c r="L403" s="86" t="str">
        <f>IFERROR(__xludf.DUMMYFUNCTION("""COMPUTED_VALUE"""),"REJECT")</f>
        <v>REJECT</v>
      </c>
      <c r="M403" s="78" t="str">
        <f>IFERROR(__xludf.DUMMYFUNCTION("""COMPUTED_VALUE"""),"45959LIN")</f>
        <v>45959LIN</v>
      </c>
      <c r="N403" s="85" t="str">
        <f>IFERROR(__xludf.DUMMYFUNCTION("""COMPUTED_VALUE"""),"LIN")</f>
        <v>LIN</v>
      </c>
      <c r="O403" s="101">
        <f>IFERROR(__xludf.DUMMYFUNCTION("""COMPUTED_VALUE"""),45959.0)</f>
        <v>45959</v>
      </c>
      <c r="P403" s="104" t="str">
        <f>IFERROR(__xludf.DUMMYFUNCTION("""COMPUTED_VALUE"""),"Strike")</f>
        <v>Strike</v>
      </c>
      <c r="Q403" s="86" t="str">
        <f>IFERROR(__xludf.DUMMYFUNCTION("""COMPUTED_VALUE"""),"REJECT")</f>
        <v>REJECT</v>
      </c>
      <c r="R403" s="66"/>
      <c r="S403" s="66"/>
      <c r="T403" s="66"/>
      <c r="U403" s="66"/>
      <c r="V403" s="66"/>
      <c r="W403" s="66"/>
      <c r="X403" s="66"/>
      <c r="Y403" s="66"/>
      <c r="Z403" s="66"/>
      <c r="AA403" s="66"/>
      <c r="AB403" s="66"/>
      <c r="AC403" s="66"/>
      <c r="AD403" s="66"/>
      <c r="AE403" s="66"/>
      <c r="AF403" s="66"/>
      <c r="AG403" s="66"/>
      <c r="AH403" s="66"/>
      <c r="AI403" s="66"/>
      <c r="AJ403" s="66"/>
      <c r="AK403" s="66"/>
      <c r="AL403" s="66"/>
      <c r="AM403" s="66"/>
      <c r="AN403" s="66"/>
      <c r="AO403" s="66"/>
    </row>
    <row r="404">
      <c r="A404" s="93"/>
      <c r="B404" s="85"/>
      <c r="C404" s="86"/>
      <c r="D404" s="93"/>
      <c r="E404" s="85"/>
      <c r="F404" s="85"/>
      <c r="G404" s="86"/>
      <c r="H404" s="78" t="str">
        <f>IFERROR(__xludf.DUMMYFUNCTION("""COMPUTED_VALUE"""),"")</f>
        <v/>
      </c>
      <c r="I404" s="85"/>
      <c r="J404" s="85"/>
      <c r="K404" s="85"/>
      <c r="L404" s="86" t="str">
        <f>IFERROR(__xludf.DUMMYFUNCTION("""COMPUTED_VALUE"""),"REJECT")</f>
        <v>REJECT</v>
      </c>
      <c r="M404" s="78" t="str">
        <f>IFERROR(__xludf.DUMMYFUNCTION("""COMPUTED_VALUE"""),"45959PSA")</f>
        <v>45959PSA</v>
      </c>
      <c r="N404" s="85" t="str">
        <f>IFERROR(__xludf.DUMMYFUNCTION("""COMPUTED_VALUE"""),"PSA")</f>
        <v>PSA</v>
      </c>
      <c r="O404" s="101">
        <f>IFERROR(__xludf.DUMMYFUNCTION("""COMPUTED_VALUE"""),45959.0)</f>
        <v>45959</v>
      </c>
      <c r="P404" s="104" t="str">
        <f>IFERROR(__xludf.DUMMYFUNCTION("""COMPUTED_VALUE"""),"Strike")</f>
        <v>Strike</v>
      </c>
      <c r="Q404" s="86" t="str">
        <f>IFERROR(__xludf.DUMMYFUNCTION("""COMPUTED_VALUE"""),"REJECT")</f>
        <v>REJECT</v>
      </c>
      <c r="R404" s="66"/>
      <c r="S404" s="66"/>
      <c r="T404" s="66"/>
      <c r="U404" s="66"/>
      <c r="V404" s="66"/>
      <c r="W404" s="66"/>
      <c r="X404" s="66"/>
      <c r="Y404" s="66"/>
      <c r="Z404" s="66"/>
      <c r="AA404" s="66"/>
      <c r="AB404" s="66"/>
      <c r="AC404" s="66"/>
      <c r="AD404" s="66"/>
      <c r="AE404" s="66"/>
      <c r="AF404" s="66"/>
      <c r="AG404" s="66"/>
      <c r="AH404" s="66"/>
      <c r="AI404" s="66"/>
      <c r="AJ404" s="66"/>
      <c r="AK404" s="66"/>
      <c r="AL404" s="66"/>
      <c r="AM404" s="66"/>
      <c r="AN404" s="66"/>
      <c r="AO404" s="66"/>
    </row>
    <row r="405">
      <c r="A405" s="93"/>
      <c r="B405" s="85"/>
      <c r="C405" s="86"/>
      <c r="D405" s="93"/>
      <c r="E405" s="85"/>
      <c r="F405" s="85"/>
      <c r="G405" s="86"/>
      <c r="H405" s="78" t="str">
        <f>IFERROR(__xludf.DUMMYFUNCTION("""COMPUTED_VALUE"""),"")</f>
        <v/>
      </c>
      <c r="I405" s="85"/>
      <c r="J405" s="85"/>
      <c r="K405" s="85"/>
      <c r="L405" s="86" t="str">
        <f>IFERROR(__xludf.DUMMYFUNCTION("""COMPUTED_VALUE"""),"REJECT")</f>
        <v>REJECT</v>
      </c>
      <c r="M405" s="78" t="str">
        <f>IFERROR(__xludf.DUMMYFUNCTION("""COMPUTED_VALUE"""),"45959FLR")</f>
        <v>45959FLR</v>
      </c>
      <c r="N405" s="85" t="str">
        <f>IFERROR(__xludf.DUMMYFUNCTION("""COMPUTED_VALUE"""),"FLR")</f>
        <v>FLR</v>
      </c>
      <c r="O405" s="101">
        <f>IFERROR(__xludf.DUMMYFUNCTION("""COMPUTED_VALUE"""),45959.0)</f>
        <v>45959</v>
      </c>
      <c r="P405" s="104" t="str">
        <f>IFERROR(__xludf.DUMMYFUNCTION("""COMPUTED_VALUE"""),"Strike")</f>
        <v>Strike</v>
      </c>
      <c r="Q405" s="86" t="str">
        <f>IFERROR(__xludf.DUMMYFUNCTION("""COMPUTED_VALUE"""),"REJECT")</f>
        <v>REJECT</v>
      </c>
      <c r="R405" s="66"/>
      <c r="S405" s="66"/>
      <c r="T405" s="66"/>
      <c r="U405" s="66"/>
      <c r="V405" s="66"/>
      <c r="W405" s="66"/>
      <c r="X405" s="66"/>
      <c r="Y405" s="66"/>
      <c r="Z405" s="66"/>
      <c r="AA405" s="66"/>
      <c r="AB405" s="66"/>
      <c r="AC405" s="66"/>
      <c r="AD405" s="66"/>
      <c r="AE405" s="66"/>
      <c r="AF405" s="66"/>
      <c r="AG405" s="66"/>
      <c r="AH405" s="66"/>
      <c r="AI405" s="66"/>
      <c r="AJ405" s="66"/>
      <c r="AK405" s="66"/>
      <c r="AL405" s="66"/>
      <c r="AM405" s="66"/>
      <c r="AN405" s="66"/>
      <c r="AO405" s="66"/>
    </row>
    <row r="406">
      <c r="A406" s="93"/>
      <c r="B406" s="85"/>
      <c r="C406" s="86"/>
      <c r="D406" s="93"/>
      <c r="E406" s="85"/>
      <c r="F406" s="85"/>
      <c r="G406" s="86"/>
      <c r="H406" s="78" t="str">
        <f>IFERROR(__xludf.DUMMYFUNCTION("""COMPUTED_VALUE"""),"")</f>
        <v/>
      </c>
      <c r="I406" s="85"/>
      <c r="J406" s="85"/>
      <c r="K406" s="85"/>
      <c r="L406" s="86" t="str">
        <f>IFERROR(__xludf.DUMMYFUNCTION("""COMPUTED_VALUE"""),"REJECT")</f>
        <v>REJECT</v>
      </c>
      <c r="M406" s="78" t="str">
        <f>IFERROR(__xludf.DUMMYFUNCTION("""COMPUTED_VALUE"""),"45959MXP")</f>
        <v>45959MXP</v>
      </c>
      <c r="N406" s="85" t="str">
        <f>IFERROR(__xludf.DUMMYFUNCTION("""COMPUTED_VALUE"""),"MXP")</f>
        <v>MXP</v>
      </c>
      <c r="O406" s="101">
        <f>IFERROR(__xludf.DUMMYFUNCTION("""COMPUTED_VALUE"""),45959.0)</f>
        <v>45959</v>
      </c>
      <c r="P406" s="104" t="str">
        <f>IFERROR(__xludf.DUMMYFUNCTION("""COMPUTED_VALUE"""),"Strike")</f>
        <v>Strike</v>
      </c>
      <c r="Q406" s="86" t="str">
        <f>IFERROR(__xludf.DUMMYFUNCTION("""COMPUTED_VALUE"""),"REJECT")</f>
        <v>REJECT</v>
      </c>
      <c r="R406" s="66"/>
      <c r="S406" s="66"/>
      <c r="T406" s="66"/>
      <c r="U406" s="66"/>
      <c r="V406" s="66"/>
      <c r="W406" s="66"/>
      <c r="X406" s="66"/>
      <c r="Y406" s="66"/>
      <c r="Z406" s="66"/>
      <c r="AA406" s="66"/>
      <c r="AB406" s="66"/>
      <c r="AC406" s="66"/>
      <c r="AD406" s="66"/>
      <c r="AE406" s="66"/>
      <c r="AF406" s="66"/>
      <c r="AG406" s="66"/>
      <c r="AH406" s="66"/>
      <c r="AI406" s="66"/>
      <c r="AJ406" s="66"/>
      <c r="AK406" s="66"/>
      <c r="AL406" s="66"/>
      <c r="AM406" s="66"/>
      <c r="AN406" s="66"/>
      <c r="AO406" s="66"/>
    </row>
    <row r="407">
      <c r="A407" s="93"/>
      <c r="B407" s="85"/>
      <c r="C407" s="86"/>
      <c r="D407" s="93"/>
      <c r="E407" s="85"/>
      <c r="F407" s="85"/>
      <c r="G407" s="86"/>
      <c r="H407" s="78" t="str">
        <f>IFERROR(__xludf.DUMMYFUNCTION("""COMPUTED_VALUE"""),"")</f>
        <v/>
      </c>
      <c r="I407" s="85"/>
      <c r="J407" s="85"/>
      <c r="K407" s="85"/>
      <c r="L407" s="86" t="str">
        <f>IFERROR(__xludf.DUMMYFUNCTION("""COMPUTED_VALUE"""),"REJECT")</f>
        <v>REJECT</v>
      </c>
      <c r="M407" s="78" t="str">
        <f>IFERROR(__xludf.DUMMYFUNCTION("""COMPUTED_VALUE"""),"45926LIN")</f>
        <v>45926LIN</v>
      </c>
      <c r="N407" s="85" t="str">
        <f>IFERROR(__xludf.DUMMYFUNCTION("""COMPUTED_VALUE"""),"LIN")</f>
        <v>LIN</v>
      </c>
      <c r="O407" s="101">
        <f>IFERROR(__xludf.DUMMYFUNCTION("""COMPUTED_VALUE"""),45926.0)</f>
        <v>45926</v>
      </c>
      <c r="P407" s="104" t="str">
        <f>IFERROR(__xludf.DUMMYFUNCTION("""COMPUTED_VALUE"""),"Strike")</f>
        <v>Strike</v>
      </c>
      <c r="Q407" s="86" t="str">
        <f>IFERROR(__xludf.DUMMYFUNCTION("""COMPUTED_VALUE"""),"REJECT")</f>
        <v>REJECT</v>
      </c>
      <c r="R407" s="66"/>
      <c r="S407" s="66"/>
      <c r="T407" s="66"/>
      <c r="U407" s="66"/>
      <c r="V407" s="66"/>
      <c r="W407" s="66"/>
      <c r="X407" s="66"/>
      <c r="Y407" s="66"/>
      <c r="Z407" s="66"/>
      <c r="AA407" s="66"/>
      <c r="AB407" s="66"/>
      <c r="AC407" s="66"/>
      <c r="AD407" s="66"/>
      <c r="AE407" s="66"/>
      <c r="AF407" s="66"/>
      <c r="AG407" s="66"/>
      <c r="AH407" s="66"/>
      <c r="AI407" s="66"/>
      <c r="AJ407" s="66"/>
      <c r="AK407" s="66"/>
      <c r="AL407" s="66"/>
      <c r="AM407" s="66"/>
      <c r="AN407" s="66"/>
      <c r="AO407" s="66"/>
    </row>
    <row r="408">
      <c r="A408" s="93"/>
      <c r="B408" s="85"/>
      <c r="C408" s="86"/>
      <c r="D408" s="93"/>
      <c r="E408" s="85"/>
      <c r="F408" s="85"/>
      <c r="G408" s="86"/>
      <c r="H408" s="78" t="str">
        <f>IFERROR(__xludf.DUMMYFUNCTION("""COMPUTED_VALUE"""),"")</f>
        <v/>
      </c>
      <c r="I408" s="85"/>
      <c r="J408" s="85"/>
      <c r="K408" s="85"/>
      <c r="L408" s="86" t="str">
        <f>IFERROR(__xludf.DUMMYFUNCTION("""COMPUTED_VALUE"""),"REJECT")</f>
        <v>REJECT</v>
      </c>
      <c r="M408" s="78" t="str">
        <f>IFERROR(__xludf.DUMMYFUNCTION("""COMPUTED_VALUE"""),"45926MXP")</f>
        <v>45926MXP</v>
      </c>
      <c r="N408" s="85" t="str">
        <f>IFERROR(__xludf.DUMMYFUNCTION("""COMPUTED_VALUE"""),"MXP")</f>
        <v>MXP</v>
      </c>
      <c r="O408" s="101">
        <f>IFERROR(__xludf.DUMMYFUNCTION("""COMPUTED_VALUE"""),45926.0)</f>
        <v>45926</v>
      </c>
      <c r="P408" s="104" t="str">
        <f>IFERROR(__xludf.DUMMYFUNCTION("""COMPUTED_VALUE"""),"Strike")</f>
        <v>Strike</v>
      </c>
      <c r="Q408" s="86" t="str">
        <f>IFERROR(__xludf.DUMMYFUNCTION("""COMPUTED_VALUE"""),"REJECT")</f>
        <v>REJECT</v>
      </c>
      <c r="R408" s="66"/>
      <c r="S408" s="66"/>
      <c r="T408" s="66"/>
      <c r="U408" s="66"/>
      <c r="V408" s="66"/>
      <c r="W408" s="66"/>
      <c r="X408" s="66"/>
      <c r="Y408" s="66"/>
      <c r="Z408" s="66"/>
      <c r="AA408" s="66"/>
      <c r="AB408" s="66"/>
      <c r="AC408" s="66"/>
      <c r="AD408" s="66"/>
      <c r="AE408" s="66"/>
      <c r="AF408" s="66"/>
      <c r="AG408" s="66"/>
      <c r="AH408" s="66"/>
      <c r="AI408" s="66"/>
      <c r="AJ408" s="66"/>
      <c r="AK408" s="66"/>
      <c r="AL408" s="66"/>
      <c r="AM408" s="66"/>
      <c r="AN408" s="66"/>
      <c r="AO408" s="66"/>
    </row>
    <row r="409">
      <c r="A409" s="93"/>
      <c r="B409" s="85"/>
      <c r="C409" s="86"/>
      <c r="D409" s="93"/>
      <c r="E409" s="85"/>
      <c r="F409" s="85"/>
      <c r="G409" s="86"/>
      <c r="H409" s="78" t="str">
        <f>IFERROR(__xludf.DUMMYFUNCTION("""COMPUTED_VALUE"""),"")</f>
        <v/>
      </c>
      <c r="I409" s="85"/>
      <c r="J409" s="85"/>
      <c r="K409" s="85"/>
      <c r="L409" s="86" t="str">
        <f>IFERROR(__xludf.DUMMYFUNCTION("""COMPUTED_VALUE"""),"REJECT")</f>
        <v>REJECT</v>
      </c>
      <c r="M409" s="78" t="str">
        <f>IFERROR(__xludf.DUMMYFUNCTION("""COMPUTED_VALUE"""),"45926CAG")</f>
        <v>45926CAG</v>
      </c>
      <c r="N409" s="85" t="str">
        <f>IFERROR(__xludf.DUMMYFUNCTION("""COMPUTED_VALUE"""),"CAG")</f>
        <v>CAG</v>
      </c>
      <c r="O409" s="101">
        <f>IFERROR(__xludf.DUMMYFUNCTION("""COMPUTED_VALUE"""),45926.0)</f>
        <v>45926</v>
      </c>
      <c r="P409" s="104" t="str">
        <f>IFERROR(__xludf.DUMMYFUNCTION("""COMPUTED_VALUE"""),"Strike")</f>
        <v>Strike</v>
      </c>
      <c r="Q409" s="86" t="str">
        <f>IFERROR(__xludf.DUMMYFUNCTION("""COMPUTED_VALUE"""),"REJECT")</f>
        <v>REJECT</v>
      </c>
      <c r="R409" s="66"/>
      <c r="S409" s="66"/>
      <c r="T409" s="66"/>
      <c r="U409" s="66"/>
      <c r="V409" s="66"/>
      <c r="W409" s="66"/>
      <c r="X409" s="66"/>
      <c r="Y409" s="66"/>
      <c r="Z409" s="66"/>
      <c r="AA409" s="66"/>
      <c r="AB409" s="66"/>
      <c r="AC409" s="66"/>
      <c r="AD409" s="66"/>
      <c r="AE409" s="66"/>
      <c r="AF409" s="66"/>
      <c r="AG409" s="66"/>
      <c r="AH409" s="66"/>
      <c r="AI409" s="66"/>
      <c r="AJ409" s="66"/>
      <c r="AK409" s="66"/>
      <c r="AL409" s="66"/>
      <c r="AM409" s="66"/>
      <c r="AN409" s="66"/>
      <c r="AO409" s="66"/>
    </row>
    <row r="410">
      <c r="A410" s="93"/>
      <c r="B410" s="85"/>
      <c r="C410" s="86"/>
      <c r="D410" s="93"/>
      <c r="E410" s="85"/>
      <c r="F410" s="85"/>
      <c r="G410" s="86"/>
      <c r="H410" s="78" t="str">
        <f>IFERROR(__xludf.DUMMYFUNCTION("""COMPUTED_VALUE"""),"")</f>
        <v/>
      </c>
      <c r="I410" s="85"/>
      <c r="J410" s="85"/>
      <c r="K410" s="85"/>
      <c r="L410" s="86" t="str">
        <f>IFERROR(__xludf.DUMMYFUNCTION("""COMPUTED_VALUE"""),"REJECT")</f>
        <v>REJECT</v>
      </c>
      <c r="M410" s="78" t="str">
        <f>IFERROR(__xludf.DUMMYFUNCTION("""COMPUTED_VALUE"""),"45926VCE")</f>
        <v>45926VCE</v>
      </c>
      <c r="N410" s="85" t="str">
        <f>IFERROR(__xludf.DUMMYFUNCTION("""COMPUTED_VALUE"""),"VCE")</f>
        <v>VCE</v>
      </c>
      <c r="O410" s="101">
        <f>IFERROR(__xludf.DUMMYFUNCTION("""COMPUTED_VALUE"""),45926.0)</f>
        <v>45926</v>
      </c>
      <c r="P410" s="104" t="str">
        <f>IFERROR(__xludf.DUMMYFUNCTION("""COMPUTED_VALUE"""),"Strike")</f>
        <v>Strike</v>
      </c>
      <c r="Q410" s="86" t="str">
        <f>IFERROR(__xludf.DUMMYFUNCTION("""COMPUTED_VALUE"""),"REJECT")</f>
        <v>REJECT</v>
      </c>
      <c r="R410" s="66"/>
      <c r="S410" s="66"/>
      <c r="T410" s="66"/>
      <c r="U410" s="66"/>
      <c r="V410" s="66"/>
      <c r="W410" s="66"/>
      <c r="X410" s="66"/>
      <c r="Y410" s="66"/>
      <c r="Z410" s="66"/>
      <c r="AA410" s="66"/>
      <c r="AB410" s="66"/>
      <c r="AC410" s="66"/>
      <c r="AD410" s="66"/>
      <c r="AE410" s="66"/>
      <c r="AF410" s="66"/>
      <c r="AG410" s="66"/>
      <c r="AH410" s="66"/>
      <c r="AI410" s="66"/>
      <c r="AJ410" s="66"/>
      <c r="AK410" s="66"/>
      <c r="AL410" s="66"/>
      <c r="AM410" s="66"/>
      <c r="AN410" s="66"/>
      <c r="AO410" s="66"/>
    </row>
    <row r="411">
      <c r="A411" s="93"/>
      <c r="B411" s="85"/>
      <c r="C411" s="86"/>
      <c r="D411" s="93"/>
      <c r="E411" s="85"/>
      <c r="F411" s="85"/>
      <c r="G411" s="86"/>
      <c r="H411" s="78" t="str">
        <f>IFERROR(__xludf.DUMMYFUNCTION("""COMPUTED_VALUE"""),"")</f>
        <v/>
      </c>
      <c r="I411" s="85"/>
      <c r="J411" s="85"/>
      <c r="K411" s="85"/>
      <c r="L411" s="86" t="str">
        <f>IFERROR(__xludf.DUMMYFUNCTION("""COMPUTED_VALUE"""),"REJECT")</f>
        <v>REJECT</v>
      </c>
      <c r="M411" s="78" t="str">
        <f>IFERROR(__xludf.DUMMYFUNCTION("""COMPUTED_VALUE"""),"45827HEL")</f>
        <v>45827HEL</v>
      </c>
      <c r="N411" s="85" t="str">
        <f>IFERROR(__xludf.DUMMYFUNCTION("""COMPUTED_VALUE"""),"HEL")</f>
        <v>HEL</v>
      </c>
      <c r="O411" s="101">
        <f>IFERROR(__xludf.DUMMYFUNCTION("""COMPUTED_VALUE"""),45827.0)</f>
        <v>45827</v>
      </c>
      <c r="P411" s="104" t="str">
        <f>IFERROR(__xludf.DUMMYFUNCTION("""COMPUTED_VALUE"""),"Strike")</f>
        <v>Strike</v>
      </c>
      <c r="Q411" s="86" t="str">
        <f>IFERROR(__xludf.DUMMYFUNCTION("""COMPUTED_VALUE"""),"REJECT")</f>
        <v>REJECT</v>
      </c>
      <c r="R411" s="66"/>
      <c r="S411" s="66"/>
      <c r="T411" s="66"/>
      <c r="U411" s="66"/>
      <c r="V411" s="66"/>
      <c r="W411" s="66"/>
      <c r="X411" s="66"/>
      <c r="Y411" s="66"/>
      <c r="Z411" s="66"/>
      <c r="AA411" s="66"/>
      <c r="AB411" s="66"/>
      <c r="AC411" s="66"/>
      <c r="AD411" s="66"/>
      <c r="AE411" s="66"/>
      <c r="AF411" s="66"/>
      <c r="AG411" s="66"/>
      <c r="AH411" s="66"/>
      <c r="AI411" s="66"/>
      <c r="AJ411" s="66"/>
      <c r="AK411" s="66"/>
      <c r="AL411" s="66"/>
      <c r="AM411" s="66"/>
      <c r="AN411" s="66"/>
      <c r="AO411" s="66"/>
    </row>
    <row r="412">
      <c r="A412" s="93"/>
      <c r="B412" s="85"/>
      <c r="C412" s="86"/>
      <c r="D412" s="93"/>
      <c r="E412" s="85"/>
      <c r="F412" s="85"/>
      <c r="G412" s="86"/>
      <c r="H412" s="78" t="str">
        <f>IFERROR(__xludf.DUMMYFUNCTION("""COMPUTED_VALUE"""),"")</f>
        <v/>
      </c>
      <c r="I412" s="85"/>
      <c r="J412" s="85"/>
      <c r="K412" s="85"/>
      <c r="L412" s="86" t="str">
        <f>IFERROR(__xludf.DUMMYFUNCTION("""COMPUTED_VALUE"""),"REJECT")</f>
        <v>REJECT</v>
      </c>
      <c r="M412" s="78" t="str">
        <f>IFERROR(__xludf.DUMMYFUNCTION("""COMPUTED_VALUE"""),"46009DXB")</f>
        <v>46009DXB</v>
      </c>
      <c r="N412" s="85" t="str">
        <f>IFERROR(__xludf.DUMMYFUNCTION("""COMPUTED_VALUE"""),"DXB")</f>
        <v>DXB</v>
      </c>
      <c r="O412" s="101">
        <f>IFERROR(__xludf.DUMMYFUNCTION("""COMPUTED_VALUE"""),46009.0)</f>
        <v>46009</v>
      </c>
      <c r="P412" s="104" t="str">
        <f>IFERROR(__xludf.DUMMYFUNCTION("""COMPUTED_VALUE"""),"Bad Weather")</f>
        <v>Bad Weather</v>
      </c>
      <c r="Q412" s="86" t="str">
        <f>IFERROR(__xludf.DUMMYFUNCTION("""COMPUTED_VALUE"""),"REJECT")</f>
        <v>REJECT</v>
      </c>
      <c r="R412" s="66"/>
      <c r="S412" s="66"/>
      <c r="T412" s="66"/>
      <c r="U412" s="66"/>
      <c r="V412" s="66"/>
      <c r="W412" s="66"/>
      <c r="X412" s="66"/>
      <c r="Y412" s="66"/>
      <c r="Z412" s="66"/>
      <c r="AA412" s="66"/>
      <c r="AB412" s="66"/>
      <c r="AC412" s="66"/>
      <c r="AD412" s="66"/>
      <c r="AE412" s="66"/>
      <c r="AF412" s="66"/>
      <c r="AG412" s="66"/>
      <c r="AH412" s="66"/>
      <c r="AI412" s="66"/>
      <c r="AJ412" s="66"/>
      <c r="AK412" s="66"/>
      <c r="AL412" s="66"/>
      <c r="AM412" s="66"/>
      <c r="AN412" s="66"/>
      <c r="AO412" s="66"/>
    </row>
    <row r="413">
      <c r="A413" s="93"/>
      <c r="B413" s="85"/>
      <c r="C413" s="86"/>
      <c r="D413" s="93"/>
      <c r="E413" s="85"/>
      <c r="F413" s="85"/>
      <c r="G413" s="86"/>
      <c r="H413" s="78" t="str">
        <f>IFERROR(__xludf.DUMMYFUNCTION("""COMPUTED_VALUE"""),"")</f>
        <v/>
      </c>
      <c r="I413" s="85"/>
      <c r="J413" s="85"/>
      <c r="K413" s="85"/>
      <c r="L413" s="86" t="str">
        <f>IFERROR(__xludf.DUMMYFUNCTION("""COMPUTED_VALUE"""),"REJECT")</f>
        <v>REJECT</v>
      </c>
      <c r="M413" s="78" t="str">
        <f>IFERROR(__xludf.DUMMYFUNCTION("""COMPUTED_VALUE"""),"46010DXB")</f>
        <v>46010DXB</v>
      </c>
      <c r="N413" s="85" t="str">
        <f>IFERROR(__xludf.DUMMYFUNCTION("""COMPUTED_VALUE"""),"DXB")</f>
        <v>DXB</v>
      </c>
      <c r="O413" s="101">
        <f>IFERROR(__xludf.DUMMYFUNCTION("""COMPUTED_VALUE"""),46010.0)</f>
        <v>46010</v>
      </c>
      <c r="P413" s="104" t="str">
        <f>IFERROR(__xludf.DUMMYFUNCTION("""COMPUTED_VALUE"""),"Bad Weather")</f>
        <v>Bad Weather</v>
      </c>
      <c r="Q413" s="86" t="str">
        <f>IFERROR(__xludf.DUMMYFUNCTION("""COMPUTED_VALUE"""),"REJECT")</f>
        <v>REJECT</v>
      </c>
      <c r="R413" s="66"/>
      <c r="S413" s="66"/>
      <c r="T413" s="66"/>
      <c r="U413" s="66"/>
      <c r="V413" s="66"/>
      <c r="W413" s="66"/>
      <c r="X413" s="66"/>
      <c r="Y413" s="66"/>
      <c r="Z413" s="66"/>
      <c r="AA413" s="66"/>
      <c r="AB413" s="66"/>
      <c r="AC413" s="66"/>
      <c r="AD413" s="66"/>
      <c r="AE413" s="66"/>
      <c r="AF413" s="66"/>
      <c r="AG413" s="66"/>
      <c r="AH413" s="66"/>
      <c r="AI413" s="66"/>
      <c r="AJ413" s="66"/>
      <c r="AK413" s="66"/>
      <c r="AL413" s="66"/>
      <c r="AM413" s="66"/>
      <c r="AN413" s="66"/>
      <c r="AO413" s="66"/>
    </row>
    <row r="414">
      <c r="A414" s="93"/>
      <c r="B414" s="85"/>
      <c r="C414" s="86"/>
      <c r="D414" s="93"/>
      <c r="E414" s="85"/>
      <c r="F414" s="85"/>
      <c r="G414" s="86"/>
      <c r="H414" s="78" t="str">
        <f>IFERROR(__xludf.DUMMYFUNCTION("""COMPUTED_VALUE"""),"")</f>
        <v/>
      </c>
      <c r="I414" s="85"/>
      <c r="J414" s="85"/>
      <c r="K414" s="85"/>
      <c r="L414" s="86" t="str">
        <f>IFERROR(__xludf.DUMMYFUNCTION("""COMPUTED_VALUE"""),"REJECT")</f>
        <v>REJECT</v>
      </c>
      <c r="M414" s="78" t="str">
        <f>IFERROR(__xludf.DUMMYFUNCTION("""COMPUTED_VALUE"""),"46027AMS")</f>
        <v>46027AMS</v>
      </c>
      <c r="N414" s="85" t="str">
        <f>IFERROR(__xludf.DUMMYFUNCTION("""COMPUTED_VALUE"""),"AMS")</f>
        <v>AMS</v>
      </c>
      <c r="O414" s="101">
        <f>IFERROR(__xludf.DUMMYFUNCTION("""COMPUTED_VALUE"""),46027.0)</f>
        <v>46027</v>
      </c>
      <c r="P414" s="104" t="str">
        <f>IFERROR(__xludf.DUMMYFUNCTION("""COMPUTED_VALUE"""),"Bad Weather")</f>
        <v>Bad Weather</v>
      </c>
      <c r="Q414" s="86" t="str">
        <f>IFERROR(__xludf.DUMMYFUNCTION("""COMPUTED_VALUE"""),"REJECT")</f>
        <v>REJECT</v>
      </c>
      <c r="R414" s="66"/>
      <c r="S414" s="66"/>
      <c r="T414" s="66"/>
      <c r="U414" s="66"/>
      <c r="V414" s="66"/>
      <c r="W414" s="66"/>
      <c r="X414" s="66"/>
      <c r="Y414" s="66"/>
      <c r="Z414" s="66"/>
      <c r="AA414" s="66"/>
      <c r="AB414" s="66"/>
      <c r="AC414" s="66"/>
      <c r="AD414" s="66"/>
      <c r="AE414" s="66"/>
      <c r="AF414" s="66"/>
      <c r="AG414" s="66"/>
      <c r="AH414" s="66"/>
      <c r="AI414" s="66"/>
      <c r="AJ414" s="66"/>
      <c r="AK414" s="66"/>
      <c r="AL414" s="66"/>
      <c r="AM414" s="66"/>
      <c r="AN414" s="66"/>
      <c r="AO414" s="66"/>
    </row>
    <row r="415">
      <c r="A415" s="93"/>
      <c r="B415" s="85"/>
      <c r="C415" s="86"/>
      <c r="D415" s="93"/>
      <c r="E415" s="85"/>
      <c r="F415" s="85"/>
      <c r="G415" s="86"/>
      <c r="H415" s="78" t="str">
        <f>IFERROR(__xludf.DUMMYFUNCTION("""COMPUTED_VALUE"""),"")</f>
        <v/>
      </c>
      <c r="I415" s="85"/>
      <c r="J415" s="85"/>
      <c r="K415" s="85"/>
      <c r="L415" s="86" t="str">
        <f>IFERROR(__xludf.DUMMYFUNCTION("""COMPUTED_VALUE"""),"REJECT")</f>
        <v>REJECT</v>
      </c>
      <c r="M415" s="78" t="str">
        <f>IFERROR(__xludf.DUMMYFUNCTION("""COMPUTED_VALUE"""),"46024AMS")</f>
        <v>46024AMS</v>
      </c>
      <c r="N415" s="85" t="str">
        <f>IFERROR(__xludf.DUMMYFUNCTION("""COMPUTED_VALUE"""),"AMS")</f>
        <v>AMS</v>
      </c>
      <c r="O415" s="101">
        <f>IFERROR(__xludf.DUMMYFUNCTION("""COMPUTED_VALUE"""),46024.0)</f>
        <v>46024</v>
      </c>
      <c r="P415" s="104" t="str">
        <f>IFERROR(__xludf.DUMMYFUNCTION("""COMPUTED_VALUE"""),"Bad Weather")</f>
        <v>Bad Weather</v>
      </c>
      <c r="Q415" s="86" t="str">
        <f>IFERROR(__xludf.DUMMYFUNCTION("""COMPUTED_VALUE"""),"REJECT")</f>
        <v>REJECT</v>
      </c>
      <c r="R415" s="66"/>
      <c r="S415" s="66"/>
      <c r="T415" s="66"/>
      <c r="U415" s="66"/>
      <c r="V415" s="66"/>
      <c r="W415" s="66"/>
      <c r="X415" s="66"/>
      <c r="Y415" s="66"/>
      <c r="Z415" s="66"/>
      <c r="AA415" s="66"/>
      <c r="AB415" s="66"/>
      <c r="AC415" s="66"/>
      <c r="AD415" s="66"/>
      <c r="AE415" s="66"/>
      <c r="AF415" s="66"/>
      <c r="AG415" s="66"/>
      <c r="AH415" s="66"/>
      <c r="AI415" s="66"/>
      <c r="AJ415" s="66"/>
      <c r="AK415" s="66"/>
      <c r="AL415" s="66"/>
      <c r="AM415" s="66"/>
      <c r="AN415" s="66"/>
      <c r="AO415" s="66"/>
    </row>
    <row r="416">
      <c r="A416" s="93"/>
      <c r="B416" s="85"/>
      <c r="C416" s="86"/>
      <c r="D416" s="93"/>
      <c r="E416" s="85"/>
      <c r="F416" s="85"/>
      <c r="G416" s="86"/>
      <c r="H416" s="78" t="str">
        <f>IFERROR(__xludf.DUMMYFUNCTION("""COMPUTED_VALUE"""),"")</f>
        <v/>
      </c>
      <c r="I416" s="85"/>
      <c r="J416" s="85"/>
      <c r="K416" s="85"/>
      <c r="L416" s="86" t="str">
        <f>IFERROR(__xludf.DUMMYFUNCTION("""COMPUTED_VALUE"""),"REJECT")</f>
        <v>REJECT</v>
      </c>
      <c r="M416" s="78" t="str">
        <f>IFERROR(__xludf.DUMMYFUNCTION("""COMPUTED_VALUE"""),"46025AMS")</f>
        <v>46025AMS</v>
      </c>
      <c r="N416" s="85" t="str">
        <f>IFERROR(__xludf.DUMMYFUNCTION("""COMPUTED_VALUE"""),"AMS")</f>
        <v>AMS</v>
      </c>
      <c r="O416" s="101">
        <f>IFERROR(__xludf.DUMMYFUNCTION("""COMPUTED_VALUE"""),46025.0)</f>
        <v>46025</v>
      </c>
      <c r="P416" s="104" t="str">
        <f>IFERROR(__xludf.DUMMYFUNCTION("""COMPUTED_VALUE"""),"Bad Weather")</f>
        <v>Bad Weather</v>
      </c>
      <c r="Q416" s="86" t="str">
        <f>IFERROR(__xludf.DUMMYFUNCTION("""COMPUTED_VALUE"""),"REJECT")</f>
        <v>REJECT</v>
      </c>
      <c r="R416" s="66"/>
      <c r="S416" s="66"/>
      <c r="T416" s="66"/>
      <c r="U416" s="66"/>
      <c r="V416" s="66"/>
      <c r="W416" s="66"/>
      <c r="X416" s="66"/>
      <c r="Y416" s="66"/>
      <c r="Z416" s="66"/>
      <c r="AA416" s="66"/>
      <c r="AB416" s="66"/>
      <c r="AC416" s="66"/>
      <c r="AD416" s="66"/>
      <c r="AE416" s="66"/>
      <c r="AF416" s="66"/>
      <c r="AG416" s="66"/>
      <c r="AH416" s="66"/>
      <c r="AI416" s="66"/>
      <c r="AJ416" s="66"/>
      <c r="AK416" s="66"/>
      <c r="AL416" s="66"/>
      <c r="AM416" s="66"/>
      <c r="AN416" s="66"/>
      <c r="AO416" s="66"/>
    </row>
    <row r="417">
      <c r="A417" s="93"/>
      <c r="B417" s="85"/>
      <c r="C417" s="86"/>
      <c r="D417" s="93"/>
      <c r="E417" s="85"/>
      <c r="F417" s="85"/>
      <c r="G417" s="86"/>
      <c r="H417" s="78" t="str">
        <f>IFERROR(__xludf.DUMMYFUNCTION("""COMPUTED_VALUE"""),"")</f>
        <v/>
      </c>
      <c r="I417" s="85"/>
      <c r="J417" s="85"/>
      <c r="K417" s="85"/>
      <c r="L417" s="86" t="str">
        <f>IFERROR(__xludf.DUMMYFUNCTION("""COMPUTED_VALUE"""),"REJECT")</f>
        <v>REJECT</v>
      </c>
      <c r="M417" s="78" t="str">
        <f>IFERROR(__xludf.DUMMYFUNCTION("""COMPUTED_VALUE"""),"46026AMS")</f>
        <v>46026AMS</v>
      </c>
      <c r="N417" s="85" t="str">
        <f>IFERROR(__xludf.DUMMYFUNCTION("""COMPUTED_VALUE"""),"AMS")</f>
        <v>AMS</v>
      </c>
      <c r="O417" s="101">
        <f>IFERROR(__xludf.DUMMYFUNCTION("""COMPUTED_VALUE"""),46026.0)</f>
        <v>46026</v>
      </c>
      <c r="P417" s="104" t="str">
        <f>IFERROR(__xludf.DUMMYFUNCTION("""COMPUTED_VALUE"""),"Bad Weather")</f>
        <v>Bad Weather</v>
      </c>
      <c r="Q417" s="86" t="str">
        <f>IFERROR(__xludf.DUMMYFUNCTION("""COMPUTED_VALUE"""),"REJECT")</f>
        <v>REJECT</v>
      </c>
      <c r="R417" s="66"/>
      <c r="S417" s="66"/>
      <c r="T417" s="66"/>
      <c r="U417" s="66"/>
      <c r="V417" s="66"/>
      <c r="W417" s="66"/>
      <c r="X417" s="66"/>
      <c r="Y417" s="66"/>
      <c r="Z417" s="66"/>
      <c r="AA417" s="66"/>
      <c r="AB417" s="66"/>
      <c r="AC417" s="66"/>
      <c r="AD417" s="66"/>
      <c r="AE417" s="66"/>
      <c r="AF417" s="66"/>
      <c r="AG417" s="66"/>
      <c r="AH417" s="66"/>
      <c r="AI417" s="66"/>
      <c r="AJ417" s="66"/>
      <c r="AK417" s="66"/>
      <c r="AL417" s="66"/>
      <c r="AM417" s="66"/>
      <c r="AN417" s="66"/>
      <c r="AO417" s="66"/>
    </row>
    <row r="418">
      <c r="A418" s="93"/>
      <c r="B418" s="85"/>
      <c r="C418" s="86"/>
      <c r="D418" s="93"/>
      <c r="E418" s="85"/>
      <c r="F418" s="85"/>
      <c r="G418" s="86"/>
      <c r="H418" s="78" t="str">
        <f>IFERROR(__xludf.DUMMYFUNCTION("""COMPUTED_VALUE"""),"")</f>
        <v/>
      </c>
      <c r="I418" s="85"/>
      <c r="J418" s="85"/>
      <c r="K418" s="85"/>
      <c r="L418" s="86" t="str">
        <f>IFERROR(__xludf.DUMMYFUNCTION("""COMPUTED_VALUE"""),"REJECT")</f>
        <v>REJECT</v>
      </c>
      <c r="M418" s="78" t="str">
        <f>IFERROR(__xludf.DUMMYFUNCTION("""COMPUTED_VALUE"""),"46028AMS")</f>
        <v>46028AMS</v>
      </c>
      <c r="N418" s="85" t="str">
        <f>IFERROR(__xludf.DUMMYFUNCTION("""COMPUTED_VALUE"""),"AMS")</f>
        <v>AMS</v>
      </c>
      <c r="O418" s="101">
        <f>IFERROR(__xludf.DUMMYFUNCTION("""COMPUTED_VALUE"""),46028.0)</f>
        <v>46028</v>
      </c>
      <c r="P418" s="104" t="str">
        <f>IFERROR(__xludf.DUMMYFUNCTION("""COMPUTED_VALUE"""),"Bad Weather")</f>
        <v>Bad Weather</v>
      </c>
      <c r="Q418" s="86" t="str">
        <f>IFERROR(__xludf.DUMMYFUNCTION("""COMPUTED_VALUE"""),"REJECT")</f>
        <v>REJECT</v>
      </c>
      <c r="R418" s="66"/>
      <c r="S418" s="66"/>
      <c r="T418" s="66"/>
      <c r="U418" s="66"/>
      <c r="V418" s="66"/>
      <c r="W418" s="66"/>
      <c r="X418" s="66"/>
      <c r="Y418" s="66"/>
      <c r="Z418" s="66"/>
      <c r="AA418" s="66"/>
      <c r="AB418" s="66"/>
      <c r="AC418" s="66"/>
      <c r="AD418" s="66"/>
      <c r="AE418" s="66"/>
      <c r="AF418" s="66"/>
      <c r="AG418" s="66"/>
      <c r="AH418" s="66"/>
      <c r="AI418" s="66"/>
      <c r="AJ418" s="66"/>
      <c r="AK418" s="66"/>
      <c r="AL418" s="66"/>
      <c r="AM418" s="66"/>
      <c r="AN418" s="66"/>
      <c r="AO418" s="66"/>
    </row>
    <row r="419">
      <c r="A419" s="93"/>
      <c r="B419" s="85"/>
      <c r="C419" s="86"/>
      <c r="D419" s="93"/>
      <c r="E419" s="85"/>
      <c r="F419" s="85"/>
      <c r="G419" s="86"/>
      <c r="H419" s="78" t="str">
        <f>IFERROR(__xludf.DUMMYFUNCTION("""COMPUTED_VALUE"""),"")</f>
        <v/>
      </c>
      <c r="I419" s="85"/>
      <c r="J419" s="85"/>
      <c r="K419" s="85"/>
      <c r="L419" s="86" t="str">
        <f>IFERROR(__xludf.DUMMYFUNCTION("""COMPUTED_VALUE"""),"REJECT")</f>
        <v>REJECT</v>
      </c>
      <c r="M419" s="78" t="str">
        <f>IFERROR(__xludf.DUMMYFUNCTION("""COMPUTED_VALUE"""),"46023AMS")</f>
        <v>46023AMS</v>
      </c>
      <c r="N419" s="85" t="str">
        <f>IFERROR(__xludf.DUMMYFUNCTION("""COMPUTED_VALUE"""),"AMS")</f>
        <v>AMS</v>
      </c>
      <c r="O419" s="101">
        <f>IFERROR(__xludf.DUMMYFUNCTION("""COMPUTED_VALUE"""),46023.0)</f>
        <v>46023</v>
      </c>
      <c r="P419" s="104" t="str">
        <f>IFERROR(__xludf.DUMMYFUNCTION("""COMPUTED_VALUE"""),"Bad Weather")</f>
        <v>Bad Weather</v>
      </c>
      <c r="Q419" s="86" t="str">
        <f>IFERROR(__xludf.DUMMYFUNCTION("""COMPUTED_VALUE"""),"REJECT")</f>
        <v>REJECT</v>
      </c>
      <c r="R419" s="66"/>
      <c r="S419" s="66"/>
      <c r="T419" s="66"/>
      <c r="U419" s="66"/>
      <c r="V419" s="66"/>
      <c r="W419" s="66"/>
      <c r="X419" s="66"/>
      <c r="Y419" s="66"/>
      <c r="Z419" s="66"/>
      <c r="AA419" s="66"/>
      <c r="AB419" s="66"/>
      <c r="AC419" s="66"/>
      <c r="AD419" s="66"/>
      <c r="AE419" s="66"/>
      <c r="AF419" s="66"/>
      <c r="AG419" s="66"/>
      <c r="AH419" s="66"/>
      <c r="AI419" s="66"/>
      <c r="AJ419" s="66"/>
      <c r="AK419" s="66"/>
      <c r="AL419" s="66"/>
      <c r="AM419" s="66"/>
      <c r="AN419" s="66"/>
      <c r="AO419" s="66"/>
    </row>
    <row r="420">
      <c r="A420" s="93"/>
      <c r="B420" s="85"/>
      <c r="C420" s="86"/>
      <c r="D420" s="93"/>
      <c r="E420" s="85"/>
      <c r="F420" s="85"/>
      <c r="G420" s="86"/>
      <c r="H420" s="78" t="str">
        <f>IFERROR(__xludf.DUMMYFUNCTION("""COMPUTED_VALUE"""),"")</f>
        <v/>
      </c>
      <c r="I420" s="85"/>
      <c r="J420" s="85"/>
      <c r="K420" s="85"/>
      <c r="L420" s="86" t="str">
        <f>IFERROR(__xludf.DUMMYFUNCTION("""COMPUTED_VALUE"""),"REJECT")</f>
        <v>REJECT</v>
      </c>
      <c r="M420" s="78" t="str">
        <f>IFERROR(__xludf.DUMMYFUNCTION("""COMPUTED_VALUE"""),"46029AMS")</f>
        <v>46029AMS</v>
      </c>
      <c r="N420" s="85" t="str">
        <f>IFERROR(__xludf.DUMMYFUNCTION("""COMPUTED_VALUE"""),"AMS")</f>
        <v>AMS</v>
      </c>
      <c r="O420" s="101">
        <f>IFERROR(__xludf.DUMMYFUNCTION("""COMPUTED_VALUE"""),46029.0)</f>
        <v>46029</v>
      </c>
      <c r="P420" s="104" t="str">
        <f>IFERROR(__xludf.DUMMYFUNCTION("""COMPUTED_VALUE"""),"Bad Weather")</f>
        <v>Bad Weather</v>
      </c>
      <c r="Q420" s="86" t="str">
        <f>IFERROR(__xludf.DUMMYFUNCTION("""COMPUTED_VALUE"""),"REJECT")</f>
        <v>REJECT</v>
      </c>
      <c r="R420" s="66"/>
      <c r="S420" s="66"/>
      <c r="T420" s="66"/>
      <c r="U420" s="66"/>
      <c r="V420" s="66"/>
      <c r="W420" s="66"/>
      <c r="X420" s="66"/>
      <c r="Y420" s="66"/>
      <c r="Z420" s="66"/>
      <c r="AA420" s="66"/>
      <c r="AB420" s="66"/>
      <c r="AC420" s="66"/>
      <c r="AD420" s="66"/>
      <c r="AE420" s="66"/>
      <c r="AF420" s="66"/>
      <c r="AG420" s="66"/>
      <c r="AH420" s="66"/>
      <c r="AI420" s="66"/>
      <c r="AJ420" s="66"/>
      <c r="AK420" s="66"/>
      <c r="AL420" s="66"/>
      <c r="AM420" s="66"/>
      <c r="AN420" s="66"/>
      <c r="AO420" s="66"/>
    </row>
    <row r="421">
      <c r="A421" s="93"/>
      <c r="B421" s="85"/>
      <c r="C421" s="86"/>
      <c r="D421" s="93"/>
      <c r="E421" s="85"/>
      <c r="F421" s="85"/>
      <c r="G421" s="86"/>
      <c r="H421" s="78" t="str">
        <f>IFERROR(__xludf.DUMMYFUNCTION("""COMPUTED_VALUE"""),"")</f>
        <v/>
      </c>
      <c r="I421" s="85"/>
      <c r="J421" s="85"/>
      <c r="K421" s="85"/>
      <c r="L421" s="86" t="str">
        <f>IFERROR(__xludf.DUMMYFUNCTION("""COMPUTED_VALUE"""),"REJECT")</f>
        <v>REJECT</v>
      </c>
      <c r="M421" s="78" t="str">
        <f>IFERROR(__xludf.DUMMYFUNCTION("""COMPUTED_VALUE"""),"46030AMS")</f>
        <v>46030AMS</v>
      </c>
      <c r="N421" s="85" t="str">
        <f>IFERROR(__xludf.DUMMYFUNCTION("""COMPUTED_VALUE"""),"AMS")</f>
        <v>AMS</v>
      </c>
      <c r="O421" s="101">
        <f>IFERROR(__xludf.DUMMYFUNCTION("""COMPUTED_VALUE"""),46030.0)</f>
        <v>46030</v>
      </c>
      <c r="P421" s="104" t="str">
        <f>IFERROR(__xludf.DUMMYFUNCTION("""COMPUTED_VALUE"""),"Bad Weather")</f>
        <v>Bad Weather</v>
      </c>
      <c r="Q421" s="86" t="str">
        <f>IFERROR(__xludf.DUMMYFUNCTION("""COMPUTED_VALUE"""),"REJECT")</f>
        <v>REJECT</v>
      </c>
      <c r="R421" s="66"/>
      <c r="S421" s="66"/>
      <c r="T421" s="66"/>
      <c r="U421" s="66"/>
      <c r="V421" s="66"/>
      <c r="W421" s="66"/>
      <c r="X421" s="66"/>
      <c r="Y421" s="66"/>
      <c r="Z421" s="66"/>
      <c r="AA421" s="66"/>
      <c r="AB421" s="66"/>
      <c r="AC421" s="66"/>
      <c r="AD421" s="66"/>
      <c r="AE421" s="66"/>
      <c r="AF421" s="66"/>
      <c r="AG421" s="66"/>
      <c r="AH421" s="66"/>
      <c r="AI421" s="66"/>
      <c r="AJ421" s="66"/>
      <c r="AK421" s="66"/>
      <c r="AL421" s="66"/>
      <c r="AM421" s="66"/>
      <c r="AN421" s="66"/>
      <c r="AO421" s="66"/>
    </row>
    <row r="422">
      <c r="A422" s="93"/>
      <c r="B422" s="85"/>
      <c r="C422" s="86"/>
      <c r="D422" s="93"/>
      <c r="E422" s="85"/>
      <c r="F422" s="85"/>
      <c r="G422" s="86"/>
      <c r="H422" s="78" t="str">
        <f>IFERROR(__xludf.DUMMYFUNCTION("""COMPUTED_VALUE"""),"")</f>
        <v/>
      </c>
      <c r="I422" s="85"/>
      <c r="J422" s="85"/>
      <c r="K422" s="85"/>
      <c r="L422" s="86" t="str">
        <f>IFERROR(__xludf.DUMMYFUNCTION("""COMPUTED_VALUE"""),"REJECT")</f>
        <v>REJECT</v>
      </c>
      <c r="M422" s="78" t="str">
        <f>IFERROR(__xludf.DUMMYFUNCTION("""COMPUTED_VALUE"""),"46029CDG")</f>
        <v>46029CDG</v>
      </c>
      <c r="N422" s="85" t="str">
        <f>IFERROR(__xludf.DUMMYFUNCTION("""COMPUTED_VALUE"""),"CDG")</f>
        <v>CDG</v>
      </c>
      <c r="O422" s="101">
        <f>IFERROR(__xludf.DUMMYFUNCTION("""COMPUTED_VALUE"""),46029.0)</f>
        <v>46029</v>
      </c>
      <c r="P422" s="104" t="str">
        <f>IFERROR(__xludf.DUMMYFUNCTION("""COMPUTED_VALUE"""),"Bad Weather")</f>
        <v>Bad Weather</v>
      </c>
      <c r="Q422" s="86" t="str">
        <f>IFERROR(__xludf.DUMMYFUNCTION("""COMPUTED_VALUE"""),"REJECT")</f>
        <v>REJECT</v>
      </c>
      <c r="R422" s="66"/>
      <c r="S422" s="66"/>
      <c r="T422" s="66"/>
      <c r="U422" s="66"/>
      <c r="V422" s="66"/>
      <c r="W422" s="66"/>
      <c r="X422" s="66"/>
      <c r="Y422" s="66"/>
      <c r="Z422" s="66"/>
      <c r="AA422" s="66"/>
      <c r="AB422" s="66"/>
      <c r="AC422" s="66"/>
      <c r="AD422" s="66"/>
      <c r="AE422" s="66"/>
      <c r="AF422" s="66"/>
      <c r="AG422" s="66"/>
      <c r="AH422" s="66"/>
      <c r="AI422" s="66"/>
      <c r="AJ422" s="66"/>
      <c r="AK422" s="66"/>
      <c r="AL422" s="66"/>
      <c r="AM422" s="66"/>
      <c r="AN422" s="66"/>
      <c r="AO422" s="66"/>
    </row>
    <row r="423">
      <c r="A423" s="93"/>
      <c r="B423" s="85"/>
      <c r="C423" s="86"/>
      <c r="D423" s="93"/>
      <c r="E423" s="85"/>
      <c r="F423" s="85"/>
      <c r="G423" s="86"/>
      <c r="H423" s="78" t="str">
        <f>IFERROR(__xludf.DUMMYFUNCTION("""COMPUTED_VALUE"""),"")</f>
        <v/>
      </c>
      <c r="I423" s="85"/>
      <c r="J423" s="85"/>
      <c r="K423" s="85"/>
      <c r="L423" s="86" t="str">
        <f>IFERROR(__xludf.DUMMYFUNCTION("""COMPUTED_VALUE"""),"REJECT")</f>
        <v>REJECT</v>
      </c>
      <c r="M423" s="78" t="str">
        <f>IFERROR(__xludf.DUMMYFUNCTION("""COMPUTED_VALUE"""),"46029ORY")</f>
        <v>46029ORY</v>
      </c>
      <c r="N423" s="85" t="str">
        <f>IFERROR(__xludf.DUMMYFUNCTION("""COMPUTED_VALUE"""),"ORY")</f>
        <v>ORY</v>
      </c>
      <c r="O423" s="101">
        <f>IFERROR(__xludf.DUMMYFUNCTION("""COMPUTED_VALUE"""),46029.0)</f>
        <v>46029</v>
      </c>
      <c r="P423" s="104" t="str">
        <f>IFERROR(__xludf.DUMMYFUNCTION("""COMPUTED_VALUE"""),"Bad Weather")</f>
        <v>Bad Weather</v>
      </c>
      <c r="Q423" s="86" t="str">
        <f>IFERROR(__xludf.DUMMYFUNCTION("""COMPUTED_VALUE"""),"REJECT")</f>
        <v>REJECT</v>
      </c>
      <c r="R423" s="66"/>
      <c r="S423" s="66"/>
      <c r="T423" s="66"/>
      <c r="U423" s="66"/>
      <c r="V423" s="66"/>
      <c r="W423" s="66"/>
      <c r="X423" s="66"/>
      <c r="Y423" s="66"/>
      <c r="Z423" s="66"/>
      <c r="AA423" s="66"/>
      <c r="AB423" s="66"/>
      <c r="AC423" s="66"/>
      <c r="AD423" s="66"/>
      <c r="AE423" s="66"/>
      <c r="AF423" s="66"/>
      <c r="AG423" s="66"/>
      <c r="AH423" s="66"/>
      <c r="AI423" s="66"/>
      <c r="AJ423" s="66"/>
      <c r="AK423" s="66"/>
      <c r="AL423" s="66"/>
      <c r="AM423" s="66"/>
      <c r="AN423" s="66"/>
      <c r="AO423" s="66"/>
    </row>
    <row r="424">
      <c r="A424" s="93"/>
      <c r="B424" s="85"/>
      <c r="C424" s="86"/>
      <c r="D424" s="93"/>
      <c r="E424" s="85"/>
      <c r="F424" s="85"/>
      <c r="G424" s="86"/>
      <c r="H424" s="78" t="str">
        <f>IFERROR(__xludf.DUMMYFUNCTION("""COMPUTED_VALUE"""),"")</f>
        <v/>
      </c>
      <c r="I424" s="85"/>
      <c r="J424" s="85"/>
      <c r="K424" s="85"/>
      <c r="L424" s="86" t="str">
        <f>IFERROR(__xludf.DUMMYFUNCTION("""COMPUTED_VALUE"""),"REJECT")</f>
        <v>REJECT</v>
      </c>
      <c r="M424" s="78" t="str">
        <f>IFERROR(__xludf.DUMMYFUNCTION("""COMPUTED_VALUE"""),"46026BEG")</f>
        <v>46026BEG</v>
      </c>
      <c r="N424" s="85" t="str">
        <f>IFERROR(__xludf.DUMMYFUNCTION("""COMPUTED_VALUE"""),"BEG")</f>
        <v>BEG</v>
      </c>
      <c r="O424" s="101">
        <f>IFERROR(__xludf.DUMMYFUNCTION("""COMPUTED_VALUE"""),46026.0)</f>
        <v>46026</v>
      </c>
      <c r="P424" s="104" t="str">
        <f>IFERROR(__xludf.DUMMYFUNCTION("""COMPUTED_VALUE"""),"Bad Weather")</f>
        <v>Bad Weather</v>
      </c>
      <c r="Q424" s="86" t="str">
        <f>IFERROR(__xludf.DUMMYFUNCTION("""COMPUTED_VALUE"""),"REJECT")</f>
        <v>REJECT</v>
      </c>
      <c r="R424" s="66"/>
      <c r="S424" s="66"/>
      <c r="T424" s="66"/>
      <c r="U424" s="66"/>
      <c r="V424" s="66"/>
      <c r="W424" s="66"/>
      <c r="X424" s="66"/>
      <c r="Y424" s="66"/>
      <c r="Z424" s="66"/>
      <c r="AA424" s="66"/>
      <c r="AB424" s="66"/>
      <c r="AC424" s="66"/>
      <c r="AD424" s="66"/>
      <c r="AE424" s="66"/>
      <c r="AF424" s="66"/>
      <c r="AG424" s="66"/>
      <c r="AH424" s="66"/>
      <c r="AI424" s="66"/>
      <c r="AJ424" s="66"/>
      <c r="AK424" s="66"/>
      <c r="AL424" s="66"/>
      <c r="AM424" s="66"/>
      <c r="AN424" s="66"/>
      <c r="AO424" s="66"/>
    </row>
    <row r="425">
      <c r="A425" s="93"/>
      <c r="B425" s="85"/>
      <c r="C425" s="86"/>
      <c r="D425" s="93"/>
      <c r="E425" s="85"/>
      <c r="F425" s="85"/>
      <c r="G425" s="86"/>
      <c r="H425" s="78" t="str">
        <f>IFERROR(__xludf.DUMMYFUNCTION("""COMPUTED_VALUE"""),"")</f>
        <v/>
      </c>
      <c r="I425" s="85"/>
      <c r="J425" s="85"/>
      <c r="K425" s="85"/>
      <c r="L425" s="86" t="str">
        <f>IFERROR(__xludf.DUMMYFUNCTION("""COMPUTED_VALUE"""),"REJECT")</f>
        <v>REJECT</v>
      </c>
      <c r="M425" s="78" t="str">
        <f>IFERROR(__xludf.DUMMYFUNCTION("""COMPUTED_VALUE"""),"46027BEG")</f>
        <v>46027BEG</v>
      </c>
      <c r="N425" s="85" t="str">
        <f>IFERROR(__xludf.DUMMYFUNCTION("""COMPUTED_VALUE"""),"BEG")</f>
        <v>BEG</v>
      </c>
      <c r="O425" s="101">
        <f>IFERROR(__xludf.DUMMYFUNCTION("""COMPUTED_VALUE"""),46027.0)</f>
        <v>46027</v>
      </c>
      <c r="P425" s="104" t="str">
        <f>IFERROR(__xludf.DUMMYFUNCTION("""COMPUTED_VALUE"""),"Bad Weather")</f>
        <v>Bad Weather</v>
      </c>
      <c r="Q425" s="86" t="str">
        <f>IFERROR(__xludf.DUMMYFUNCTION("""COMPUTED_VALUE"""),"REJECT")</f>
        <v>REJECT</v>
      </c>
      <c r="R425" s="66"/>
      <c r="S425" s="66"/>
      <c r="T425" s="66"/>
      <c r="U425" s="66"/>
      <c r="V425" s="66"/>
      <c r="W425" s="66"/>
      <c r="X425" s="66"/>
      <c r="Y425" s="66"/>
      <c r="Z425" s="66"/>
      <c r="AA425" s="66"/>
      <c r="AB425" s="66"/>
      <c r="AC425" s="66"/>
      <c r="AD425" s="66"/>
      <c r="AE425" s="66"/>
      <c r="AF425" s="66"/>
      <c r="AG425" s="66"/>
      <c r="AH425" s="66"/>
      <c r="AI425" s="66"/>
      <c r="AJ425" s="66"/>
      <c r="AK425" s="66"/>
      <c r="AL425" s="66"/>
      <c r="AM425" s="66"/>
      <c r="AN425" s="66"/>
      <c r="AO425" s="66"/>
    </row>
    <row r="426">
      <c r="A426" s="93"/>
      <c r="B426" s="85"/>
      <c r="C426" s="86"/>
      <c r="D426" s="93"/>
      <c r="E426" s="85"/>
      <c r="F426" s="85"/>
      <c r="G426" s="86"/>
      <c r="H426" s="78" t="str">
        <f>IFERROR(__xludf.DUMMYFUNCTION("""COMPUTED_VALUE"""),"")</f>
        <v/>
      </c>
      <c r="I426" s="85"/>
      <c r="J426" s="85"/>
      <c r="K426" s="85"/>
      <c r="L426" s="86" t="str">
        <f>IFERROR(__xludf.DUMMYFUNCTION("""COMPUTED_VALUE"""),"REJECT")</f>
        <v>REJECT</v>
      </c>
      <c r="M426" s="78" t="str">
        <f>IFERROR(__xludf.DUMMYFUNCTION("""COMPUTED_VALUE"""),"46028BEG")</f>
        <v>46028BEG</v>
      </c>
      <c r="N426" s="85" t="str">
        <f>IFERROR(__xludf.DUMMYFUNCTION("""COMPUTED_VALUE"""),"BEG")</f>
        <v>BEG</v>
      </c>
      <c r="O426" s="101">
        <f>IFERROR(__xludf.DUMMYFUNCTION("""COMPUTED_VALUE"""),46028.0)</f>
        <v>46028</v>
      </c>
      <c r="P426" s="104" t="str">
        <f>IFERROR(__xludf.DUMMYFUNCTION("""COMPUTED_VALUE"""),"Bad Weather")</f>
        <v>Bad Weather</v>
      </c>
      <c r="Q426" s="86" t="str">
        <f>IFERROR(__xludf.DUMMYFUNCTION("""COMPUTED_VALUE"""),"REJECT")</f>
        <v>REJECT</v>
      </c>
      <c r="R426" s="66"/>
      <c r="S426" s="66"/>
      <c r="T426" s="66"/>
      <c r="U426" s="66"/>
      <c r="V426" s="66"/>
      <c r="W426" s="66"/>
      <c r="X426" s="66"/>
      <c r="Y426" s="66"/>
      <c r="Z426" s="66"/>
      <c r="AA426" s="66"/>
      <c r="AB426" s="66"/>
      <c r="AC426" s="66"/>
      <c r="AD426" s="66"/>
      <c r="AE426" s="66"/>
      <c r="AF426" s="66"/>
      <c r="AG426" s="66"/>
      <c r="AH426" s="66"/>
      <c r="AI426" s="66"/>
      <c r="AJ426" s="66"/>
      <c r="AK426" s="66"/>
      <c r="AL426" s="66"/>
      <c r="AM426" s="66"/>
      <c r="AN426" s="66"/>
      <c r="AO426" s="66"/>
    </row>
    <row r="427">
      <c r="A427" s="93"/>
      <c r="B427" s="85"/>
      <c r="C427" s="86"/>
      <c r="D427" s="93"/>
      <c r="E427" s="85"/>
      <c r="F427" s="85"/>
      <c r="G427" s="86"/>
      <c r="H427" s="78" t="str">
        <f>IFERROR(__xludf.DUMMYFUNCTION("""COMPUTED_VALUE"""),"")</f>
        <v/>
      </c>
      <c r="I427" s="85"/>
      <c r="J427" s="85"/>
      <c r="K427" s="85"/>
      <c r="L427" s="86" t="str">
        <f>IFERROR(__xludf.DUMMYFUNCTION("""COMPUTED_VALUE"""),"REJECT")</f>
        <v>REJECT</v>
      </c>
      <c r="M427" s="78" t="str">
        <f>IFERROR(__xludf.DUMMYFUNCTION("""COMPUTED_VALUE"""),"46029BEG")</f>
        <v>46029BEG</v>
      </c>
      <c r="N427" s="85" t="str">
        <f>IFERROR(__xludf.DUMMYFUNCTION("""COMPUTED_VALUE"""),"BEG")</f>
        <v>BEG</v>
      </c>
      <c r="O427" s="101">
        <f>IFERROR(__xludf.DUMMYFUNCTION("""COMPUTED_VALUE"""),46029.0)</f>
        <v>46029</v>
      </c>
      <c r="P427" s="104" t="str">
        <f>IFERROR(__xludf.DUMMYFUNCTION("""COMPUTED_VALUE"""),"Bad Weather")</f>
        <v>Bad Weather</v>
      </c>
      <c r="Q427" s="86" t="str">
        <f>IFERROR(__xludf.DUMMYFUNCTION("""COMPUTED_VALUE"""),"REJECT")</f>
        <v>REJECT</v>
      </c>
      <c r="R427" s="66"/>
      <c r="S427" s="66"/>
      <c r="T427" s="66"/>
      <c r="U427" s="66"/>
      <c r="V427" s="66"/>
      <c r="W427" s="66"/>
      <c r="X427" s="66"/>
      <c r="Y427" s="66"/>
      <c r="Z427" s="66"/>
      <c r="AA427" s="66"/>
      <c r="AB427" s="66"/>
      <c r="AC427" s="66"/>
      <c r="AD427" s="66"/>
      <c r="AE427" s="66"/>
      <c r="AF427" s="66"/>
      <c r="AG427" s="66"/>
      <c r="AH427" s="66"/>
      <c r="AI427" s="66"/>
      <c r="AJ427" s="66"/>
      <c r="AK427" s="66"/>
      <c r="AL427" s="66"/>
      <c r="AM427" s="66"/>
      <c r="AN427" s="66"/>
      <c r="AO427" s="66"/>
    </row>
    <row r="428">
      <c r="A428" s="93"/>
      <c r="B428" s="85"/>
      <c r="C428" s="86"/>
      <c r="D428" s="93"/>
      <c r="E428" s="85"/>
      <c r="F428" s="85"/>
      <c r="G428" s="86"/>
      <c r="H428" s="78" t="str">
        <f>IFERROR(__xludf.DUMMYFUNCTION("""COMPUTED_VALUE"""),"")</f>
        <v/>
      </c>
      <c r="I428" s="85"/>
      <c r="J428" s="85"/>
      <c r="K428" s="85"/>
      <c r="L428" s="86" t="str">
        <f>IFERROR(__xludf.DUMMYFUNCTION("""COMPUTED_VALUE"""),"REJECT")</f>
        <v>REJECT</v>
      </c>
      <c r="M428" s="78" t="str">
        <f>IFERROR(__xludf.DUMMYFUNCTION("""COMPUTED_VALUE"""),"46027NTE")</f>
        <v>46027NTE</v>
      </c>
      <c r="N428" s="85" t="str">
        <f>IFERROR(__xludf.DUMMYFUNCTION("""COMPUTED_VALUE"""),"NTE")</f>
        <v>NTE</v>
      </c>
      <c r="O428" s="101">
        <f>IFERROR(__xludf.DUMMYFUNCTION("""COMPUTED_VALUE"""),46027.0)</f>
        <v>46027</v>
      </c>
      <c r="P428" s="104" t="str">
        <f>IFERROR(__xludf.DUMMYFUNCTION("""COMPUTED_VALUE"""),"Bad Weather")</f>
        <v>Bad Weather</v>
      </c>
      <c r="Q428" s="86" t="str">
        <f>IFERROR(__xludf.DUMMYFUNCTION("""COMPUTED_VALUE"""),"REJECT")</f>
        <v>REJECT</v>
      </c>
      <c r="R428" s="66"/>
      <c r="S428" s="66"/>
      <c r="T428" s="66"/>
      <c r="U428" s="66"/>
      <c r="V428" s="66"/>
      <c r="W428" s="66"/>
      <c r="X428" s="66"/>
      <c r="Y428" s="66"/>
      <c r="Z428" s="66"/>
      <c r="AA428" s="66"/>
      <c r="AB428" s="66"/>
      <c r="AC428" s="66"/>
      <c r="AD428" s="66"/>
      <c r="AE428" s="66"/>
      <c r="AF428" s="66"/>
      <c r="AG428" s="66"/>
      <c r="AH428" s="66"/>
      <c r="AI428" s="66"/>
      <c r="AJ428" s="66"/>
      <c r="AK428" s="66"/>
      <c r="AL428" s="66"/>
      <c r="AM428" s="66"/>
      <c r="AN428" s="66"/>
      <c r="AO428" s="66"/>
    </row>
    <row r="429">
      <c r="A429" s="93"/>
      <c r="B429" s="85"/>
      <c r="C429" s="86"/>
      <c r="D429" s="93"/>
      <c r="E429" s="85"/>
      <c r="F429" s="85"/>
      <c r="G429" s="86"/>
      <c r="H429" s="78" t="str">
        <f>IFERROR(__xludf.DUMMYFUNCTION("""COMPUTED_VALUE"""),"")</f>
        <v/>
      </c>
      <c r="I429" s="85"/>
      <c r="J429" s="85"/>
      <c r="K429" s="85"/>
      <c r="L429" s="86" t="str">
        <f>IFERROR(__xludf.DUMMYFUNCTION("""COMPUTED_VALUE"""),"REJECT")</f>
        <v>REJECT</v>
      </c>
      <c r="M429" s="78" t="str">
        <f>IFERROR(__xludf.DUMMYFUNCTION("""COMPUTED_VALUE"""),"46028NTE")</f>
        <v>46028NTE</v>
      </c>
      <c r="N429" s="85" t="str">
        <f>IFERROR(__xludf.DUMMYFUNCTION("""COMPUTED_VALUE"""),"NTE")</f>
        <v>NTE</v>
      </c>
      <c r="O429" s="101">
        <f>IFERROR(__xludf.DUMMYFUNCTION("""COMPUTED_VALUE"""),46028.0)</f>
        <v>46028</v>
      </c>
      <c r="P429" s="104" t="str">
        <f>IFERROR(__xludf.DUMMYFUNCTION("""COMPUTED_VALUE"""),"Bad Weather")</f>
        <v>Bad Weather</v>
      </c>
      <c r="Q429" s="86" t="str">
        <f>IFERROR(__xludf.DUMMYFUNCTION("""COMPUTED_VALUE"""),"REJECT")</f>
        <v>REJECT</v>
      </c>
      <c r="R429" s="66"/>
      <c r="S429" s="66"/>
      <c r="T429" s="66"/>
      <c r="U429" s="66"/>
      <c r="V429" s="66"/>
      <c r="W429" s="66"/>
      <c r="X429" s="66"/>
      <c r="Y429" s="66"/>
      <c r="Z429" s="66"/>
      <c r="AA429" s="66"/>
      <c r="AB429" s="66"/>
      <c r="AC429" s="66"/>
      <c r="AD429" s="66"/>
      <c r="AE429" s="66"/>
      <c r="AF429" s="66"/>
      <c r="AG429" s="66"/>
      <c r="AH429" s="66"/>
      <c r="AI429" s="66"/>
      <c r="AJ429" s="66"/>
      <c r="AK429" s="66"/>
      <c r="AL429" s="66"/>
      <c r="AM429" s="66"/>
      <c r="AN429" s="66"/>
      <c r="AO429" s="66"/>
    </row>
    <row r="430">
      <c r="A430" s="93"/>
      <c r="B430" s="85"/>
      <c r="C430" s="86"/>
      <c r="D430" s="93"/>
      <c r="E430" s="85"/>
      <c r="F430" s="85"/>
      <c r="G430" s="86"/>
      <c r="H430" s="78" t="str">
        <f>IFERROR(__xludf.DUMMYFUNCTION("""COMPUTED_VALUE"""),"")</f>
        <v/>
      </c>
      <c r="I430" s="85"/>
      <c r="J430" s="85"/>
      <c r="K430" s="85"/>
      <c r="L430" s="86" t="str">
        <f>IFERROR(__xludf.DUMMYFUNCTION("""COMPUTED_VALUE"""),"REJECT")</f>
        <v>REJECT</v>
      </c>
      <c r="M430" s="78" t="str">
        <f>IFERROR(__xludf.DUMMYFUNCTION("""COMPUTED_VALUE"""),"46029NTE")</f>
        <v>46029NTE</v>
      </c>
      <c r="N430" s="85" t="str">
        <f>IFERROR(__xludf.DUMMYFUNCTION("""COMPUTED_VALUE"""),"NTE")</f>
        <v>NTE</v>
      </c>
      <c r="O430" s="101">
        <f>IFERROR(__xludf.DUMMYFUNCTION("""COMPUTED_VALUE"""),46029.0)</f>
        <v>46029</v>
      </c>
      <c r="P430" s="104" t="str">
        <f>IFERROR(__xludf.DUMMYFUNCTION("""COMPUTED_VALUE"""),"Bad Weather")</f>
        <v>Bad Weather</v>
      </c>
      <c r="Q430" s="86" t="str">
        <f>IFERROR(__xludf.DUMMYFUNCTION("""COMPUTED_VALUE"""),"REJECT")</f>
        <v>REJECT</v>
      </c>
      <c r="R430" s="66"/>
      <c r="S430" s="66"/>
      <c r="T430" s="66"/>
      <c r="U430" s="66"/>
      <c r="V430" s="66"/>
      <c r="W430" s="66"/>
      <c r="X430" s="66"/>
      <c r="Y430" s="66"/>
      <c r="Z430" s="66"/>
      <c r="AA430" s="66"/>
      <c r="AB430" s="66"/>
      <c r="AC430" s="66"/>
      <c r="AD430" s="66"/>
      <c r="AE430" s="66"/>
      <c r="AF430" s="66"/>
      <c r="AG430" s="66"/>
      <c r="AH430" s="66"/>
      <c r="AI430" s="66"/>
      <c r="AJ430" s="66"/>
      <c r="AK430" s="66"/>
      <c r="AL430" s="66"/>
      <c r="AM430" s="66"/>
      <c r="AN430" s="66"/>
      <c r="AO430" s="66"/>
    </row>
    <row r="431">
      <c r="A431" s="93"/>
      <c r="B431" s="85"/>
      <c r="C431" s="86"/>
      <c r="D431" s="93"/>
      <c r="E431" s="85"/>
      <c r="F431" s="85"/>
      <c r="G431" s="86"/>
      <c r="H431" s="78" t="str">
        <f>IFERROR(__xludf.DUMMYFUNCTION("""COMPUTED_VALUE"""),"")</f>
        <v/>
      </c>
      <c r="I431" s="85"/>
      <c r="J431" s="85"/>
      <c r="K431" s="85"/>
      <c r="L431" s="86" t="str">
        <f>IFERROR(__xludf.DUMMYFUNCTION("""COMPUTED_VALUE"""),"REJECT")</f>
        <v>REJECT</v>
      </c>
      <c r="M431" s="78" t="str">
        <f>IFERROR(__xludf.DUMMYFUNCTION("""COMPUTED_VALUE"""),"46047ATL")</f>
        <v>46047ATL</v>
      </c>
      <c r="N431" s="85" t="str">
        <f>IFERROR(__xludf.DUMMYFUNCTION("""COMPUTED_VALUE"""),"ATL")</f>
        <v>ATL</v>
      </c>
      <c r="O431" s="101">
        <f>IFERROR(__xludf.DUMMYFUNCTION("""COMPUTED_VALUE"""),46047.0)</f>
        <v>46047</v>
      </c>
      <c r="P431" s="104" t="str">
        <f>IFERROR(__xludf.DUMMYFUNCTION("""COMPUTED_VALUE"""),"Winter Storm Fern")</f>
        <v>Winter Storm Fern</v>
      </c>
      <c r="Q431" s="86" t="str">
        <f>IFERROR(__xludf.DUMMYFUNCTION("""COMPUTED_VALUE"""),"REJECT")</f>
        <v>REJECT</v>
      </c>
      <c r="R431" s="66"/>
      <c r="S431" s="66"/>
      <c r="T431" s="66"/>
      <c r="U431" s="66"/>
      <c r="V431" s="66"/>
      <c r="W431" s="66"/>
      <c r="X431" s="66"/>
      <c r="Y431" s="66"/>
      <c r="Z431" s="66"/>
      <c r="AA431" s="66"/>
      <c r="AB431" s="66"/>
      <c r="AC431" s="66"/>
      <c r="AD431" s="66"/>
      <c r="AE431" s="66"/>
      <c r="AF431" s="66"/>
      <c r="AG431" s="66"/>
      <c r="AH431" s="66"/>
      <c r="AI431" s="66"/>
      <c r="AJ431" s="66"/>
      <c r="AK431" s="66"/>
      <c r="AL431" s="66"/>
      <c r="AM431" s="66"/>
      <c r="AN431" s="66"/>
      <c r="AO431" s="66"/>
    </row>
    <row r="432">
      <c r="A432" s="93"/>
      <c r="B432" s="85"/>
      <c r="C432" s="86"/>
      <c r="D432" s="93"/>
      <c r="E432" s="85"/>
      <c r="F432" s="85"/>
      <c r="G432" s="86"/>
      <c r="H432" s="78" t="str">
        <f>IFERROR(__xludf.DUMMYFUNCTION("""COMPUTED_VALUE"""),"")</f>
        <v/>
      </c>
      <c r="I432" s="85"/>
      <c r="J432" s="85"/>
      <c r="K432" s="85"/>
      <c r="L432" s="86" t="str">
        <f>IFERROR(__xludf.DUMMYFUNCTION("""COMPUTED_VALUE"""),"REJECT")</f>
        <v>REJECT</v>
      </c>
      <c r="M432" s="78" t="str">
        <f>IFERROR(__xludf.DUMMYFUNCTION("""COMPUTED_VALUE"""),"46047DFW")</f>
        <v>46047DFW</v>
      </c>
      <c r="N432" s="85" t="str">
        <f>IFERROR(__xludf.DUMMYFUNCTION("""COMPUTED_VALUE"""),"DFW")</f>
        <v>DFW</v>
      </c>
      <c r="O432" s="101">
        <f>IFERROR(__xludf.DUMMYFUNCTION("""COMPUTED_VALUE"""),46047.0)</f>
        <v>46047</v>
      </c>
      <c r="P432" s="104" t="str">
        <f>IFERROR(__xludf.DUMMYFUNCTION("""COMPUTED_VALUE"""),"Winter Storm Fern")</f>
        <v>Winter Storm Fern</v>
      </c>
      <c r="Q432" s="86" t="str">
        <f>IFERROR(__xludf.DUMMYFUNCTION("""COMPUTED_VALUE"""),"REJECT")</f>
        <v>REJECT</v>
      </c>
      <c r="R432" s="66"/>
      <c r="S432" s="66"/>
      <c r="T432" s="66"/>
      <c r="U432" s="66"/>
      <c r="V432" s="66"/>
      <c r="W432" s="66"/>
      <c r="X432" s="66"/>
      <c r="Y432" s="66"/>
      <c r="Z432" s="66"/>
      <c r="AA432" s="66"/>
      <c r="AB432" s="66"/>
      <c r="AC432" s="66"/>
      <c r="AD432" s="66"/>
      <c r="AE432" s="66"/>
      <c r="AF432" s="66"/>
      <c r="AG432" s="66"/>
      <c r="AH432" s="66"/>
      <c r="AI432" s="66"/>
      <c r="AJ432" s="66"/>
      <c r="AK432" s="66"/>
      <c r="AL432" s="66"/>
      <c r="AM432" s="66"/>
      <c r="AN432" s="66"/>
      <c r="AO432" s="66"/>
    </row>
    <row r="433">
      <c r="A433" s="93"/>
      <c r="B433" s="85"/>
      <c r="C433" s="86"/>
      <c r="D433" s="93"/>
      <c r="E433" s="85"/>
      <c r="F433" s="85"/>
      <c r="G433" s="86"/>
      <c r="H433" s="78" t="str">
        <f>IFERROR(__xludf.DUMMYFUNCTION("""COMPUTED_VALUE"""),"")</f>
        <v/>
      </c>
      <c r="I433" s="85"/>
      <c r="J433" s="85"/>
      <c r="K433" s="85"/>
      <c r="L433" s="86" t="str">
        <f>IFERROR(__xludf.DUMMYFUNCTION("""COMPUTED_VALUE"""),"REJECT")</f>
        <v>REJECT</v>
      </c>
      <c r="M433" s="78" t="str">
        <f>IFERROR(__xludf.DUMMYFUNCTION("""COMPUTED_VALUE"""),"46047CLT")</f>
        <v>46047CLT</v>
      </c>
      <c r="N433" s="85" t="str">
        <f>IFERROR(__xludf.DUMMYFUNCTION("""COMPUTED_VALUE"""),"CLT")</f>
        <v>CLT</v>
      </c>
      <c r="O433" s="101">
        <f>IFERROR(__xludf.DUMMYFUNCTION("""COMPUTED_VALUE"""),46047.0)</f>
        <v>46047</v>
      </c>
      <c r="P433" s="104" t="str">
        <f>IFERROR(__xludf.DUMMYFUNCTION("""COMPUTED_VALUE"""),"Winter Storm Fern")</f>
        <v>Winter Storm Fern</v>
      </c>
      <c r="Q433" s="86" t="str">
        <f>IFERROR(__xludf.DUMMYFUNCTION("""COMPUTED_VALUE"""),"REJECT")</f>
        <v>REJECT</v>
      </c>
      <c r="R433" s="66"/>
      <c r="S433" s="66"/>
      <c r="T433" s="66"/>
      <c r="U433" s="66"/>
      <c r="V433" s="66"/>
      <c r="W433" s="66"/>
      <c r="X433" s="66"/>
      <c r="Y433" s="66"/>
      <c r="Z433" s="66"/>
      <c r="AA433" s="66"/>
      <c r="AB433" s="66"/>
      <c r="AC433" s="66"/>
      <c r="AD433" s="66"/>
      <c r="AE433" s="66"/>
      <c r="AF433" s="66"/>
      <c r="AG433" s="66"/>
      <c r="AH433" s="66"/>
      <c r="AI433" s="66"/>
      <c r="AJ433" s="66"/>
      <c r="AK433" s="66"/>
      <c r="AL433" s="66"/>
      <c r="AM433" s="66"/>
      <c r="AN433" s="66"/>
      <c r="AO433" s="66"/>
    </row>
    <row r="434">
      <c r="A434" s="93"/>
      <c r="B434" s="85"/>
      <c r="C434" s="86"/>
      <c r="D434" s="93"/>
      <c r="E434" s="85"/>
      <c r="F434" s="85"/>
      <c r="G434" s="86"/>
      <c r="H434" s="78" t="str">
        <f>IFERROR(__xludf.DUMMYFUNCTION("""COMPUTED_VALUE"""),"")</f>
        <v/>
      </c>
      <c r="I434" s="85"/>
      <c r="J434" s="85"/>
      <c r="K434" s="85"/>
      <c r="L434" s="86" t="str">
        <f>IFERROR(__xludf.DUMMYFUNCTION("""COMPUTED_VALUE"""),"REJECT")</f>
        <v>REJECT</v>
      </c>
      <c r="M434" s="78" t="str">
        <f>IFERROR(__xludf.DUMMYFUNCTION("""COMPUTED_VALUE"""),"46047MEM")</f>
        <v>46047MEM</v>
      </c>
      <c r="N434" s="85" t="str">
        <f>IFERROR(__xludf.DUMMYFUNCTION("""COMPUTED_VALUE"""),"MEM")</f>
        <v>MEM</v>
      </c>
      <c r="O434" s="101">
        <f>IFERROR(__xludf.DUMMYFUNCTION("""COMPUTED_VALUE"""),46047.0)</f>
        <v>46047</v>
      </c>
      <c r="P434" s="104" t="str">
        <f>IFERROR(__xludf.DUMMYFUNCTION("""COMPUTED_VALUE"""),"Winter Storm Fern")</f>
        <v>Winter Storm Fern</v>
      </c>
      <c r="Q434" s="86" t="str">
        <f>IFERROR(__xludf.DUMMYFUNCTION("""COMPUTED_VALUE"""),"REJECT")</f>
        <v>REJECT</v>
      </c>
      <c r="R434" s="66"/>
      <c r="S434" s="66"/>
      <c r="T434" s="66"/>
      <c r="U434" s="66"/>
      <c r="V434" s="66"/>
      <c r="W434" s="66"/>
      <c r="X434" s="66"/>
      <c r="Y434" s="66"/>
      <c r="Z434" s="66"/>
      <c r="AA434" s="66"/>
      <c r="AB434" s="66"/>
      <c r="AC434" s="66"/>
      <c r="AD434" s="66"/>
      <c r="AE434" s="66"/>
      <c r="AF434" s="66"/>
      <c r="AG434" s="66"/>
      <c r="AH434" s="66"/>
      <c r="AI434" s="66"/>
      <c r="AJ434" s="66"/>
      <c r="AK434" s="66"/>
      <c r="AL434" s="66"/>
      <c r="AM434" s="66"/>
      <c r="AN434" s="66"/>
      <c r="AO434" s="66"/>
    </row>
    <row r="435">
      <c r="A435" s="93"/>
      <c r="B435" s="85"/>
      <c r="C435" s="86"/>
      <c r="D435" s="93"/>
      <c r="E435" s="85"/>
      <c r="F435" s="85"/>
      <c r="G435" s="86"/>
      <c r="H435" s="78" t="str">
        <f>IFERROR(__xludf.DUMMYFUNCTION("""COMPUTED_VALUE"""),"")</f>
        <v/>
      </c>
      <c r="I435" s="85"/>
      <c r="J435" s="85"/>
      <c r="K435" s="85"/>
      <c r="L435" s="86" t="str">
        <f>IFERROR(__xludf.DUMMYFUNCTION("""COMPUTED_VALUE"""),"REJECT")</f>
        <v>REJECT</v>
      </c>
      <c r="M435" s="78" t="str">
        <f>IFERROR(__xludf.DUMMYFUNCTION("""COMPUTED_VALUE"""),"46047BNA")</f>
        <v>46047BNA</v>
      </c>
      <c r="N435" s="85" t="str">
        <f>IFERROR(__xludf.DUMMYFUNCTION("""COMPUTED_VALUE"""),"BNA")</f>
        <v>BNA</v>
      </c>
      <c r="O435" s="101">
        <f>IFERROR(__xludf.DUMMYFUNCTION("""COMPUTED_VALUE"""),46047.0)</f>
        <v>46047</v>
      </c>
      <c r="P435" s="104" t="str">
        <f>IFERROR(__xludf.DUMMYFUNCTION("""COMPUTED_VALUE"""),"Winter Storm Fern")</f>
        <v>Winter Storm Fern</v>
      </c>
      <c r="Q435" s="86" t="str">
        <f>IFERROR(__xludf.DUMMYFUNCTION("""COMPUTED_VALUE"""),"REJECT")</f>
        <v>REJECT</v>
      </c>
      <c r="R435" s="66"/>
      <c r="S435" s="66"/>
      <c r="T435" s="66"/>
      <c r="U435" s="66"/>
      <c r="V435" s="66"/>
      <c r="W435" s="66"/>
      <c r="X435" s="66"/>
      <c r="Y435" s="66"/>
      <c r="Z435" s="66"/>
      <c r="AA435" s="66"/>
      <c r="AB435" s="66"/>
      <c r="AC435" s="66"/>
      <c r="AD435" s="66"/>
      <c r="AE435" s="66"/>
      <c r="AF435" s="66"/>
      <c r="AG435" s="66"/>
      <c r="AH435" s="66"/>
      <c r="AI435" s="66"/>
      <c r="AJ435" s="66"/>
      <c r="AK435" s="66"/>
      <c r="AL435" s="66"/>
      <c r="AM435" s="66"/>
      <c r="AN435" s="66"/>
      <c r="AO435" s="66"/>
    </row>
    <row r="436">
      <c r="A436" s="93"/>
      <c r="B436" s="85"/>
      <c r="C436" s="86"/>
      <c r="D436" s="93"/>
      <c r="E436" s="85"/>
      <c r="F436" s="85"/>
      <c r="G436" s="86"/>
      <c r="H436" s="78" t="str">
        <f>IFERROR(__xludf.DUMMYFUNCTION("""COMPUTED_VALUE"""),"")</f>
        <v/>
      </c>
      <c r="I436" s="85"/>
      <c r="J436" s="85"/>
      <c r="K436" s="85"/>
      <c r="L436" s="86" t="str">
        <f>IFERROR(__xludf.DUMMYFUNCTION("""COMPUTED_VALUE"""),"REJECT")</f>
        <v>REJECT</v>
      </c>
      <c r="M436" s="78" t="str">
        <f>IFERROR(__xludf.DUMMYFUNCTION("""COMPUTED_VALUE"""),"46047JFK")</f>
        <v>46047JFK</v>
      </c>
      <c r="N436" s="85" t="str">
        <f>IFERROR(__xludf.DUMMYFUNCTION("""COMPUTED_VALUE"""),"JFK")</f>
        <v>JFK</v>
      </c>
      <c r="O436" s="101">
        <f>IFERROR(__xludf.DUMMYFUNCTION("""COMPUTED_VALUE"""),46047.0)</f>
        <v>46047</v>
      </c>
      <c r="P436" s="104" t="str">
        <f>IFERROR(__xludf.DUMMYFUNCTION("""COMPUTED_VALUE"""),"Winter Storm")</f>
        <v>Winter Storm</v>
      </c>
      <c r="Q436" s="86" t="str">
        <f>IFERROR(__xludf.DUMMYFUNCTION("""COMPUTED_VALUE"""),"REJECT")</f>
        <v>REJECT</v>
      </c>
      <c r="R436" s="66"/>
      <c r="S436" s="66"/>
      <c r="T436" s="66"/>
      <c r="U436" s="66"/>
      <c r="V436" s="66"/>
      <c r="W436" s="66"/>
      <c r="X436" s="66"/>
      <c r="Y436" s="66"/>
      <c r="Z436" s="66"/>
      <c r="AA436" s="66"/>
      <c r="AB436" s="66"/>
      <c r="AC436" s="66"/>
      <c r="AD436" s="66"/>
      <c r="AE436" s="66"/>
      <c r="AF436" s="66"/>
      <c r="AG436" s="66"/>
      <c r="AH436" s="66"/>
      <c r="AI436" s="66"/>
      <c r="AJ436" s="66"/>
      <c r="AK436" s="66"/>
      <c r="AL436" s="66"/>
      <c r="AM436" s="66"/>
      <c r="AN436" s="66"/>
      <c r="AO436" s="66"/>
    </row>
    <row r="437">
      <c r="A437" s="93"/>
      <c r="B437" s="85"/>
      <c r="C437" s="86"/>
      <c r="D437" s="93"/>
      <c r="E437" s="85"/>
      <c r="F437" s="85"/>
      <c r="G437" s="86"/>
      <c r="H437" s="78" t="str">
        <f>IFERROR(__xludf.DUMMYFUNCTION("""COMPUTED_VALUE"""),"")</f>
        <v/>
      </c>
      <c r="I437" s="85"/>
      <c r="J437" s="85"/>
      <c r="K437" s="85"/>
      <c r="L437" s="86" t="str">
        <f>IFERROR(__xludf.DUMMYFUNCTION("""COMPUTED_VALUE"""),"REJECT")</f>
        <v>REJECT</v>
      </c>
      <c r="M437" s="78" t="str">
        <f>IFERROR(__xludf.DUMMYFUNCTION("""COMPUTED_VALUE"""),"46048JFK")</f>
        <v>46048JFK</v>
      </c>
      <c r="N437" s="85" t="str">
        <f>IFERROR(__xludf.DUMMYFUNCTION("""COMPUTED_VALUE"""),"JFK")</f>
        <v>JFK</v>
      </c>
      <c r="O437" s="101">
        <f>IFERROR(__xludf.DUMMYFUNCTION("""COMPUTED_VALUE"""),46048.0)</f>
        <v>46048</v>
      </c>
      <c r="P437" s="104" t="str">
        <f>IFERROR(__xludf.DUMMYFUNCTION("""COMPUTED_VALUE"""),"Winter Storm")</f>
        <v>Winter Storm</v>
      </c>
      <c r="Q437" s="86" t="str">
        <f>IFERROR(__xludf.DUMMYFUNCTION("""COMPUTED_VALUE"""),"REJECT")</f>
        <v>REJECT</v>
      </c>
      <c r="R437" s="66"/>
      <c r="S437" s="66"/>
      <c r="T437" s="66"/>
      <c r="U437" s="66"/>
      <c r="V437" s="66"/>
      <c r="W437" s="66"/>
      <c r="X437" s="66"/>
      <c r="Y437" s="66"/>
      <c r="Z437" s="66"/>
      <c r="AA437" s="66"/>
      <c r="AB437" s="66"/>
      <c r="AC437" s="66"/>
      <c r="AD437" s="66"/>
      <c r="AE437" s="66"/>
      <c r="AF437" s="66"/>
      <c r="AG437" s="66"/>
      <c r="AH437" s="66"/>
      <c r="AI437" s="66"/>
      <c r="AJ437" s="66"/>
      <c r="AK437" s="66"/>
      <c r="AL437" s="66"/>
      <c r="AM437" s="66"/>
      <c r="AN437" s="66"/>
      <c r="AO437" s="66"/>
    </row>
    <row r="438">
      <c r="A438" s="93"/>
      <c r="B438" s="85"/>
      <c r="C438" s="86"/>
      <c r="D438" s="93"/>
      <c r="E438" s="85"/>
      <c r="F438" s="85"/>
      <c r="G438" s="86"/>
      <c r="H438" s="78" t="str">
        <f>IFERROR(__xludf.DUMMYFUNCTION("""COMPUTED_VALUE"""),"")</f>
        <v/>
      </c>
      <c r="I438" s="85"/>
      <c r="J438" s="85"/>
      <c r="K438" s="85"/>
      <c r="L438" s="86" t="str">
        <f>IFERROR(__xludf.DUMMYFUNCTION("""COMPUTED_VALUE"""),"REJECT")</f>
        <v>REJECT</v>
      </c>
      <c r="M438" s="78" t="str">
        <f>IFERROR(__xludf.DUMMYFUNCTION("""COMPUTED_VALUE"""),"46048EWR")</f>
        <v>46048EWR</v>
      </c>
      <c r="N438" s="85" t="str">
        <f>IFERROR(__xludf.DUMMYFUNCTION("""COMPUTED_VALUE"""),"EWR")</f>
        <v>EWR</v>
      </c>
      <c r="O438" s="101">
        <f>IFERROR(__xludf.DUMMYFUNCTION("""COMPUTED_VALUE"""),46048.0)</f>
        <v>46048</v>
      </c>
      <c r="P438" s="104" t="str">
        <f>IFERROR(__xludf.DUMMYFUNCTION("""COMPUTED_VALUE"""),"Winter Storm")</f>
        <v>Winter Storm</v>
      </c>
      <c r="Q438" s="86" t="str">
        <f>IFERROR(__xludf.DUMMYFUNCTION("""COMPUTED_VALUE"""),"REJECT")</f>
        <v>REJECT</v>
      </c>
      <c r="R438" s="66"/>
      <c r="S438" s="66"/>
      <c r="T438" s="66"/>
      <c r="U438" s="66"/>
      <c r="V438" s="66"/>
      <c r="W438" s="66"/>
      <c r="X438" s="66"/>
      <c r="Y438" s="66"/>
      <c r="Z438" s="66"/>
      <c r="AA438" s="66"/>
      <c r="AB438" s="66"/>
      <c r="AC438" s="66"/>
      <c r="AD438" s="66"/>
      <c r="AE438" s="66"/>
      <c r="AF438" s="66"/>
      <c r="AG438" s="66"/>
      <c r="AH438" s="66"/>
      <c r="AI438" s="66"/>
      <c r="AJ438" s="66"/>
      <c r="AK438" s="66"/>
      <c r="AL438" s="66"/>
      <c r="AM438" s="66"/>
      <c r="AN438" s="66"/>
      <c r="AO438" s="66"/>
    </row>
    <row r="439">
      <c r="A439" s="93"/>
      <c r="B439" s="85"/>
      <c r="C439" s="86"/>
      <c r="D439" s="93"/>
      <c r="E439" s="85"/>
      <c r="F439" s="85"/>
      <c r="G439" s="86"/>
      <c r="H439" s="78" t="str">
        <f>IFERROR(__xludf.DUMMYFUNCTION("""COMPUTED_VALUE"""),"")</f>
        <v/>
      </c>
      <c r="I439" s="85"/>
      <c r="J439" s="85"/>
      <c r="K439" s="85"/>
      <c r="L439" s="86" t="str">
        <f>IFERROR(__xludf.DUMMYFUNCTION("""COMPUTED_VALUE"""),"REJECT")</f>
        <v>REJECT</v>
      </c>
      <c r="M439" s="78" t="str">
        <f>IFERROR(__xludf.DUMMYFUNCTION("""COMPUTED_VALUE"""),"46047EWR")</f>
        <v>46047EWR</v>
      </c>
      <c r="N439" s="85" t="str">
        <f>IFERROR(__xludf.DUMMYFUNCTION("""COMPUTED_VALUE"""),"EWR")</f>
        <v>EWR</v>
      </c>
      <c r="O439" s="101">
        <f>IFERROR(__xludf.DUMMYFUNCTION("""COMPUTED_VALUE"""),46047.0)</f>
        <v>46047</v>
      </c>
      <c r="P439" s="104" t="str">
        <f>IFERROR(__xludf.DUMMYFUNCTION("""COMPUTED_VALUE"""),"Winter Storm")</f>
        <v>Winter Storm</v>
      </c>
      <c r="Q439" s="86" t="str">
        <f>IFERROR(__xludf.DUMMYFUNCTION("""COMPUTED_VALUE"""),"REJECT")</f>
        <v>REJECT</v>
      </c>
      <c r="R439" s="66"/>
      <c r="S439" s="66"/>
      <c r="T439" s="66"/>
      <c r="U439" s="66"/>
      <c r="V439" s="66"/>
      <c r="W439" s="66"/>
      <c r="X439" s="66"/>
      <c r="Y439" s="66"/>
      <c r="Z439" s="66"/>
      <c r="AA439" s="66"/>
      <c r="AB439" s="66"/>
      <c r="AC439" s="66"/>
      <c r="AD439" s="66"/>
      <c r="AE439" s="66"/>
      <c r="AF439" s="66"/>
      <c r="AG439" s="66"/>
      <c r="AH439" s="66"/>
      <c r="AI439" s="66"/>
      <c r="AJ439" s="66"/>
      <c r="AK439" s="66"/>
      <c r="AL439" s="66"/>
      <c r="AM439" s="66"/>
      <c r="AN439" s="66"/>
      <c r="AO439" s="66"/>
    </row>
    <row r="440">
      <c r="A440" s="93"/>
      <c r="B440" s="85"/>
      <c r="C440" s="86"/>
      <c r="D440" s="93"/>
      <c r="E440" s="85"/>
      <c r="F440" s="85"/>
      <c r="G440" s="86"/>
      <c r="H440" s="78" t="str">
        <f>IFERROR(__xludf.DUMMYFUNCTION("""COMPUTED_VALUE"""),"")</f>
        <v/>
      </c>
      <c r="I440" s="85"/>
      <c r="J440" s="85"/>
      <c r="K440" s="85"/>
      <c r="L440" s="86" t="str">
        <f>IFERROR(__xludf.DUMMYFUNCTION("""COMPUTED_VALUE"""),"REJECT")</f>
        <v>REJECT</v>
      </c>
      <c r="M440" s="78" t="str">
        <f>IFERROR(__xludf.DUMMYFUNCTION("""COMPUTED_VALUE"""),"46048CLT")</f>
        <v>46048CLT</v>
      </c>
      <c r="N440" s="85" t="str">
        <f>IFERROR(__xludf.DUMMYFUNCTION("""COMPUTED_VALUE"""),"CLT")</f>
        <v>CLT</v>
      </c>
      <c r="O440" s="101">
        <f>IFERROR(__xludf.DUMMYFUNCTION("""COMPUTED_VALUE"""),46048.0)</f>
        <v>46048</v>
      </c>
      <c r="P440" s="104" t="str">
        <f>IFERROR(__xludf.DUMMYFUNCTION("""COMPUTED_VALUE"""),"Winter Storm")</f>
        <v>Winter Storm</v>
      </c>
      <c r="Q440" s="86" t="str">
        <f>IFERROR(__xludf.DUMMYFUNCTION("""COMPUTED_VALUE"""),"REJECT")</f>
        <v>REJECT</v>
      </c>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row>
    <row r="441">
      <c r="A441" s="93"/>
      <c r="B441" s="85"/>
      <c r="C441" s="86"/>
      <c r="D441" s="93"/>
      <c r="E441" s="85"/>
      <c r="F441" s="85"/>
      <c r="G441" s="86"/>
      <c r="H441" s="78" t="str">
        <f>IFERROR(__xludf.DUMMYFUNCTION("""COMPUTED_VALUE"""),"")</f>
        <v/>
      </c>
      <c r="I441" s="85"/>
      <c r="J441" s="85"/>
      <c r="K441" s="85"/>
      <c r="L441" s="86" t="str">
        <f>IFERROR(__xludf.DUMMYFUNCTION("""COMPUTED_VALUE"""),"REJECT")</f>
        <v>REJECT</v>
      </c>
      <c r="M441" s="78" t="str">
        <f>IFERROR(__xludf.DUMMYFUNCTION("""COMPUTED_VALUE"""),"46048ATL")</f>
        <v>46048ATL</v>
      </c>
      <c r="N441" s="85" t="str">
        <f>IFERROR(__xludf.DUMMYFUNCTION("""COMPUTED_VALUE"""),"ATL")</f>
        <v>ATL</v>
      </c>
      <c r="O441" s="101">
        <f>IFERROR(__xludf.DUMMYFUNCTION("""COMPUTED_VALUE"""),46048.0)</f>
        <v>46048</v>
      </c>
      <c r="P441" s="104" t="str">
        <f>IFERROR(__xludf.DUMMYFUNCTION("""COMPUTED_VALUE"""),"Winter Storm")</f>
        <v>Winter Storm</v>
      </c>
      <c r="Q441" s="86" t="str">
        <f>IFERROR(__xludf.DUMMYFUNCTION("""COMPUTED_VALUE"""),"REJECT")</f>
        <v>REJECT</v>
      </c>
      <c r="R441" s="66"/>
      <c r="S441" s="66"/>
      <c r="T441" s="66"/>
      <c r="U441" s="66"/>
      <c r="V441" s="66"/>
      <c r="W441" s="66"/>
      <c r="X441" s="66"/>
      <c r="Y441" s="66"/>
      <c r="Z441" s="66"/>
      <c r="AA441" s="66"/>
      <c r="AB441" s="66"/>
      <c r="AC441" s="66"/>
      <c r="AD441" s="66"/>
      <c r="AE441" s="66"/>
      <c r="AF441" s="66"/>
      <c r="AG441" s="66"/>
      <c r="AH441" s="66"/>
      <c r="AI441" s="66"/>
      <c r="AJ441" s="66"/>
      <c r="AK441" s="66"/>
      <c r="AL441" s="66"/>
      <c r="AM441" s="66"/>
      <c r="AN441" s="66"/>
      <c r="AO441" s="66"/>
    </row>
    <row r="442">
      <c r="A442" s="93"/>
      <c r="B442" s="85"/>
      <c r="C442" s="86"/>
      <c r="D442" s="93"/>
      <c r="E442" s="85"/>
      <c r="F442" s="85"/>
      <c r="G442" s="86"/>
      <c r="H442" s="78" t="str">
        <f>IFERROR(__xludf.DUMMYFUNCTION("""COMPUTED_VALUE"""),"")</f>
        <v/>
      </c>
      <c r="I442" s="85"/>
      <c r="J442" s="85"/>
      <c r="K442" s="85"/>
      <c r="L442" s="86" t="str">
        <f>IFERROR(__xludf.DUMMYFUNCTION("""COMPUTED_VALUE"""),"REJECT")</f>
        <v>REJECT</v>
      </c>
      <c r="M442" s="78" t="str">
        <f>IFERROR(__xludf.DUMMYFUNCTION("""COMPUTED_VALUE"""),"46048DFW")</f>
        <v>46048DFW</v>
      </c>
      <c r="N442" s="85" t="str">
        <f>IFERROR(__xludf.DUMMYFUNCTION("""COMPUTED_VALUE"""),"DFW")</f>
        <v>DFW</v>
      </c>
      <c r="O442" s="101">
        <f>IFERROR(__xludf.DUMMYFUNCTION("""COMPUTED_VALUE"""),46048.0)</f>
        <v>46048</v>
      </c>
      <c r="P442" s="104" t="str">
        <f>IFERROR(__xludf.DUMMYFUNCTION("""COMPUTED_VALUE"""),"Winter Storm")</f>
        <v>Winter Storm</v>
      </c>
      <c r="Q442" s="86" t="str">
        <f>IFERROR(__xludf.DUMMYFUNCTION("""COMPUTED_VALUE"""),"REJECT")</f>
        <v>REJECT</v>
      </c>
      <c r="R442" s="66"/>
      <c r="S442" s="66"/>
      <c r="T442" s="66"/>
      <c r="U442" s="66"/>
      <c r="V442" s="66"/>
      <c r="W442" s="66"/>
      <c r="X442" s="66"/>
      <c r="Y442" s="66"/>
      <c r="Z442" s="66"/>
      <c r="AA442" s="66"/>
      <c r="AB442" s="66"/>
      <c r="AC442" s="66"/>
      <c r="AD442" s="66"/>
      <c r="AE442" s="66"/>
      <c r="AF442" s="66"/>
      <c r="AG442" s="66"/>
      <c r="AH442" s="66"/>
      <c r="AI442" s="66"/>
      <c r="AJ442" s="66"/>
      <c r="AK442" s="66"/>
      <c r="AL442" s="66"/>
      <c r="AM442" s="66"/>
      <c r="AN442" s="66"/>
      <c r="AO442" s="66"/>
    </row>
    <row r="443">
      <c r="A443" s="93"/>
      <c r="B443" s="85"/>
      <c r="C443" s="86"/>
      <c r="D443" s="93"/>
      <c r="E443" s="85"/>
      <c r="F443" s="85"/>
      <c r="G443" s="86"/>
      <c r="H443" s="78" t="str">
        <f>IFERROR(__xludf.DUMMYFUNCTION("""COMPUTED_VALUE"""),"")</f>
        <v/>
      </c>
      <c r="I443" s="85"/>
      <c r="J443" s="85"/>
      <c r="K443" s="85"/>
      <c r="L443" s="86" t="str">
        <f>IFERROR(__xludf.DUMMYFUNCTION("""COMPUTED_VALUE"""),"REJECT")</f>
        <v>REJECT</v>
      </c>
      <c r="M443" s="78" t="str">
        <f>IFERROR(__xludf.DUMMYFUNCTION("""COMPUTED_VALUE"""),"46048MEM")</f>
        <v>46048MEM</v>
      </c>
      <c r="N443" s="85" t="str">
        <f>IFERROR(__xludf.DUMMYFUNCTION("""COMPUTED_VALUE"""),"MEM")</f>
        <v>MEM</v>
      </c>
      <c r="O443" s="101">
        <f>IFERROR(__xludf.DUMMYFUNCTION("""COMPUTED_VALUE"""),46048.0)</f>
        <v>46048</v>
      </c>
      <c r="P443" s="104" t="str">
        <f>IFERROR(__xludf.DUMMYFUNCTION("""COMPUTED_VALUE"""),"Winter Storm")</f>
        <v>Winter Storm</v>
      </c>
      <c r="Q443" s="86" t="str">
        <f>IFERROR(__xludf.DUMMYFUNCTION("""COMPUTED_VALUE"""),"REJECT")</f>
        <v>REJECT</v>
      </c>
      <c r="R443" s="66"/>
      <c r="S443" s="66"/>
      <c r="T443" s="66"/>
      <c r="U443" s="66"/>
      <c r="V443" s="66"/>
      <c r="W443" s="66"/>
      <c r="X443" s="66"/>
      <c r="Y443" s="66"/>
      <c r="Z443" s="66"/>
      <c r="AA443" s="66"/>
      <c r="AB443" s="66"/>
      <c r="AC443" s="66"/>
      <c r="AD443" s="66"/>
      <c r="AE443" s="66"/>
      <c r="AF443" s="66"/>
      <c r="AG443" s="66"/>
      <c r="AH443" s="66"/>
      <c r="AI443" s="66"/>
      <c r="AJ443" s="66"/>
      <c r="AK443" s="66"/>
      <c r="AL443" s="66"/>
      <c r="AM443" s="66"/>
      <c r="AN443" s="66"/>
      <c r="AO443" s="66"/>
    </row>
    <row r="444">
      <c r="A444" s="93"/>
      <c r="B444" s="85"/>
      <c r="C444" s="86"/>
      <c r="D444" s="93"/>
      <c r="E444" s="85"/>
      <c r="F444" s="85"/>
      <c r="G444" s="86"/>
      <c r="H444" s="78" t="str">
        <f>IFERROR(__xludf.DUMMYFUNCTION("""COMPUTED_VALUE"""),"")</f>
        <v/>
      </c>
      <c r="I444" s="85"/>
      <c r="J444" s="85"/>
      <c r="K444" s="85"/>
      <c r="L444" s="86" t="str">
        <f>IFERROR(__xludf.DUMMYFUNCTION("""COMPUTED_VALUE"""),"REJECT")</f>
        <v>REJECT</v>
      </c>
      <c r="M444" s="78" t="str">
        <f>IFERROR(__xludf.DUMMYFUNCTION("""COMPUTED_VALUE"""),"46048BNA")</f>
        <v>46048BNA</v>
      </c>
      <c r="N444" s="85" t="str">
        <f>IFERROR(__xludf.DUMMYFUNCTION("""COMPUTED_VALUE"""),"BNA")</f>
        <v>BNA</v>
      </c>
      <c r="O444" s="101">
        <f>IFERROR(__xludf.DUMMYFUNCTION("""COMPUTED_VALUE"""),46048.0)</f>
        <v>46048</v>
      </c>
      <c r="P444" s="104" t="str">
        <f>IFERROR(__xludf.DUMMYFUNCTION("""COMPUTED_VALUE"""),"Winter Storm")</f>
        <v>Winter Storm</v>
      </c>
      <c r="Q444" s="86" t="str">
        <f>IFERROR(__xludf.DUMMYFUNCTION("""COMPUTED_VALUE"""),"REJECT")</f>
        <v>REJECT</v>
      </c>
      <c r="R444" s="66"/>
      <c r="S444" s="66"/>
      <c r="T444" s="66"/>
      <c r="U444" s="66"/>
      <c r="V444" s="66"/>
      <c r="W444" s="66"/>
      <c r="X444" s="66"/>
      <c r="Y444" s="66"/>
      <c r="Z444" s="66"/>
      <c r="AA444" s="66"/>
      <c r="AB444" s="66"/>
      <c r="AC444" s="66"/>
      <c r="AD444" s="66"/>
      <c r="AE444" s="66"/>
      <c r="AF444" s="66"/>
      <c r="AG444" s="66"/>
      <c r="AH444" s="66"/>
      <c r="AI444" s="66"/>
      <c r="AJ444" s="66"/>
      <c r="AK444" s="66"/>
      <c r="AL444" s="66"/>
      <c r="AM444" s="66"/>
      <c r="AN444" s="66"/>
      <c r="AO444" s="66"/>
    </row>
    <row r="445">
      <c r="A445" s="93"/>
      <c r="B445" s="85"/>
      <c r="C445" s="86"/>
      <c r="D445" s="93"/>
      <c r="E445" s="85"/>
      <c r="F445" s="85"/>
      <c r="G445" s="86"/>
      <c r="H445" s="78" t="str">
        <f>IFERROR(__xludf.DUMMYFUNCTION("""COMPUTED_VALUE"""),"")</f>
        <v/>
      </c>
      <c r="I445" s="85"/>
      <c r="J445" s="85"/>
      <c r="K445" s="85"/>
      <c r="L445" s="86" t="str">
        <f>IFERROR(__xludf.DUMMYFUNCTION("""COMPUTED_VALUE"""),"REJECT")</f>
        <v>REJECT</v>
      </c>
      <c r="M445" s="78" t="str">
        <f>IFERROR(__xludf.DUMMYFUNCTION("""COMPUTED_VALUE"""),"46049JFK")</f>
        <v>46049JFK</v>
      </c>
      <c r="N445" s="85" t="str">
        <f>IFERROR(__xludf.DUMMYFUNCTION("""COMPUTED_VALUE"""),"JFK")</f>
        <v>JFK</v>
      </c>
      <c r="O445" s="101">
        <f>IFERROR(__xludf.DUMMYFUNCTION("""COMPUTED_VALUE"""),46049.0)</f>
        <v>46049</v>
      </c>
      <c r="P445" s="104" t="str">
        <f>IFERROR(__xludf.DUMMYFUNCTION("""COMPUTED_VALUE"""),"Winter Storm")</f>
        <v>Winter Storm</v>
      </c>
      <c r="Q445" s="86" t="str">
        <f>IFERROR(__xludf.DUMMYFUNCTION("""COMPUTED_VALUE"""),"REJECT")</f>
        <v>REJECT</v>
      </c>
      <c r="R445" s="66"/>
      <c r="S445" s="66"/>
      <c r="T445" s="66"/>
      <c r="U445" s="66"/>
      <c r="V445" s="66"/>
      <c r="W445" s="66"/>
      <c r="X445" s="66"/>
      <c r="Y445" s="66"/>
      <c r="Z445" s="66"/>
      <c r="AA445" s="66"/>
      <c r="AB445" s="66"/>
      <c r="AC445" s="66"/>
      <c r="AD445" s="66"/>
      <c r="AE445" s="66"/>
      <c r="AF445" s="66"/>
      <c r="AG445" s="66"/>
      <c r="AH445" s="66"/>
      <c r="AI445" s="66"/>
      <c r="AJ445" s="66"/>
      <c r="AK445" s="66"/>
      <c r="AL445" s="66"/>
      <c r="AM445" s="66"/>
      <c r="AN445" s="66"/>
      <c r="AO445" s="66"/>
    </row>
    <row r="446">
      <c r="A446" s="93"/>
      <c r="B446" s="85"/>
      <c r="C446" s="86"/>
      <c r="D446" s="93"/>
      <c r="E446" s="85"/>
      <c r="F446" s="85"/>
      <c r="G446" s="86"/>
      <c r="H446" s="78" t="str">
        <f>IFERROR(__xludf.DUMMYFUNCTION("""COMPUTED_VALUE"""),"")</f>
        <v/>
      </c>
      <c r="I446" s="85"/>
      <c r="J446" s="85"/>
      <c r="K446" s="85"/>
      <c r="L446" s="86" t="str">
        <f>IFERROR(__xludf.DUMMYFUNCTION("""COMPUTED_VALUE"""),"REJECT")</f>
        <v>REJECT</v>
      </c>
      <c r="M446" s="78" t="str">
        <f>IFERROR(__xludf.DUMMYFUNCTION("""COMPUTED_VALUE"""),"46049DFW")</f>
        <v>46049DFW</v>
      </c>
      <c r="N446" s="85" t="str">
        <f>IFERROR(__xludf.DUMMYFUNCTION("""COMPUTED_VALUE"""),"DFW")</f>
        <v>DFW</v>
      </c>
      <c r="O446" s="101">
        <f>IFERROR(__xludf.DUMMYFUNCTION("""COMPUTED_VALUE"""),46049.0)</f>
        <v>46049</v>
      </c>
      <c r="P446" s="104" t="str">
        <f>IFERROR(__xludf.DUMMYFUNCTION("""COMPUTED_VALUE"""),"Winter Storm")</f>
        <v>Winter Storm</v>
      </c>
      <c r="Q446" s="86" t="str">
        <f>IFERROR(__xludf.DUMMYFUNCTION("""COMPUTED_VALUE"""),"REJECT")</f>
        <v>REJECT</v>
      </c>
      <c r="R446" s="66"/>
      <c r="S446" s="66"/>
      <c r="T446" s="66"/>
      <c r="U446" s="66"/>
      <c r="V446" s="66"/>
      <c r="W446" s="66"/>
      <c r="X446" s="66"/>
      <c r="Y446" s="66"/>
      <c r="Z446" s="66"/>
      <c r="AA446" s="66"/>
      <c r="AB446" s="66"/>
      <c r="AC446" s="66"/>
      <c r="AD446" s="66"/>
      <c r="AE446" s="66"/>
      <c r="AF446" s="66"/>
      <c r="AG446" s="66"/>
      <c r="AH446" s="66"/>
      <c r="AI446" s="66"/>
      <c r="AJ446" s="66"/>
      <c r="AK446" s="66"/>
      <c r="AL446" s="66"/>
      <c r="AM446" s="66"/>
      <c r="AN446" s="66"/>
      <c r="AO446" s="66"/>
    </row>
    <row r="447">
      <c r="A447" s="93"/>
      <c r="B447" s="85"/>
      <c r="C447" s="86"/>
      <c r="D447" s="93"/>
      <c r="E447" s="85"/>
      <c r="F447" s="85"/>
      <c r="G447" s="86"/>
      <c r="H447" s="78" t="str">
        <f>IFERROR(__xludf.DUMMYFUNCTION("""COMPUTED_VALUE"""),"")</f>
        <v/>
      </c>
      <c r="I447" s="85"/>
      <c r="J447" s="85"/>
      <c r="K447" s="85"/>
      <c r="L447" s="86" t="str">
        <f>IFERROR(__xludf.DUMMYFUNCTION("""COMPUTED_VALUE"""),"REJECT")</f>
        <v>REJECT</v>
      </c>
      <c r="M447" s="78" t="str">
        <f>IFERROR(__xludf.DUMMYFUNCTION("""COMPUTED_VALUE"""),"46028ABZ")</f>
        <v>46028ABZ</v>
      </c>
      <c r="N447" s="85" t="str">
        <f>IFERROR(__xludf.DUMMYFUNCTION("""COMPUTED_VALUE"""),"ABZ")</f>
        <v>ABZ</v>
      </c>
      <c r="O447" s="101">
        <f>IFERROR(__xludf.DUMMYFUNCTION("""COMPUTED_VALUE"""),46028.0)</f>
        <v>46028</v>
      </c>
      <c r="P447" s="104" t="str">
        <f>IFERROR(__xludf.DUMMYFUNCTION("""COMPUTED_VALUE"""),"Run way Limitaion - Blizard storm")</f>
        <v>Run way Limitaion - Blizard storm</v>
      </c>
      <c r="Q447" s="86" t="str">
        <f>IFERROR(__xludf.DUMMYFUNCTION("""COMPUTED_VALUE"""),"REJECT")</f>
        <v>REJECT</v>
      </c>
      <c r="R447" s="66"/>
      <c r="S447" s="66"/>
      <c r="T447" s="66"/>
      <c r="U447" s="66"/>
      <c r="V447" s="66"/>
      <c r="W447" s="66"/>
      <c r="X447" s="66"/>
      <c r="Y447" s="66"/>
      <c r="Z447" s="66"/>
      <c r="AA447" s="66"/>
      <c r="AB447" s="66"/>
      <c r="AC447" s="66"/>
      <c r="AD447" s="66"/>
      <c r="AE447" s="66"/>
      <c r="AF447" s="66"/>
      <c r="AG447" s="66"/>
      <c r="AH447" s="66"/>
      <c r="AI447" s="66"/>
      <c r="AJ447" s="66"/>
      <c r="AK447" s="66"/>
      <c r="AL447" s="66"/>
      <c r="AM447" s="66"/>
      <c r="AN447" s="66"/>
      <c r="AO447" s="66"/>
    </row>
    <row r="448">
      <c r="A448" s="93"/>
      <c r="B448" s="85"/>
      <c r="C448" s="86"/>
      <c r="D448" s="93"/>
      <c r="E448" s="85"/>
      <c r="F448" s="85"/>
      <c r="G448" s="86"/>
      <c r="H448" s="78" t="str">
        <f>IFERROR(__xludf.DUMMYFUNCTION("""COMPUTED_VALUE"""),"")</f>
        <v/>
      </c>
      <c r="I448" s="85"/>
      <c r="J448" s="85"/>
      <c r="K448" s="85"/>
      <c r="L448" s="86" t="str">
        <f>IFERROR(__xludf.DUMMYFUNCTION("""COMPUTED_VALUE"""),"REJECT")</f>
        <v>REJECT</v>
      </c>
      <c r="M448" s="78" t="str">
        <f>IFERROR(__xludf.DUMMYFUNCTION("""COMPUTED_VALUE"""),"46031BHX")</f>
        <v>46031BHX</v>
      </c>
      <c r="N448" s="85" t="str">
        <f>IFERROR(__xludf.DUMMYFUNCTION("""COMPUTED_VALUE"""),"BHX")</f>
        <v>BHX</v>
      </c>
      <c r="O448" s="101">
        <f>IFERROR(__xludf.DUMMYFUNCTION("""COMPUTED_VALUE"""),46031.0)</f>
        <v>46031</v>
      </c>
      <c r="P448" s="104" t="str">
        <f>IFERROR(__xludf.DUMMYFUNCTION("""COMPUTED_VALUE"""),"Storm Goretti and heavy snowfall.")</f>
        <v>Storm Goretti and heavy snowfall.</v>
      </c>
      <c r="Q448" s="86" t="str">
        <f>IFERROR(__xludf.DUMMYFUNCTION("""COMPUTED_VALUE"""),"REJECT")</f>
        <v>REJECT</v>
      </c>
      <c r="R448" s="66"/>
      <c r="S448" s="66"/>
      <c r="T448" s="66"/>
      <c r="U448" s="66"/>
      <c r="V448" s="66"/>
      <c r="W448" s="66"/>
      <c r="X448" s="66"/>
      <c r="Y448" s="66"/>
      <c r="Z448" s="66"/>
      <c r="AA448" s="66"/>
      <c r="AB448" s="66"/>
      <c r="AC448" s="66"/>
      <c r="AD448" s="66"/>
      <c r="AE448" s="66"/>
      <c r="AF448" s="66"/>
      <c r="AG448" s="66"/>
      <c r="AH448" s="66"/>
      <c r="AI448" s="66"/>
      <c r="AJ448" s="66"/>
      <c r="AK448" s="66"/>
      <c r="AL448" s="66"/>
      <c r="AM448" s="66"/>
      <c r="AN448" s="66"/>
      <c r="AO448" s="66"/>
    </row>
    <row r="449">
      <c r="A449" s="93"/>
      <c r="B449" s="85"/>
      <c r="C449" s="86"/>
      <c r="D449" s="93"/>
      <c r="E449" s="85"/>
      <c r="F449" s="85"/>
      <c r="G449" s="86"/>
      <c r="H449" s="78" t="str">
        <f>IFERROR(__xludf.DUMMYFUNCTION("""COMPUTED_VALUE"""),"")</f>
        <v/>
      </c>
      <c r="I449" s="85"/>
      <c r="J449" s="85"/>
      <c r="K449" s="85"/>
      <c r="L449" s="86" t="str">
        <f>IFERROR(__xludf.DUMMYFUNCTION("""COMPUTED_VALUE"""),"REJECT")</f>
        <v>REJECT</v>
      </c>
      <c r="M449" s="78" t="str">
        <f>IFERROR(__xludf.DUMMYFUNCTION("""COMPUTED_VALUE"""),"46030BHX")</f>
        <v>46030BHX</v>
      </c>
      <c r="N449" s="85" t="str">
        <f>IFERROR(__xludf.DUMMYFUNCTION("""COMPUTED_VALUE"""),"BHX")</f>
        <v>BHX</v>
      </c>
      <c r="O449" s="101">
        <f>IFERROR(__xludf.DUMMYFUNCTION("""COMPUTED_VALUE"""),46030.0)</f>
        <v>46030</v>
      </c>
      <c r="P449" s="104" t="str">
        <f>IFERROR(__xludf.DUMMYFUNCTION("""COMPUTED_VALUE"""),"Storm Goretti and heavy snowfall.")</f>
        <v>Storm Goretti and heavy snowfall.</v>
      </c>
      <c r="Q449" s="86" t="str">
        <f>IFERROR(__xludf.DUMMYFUNCTION("""COMPUTED_VALUE"""),"REJECT")</f>
        <v>REJECT</v>
      </c>
      <c r="R449" s="66"/>
      <c r="S449" s="66"/>
      <c r="T449" s="66"/>
      <c r="U449" s="66"/>
      <c r="V449" s="66"/>
      <c r="W449" s="66"/>
      <c r="X449" s="66"/>
      <c r="Y449" s="66"/>
      <c r="Z449" s="66"/>
      <c r="AA449" s="66"/>
      <c r="AB449" s="66"/>
      <c r="AC449" s="66"/>
      <c r="AD449" s="66"/>
      <c r="AE449" s="66"/>
      <c r="AF449" s="66"/>
      <c r="AG449" s="66"/>
      <c r="AH449" s="66"/>
      <c r="AI449" s="66"/>
      <c r="AJ449" s="66"/>
      <c r="AK449" s="66"/>
      <c r="AL449" s="66"/>
      <c r="AM449" s="66"/>
      <c r="AN449" s="66"/>
      <c r="AO449" s="66"/>
    </row>
    <row r="450">
      <c r="A450" s="93"/>
      <c r="B450" s="85"/>
      <c r="C450" s="86"/>
      <c r="D450" s="93"/>
      <c r="E450" s="85"/>
      <c r="F450" s="85"/>
      <c r="G450" s="86"/>
      <c r="H450" s="78" t="str">
        <f>IFERROR(__xludf.DUMMYFUNCTION("""COMPUTED_VALUE"""),"")</f>
        <v/>
      </c>
      <c r="I450" s="85"/>
      <c r="J450" s="85"/>
      <c r="K450" s="85"/>
      <c r="L450" s="86" t="str">
        <f>IFERROR(__xludf.DUMMYFUNCTION("""COMPUTED_VALUE"""),"REJECT")</f>
        <v>REJECT</v>
      </c>
      <c r="M450" s="78" t="str">
        <f>IFERROR(__xludf.DUMMYFUNCTION("""COMPUTED_VALUE"""),"46017PHL")</f>
        <v>46017PHL</v>
      </c>
      <c r="N450" s="85" t="str">
        <f>IFERROR(__xludf.DUMMYFUNCTION("""COMPUTED_VALUE"""),"PHL")</f>
        <v>PHL</v>
      </c>
      <c r="O450" s="101">
        <f>IFERROR(__xludf.DUMMYFUNCTION("""COMPUTED_VALUE"""),46017.0)</f>
        <v>46017</v>
      </c>
      <c r="P450" s="104" t="str">
        <f>IFERROR(__xludf.DUMMYFUNCTION("""COMPUTED_VALUE"""),"Winter Storm")</f>
        <v>Winter Storm</v>
      </c>
      <c r="Q450" s="86" t="str">
        <f>IFERROR(__xludf.DUMMYFUNCTION("""COMPUTED_VALUE"""),"REJECT")</f>
        <v>REJECT</v>
      </c>
      <c r="R450" s="66"/>
      <c r="S450" s="66"/>
      <c r="T450" s="66"/>
      <c r="U450" s="66"/>
      <c r="V450" s="66"/>
      <c r="W450" s="66"/>
      <c r="X450" s="66"/>
      <c r="Y450" s="66"/>
      <c r="Z450" s="66"/>
      <c r="AA450" s="66"/>
      <c r="AB450" s="66"/>
      <c r="AC450" s="66"/>
      <c r="AD450" s="66"/>
      <c r="AE450" s="66"/>
      <c r="AF450" s="66"/>
      <c r="AG450" s="66"/>
      <c r="AH450" s="66"/>
      <c r="AI450" s="66"/>
      <c r="AJ450" s="66"/>
      <c r="AK450" s="66"/>
      <c r="AL450" s="66"/>
      <c r="AM450" s="66"/>
      <c r="AN450" s="66"/>
      <c r="AO450" s="66"/>
    </row>
    <row r="451">
      <c r="A451" s="93"/>
      <c r="B451" s="85"/>
      <c r="C451" s="86"/>
      <c r="D451" s="93"/>
      <c r="E451" s="85"/>
      <c r="F451" s="85"/>
      <c r="G451" s="86"/>
      <c r="H451" s="78" t="str">
        <f>IFERROR(__xludf.DUMMYFUNCTION("""COMPUTED_VALUE"""),"")</f>
        <v/>
      </c>
      <c r="I451" s="85"/>
      <c r="J451" s="85"/>
      <c r="K451" s="85"/>
      <c r="L451" s="86" t="str">
        <f>IFERROR(__xludf.DUMMYFUNCTION("""COMPUTED_VALUE"""),"REJECT")</f>
        <v>REJECT</v>
      </c>
      <c r="M451" s="78" t="str">
        <f>IFERROR(__xludf.DUMMYFUNCTION("""COMPUTED_VALUE"""),"46058BER")</f>
        <v>46058BER</v>
      </c>
      <c r="N451" s="85" t="str">
        <f>IFERROR(__xludf.DUMMYFUNCTION("""COMPUTED_VALUE"""),"BER")</f>
        <v>BER</v>
      </c>
      <c r="O451" s="101">
        <f>IFERROR(__xludf.DUMMYFUNCTION("""COMPUTED_VALUE"""),46058.0)</f>
        <v>46058</v>
      </c>
      <c r="P451" s="104" t="str">
        <f>IFERROR(__xludf.DUMMYFUNCTION("""COMPUTED_VALUE"""),"Snow Storm")</f>
        <v>Snow Storm</v>
      </c>
      <c r="Q451" s="86" t="str">
        <f>IFERROR(__xludf.DUMMYFUNCTION("""COMPUTED_VALUE"""),"REJECT")</f>
        <v>REJECT</v>
      </c>
      <c r="R451" s="66"/>
      <c r="S451" s="66"/>
      <c r="T451" s="66"/>
      <c r="U451" s="66"/>
      <c r="V451" s="66"/>
      <c r="W451" s="66"/>
      <c r="X451" s="66"/>
      <c r="Y451" s="66"/>
      <c r="Z451" s="66"/>
      <c r="AA451" s="66"/>
      <c r="AB451" s="66"/>
      <c r="AC451" s="66"/>
      <c r="AD451" s="66"/>
      <c r="AE451" s="66"/>
      <c r="AF451" s="66"/>
      <c r="AG451" s="66"/>
      <c r="AH451" s="66"/>
      <c r="AI451" s="66"/>
      <c r="AJ451" s="66"/>
      <c r="AK451" s="66"/>
      <c r="AL451" s="66"/>
      <c r="AM451" s="66"/>
      <c r="AN451" s="66"/>
      <c r="AO451" s="66"/>
    </row>
    <row r="452">
      <c r="A452" s="93"/>
      <c r="B452" s="85"/>
      <c r="C452" s="86"/>
      <c r="D452" s="93"/>
      <c r="E452" s="85"/>
      <c r="F452" s="85"/>
      <c r="G452" s="86"/>
      <c r="H452" s="78" t="str">
        <f>IFERROR(__xludf.DUMMYFUNCTION("""COMPUTED_VALUE"""),"")</f>
        <v/>
      </c>
      <c r="I452" s="85"/>
      <c r="J452" s="85"/>
      <c r="K452" s="85"/>
      <c r="L452" s="86" t="str">
        <f>IFERROR(__xludf.DUMMYFUNCTION("""COMPUTED_VALUE"""),"REJECT")</f>
        <v>REJECT</v>
      </c>
      <c r="M452" s="78" t="str">
        <f>IFERROR(__xludf.DUMMYFUNCTION("""COMPUTED_VALUE"""),"46059BER")</f>
        <v>46059BER</v>
      </c>
      <c r="N452" s="85" t="str">
        <f>IFERROR(__xludf.DUMMYFUNCTION("""COMPUTED_VALUE"""),"BER")</f>
        <v>BER</v>
      </c>
      <c r="O452" s="101">
        <f>IFERROR(__xludf.DUMMYFUNCTION("""COMPUTED_VALUE"""),46059.0)</f>
        <v>46059</v>
      </c>
      <c r="P452" s="104" t="str">
        <f>IFERROR(__xludf.DUMMYFUNCTION("""COMPUTED_VALUE"""),"Snow Storm")</f>
        <v>Snow Storm</v>
      </c>
      <c r="Q452" s="86" t="str">
        <f>IFERROR(__xludf.DUMMYFUNCTION("""COMPUTED_VALUE"""),"REJECT")</f>
        <v>REJECT</v>
      </c>
      <c r="R452" s="66"/>
      <c r="S452" s="66"/>
      <c r="T452" s="66"/>
      <c r="U452" s="66"/>
      <c r="V452" s="66"/>
      <c r="W452" s="66"/>
      <c r="X452" s="66"/>
      <c r="Y452" s="66"/>
      <c r="Z452" s="66"/>
      <c r="AA452" s="66"/>
      <c r="AB452" s="66"/>
      <c r="AC452" s="66"/>
      <c r="AD452" s="66"/>
      <c r="AE452" s="66"/>
      <c r="AF452" s="66"/>
      <c r="AG452" s="66"/>
      <c r="AH452" s="66"/>
      <c r="AI452" s="66"/>
      <c r="AJ452" s="66"/>
      <c r="AK452" s="66"/>
      <c r="AL452" s="66"/>
      <c r="AM452" s="66"/>
      <c r="AN452" s="66"/>
      <c r="AO452" s="66"/>
    </row>
    <row r="453">
      <c r="A453" s="93"/>
      <c r="B453" s="85"/>
      <c r="C453" s="86"/>
      <c r="D453" s="93"/>
      <c r="E453" s="85"/>
      <c r="F453" s="85"/>
      <c r="G453" s="86"/>
      <c r="H453" s="78" t="str">
        <f>IFERROR(__xludf.DUMMYFUNCTION("""COMPUTED_VALUE"""),"")</f>
        <v/>
      </c>
      <c r="I453" s="85"/>
      <c r="J453" s="85"/>
      <c r="K453" s="85"/>
      <c r="L453" s="86" t="str">
        <f>IFERROR(__xludf.DUMMYFUNCTION("""COMPUTED_VALUE"""),"REJECT")</f>
        <v>REJECT</v>
      </c>
      <c r="M453" s="78" t="str">
        <f>IFERROR(__xludf.DUMMYFUNCTION("""COMPUTED_VALUE"""),"46048AUS")</f>
        <v>46048AUS</v>
      </c>
      <c r="N453" s="85" t="str">
        <f>IFERROR(__xludf.DUMMYFUNCTION("""COMPUTED_VALUE"""),"AUS")</f>
        <v>AUS</v>
      </c>
      <c r="O453" s="101">
        <f>IFERROR(__xludf.DUMMYFUNCTION("""COMPUTED_VALUE"""),46048.0)</f>
        <v>46048</v>
      </c>
      <c r="P453" s="104" t="str">
        <f>IFERROR(__xludf.DUMMYFUNCTION("""COMPUTED_VALUE"""),"Winter Storm Fern")</f>
        <v>Winter Storm Fern</v>
      </c>
      <c r="Q453" s="86" t="str">
        <f>IFERROR(__xludf.DUMMYFUNCTION("""COMPUTED_VALUE"""),"REJECT")</f>
        <v>REJECT</v>
      </c>
      <c r="R453" s="66"/>
      <c r="S453" s="66"/>
      <c r="T453" s="66"/>
      <c r="U453" s="66"/>
      <c r="V453" s="66"/>
      <c r="W453" s="66"/>
      <c r="X453" s="66"/>
      <c r="Y453" s="66"/>
      <c r="Z453" s="66"/>
      <c r="AA453" s="66"/>
      <c r="AB453" s="66"/>
      <c r="AC453" s="66"/>
      <c r="AD453" s="66"/>
      <c r="AE453" s="66"/>
      <c r="AF453" s="66"/>
      <c r="AG453" s="66"/>
      <c r="AH453" s="66"/>
      <c r="AI453" s="66"/>
      <c r="AJ453" s="66"/>
      <c r="AK453" s="66"/>
      <c r="AL453" s="66"/>
      <c r="AM453" s="66"/>
      <c r="AN453" s="66"/>
      <c r="AO453" s="66"/>
    </row>
    <row r="454">
      <c r="A454" s="93"/>
      <c r="B454" s="85"/>
      <c r="C454" s="86"/>
      <c r="D454" s="93"/>
      <c r="E454" s="85"/>
      <c r="F454" s="85"/>
      <c r="G454" s="86"/>
      <c r="H454" s="78" t="str">
        <f>IFERROR(__xludf.DUMMYFUNCTION("""COMPUTED_VALUE"""),"")</f>
        <v/>
      </c>
      <c r="I454" s="85"/>
      <c r="J454" s="85"/>
      <c r="K454" s="85"/>
      <c r="L454" s="86" t="str">
        <f>IFERROR(__xludf.DUMMYFUNCTION("""COMPUTED_VALUE"""),"REJECT")</f>
        <v>REJECT</v>
      </c>
      <c r="M454" s="78" t="str">
        <f>IFERROR(__xludf.DUMMYFUNCTION("""COMPUTED_VALUE"""),"46046AUS")</f>
        <v>46046AUS</v>
      </c>
      <c r="N454" s="85" t="str">
        <f>IFERROR(__xludf.DUMMYFUNCTION("""COMPUTED_VALUE"""),"AUS")</f>
        <v>AUS</v>
      </c>
      <c r="O454" s="101">
        <f>IFERROR(__xludf.DUMMYFUNCTION("""COMPUTED_VALUE"""),46046.0)</f>
        <v>46046</v>
      </c>
      <c r="P454" s="104" t="str">
        <f>IFERROR(__xludf.DUMMYFUNCTION("""COMPUTED_VALUE"""),"Winter Storm Fern")</f>
        <v>Winter Storm Fern</v>
      </c>
      <c r="Q454" s="86" t="str">
        <f>IFERROR(__xludf.DUMMYFUNCTION("""COMPUTED_VALUE"""),"REJECT")</f>
        <v>REJECT</v>
      </c>
      <c r="R454" s="66"/>
      <c r="S454" s="66"/>
      <c r="T454" s="66"/>
      <c r="U454" s="66"/>
      <c r="V454" s="66"/>
      <c r="W454" s="66"/>
      <c r="X454" s="66"/>
      <c r="Y454" s="66"/>
      <c r="Z454" s="66"/>
      <c r="AA454" s="66"/>
      <c r="AB454" s="66"/>
      <c r="AC454" s="66"/>
      <c r="AD454" s="66"/>
      <c r="AE454" s="66"/>
      <c r="AF454" s="66"/>
      <c r="AG454" s="66"/>
      <c r="AH454" s="66"/>
      <c r="AI454" s="66"/>
      <c r="AJ454" s="66"/>
      <c r="AK454" s="66"/>
      <c r="AL454" s="66"/>
      <c r="AM454" s="66"/>
      <c r="AN454" s="66"/>
      <c r="AO454" s="66"/>
    </row>
    <row r="455">
      <c r="A455" s="93"/>
      <c r="B455" s="85"/>
      <c r="C455" s="86"/>
      <c r="D455" s="93"/>
      <c r="E455" s="85"/>
      <c r="F455" s="85"/>
      <c r="G455" s="86"/>
      <c r="H455" s="78" t="str">
        <f>IFERROR(__xludf.DUMMYFUNCTION("""COMPUTED_VALUE"""),"")</f>
        <v/>
      </c>
      <c r="I455" s="85"/>
      <c r="J455" s="85"/>
      <c r="K455" s="85"/>
      <c r="L455" s="86" t="str">
        <f>IFERROR(__xludf.DUMMYFUNCTION("""COMPUTED_VALUE"""),"REJECT")</f>
        <v>REJECT</v>
      </c>
      <c r="M455" s="78" t="str">
        <f>IFERROR(__xludf.DUMMYFUNCTION("""COMPUTED_VALUE"""),"46047AUS")</f>
        <v>46047AUS</v>
      </c>
      <c r="N455" s="85" t="str">
        <f>IFERROR(__xludf.DUMMYFUNCTION("""COMPUTED_VALUE"""),"AUS")</f>
        <v>AUS</v>
      </c>
      <c r="O455" s="101">
        <f>IFERROR(__xludf.DUMMYFUNCTION("""COMPUTED_VALUE"""),46047.0)</f>
        <v>46047</v>
      </c>
      <c r="P455" s="104" t="str">
        <f>IFERROR(__xludf.DUMMYFUNCTION("""COMPUTED_VALUE"""),"Winter Storm Fern")</f>
        <v>Winter Storm Fern</v>
      </c>
      <c r="Q455" s="86" t="str">
        <f>IFERROR(__xludf.DUMMYFUNCTION("""COMPUTED_VALUE"""),"REJECT")</f>
        <v>REJECT</v>
      </c>
      <c r="R455" s="66"/>
      <c r="S455" s="66"/>
      <c r="T455" s="66"/>
      <c r="U455" s="66"/>
      <c r="V455" s="66"/>
      <c r="W455" s="66"/>
      <c r="X455" s="66"/>
      <c r="Y455" s="66"/>
      <c r="Z455" s="66"/>
      <c r="AA455" s="66"/>
      <c r="AB455" s="66"/>
      <c r="AC455" s="66"/>
      <c r="AD455" s="66"/>
      <c r="AE455" s="66"/>
      <c r="AF455" s="66"/>
      <c r="AG455" s="66"/>
      <c r="AH455" s="66"/>
      <c r="AI455" s="66"/>
      <c r="AJ455" s="66"/>
      <c r="AK455" s="66"/>
      <c r="AL455" s="66"/>
      <c r="AM455" s="66"/>
      <c r="AN455" s="66"/>
      <c r="AO455" s="66"/>
    </row>
    <row r="456">
      <c r="A456" s="93"/>
      <c r="B456" s="85"/>
      <c r="C456" s="86"/>
      <c r="D456" s="93"/>
      <c r="E456" s="85"/>
      <c r="F456" s="85"/>
      <c r="G456" s="86"/>
      <c r="H456" s="78" t="str">
        <f>IFERROR(__xludf.DUMMYFUNCTION("""COMPUTED_VALUE"""),"")</f>
        <v/>
      </c>
      <c r="I456" s="85"/>
      <c r="J456" s="85"/>
      <c r="K456" s="85"/>
      <c r="L456" s="86" t="str">
        <f>IFERROR(__xludf.DUMMYFUNCTION("""COMPUTED_VALUE"""),"REJECT")</f>
        <v>REJECT</v>
      </c>
      <c r="M456" s="78" t="str">
        <f>IFERROR(__xludf.DUMMYFUNCTION("""COMPUTED_VALUE"""),"46047IAH")</f>
        <v>46047IAH</v>
      </c>
      <c r="N456" s="85" t="str">
        <f>IFERROR(__xludf.DUMMYFUNCTION("""COMPUTED_VALUE"""),"IAH")</f>
        <v>IAH</v>
      </c>
      <c r="O456" s="101">
        <f>IFERROR(__xludf.DUMMYFUNCTION("""COMPUTED_VALUE"""),46047.0)</f>
        <v>46047</v>
      </c>
      <c r="P456" s="104" t="str">
        <f>IFERROR(__xludf.DUMMYFUNCTION("""COMPUTED_VALUE"""),"Winter Storm Fern")</f>
        <v>Winter Storm Fern</v>
      </c>
      <c r="Q456" s="86" t="str">
        <f>IFERROR(__xludf.DUMMYFUNCTION("""COMPUTED_VALUE"""),"REJECT")</f>
        <v>REJECT</v>
      </c>
      <c r="R456" s="66"/>
      <c r="S456" s="66"/>
      <c r="T456" s="66"/>
      <c r="U456" s="66"/>
      <c r="V456" s="66"/>
      <c r="W456" s="66"/>
      <c r="X456" s="66"/>
      <c r="Y456" s="66"/>
      <c r="Z456" s="66"/>
      <c r="AA456" s="66"/>
      <c r="AB456" s="66"/>
      <c r="AC456" s="66"/>
      <c r="AD456" s="66"/>
      <c r="AE456" s="66"/>
      <c r="AF456" s="66"/>
      <c r="AG456" s="66"/>
      <c r="AH456" s="66"/>
      <c r="AI456" s="66"/>
      <c r="AJ456" s="66"/>
      <c r="AK456" s="66"/>
      <c r="AL456" s="66"/>
      <c r="AM456" s="66"/>
      <c r="AN456" s="66"/>
      <c r="AO456" s="66"/>
    </row>
    <row r="457">
      <c r="A457" s="93"/>
      <c r="B457" s="85"/>
      <c r="C457" s="86"/>
      <c r="D457" s="93"/>
      <c r="E457" s="85"/>
      <c r="F457" s="85"/>
      <c r="G457" s="86"/>
      <c r="H457" s="78" t="str">
        <f>IFERROR(__xludf.DUMMYFUNCTION("""COMPUTED_VALUE"""),"")</f>
        <v/>
      </c>
      <c r="I457" s="85"/>
      <c r="J457" s="85"/>
      <c r="K457" s="85"/>
      <c r="L457" s="86" t="str">
        <f>IFERROR(__xludf.DUMMYFUNCTION("""COMPUTED_VALUE"""),"REJECT")</f>
        <v>REJECT</v>
      </c>
      <c r="M457" s="78" t="str">
        <f>IFERROR(__xludf.DUMMYFUNCTION("""COMPUTED_VALUE"""),"46048IAH")</f>
        <v>46048IAH</v>
      </c>
      <c r="N457" s="85" t="str">
        <f>IFERROR(__xludf.DUMMYFUNCTION("""COMPUTED_VALUE"""),"IAH")</f>
        <v>IAH</v>
      </c>
      <c r="O457" s="101">
        <f>IFERROR(__xludf.DUMMYFUNCTION("""COMPUTED_VALUE"""),46048.0)</f>
        <v>46048</v>
      </c>
      <c r="P457" s="104" t="str">
        <f>IFERROR(__xludf.DUMMYFUNCTION("""COMPUTED_VALUE"""),"Winter Storm Fern")</f>
        <v>Winter Storm Fern</v>
      </c>
      <c r="Q457" s="86" t="str">
        <f>IFERROR(__xludf.DUMMYFUNCTION("""COMPUTED_VALUE"""),"REJECT")</f>
        <v>REJECT</v>
      </c>
      <c r="R457" s="66"/>
      <c r="S457" s="66"/>
      <c r="T457" s="66"/>
      <c r="U457" s="66"/>
      <c r="V457" s="66"/>
      <c r="W457" s="66"/>
      <c r="X457" s="66"/>
      <c r="Y457" s="66"/>
      <c r="Z457" s="66"/>
      <c r="AA457" s="66"/>
      <c r="AB457" s="66"/>
      <c r="AC457" s="66"/>
      <c r="AD457" s="66"/>
      <c r="AE457" s="66"/>
      <c r="AF457" s="66"/>
      <c r="AG457" s="66"/>
      <c r="AH457" s="66"/>
      <c r="AI457" s="66"/>
      <c r="AJ457" s="66"/>
      <c r="AK457" s="66"/>
      <c r="AL457" s="66"/>
      <c r="AM457" s="66"/>
      <c r="AN457" s="66"/>
      <c r="AO457" s="66"/>
    </row>
    <row r="458">
      <c r="A458" s="93"/>
      <c r="B458" s="85"/>
      <c r="C458" s="86"/>
      <c r="D458" s="93"/>
      <c r="E458" s="85"/>
      <c r="F458" s="85"/>
      <c r="G458" s="86"/>
      <c r="H458" s="78" t="str">
        <f>IFERROR(__xludf.DUMMYFUNCTION("""COMPUTED_VALUE"""),"")</f>
        <v/>
      </c>
      <c r="I458" s="85"/>
      <c r="J458" s="85"/>
      <c r="K458" s="85"/>
      <c r="L458" s="86" t="str">
        <f>IFERROR(__xludf.DUMMYFUNCTION("""COMPUTED_VALUE"""),"REJECT")</f>
        <v>REJECT</v>
      </c>
      <c r="M458" s="78" t="str">
        <f>IFERROR(__xludf.DUMMYFUNCTION("""COMPUTED_VALUE"""),"46058AGP")</f>
        <v>46058AGP</v>
      </c>
      <c r="N458" s="85" t="str">
        <f>IFERROR(__xludf.DUMMYFUNCTION("""COMPUTED_VALUE"""),"AGP")</f>
        <v>AGP</v>
      </c>
      <c r="O458" s="101">
        <f>IFERROR(__xludf.DUMMYFUNCTION("""COMPUTED_VALUE"""),46058.0)</f>
        <v>46058</v>
      </c>
      <c r="P458" s="85" t="str">
        <f>IFERROR(__xludf.DUMMYFUNCTION("""COMPUTED_VALUE"""),"Bad Weather, proceed if the client didn't mention (Weather /Force majeure /Problems at the airport/Influence by other flights)")</f>
        <v>Bad Weather, proceed if the client didn't mention (Weather /Force majeure /Problems at the airport/Influence by other flights)</v>
      </c>
      <c r="Q458" s="86" t="str">
        <f>IFERROR(__xludf.DUMMYFUNCTION("""COMPUTED_VALUE"""),"REJECT")</f>
        <v>REJECT</v>
      </c>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row>
    <row r="459">
      <c r="A459" s="93"/>
      <c r="B459" s="85"/>
      <c r="C459" s="86"/>
      <c r="D459" s="93"/>
      <c r="E459" s="85"/>
      <c r="F459" s="85"/>
      <c r="G459" s="86"/>
      <c r="H459" s="78" t="str">
        <f>IFERROR(__xludf.DUMMYFUNCTION("""COMPUTED_VALUE"""),"")</f>
        <v/>
      </c>
      <c r="I459" s="85"/>
      <c r="J459" s="85"/>
      <c r="K459" s="85"/>
      <c r="L459" s="86" t="str">
        <f>IFERROR(__xludf.DUMMYFUNCTION("""COMPUTED_VALUE"""),"REJECT")</f>
        <v>REJECT</v>
      </c>
      <c r="M459" s="78" t="str">
        <f>IFERROR(__xludf.DUMMYFUNCTION("""COMPUTED_VALUE"""),"46058MAD")</f>
        <v>46058MAD</v>
      </c>
      <c r="N459" s="85" t="str">
        <f>IFERROR(__xludf.DUMMYFUNCTION("""COMPUTED_VALUE"""),"MAD")</f>
        <v>MAD</v>
      </c>
      <c r="O459" s="101">
        <f>IFERROR(__xludf.DUMMYFUNCTION("""COMPUTED_VALUE"""),46058.0)</f>
        <v>46058</v>
      </c>
      <c r="P459" s="85" t="str">
        <f>IFERROR(__xludf.DUMMYFUNCTION("""COMPUTED_VALUE"""),"Bad Weather, proceed if the client didn't mention (Weather /Force majeure /Problems at the airport/Influence by other flights)")</f>
        <v>Bad Weather, proceed if the client didn't mention (Weather /Force majeure /Problems at the airport/Influence by other flights)</v>
      </c>
      <c r="Q459" s="86" t="str">
        <f>IFERROR(__xludf.DUMMYFUNCTION("""COMPUTED_VALUE"""),"REJECT")</f>
        <v>REJECT</v>
      </c>
      <c r="R459" s="66"/>
      <c r="S459" s="66"/>
      <c r="T459" s="66"/>
      <c r="U459" s="66"/>
      <c r="V459" s="66"/>
      <c r="W459" s="66"/>
      <c r="X459" s="66"/>
      <c r="Y459" s="66"/>
      <c r="Z459" s="66"/>
      <c r="AA459" s="66"/>
      <c r="AB459" s="66"/>
      <c r="AC459" s="66"/>
      <c r="AD459" s="66"/>
      <c r="AE459" s="66"/>
      <c r="AF459" s="66"/>
      <c r="AG459" s="66"/>
      <c r="AH459" s="66"/>
      <c r="AI459" s="66"/>
      <c r="AJ459" s="66"/>
      <c r="AK459" s="66"/>
      <c r="AL459" s="66"/>
      <c r="AM459" s="66"/>
      <c r="AN459" s="66"/>
      <c r="AO459" s="66"/>
    </row>
    <row r="460">
      <c r="A460" s="93"/>
      <c r="B460" s="85"/>
      <c r="C460" s="86"/>
      <c r="D460" s="93"/>
      <c r="E460" s="85"/>
      <c r="F460" s="85"/>
      <c r="G460" s="86"/>
      <c r="H460" s="78" t="str">
        <f>IFERROR(__xludf.DUMMYFUNCTION("""COMPUTED_VALUE"""),"")</f>
        <v/>
      </c>
      <c r="I460" s="85"/>
      <c r="J460" s="85"/>
      <c r="K460" s="85"/>
      <c r="L460" s="86" t="str">
        <f>IFERROR(__xludf.DUMMYFUNCTION("""COMPUTED_VALUE"""),"REJECT")</f>
        <v>REJECT</v>
      </c>
      <c r="M460" s="78" t="str">
        <f>IFERROR(__xludf.DUMMYFUNCTION("""COMPUTED_VALUE"""),"45957MBJ")</f>
        <v>45957MBJ</v>
      </c>
      <c r="N460" s="85" t="str">
        <f>IFERROR(__xludf.DUMMYFUNCTION("""COMPUTED_VALUE"""),"MBJ")</f>
        <v>MBJ</v>
      </c>
      <c r="O460" s="101">
        <f>IFERROR(__xludf.DUMMYFUNCTION("""COMPUTED_VALUE"""),45957.0)</f>
        <v>45957</v>
      </c>
      <c r="P460" s="104" t="str">
        <f>IFERROR(__xludf.DUMMYFUNCTION("""COMPUTED_VALUE""")," Flood")</f>
        <v> Flood</v>
      </c>
      <c r="Q460" s="86" t="str">
        <f>IFERROR(__xludf.DUMMYFUNCTION("""COMPUTED_VALUE"""),"REJECT")</f>
        <v>REJECT</v>
      </c>
      <c r="R460" s="66"/>
      <c r="S460" s="66"/>
      <c r="T460" s="66"/>
      <c r="U460" s="66"/>
      <c r="V460" s="66"/>
      <c r="W460" s="66"/>
      <c r="X460" s="66"/>
      <c r="Y460" s="66"/>
      <c r="Z460" s="66"/>
      <c r="AA460" s="66"/>
      <c r="AB460" s="66"/>
      <c r="AC460" s="66"/>
      <c r="AD460" s="66"/>
      <c r="AE460" s="66"/>
      <c r="AF460" s="66"/>
      <c r="AG460" s="66"/>
      <c r="AH460" s="66"/>
      <c r="AI460" s="66"/>
      <c r="AJ460" s="66"/>
      <c r="AK460" s="66"/>
      <c r="AL460" s="66"/>
      <c r="AM460" s="66"/>
      <c r="AN460" s="66"/>
      <c r="AO460" s="66"/>
    </row>
    <row r="461">
      <c r="A461" s="93"/>
      <c r="B461" s="85"/>
      <c r="C461" s="86"/>
      <c r="D461" s="93"/>
      <c r="E461" s="85"/>
      <c r="F461" s="85"/>
      <c r="G461" s="86"/>
      <c r="H461" s="78" t="str">
        <f>IFERROR(__xludf.DUMMYFUNCTION("""COMPUTED_VALUE"""),"")</f>
        <v/>
      </c>
      <c r="I461" s="85"/>
      <c r="J461" s="85"/>
      <c r="K461" s="85"/>
      <c r="L461" s="86" t="str">
        <f>IFERROR(__xludf.DUMMYFUNCTION("""COMPUTED_VALUE"""),"REJECT")</f>
        <v>REJECT</v>
      </c>
      <c r="M461" s="78" t="str">
        <f>IFERROR(__xludf.DUMMYFUNCTION("""COMPUTED_VALUE"""),"45956MBJ")</f>
        <v>45956MBJ</v>
      </c>
      <c r="N461" s="85" t="str">
        <f>IFERROR(__xludf.DUMMYFUNCTION("""COMPUTED_VALUE"""),"MBJ")</f>
        <v>MBJ</v>
      </c>
      <c r="O461" s="101">
        <f>IFERROR(__xludf.DUMMYFUNCTION("""COMPUTED_VALUE"""),45956.0)</f>
        <v>45956</v>
      </c>
      <c r="P461" s="104" t="str">
        <f>IFERROR(__xludf.DUMMYFUNCTION("""COMPUTED_VALUE""")," Flood")</f>
        <v> Flood</v>
      </c>
      <c r="Q461" s="86" t="str">
        <f>IFERROR(__xludf.DUMMYFUNCTION("""COMPUTED_VALUE"""),"REJECT")</f>
        <v>REJECT</v>
      </c>
      <c r="R461" s="66"/>
      <c r="S461" s="66"/>
      <c r="T461" s="66"/>
      <c r="U461" s="66"/>
      <c r="V461" s="66"/>
      <c r="W461" s="66"/>
      <c r="X461" s="66"/>
      <c r="Y461" s="66"/>
      <c r="Z461" s="66"/>
      <c r="AA461" s="66"/>
      <c r="AB461" s="66"/>
      <c r="AC461" s="66"/>
      <c r="AD461" s="66"/>
      <c r="AE461" s="66"/>
      <c r="AF461" s="66"/>
      <c r="AG461" s="66"/>
      <c r="AH461" s="66"/>
      <c r="AI461" s="66"/>
      <c r="AJ461" s="66"/>
      <c r="AK461" s="66"/>
      <c r="AL461" s="66"/>
      <c r="AM461" s="66"/>
      <c r="AN461" s="66"/>
      <c r="AO461" s="66"/>
    </row>
    <row r="462">
      <c r="A462" s="93"/>
      <c r="B462" s="85"/>
      <c r="C462" s="86"/>
      <c r="D462" s="93"/>
      <c r="E462" s="85"/>
      <c r="F462" s="85"/>
      <c r="G462" s="86"/>
      <c r="H462" s="78" t="str">
        <f>IFERROR(__xludf.DUMMYFUNCTION("""COMPUTED_VALUE"""),"")</f>
        <v/>
      </c>
      <c r="I462" s="85"/>
      <c r="J462" s="85"/>
      <c r="K462" s="85"/>
      <c r="L462" s="86" t="str">
        <f>IFERROR(__xludf.DUMMYFUNCTION("""COMPUTED_VALUE"""),"REJECT")</f>
        <v>REJECT</v>
      </c>
      <c r="M462" s="78" t="str">
        <f>IFERROR(__xludf.DUMMYFUNCTION("""COMPUTED_VALUE"""),"45958MBJ")</f>
        <v>45958MBJ</v>
      </c>
      <c r="N462" s="85" t="str">
        <f>IFERROR(__xludf.DUMMYFUNCTION("""COMPUTED_VALUE"""),"MBJ")</f>
        <v>MBJ</v>
      </c>
      <c r="O462" s="101">
        <f>IFERROR(__xludf.DUMMYFUNCTION("""COMPUTED_VALUE"""),45958.0)</f>
        <v>45958</v>
      </c>
      <c r="P462" s="104" t="str">
        <f>IFERROR(__xludf.DUMMYFUNCTION("""COMPUTED_VALUE""")," Flood")</f>
        <v> Flood</v>
      </c>
      <c r="Q462" s="86" t="str">
        <f>IFERROR(__xludf.DUMMYFUNCTION("""COMPUTED_VALUE"""),"REJECT")</f>
        <v>REJECT</v>
      </c>
      <c r="R462" s="66"/>
      <c r="S462" s="66"/>
      <c r="T462" s="66"/>
      <c r="U462" s="66"/>
      <c r="V462" s="66"/>
      <c r="W462" s="66"/>
      <c r="X462" s="66"/>
      <c r="Y462" s="66"/>
      <c r="Z462" s="66"/>
      <c r="AA462" s="66"/>
      <c r="AB462" s="66"/>
      <c r="AC462" s="66"/>
      <c r="AD462" s="66"/>
      <c r="AE462" s="66"/>
      <c r="AF462" s="66"/>
      <c r="AG462" s="66"/>
      <c r="AH462" s="66"/>
      <c r="AI462" s="66"/>
      <c r="AJ462" s="66"/>
      <c r="AK462" s="66"/>
      <c r="AL462" s="66"/>
      <c r="AM462" s="66"/>
      <c r="AN462" s="66"/>
      <c r="AO462" s="66"/>
    </row>
    <row r="463">
      <c r="A463" s="93"/>
      <c r="B463" s="85"/>
      <c r="C463" s="86"/>
      <c r="D463" s="93"/>
      <c r="E463" s="85"/>
      <c r="F463" s="85"/>
      <c r="G463" s="86"/>
      <c r="H463" s="78" t="str">
        <f>IFERROR(__xludf.DUMMYFUNCTION("""COMPUTED_VALUE"""),"")</f>
        <v/>
      </c>
      <c r="I463" s="85"/>
      <c r="J463" s="85"/>
      <c r="K463" s="85"/>
      <c r="L463" s="86" t="str">
        <f>IFERROR(__xludf.DUMMYFUNCTION("""COMPUTED_VALUE"""),"REJECT")</f>
        <v>REJECT</v>
      </c>
      <c r="M463" s="78" t="str">
        <f>IFERROR(__xludf.DUMMYFUNCTION("""COMPUTED_VALUE"""),"45959MBJ")</f>
        <v>45959MBJ</v>
      </c>
      <c r="N463" s="85" t="str">
        <f>IFERROR(__xludf.DUMMYFUNCTION("""COMPUTED_VALUE"""),"MBJ")</f>
        <v>MBJ</v>
      </c>
      <c r="O463" s="101">
        <f>IFERROR(__xludf.DUMMYFUNCTION("""COMPUTED_VALUE"""),45959.0)</f>
        <v>45959</v>
      </c>
      <c r="P463" s="104" t="str">
        <f>IFERROR(__xludf.DUMMYFUNCTION("""COMPUTED_VALUE""")," Flood")</f>
        <v> Flood</v>
      </c>
      <c r="Q463" s="86" t="str">
        <f>IFERROR(__xludf.DUMMYFUNCTION("""COMPUTED_VALUE"""),"REJECT")</f>
        <v>REJECT</v>
      </c>
      <c r="R463" s="66"/>
      <c r="S463" s="66"/>
      <c r="T463" s="66"/>
      <c r="U463" s="66"/>
      <c r="V463" s="66"/>
      <c r="W463" s="66"/>
      <c r="X463" s="66"/>
      <c r="Y463" s="66"/>
      <c r="Z463" s="66"/>
      <c r="AA463" s="66"/>
      <c r="AB463" s="66"/>
      <c r="AC463" s="66"/>
      <c r="AD463" s="66"/>
      <c r="AE463" s="66"/>
      <c r="AF463" s="66"/>
      <c r="AG463" s="66"/>
      <c r="AH463" s="66"/>
      <c r="AI463" s="66"/>
      <c r="AJ463" s="66"/>
      <c r="AK463" s="66"/>
      <c r="AL463" s="66"/>
      <c r="AM463" s="66"/>
      <c r="AN463" s="66"/>
      <c r="AO463" s="66"/>
    </row>
    <row r="464">
      <c r="A464" s="93"/>
      <c r="B464" s="85"/>
      <c r="C464" s="86"/>
      <c r="D464" s="93"/>
      <c r="E464" s="85"/>
      <c r="F464" s="85"/>
      <c r="G464" s="86"/>
      <c r="H464" s="78" t="str">
        <f>IFERROR(__xludf.DUMMYFUNCTION("""COMPUTED_VALUE"""),"")</f>
        <v/>
      </c>
      <c r="I464" s="85"/>
      <c r="J464" s="85"/>
      <c r="K464" s="85"/>
      <c r="L464" s="86" t="str">
        <f>IFERROR(__xludf.DUMMYFUNCTION("""COMPUTED_VALUE"""),"REJECT")</f>
        <v>REJECT</v>
      </c>
      <c r="M464" s="78" t="str">
        <f>IFERROR(__xludf.DUMMYFUNCTION("""COMPUTED_VALUE"""),"45960MBJ")</f>
        <v>45960MBJ</v>
      </c>
      <c r="N464" s="85" t="str">
        <f>IFERROR(__xludf.DUMMYFUNCTION("""COMPUTED_VALUE"""),"MBJ")</f>
        <v>MBJ</v>
      </c>
      <c r="O464" s="101">
        <f>IFERROR(__xludf.DUMMYFUNCTION("""COMPUTED_VALUE"""),45960.0)</f>
        <v>45960</v>
      </c>
      <c r="P464" s="104" t="str">
        <f>IFERROR(__xludf.DUMMYFUNCTION("""COMPUTED_VALUE""")," Flood")</f>
        <v> Flood</v>
      </c>
      <c r="Q464" s="86" t="str">
        <f>IFERROR(__xludf.DUMMYFUNCTION("""COMPUTED_VALUE"""),"REJECT")</f>
        <v>REJECT</v>
      </c>
      <c r="R464" s="66"/>
      <c r="S464" s="66"/>
      <c r="T464" s="66"/>
      <c r="U464" s="66"/>
      <c r="V464" s="66"/>
      <c r="W464" s="66"/>
      <c r="X464" s="66"/>
      <c r="Y464" s="66"/>
      <c r="Z464" s="66"/>
      <c r="AA464" s="66"/>
      <c r="AB464" s="66"/>
      <c r="AC464" s="66"/>
      <c r="AD464" s="66"/>
      <c r="AE464" s="66"/>
      <c r="AF464" s="66"/>
      <c r="AG464" s="66"/>
      <c r="AH464" s="66"/>
      <c r="AI464" s="66"/>
      <c r="AJ464" s="66"/>
      <c r="AK464" s="66"/>
      <c r="AL464" s="66"/>
      <c r="AM464" s="66"/>
      <c r="AN464" s="66"/>
      <c r="AO464" s="66"/>
    </row>
    <row r="465">
      <c r="A465" s="93"/>
      <c r="B465" s="85"/>
      <c r="C465" s="86"/>
      <c r="D465" s="93"/>
      <c r="E465" s="85"/>
      <c r="F465" s="85"/>
      <c r="G465" s="86"/>
      <c r="H465" s="78" t="str">
        <f>IFERROR(__xludf.DUMMYFUNCTION("""COMPUTED_VALUE"""),"")</f>
        <v/>
      </c>
      <c r="I465" s="85"/>
      <c r="J465" s="85"/>
      <c r="K465" s="85"/>
      <c r="L465" s="86" t="str">
        <f>IFERROR(__xludf.DUMMYFUNCTION("""COMPUTED_VALUE"""),"REJECT")</f>
        <v>REJECT</v>
      </c>
      <c r="M465" s="78" t="str">
        <f>IFERROR(__xludf.DUMMYFUNCTION("""COMPUTED_VALUE"""),"45961MBJ")</f>
        <v>45961MBJ</v>
      </c>
      <c r="N465" s="85" t="str">
        <f>IFERROR(__xludf.DUMMYFUNCTION("""COMPUTED_VALUE"""),"MBJ")</f>
        <v>MBJ</v>
      </c>
      <c r="O465" s="101">
        <f>IFERROR(__xludf.DUMMYFUNCTION("""COMPUTED_VALUE"""),45961.0)</f>
        <v>45961</v>
      </c>
      <c r="P465" s="104" t="str">
        <f>IFERROR(__xludf.DUMMYFUNCTION("""COMPUTED_VALUE""")," Flood")</f>
        <v> Flood</v>
      </c>
      <c r="Q465" s="86" t="str">
        <f>IFERROR(__xludf.DUMMYFUNCTION("""COMPUTED_VALUE"""),"REJECT")</f>
        <v>REJECT</v>
      </c>
      <c r="R465" s="66"/>
      <c r="S465" s="66"/>
      <c r="T465" s="66"/>
      <c r="U465" s="66"/>
      <c r="V465" s="66"/>
      <c r="W465" s="66"/>
      <c r="X465" s="66"/>
      <c r="Y465" s="66"/>
      <c r="Z465" s="66"/>
      <c r="AA465" s="66"/>
      <c r="AB465" s="66"/>
      <c r="AC465" s="66"/>
      <c r="AD465" s="66"/>
      <c r="AE465" s="66"/>
      <c r="AF465" s="66"/>
      <c r="AG465" s="66"/>
      <c r="AH465" s="66"/>
      <c r="AI465" s="66"/>
      <c r="AJ465" s="66"/>
      <c r="AK465" s="66"/>
      <c r="AL465" s="66"/>
      <c r="AM465" s="66"/>
      <c r="AN465" s="66"/>
      <c r="AO465" s="66"/>
    </row>
    <row r="466">
      <c r="A466" s="93"/>
      <c r="B466" s="85"/>
      <c r="C466" s="86"/>
      <c r="D466" s="93"/>
      <c r="E466" s="85"/>
      <c r="F466" s="85"/>
      <c r="G466" s="86"/>
      <c r="H466" s="78" t="str">
        <f>IFERROR(__xludf.DUMMYFUNCTION("""COMPUTED_VALUE"""),"")</f>
        <v/>
      </c>
      <c r="I466" s="85"/>
      <c r="J466" s="85"/>
      <c r="K466" s="85"/>
      <c r="L466" s="86" t="str">
        <f>IFERROR(__xludf.DUMMYFUNCTION("""COMPUTED_VALUE"""),"REJECT")</f>
        <v>REJECT</v>
      </c>
      <c r="M466" s="78" t="str">
        <f>IFERROR(__xludf.DUMMYFUNCTION("""COMPUTED_VALUE"""),"46025BGY")</f>
        <v>46025BGY</v>
      </c>
      <c r="N466" s="85" t="str">
        <f>IFERROR(__xludf.DUMMYFUNCTION("""COMPUTED_VALUE"""),"BGY")</f>
        <v>BGY</v>
      </c>
      <c r="O466" s="101">
        <f>IFERROR(__xludf.DUMMYFUNCTION("""COMPUTED_VALUE"""),46025.0)</f>
        <v>46025</v>
      </c>
      <c r="P466" s="104" t="str">
        <f>IFERROR(__xludf.DUMMYFUNCTION("""COMPUTED_VALUE"""),"ILS failure combined with dense fog")</f>
        <v>ILS failure combined with dense fog</v>
      </c>
      <c r="Q466" s="86" t="str">
        <f>IFERROR(__xludf.DUMMYFUNCTION("""COMPUTED_VALUE"""),"REJECT")</f>
        <v>REJECT</v>
      </c>
      <c r="R466" s="66"/>
      <c r="S466" s="66"/>
      <c r="T466" s="66"/>
      <c r="U466" s="66"/>
      <c r="V466" s="66"/>
      <c r="W466" s="66"/>
      <c r="X466" s="66"/>
      <c r="Y466" s="66"/>
      <c r="Z466" s="66"/>
      <c r="AA466" s="66"/>
      <c r="AB466" s="66"/>
      <c r="AC466" s="66"/>
      <c r="AD466" s="66"/>
      <c r="AE466" s="66"/>
      <c r="AF466" s="66"/>
      <c r="AG466" s="66"/>
      <c r="AH466" s="66"/>
      <c r="AI466" s="66"/>
      <c r="AJ466" s="66"/>
      <c r="AK466" s="66"/>
      <c r="AL466" s="66"/>
      <c r="AM466" s="66"/>
      <c r="AN466" s="66"/>
      <c r="AO466" s="66"/>
    </row>
    <row r="467">
      <c r="A467" s="93"/>
      <c r="B467" s="85"/>
      <c r="C467" s="86"/>
      <c r="D467" s="93"/>
      <c r="E467" s="85"/>
      <c r="F467" s="85"/>
      <c r="G467" s="86"/>
      <c r="H467" s="78" t="str">
        <f>IFERROR(__xludf.DUMMYFUNCTION("""COMPUTED_VALUE"""),"")</f>
        <v/>
      </c>
      <c r="I467" s="85"/>
      <c r="J467" s="85"/>
      <c r="K467" s="85"/>
      <c r="L467" s="86" t="str">
        <f>IFERROR(__xludf.DUMMYFUNCTION("""COMPUTED_VALUE"""),"REJECT")</f>
        <v>REJECT</v>
      </c>
      <c r="M467" s="78" t="str">
        <f>IFERROR(__xludf.DUMMYFUNCTION("""COMPUTED_VALUE"""),"46026BGY")</f>
        <v>46026BGY</v>
      </c>
      <c r="N467" s="85" t="str">
        <f>IFERROR(__xludf.DUMMYFUNCTION("""COMPUTED_VALUE"""),"BGY")</f>
        <v>BGY</v>
      </c>
      <c r="O467" s="101">
        <f>IFERROR(__xludf.DUMMYFUNCTION("""COMPUTED_VALUE"""),46026.0)</f>
        <v>46026</v>
      </c>
      <c r="P467" s="104" t="str">
        <f>IFERROR(__xludf.DUMMYFUNCTION("""COMPUTED_VALUE"""),"ILS failure combined with dense fog")</f>
        <v>ILS failure combined with dense fog</v>
      </c>
      <c r="Q467" s="86" t="str">
        <f>IFERROR(__xludf.DUMMYFUNCTION("""COMPUTED_VALUE"""),"REJECT")</f>
        <v>REJECT</v>
      </c>
      <c r="R467" s="66"/>
      <c r="S467" s="66"/>
      <c r="T467" s="66"/>
      <c r="U467" s="66"/>
      <c r="V467" s="66"/>
      <c r="W467" s="66"/>
      <c r="X467" s="66"/>
      <c r="Y467" s="66"/>
      <c r="Z467" s="66"/>
      <c r="AA467" s="66"/>
      <c r="AB467" s="66"/>
      <c r="AC467" s="66"/>
      <c r="AD467" s="66"/>
      <c r="AE467" s="66"/>
      <c r="AF467" s="66"/>
      <c r="AG467" s="66"/>
      <c r="AH467" s="66"/>
      <c r="AI467" s="66"/>
      <c r="AJ467" s="66"/>
      <c r="AK467" s="66"/>
      <c r="AL467" s="66"/>
      <c r="AM467" s="66"/>
      <c r="AN467" s="66"/>
      <c r="AO467" s="66"/>
    </row>
    <row r="468">
      <c r="A468" s="93"/>
      <c r="B468" s="85"/>
      <c r="C468" s="86"/>
      <c r="D468" s="93"/>
      <c r="E468" s="85"/>
      <c r="F468" s="85"/>
      <c r="G468" s="86"/>
      <c r="H468" s="78" t="str">
        <f>IFERROR(__xludf.DUMMYFUNCTION("""COMPUTED_VALUE"""),"")</f>
        <v/>
      </c>
      <c r="I468" s="85"/>
      <c r="J468" s="85"/>
      <c r="K468" s="85"/>
      <c r="L468" s="86" t="str">
        <f>IFERROR(__xludf.DUMMYFUNCTION("""COMPUTED_VALUE"""),"REJECT")</f>
        <v>REJECT</v>
      </c>
      <c r="M468" s="78" t="str">
        <f>IFERROR(__xludf.DUMMYFUNCTION("""COMPUTED_VALUE"""),"46056FRA")</f>
        <v>46056FRA</v>
      </c>
      <c r="N468" s="85" t="str">
        <f>IFERROR(__xludf.DUMMYFUNCTION("""COMPUTED_VALUE"""),"FRA")</f>
        <v>FRA</v>
      </c>
      <c r="O468" s="101">
        <f>IFERROR(__xludf.DUMMYFUNCTION("""COMPUTED_VALUE"""),46056.0)</f>
        <v>46056</v>
      </c>
      <c r="P468" s="104" t="str">
        <f>IFERROR(__xludf.DUMMYFUNCTION("""COMPUTED_VALUE"""),"Heavy snowfall")</f>
        <v>Heavy snowfall</v>
      </c>
      <c r="Q468" s="86" t="str">
        <f>IFERROR(__xludf.DUMMYFUNCTION("""COMPUTED_VALUE"""),"REJECT")</f>
        <v>REJECT</v>
      </c>
      <c r="R468" s="66"/>
      <c r="S468" s="66"/>
      <c r="T468" s="66"/>
      <c r="U468" s="66"/>
      <c r="V468" s="66"/>
      <c r="W468" s="66"/>
      <c r="X468" s="66"/>
      <c r="Y468" s="66"/>
      <c r="Z468" s="66"/>
      <c r="AA468" s="66"/>
      <c r="AB468" s="66"/>
      <c r="AC468" s="66"/>
      <c r="AD468" s="66"/>
      <c r="AE468" s="66"/>
      <c r="AF468" s="66"/>
      <c r="AG468" s="66"/>
      <c r="AH468" s="66"/>
      <c r="AI468" s="66"/>
      <c r="AJ468" s="66"/>
      <c r="AK468" s="66"/>
      <c r="AL468" s="66"/>
      <c r="AM468" s="66"/>
      <c r="AN468" s="66"/>
      <c r="AO468" s="66"/>
    </row>
    <row r="469">
      <c r="A469" s="93"/>
      <c r="B469" s="85"/>
      <c r="C469" s="86"/>
      <c r="D469" s="93"/>
      <c r="E469" s="85"/>
      <c r="F469" s="85"/>
      <c r="G469" s="86"/>
      <c r="H469" s="78" t="str">
        <f>IFERROR(__xludf.DUMMYFUNCTION("""COMPUTED_VALUE"""),"")</f>
        <v/>
      </c>
      <c r="I469" s="85"/>
      <c r="J469" s="85"/>
      <c r="K469" s="85"/>
      <c r="L469" s="86" t="str">
        <f>IFERROR(__xludf.DUMMYFUNCTION("""COMPUTED_VALUE"""),"REJECT")</f>
        <v>REJECT</v>
      </c>
      <c r="M469" s="78" t="str">
        <f>IFERROR(__xludf.DUMMYFUNCTION("""COMPUTED_VALUE"""),"46048BER")</f>
        <v>46048BER</v>
      </c>
      <c r="N469" s="85" t="str">
        <f>IFERROR(__xludf.DUMMYFUNCTION("""COMPUTED_VALUE"""),"BER")</f>
        <v>BER</v>
      </c>
      <c r="O469" s="101">
        <f>IFERROR(__xludf.DUMMYFUNCTION("""COMPUTED_VALUE"""),46048.0)</f>
        <v>46048</v>
      </c>
      <c r="P469" s="104" t="str">
        <f>IFERROR(__xludf.DUMMYFUNCTION("""COMPUTED_VALUE"""),"Storms &amp; Snows")</f>
        <v>Storms &amp; Snows</v>
      </c>
      <c r="Q469" s="86" t="str">
        <f>IFERROR(__xludf.DUMMYFUNCTION("""COMPUTED_VALUE"""),"REJECT")</f>
        <v>REJECT</v>
      </c>
      <c r="R469" s="66"/>
      <c r="S469" s="66"/>
      <c r="T469" s="66"/>
      <c r="U469" s="66"/>
      <c r="V469" s="66"/>
      <c r="W469" s="66"/>
      <c r="X469" s="66"/>
      <c r="Y469" s="66"/>
      <c r="Z469" s="66"/>
      <c r="AA469" s="66"/>
      <c r="AB469" s="66"/>
      <c r="AC469" s="66"/>
      <c r="AD469" s="66"/>
      <c r="AE469" s="66"/>
      <c r="AF469" s="66"/>
      <c r="AG469" s="66"/>
      <c r="AH469" s="66"/>
      <c r="AI469" s="66"/>
      <c r="AJ469" s="66"/>
      <c r="AK469" s="66"/>
      <c r="AL469" s="66"/>
      <c r="AM469" s="66"/>
      <c r="AN469" s="66"/>
      <c r="AO469" s="66"/>
    </row>
    <row r="470">
      <c r="A470" s="93"/>
      <c r="B470" s="85"/>
      <c r="C470" s="86"/>
      <c r="D470" s="93"/>
      <c r="E470" s="85"/>
      <c r="F470" s="85"/>
      <c r="G470" s="86"/>
      <c r="H470" s="78" t="str">
        <f>IFERROR(__xludf.DUMMYFUNCTION("""COMPUTED_VALUE"""),"")</f>
        <v/>
      </c>
      <c r="I470" s="85"/>
      <c r="J470" s="85"/>
      <c r="K470" s="85"/>
      <c r="L470" s="86" t="str">
        <f>IFERROR(__xludf.DUMMYFUNCTION("""COMPUTED_VALUE"""),"REJECT")</f>
        <v>REJECT</v>
      </c>
      <c r="M470" s="78" t="str">
        <f>IFERROR(__xludf.DUMMYFUNCTION("""COMPUTED_VALUE"""),"46068AMS")</f>
        <v>46068AMS</v>
      </c>
      <c r="N470" s="85" t="str">
        <f>IFERROR(__xludf.DUMMYFUNCTION("""COMPUTED_VALUE"""),"AMS")</f>
        <v>AMS</v>
      </c>
      <c r="O470" s="101">
        <f>IFERROR(__xludf.DUMMYFUNCTION("""COMPUTED_VALUE"""),46068.0)</f>
        <v>46068</v>
      </c>
      <c r="P470" s="104" t="str">
        <f>IFERROR(__xludf.DUMMYFUNCTION("""COMPUTED_VALUE"""),"Snow Storm")</f>
        <v>Snow Storm</v>
      </c>
      <c r="Q470" s="86" t="str">
        <f>IFERROR(__xludf.DUMMYFUNCTION("""COMPUTED_VALUE"""),"REJECT")</f>
        <v>REJECT</v>
      </c>
      <c r="R470" s="66"/>
      <c r="S470" s="66"/>
      <c r="T470" s="66"/>
      <c r="U470" s="66"/>
      <c r="V470" s="66"/>
      <c r="W470" s="66"/>
      <c r="X470" s="66"/>
      <c r="Y470" s="66"/>
      <c r="Z470" s="66"/>
      <c r="AA470" s="66"/>
      <c r="AB470" s="66"/>
      <c r="AC470" s="66"/>
      <c r="AD470" s="66"/>
      <c r="AE470" s="66"/>
      <c r="AF470" s="66"/>
      <c r="AG470" s="66"/>
      <c r="AH470" s="66"/>
      <c r="AI470" s="66"/>
      <c r="AJ470" s="66"/>
      <c r="AK470" s="66"/>
      <c r="AL470" s="66"/>
      <c r="AM470" s="66"/>
      <c r="AN470" s="66"/>
      <c r="AO470" s="66"/>
    </row>
    <row r="471">
      <c r="A471" s="93"/>
      <c r="B471" s="85"/>
      <c r="C471" s="86"/>
      <c r="D471" s="93"/>
      <c r="E471" s="85"/>
      <c r="F471" s="85"/>
      <c r="G471" s="86"/>
      <c r="H471" s="78" t="str">
        <f>IFERROR(__xludf.DUMMYFUNCTION("""COMPUTED_VALUE"""),"")</f>
        <v/>
      </c>
      <c r="I471" s="85"/>
      <c r="J471" s="85"/>
      <c r="K471" s="85"/>
      <c r="L471" s="86" t="str">
        <f>IFERROR(__xludf.DUMMYFUNCTION("""COMPUTED_VALUE"""),"REJECT")</f>
        <v>REJECT</v>
      </c>
      <c r="M471" s="78" t="str">
        <f>IFERROR(__xludf.DUMMYFUNCTION("""COMPUTED_VALUE"""),"46065BCN")</f>
        <v>46065BCN</v>
      </c>
      <c r="N471" s="85" t="str">
        <f>IFERROR(__xludf.DUMMYFUNCTION("""COMPUTED_VALUE"""),"BCN")</f>
        <v>BCN</v>
      </c>
      <c r="O471" s="101">
        <f>IFERROR(__xludf.DUMMYFUNCTION("""COMPUTED_VALUE"""),46065.0)</f>
        <v>46065</v>
      </c>
      <c r="P471" s="85" t="str">
        <f>IFERROR(__xludf.DUMMYFUNCTION("""COMPUTED_VALUE"""),"Storms")</f>
        <v>Storms</v>
      </c>
      <c r="Q471" s="86" t="str">
        <f>IFERROR(__xludf.DUMMYFUNCTION("""COMPUTED_VALUE"""),"REJECT")</f>
        <v>REJECT</v>
      </c>
      <c r="R471" s="66"/>
      <c r="S471" s="66"/>
      <c r="T471" s="66"/>
      <c r="U471" s="66"/>
      <c r="V471" s="66"/>
      <c r="W471" s="66"/>
      <c r="X471" s="66"/>
      <c r="Y471" s="66"/>
      <c r="Z471" s="66"/>
      <c r="AA471" s="66"/>
      <c r="AB471" s="66"/>
      <c r="AC471" s="66"/>
      <c r="AD471" s="66"/>
      <c r="AE471" s="66"/>
      <c r="AF471" s="66"/>
      <c r="AG471" s="66"/>
      <c r="AH471" s="66"/>
      <c r="AI471" s="66"/>
      <c r="AJ471" s="66"/>
      <c r="AK471" s="66"/>
      <c r="AL471" s="66"/>
      <c r="AM471" s="66"/>
      <c r="AN471" s="66"/>
      <c r="AO471" s="66"/>
    </row>
    <row r="472">
      <c r="A472" s="93"/>
      <c r="B472" s="85"/>
      <c r="C472" s="86"/>
      <c r="D472" s="93"/>
      <c r="E472" s="85"/>
      <c r="F472" s="85"/>
      <c r="G472" s="86"/>
      <c r="H472" s="78" t="str">
        <f>IFERROR(__xludf.DUMMYFUNCTION("""COMPUTED_VALUE"""),"")</f>
        <v/>
      </c>
      <c r="I472" s="85"/>
      <c r="J472" s="85"/>
      <c r="K472" s="85"/>
      <c r="L472" s="86" t="str">
        <f>IFERROR(__xludf.DUMMYFUNCTION("""COMPUTED_VALUE"""),"REJECT")</f>
        <v>REJECT</v>
      </c>
      <c r="M472" s="78" t="str">
        <f>IFERROR(__xludf.DUMMYFUNCTION("""COMPUTED_VALUE"""),"46073VIE")</f>
        <v>46073VIE</v>
      </c>
      <c r="N472" s="85" t="str">
        <f>IFERROR(__xludf.DUMMYFUNCTION("""COMPUTED_VALUE"""),"VIE")</f>
        <v>VIE</v>
      </c>
      <c r="O472" s="101">
        <f>IFERROR(__xludf.DUMMYFUNCTION("""COMPUTED_VALUE"""),46073.0)</f>
        <v>46073</v>
      </c>
      <c r="P472" s="85" t="str">
        <f>IFERROR(__xludf.DUMMYFUNCTION("""COMPUTED_VALUE"""),"Winter Storm")</f>
        <v>Winter Storm</v>
      </c>
      <c r="Q472" s="86" t="str">
        <f>IFERROR(__xludf.DUMMYFUNCTION("""COMPUTED_VALUE"""),"REJECT")</f>
        <v>REJECT</v>
      </c>
      <c r="R472" s="66"/>
      <c r="S472" s="66"/>
      <c r="T472" s="66"/>
      <c r="U472" s="66"/>
      <c r="V472" s="66"/>
      <c r="W472" s="66"/>
      <c r="X472" s="66"/>
      <c r="Y472" s="66"/>
      <c r="Z472" s="66"/>
      <c r="AA472" s="66"/>
      <c r="AB472" s="66"/>
      <c r="AC472" s="66"/>
      <c r="AD472" s="66"/>
      <c r="AE472" s="66"/>
      <c r="AF472" s="66"/>
      <c r="AG472" s="66"/>
      <c r="AH472" s="66"/>
      <c r="AI472" s="66"/>
      <c r="AJ472" s="66"/>
      <c r="AK472" s="66"/>
      <c r="AL472" s="66"/>
      <c r="AM472" s="66"/>
      <c r="AN472" s="66"/>
      <c r="AO472" s="66"/>
    </row>
    <row r="473">
      <c r="A473" s="93"/>
      <c r="B473" s="85"/>
      <c r="C473" s="86"/>
      <c r="D473" s="93"/>
      <c r="E473" s="85"/>
      <c r="F473" s="85"/>
      <c r="G473" s="86"/>
      <c r="H473" s="78" t="str">
        <f>IFERROR(__xludf.DUMMYFUNCTION("""COMPUTED_VALUE"""),"")</f>
        <v/>
      </c>
      <c r="I473" s="85"/>
      <c r="J473" s="85"/>
      <c r="K473" s="85"/>
      <c r="L473" s="86" t="str">
        <f>IFERROR(__xludf.DUMMYFUNCTION("""COMPUTED_VALUE"""),"REJECT")</f>
        <v>REJECT</v>
      </c>
      <c r="M473" s="78" t="str">
        <f>IFERROR(__xludf.DUMMYFUNCTION("""COMPUTED_VALUE"""),"46075JFK")</f>
        <v>46075JFK</v>
      </c>
      <c r="N473" s="85" t="str">
        <f>IFERROR(__xludf.DUMMYFUNCTION("""COMPUTED_VALUE"""),"JFK")</f>
        <v>JFK</v>
      </c>
      <c r="O473" s="101">
        <f>IFERROR(__xludf.DUMMYFUNCTION("""COMPUTED_VALUE"""),46075.0)</f>
        <v>46075</v>
      </c>
      <c r="P473" s="104" t="str">
        <f>IFERROR(__xludf.DUMMYFUNCTION("""COMPUTED_VALUE"""),"Storm")</f>
        <v>Storm</v>
      </c>
      <c r="Q473" s="86" t="str">
        <f>IFERROR(__xludf.DUMMYFUNCTION("""COMPUTED_VALUE"""),"REJECT")</f>
        <v>REJECT</v>
      </c>
      <c r="R473" s="66"/>
      <c r="S473" s="66"/>
      <c r="T473" s="66"/>
      <c r="U473" s="66"/>
      <c r="V473" s="66"/>
      <c r="W473" s="66"/>
      <c r="X473" s="66"/>
      <c r="Y473" s="66"/>
      <c r="Z473" s="66"/>
      <c r="AA473" s="66"/>
      <c r="AB473" s="66"/>
      <c r="AC473" s="66"/>
      <c r="AD473" s="66"/>
      <c r="AE473" s="66"/>
      <c r="AF473" s="66"/>
      <c r="AG473" s="66"/>
      <c r="AH473" s="66"/>
      <c r="AI473" s="66"/>
      <c r="AJ473" s="66"/>
      <c r="AK473" s="66"/>
      <c r="AL473" s="66"/>
      <c r="AM473" s="66"/>
      <c r="AN473" s="66"/>
      <c r="AO473" s="66"/>
    </row>
    <row r="474">
      <c r="A474" s="93"/>
      <c r="B474" s="85"/>
      <c r="C474" s="86"/>
      <c r="D474" s="93"/>
      <c r="E474" s="85"/>
      <c r="F474" s="85"/>
      <c r="G474" s="86"/>
      <c r="H474" s="78" t="str">
        <f>IFERROR(__xludf.DUMMYFUNCTION("""COMPUTED_VALUE"""),"")</f>
        <v/>
      </c>
      <c r="I474" s="85"/>
      <c r="J474" s="85"/>
      <c r="K474" s="85"/>
      <c r="L474" s="86" t="str">
        <f>IFERROR(__xludf.DUMMYFUNCTION("""COMPUTED_VALUE"""),"REJECT")</f>
        <v>REJECT</v>
      </c>
      <c r="M474" s="78" t="str">
        <f>IFERROR(__xludf.DUMMYFUNCTION("""COMPUTED_VALUE"""),"46076JFK")</f>
        <v>46076JFK</v>
      </c>
      <c r="N474" s="85" t="str">
        <f>IFERROR(__xludf.DUMMYFUNCTION("""COMPUTED_VALUE"""),"JFK")</f>
        <v>JFK</v>
      </c>
      <c r="O474" s="101">
        <f>IFERROR(__xludf.DUMMYFUNCTION("""COMPUTED_VALUE"""),46076.0)</f>
        <v>46076</v>
      </c>
      <c r="P474" s="104" t="str">
        <f>IFERROR(__xludf.DUMMYFUNCTION("""COMPUTED_VALUE"""),"Storm")</f>
        <v>Storm</v>
      </c>
      <c r="Q474" s="86" t="str">
        <f>IFERROR(__xludf.DUMMYFUNCTION("""COMPUTED_VALUE"""),"REJECT")</f>
        <v>REJECT</v>
      </c>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row>
    <row r="475">
      <c r="A475" s="93"/>
      <c r="B475" s="85"/>
      <c r="C475" s="86"/>
      <c r="D475" s="93"/>
      <c r="E475" s="85"/>
      <c r="F475" s="85"/>
      <c r="G475" s="86"/>
      <c r="H475" s="78" t="str">
        <f>IFERROR(__xludf.DUMMYFUNCTION("""COMPUTED_VALUE"""),"")</f>
        <v/>
      </c>
      <c r="I475" s="85"/>
      <c r="J475" s="85"/>
      <c r="K475" s="85"/>
      <c r="L475" s="86" t="str">
        <f>IFERROR(__xludf.DUMMYFUNCTION("""COMPUTED_VALUE"""),"REJECT")</f>
        <v>REJECT</v>
      </c>
      <c r="M475" s="78" t="str">
        <f>IFERROR(__xludf.DUMMYFUNCTION("""COMPUTED_VALUE"""),"46077JFK")</f>
        <v>46077JFK</v>
      </c>
      <c r="N475" s="85" t="str">
        <f>IFERROR(__xludf.DUMMYFUNCTION("""COMPUTED_VALUE"""),"JFK")</f>
        <v>JFK</v>
      </c>
      <c r="O475" s="101">
        <f>IFERROR(__xludf.DUMMYFUNCTION("""COMPUTED_VALUE"""),46077.0)</f>
        <v>46077</v>
      </c>
      <c r="P475" s="104" t="str">
        <f>IFERROR(__xludf.DUMMYFUNCTION("""COMPUTED_VALUE"""),"Storm")</f>
        <v>Storm</v>
      </c>
      <c r="Q475" s="86" t="str">
        <f>IFERROR(__xludf.DUMMYFUNCTION("""COMPUTED_VALUE"""),"REJECT")</f>
        <v>REJECT</v>
      </c>
      <c r="R475" s="66"/>
      <c r="S475" s="66"/>
      <c r="T475" s="66"/>
      <c r="U475" s="66"/>
      <c r="V475" s="66"/>
      <c r="W475" s="66"/>
      <c r="X475" s="66"/>
      <c r="Y475" s="66"/>
      <c r="Z475" s="66"/>
      <c r="AA475" s="66"/>
      <c r="AB475" s="66"/>
      <c r="AC475" s="66"/>
      <c r="AD475" s="66"/>
      <c r="AE475" s="66"/>
      <c r="AF475" s="66"/>
      <c r="AG475" s="66"/>
      <c r="AH475" s="66"/>
      <c r="AI475" s="66"/>
      <c r="AJ475" s="66"/>
      <c r="AK475" s="66"/>
      <c r="AL475" s="66"/>
      <c r="AM475" s="66"/>
      <c r="AN475" s="66"/>
      <c r="AO475" s="66"/>
    </row>
    <row r="476">
      <c r="A476" s="93"/>
      <c r="B476" s="85"/>
      <c r="C476" s="86"/>
      <c r="D476" s="93"/>
      <c r="E476" s="85"/>
      <c r="F476" s="85"/>
      <c r="G476" s="86"/>
      <c r="H476" s="78" t="str">
        <f>IFERROR(__xludf.DUMMYFUNCTION("""COMPUTED_VALUE"""),"")</f>
        <v/>
      </c>
      <c r="I476" s="85"/>
      <c r="J476" s="85"/>
      <c r="K476" s="85"/>
      <c r="L476" s="86" t="str">
        <f>IFERROR(__xludf.DUMMYFUNCTION("""COMPUTED_VALUE"""),"REJECT")</f>
        <v>REJECT</v>
      </c>
      <c r="M476" s="78" t="str">
        <f>IFERROR(__xludf.DUMMYFUNCTION("""COMPUTED_VALUE"""),"46075PHL")</f>
        <v>46075PHL</v>
      </c>
      <c r="N476" s="85" t="str">
        <f>IFERROR(__xludf.DUMMYFUNCTION("""COMPUTED_VALUE"""),"PHL")</f>
        <v>PHL</v>
      </c>
      <c r="O476" s="101">
        <f>IFERROR(__xludf.DUMMYFUNCTION("""COMPUTED_VALUE"""),46075.0)</f>
        <v>46075</v>
      </c>
      <c r="P476" s="104" t="str">
        <f>IFERROR(__xludf.DUMMYFUNCTION("""COMPUTED_VALUE"""),"Storm")</f>
        <v>Storm</v>
      </c>
      <c r="Q476" s="86" t="str">
        <f>IFERROR(__xludf.DUMMYFUNCTION("""COMPUTED_VALUE"""),"REJECT")</f>
        <v>REJECT</v>
      </c>
      <c r="R476" s="66"/>
      <c r="S476" s="66"/>
      <c r="T476" s="66"/>
      <c r="U476" s="66"/>
      <c r="V476" s="66"/>
      <c r="W476" s="66"/>
      <c r="X476" s="66"/>
      <c r="Y476" s="66"/>
      <c r="Z476" s="66"/>
      <c r="AA476" s="66"/>
      <c r="AB476" s="66"/>
      <c r="AC476" s="66"/>
      <c r="AD476" s="66"/>
      <c r="AE476" s="66"/>
      <c r="AF476" s="66"/>
      <c r="AG476" s="66"/>
      <c r="AH476" s="66"/>
      <c r="AI476" s="66"/>
      <c r="AJ476" s="66"/>
      <c r="AK476" s="66"/>
      <c r="AL476" s="66"/>
      <c r="AM476" s="66"/>
      <c r="AN476" s="66"/>
      <c r="AO476" s="66"/>
    </row>
    <row r="477">
      <c r="A477" s="93"/>
      <c r="B477" s="85"/>
      <c r="C477" s="86"/>
      <c r="D477" s="93"/>
      <c r="E477" s="85"/>
      <c r="F477" s="85"/>
      <c r="G477" s="86"/>
      <c r="H477" s="78" t="str">
        <f>IFERROR(__xludf.DUMMYFUNCTION("""COMPUTED_VALUE"""),"")</f>
        <v/>
      </c>
      <c r="I477" s="85"/>
      <c r="J477" s="85"/>
      <c r="K477" s="85"/>
      <c r="L477" s="86" t="str">
        <f>IFERROR(__xludf.DUMMYFUNCTION("""COMPUTED_VALUE"""),"REJECT")</f>
        <v>REJECT</v>
      </c>
      <c r="M477" s="78" t="str">
        <f>IFERROR(__xludf.DUMMYFUNCTION("""COMPUTED_VALUE"""),"46076PHL")</f>
        <v>46076PHL</v>
      </c>
      <c r="N477" s="85" t="str">
        <f>IFERROR(__xludf.DUMMYFUNCTION("""COMPUTED_VALUE"""),"PHL")</f>
        <v>PHL</v>
      </c>
      <c r="O477" s="101">
        <f>IFERROR(__xludf.DUMMYFUNCTION("""COMPUTED_VALUE"""),46076.0)</f>
        <v>46076</v>
      </c>
      <c r="P477" s="104" t="str">
        <f>IFERROR(__xludf.DUMMYFUNCTION("""COMPUTED_VALUE"""),"Storm")</f>
        <v>Storm</v>
      </c>
      <c r="Q477" s="86" t="str">
        <f>IFERROR(__xludf.DUMMYFUNCTION("""COMPUTED_VALUE"""),"REJECT")</f>
        <v>REJECT</v>
      </c>
      <c r="R477" s="66"/>
      <c r="S477" s="66"/>
      <c r="T477" s="66"/>
      <c r="U477" s="66"/>
      <c r="V477" s="66"/>
      <c r="W477" s="66"/>
      <c r="X477" s="66"/>
      <c r="Y477" s="66"/>
      <c r="Z477" s="66"/>
      <c r="AA477" s="66"/>
      <c r="AB477" s="66"/>
      <c r="AC477" s="66"/>
      <c r="AD477" s="66"/>
      <c r="AE477" s="66"/>
      <c r="AF477" s="66"/>
      <c r="AG477" s="66"/>
      <c r="AH477" s="66"/>
      <c r="AI477" s="66"/>
      <c r="AJ477" s="66"/>
      <c r="AK477" s="66"/>
      <c r="AL477" s="66"/>
      <c r="AM477" s="66"/>
      <c r="AN477" s="66"/>
      <c r="AO477" s="66"/>
    </row>
    <row r="478">
      <c r="A478" s="93"/>
      <c r="B478" s="85"/>
      <c r="C478" s="86"/>
      <c r="D478" s="93"/>
      <c r="E478" s="85"/>
      <c r="F478" s="85"/>
      <c r="G478" s="86"/>
      <c r="H478" s="78" t="str">
        <f>IFERROR(__xludf.DUMMYFUNCTION("""COMPUTED_VALUE"""),"")</f>
        <v/>
      </c>
      <c r="I478" s="85"/>
      <c r="J478" s="85"/>
      <c r="K478" s="85"/>
      <c r="L478" s="86" t="str">
        <f>IFERROR(__xludf.DUMMYFUNCTION("""COMPUTED_VALUE"""),"REJECT")</f>
        <v>REJECT</v>
      </c>
      <c r="M478" s="78" t="str">
        <f>IFERROR(__xludf.DUMMYFUNCTION("""COMPUTED_VALUE"""),"46075EWR")</f>
        <v>46075EWR</v>
      </c>
      <c r="N478" s="85" t="str">
        <f>IFERROR(__xludf.DUMMYFUNCTION("""COMPUTED_VALUE"""),"EWR")</f>
        <v>EWR</v>
      </c>
      <c r="O478" s="101">
        <f>IFERROR(__xludf.DUMMYFUNCTION("""COMPUTED_VALUE"""),46075.0)</f>
        <v>46075</v>
      </c>
      <c r="P478" s="104" t="str">
        <f>IFERROR(__xludf.DUMMYFUNCTION("""COMPUTED_VALUE"""),"Storm")</f>
        <v>Storm</v>
      </c>
      <c r="Q478" s="86" t="str">
        <f>IFERROR(__xludf.DUMMYFUNCTION("""COMPUTED_VALUE"""),"REJECT")</f>
        <v>REJECT</v>
      </c>
      <c r="R478" s="66"/>
      <c r="S478" s="66"/>
      <c r="T478" s="66"/>
      <c r="U478" s="66"/>
      <c r="V478" s="66"/>
      <c r="W478" s="66"/>
      <c r="X478" s="66"/>
      <c r="Y478" s="66"/>
      <c r="Z478" s="66"/>
      <c r="AA478" s="66"/>
      <c r="AB478" s="66"/>
      <c r="AC478" s="66"/>
      <c r="AD478" s="66"/>
      <c r="AE478" s="66"/>
      <c r="AF478" s="66"/>
      <c r="AG478" s="66"/>
      <c r="AH478" s="66"/>
      <c r="AI478" s="66"/>
      <c r="AJ478" s="66"/>
      <c r="AK478" s="66"/>
      <c r="AL478" s="66"/>
      <c r="AM478" s="66"/>
      <c r="AN478" s="66"/>
      <c r="AO478" s="66"/>
    </row>
    <row r="479">
      <c r="A479" s="93"/>
      <c r="B479" s="85"/>
      <c r="C479" s="86"/>
      <c r="D479" s="93"/>
      <c r="E479" s="85"/>
      <c r="F479" s="85"/>
      <c r="G479" s="86"/>
      <c r="H479" s="78" t="str">
        <f>IFERROR(__xludf.DUMMYFUNCTION("""COMPUTED_VALUE"""),"")</f>
        <v/>
      </c>
      <c r="I479" s="85"/>
      <c r="J479" s="85"/>
      <c r="K479" s="85"/>
      <c r="L479" s="86" t="str">
        <f>IFERROR(__xludf.DUMMYFUNCTION("""COMPUTED_VALUE"""),"REJECT")</f>
        <v>REJECT</v>
      </c>
      <c r="M479" s="78" t="str">
        <f>IFERROR(__xludf.DUMMYFUNCTION("""COMPUTED_VALUE"""),"46076EWR")</f>
        <v>46076EWR</v>
      </c>
      <c r="N479" s="85" t="str">
        <f>IFERROR(__xludf.DUMMYFUNCTION("""COMPUTED_VALUE"""),"EWR")</f>
        <v>EWR</v>
      </c>
      <c r="O479" s="101">
        <f>IFERROR(__xludf.DUMMYFUNCTION("""COMPUTED_VALUE"""),46076.0)</f>
        <v>46076</v>
      </c>
      <c r="P479" s="104" t="str">
        <f>IFERROR(__xludf.DUMMYFUNCTION("""COMPUTED_VALUE"""),"Storm")</f>
        <v>Storm</v>
      </c>
      <c r="Q479" s="86" t="str">
        <f>IFERROR(__xludf.DUMMYFUNCTION("""COMPUTED_VALUE"""),"REJECT")</f>
        <v>REJECT</v>
      </c>
      <c r="R479" s="66"/>
      <c r="S479" s="66"/>
      <c r="T479" s="66"/>
      <c r="U479" s="66"/>
      <c r="V479" s="66"/>
      <c r="W479" s="66"/>
      <c r="X479" s="66"/>
      <c r="Y479" s="66"/>
      <c r="Z479" s="66"/>
      <c r="AA479" s="66"/>
      <c r="AB479" s="66"/>
      <c r="AC479" s="66"/>
      <c r="AD479" s="66"/>
      <c r="AE479" s="66"/>
      <c r="AF479" s="66"/>
      <c r="AG479" s="66"/>
      <c r="AH479" s="66"/>
      <c r="AI479" s="66"/>
      <c r="AJ479" s="66"/>
      <c r="AK479" s="66"/>
      <c r="AL479" s="66"/>
      <c r="AM479" s="66"/>
      <c r="AN479" s="66"/>
      <c r="AO479" s="66"/>
    </row>
    <row r="480">
      <c r="A480" s="93"/>
      <c r="B480" s="85"/>
      <c r="C480" s="86"/>
      <c r="D480" s="93"/>
      <c r="E480" s="85"/>
      <c r="F480" s="85"/>
      <c r="G480" s="86"/>
      <c r="H480" s="78" t="str">
        <f>IFERROR(__xludf.DUMMYFUNCTION("""COMPUTED_VALUE"""),"")</f>
        <v/>
      </c>
      <c r="I480" s="85"/>
      <c r="J480" s="85"/>
      <c r="K480" s="85"/>
      <c r="L480" s="86" t="str">
        <f>IFERROR(__xludf.DUMMYFUNCTION("""COMPUTED_VALUE"""),"REJECT")</f>
        <v>REJECT</v>
      </c>
      <c r="M480" s="78" t="str">
        <f>IFERROR(__xludf.DUMMYFUNCTION("""COMPUTED_VALUE"""),"46077EWR")</f>
        <v>46077EWR</v>
      </c>
      <c r="N480" s="85" t="str">
        <f>IFERROR(__xludf.DUMMYFUNCTION("""COMPUTED_VALUE"""),"EWR")</f>
        <v>EWR</v>
      </c>
      <c r="O480" s="101">
        <f>IFERROR(__xludf.DUMMYFUNCTION("""COMPUTED_VALUE"""),46077.0)</f>
        <v>46077</v>
      </c>
      <c r="P480" s="104" t="str">
        <f>IFERROR(__xludf.DUMMYFUNCTION("""COMPUTED_VALUE"""),"Storm")</f>
        <v>Storm</v>
      </c>
      <c r="Q480" s="86" t="str">
        <f>IFERROR(__xludf.DUMMYFUNCTION("""COMPUTED_VALUE"""),"REJECT")</f>
        <v>REJECT</v>
      </c>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row>
    <row r="481">
      <c r="A481" s="93"/>
      <c r="B481" s="85"/>
      <c r="C481" s="86"/>
      <c r="D481" s="93"/>
      <c r="E481" s="85"/>
      <c r="F481" s="85"/>
      <c r="G481" s="86"/>
      <c r="H481" s="78" t="str">
        <f>IFERROR(__xludf.DUMMYFUNCTION("""COMPUTED_VALUE"""),"")</f>
        <v/>
      </c>
      <c r="I481" s="85"/>
      <c r="J481" s="85"/>
      <c r="K481" s="85"/>
      <c r="L481" s="86" t="str">
        <f>IFERROR(__xludf.DUMMYFUNCTION("""COMPUTED_VALUE"""),"REJECT")</f>
        <v>REJECT</v>
      </c>
      <c r="M481" s="78" t="str">
        <f>IFERROR(__xludf.DUMMYFUNCTION("""COMPUTED_VALUE"""),"46093BRU")</f>
        <v>46093BRU</v>
      </c>
      <c r="N481" s="85" t="str">
        <f>IFERROR(__xludf.DUMMYFUNCTION("""COMPUTED_VALUE"""),"BRU")</f>
        <v>BRU</v>
      </c>
      <c r="O481" s="101">
        <f>IFERROR(__xludf.DUMMYFUNCTION("""COMPUTED_VALUE"""),46093.0)</f>
        <v>46093</v>
      </c>
      <c r="P481" s="104" t="str">
        <f>IFERROR(__xludf.DUMMYFUNCTION("""COMPUTED_VALUE"""),"Strike")</f>
        <v>Strike</v>
      </c>
      <c r="Q481" s="86" t="str">
        <f>IFERROR(__xludf.DUMMYFUNCTION("""COMPUTED_VALUE"""),"REJECT")</f>
        <v>REJECT</v>
      </c>
      <c r="R481" s="66"/>
      <c r="S481" s="66"/>
      <c r="T481" s="66"/>
      <c r="U481" s="66"/>
      <c r="V481" s="66"/>
      <c r="W481" s="66"/>
      <c r="X481" s="66"/>
      <c r="Y481" s="66"/>
      <c r="Z481" s="66"/>
      <c r="AA481" s="66"/>
      <c r="AB481" s="66"/>
      <c r="AC481" s="66"/>
      <c r="AD481" s="66"/>
      <c r="AE481" s="66"/>
      <c r="AF481" s="66"/>
      <c r="AG481" s="66"/>
      <c r="AH481" s="66"/>
      <c r="AI481" s="66"/>
      <c r="AJ481" s="66"/>
      <c r="AK481" s="66"/>
      <c r="AL481" s="66"/>
      <c r="AM481" s="66"/>
      <c r="AN481" s="66"/>
      <c r="AO481" s="66"/>
    </row>
    <row r="482">
      <c r="A482" s="93"/>
      <c r="B482" s="85"/>
      <c r="C482" s="86"/>
      <c r="D482" s="93"/>
      <c r="E482" s="85"/>
      <c r="F482" s="85"/>
      <c r="G482" s="86"/>
      <c r="H482" s="78" t="str">
        <f>IFERROR(__xludf.DUMMYFUNCTION("""COMPUTED_VALUE"""),"")</f>
        <v/>
      </c>
      <c r="I482" s="85"/>
      <c r="J482" s="85"/>
      <c r="K482" s="85"/>
      <c r="L482" s="86" t="str">
        <f>IFERROR(__xludf.DUMMYFUNCTION("""COMPUTED_VALUE"""),"REJECT")</f>
        <v>REJECT</v>
      </c>
      <c r="M482" s="78" t="str">
        <f>IFERROR(__xludf.DUMMYFUNCTION("""COMPUTED_VALUE"""),"46093CRL")</f>
        <v>46093CRL</v>
      </c>
      <c r="N482" s="85" t="str">
        <f>IFERROR(__xludf.DUMMYFUNCTION("""COMPUTED_VALUE"""),"CRL")</f>
        <v>CRL</v>
      </c>
      <c r="O482" s="101">
        <f>IFERROR(__xludf.DUMMYFUNCTION("""COMPUTED_VALUE"""),46093.0)</f>
        <v>46093</v>
      </c>
      <c r="P482" s="104" t="str">
        <f>IFERROR(__xludf.DUMMYFUNCTION("""COMPUTED_VALUE"""),"Strike")</f>
        <v>Strike</v>
      </c>
      <c r="Q482" s="86" t="str">
        <f>IFERROR(__xludf.DUMMYFUNCTION("""COMPUTED_VALUE"""),"REJECT")</f>
        <v>REJECT</v>
      </c>
      <c r="R482" s="66"/>
      <c r="S482" s="66"/>
      <c r="T482" s="66"/>
      <c r="U482" s="66"/>
      <c r="V482" s="66"/>
      <c r="W482" s="66"/>
      <c r="X482" s="66"/>
      <c r="Y482" s="66"/>
      <c r="Z482" s="66"/>
      <c r="AA482" s="66"/>
      <c r="AB482" s="66"/>
      <c r="AC482" s="66"/>
      <c r="AD482" s="66"/>
      <c r="AE482" s="66"/>
      <c r="AF482" s="66"/>
      <c r="AG482" s="66"/>
      <c r="AH482" s="66"/>
      <c r="AI482" s="66"/>
      <c r="AJ482" s="66"/>
      <c r="AK482" s="66"/>
      <c r="AL482" s="66"/>
      <c r="AM482" s="66"/>
      <c r="AN482" s="66"/>
      <c r="AO482" s="66"/>
    </row>
    <row r="483">
      <c r="A483" s="93"/>
      <c r="B483" s="85"/>
      <c r="C483" s="86"/>
      <c r="D483" s="93"/>
      <c r="E483" s="85"/>
      <c r="F483" s="85"/>
      <c r="G483" s="86"/>
      <c r="H483" s="78" t="str">
        <f>IFERROR(__xludf.DUMMYFUNCTION("""COMPUTED_VALUE"""),"")</f>
        <v/>
      </c>
      <c r="I483" s="85"/>
      <c r="J483" s="85"/>
      <c r="K483" s="85"/>
      <c r="L483" s="86" t="str">
        <f>IFERROR(__xludf.DUMMYFUNCTION("""COMPUTED_VALUE"""),"REJECT")</f>
        <v>REJECT</v>
      </c>
      <c r="M483" s="78" t="str">
        <f>IFERROR(__xludf.DUMMYFUNCTION("""COMPUTED_VALUE"""),"46094IAD")</f>
        <v>46094IAD</v>
      </c>
      <c r="N483" s="85" t="str">
        <f>IFERROR(__xludf.DUMMYFUNCTION("""COMPUTED_VALUE"""),"IAD")</f>
        <v>IAD</v>
      </c>
      <c r="O483" s="101">
        <f>IFERROR(__xludf.DUMMYFUNCTION("""COMPUTED_VALUE"""),46094.0)</f>
        <v>46094</v>
      </c>
      <c r="P483" s="104" t="str">
        <f>IFERROR(__xludf.DUMMYFUNCTION("""COMPUTED_VALUE"""),"Ground Stop")</f>
        <v>Ground Stop</v>
      </c>
      <c r="Q483" s="86" t="str">
        <f>IFERROR(__xludf.DUMMYFUNCTION("""COMPUTED_VALUE"""),"REJECT")</f>
        <v>REJECT</v>
      </c>
      <c r="R483" s="66"/>
      <c r="S483" s="66"/>
      <c r="T483" s="66"/>
      <c r="U483" s="66"/>
      <c r="V483" s="66"/>
      <c r="W483" s="66"/>
      <c r="X483" s="66"/>
      <c r="Y483" s="66"/>
      <c r="Z483" s="66"/>
      <c r="AA483" s="66"/>
      <c r="AB483" s="66"/>
      <c r="AC483" s="66"/>
      <c r="AD483" s="66"/>
      <c r="AE483" s="66"/>
      <c r="AF483" s="66"/>
      <c r="AG483" s="66"/>
      <c r="AH483" s="66"/>
      <c r="AI483" s="66"/>
      <c r="AJ483" s="66"/>
      <c r="AK483" s="66"/>
      <c r="AL483" s="66"/>
      <c r="AM483" s="66"/>
      <c r="AN483" s="66"/>
      <c r="AO483" s="66"/>
    </row>
    <row r="484">
      <c r="A484" s="93"/>
      <c r="B484" s="85"/>
      <c r="C484" s="86"/>
      <c r="D484" s="93"/>
      <c r="E484" s="85"/>
      <c r="F484" s="85"/>
      <c r="G484" s="86"/>
      <c r="H484" s="78" t="str">
        <f>IFERROR(__xludf.DUMMYFUNCTION("""COMPUTED_VALUE"""),"")</f>
        <v/>
      </c>
      <c r="I484" s="85"/>
      <c r="J484" s="85"/>
      <c r="K484" s="85"/>
      <c r="L484" s="86" t="str">
        <f>IFERROR(__xludf.DUMMYFUNCTION("""COMPUTED_VALUE"""),"REJECT")</f>
        <v>REJECT</v>
      </c>
      <c r="M484" s="78" t="str">
        <f>IFERROR(__xludf.DUMMYFUNCTION("""COMPUTED_VALUE"""),"46027LPL")</f>
        <v>46027LPL</v>
      </c>
      <c r="N484" s="85" t="str">
        <f>IFERROR(__xludf.DUMMYFUNCTION("""COMPUTED_VALUE"""),"LPL")</f>
        <v>LPL</v>
      </c>
      <c r="O484" s="101">
        <f>IFERROR(__xludf.DUMMYFUNCTION("""COMPUTED_VALUE"""),46027.0)</f>
        <v>46027</v>
      </c>
      <c r="P484" s="85" t="str">
        <f>IFERROR(__xludf.DUMMYFUNCTION("""COMPUTED_VALUE"""),"Snow Storm")</f>
        <v>Snow Storm</v>
      </c>
      <c r="Q484" s="86" t="str">
        <f>IFERROR(__xludf.DUMMYFUNCTION("""COMPUTED_VALUE"""),"REJECT")</f>
        <v>REJECT</v>
      </c>
      <c r="R484" s="66"/>
      <c r="S484" s="66"/>
      <c r="T484" s="66"/>
      <c r="U484" s="66"/>
      <c r="V484" s="66"/>
      <c r="W484" s="66"/>
      <c r="X484" s="66"/>
      <c r="Y484" s="66"/>
      <c r="Z484" s="66"/>
      <c r="AA484" s="66"/>
      <c r="AB484" s="66"/>
      <c r="AC484" s="66"/>
      <c r="AD484" s="66"/>
      <c r="AE484" s="66"/>
      <c r="AF484" s="66"/>
      <c r="AG484" s="66"/>
      <c r="AH484" s="66"/>
      <c r="AI484" s="66"/>
      <c r="AJ484" s="66"/>
      <c r="AK484" s="66"/>
      <c r="AL484" s="66"/>
      <c r="AM484" s="66"/>
      <c r="AN484" s="66"/>
      <c r="AO484" s="66"/>
    </row>
    <row r="485">
      <c r="A485" s="93"/>
      <c r="B485" s="85"/>
      <c r="C485" s="86"/>
      <c r="D485" s="93"/>
      <c r="E485" s="85"/>
      <c r="F485" s="85"/>
      <c r="G485" s="86"/>
      <c r="H485" s="78" t="str">
        <f>IFERROR(__xludf.DUMMYFUNCTION("""COMPUTED_VALUE"""),"")</f>
        <v/>
      </c>
      <c r="I485" s="85"/>
      <c r="J485" s="85"/>
      <c r="K485" s="85"/>
      <c r="L485" s="86" t="str">
        <f>IFERROR(__xludf.DUMMYFUNCTION("""COMPUTED_VALUE"""),"REJECT")</f>
        <v>REJECT</v>
      </c>
      <c r="M485" s="78" t="str">
        <f>IFERROR(__xludf.DUMMYFUNCTION("""COMPUTED_VALUE"""),"46099BER")</f>
        <v>46099BER</v>
      </c>
      <c r="N485" s="85" t="str">
        <f>IFERROR(__xludf.DUMMYFUNCTION("""COMPUTED_VALUE"""),"BER")</f>
        <v>BER</v>
      </c>
      <c r="O485" s="101">
        <f>IFERROR(__xludf.DUMMYFUNCTION("""COMPUTED_VALUE"""),46099.0)</f>
        <v>46099</v>
      </c>
      <c r="P485" s="104" t="str">
        <f>IFERROR(__xludf.DUMMYFUNCTION("""COMPUTED_VALUE"""),"Strike")</f>
        <v>Strike</v>
      </c>
      <c r="Q485" s="86" t="str">
        <f>IFERROR(__xludf.DUMMYFUNCTION("""COMPUTED_VALUE"""),"REJECT")</f>
        <v>REJECT</v>
      </c>
      <c r="R485" s="66"/>
      <c r="S485" s="66"/>
      <c r="T485" s="66"/>
      <c r="U485" s="66"/>
      <c r="V485" s="66"/>
      <c r="W485" s="66"/>
      <c r="X485" s="66"/>
      <c r="Y485" s="66"/>
      <c r="Z485" s="66"/>
      <c r="AA485" s="66"/>
      <c r="AB485" s="66"/>
      <c r="AC485" s="66"/>
      <c r="AD485" s="66"/>
      <c r="AE485" s="66"/>
      <c r="AF485" s="66"/>
      <c r="AG485" s="66"/>
      <c r="AH485" s="66"/>
      <c r="AI485" s="66"/>
      <c r="AJ485" s="66"/>
      <c r="AK485" s="66"/>
      <c r="AL485" s="66"/>
      <c r="AM485" s="66"/>
      <c r="AN485" s="66"/>
      <c r="AO485" s="66"/>
    </row>
    <row r="486">
      <c r="A486" s="93"/>
      <c r="B486" s="85"/>
      <c r="C486" s="86"/>
      <c r="D486" s="93"/>
      <c r="E486" s="85"/>
      <c r="F486" s="85"/>
      <c r="G486" s="86"/>
      <c r="H486" s="78" t="str">
        <f>IFERROR(__xludf.DUMMYFUNCTION("""COMPUTED_VALUE"""),"")</f>
        <v/>
      </c>
      <c r="I486" s="85"/>
      <c r="J486" s="85"/>
      <c r="K486" s="85"/>
      <c r="L486" s="86" t="str">
        <f>IFERROR(__xludf.DUMMYFUNCTION("""COMPUTED_VALUE"""),"REJECT")</f>
        <v>REJECT</v>
      </c>
      <c r="M486" s="78" t="str">
        <f>IFERROR(__xludf.DUMMYFUNCTION("""COMPUTED_VALUE"""),"")</f>
        <v/>
      </c>
      <c r="N486" s="85"/>
      <c r="O486" s="85"/>
      <c r="P486" s="85"/>
      <c r="Q486" s="86" t="str">
        <f>IFERROR(__xludf.DUMMYFUNCTION("""COMPUTED_VALUE"""),"REJECT")</f>
        <v>REJECT</v>
      </c>
      <c r="R486" s="66"/>
      <c r="S486" s="66"/>
      <c r="T486" s="66"/>
      <c r="U486" s="66"/>
      <c r="V486" s="66"/>
      <c r="W486" s="66"/>
      <c r="X486" s="66"/>
      <c r="Y486" s="66"/>
      <c r="Z486" s="66"/>
      <c r="AA486" s="66"/>
      <c r="AB486" s="66"/>
      <c r="AC486" s="66"/>
      <c r="AD486" s="66"/>
      <c r="AE486" s="66"/>
      <c r="AF486" s="66"/>
      <c r="AG486" s="66"/>
      <c r="AH486" s="66"/>
      <c r="AI486" s="66"/>
      <c r="AJ486" s="66"/>
      <c r="AK486" s="66"/>
      <c r="AL486" s="66"/>
      <c r="AM486" s="66"/>
      <c r="AN486" s="66"/>
      <c r="AO486" s="66"/>
    </row>
    <row r="487">
      <c r="A487" s="93"/>
      <c r="B487" s="85"/>
      <c r="C487" s="86"/>
      <c r="D487" s="93"/>
      <c r="E487" s="85"/>
      <c r="F487" s="85"/>
      <c r="G487" s="86"/>
      <c r="H487" s="78" t="str">
        <f>IFERROR(__xludf.DUMMYFUNCTION("""COMPUTED_VALUE"""),"")</f>
        <v/>
      </c>
      <c r="I487" s="85"/>
      <c r="J487" s="85"/>
      <c r="K487" s="85"/>
      <c r="L487" s="86" t="str">
        <f>IFERROR(__xludf.DUMMYFUNCTION("""COMPUTED_VALUE"""),"REJECT")</f>
        <v>REJECT</v>
      </c>
      <c r="M487" s="78" t="str">
        <f>IFERROR(__xludf.DUMMYFUNCTION("""COMPUTED_VALUE"""),"")</f>
        <v/>
      </c>
      <c r="N487" s="85"/>
      <c r="O487" s="85"/>
      <c r="P487" s="85"/>
      <c r="Q487" s="86" t="str">
        <f>IFERROR(__xludf.DUMMYFUNCTION("""COMPUTED_VALUE"""),"REJECT")</f>
        <v>REJECT</v>
      </c>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row>
    <row r="488">
      <c r="A488" s="93"/>
      <c r="B488" s="85"/>
      <c r="C488" s="86"/>
      <c r="D488" s="93"/>
      <c r="E488" s="85"/>
      <c r="F488" s="85"/>
      <c r="G488" s="86"/>
      <c r="H488" s="78" t="str">
        <f>IFERROR(__xludf.DUMMYFUNCTION("""COMPUTED_VALUE"""),"")</f>
        <v/>
      </c>
      <c r="I488" s="85"/>
      <c r="J488" s="85"/>
      <c r="K488" s="85"/>
      <c r="L488" s="86" t="str">
        <f>IFERROR(__xludf.DUMMYFUNCTION("""COMPUTED_VALUE"""),"REJECT")</f>
        <v>REJECT</v>
      </c>
      <c r="M488" s="78" t="str">
        <f>IFERROR(__xludf.DUMMYFUNCTION("""COMPUTED_VALUE"""),"")</f>
        <v/>
      </c>
      <c r="N488" s="85"/>
      <c r="O488" s="85"/>
      <c r="P488" s="85"/>
      <c r="Q488" s="86" t="str">
        <f>IFERROR(__xludf.DUMMYFUNCTION("""COMPUTED_VALUE"""),"REJECT")</f>
        <v>REJECT</v>
      </c>
      <c r="R488" s="66"/>
      <c r="S488" s="66"/>
      <c r="T488" s="66"/>
      <c r="U488" s="66"/>
      <c r="V488" s="66"/>
      <c r="W488" s="66"/>
      <c r="X488" s="66"/>
      <c r="Y488" s="66"/>
      <c r="Z488" s="66"/>
      <c r="AA488" s="66"/>
      <c r="AB488" s="66"/>
      <c r="AC488" s="66"/>
      <c r="AD488" s="66"/>
      <c r="AE488" s="66"/>
      <c r="AF488" s="66"/>
      <c r="AG488" s="66"/>
      <c r="AH488" s="66"/>
      <c r="AI488" s="66"/>
      <c r="AJ488" s="66"/>
      <c r="AK488" s="66"/>
      <c r="AL488" s="66"/>
      <c r="AM488" s="66"/>
      <c r="AN488" s="66"/>
      <c r="AO488" s="66"/>
    </row>
    <row r="489">
      <c r="A489" s="93"/>
      <c r="B489" s="85"/>
      <c r="C489" s="86"/>
      <c r="D489" s="93"/>
      <c r="E489" s="85"/>
      <c r="F489" s="85"/>
      <c r="G489" s="86"/>
      <c r="H489" s="78" t="str">
        <f>IFERROR(__xludf.DUMMYFUNCTION("""COMPUTED_VALUE"""),"")</f>
        <v/>
      </c>
      <c r="I489" s="85"/>
      <c r="J489" s="85"/>
      <c r="K489" s="85"/>
      <c r="L489" s="86" t="str">
        <f>IFERROR(__xludf.DUMMYFUNCTION("""COMPUTED_VALUE"""),"REJECT")</f>
        <v>REJECT</v>
      </c>
      <c r="M489" s="78" t="str">
        <f>IFERROR(__xludf.DUMMYFUNCTION("""COMPUTED_VALUE"""),"")</f>
        <v/>
      </c>
      <c r="N489" s="85"/>
      <c r="O489" s="85"/>
      <c r="P489" s="85"/>
      <c r="Q489" s="86" t="str">
        <f>IFERROR(__xludf.DUMMYFUNCTION("""COMPUTED_VALUE"""),"REJECT")</f>
        <v>REJECT</v>
      </c>
      <c r="R489" s="66"/>
      <c r="S489" s="66"/>
      <c r="T489" s="66"/>
      <c r="U489" s="66"/>
      <c r="V489" s="66"/>
      <c r="W489" s="66"/>
      <c r="X489" s="66"/>
      <c r="Y489" s="66"/>
      <c r="Z489" s="66"/>
      <c r="AA489" s="66"/>
      <c r="AB489" s="66"/>
      <c r="AC489" s="66"/>
      <c r="AD489" s="66"/>
      <c r="AE489" s="66"/>
      <c r="AF489" s="66"/>
      <c r="AG489" s="66"/>
      <c r="AH489" s="66"/>
      <c r="AI489" s="66"/>
      <c r="AJ489" s="66"/>
      <c r="AK489" s="66"/>
      <c r="AL489" s="66"/>
      <c r="AM489" s="66"/>
      <c r="AN489" s="66"/>
      <c r="AO489" s="66"/>
    </row>
    <row r="490">
      <c r="A490" s="93"/>
      <c r="B490" s="85"/>
      <c r="C490" s="86"/>
      <c r="D490" s="93"/>
      <c r="E490" s="85"/>
      <c r="F490" s="85"/>
      <c r="G490" s="86"/>
      <c r="H490" s="78" t="str">
        <f>IFERROR(__xludf.DUMMYFUNCTION("""COMPUTED_VALUE"""),"")</f>
        <v/>
      </c>
      <c r="I490" s="85"/>
      <c r="J490" s="85"/>
      <c r="K490" s="85"/>
      <c r="L490" s="86" t="str">
        <f>IFERROR(__xludf.DUMMYFUNCTION("""COMPUTED_VALUE"""),"REJECT")</f>
        <v>REJECT</v>
      </c>
      <c r="M490" s="78" t="str">
        <f>IFERROR(__xludf.DUMMYFUNCTION("""COMPUTED_VALUE"""),"")</f>
        <v/>
      </c>
      <c r="N490" s="85"/>
      <c r="O490" s="85"/>
      <c r="P490" s="85"/>
      <c r="Q490" s="86" t="str">
        <f>IFERROR(__xludf.DUMMYFUNCTION("""COMPUTED_VALUE"""),"REJECT")</f>
        <v>REJECT</v>
      </c>
      <c r="R490" s="66"/>
      <c r="S490" s="66"/>
      <c r="T490" s="66"/>
      <c r="U490" s="66"/>
      <c r="V490" s="66"/>
      <c r="W490" s="66"/>
      <c r="X490" s="66"/>
      <c r="Y490" s="66"/>
      <c r="Z490" s="66"/>
      <c r="AA490" s="66"/>
      <c r="AB490" s="66"/>
      <c r="AC490" s="66"/>
      <c r="AD490" s="66"/>
      <c r="AE490" s="66"/>
      <c r="AF490" s="66"/>
      <c r="AG490" s="66"/>
      <c r="AH490" s="66"/>
      <c r="AI490" s="66"/>
      <c r="AJ490" s="66"/>
      <c r="AK490" s="66"/>
      <c r="AL490" s="66"/>
      <c r="AM490" s="66"/>
      <c r="AN490" s="66"/>
      <c r="AO490" s="66"/>
    </row>
    <row r="491">
      <c r="A491" s="93"/>
      <c r="B491" s="85"/>
      <c r="C491" s="86"/>
      <c r="D491" s="93"/>
      <c r="E491" s="85"/>
      <c r="F491" s="85"/>
      <c r="G491" s="86"/>
      <c r="H491" s="78" t="str">
        <f>IFERROR(__xludf.DUMMYFUNCTION("""COMPUTED_VALUE"""),"")</f>
        <v/>
      </c>
      <c r="I491" s="85"/>
      <c r="J491" s="85"/>
      <c r="K491" s="85"/>
      <c r="L491" s="86" t="str">
        <f>IFERROR(__xludf.DUMMYFUNCTION("""COMPUTED_VALUE"""),"REJECT")</f>
        <v>REJECT</v>
      </c>
      <c r="M491" s="78" t="str">
        <f>IFERROR(__xludf.DUMMYFUNCTION("""COMPUTED_VALUE"""),"")</f>
        <v/>
      </c>
      <c r="N491" s="85"/>
      <c r="O491" s="85"/>
      <c r="P491" s="85"/>
      <c r="Q491" s="86" t="str">
        <f>IFERROR(__xludf.DUMMYFUNCTION("""COMPUTED_VALUE"""),"REJECT")</f>
        <v>REJECT</v>
      </c>
      <c r="R491" s="66"/>
      <c r="S491" s="66"/>
      <c r="T491" s="66"/>
      <c r="U491" s="66"/>
      <c r="V491" s="66"/>
      <c r="W491" s="66"/>
      <c r="X491" s="66"/>
      <c r="Y491" s="66"/>
      <c r="Z491" s="66"/>
      <c r="AA491" s="66"/>
      <c r="AB491" s="66"/>
      <c r="AC491" s="66"/>
      <c r="AD491" s="66"/>
      <c r="AE491" s="66"/>
      <c r="AF491" s="66"/>
      <c r="AG491" s="66"/>
      <c r="AH491" s="66"/>
      <c r="AI491" s="66"/>
      <c r="AJ491" s="66"/>
      <c r="AK491" s="66"/>
      <c r="AL491" s="66"/>
      <c r="AM491" s="66"/>
      <c r="AN491" s="66"/>
      <c r="AO491" s="66"/>
    </row>
    <row r="492">
      <c r="A492" s="93"/>
      <c r="B492" s="85"/>
      <c r="C492" s="86"/>
      <c r="D492" s="93"/>
      <c r="E492" s="85"/>
      <c r="F492" s="85"/>
      <c r="G492" s="86"/>
      <c r="H492" s="78" t="str">
        <f>IFERROR(__xludf.DUMMYFUNCTION("""COMPUTED_VALUE"""),"")</f>
        <v/>
      </c>
      <c r="I492" s="85"/>
      <c r="J492" s="85"/>
      <c r="K492" s="85"/>
      <c r="L492" s="86" t="str">
        <f>IFERROR(__xludf.DUMMYFUNCTION("""COMPUTED_VALUE"""),"REJECT")</f>
        <v>REJECT</v>
      </c>
      <c r="M492" s="78" t="str">
        <f>IFERROR(__xludf.DUMMYFUNCTION("""COMPUTED_VALUE"""),"")</f>
        <v/>
      </c>
      <c r="N492" s="85"/>
      <c r="O492" s="85"/>
      <c r="P492" s="85"/>
      <c r="Q492" s="86" t="str">
        <f>IFERROR(__xludf.DUMMYFUNCTION("""COMPUTED_VALUE"""),"REJECT")</f>
        <v>REJECT</v>
      </c>
      <c r="R492" s="66"/>
      <c r="S492" s="66"/>
      <c r="T492" s="66"/>
      <c r="U492" s="66"/>
      <c r="V492" s="66"/>
      <c r="W492" s="66"/>
      <c r="X492" s="66"/>
      <c r="Y492" s="66"/>
      <c r="Z492" s="66"/>
      <c r="AA492" s="66"/>
      <c r="AB492" s="66"/>
      <c r="AC492" s="66"/>
      <c r="AD492" s="66"/>
      <c r="AE492" s="66"/>
      <c r="AF492" s="66"/>
      <c r="AG492" s="66"/>
      <c r="AH492" s="66"/>
      <c r="AI492" s="66"/>
      <c r="AJ492" s="66"/>
      <c r="AK492" s="66"/>
      <c r="AL492" s="66"/>
      <c r="AM492" s="66"/>
      <c r="AN492" s="66"/>
      <c r="AO492" s="66"/>
    </row>
    <row r="493">
      <c r="A493" s="93"/>
      <c r="B493" s="85"/>
      <c r="C493" s="86"/>
      <c r="D493" s="93"/>
      <c r="E493" s="85"/>
      <c r="F493" s="85"/>
      <c r="G493" s="86"/>
      <c r="H493" s="78" t="str">
        <f>IFERROR(__xludf.DUMMYFUNCTION("""COMPUTED_VALUE"""),"")</f>
        <v/>
      </c>
      <c r="I493" s="85"/>
      <c r="J493" s="85"/>
      <c r="K493" s="85"/>
      <c r="L493" s="86" t="str">
        <f>IFERROR(__xludf.DUMMYFUNCTION("""COMPUTED_VALUE"""),"REJECT")</f>
        <v>REJECT</v>
      </c>
      <c r="M493" s="78" t="str">
        <f>IFERROR(__xludf.DUMMYFUNCTION("""COMPUTED_VALUE"""),"")</f>
        <v/>
      </c>
      <c r="N493" s="85"/>
      <c r="O493" s="85"/>
      <c r="P493" s="85"/>
      <c r="Q493" s="86" t="str">
        <f>IFERROR(__xludf.DUMMYFUNCTION("""COMPUTED_VALUE"""),"REJECT")</f>
        <v>REJECT</v>
      </c>
      <c r="R493" s="66"/>
      <c r="S493" s="66"/>
      <c r="T493" s="66"/>
      <c r="U493" s="66"/>
      <c r="V493" s="66"/>
      <c r="W493" s="66"/>
      <c r="X493" s="66"/>
      <c r="Y493" s="66"/>
      <c r="Z493" s="66"/>
      <c r="AA493" s="66"/>
      <c r="AB493" s="66"/>
      <c r="AC493" s="66"/>
      <c r="AD493" s="66"/>
      <c r="AE493" s="66"/>
      <c r="AF493" s="66"/>
      <c r="AG493" s="66"/>
      <c r="AH493" s="66"/>
      <c r="AI493" s="66"/>
      <c r="AJ493" s="66"/>
      <c r="AK493" s="66"/>
      <c r="AL493" s="66"/>
      <c r="AM493" s="66"/>
      <c r="AN493" s="66"/>
      <c r="AO493" s="66"/>
    </row>
    <row r="494">
      <c r="A494" s="93"/>
      <c r="B494" s="85"/>
      <c r="C494" s="86"/>
      <c r="D494" s="93"/>
      <c r="E494" s="85"/>
      <c r="F494" s="85"/>
      <c r="G494" s="86"/>
      <c r="H494" s="78" t="str">
        <f>IFERROR(__xludf.DUMMYFUNCTION("""COMPUTED_VALUE"""),"")</f>
        <v/>
      </c>
      <c r="I494" s="85"/>
      <c r="J494" s="85"/>
      <c r="K494" s="85"/>
      <c r="L494" s="86" t="str">
        <f>IFERROR(__xludf.DUMMYFUNCTION("""COMPUTED_VALUE"""),"REJECT")</f>
        <v>REJECT</v>
      </c>
      <c r="M494" s="78" t="str">
        <f>IFERROR(__xludf.DUMMYFUNCTION("""COMPUTED_VALUE"""),"")</f>
        <v/>
      </c>
      <c r="N494" s="85"/>
      <c r="O494" s="85"/>
      <c r="P494" s="85"/>
      <c r="Q494" s="86" t="str">
        <f>IFERROR(__xludf.DUMMYFUNCTION("""COMPUTED_VALUE"""),"REJECT")</f>
        <v>REJECT</v>
      </c>
      <c r="R494" s="66"/>
      <c r="S494" s="66"/>
      <c r="T494" s="66"/>
      <c r="U494" s="66"/>
      <c r="V494" s="66"/>
      <c r="W494" s="66"/>
      <c r="X494" s="66"/>
      <c r="Y494" s="66"/>
      <c r="Z494" s="66"/>
      <c r="AA494" s="66"/>
      <c r="AB494" s="66"/>
      <c r="AC494" s="66"/>
      <c r="AD494" s="66"/>
      <c r="AE494" s="66"/>
      <c r="AF494" s="66"/>
      <c r="AG494" s="66"/>
      <c r="AH494" s="66"/>
      <c r="AI494" s="66"/>
      <c r="AJ494" s="66"/>
      <c r="AK494" s="66"/>
      <c r="AL494" s="66"/>
      <c r="AM494" s="66"/>
      <c r="AN494" s="66"/>
      <c r="AO494" s="66"/>
    </row>
    <row r="495">
      <c r="A495" s="93"/>
      <c r="B495" s="85"/>
      <c r="C495" s="86"/>
      <c r="D495" s="93"/>
      <c r="E495" s="85"/>
      <c r="F495" s="85"/>
      <c r="G495" s="86"/>
      <c r="H495" s="78" t="str">
        <f>IFERROR(__xludf.DUMMYFUNCTION("""COMPUTED_VALUE"""),"")</f>
        <v/>
      </c>
      <c r="I495" s="85"/>
      <c r="J495" s="85"/>
      <c r="K495" s="85"/>
      <c r="L495" s="86" t="str">
        <f>IFERROR(__xludf.DUMMYFUNCTION("""COMPUTED_VALUE"""),"REJECT")</f>
        <v>REJECT</v>
      </c>
      <c r="M495" s="78" t="str">
        <f>IFERROR(__xludf.DUMMYFUNCTION("""COMPUTED_VALUE"""),"")</f>
        <v/>
      </c>
      <c r="N495" s="85"/>
      <c r="O495" s="85"/>
      <c r="P495" s="85"/>
      <c r="Q495" s="86" t="str">
        <f>IFERROR(__xludf.DUMMYFUNCTION("""COMPUTED_VALUE"""),"REJECT")</f>
        <v>REJECT</v>
      </c>
      <c r="R495" s="66"/>
      <c r="S495" s="66"/>
      <c r="T495" s="66"/>
      <c r="U495" s="66"/>
      <c r="V495" s="66"/>
      <c r="W495" s="66"/>
      <c r="X495" s="66"/>
      <c r="Y495" s="66"/>
      <c r="Z495" s="66"/>
      <c r="AA495" s="66"/>
      <c r="AB495" s="66"/>
      <c r="AC495" s="66"/>
      <c r="AD495" s="66"/>
      <c r="AE495" s="66"/>
      <c r="AF495" s="66"/>
      <c r="AG495" s="66"/>
      <c r="AH495" s="66"/>
      <c r="AI495" s="66"/>
      <c r="AJ495" s="66"/>
      <c r="AK495" s="66"/>
      <c r="AL495" s="66"/>
      <c r="AM495" s="66"/>
      <c r="AN495" s="66"/>
      <c r="AO495" s="66"/>
    </row>
    <row r="496">
      <c r="A496" s="93"/>
      <c r="B496" s="85"/>
      <c r="C496" s="86"/>
      <c r="D496" s="93"/>
      <c r="E496" s="85"/>
      <c r="F496" s="85"/>
      <c r="G496" s="86"/>
      <c r="H496" s="78" t="str">
        <f>IFERROR(__xludf.DUMMYFUNCTION("""COMPUTED_VALUE"""),"")</f>
        <v/>
      </c>
      <c r="I496" s="85"/>
      <c r="J496" s="85"/>
      <c r="K496" s="85"/>
      <c r="L496" s="86" t="str">
        <f>IFERROR(__xludf.DUMMYFUNCTION("""COMPUTED_VALUE"""),"REJECT")</f>
        <v>REJECT</v>
      </c>
      <c r="M496" s="78" t="str">
        <f>IFERROR(__xludf.DUMMYFUNCTION("""COMPUTED_VALUE"""),"")</f>
        <v/>
      </c>
      <c r="N496" s="85"/>
      <c r="O496" s="85"/>
      <c r="P496" s="85"/>
      <c r="Q496" s="86" t="str">
        <f>IFERROR(__xludf.DUMMYFUNCTION("""COMPUTED_VALUE"""),"REJECT")</f>
        <v>REJECT</v>
      </c>
      <c r="R496" s="66"/>
      <c r="S496" s="66"/>
      <c r="T496" s="66"/>
      <c r="U496" s="66"/>
      <c r="V496" s="66"/>
      <c r="W496" s="66"/>
      <c r="X496" s="66"/>
      <c r="Y496" s="66"/>
      <c r="Z496" s="66"/>
      <c r="AA496" s="66"/>
      <c r="AB496" s="66"/>
      <c r="AC496" s="66"/>
      <c r="AD496" s="66"/>
      <c r="AE496" s="66"/>
      <c r="AF496" s="66"/>
      <c r="AG496" s="66"/>
      <c r="AH496" s="66"/>
      <c r="AI496" s="66"/>
      <c r="AJ496" s="66"/>
      <c r="AK496" s="66"/>
      <c r="AL496" s="66"/>
      <c r="AM496" s="66"/>
      <c r="AN496" s="66"/>
      <c r="AO496" s="66"/>
    </row>
    <row r="497">
      <c r="A497" s="93"/>
      <c r="B497" s="85"/>
      <c r="C497" s="86"/>
      <c r="D497" s="93"/>
      <c r="E497" s="85"/>
      <c r="F497" s="85"/>
      <c r="G497" s="86"/>
      <c r="H497" s="78" t="str">
        <f>IFERROR(__xludf.DUMMYFUNCTION("""COMPUTED_VALUE"""),"")</f>
        <v/>
      </c>
      <c r="I497" s="85"/>
      <c r="J497" s="85"/>
      <c r="K497" s="85"/>
      <c r="L497" s="86" t="str">
        <f>IFERROR(__xludf.DUMMYFUNCTION("""COMPUTED_VALUE"""),"REJECT")</f>
        <v>REJECT</v>
      </c>
      <c r="M497" s="78" t="str">
        <f>IFERROR(__xludf.DUMMYFUNCTION("""COMPUTED_VALUE"""),"")</f>
        <v/>
      </c>
      <c r="N497" s="85"/>
      <c r="O497" s="85"/>
      <c r="P497" s="85"/>
      <c r="Q497" s="86" t="str">
        <f>IFERROR(__xludf.DUMMYFUNCTION("""COMPUTED_VALUE"""),"REJECT")</f>
        <v>REJECT</v>
      </c>
      <c r="R497" s="66"/>
      <c r="S497" s="66"/>
      <c r="T497" s="66"/>
      <c r="U497" s="66"/>
      <c r="V497" s="66"/>
      <c r="W497" s="66"/>
      <c r="X497" s="66"/>
      <c r="Y497" s="66"/>
      <c r="Z497" s="66"/>
      <c r="AA497" s="66"/>
      <c r="AB497" s="66"/>
      <c r="AC497" s="66"/>
      <c r="AD497" s="66"/>
      <c r="AE497" s="66"/>
      <c r="AF497" s="66"/>
      <c r="AG497" s="66"/>
      <c r="AH497" s="66"/>
      <c r="AI497" s="66"/>
      <c r="AJ497" s="66"/>
      <c r="AK497" s="66"/>
      <c r="AL497" s="66"/>
      <c r="AM497" s="66"/>
      <c r="AN497" s="66"/>
      <c r="AO497" s="66"/>
    </row>
    <row r="498">
      <c r="A498" s="93"/>
      <c r="B498" s="85"/>
      <c r="C498" s="86"/>
      <c r="D498" s="93"/>
      <c r="E498" s="85"/>
      <c r="F498" s="85"/>
      <c r="G498" s="86"/>
      <c r="H498" s="78" t="str">
        <f>IFERROR(__xludf.DUMMYFUNCTION("""COMPUTED_VALUE"""),"")</f>
        <v/>
      </c>
      <c r="I498" s="85"/>
      <c r="J498" s="85"/>
      <c r="K498" s="85"/>
      <c r="L498" s="86" t="str">
        <f>IFERROR(__xludf.DUMMYFUNCTION("""COMPUTED_VALUE"""),"REJECT")</f>
        <v>REJECT</v>
      </c>
      <c r="M498" s="78" t="str">
        <f>IFERROR(__xludf.DUMMYFUNCTION("""COMPUTED_VALUE"""),"")</f>
        <v/>
      </c>
      <c r="N498" s="85"/>
      <c r="O498" s="85"/>
      <c r="P498" s="85"/>
      <c r="Q498" s="86" t="str">
        <f>IFERROR(__xludf.DUMMYFUNCTION("""COMPUTED_VALUE"""),"REJECT")</f>
        <v>REJECT</v>
      </c>
      <c r="R498" s="66"/>
      <c r="S498" s="66"/>
      <c r="T498" s="66"/>
      <c r="U498" s="66"/>
      <c r="V498" s="66"/>
      <c r="W498" s="66"/>
      <c r="X498" s="66"/>
      <c r="Y498" s="66"/>
      <c r="Z498" s="66"/>
      <c r="AA498" s="66"/>
      <c r="AB498" s="66"/>
      <c r="AC498" s="66"/>
      <c r="AD498" s="66"/>
      <c r="AE498" s="66"/>
      <c r="AF498" s="66"/>
      <c r="AG498" s="66"/>
      <c r="AH498" s="66"/>
      <c r="AI498" s="66"/>
      <c r="AJ498" s="66"/>
      <c r="AK498" s="66"/>
      <c r="AL498" s="66"/>
      <c r="AM498" s="66"/>
      <c r="AN498" s="66"/>
      <c r="AO498" s="66"/>
    </row>
    <row r="499">
      <c r="A499" s="93"/>
      <c r="B499" s="85"/>
      <c r="C499" s="86"/>
      <c r="D499" s="93"/>
      <c r="E499" s="85"/>
      <c r="F499" s="85"/>
      <c r="G499" s="86"/>
      <c r="H499" s="78" t="str">
        <f>IFERROR(__xludf.DUMMYFUNCTION("""COMPUTED_VALUE"""),"")</f>
        <v/>
      </c>
      <c r="I499" s="85"/>
      <c r="J499" s="85"/>
      <c r="K499" s="85"/>
      <c r="L499" s="86" t="str">
        <f>IFERROR(__xludf.DUMMYFUNCTION("""COMPUTED_VALUE"""),"REJECT")</f>
        <v>REJECT</v>
      </c>
      <c r="M499" s="78" t="str">
        <f>IFERROR(__xludf.DUMMYFUNCTION("""COMPUTED_VALUE"""),"")</f>
        <v/>
      </c>
      <c r="N499" s="85"/>
      <c r="O499" s="85"/>
      <c r="P499" s="85"/>
      <c r="Q499" s="86" t="str">
        <f>IFERROR(__xludf.DUMMYFUNCTION("""COMPUTED_VALUE"""),"REJECT")</f>
        <v>REJECT</v>
      </c>
      <c r="R499" s="66"/>
      <c r="S499" s="66"/>
      <c r="T499" s="66"/>
      <c r="U499" s="66"/>
      <c r="V499" s="66"/>
      <c r="W499" s="66"/>
      <c r="X499" s="66"/>
      <c r="Y499" s="66"/>
      <c r="Z499" s="66"/>
      <c r="AA499" s="66"/>
      <c r="AB499" s="66"/>
      <c r="AC499" s="66"/>
      <c r="AD499" s="66"/>
      <c r="AE499" s="66"/>
      <c r="AF499" s="66"/>
      <c r="AG499" s="66"/>
      <c r="AH499" s="66"/>
      <c r="AI499" s="66"/>
      <c r="AJ499" s="66"/>
      <c r="AK499" s="66"/>
      <c r="AL499" s="66"/>
      <c r="AM499" s="66"/>
      <c r="AN499" s="66"/>
      <c r="AO499" s="66"/>
    </row>
    <row r="500">
      <c r="A500" s="93"/>
      <c r="B500" s="85"/>
      <c r="C500" s="86"/>
      <c r="D500" s="93"/>
      <c r="E500" s="85"/>
      <c r="F500" s="85"/>
      <c r="G500" s="86"/>
      <c r="H500" s="78" t="str">
        <f>IFERROR(__xludf.DUMMYFUNCTION("""COMPUTED_VALUE"""),"")</f>
        <v/>
      </c>
      <c r="I500" s="85"/>
      <c r="J500" s="85"/>
      <c r="K500" s="85"/>
      <c r="L500" s="86" t="str">
        <f>IFERROR(__xludf.DUMMYFUNCTION("""COMPUTED_VALUE"""),"REJECT")</f>
        <v>REJECT</v>
      </c>
      <c r="M500" s="78" t="str">
        <f>IFERROR(__xludf.DUMMYFUNCTION("""COMPUTED_VALUE"""),"")</f>
        <v/>
      </c>
      <c r="N500" s="85"/>
      <c r="O500" s="85"/>
      <c r="P500" s="85"/>
      <c r="Q500" s="86" t="str">
        <f>IFERROR(__xludf.DUMMYFUNCTION("""COMPUTED_VALUE"""),"REJECT")</f>
        <v>REJECT</v>
      </c>
      <c r="R500" s="66"/>
      <c r="S500" s="66"/>
      <c r="T500" s="66"/>
      <c r="U500" s="66"/>
      <c r="V500" s="66"/>
      <c r="W500" s="66"/>
      <c r="X500" s="66"/>
      <c r="Y500" s="66"/>
      <c r="Z500" s="66"/>
      <c r="AA500" s="66"/>
      <c r="AB500" s="66"/>
      <c r="AC500" s="66"/>
      <c r="AD500" s="66"/>
      <c r="AE500" s="66"/>
      <c r="AF500" s="66"/>
      <c r="AG500" s="66"/>
      <c r="AH500" s="66"/>
      <c r="AI500" s="66"/>
      <c r="AJ500" s="66"/>
      <c r="AK500" s="66"/>
      <c r="AL500" s="66"/>
      <c r="AM500" s="66"/>
      <c r="AN500" s="66"/>
      <c r="AO500" s="66"/>
    </row>
    <row r="501">
      <c r="A501" s="93"/>
      <c r="B501" s="85"/>
      <c r="C501" s="86"/>
      <c r="D501" s="93"/>
      <c r="E501" s="85"/>
      <c r="F501" s="85"/>
      <c r="G501" s="86"/>
      <c r="H501" s="78" t="str">
        <f>IFERROR(__xludf.DUMMYFUNCTION("""COMPUTED_VALUE"""),"")</f>
        <v/>
      </c>
      <c r="I501" s="85"/>
      <c r="J501" s="85"/>
      <c r="K501" s="85"/>
      <c r="L501" s="86" t="str">
        <f>IFERROR(__xludf.DUMMYFUNCTION("""COMPUTED_VALUE"""),"REJECT")</f>
        <v>REJECT</v>
      </c>
      <c r="M501" s="78" t="str">
        <f>IFERROR(__xludf.DUMMYFUNCTION("""COMPUTED_VALUE"""),"")</f>
        <v/>
      </c>
      <c r="N501" s="85"/>
      <c r="O501" s="85"/>
      <c r="P501" s="85"/>
      <c r="Q501" s="86" t="str">
        <f>IFERROR(__xludf.DUMMYFUNCTION("""COMPUTED_VALUE"""),"REJECT")</f>
        <v>REJECT</v>
      </c>
      <c r="R501" s="66"/>
      <c r="S501" s="66"/>
      <c r="T501" s="66"/>
      <c r="U501" s="66"/>
      <c r="V501" s="66"/>
      <c r="W501" s="66"/>
      <c r="X501" s="66"/>
      <c r="Y501" s="66"/>
      <c r="Z501" s="66"/>
      <c r="AA501" s="66"/>
      <c r="AB501" s="66"/>
      <c r="AC501" s="66"/>
      <c r="AD501" s="66"/>
      <c r="AE501" s="66"/>
      <c r="AF501" s="66"/>
      <c r="AG501" s="66"/>
      <c r="AH501" s="66"/>
      <c r="AI501" s="66"/>
      <c r="AJ501" s="66"/>
      <c r="AK501" s="66"/>
      <c r="AL501" s="66"/>
      <c r="AM501" s="66"/>
      <c r="AN501" s="66"/>
      <c r="AO501" s="66"/>
    </row>
    <row r="502">
      <c r="A502" s="93"/>
      <c r="B502" s="85"/>
      <c r="C502" s="86"/>
      <c r="D502" s="93"/>
      <c r="E502" s="85"/>
      <c r="F502" s="85"/>
      <c r="G502" s="86"/>
      <c r="H502" s="78" t="str">
        <f>IFERROR(__xludf.DUMMYFUNCTION("""COMPUTED_VALUE"""),"")</f>
        <v/>
      </c>
      <c r="I502" s="85"/>
      <c r="J502" s="85"/>
      <c r="K502" s="85"/>
      <c r="L502" s="86" t="str">
        <f>IFERROR(__xludf.DUMMYFUNCTION("""COMPUTED_VALUE"""),"REJECT")</f>
        <v>REJECT</v>
      </c>
      <c r="M502" s="78" t="str">
        <f>IFERROR(__xludf.DUMMYFUNCTION("""COMPUTED_VALUE"""),"")</f>
        <v/>
      </c>
      <c r="N502" s="85"/>
      <c r="O502" s="85"/>
      <c r="P502" s="85"/>
      <c r="Q502" s="86" t="str">
        <f>IFERROR(__xludf.DUMMYFUNCTION("""COMPUTED_VALUE"""),"REJECT")</f>
        <v>REJECT</v>
      </c>
      <c r="R502" s="66"/>
      <c r="S502" s="66"/>
      <c r="T502" s="66"/>
      <c r="U502" s="66"/>
      <c r="V502" s="66"/>
      <c r="W502" s="66"/>
      <c r="X502" s="66"/>
      <c r="Y502" s="66"/>
      <c r="Z502" s="66"/>
      <c r="AA502" s="66"/>
      <c r="AB502" s="66"/>
      <c r="AC502" s="66"/>
      <c r="AD502" s="66"/>
      <c r="AE502" s="66"/>
      <c r="AF502" s="66"/>
      <c r="AG502" s="66"/>
      <c r="AH502" s="66"/>
      <c r="AI502" s="66"/>
      <c r="AJ502" s="66"/>
      <c r="AK502" s="66"/>
      <c r="AL502" s="66"/>
      <c r="AM502" s="66"/>
      <c r="AN502" s="66"/>
      <c r="AO502" s="66"/>
    </row>
    <row r="503">
      <c r="A503" s="93"/>
      <c r="B503" s="85"/>
      <c r="C503" s="86"/>
      <c r="D503" s="93"/>
      <c r="E503" s="85"/>
      <c r="F503" s="85"/>
      <c r="G503" s="86"/>
      <c r="H503" s="78" t="str">
        <f>IFERROR(__xludf.DUMMYFUNCTION("""COMPUTED_VALUE"""),"")</f>
        <v/>
      </c>
      <c r="I503" s="85"/>
      <c r="J503" s="85"/>
      <c r="K503" s="85"/>
      <c r="L503" s="86" t="str">
        <f>IFERROR(__xludf.DUMMYFUNCTION("""COMPUTED_VALUE"""),"REJECT")</f>
        <v>REJECT</v>
      </c>
      <c r="M503" s="78" t="str">
        <f>IFERROR(__xludf.DUMMYFUNCTION("""COMPUTED_VALUE"""),"")</f>
        <v/>
      </c>
      <c r="N503" s="85"/>
      <c r="O503" s="85"/>
      <c r="P503" s="85"/>
      <c r="Q503" s="86" t="str">
        <f>IFERROR(__xludf.DUMMYFUNCTION("""COMPUTED_VALUE"""),"REJECT")</f>
        <v>REJECT</v>
      </c>
      <c r="R503" s="66"/>
      <c r="S503" s="66"/>
      <c r="T503" s="66"/>
      <c r="U503" s="66"/>
      <c r="V503" s="66"/>
      <c r="W503" s="66"/>
      <c r="X503" s="66"/>
      <c r="Y503" s="66"/>
      <c r="Z503" s="66"/>
      <c r="AA503" s="66"/>
      <c r="AB503" s="66"/>
      <c r="AC503" s="66"/>
      <c r="AD503" s="66"/>
      <c r="AE503" s="66"/>
      <c r="AF503" s="66"/>
      <c r="AG503" s="66"/>
      <c r="AH503" s="66"/>
      <c r="AI503" s="66"/>
      <c r="AJ503" s="66"/>
      <c r="AK503" s="66"/>
      <c r="AL503" s="66"/>
      <c r="AM503" s="66"/>
      <c r="AN503" s="66"/>
      <c r="AO503" s="66"/>
    </row>
    <row r="504">
      <c r="A504" s="93"/>
      <c r="B504" s="85"/>
      <c r="C504" s="86"/>
      <c r="D504" s="93"/>
      <c r="E504" s="85"/>
      <c r="F504" s="85"/>
      <c r="G504" s="86"/>
      <c r="H504" s="78" t="str">
        <f>IFERROR(__xludf.DUMMYFUNCTION("""COMPUTED_VALUE"""),"")</f>
        <v/>
      </c>
      <c r="I504" s="85"/>
      <c r="J504" s="85"/>
      <c r="K504" s="85"/>
      <c r="L504" s="86" t="str">
        <f>IFERROR(__xludf.DUMMYFUNCTION("""COMPUTED_VALUE"""),"REJECT")</f>
        <v>REJECT</v>
      </c>
      <c r="M504" s="78" t="str">
        <f>IFERROR(__xludf.DUMMYFUNCTION("""COMPUTED_VALUE"""),"")</f>
        <v/>
      </c>
      <c r="N504" s="85"/>
      <c r="O504" s="85"/>
      <c r="P504" s="85"/>
      <c r="Q504" s="86" t="str">
        <f>IFERROR(__xludf.DUMMYFUNCTION("""COMPUTED_VALUE"""),"REJECT")</f>
        <v>REJECT</v>
      </c>
      <c r="R504" s="66"/>
      <c r="S504" s="66"/>
      <c r="T504" s="66"/>
      <c r="U504" s="66"/>
      <c r="V504" s="66"/>
      <c r="W504" s="66"/>
      <c r="X504" s="66"/>
      <c r="Y504" s="66"/>
      <c r="Z504" s="66"/>
      <c r="AA504" s="66"/>
      <c r="AB504" s="66"/>
      <c r="AC504" s="66"/>
      <c r="AD504" s="66"/>
      <c r="AE504" s="66"/>
      <c r="AF504" s="66"/>
      <c r="AG504" s="66"/>
      <c r="AH504" s="66"/>
      <c r="AI504" s="66"/>
      <c r="AJ504" s="66"/>
      <c r="AK504" s="66"/>
      <c r="AL504" s="66"/>
      <c r="AM504" s="66"/>
      <c r="AN504" s="66"/>
      <c r="AO504" s="66"/>
    </row>
    <row r="505">
      <c r="A505" s="93"/>
      <c r="B505" s="85"/>
      <c r="C505" s="86"/>
      <c r="D505" s="93"/>
      <c r="E505" s="85"/>
      <c r="F505" s="85"/>
      <c r="G505" s="86"/>
      <c r="H505" s="78" t="str">
        <f>IFERROR(__xludf.DUMMYFUNCTION("""COMPUTED_VALUE"""),"")</f>
        <v/>
      </c>
      <c r="I505" s="85"/>
      <c r="J505" s="85"/>
      <c r="K505" s="85"/>
      <c r="L505" s="86" t="str">
        <f>IFERROR(__xludf.DUMMYFUNCTION("""COMPUTED_VALUE"""),"REJECT")</f>
        <v>REJECT</v>
      </c>
      <c r="M505" s="78" t="str">
        <f>IFERROR(__xludf.DUMMYFUNCTION("""COMPUTED_VALUE"""),"")</f>
        <v/>
      </c>
      <c r="N505" s="85"/>
      <c r="O505" s="85"/>
      <c r="P505" s="85"/>
      <c r="Q505" s="86" t="str">
        <f>IFERROR(__xludf.DUMMYFUNCTION("""COMPUTED_VALUE"""),"REJECT")</f>
        <v>REJECT</v>
      </c>
      <c r="R505" s="66"/>
      <c r="S505" s="66"/>
      <c r="T505" s="66"/>
      <c r="U505" s="66"/>
      <c r="V505" s="66"/>
      <c r="W505" s="66"/>
      <c r="X505" s="66"/>
      <c r="Y505" s="66"/>
      <c r="Z505" s="66"/>
      <c r="AA505" s="66"/>
      <c r="AB505" s="66"/>
      <c r="AC505" s="66"/>
      <c r="AD505" s="66"/>
      <c r="AE505" s="66"/>
      <c r="AF505" s="66"/>
      <c r="AG505" s="66"/>
      <c r="AH505" s="66"/>
      <c r="AI505" s="66"/>
      <c r="AJ505" s="66"/>
      <c r="AK505" s="66"/>
      <c r="AL505" s="66"/>
      <c r="AM505" s="66"/>
      <c r="AN505" s="66"/>
      <c r="AO505" s="66"/>
    </row>
    <row r="506">
      <c r="A506" s="93"/>
      <c r="B506" s="85"/>
      <c r="C506" s="86"/>
      <c r="D506" s="93"/>
      <c r="E506" s="85"/>
      <c r="F506" s="85"/>
      <c r="G506" s="86"/>
      <c r="H506" s="78" t="str">
        <f>IFERROR(__xludf.DUMMYFUNCTION("""COMPUTED_VALUE"""),"")</f>
        <v/>
      </c>
      <c r="I506" s="85"/>
      <c r="J506" s="85"/>
      <c r="K506" s="85"/>
      <c r="L506" s="86" t="str">
        <f>IFERROR(__xludf.DUMMYFUNCTION("""COMPUTED_VALUE"""),"REJECT")</f>
        <v>REJECT</v>
      </c>
      <c r="M506" s="78" t="str">
        <f>IFERROR(__xludf.DUMMYFUNCTION("""COMPUTED_VALUE"""),"")</f>
        <v/>
      </c>
      <c r="N506" s="85"/>
      <c r="O506" s="85"/>
      <c r="P506" s="85"/>
      <c r="Q506" s="86" t="str">
        <f>IFERROR(__xludf.DUMMYFUNCTION("""COMPUTED_VALUE"""),"REJECT")</f>
        <v>REJECT</v>
      </c>
      <c r="R506" s="66"/>
      <c r="S506" s="66"/>
      <c r="T506" s="66"/>
      <c r="U506" s="66"/>
      <c r="V506" s="66"/>
      <c r="W506" s="66"/>
      <c r="X506" s="66"/>
      <c r="Y506" s="66"/>
      <c r="Z506" s="66"/>
      <c r="AA506" s="66"/>
      <c r="AB506" s="66"/>
      <c r="AC506" s="66"/>
      <c r="AD506" s="66"/>
      <c r="AE506" s="66"/>
      <c r="AF506" s="66"/>
      <c r="AG506" s="66"/>
      <c r="AH506" s="66"/>
      <c r="AI506" s="66"/>
      <c r="AJ506" s="66"/>
      <c r="AK506" s="66"/>
      <c r="AL506" s="66"/>
      <c r="AM506" s="66"/>
      <c r="AN506" s="66"/>
      <c r="AO506" s="66"/>
    </row>
    <row r="507">
      <c r="A507" s="93"/>
      <c r="B507" s="85"/>
      <c r="C507" s="86"/>
      <c r="D507" s="93"/>
      <c r="E507" s="85"/>
      <c r="F507" s="85"/>
      <c r="G507" s="86"/>
      <c r="H507" s="78" t="str">
        <f>IFERROR(__xludf.DUMMYFUNCTION("""COMPUTED_VALUE"""),"")</f>
        <v/>
      </c>
      <c r="I507" s="85"/>
      <c r="J507" s="85"/>
      <c r="K507" s="85"/>
      <c r="L507" s="86" t="str">
        <f>IFERROR(__xludf.DUMMYFUNCTION("""COMPUTED_VALUE"""),"REJECT")</f>
        <v>REJECT</v>
      </c>
      <c r="M507" s="78" t="str">
        <f>IFERROR(__xludf.DUMMYFUNCTION("""COMPUTED_VALUE"""),"")</f>
        <v/>
      </c>
      <c r="N507" s="85"/>
      <c r="O507" s="85"/>
      <c r="P507" s="85"/>
      <c r="Q507" s="86" t="str">
        <f>IFERROR(__xludf.DUMMYFUNCTION("""COMPUTED_VALUE"""),"REJECT")</f>
        <v>REJECT</v>
      </c>
      <c r="R507" s="66"/>
      <c r="S507" s="66"/>
      <c r="T507" s="66"/>
      <c r="U507" s="66"/>
      <c r="V507" s="66"/>
      <c r="W507" s="66"/>
      <c r="X507" s="66"/>
      <c r="Y507" s="66"/>
      <c r="Z507" s="66"/>
      <c r="AA507" s="66"/>
      <c r="AB507" s="66"/>
      <c r="AC507" s="66"/>
      <c r="AD507" s="66"/>
      <c r="AE507" s="66"/>
      <c r="AF507" s="66"/>
      <c r="AG507" s="66"/>
      <c r="AH507" s="66"/>
      <c r="AI507" s="66"/>
      <c r="AJ507" s="66"/>
      <c r="AK507" s="66"/>
      <c r="AL507" s="66"/>
      <c r="AM507" s="66"/>
      <c r="AN507" s="66"/>
      <c r="AO507" s="66"/>
    </row>
    <row r="508">
      <c r="A508" s="93"/>
      <c r="B508" s="85"/>
      <c r="C508" s="86"/>
      <c r="D508" s="93"/>
      <c r="E508" s="85"/>
      <c r="F508" s="85"/>
      <c r="G508" s="86"/>
      <c r="H508" s="78" t="str">
        <f>IFERROR(__xludf.DUMMYFUNCTION("""COMPUTED_VALUE"""),"")</f>
        <v/>
      </c>
      <c r="I508" s="85"/>
      <c r="J508" s="85"/>
      <c r="K508" s="85"/>
      <c r="L508" s="86" t="str">
        <f>IFERROR(__xludf.DUMMYFUNCTION("""COMPUTED_VALUE"""),"REJECT")</f>
        <v>REJECT</v>
      </c>
      <c r="M508" s="78" t="str">
        <f>IFERROR(__xludf.DUMMYFUNCTION("""COMPUTED_VALUE"""),"")</f>
        <v/>
      </c>
      <c r="N508" s="85"/>
      <c r="O508" s="85"/>
      <c r="P508" s="85"/>
      <c r="Q508" s="86" t="str">
        <f>IFERROR(__xludf.DUMMYFUNCTION("""COMPUTED_VALUE"""),"REJECT")</f>
        <v>REJECT</v>
      </c>
      <c r="R508" s="66"/>
      <c r="S508" s="66"/>
      <c r="T508" s="66"/>
      <c r="U508" s="66"/>
      <c r="V508" s="66"/>
      <c r="W508" s="66"/>
      <c r="X508" s="66"/>
      <c r="Y508" s="66"/>
      <c r="Z508" s="66"/>
      <c r="AA508" s="66"/>
      <c r="AB508" s="66"/>
      <c r="AC508" s="66"/>
      <c r="AD508" s="66"/>
      <c r="AE508" s="66"/>
      <c r="AF508" s="66"/>
      <c r="AG508" s="66"/>
      <c r="AH508" s="66"/>
      <c r="AI508" s="66"/>
      <c r="AJ508" s="66"/>
      <c r="AK508" s="66"/>
      <c r="AL508" s="66"/>
      <c r="AM508" s="66"/>
      <c r="AN508" s="66"/>
      <c r="AO508" s="66"/>
    </row>
    <row r="509">
      <c r="A509" s="93"/>
      <c r="B509" s="85"/>
      <c r="C509" s="86"/>
      <c r="D509" s="93"/>
      <c r="E509" s="85"/>
      <c r="F509" s="85"/>
      <c r="G509" s="86"/>
      <c r="H509" s="78" t="str">
        <f>IFERROR(__xludf.DUMMYFUNCTION("""COMPUTED_VALUE"""),"")</f>
        <v/>
      </c>
      <c r="I509" s="85"/>
      <c r="J509" s="85"/>
      <c r="K509" s="85"/>
      <c r="L509" s="86" t="str">
        <f>IFERROR(__xludf.DUMMYFUNCTION("""COMPUTED_VALUE"""),"REJECT")</f>
        <v>REJECT</v>
      </c>
      <c r="M509" s="78" t="str">
        <f>IFERROR(__xludf.DUMMYFUNCTION("""COMPUTED_VALUE"""),"")</f>
        <v/>
      </c>
      <c r="N509" s="85"/>
      <c r="O509" s="85"/>
      <c r="P509" s="85"/>
      <c r="Q509" s="86" t="str">
        <f>IFERROR(__xludf.DUMMYFUNCTION("""COMPUTED_VALUE"""),"REJECT")</f>
        <v>REJECT</v>
      </c>
      <c r="R509" s="66"/>
      <c r="S509" s="66"/>
      <c r="T509" s="66"/>
      <c r="U509" s="66"/>
      <c r="V509" s="66"/>
      <c r="W509" s="66"/>
      <c r="X509" s="66"/>
      <c r="Y509" s="66"/>
      <c r="Z509" s="66"/>
      <c r="AA509" s="66"/>
      <c r="AB509" s="66"/>
      <c r="AC509" s="66"/>
      <c r="AD509" s="66"/>
      <c r="AE509" s="66"/>
      <c r="AF509" s="66"/>
      <c r="AG509" s="66"/>
      <c r="AH509" s="66"/>
      <c r="AI509" s="66"/>
      <c r="AJ509" s="66"/>
      <c r="AK509" s="66"/>
      <c r="AL509" s="66"/>
      <c r="AM509" s="66"/>
      <c r="AN509" s="66"/>
      <c r="AO509" s="66"/>
    </row>
    <row r="510">
      <c r="A510" s="93"/>
      <c r="B510" s="85"/>
      <c r="C510" s="86"/>
      <c r="D510" s="93"/>
      <c r="E510" s="85"/>
      <c r="F510" s="85"/>
      <c r="G510" s="86"/>
      <c r="H510" s="78" t="str">
        <f>IFERROR(__xludf.DUMMYFUNCTION("""COMPUTED_VALUE"""),"")</f>
        <v/>
      </c>
      <c r="I510" s="85"/>
      <c r="J510" s="85"/>
      <c r="K510" s="85"/>
      <c r="L510" s="86" t="str">
        <f>IFERROR(__xludf.DUMMYFUNCTION("""COMPUTED_VALUE"""),"REJECT")</f>
        <v>REJECT</v>
      </c>
      <c r="M510" s="78" t="str">
        <f>IFERROR(__xludf.DUMMYFUNCTION("""COMPUTED_VALUE"""),"")</f>
        <v/>
      </c>
      <c r="N510" s="85"/>
      <c r="O510" s="85"/>
      <c r="P510" s="85"/>
      <c r="Q510" s="86" t="str">
        <f>IFERROR(__xludf.DUMMYFUNCTION("""COMPUTED_VALUE"""),"REJECT")</f>
        <v>REJECT</v>
      </c>
      <c r="R510" s="66"/>
      <c r="S510" s="66"/>
      <c r="T510" s="66"/>
      <c r="U510" s="66"/>
      <c r="V510" s="66"/>
      <c r="W510" s="66"/>
      <c r="X510" s="66"/>
      <c r="Y510" s="66"/>
      <c r="Z510" s="66"/>
      <c r="AA510" s="66"/>
      <c r="AB510" s="66"/>
      <c r="AC510" s="66"/>
      <c r="AD510" s="66"/>
      <c r="AE510" s="66"/>
      <c r="AF510" s="66"/>
      <c r="AG510" s="66"/>
      <c r="AH510" s="66"/>
      <c r="AI510" s="66"/>
      <c r="AJ510" s="66"/>
      <c r="AK510" s="66"/>
      <c r="AL510" s="66"/>
      <c r="AM510" s="66"/>
      <c r="AN510" s="66"/>
      <c r="AO510" s="66"/>
    </row>
    <row r="511">
      <c r="A511" s="93"/>
      <c r="B511" s="85"/>
      <c r="C511" s="86"/>
      <c r="D511" s="93"/>
      <c r="E511" s="85"/>
      <c r="F511" s="85"/>
      <c r="G511" s="86"/>
      <c r="H511" s="78" t="str">
        <f>IFERROR(__xludf.DUMMYFUNCTION("""COMPUTED_VALUE"""),"")</f>
        <v/>
      </c>
      <c r="I511" s="85"/>
      <c r="J511" s="85"/>
      <c r="K511" s="85"/>
      <c r="L511" s="86" t="str">
        <f>IFERROR(__xludf.DUMMYFUNCTION("""COMPUTED_VALUE"""),"REJECT")</f>
        <v>REJECT</v>
      </c>
      <c r="M511" s="78" t="str">
        <f>IFERROR(__xludf.DUMMYFUNCTION("""COMPUTED_VALUE"""),"")</f>
        <v/>
      </c>
      <c r="N511" s="85"/>
      <c r="O511" s="85"/>
      <c r="P511" s="85"/>
      <c r="Q511" s="86" t="str">
        <f>IFERROR(__xludf.DUMMYFUNCTION("""COMPUTED_VALUE"""),"REJECT")</f>
        <v>REJECT</v>
      </c>
      <c r="R511" s="66"/>
      <c r="S511" s="66"/>
      <c r="T511" s="66"/>
      <c r="U511" s="66"/>
      <c r="V511" s="66"/>
      <c r="W511" s="66"/>
      <c r="X511" s="66"/>
      <c r="Y511" s="66"/>
      <c r="Z511" s="66"/>
      <c r="AA511" s="66"/>
      <c r="AB511" s="66"/>
      <c r="AC511" s="66"/>
      <c r="AD511" s="66"/>
      <c r="AE511" s="66"/>
      <c r="AF511" s="66"/>
      <c r="AG511" s="66"/>
      <c r="AH511" s="66"/>
      <c r="AI511" s="66"/>
      <c r="AJ511" s="66"/>
      <c r="AK511" s="66"/>
      <c r="AL511" s="66"/>
      <c r="AM511" s="66"/>
      <c r="AN511" s="66"/>
      <c r="AO511" s="66"/>
    </row>
    <row r="512">
      <c r="A512" s="93"/>
      <c r="B512" s="85"/>
      <c r="C512" s="86"/>
      <c r="D512" s="93"/>
      <c r="E512" s="85"/>
      <c r="F512" s="85"/>
      <c r="G512" s="86"/>
      <c r="H512" s="78" t="str">
        <f>IFERROR(__xludf.DUMMYFUNCTION("""COMPUTED_VALUE"""),"")</f>
        <v/>
      </c>
      <c r="I512" s="85"/>
      <c r="J512" s="85"/>
      <c r="K512" s="85"/>
      <c r="L512" s="86" t="str">
        <f>IFERROR(__xludf.DUMMYFUNCTION("""COMPUTED_VALUE"""),"REJECT")</f>
        <v>REJECT</v>
      </c>
      <c r="M512" s="78" t="str">
        <f>IFERROR(__xludf.DUMMYFUNCTION("""COMPUTED_VALUE"""),"")</f>
        <v/>
      </c>
      <c r="N512" s="85"/>
      <c r="O512" s="85"/>
      <c r="P512" s="85"/>
      <c r="Q512" s="86" t="str">
        <f>IFERROR(__xludf.DUMMYFUNCTION("""COMPUTED_VALUE"""),"REJECT")</f>
        <v>REJECT</v>
      </c>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row>
    <row r="513">
      <c r="A513" s="93"/>
      <c r="B513" s="85"/>
      <c r="C513" s="86"/>
      <c r="D513" s="93"/>
      <c r="E513" s="85"/>
      <c r="F513" s="85"/>
      <c r="G513" s="86"/>
      <c r="H513" s="78" t="str">
        <f>IFERROR(__xludf.DUMMYFUNCTION("""COMPUTED_VALUE"""),"")</f>
        <v/>
      </c>
      <c r="I513" s="85"/>
      <c r="J513" s="85"/>
      <c r="K513" s="85"/>
      <c r="L513" s="86" t="str">
        <f>IFERROR(__xludf.DUMMYFUNCTION("""COMPUTED_VALUE"""),"REJECT")</f>
        <v>REJECT</v>
      </c>
      <c r="M513" s="78" t="str">
        <f>IFERROR(__xludf.DUMMYFUNCTION("""COMPUTED_VALUE"""),"")</f>
        <v/>
      </c>
      <c r="N513" s="85"/>
      <c r="O513" s="85"/>
      <c r="P513" s="85"/>
      <c r="Q513" s="86" t="str">
        <f>IFERROR(__xludf.DUMMYFUNCTION("""COMPUTED_VALUE"""),"REJECT")</f>
        <v>REJECT</v>
      </c>
      <c r="R513" s="66"/>
      <c r="S513" s="66"/>
      <c r="T513" s="66"/>
      <c r="U513" s="66"/>
      <c r="V513" s="66"/>
      <c r="W513" s="66"/>
      <c r="X513" s="66"/>
      <c r="Y513" s="66"/>
      <c r="Z513" s="66"/>
      <c r="AA513" s="66"/>
      <c r="AB513" s="66"/>
      <c r="AC513" s="66"/>
      <c r="AD513" s="66"/>
      <c r="AE513" s="66"/>
      <c r="AF513" s="66"/>
      <c r="AG513" s="66"/>
      <c r="AH513" s="66"/>
      <c r="AI513" s="66"/>
      <c r="AJ513" s="66"/>
      <c r="AK513" s="66"/>
      <c r="AL513" s="66"/>
      <c r="AM513" s="66"/>
      <c r="AN513" s="66"/>
      <c r="AO513" s="66"/>
    </row>
    <row r="514">
      <c r="A514" s="93"/>
      <c r="B514" s="85"/>
      <c r="C514" s="86"/>
      <c r="D514" s="93"/>
      <c r="E514" s="85"/>
      <c r="F514" s="85"/>
      <c r="G514" s="86"/>
      <c r="H514" s="78" t="str">
        <f>IFERROR(__xludf.DUMMYFUNCTION("""COMPUTED_VALUE"""),"")</f>
        <v/>
      </c>
      <c r="I514" s="85"/>
      <c r="J514" s="85"/>
      <c r="K514" s="85"/>
      <c r="L514" s="86" t="str">
        <f>IFERROR(__xludf.DUMMYFUNCTION("""COMPUTED_VALUE"""),"REJECT")</f>
        <v>REJECT</v>
      </c>
      <c r="M514" s="78" t="str">
        <f>IFERROR(__xludf.DUMMYFUNCTION("""COMPUTED_VALUE"""),"")</f>
        <v/>
      </c>
      <c r="N514" s="85"/>
      <c r="O514" s="85"/>
      <c r="P514" s="85"/>
      <c r="Q514" s="86" t="str">
        <f>IFERROR(__xludf.DUMMYFUNCTION("""COMPUTED_VALUE"""),"REJECT")</f>
        <v>REJECT</v>
      </c>
      <c r="R514" s="66"/>
      <c r="S514" s="66"/>
      <c r="T514" s="66"/>
      <c r="U514" s="66"/>
      <c r="V514" s="66"/>
      <c r="W514" s="66"/>
      <c r="X514" s="66"/>
      <c r="Y514" s="66"/>
      <c r="Z514" s="66"/>
      <c r="AA514" s="66"/>
      <c r="AB514" s="66"/>
      <c r="AC514" s="66"/>
      <c r="AD514" s="66"/>
      <c r="AE514" s="66"/>
      <c r="AF514" s="66"/>
      <c r="AG514" s="66"/>
      <c r="AH514" s="66"/>
      <c r="AI514" s="66"/>
      <c r="AJ514" s="66"/>
      <c r="AK514" s="66"/>
      <c r="AL514" s="66"/>
      <c r="AM514" s="66"/>
      <c r="AN514" s="66"/>
      <c r="AO514" s="66"/>
    </row>
    <row r="515">
      <c r="A515" s="93"/>
      <c r="B515" s="85"/>
      <c r="C515" s="86"/>
      <c r="D515" s="93"/>
      <c r="E515" s="85"/>
      <c r="F515" s="85"/>
      <c r="G515" s="86"/>
      <c r="H515" s="78" t="str">
        <f>IFERROR(__xludf.DUMMYFUNCTION("""COMPUTED_VALUE"""),"")</f>
        <v/>
      </c>
      <c r="I515" s="85"/>
      <c r="J515" s="85"/>
      <c r="K515" s="85"/>
      <c r="L515" s="86" t="str">
        <f>IFERROR(__xludf.DUMMYFUNCTION("""COMPUTED_VALUE"""),"REJECT")</f>
        <v>REJECT</v>
      </c>
      <c r="M515" s="78" t="str">
        <f>IFERROR(__xludf.DUMMYFUNCTION("""COMPUTED_VALUE"""),"")</f>
        <v/>
      </c>
      <c r="N515" s="85"/>
      <c r="O515" s="85"/>
      <c r="P515" s="85"/>
      <c r="Q515" s="86" t="str">
        <f>IFERROR(__xludf.DUMMYFUNCTION("""COMPUTED_VALUE"""),"REJECT")</f>
        <v>REJECT</v>
      </c>
      <c r="R515" s="66"/>
      <c r="S515" s="66"/>
      <c r="T515" s="66"/>
      <c r="U515" s="66"/>
      <c r="V515" s="66"/>
      <c r="W515" s="66"/>
      <c r="X515" s="66"/>
      <c r="Y515" s="66"/>
      <c r="Z515" s="66"/>
      <c r="AA515" s="66"/>
      <c r="AB515" s="66"/>
      <c r="AC515" s="66"/>
      <c r="AD515" s="66"/>
      <c r="AE515" s="66"/>
      <c r="AF515" s="66"/>
      <c r="AG515" s="66"/>
      <c r="AH515" s="66"/>
      <c r="AI515" s="66"/>
      <c r="AJ515" s="66"/>
      <c r="AK515" s="66"/>
      <c r="AL515" s="66"/>
      <c r="AM515" s="66"/>
      <c r="AN515" s="66"/>
      <c r="AO515" s="66"/>
    </row>
    <row r="516">
      <c r="A516" s="93"/>
      <c r="B516" s="85"/>
      <c r="C516" s="86"/>
      <c r="D516" s="93"/>
      <c r="E516" s="85"/>
      <c r="F516" s="85"/>
      <c r="G516" s="86"/>
      <c r="H516" s="78" t="str">
        <f>IFERROR(__xludf.DUMMYFUNCTION("""COMPUTED_VALUE"""),"")</f>
        <v/>
      </c>
      <c r="I516" s="85"/>
      <c r="J516" s="85"/>
      <c r="K516" s="85"/>
      <c r="L516" s="86" t="str">
        <f>IFERROR(__xludf.DUMMYFUNCTION("""COMPUTED_VALUE"""),"REJECT")</f>
        <v>REJECT</v>
      </c>
      <c r="M516" s="78" t="str">
        <f>IFERROR(__xludf.DUMMYFUNCTION("""COMPUTED_VALUE"""),"")</f>
        <v/>
      </c>
      <c r="N516" s="85"/>
      <c r="O516" s="85"/>
      <c r="P516" s="85"/>
      <c r="Q516" s="86" t="str">
        <f>IFERROR(__xludf.DUMMYFUNCTION("""COMPUTED_VALUE"""),"REJECT")</f>
        <v>REJECT</v>
      </c>
      <c r="R516" s="66"/>
      <c r="S516" s="66"/>
      <c r="T516" s="66"/>
      <c r="U516" s="66"/>
      <c r="V516" s="66"/>
      <c r="W516" s="66"/>
      <c r="X516" s="66"/>
      <c r="Y516" s="66"/>
      <c r="Z516" s="66"/>
      <c r="AA516" s="66"/>
      <c r="AB516" s="66"/>
      <c r="AC516" s="66"/>
      <c r="AD516" s="66"/>
      <c r="AE516" s="66"/>
      <c r="AF516" s="66"/>
      <c r="AG516" s="66"/>
      <c r="AH516" s="66"/>
      <c r="AI516" s="66"/>
      <c r="AJ516" s="66"/>
      <c r="AK516" s="66"/>
      <c r="AL516" s="66"/>
      <c r="AM516" s="66"/>
      <c r="AN516" s="66"/>
      <c r="AO516" s="66"/>
    </row>
    <row r="517">
      <c r="A517" s="93"/>
      <c r="B517" s="85"/>
      <c r="C517" s="86"/>
      <c r="D517" s="93"/>
      <c r="E517" s="85"/>
      <c r="F517" s="85"/>
      <c r="G517" s="86"/>
      <c r="H517" s="78" t="str">
        <f>IFERROR(__xludf.DUMMYFUNCTION("""COMPUTED_VALUE"""),"")</f>
        <v/>
      </c>
      <c r="I517" s="85"/>
      <c r="J517" s="85"/>
      <c r="K517" s="85"/>
      <c r="L517" s="86" t="str">
        <f>IFERROR(__xludf.DUMMYFUNCTION("""COMPUTED_VALUE"""),"REJECT")</f>
        <v>REJECT</v>
      </c>
      <c r="M517" s="78" t="str">
        <f>IFERROR(__xludf.DUMMYFUNCTION("""COMPUTED_VALUE"""),"")</f>
        <v/>
      </c>
      <c r="N517" s="85"/>
      <c r="O517" s="85"/>
      <c r="P517" s="85"/>
      <c r="Q517" s="86" t="str">
        <f>IFERROR(__xludf.DUMMYFUNCTION("""COMPUTED_VALUE"""),"REJECT")</f>
        <v>REJECT</v>
      </c>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row>
    <row r="518">
      <c r="A518" s="93"/>
      <c r="B518" s="85"/>
      <c r="C518" s="86"/>
      <c r="D518" s="93"/>
      <c r="E518" s="85"/>
      <c r="F518" s="85"/>
      <c r="G518" s="86"/>
      <c r="H518" s="78" t="str">
        <f>IFERROR(__xludf.DUMMYFUNCTION("""COMPUTED_VALUE"""),"")</f>
        <v/>
      </c>
      <c r="I518" s="85"/>
      <c r="J518" s="85"/>
      <c r="K518" s="85"/>
      <c r="L518" s="86" t="str">
        <f>IFERROR(__xludf.DUMMYFUNCTION("""COMPUTED_VALUE"""),"REJECT")</f>
        <v>REJECT</v>
      </c>
      <c r="M518" s="78" t="str">
        <f>IFERROR(__xludf.DUMMYFUNCTION("""COMPUTED_VALUE"""),"")</f>
        <v/>
      </c>
      <c r="N518" s="85"/>
      <c r="O518" s="85"/>
      <c r="P518" s="85"/>
      <c r="Q518" s="86" t="str">
        <f>IFERROR(__xludf.DUMMYFUNCTION("""COMPUTED_VALUE"""),"REJECT")</f>
        <v>REJECT</v>
      </c>
      <c r="R518" s="66"/>
      <c r="S518" s="66"/>
      <c r="T518" s="66"/>
      <c r="U518" s="66"/>
      <c r="V518" s="66"/>
      <c r="W518" s="66"/>
      <c r="X518" s="66"/>
      <c r="Y518" s="66"/>
      <c r="Z518" s="66"/>
      <c r="AA518" s="66"/>
      <c r="AB518" s="66"/>
      <c r="AC518" s="66"/>
      <c r="AD518" s="66"/>
      <c r="AE518" s="66"/>
      <c r="AF518" s="66"/>
      <c r="AG518" s="66"/>
      <c r="AH518" s="66"/>
      <c r="AI518" s="66"/>
      <c r="AJ518" s="66"/>
      <c r="AK518" s="66"/>
      <c r="AL518" s="66"/>
      <c r="AM518" s="66"/>
      <c r="AN518" s="66"/>
      <c r="AO518" s="66"/>
    </row>
    <row r="519">
      <c r="A519" s="93"/>
      <c r="B519" s="85"/>
      <c r="C519" s="86"/>
      <c r="D519" s="93"/>
      <c r="E519" s="85"/>
      <c r="F519" s="85"/>
      <c r="G519" s="86"/>
      <c r="H519" s="78" t="str">
        <f>IFERROR(__xludf.DUMMYFUNCTION("""COMPUTED_VALUE"""),"")</f>
        <v/>
      </c>
      <c r="I519" s="85"/>
      <c r="J519" s="85"/>
      <c r="K519" s="85"/>
      <c r="L519" s="86" t="str">
        <f>IFERROR(__xludf.DUMMYFUNCTION("""COMPUTED_VALUE"""),"REJECT")</f>
        <v>REJECT</v>
      </c>
      <c r="M519" s="78" t="str">
        <f>IFERROR(__xludf.DUMMYFUNCTION("""COMPUTED_VALUE"""),"")</f>
        <v/>
      </c>
      <c r="N519" s="85"/>
      <c r="O519" s="85"/>
      <c r="P519" s="85"/>
      <c r="Q519" s="86" t="str">
        <f>IFERROR(__xludf.DUMMYFUNCTION("""COMPUTED_VALUE"""),"REJECT")</f>
        <v>REJECT</v>
      </c>
      <c r="R519" s="66"/>
      <c r="S519" s="66"/>
      <c r="T519" s="66"/>
      <c r="U519" s="66"/>
      <c r="V519" s="66"/>
      <c r="W519" s="66"/>
      <c r="X519" s="66"/>
      <c r="Y519" s="66"/>
      <c r="Z519" s="66"/>
      <c r="AA519" s="66"/>
      <c r="AB519" s="66"/>
      <c r="AC519" s="66"/>
      <c r="AD519" s="66"/>
      <c r="AE519" s="66"/>
      <c r="AF519" s="66"/>
      <c r="AG519" s="66"/>
      <c r="AH519" s="66"/>
      <c r="AI519" s="66"/>
      <c r="AJ519" s="66"/>
      <c r="AK519" s="66"/>
      <c r="AL519" s="66"/>
      <c r="AM519" s="66"/>
      <c r="AN519" s="66"/>
      <c r="AO519" s="66"/>
    </row>
    <row r="520">
      <c r="A520" s="93"/>
      <c r="B520" s="85"/>
      <c r="C520" s="86"/>
      <c r="D520" s="93"/>
      <c r="E520" s="85"/>
      <c r="F520" s="85"/>
      <c r="G520" s="86"/>
      <c r="H520" s="78" t="str">
        <f>IFERROR(__xludf.DUMMYFUNCTION("""COMPUTED_VALUE"""),"")</f>
        <v/>
      </c>
      <c r="I520" s="85"/>
      <c r="J520" s="85"/>
      <c r="K520" s="85"/>
      <c r="L520" s="86" t="str">
        <f>IFERROR(__xludf.DUMMYFUNCTION("""COMPUTED_VALUE"""),"REJECT")</f>
        <v>REJECT</v>
      </c>
      <c r="M520" s="78" t="str">
        <f>IFERROR(__xludf.DUMMYFUNCTION("""COMPUTED_VALUE"""),"")</f>
        <v/>
      </c>
      <c r="N520" s="85"/>
      <c r="O520" s="85"/>
      <c r="P520" s="85"/>
      <c r="Q520" s="86" t="str">
        <f>IFERROR(__xludf.DUMMYFUNCTION("""COMPUTED_VALUE"""),"REJECT")</f>
        <v>REJECT</v>
      </c>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row>
    <row r="521">
      <c r="A521" s="93"/>
      <c r="B521" s="85"/>
      <c r="C521" s="86"/>
      <c r="D521" s="93"/>
      <c r="E521" s="85"/>
      <c r="F521" s="85"/>
      <c r="G521" s="86"/>
      <c r="H521" s="78" t="str">
        <f>IFERROR(__xludf.DUMMYFUNCTION("""COMPUTED_VALUE"""),"")</f>
        <v/>
      </c>
      <c r="I521" s="85"/>
      <c r="J521" s="85"/>
      <c r="K521" s="85"/>
      <c r="L521" s="86" t="str">
        <f>IFERROR(__xludf.DUMMYFUNCTION("""COMPUTED_VALUE"""),"REJECT")</f>
        <v>REJECT</v>
      </c>
      <c r="M521" s="78" t="str">
        <f>IFERROR(__xludf.DUMMYFUNCTION("""COMPUTED_VALUE"""),"")</f>
        <v/>
      </c>
      <c r="N521" s="85"/>
      <c r="O521" s="85"/>
      <c r="P521" s="85"/>
      <c r="Q521" s="86" t="str">
        <f>IFERROR(__xludf.DUMMYFUNCTION("""COMPUTED_VALUE"""),"REJECT")</f>
        <v>REJECT</v>
      </c>
      <c r="R521" s="66"/>
      <c r="S521" s="66"/>
      <c r="T521" s="66"/>
      <c r="U521" s="66"/>
      <c r="V521" s="66"/>
      <c r="W521" s="66"/>
      <c r="X521" s="66"/>
      <c r="Y521" s="66"/>
      <c r="Z521" s="66"/>
      <c r="AA521" s="66"/>
      <c r="AB521" s="66"/>
      <c r="AC521" s="66"/>
      <c r="AD521" s="66"/>
      <c r="AE521" s="66"/>
      <c r="AF521" s="66"/>
      <c r="AG521" s="66"/>
      <c r="AH521" s="66"/>
      <c r="AI521" s="66"/>
      <c r="AJ521" s="66"/>
      <c r="AK521" s="66"/>
      <c r="AL521" s="66"/>
      <c r="AM521" s="66"/>
      <c r="AN521" s="66"/>
      <c r="AO521" s="66"/>
    </row>
    <row r="522">
      <c r="A522" s="93"/>
      <c r="B522" s="85"/>
      <c r="C522" s="86"/>
      <c r="D522" s="93"/>
      <c r="E522" s="85"/>
      <c r="F522" s="85"/>
      <c r="G522" s="86"/>
      <c r="H522" s="78" t="str">
        <f>IFERROR(__xludf.DUMMYFUNCTION("""COMPUTED_VALUE"""),"")</f>
        <v/>
      </c>
      <c r="I522" s="85"/>
      <c r="J522" s="85"/>
      <c r="K522" s="85"/>
      <c r="L522" s="86" t="str">
        <f>IFERROR(__xludf.DUMMYFUNCTION("""COMPUTED_VALUE"""),"REJECT")</f>
        <v>REJECT</v>
      </c>
      <c r="M522" s="78" t="str">
        <f>IFERROR(__xludf.DUMMYFUNCTION("""COMPUTED_VALUE"""),"")</f>
        <v/>
      </c>
      <c r="N522" s="85"/>
      <c r="O522" s="85"/>
      <c r="P522" s="85"/>
      <c r="Q522" s="86" t="str">
        <f>IFERROR(__xludf.DUMMYFUNCTION("""COMPUTED_VALUE"""),"REJECT")</f>
        <v>REJECT</v>
      </c>
      <c r="R522" s="66"/>
      <c r="S522" s="66"/>
      <c r="T522" s="66"/>
      <c r="U522" s="66"/>
      <c r="V522" s="66"/>
      <c r="W522" s="66"/>
      <c r="X522" s="66"/>
      <c r="Y522" s="66"/>
      <c r="Z522" s="66"/>
      <c r="AA522" s="66"/>
      <c r="AB522" s="66"/>
      <c r="AC522" s="66"/>
      <c r="AD522" s="66"/>
      <c r="AE522" s="66"/>
      <c r="AF522" s="66"/>
      <c r="AG522" s="66"/>
      <c r="AH522" s="66"/>
      <c r="AI522" s="66"/>
      <c r="AJ522" s="66"/>
      <c r="AK522" s="66"/>
      <c r="AL522" s="66"/>
      <c r="AM522" s="66"/>
      <c r="AN522" s="66"/>
      <c r="AO522" s="66"/>
    </row>
    <row r="523">
      <c r="A523" s="93"/>
      <c r="B523" s="85"/>
      <c r="C523" s="86"/>
      <c r="D523" s="93"/>
      <c r="E523" s="85"/>
      <c r="F523" s="85"/>
      <c r="G523" s="86"/>
      <c r="H523" s="78" t="str">
        <f>IFERROR(__xludf.DUMMYFUNCTION("""COMPUTED_VALUE"""),"")</f>
        <v/>
      </c>
      <c r="I523" s="85"/>
      <c r="J523" s="85"/>
      <c r="K523" s="85"/>
      <c r="L523" s="86" t="str">
        <f>IFERROR(__xludf.DUMMYFUNCTION("""COMPUTED_VALUE"""),"REJECT")</f>
        <v>REJECT</v>
      </c>
      <c r="M523" s="78" t="str">
        <f>IFERROR(__xludf.DUMMYFUNCTION("""COMPUTED_VALUE"""),"")</f>
        <v/>
      </c>
      <c r="N523" s="85"/>
      <c r="O523" s="85"/>
      <c r="P523" s="85"/>
      <c r="Q523" s="86" t="str">
        <f>IFERROR(__xludf.DUMMYFUNCTION("""COMPUTED_VALUE"""),"REJECT")</f>
        <v>REJECT</v>
      </c>
      <c r="R523" s="66"/>
      <c r="S523" s="66"/>
      <c r="T523" s="66"/>
      <c r="U523" s="66"/>
      <c r="V523" s="66"/>
      <c r="W523" s="66"/>
      <c r="X523" s="66"/>
      <c r="Y523" s="66"/>
      <c r="Z523" s="66"/>
      <c r="AA523" s="66"/>
      <c r="AB523" s="66"/>
      <c r="AC523" s="66"/>
      <c r="AD523" s="66"/>
      <c r="AE523" s="66"/>
      <c r="AF523" s="66"/>
      <c r="AG523" s="66"/>
      <c r="AH523" s="66"/>
      <c r="AI523" s="66"/>
      <c r="AJ523" s="66"/>
      <c r="AK523" s="66"/>
      <c r="AL523" s="66"/>
      <c r="AM523" s="66"/>
      <c r="AN523" s="66"/>
      <c r="AO523" s="66"/>
    </row>
    <row r="524">
      <c r="A524" s="93"/>
      <c r="B524" s="85"/>
      <c r="C524" s="86"/>
      <c r="D524" s="93"/>
      <c r="E524" s="85"/>
      <c r="F524" s="85"/>
      <c r="G524" s="86"/>
      <c r="H524" s="78" t="str">
        <f>IFERROR(__xludf.DUMMYFUNCTION("""COMPUTED_VALUE"""),"")</f>
        <v/>
      </c>
      <c r="I524" s="85"/>
      <c r="J524" s="85"/>
      <c r="K524" s="85"/>
      <c r="L524" s="86" t="str">
        <f>IFERROR(__xludf.DUMMYFUNCTION("""COMPUTED_VALUE"""),"REJECT")</f>
        <v>REJECT</v>
      </c>
      <c r="M524" s="78" t="str">
        <f>IFERROR(__xludf.DUMMYFUNCTION("""COMPUTED_VALUE"""),"")</f>
        <v/>
      </c>
      <c r="N524" s="85"/>
      <c r="O524" s="85"/>
      <c r="P524" s="85"/>
      <c r="Q524" s="86" t="str">
        <f>IFERROR(__xludf.DUMMYFUNCTION("""COMPUTED_VALUE"""),"REJECT")</f>
        <v>REJECT</v>
      </c>
      <c r="R524" s="66"/>
      <c r="S524" s="66"/>
      <c r="T524" s="66"/>
      <c r="U524" s="66"/>
      <c r="V524" s="66"/>
      <c r="W524" s="66"/>
      <c r="X524" s="66"/>
      <c r="Y524" s="66"/>
      <c r="Z524" s="66"/>
      <c r="AA524" s="66"/>
      <c r="AB524" s="66"/>
      <c r="AC524" s="66"/>
      <c r="AD524" s="66"/>
      <c r="AE524" s="66"/>
      <c r="AF524" s="66"/>
      <c r="AG524" s="66"/>
      <c r="AH524" s="66"/>
      <c r="AI524" s="66"/>
      <c r="AJ524" s="66"/>
      <c r="AK524" s="66"/>
      <c r="AL524" s="66"/>
      <c r="AM524" s="66"/>
      <c r="AN524" s="66"/>
      <c r="AO524" s="66"/>
    </row>
    <row r="525">
      <c r="A525" s="93"/>
      <c r="B525" s="85"/>
      <c r="C525" s="86"/>
      <c r="D525" s="93"/>
      <c r="E525" s="85"/>
      <c r="F525" s="85"/>
      <c r="G525" s="86"/>
      <c r="H525" s="78" t="str">
        <f>IFERROR(__xludf.DUMMYFUNCTION("""COMPUTED_VALUE"""),"")</f>
        <v/>
      </c>
      <c r="I525" s="85"/>
      <c r="J525" s="85"/>
      <c r="K525" s="85"/>
      <c r="L525" s="86" t="str">
        <f>IFERROR(__xludf.DUMMYFUNCTION("""COMPUTED_VALUE"""),"REJECT")</f>
        <v>REJECT</v>
      </c>
      <c r="M525" s="78" t="str">
        <f>IFERROR(__xludf.DUMMYFUNCTION("""COMPUTED_VALUE"""),"")</f>
        <v/>
      </c>
      <c r="N525" s="85"/>
      <c r="O525" s="85"/>
      <c r="P525" s="85"/>
      <c r="Q525" s="86" t="str">
        <f>IFERROR(__xludf.DUMMYFUNCTION("""COMPUTED_VALUE"""),"REJECT")</f>
        <v>REJECT</v>
      </c>
      <c r="R525" s="66"/>
      <c r="S525" s="66"/>
      <c r="T525" s="66"/>
      <c r="U525" s="66"/>
      <c r="V525" s="66"/>
      <c r="W525" s="66"/>
      <c r="X525" s="66"/>
      <c r="Y525" s="66"/>
      <c r="Z525" s="66"/>
      <c r="AA525" s="66"/>
      <c r="AB525" s="66"/>
      <c r="AC525" s="66"/>
      <c r="AD525" s="66"/>
      <c r="AE525" s="66"/>
      <c r="AF525" s="66"/>
      <c r="AG525" s="66"/>
      <c r="AH525" s="66"/>
      <c r="AI525" s="66"/>
      <c r="AJ525" s="66"/>
      <c r="AK525" s="66"/>
      <c r="AL525" s="66"/>
      <c r="AM525" s="66"/>
      <c r="AN525" s="66"/>
      <c r="AO525" s="66"/>
    </row>
    <row r="526">
      <c r="A526" s="93"/>
      <c r="B526" s="85"/>
      <c r="C526" s="86"/>
      <c r="D526" s="93"/>
      <c r="E526" s="85"/>
      <c r="F526" s="85"/>
      <c r="G526" s="86"/>
      <c r="H526" s="78" t="str">
        <f>IFERROR(__xludf.DUMMYFUNCTION("""COMPUTED_VALUE"""),"")</f>
        <v/>
      </c>
      <c r="I526" s="85"/>
      <c r="J526" s="85"/>
      <c r="K526" s="85"/>
      <c r="L526" s="86" t="str">
        <f>IFERROR(__xludf.DUMMYFUNCTION("""COMPUTED_VALUE"""),"REJECT")</f>
        <v>REJECT</v>
      </c>
      <c r="M526" s="78" t="str">
        <f>IFERROR(__xludf.DUMMYFUNCTION("""COMPUTED_VALUE"""),"")</f>
        <v/>
      </c>
      <c r="N526" s="85"/>
      <c r="O526" s="85"/>
      <c r="P526" s="85"/>
      <c r="Q526" s="86" t="str">
        <f>IFERROR(__xludf.DUMMYFUNCTION("""COMPUTED_VALUE"""),"REJECT")</f>
        <v>REJECT</v>
      </c>
      <c r="R526" s="66"/>
      <c r="S526" s="66"/>
      <c r="T526" s="66"/>
      <c r="U526" s="66"/>
      <c r="V526" s="66"/>
      <c r="W526" s="66"/>
      <c r="X526" s="66"/>
      <c r="Y526" s="66"/>
      <c r="Z526" s="66"/>
      <c r="AA526" s="66"/>
      <c r="AB526" s="66"/>
      <c r="AC526" s="66"/>
      <c r="AD526" s="66"/>
      <c r="AE526" s="66"/>
      <c r="AF526" s="66"/>
      <c r="AG526" s="66"/>
      <c r="AH526" s="66"/>
      <c r="AI526" s="66"/>
      <c r="AJ526" s="66"/>
      <c r="AK526" s="66"/>
      <c r="AL526" s="66"/>
      <c r="AM526" s="66"/>
      <c r="AN526" s="66"/>
      <c r="AO526" s="66"/>
    </row>
    <row r="527">
      <c r="A527" s="93"/>
      <c r="B527" s="85"/>
      <c r="C527" s="86"/>
      <c r="D527" s="93"/>
      <c r="E527" s="85"/>
      <c r="F527" s="85"/>
      <c r="G527" s="86"/>
      <c r="H527" s="78" t="str">
        <f>IFERROR(__xludf.DUMMYFUNCTION("""COMPUTED_VALUE"""),"")</f>
        <v/>
      </c>
      <c r="I527" s="85"/>
      <c r="J527" s="85"/>
      <c r="K527" s="85"/>
      <c r="L527" s="86" t="str">
        <f>IFERROR(__xludf.DUMMYFUNCTION("""COMPUTED_VALUE"""),"REJECT")</f>
        <v>REJECT</v>
      </c>
      <c r="M527" s="78" t="str">
        <f>IFERROR(__xludf.DUMMYFUNCTION("""COMPUTED_VALUE"""),"")</f>
        <v/>
      </c>
      <c r="N527" s="85"/>
      <c r="O527" s="85"/>
      <c r="P527" s="85"/>
      <c r="Q527" s="86" t="str">
        <f>IFERROR(__xludf.DUMMYFUNCTION("""COMPUTED_VALUE"""),"REJECT")</f>
        <v>REJECT</v>
      </c>
      <c r="R527" s="66"/>
      <c r="S527" s="66"/>
      <c r="T527" s="66"/>
      <c r="U527" s="66"/>
      <c r="V527" s="66"/>
      <c r="W527" s="66"/>
      <c r="X527" s="66"/>
      <c r="Y527" s="66"/>
      <c r="Z527" s="66"/>
      <c r="AA527" s="66"/>
      <c r="AB527" s="66"/>
      <c r="AC527" s="66"/>
      <c r="AD527" s="66"/>
      <c r="AE527" s="66"/>
      <c r="AF527" s="66"/>
      <c r="AG527" s="66"/>
      <c r="AH527" s="66"/>
      <c r="AI527" s="66"/>
      <c r="AJ527" s="66"/>
      <c r="AK527" s="66"/>
      <c r="AL527" s="66"/>
      <c r="AM527" s="66"/>
      <c r="AN527" s="66"/>
      <c r="AO527" s="66"/>
    </row>
    <row r="528">
      <c r="A528" s="93"/>
      <c r="B528" s="85"/>
      <c r="C528" s="86"/>
      <c r="D528" s="93"/>
      <c r="E528" s="85"/>
      <c r="F528" s="85"/>
      <c r="G528" s="86"/>
      <c r="H528" s="78" t="str">
        <f>IFERROR(__xludf.DUMMYFUNCTION("""COMPUTED_VALUE"""),"")</f>
        <v/>
      </c>
      <c r="I528" s="85"/>
      <c r="J528" s="85"/>
      <c r="K528" s="85"/>
      <c r="L528" s="86" t="str">
        <f>IFERROR(__xludf.DUMMYFUNCTION("""COMPUTED_VALUE"""),"REJECT")</f>
        <v>REJECT</v>
      </c>
      <c r="M528" s="78" t="str">
        <f>IFERROR(__xludf.DUMMYFUNCTION("""COMPUTED_VALUE"""),"")</f>
        <v/>
      </c>
      <c r="N528" s="85"/>
      <c r="O528" s="85"/>
      <c r="P528" s="85"/>
      <c r="Q528" s="86" t="str">
        <f>IFERROR(__xludf.DUMMYFUNCTION("""COMPUTED_VALUE"""),"REJECT")</f>
        <v>REJECT</v>
      </c>
      <c r="R528" s="66"/>
      <c r="S528" s="66"/>
      <c r="T528" s="66"/>
      <c r="U528" s="66"/>
      <c r="V528" s="66"/>
      <c r="W528" s="66"/>
      <c r="X528" s="66"/>
      <c r="Y528" s="66"/>
      <c r="Z528" s="66"/>
      <c r="AA528" s="66"/>
      <c r="AB528" s="66"/>
      <c r="AC528" s="66"/>
      <c r="AD528" s="66"/>
      <c r="AE528" s="66"/>
      <c r="AF528" s="66"/>
      <c r="AG528" s="66"/>
      <c r="AH528" s="66"/>
      <c r="AI528" s="66"/>
      <c r="AJ528" s="66"/>
      <c r="AK528" s="66"/>
      <c r="AL528" s="66"/>
      <c r="AM528" s="66"/>
      <c r="AN528" s="66"/>
      <c r="AO528" s="66"/>
    </row>
    <row r="529">
      <c r="A529" s="93"/>
      <c r="B529" s="85"/>
      <c r="C529" s="86"/>
      <c r="D529" s="93"/>
      <c r="E529" s="85"/>
      <c r="F529" s="85"/>
      <c r="G529" s="86"/>
      <c r="H529" s="78" t="str">
        <f>IFERROR(__xludf.DUMMYFUNCTION("""COMPUTED_VALUE"""),"")</f>
        <v/>
      </c>
      <c r="I529" s="85"/>
      <c r="J529" s="85"/>
      <c r="K529" s="85"/>
      <c r="L529" s="86" t="str">
        <f>IFERROR(__xludf.DUMMYFUNCTION("""COMPUTED_VALUE"""),"REJECT")</f>
        <v>REJECT</v>
      </c>
      <c r="M529" s="78" t="str">
        <f>IFERROR(__xludf.DUMMYFUNCTION("""COMPUTED_VALUE"""),"")</f>
        <v/>
      </c>
      <c r="N529" s="85"/>
      <c r="O529" s="85"/>
      <c r="P529" s="85"/>
      <c r="Q529" s="86" t="str">
        <f>IFERROR(__xludf.DUMMYFUNCTION("""COMPUTED_VALUE"""),"REJECT")</f>
        <v>REJECT</v>
      </c>
      <c r="R529" s="66"/>
      <c r="S529" s="66"/>
      <c r="T529" s="66"/>
      <c r="U529" s="66"/>
      <c r="V529" s="66"/>
      <c r="W529" s="66"/>
      <c r="X529" s="66"/>
      <c r="Y529" s="66"/>
      <c r="Z529" s="66"/>
      <c r="AA529" s="66"/>
      <c r="AB529" s="66"/>
      <c r="AC529" s="66"/>
      <c r="AD529" s="66"/>
      <c r="AE529" s="66"/>
      <c r="AF529" s="66"/>
      <c r="AG529" s="66"/>
      <c r="AH529" s="66"/>
      <c r="AI529" s="66"/>
      <c r="AJ529" s="66"/>
      <c r="AK529" s="66"/>
      <c r="AL529" s="66"/>
      <c r="AM529" s="66"/>
      <c r="AN529" s="66"/>
      <c r="AO529" s="66"/>
    </row>
    <row r="530">
      <c r="A530" s="93"/>
      <c r="B530" s="85"/>
      <c r="C530" s="86"/>
      <c r="D530" s="93"/>
      <c r="E530" s="85"/>
      <c r="F530" s="85"/>
      <c r="G530" s="86"/>
      <c r="H530" s="78" t="str">
        <f>IFERROR(__xludf.DUMMYFUNCTION("""COMPUTED_VALUE"""),"")</f>
        <v/>
      </c>
      <c r="I530" s="85"/>
      <c r="J530" s="85"/>
      <c r="K530" s="85"/>
      <c r="L530" s="86" t="str">
        <f>IFERROR(__xludf.DUMMYFUNCTION("""COMPUTED_VALUE"""),"REJECT")</f>
        <v>REJECT</v>
      </c>
      <c r="M530" s="78" t="str">
        <f>IFERROR(__xludf.DUMMYFUNCTION("""COMPUTED_VALUE"""),"")</f>
        <v/>
      </c>
      <c r="N530" s="85"/>
      <c r="O530" s="85"/>
      <c r="P530" s="85"/>
      <c r="Q530" s="86" t="str">
        <f>IFERROR(__xludf.DUMMYFUNCTION("""COMPUTED_VALUE"""),"REJECT")</f>
        <v>REJECT</v>
      </c>
      <c r="R530" s="66"/>
      <c r="S530" s="66"/>
      <c r="T530" s="66"/>
      <c r="U530" s="66"/>
      <c r="V530" s="66"/>
      <c r="W530" s="66"/>
      <c r="X530" s="66"/>
      <c r="Y530" s="66"/>
      <c r="Z530" s="66"/>
      <c r="AA530" s="66"/>
      <c r="AB530" s="66"/>
      <c r="AC530" s="66"/>
      <c r="AD530" s="66"/>
      <c r="AE530" s="66"/>
      <c r="AF530" s="66"/>
      <c r="AG530" s="66"/>
      <c r="AH530" s="66"/>
      <c r="AI530" s="66"/>
      <c r="AJ530" s="66"/>
      <c r="AK530" s="66"/>
      <c r="AL530" s="66"/>
      <c r="AM530" s="66"/>
      <c r="AN530" s="66"/>
      <c r="AO530" s="66"/>
    </row>
    <row r="531">
      <c r="A531" s="93"/>
      <c r="B531" s="85"/>
      <c r="C531" s="86"/>
      <c r="D531" s="93"/>
      <c r="E531" s="85"/>
      <c r="F531" s="85"/>
      <c r="G531" s="86"/>
      <c r="H531" s="78" t="str">
        <f>IFERROR(__xludf.DUMMYFUNCTION("""COMPUTED_VALUE"""),"")</f>
        <v/>
      </c>
      <c r="I531" s="85"/>
      <c r="J531" s="85"/>
      <c r="K531" s="85"/>
      <c r="L531" s="86" t="str">
        <f>IFERROR(__xludf.DUMMYFUNCTION("""COMPUTED_VALUE"""),"REJECT")</f>
        <v>REJECT</v>
      </c>
      <c r="M531" s="78" t="str">
        <f>IFERROR(__xludf.DUMMYFUNCTION("""COMPUTED_VALUE"""),"")</f>
        <v/>
      </c>
      <c r="N531" s="85"/>
      <c r="O531" s="85"/>
      <c r="P531" s="85"/>
      <c r="Q531" s="86" t="str">
        <f>IFERROR(__xludf.DUMMYFUNCTION("""COMPUTED_VALUE"""),"REJECT")</f>
        <v>REJECT</v>
      </c>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row>
    <row r="532">
      <c r="A532" s="93"/>
      <c r="B532" s="85"/>
      <c r="C532" s="86"/>
      <c r="D532" s="93"/>
      <c r="E532" s="85"/>
      <c r="F532" s="85"/>
      <c r="G532" s="86"/>
      <c r="H532" s="78" t="str">
        <f>IFERROR(__xludf.DUMMYFUNCTION("""COMPUTED_VALUE"""),"")</f>
        <v/>
      </c>
      <c r="I532" s="85"/>
      <c r="J532" s="85"/>
      <c r="K532" s="85"/>
      <c r="L532" s="86" t="str">
        <f>IFERROR(__xludf.DUMMYFUNCTION("""COMPUTED_VALUE"""),"REJECT")</f>
        <v>REJECT</v>
      </c>
      <c r="M532" s="78" t="str">
        <f>IFERROR(__xludf.DUMMYFUNCTION("""COMPUTED_VALUE"""),"")</f>
        <v/>
      </c>
      <c r="N532" s="85"/>
      <c r="O532" s="85"/>
      <c r="P532" s="85"/>
      <c r="Q532" s="86" t="str">
        <f>IFERROR(__xludf.DUMMYFUNCTION("""COMPUTED_VALUE"""),"REJECT")</f>
        <v>REJECT</v>
      </c>
      <c r="R532" s="66"/>
      <c r="S532" s="66"/>
      <c r="T532" s="66"/>
      <c r="U532" s="66"/>
      <c r="V532" s="66"/>
      <c r="W532" s="66"/>
      <c r="X532" s="66"/>
      <c r="Y532" s="66"/>
      <c r="Z532" s="66"/>
      <c r="AA532" s="66"/>
      <c r="AB532" s="66"/>
      <c r="AC532" s="66"/>
      <c r="AD532" s="66"/>
      <c r="AE532" s="66"/>
      <c r="AF532" s="66"/>
      <c r="AG532" s="66"/>
      <c r="AH532" s="66"/>
      <c r="AI532" s="66"/>
      <c r="AJ532" s="66"/>
      <c r="AK532" s="66"/>
      <c r="AL532" s="66"/>
      <c r="AM532" s="66"/>
      <c r="AN532" s="66"/>
      <c r="AO532" s="66"/>
    </row>
    <row r="533">
      <c r="A533" s="93"/>
      <c r="B533" s="85"/>
      <c r="C533" s="86"/>
      <c r="D533" s="93"/>
      <c r="E533" s="85"/>
      <c r="F533" s="85"/>
      <c r="G533" s="86"/>
      <c r="H533" s="78" t="str">
        <f>IFERROR(__xludf.DUMMYFUNCTION("""COMPUTED_VALUE"""),"")</f>
        <v/>
      </c>
      <c r="I533" s="85"/>
      <c r="J533" s="85"/>
      <c r="K533" s="85"/>
      <c r="L533" s="86" t="str">
        <f>IFERROR(__xludf.DUMMYFUNCTION("""COMPUTED_VALUE"""),"REJECT")</f>
        <v>REJECT</v>
      </c>
      <c r="M533" s="78" t="str">
        <f>IFERROR(__xludf.DUMMYFUNCTION("""COMPUTED_VALUE"""),"")</f>
        <v/>
      </c>
      <c r="N533" s="85"/>
      <c r="O533" s="85"/>
      <c r="P533" s="85"/>
      <c r="Q533" s="86" t="str">
        <f>IFERROR(__xludf.DUMMYFUNCTION("""COMPUTED_VALUE"""),"REJECT")</f>
        <v>REJECT</v>
      </c>
      <c r="R533" s="66"/>
      <c r="S533" s="66"/>
      <c r="T533" s="66"/>
      <c r="U533" s="66"/>
      <c r="V533" s="66"/>
      <c r="W533" s="66"/>
      <c r="X533" s="66"/>
      <c r="Y533" s="66"/>
      <c r="Z533" s="66"/>
      <c r="AA533" s="66"/>
      <c r="AB533" s="66"/>
      <c r="AC533" s="66"/>
      <c r="AD533" s="66"/>
      <c r="AE533" s="66"/>
      <c r="AF533" s="66"/>
      <c r="AG533" s="66"/>
      <c r="AH533" s="66"/>
      <c r="AI533" s="66"/>
      <c r="AJ533" s="66"/>
      <c r="AK533" s="66"/>
      <c r="AL533" s="66"/>
      <c r="AM533" s="66"/>
      <c r="AN533" s="66"/>
      <c r="AO533" s="66"/>
    </row>
    <row r="534">
      <c r="A534" s="93"/>
      <c r="B534" s="85"/>
      <c r="C534" s="86"/>
      <c r="D534" s="93"/>
      <c r="E534" s="85"/>
      <c r="F534" s="85"/>
      <c r="G534" s="86"/>
      <c r="H534" s="78" t="str">
        <f>IFERROR(__xludf.DUMMYFUNCTION("""COMPUTED_VALUE"""),"")</f>
        <v/>
      </c>
      <c r="I534" s="85"/>
      <c r="J534" s="85"/>
      <c r="K534" s="85"/>
      <c r="L534" s="86" t="str">
        <f>IFERROR(__xludf.DUMMYFUNCTION("""COMPUTED_VALUE"""),"REJECT")</f>
        <v>REJECT</v>
      </c>
      <c r="M534" s="78" t="str">
        <f>IFERROR(__xludf.DUMMYFUNCTION("""COMPUTED_VALUE"""),"")</f>
        <v/>
      </c>
      <c r="N534" s="85"/>
      <c r="O534" s="85"/>
      <c r="P534" s="85"/>
      <c r="Q534" s="86" t="str">
        <f>IFERROR(__xludf.DUMMYFUNCTION("""COMPUTED_VALUE"""),"REJECT")</f>
        <v>REJECT</v>
      </c>
      <c r="R534" s="66"/>
      <c r="S534" s="66"/>
      <c r="T534" s="66"/>
      <c r="U534" s="66"/>
      <c r="V534" s="66"/>
      <c r="W534" s="66"/>
      <c r="X534" s="66"/>
      <c r="Y534" s="66"/>
      <c r="Z534" s="66"/>
      <c r="AA534" s="66"/>
      <c r="AB534" s="66"/>
      <c r="AC534" s="66"/>
      <c r="AD534" s="66"/>
      <c r="AE534" s="66"/>
      <c r="AF534" s="66"/>
      <c r="AG534" s="66"/>
      <c r="AH534" s="66"/>
      <c r="AI534" s="66"/>
      <c r="AJ534" s="66"/>
      <c r="AK534" s="66"/>
      <c r="AL534" s="66"/>
      <c r="AM534" s="66"/>
      <c r="AN534" s="66"/>
      <c r="AO534" s="66"/>
    </row>
    <row r="535">
      <c r="A535" s="93"/>
      <c r="B535" s="85"/>
      <c r="C535" s="86"/>
      <c r="D535" s="93"/>
      <c r="E535" s="85"/>
      <c r="F535" s="85"/>
      <c r="G535" s="86"/>
      <c r="H535" s="78" t="str">
        <f>IFERROR(__xludf.DUMMYFUNCTION("""COMPUTED_VALUE"""),"")</f>
        <v/>
      </c>
      <c r="I535" s="85"/>
      <c r="J535" s="85"/>
      <c r="K535" s="85"/>
      <c r="L535" s="86" t="str">
        <f>IFERROR(__xludf.DUMMYFUNCTION("""COMPUTED_VALUE"""),"REJECT")</f>
        <v>REJECT</v>
      </c>
      <c r="M535" s="78" t="str">
        <f>IFERROR(__xludf.DUMMYFUNCTION("""COMPUTED_VALUE"""),"")</f>
        <v/>
      </c>
      <c r="N535" s="85"/>
      <c r="O535" s="85"/>
      <c r="P535" s="85"/>
      <c r="Q535" s="86" t="str">
        <f>IFERROR(__xludf.DUMMYFUNCTION("""COMPUTED_VALUE"""),"REJECT")</f>
        <v>REJECT</v>
      </c>
      <c r="R535" s="66"/>
      <c r="S535" s="66"/>
      <c r="T535" s="66"/>
      <c r="U535" s="66"/>
      <c r="V535" s="66"/>
      <c r="W535" s="66"/>
      <c r="X535" s="66"/>
      <c r="Y535" s="66"/>
      <c r="Z535" s="66"/>
      <c r="AA535" s="66"/>
      <c r="AB535" s="66"/>
      <c r="AC535" s="66"/>
      <c r="AD535" s="66"/>
      <c r="AE535" s="66"/>
      <c r="AF535" s="66"/>
      <c r="AG535" s="66"/>
      <c r="AH535" s="66"/>
      <c r="AI535" s="66"/>
      <c r="AJ535" s="66"/>
      <c r="AK535" s="66"/>
      <c r="AL535" s="66"/>
      <c r="AM535" s="66"/>
      <c r="AN535" s="66"/>
      <c r="AO535" s="66"/>
    </row>
    <row r="536">
      <c r="A536" s="93"/>
      <c r="B536" s="85"/>
      <c r="C536" s="86"/>
      <c r="D536" s="93"/>
      <c r="E536" s="85"/>
      <c r="F536" s="85"/>
      <c r="G536" s="86"/>
      <c r="H536" s="78" t="str">
        <f>IFERROR(__xludf.DUMMYFUNCTION("""COMPUTED_VALUE"""),"")</f>
        <v/>
      </c>
      <c r="I536" s="85"/>
      <c r="J536" s="85"/>
      <c r="K536" s="85"/>
      <c r="L536" s="86" t="str">
        <f>IFERROR(__xludf.DUMMYFUNCTION("""COMPUTED_VALUE"""),"REJECT")</f>
        <v>REJECT</v>
      </c>
      <c r="M536" s="78" t="str">
        <f>IFERROR(__xludf.DUMMYFUNCTION("""COMPUTED_VALUE"""),"")</f>
        <v/>
      </c>
      <c r="N536" s="85"/>
      <c r="O536" s="85"/>
      <c r="P536" s="85"/>
      <c r="Q536" s="86" t="str">
        <f>IFERROR(__xludf.DUMMYFUNCTION("""COMPUTED_VALUE"""),"REJECT")</f>
        <v>REJECT</v>
      </c>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row>
    <row r="537">
      <c r="A537" s="93"/>
      <c r="B537" s="85"/>
      <c r="C537" s="86"/>
      <c r="D537" s="93"/>
      <c r="E537" s="85"/>
      <c r="F537" s="85"/>
      <c r="G537" s="86"/>
      <c r="H537" s="78" t="str">
        <f>IFERROR(__xludf.DUMMYFUNCTION("""COMPUTED_VALUE"""),"")</f>
        <v/>
      </c>
      <c r="I537" s="85"/>
      <c r="J537" s="85"/>
      <c r="K537" s="85"/>
      <c r="L537" s="86" t="str">
        <f>IFERROR(__xludf.DUMMYFUNCTION("""COMPUTED_VALUE"""),"REJECT")</f>
        <v>REJECT</v>
      </c>
      <c r="M537" s="78" t="str">
        <f>IFERROR(__xludf.DUMMYFUNCTION("""COMPUTED_VALUE"""),"")</f>
        <v/>
      </c>
      <c r="N537" s="85"/>
      <c r="O537" s="85"/>
      <c r="P537" s="85"/>
      <c r="Q537" s="86" t="str">
        <f>IFERROR(__xludf.DUMMYFUNCTION("""COMPUTED_VALUE"""),"REJECT")</f>
        <v>REJECT</v>
      </c>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row>
    <row r="538">
      <c r="A538" s="93"/>
      <c r="B538" s="85"/>
      <c r="C538" s="86"/>
      <c r="D538" s="93"/>
      <c r="E538" s="85"/>
      <c r="F538" s="85"/>
      <c r="G538" s="86"/>
      <c r="H538" s="78" t="str">
        <f>IFERROR(__xludf.DUMMYFUNCTION("""COMPUTED_VALUE"""),"")</f>
        <v/>
      </c>
      <c r="I538" s="85"/>
      <c r="J538" s="85"/>
      <c r="K538" s="85"/>
      <c r="L538" s="86" t="str">
        <f>IFERROR(__xludf.DUMMYFUNCTION("""COMPUTED_VALUE"""),"REJECT")</f>
        <v>REJECT</v>
      </c>
      <c r="M538" s="78" t="str">
        <f>IFERROR(__xludf.DUMMYFUNCTION("""COMPUTED_VALUE"""),"")</f>
        <v/>
      </c>
      <c r="N538" s="85"/>
      <c r="O538" s="85"/>
      <c r="P538" s="85"/>
      <c r="Q538" s="86" t="str">
        <f>IFERROR(__xludf.DUMMYFUNCTION("""COMPUTED_VALUE"""),"REJECT")</f>
        <v>REJECT</v>
      </c>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row>
    <row r="539">
      <c r="A539" s="93"/>
      <c r="B539" s="85"/>
      <c r="C539" s="86"/>
      <c r="D539" s="93"/>
      <c r="E539" s="85"/>
      <c r="F539" s="85"/>
      <c r="G539" s="86"/>
      <c r="H539" s="78" t="str">
        <f>IFERROR(__xludf.DUMMYFUNCTION("""COMPUTED_VALUE"""),"")</f>
        <v/>
      </c>
      <c r="I539" s="85"/>
      <c r="J539" s="85"/>
      <c r="K539" s="85"/>
      <c r="L539" s="86" t="str">
        <f>IFERROR(__xludf.DUMMYFUNCTION("""COMPUTED_VALUE"""),"REJECT")</f>
        <v>REJECT</v>
      </c>
      <c r="M539" s="78" t="str">
        <f>IFERROR(__xludf.DUMMYFUNCTION("""COMPUTED_VALUE"""),"")</f>
        <v/>
      </c>
      <c r="N539" s="85"/>
      <c r="O539" s="85"/>
      <c r="P539" s="85"/>
      <c r="Q539" s="86" t="str">
        <f>IFERROR(__xludf.DUMMYFUNCTION("""COMPUTED_VALUE"""),"REJECT")</f>
        <v>REJECT</v>
      </c>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row>
    <row r="540">
      <c r="A540" s="93"/>
      <c r="B540" s="85"/>
      <c r="C540" s="86"/>
      <c r="D540" s="93"/>
      <c r="E540" s="85"/>
      <c r="F540" s="85"/>
      <c r="G540" s="86"/>
      <c r="H540" s="78" t="str">
        <f>IFERROR(__xludf.DUMMYFUNCTION("""COMPUTED_VALUE"""),"")</f>
        <v/>
      </c>
      <c r="I540" s="85"/>
      <c r="J540" s="85"/>
      <c r="K540" s="85"/>
      <c r="L540" s="86" t="str">
        <f>IFERROR(__xludf.DUMMYFUNCTION("""COMPUTED_VALUE"""),"REJECT")</f>
        <v>REJECT</v>
      </c>
      <c r="M540" s="78" t="str">
        <f>IFERROR(__xludf.DUMMYFUNCTION("""COMPUTED_VALUE"""),"")</f>
        <v/>
      </c>
      <c r="N540" s="85"/>
      <c r="O540" s="85"/>
      <c r="P540" s="85"/>
      <c r="Q540" s="86" t="str">
        <f>IFERROR(__xludf.DUMMYFUNCTION("""COMPUTED_VALUE"""),"REJECT")</f>
        <v>REJECT</v>
      </c>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row>
    <row r="541">
      <c r="A541" s="93"/>
      <c r="B541" s="85"/>
      <c r="C541" s="86"/>
      <c r="D541" s="93"/>
      <c r="E541" s="85"/>
      <c r="F541" s="85"/>
      <c r="G541" s="86"/>
      <c r="H541" s="78" t="str">
        <f>IFERROR(__xludf.DUMMYFUNCTION("""COMPUTED_VALUE"""),"")</f>
        <v/>
      </c>
      <c r="I541" s="85"/>
      <c r="J541" s="85"/>
      <c r="K541" s="85"/>
      <c r="L541" s="86" t="str">
        <f>IFERROR(__xludf.DUMMYFUNCTION("""COMPUTED_VALUE"""),"REJECT")</f>
        <v>REJECT</v>
      </c>
      <c r="M541" s="78" t="str">
        <f>IFERROR(__xludf.DUMMYFUNCTION("""COMPUTED_VALUE"""),"")</f>
        <v/>
      </c>
      <c r="N541" s="85"/>
      <c r="O541" s="85"/>
      <c r="P541" s="85"/>
      <c r="Q541" s="86" t="str">
        <f>IFERROR(__xludf.DUMMYFUNCTION("""COMPUTED_VALUE"""),"REJECT")</f>
        <v>REJECT</v>
      </c>
      <c r="R541" s="66"/>
      <c r="S541" s="66"/>
      <c r="T541" s="66"/>
      <c r="U541" s="66"/>
      <c r="V541" s="66"/>
      <c r="W541" s="66"/>
      <c r="X541" s="66"/>
      <c r="Y541" s="66"/>
      <c r="Z541" s="66"/>
      <c r="AA541" s="66"/>
      <c r="AB541" s="66"/>
      <c r="AC541" s="66"/>
      <c r="AD541" s="66"/>
      <c r="AE541" s="66"/>
      <c r="AF541" s="66"/>
      <c r="AG541" s="66"/>
      <c r="AH541" s="66"/>
      <c r="AI541" s="66"/>
      <c r="AJ541" s="66"/>
      <c r="AK541" s="66"/>
      <c r="AL541" s="66"/>
      <c r="AM541" s="66"/>
      <c r="AN541" s="66"/>
      <c r="AO541" s="66"/>
    </row>
    <row r="542">
      <c r="A542" s="93"/>
      <c r="B542" s="85"/>
      <c r="C542" s="86"/>
      <c r="D542" s="93"/>
      <c r="E542" s="85"/>
      <c r="F542" s="85"/>
      <c r="G542" s="86"/>
      <c r="H542" s="78" t="str">
        <f>IFERROR(__xludf.DUMMYFUNCTION("""COMPUTED_VALUE"""),"")</f>
        <v/>
      </c>
      <c r="I542" s="85"/>
      <c r="J542" s="85"/>
      <c r="K542" s="85"/>
      <c r="L542" s="86" t="str">
        <f>IFERROR(__xludf.DUMMYFUNCTION("""COMPUTED_VALUE"""),"REJECT")</f>
        <v>REJECT</v>
      </c>
      <c r="M542" s="78" t="str">
        <f>IFERROR(__xludf.DUMMYFUNCTION("""COMPUTED_VALUE"""),"")</f>
        <v/>
      </c>
      <c r="N542" s="85"/>
      <c r="O542" s="85"/>
      <c r="P542" s="85"/>
      <c r="Q542" s="86" t="str">
        <f>IFERROR(__xludf.DUMMYFUNCTION("""COMPUTED_VALUE"""),"REJECT")</f>
        <v>REJECT</v>
      </c>
      <c r="R542" s="66"/>
      <c r="S542" s="66"/>
      <c r="T542" s="66"/>
      <c r="U542" s="66"/>
      <c r="V542" s="66"/>
      <c r="W542" s="66"/>
      <c r="X542" s="66"/>
      <c r="Y542" s="66"/>
      <c r="Z542" s="66"/>
      <c r="AA542" s="66"/>
      <c r="AB542" s="66"/>
      <c r="AC542" s="66"/>
      <c r="AD542" s="66"/>
      <c r="AE542" s="66"/>
      <c r="AF542" s="66"/>
      <c r="AG542" s="66"/>
      <c r="AH542" s="66"/>
      <c r="AI542" s="66"/>
      <c r="AJ542" s="66"/>
      <c r="AK542" s="66"/>
      <c r="AL542" s="66"/>
      <c r="AM542" s="66"/>
      <c r="AN542" s="66"/>
      <c r="AO542" s="66"/>
    </row>
    <row r="543">
      <c r="A543" s="93"/>
      <c r="B543" s="85"/>
      <c r="C543" s="86"/>
      <c r="D543" s="93"/>
      <c r="E543" s="85"/>
      <c r="F543" s="85"/>
      <c r="G543" s="86"/>
      <c r="H543" s="78" t="str">
        <f>IFERROR(__xludf.DUMMYFUNCTION("""COMPUTED_VALUE"""),"")</f>
        <v/>
      </c>
      <c r="I543" s="85"/>
      <c r="J543" s="85"/>
      <c r="K543" s="85"/>
      <c r="L543" s="86" t="str">
        <f>IFERROR(__xludf.DUMMYFUNCTION("""COMPUTED_VALUE"""),"REJECT")</f>
        <v>REJECT</v>
      </c>
      <c r="M543" s="78" t="str">
        <f>IFERROR(__xludf.DUMMYFUNCTION("""COMPUTED_VALUE"""),"")</f>
        <v/>
      </c>
      <c r="N543" s="85"/>
      <c r="O543" s="85"/>
      <c r="P543" s="85"/>
      <c r="Q543" s="86" t="str">
        <f>IFERROR(__xludf.DUMMYFUNCTION("""COMPUTED_VALUE"""),"REJECT")</f>
        <v>REJECT</v>
      </c>
      <c r="R543" s="66"/>
      <c r="S543" s="66"/>
      <c r="T543" s="66"/>
      <c r="U543" s="66"/>
      <c r="V543" s="66"/>
      <c r="W543" s="66"/>
      <c r="X543" s="66"/>
      <c r="Y543" s="66"/>
      <c r="Z543" s="66"/>
      <c r="AA543" s="66"/>
      <c r="AB543" s="66"/>
      <c r="AC543" s="66"/>
      <c r="AD543" s="66"/>
      <c r="AE543" s="66"/>
      <c r="AF543" s="66"/>
      <c r="AG543" s="66"/>
      <c r="AH543" s="66"/>
      <c r="AI543" s="66"/>
      <c r="AJ543" s="66"/>
      <c r="AK543" s="66"/>
      <c r="AL543" s="66"/>
      <c r="AM543" s="66"/>
      <c r="AN543" s="66"/>
      <c r="AO543" s="66"/>
    </row>
    <row r="544">
      <c r="A544" s="93"/>
      <c r="B544" s="85"/>
      <c r="C544" s="86"/>
      <c r="D544" s="93"/>
      <c r="E544" s="85"/>
      <c r="F544" s="85"/>
      <c r="G544" s="86"/>
      <c r="H544" s="78" t="str">
        <f>IFERROR(__xludf.DUMMYFUNCTION("""COMPUTED_VALUE"""),"")</f>
        <v/>
      </c>
      <c r="I544" s="85"/>
      <c r="J544" s="85"/>
      <c r="K544" s="85"/>
      <c r="L544" s="86" t="str">
        <f>IFERROR(__xludf.DUMMYFUNCTION("""COMPUTED_VALUE"""),"REJECT")</f>
        <v>REJECT</v>
      </c>
      <c r="M544" s="78" t="str">
        <f>IFERROR(__xludf.DUMMYFUNCTION("""COMPUTED_VALUE"""),"")</f>
        <v/>
      </c>
      <c r="N544" s="85"/>
      <c r="O544" s="85"/>
      <c r="P544" s="85"/>
      <c r="Q544" s="86" t="str">
        <f>IFERROR(__xludf.DUMMYFUNCTION("""COMPUTED_VALUE"""),"REJECT")</f>
        <v>REJECT</v>
      </c>
      <c r="R544" s="66"/>
      <c r="S544" s="66"/>
      <c r="T544" s="66"/>
      <c r="U544" s="66"/>
      <c r="V544" s="66"/>
      <c r="W544" s="66"/>
      <c r="X544" s="66"/>
      <c r="Y544" s="66"/>
      <c r="Z544" s="66"/>
      <c r="AA544" s="66"/>
      <c r="AB544" s="66"/>
      <c r="AC544" s="66"/>
      <c r="AD544" s="66"/>
      <c r="AE544" s="66"/>
      <c r="AF544" s="66"/>
      <c r="AG544" s="66"/>
      <c r="AH544" s="66"/>
      <c r="AI544" s="66"/>
      <c r="AJ544" s="66"/>
      <c r="AK544" s="66"/>
      <c r="AL544" s="66"/>
      <c r="AM544" s="66"/>
      <c r="AN544" s="66"/>
      <c r="AO544" s="66"/>
    </row>
    <row r="545">
      <c r="A545" s="93"/>
      <c r="B545" s="85"/>
      <c r="C545" s="86"/>
      <c r="D545" s="93"/>
      <c r="E545" s="85"/>
      <c r="F545" s="85"/>
      <c r="G545" s="86"/>
      <c r="H545" s="78" t="str">
        <f>IFERROR(__xludf.DUMMYFUNCTION("""COMPUTED_VALUE"""),"")</f>
        <v/>
      </c>
      <c r="I545" s="85"/>
      <c r="J545" s="85"/>
      <c r="K545" s="85"/>
      <c r="L545" s="86" t="str">
        <f>IFERROR(__xludf.DUMMYFUNCTION("""COMPUTED_VALUE"""),"REJECT")</f>
        <v>REJECT</v>
      </c>
      <c r="M545" s="78" t="str">
        <f>IFERROR(__xludf.DUMMYFUNCTION("""COMPUTED_VALUE"""),"")</f>
        <v/>
      </c>
      <c r="N545" s="85"/>
      <c r="O545" s="85"/>
      <c r="P545" s="85"/>
      <c r="Q545" s="86" t="str">
        <f>IFERROR(__xludf.DUMMYFUNCTION("""COMPUTED_VALUE"""),"REJECT")</f>
        <v>REJECT</v>
      </c>
      <c r="R545" s="66"/>
      <c r="S545" s="66"/>
      <c r="T545" s="66"/>
      <c r="U545" s="66"/>
      <c r="V545" s="66"/>
      <c r="W545" s="66"/>
      <c r="X545" s="66"/>
      <c r="Y545" s="66"/>
      <c r="Z545" s="66"/>
      <c r="AA545" s="66"/>
      <c r="AB545" s="66"/>
      <c r="AC545" s="66"/>
      <c r="AD545" s="66"/>
      <c r="AE545" s="66"/>
      <c r="AF545" s="66"/>
      <c r="AG545" s="66"/>
      <c r="AH545" s="66"/>
      <c r="AI545" s="66"/>
      <c r="AJ545" s="66"/>
      <c r="AK545" s="66"/>
      <c r="AL545" s="66"/>
      <c r="AM545" s="66"/>
      <c r="AN545" s="66"/>
      <c r="AO545" s="66"/>
    </row>
    <row r="546">
      <c r="A546" s="93"/>
      <c r="B546" s="85"/>
      <c r="C546" s="86"/>
      <c r="D546" s="93"/>
      <c r="E546" s="85"/>
      <c r="F546" s="85"/>
      <c r="G546" s="86"/>
      <c r="H546" s="78" t="str">
        <f>IFERROR(__xludf.DUMMYFUNCTION("""COMPUTED_VALUE"""),"")</f>
        <v/>
      </c>
      <c r="I546" s="85"/>
      <c r="J546" s="85"/>
      <c r="K546" s="85"/>
      <c r="L546" s="86" t="str">
        <f>IFERROR(__xludf.DUMMYFUNCTION("""COMPUTED_VALUE"""),"REJECT")</f>
        <v>REJECT</v>
      </c>
      <c r="M546" s="78" t="str">
        <f>IFERROR(__xludf.DUMMYFUNCTION("""COMPUTED_VALUE"""),"")</f>
        <v/>
      </c>
      <c r="N546" s="85"/>
      <c r="O546" s="85"/>
      <c r="P546" s="85"/>
      <c r="Q546" s="86" t="str">
        <f>IFERROR(__xludf.DUMMYFUNCTION("""COMPUTED_VALUE"""),"REJECT")</f>
        <v>REJECT</v>
      </c>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row>
    <row r="547">
      <c r="A547" s="93"/>
      <c r="B547" s="85"/>
      <c r="C547" s="86"/>
      <c r="D547" s="93"/>
      <c r="E547" s="85"/>
      <c r="F547" s="85"/>
      <c r="G547" s="86"/>
      <c r="H547" s="78" t="str">
        <f>IFERROR(__xludf.DUMMYFUNCTION("""COMPUTED_VALUE"""),"")</f>
        <v/>
      </c>
      <c r="I547" s="85"/>
      <c r="J547" s="85"/>
      <c r="K547" s="85"/>
      <c r="L547" s="86" t="str">
        <f>IFERROR(__xludf.DUMMYFUNCTION("""COMPUTED_VALUE"""),"REJECT")</f>
        <v>REJECT</v>
      </c>
      <c r="M547" s="78" t="str">
        <f>IFERROR(__xludf.DUMMYFUNCTION("""COMPUTED_VALUE"""),"")</f>
        <v/>
      </c>
      <c r="N547" s="85"/>
      <c r="O547" s="85"/>
      <c r="P547" s="85"/>
      <c r="Q547" s="86" t="str">
        <f>IFERROR(__xludf.DUMMYFUNCTION("""COMPUTED_VALUE"""),"REJECT")</f>
        <v>REJECT</v>
      </c>
      <c r="R547" s="66"/>
      <c r="S547" s="66"/>
      <c r="T547" s="66"/>
      <c r="U547" s="66"/>
      <c r="V547" s="66"/>
      <c r="W547" s="66"/>
      <c r="X547" s="66"/>
      <c r="Y547" s="66"/>
      <c r="Z547" s="66"/>
      <c r="AA547" s="66"/>
      <c r="AB547" s="66"/>
      <c r="AC547" s="66"/>
      <c r="AD547" s="66"/>
      <c r="AE547" s="66"/>
      <c r="AF547" s="66"/>
      <c r="AG547" s="66"/>
      <c r="AH547" s="66"/>
      <c r="AI547" s="66"/>
      <c r="AJ547" s="66"/>
      <c r="AK547" s="66"/>
      <c r="AL547" s="66"/>
      <c r="AM547" s="66"/>
      <c r="AN547" s="66"/>
      <c r="AO547" s="66"/>
    </row>
    <row r="548">
      <c r="A548" s="93"/>
      <c r="B548" s="85"/>
      <c r="C548" s="86"/>
      <c r="D548" s="93"/>
      <c r="E548" s="85"/>
      <c r="F548" s="85"/>
      <c r="G548" s="86"/>
      <c r="H548" s="78" t="str">
        <f>IFERROR(__xludf.DUMMYFUNCTION("""COMPUTED_VALUE"""),"")</f>
        <v/>
      </c>
      <c r="I548" s="85"/>
      <c r="J548" s="85"/>
      <c r="K548" s="85"/>
      <c r="L548" s="86" t="str">
        <f>IFERROR(__xludf.DUMMYFUNCTION("""COMPUTED_VALUE"""),"REJECT")</f>
        <v>REJECT</v>
      </c>
      <c r="M548" s="78" t="str">
        <f>IFERROR(__xludf.DUMMYFUNCTION("""COMPUTED_VALUE"""),"")</f>
        <v/>
      </c>
      <c r="N548" s="85"/>
      <c r="O548" s="85"/>
      <c r="P548" s="85"/>
      <c r="Q548" s="86" t="str">
        <f>IFERROR(__xludf.DUMMYFUNCTION("""COMPUTED_VALUE"""),"REJECT")</f>
        <v>REJECT</v>
      </c>
      <c r="R548" s="66"/>
      <c r="S548" s="66"/>
      <c r="T548" s="66"/>
      <c r="U548" s="66"/>
      <c r="V548" s="66"/>
      <c r="W548" s="66"/>
      <c r="X548" s="66"/>
      <c r="Y548" s="66"/>
      <c r="Z548" s="66"/>
      <c r="AA548" s="66"/>
      <c r="AB548" s="66"/>
      <c r="AC548" s="66"/>
      <c r="AD548" s="66"/>
      <c r="AE548" s="66"/>
      <c r="AF548" s="66"/>
      <c r="AG548" s="66"/>
      <c r="AH548" s="66"/>
      <c r="AI548" s="66"/>
      <c r="AJ548" s="66"/>
      <c r="AK548" s="66"/>
      <c r="AL548" s="66"/>
      <c r="AM548" s="66"/>
      <c r="AN548" s="66"/>
      <c r="AO548" s="66"/>
    </row>
    <row r="549">
      <c r="A549" s="93"/>
      <c r="B549" s="85"/>
      <c r="C549" s="86"/>
      <c r="D549" s="93"/>
      <c r="E549" s="85"/>
      <c r="F549" s="85"/>
      <c r="G549" s="86"/>
      <c r="H549" s="78" t="str">
        <f>IFERROR(__xludf.DUMMYFUNCTION("""COMPUTED_VALUE"""),"")</f>
        <v/>
      </c>
      <c r="I549" s="85"/>
      <c r="J549" s="85"/>
      <c r="K549" s="85"/>
      <c r="L549" s="86" t="str">
        <f>IFERROR(__xludf.DUMMYFUNCTION("""COMPUTED_VALUE"""),"REJECT")</f>
        <v>REJECT</v>
      </c>
      <c r="M549" s="78" t="str">
        <f>IFERROR(__xludf.DUMMYFUNCTION("""COMPUTED_VALUE"""),"")</f>
        <v/>
      </c>
      <c r="N549" s="85"/>
      <c r="O549" s="85"/>
      <c r="P549" s="85"/>
      <c r="Q549" s="86" t="str">
        <f>IFERROR(__xludf.DUMMYFUNCTION("""COMPUTED_VALUE"""),"REJECT")</f>
        <v>REJECT</v>
      </c>
      <c r="R549" s="66"/>
      <c r="S549" s="66"/>
      <c r="T549" s="66"/>
      <c r="U549" s="66"/>
      <c r="V549" s="66"/>
      <c r="W549" s="66"/>
      <c r="X549" s="66"/>
      <c r="Y549" s="66"/>
      <c r="Z549" s="66"/>
      <c r="AA549" s="66"/>
      <c r="AB549" s="66"/>
      <c r="AC549" s="66"/>
      <c r="AD549" s="66"/>
      <c r="AE549" s="66"/>
      <c r="AF549" s="66"/>
      <c r="AG549" s="66"/>
      <c r="AH549" s="66"/>
      <c r="AI549" s="66"/>
      <c r="AJ549" s="66"/>
      <c r="AK549" s="66"/>
      <c r="AL549" s="66"/>
      <c r="AM549" s="66"/>
      <c r="AN549" s="66"/>
      <c r="AO549" s="66"/>
    </row>
    <row r="550">
      <c r="A550" s="93"/>
      <c r="B550" s="85"/>
      <c r="C550" s="86"/>
      <c r="D550" s="93"/>
      <c r="E550" s="85"/>
      <c r="F550" s="85"/>
      <c r="G550" s="86"/>
      <c r="H550" s="78" t="str">
        <f>IFERROR(__xludf.DUMMYFUNCTION("""COMPUTED_VALUE"""),"")</f>
        <v/>
      </c>
      <c r="I550" s="85"/>
      <c r="J550" s="85"/>
      <c r="K550" s="85"/>
      <c r="L550" s="86" t="str">
        <f>IFERROR(__xludf.DUMMYFUNCTION("""COMPUTED_VALUE"""),"REJECT")</f>
        <v>REJECT</v>
      </c>
      <c r="M550" s="78" t="str">
        <f>IFERROR(__xludf.DUMMYFUNCTION("""COMPUTED_VALUE"""),"")</f>
        <v/>
      </c>
      <c r="N550" s="85"/>
      <c r="O550" s="85"/>
      <c r="P550" s="85"/>
      <c r="Q550" s="86" t="str">
        <f>IFERROR(__xludf.DUMMYFUNCTION("""COMPUTED_VALUE"""),"REJECT")</f>
        <v>REJECT</v>
      </c>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row>
    <row r="551">
      <c r="A551" s="93"/>
      <c r="B551" s="85"/>
      <c r="C551" s="86"/>
      <c r="D551" s="93"/>
      <c r="E551" s="85"/>
      <c r="F551" s="85"/>
      <c r="G551" s="86"/>
      <c r="H551" s="78" t="str">
        <f>IFERROR(__xludf.DUMMYFUNCTION("""COMPUTED_VALUE"""),"")</f>
        <v/>
      </c>
      <c r="I551" s="85"/>
      <c r="J551" s="85"/>
      <c r="K551" s="85"/>
      <c r="L551" s="86" t="str">
        <f>IFERROR(__xludf.DUMMYFUNCTION("""COMPUTED_VALUE"""),"REJECT")</f>
        <v>REJECT</v>
      </c>
      <c r="M551" s="78" t="str">
        <f>IFERROR(__xludf.DUMMYFUNCTION("""COMPUTED_VALUE"""),"")</f>
        <v/>
      </c>
      <c r="N551" s="85"/>
      <c r="O551" s="85"/>
      <c r="P551" s="85"/>
      <c r="Q551" s="86" t="str">
        <f>IFERROR(__xludf.DUMMYFUNCTION("""COMPUTED_VALUE"""),"REJECT")</f>
        <v>REJECT</v>
      </c>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row>
    <row r="552">
      <c r="A552" s="93"/>
      <c r="B552" s="85"/>
      <c r="C552" s="86"/>
      <c r="D552" s="93"/>
      <c r="E552" s="85"/>
      <c r="F552" s="85"/>
      <c r="G552" s="86"/>
      <c r="H552" s="78" t="str">
        <f>IFERROR(__xludf.DUMMYFUNCTION("""COMPUTED_VALUE"""),"")</f>
        <v/>
      </c>
      <c r="I552" s="85"/>
      <c r="J552" s="85"/>
      <c r="K552" s="85"/>
      <c r="L552" s="86" t="str">
        <f>IFERROR(__xludf.DUMMYFUNCTION("""COMPUTED_VALUE"""),"REJECT")</f>
        <v>REJECT</v>
      </c>
      <c r="M552" s="78" t="str">
        <f>IFERROR(__xludf.DUMMYFUNCTION("""COMPUTED_VALUE"""),"")</f>
        <v/>
      </c>
      <c r="N552" s="85"/>
      <c r="O552" s="85"/>
      <c r="P552" s="85"/>
      <c r="Q552" s="86" t="str">
        <f>IFERROR(__xludf.DUMMYFUNCTION("""COMPUTED_VALUE"""),"REJECT")</f>
        <v>REJECT</v>
      </c>
      <c r="R552" s="66"/>
      <c r="S552" s="66"/>
      <c r="T552" s="66"/>
      <c r="U552" s="66"/>
      <c r="V552" s="66"/>
      <c r="W552" s="66"/>
      <c r="X552" s="66"/>
      <c r="Y552" s="66"/>
      <c r="Z552" s="66"/>
      <c r="AA552" s="66"/>
      <c r="AB552" s="66"/>
      <c r="AC552" s="66"/>
      <c r="AD552" s="66"/>
      <c r="AE552" s="66"/>
      <c r="AF552" s="66"/>
      <c r="AG552" s="66"/>
      <c r="AH552" s="66"/>
      <c r="AI552" s="66"/>
      <c r="AJ552" s="66"/>
      <c r="AK552" s="66"/>
      <c r="AL552" s="66"/>
      <c r="AM552" s="66"/>
      <c r="AN552" s="66"/>
      <c r="AO552" s="66"/>
    </row>
    <row r="553">
      <c r="A553" s="93"/>
      <c r="B553" s="85"/>
      <c r="C553" s="86"/>
      <c r="D553" s="93"/>
      <c r="E553" s="85"/>
      <c r="F553" s="85"/>
      <c r="G553" s="86"/>
      <c r="H553" s="78" t="str">
        <f>IFERROR(__xludf.DUMMYFUNCTION("""COMPUTED_VALUE"""),"")</f>
        <v/>
      </c>
      <c r="I553" s="85"/>
      <c r="J553" s="85"/>
      <c r="K553" s="85"/>
      <c r="L553" s="86" t="str">
        <f>IFERROR(__xludf.DUMMYFUNCTION("""COMPUTED_VALUE"""),"REJECT")</f>
        <v>REJECT</v>
      </c>
      <c r="M553" s="78" t="str">
        <f>IFERROR(__xludf.DUMMYFUNCTION("""COMPUTED_VALUE"""),"")</f>
        <v/>
      </c>
      <c r="N553" s="85"/>
      <c r="O553" s="85"/>
      <c r="P553" s="85"/>
      <c r="Q553" s="86" t="str">
        <f>IFERROR(__xludf.DUMMYFUNCTION("""COMPUTED_VALUE"""),"REJECT")</f>
        <v>REJECT</v>
      </c>
      <c r="R553" s="66"/>
      <c r="S553" s="66"/>
      <c r="T553" s="66"/>
      <c r="U553" s="66"/>
      <c r="V553" s="66"/>
      <c r="W553" s="66"/>
      <c r="X553" s="66"/>
      <c r="Y553" s="66"/>
      <c r="Z553" s="66"/>
      <c r="AA553" s="66"/>
      <c r="AB553" s="66"/>
      <c r="AC553" s="66"/>
      <c r="AD553" s="66"/>
      <c r="AE553" s="66"/>
      <c r="AF553" s="66"/>
      <c r="AG553" s="66"/>
      <c r="AH553" s="66"/>
      <c r="AI553" s="66"/>
      <c r="AJ553" s="66"/>
      <c r="AK553" s="66"/>
      <c r="AL553" s="66"/>
      <c r="AM553" s="66"/>
      <c r="AN553" s="66"/>
      <c r="AO553" s="66"/>
    </row>
    <row r="554">
      <c r="A554" s="93"/>
      <c r="B554" s="85"/>
      <c r="C554" s="86"/>
      <c r="D554" s="93"/>
      <c r="E554" s="85"/>
      <c r="F554" s="85"/>
      <c r="G554" s="86"/>
      <c r="H554" s="78" t="str">
        <f>IFERROR(__xludf.DUMMYFUNCTION("""COMPUTED_VALUE"""),"")</f>
        <v/>
      </c>
      <c r="I554" s="85"/>
      <c r="J554" s="85"/>
      <c r="K554" s="85"/>
      <c r="L554" s="86" t="str">
        <f>IFERROR(__xludf.DUMMYFUNCTION("""COMPUTED_VALUE"""),"REJECT")</f>
        <v>REJECT</v>
      </c>
      <c r="M554" s="78" t="str">
        <f>IFERROR(__xludf.DUMMYFUNCTION("""COMPUTED_VALUE"""),"")</f>
        <v/>
      </c>
      <c r="N554" s="85"/>
      <c r="O554" s="85"/>
      <c r="P554" s="85"/>
      <c r="Q554" s="86" t="str">
        <f>IFERROR(__xludf.DUMMYFUNCTION("""COMPUTED_VALUE"""),"REJECT")</f>
        <v>REJECT</v>
      </c>
      <c r="R554" s="66"/>
      <c r="S554" s="66"/>
      <c r="T554" s="66"/>
      <c r="U554" s="66"/>
      <c r="V554" s="66"/>
      <c r="W554" s="66"/>
      <c r="X554" s="66"/>
      <c r="Y554" s="66"/>
      <c r="Z554" s="66"/>
      <c r="AA554" s="66"/>
      <c r="AB554" s="66"/>
      <c r="AC554" s="66"/>
      <c r="AD554" s="66"/>
      <c r="AE554" s="66"/>
      <c r="AF554" s="66"/>
      <c r="AG554" s="66"/>
      <c r="AH554" s="66"/>
      <c r="AI554" s="66"/>
      <c r="AJ554" s="66"/>
      <c r="AK554" s="66"/>
      <c r="AL554" s="66"/>
      <c r="AM554" s="66"/>
      <c r="AN554" s="66"/>
      <c r="AO554" s="66"/>
    </row>
    <row r="555">
      <c r="A555" s="93"/>
      <c r="B555" s="85"/>
      <c r="C555" s="86"/>
      <c r="D555" s="93"/>
      <c r="E555" s="85"/>
      <c r="F555" s="85"/>
      <c r="G555" s="86"/>
      <c r="H555" s="78" t="str">
        <f>IFERROR(__xludf.DUMMYFUNCTION("""COMPUTED_VALUE"""),"")</f>
        <v/>
      </c>
      <c r="I555" s="85"/>
      <c r="J555" s="85"/>
      <c r="K555" s="85"/>
      <c r="L555" s="86" t="str">
        <f>IFERROR(__xludf.DUMMYFUNCTION("""COMPUTED_VALUE"""),"REJECT")</f>
        <v>REJECT</v>
      </c>
      <c r="M555" s="78" t="str">
        <f>IFERROR(__xludf.DUMMYFUNCTION("""COMPUTED_VALUE"""),"")</f>
        <v/>
      </c>
      <c r="N555" s="85"/>
      <c r="O555" s="85"/>
      <c r="P555" s="85"/>
      <c r="Q555" s="86" t="str">
        <f>IFERROR(__xludf.DUMMYFUNCTION("""COMPUTED_VALUE"""),"REJECT")</f>
        <v>REJECT</v>
      </c>
      <c r="R555" s="66"/>
      <c r="S555" s="66"/>
      <c r="T555" s="66"/>
      <c r="U555" s="66"/>
      <c r="V555" s="66"/>
      <c r="W555" s="66"/>
      <c r="X555" s="66"/>
      <c r="Y555" s="66"/>
      <c r="Z555" s="66"/>
      <c r="AA555" s="66"/>
      <c r="AB555" s="66"/>
      <c r="AC555" s="66"/>
      <c r="AD555" s="66"/>
      <c r="AE555" s="66"/>
      <c r="AF555" s="66"/>
      <c r="AG555" s="66"/>
      <c r="AH555" s="66"/>
      <c r="AI555" s="66"/>
      <c r="AJ555" s="66"/>
      <c r="AK555" s="66"/>
      <c r="AL555" s="66"/>
      <c r="AM555" s="66"/>
      <c r="AN555" s="66"/>
      <c r="AO555" s="66"/>
    </row>
    <row r="556">
      <c r="A556" s="93"/>
      <c r="B556" s="85"/>
      <c r="C556" s="86"/>
      <c r="D556" s="93"/>
      <c r="E556" s="85"/>
      <c r="F556" s="85"/>
      <c r="G556" s="86"/>
      <c r="H556" s="78" t="str">
        <f>IFERROR(__xludf.DUMMYFUNCTION("""COMPUTED_VALUE"""),"")</f>
        <v/>
      </c>
      <c r="I556" s="85"/>
      <c r="J556" s="85"/>
      <c r="K556" s="85"/>
      <c r="L556" s="86" t="str">
        <f>IFERROR(__xludf.DUMMYFUNCTION("""COMPUTED_VALUE"""),"REJECT")</f>
        <v>REJECT</v>
      </c>
      <c r="M556" s="78" t="str">
        <f>IFERROR(__xludf.DUMMYFUNCTION("""COMPUTED_VALUE"""),"")</f>
        <v/>
      </c>
      <c r="N556" s="85"/>
      <c r="O556" s="85"/>
      <c r="P556" s="85"/>
      <c r="Q556" s="86" t="str">
        <f>IFERROR(__xludf.DUMMYFUNCTION("""COMPUTED_VALUE"""),"REJECT")</f>
        <v>REJECT</v>
      </c>
      <c r="R556" s="66"/>
      <c r="S556" s="66"/>
      <c r="T556" s="66"/>
      <c r="U556" s="66"/>
      <c r="V556" s="66"/>
      <c r="W556" s="66"/>
      <c r="X556" s="66"/>
      <c r="Y556" s="66"/>
      <c r="Z556" s="66"/>
      <c r="AA556" s="66"/>
      <c r="AB556" s="66"/>
      <c r="AC556" s="66"/>
      <c r="AD556" s="66"/>
      <c r="AE556" s="66"/>
      <c r="AF556" s="66"/>
      <c r="AG556" s="66"/>
      <c r="AH556" s="66"/>
      <c r="AI556" s="66"/>
      <c r="AJ556" s="66"/>
      <c r="AK556" s="66"/>
      <c r="AL556" s="66"/>
      <c r="AM556" s="66"/>
      <c r="AN556" s="66"/>
      <c r="AO556" s="66"/>
    </row>
    <row r="557">
      <c r="A557" s="93"/>
      <c r="B557" s="85"/>
      <c r="C557" s="86"/>
      <c r="D557" s="93"/>
      <c r="E557" s="85"/>
      <c r="F557" s="85"/>
      <c r="G557" s="86"/>
      <c r="H557" s="78" t="str">
        <f>IFERROR(__xludf.DUMMYFUNCTION("""COMPUTED_VALUE"""),"")</f>
        <v/>
      </c>
      <c r="I557" s="85"/>
      <c r="J557" s="85"/>
      <c r="K557" s="85"/>
      <c r="L557" s="86" t="str">
        <f>IFERROR(__xludf.DUMMYFUNCTION("""COMPUTED_VALUE"""),"REJECT")</f>
        <v>REJECT</v>
      </c>
      <c r="M557" s="78" t="str">
        <f>IFERROR(__xludf.DUMMYFUNCTION("""COMPUTED_VALUE"""),"")</f>
        <v/>
      </c>
      <c r="N557" s="85"/>
      <c r="O557" s="85"/>
      <c r="P557" s="85"/>
      <c r="Q557" s="86" t="str">
        <f>IFERROR(__xludf.DUMMYFUNCTION("""COMPUTED_VALUE"""),"REJECT")</f>
        <v>REJECT</v>
      </c>
      <c r="R557" s="66"/>
      <c r="S557" s="66"/>
      <c r="T557" s="66"/>
      <c r="U557" s="66"/>
      <c r="V557" s="66"/>
      <c r="W557" s="66"/>
      <c r="X557" s="66"/>
      <c r="Y557" s="66"/>
      <c r="Z557" s="66"/>
      <c r="AA557" s="66"/>
      <c r="AB557" s="66"/>
      <c r="AC557" s="66"/>
      <c r="AD557" s="66"/>
      <c r="AE557" s="66"/>
      <c r="AF557" s="66"/>
      <c r="AG557" s="66"/>
      <c r="AH557" s="66"/>
      <c r="AI557" s="66"/>
      <c r="AJ557" s="66"/>
      <c r="AK557" s="66"/>
      <c r="AL557" s="66"/>
      <c r="AM557" s="66"/>
      <c r="AN557" s="66"/>
      <c r="AO557" s="66"/>
    </row>
    <row r="558">
      <c r="A558" s="93"/>
      <c r="B558" s="85"/>
      <c r="C558" s="86"/>
      <c r="D558" s="93"/>
      <c r="E558" s="85"/>
      <c r="F558" s="85"/>
      <c r="G558" s="86"/>
      <c r="H558" s="78" t="str">
        <f>IFERROR(__xludf.DUMMYFUNCTION("""COMPUTED_VALUE"""),"")</f>
        <v/>
      </c>
      <c r="I558" s="85"/>
      <c r="J558" s="85"/>
      <c r="K558" s="85"/>
      <c r="L558" s="86" t="str">
        <f>IFERROR(__xludf.DUMMYFUNCTION("""COMPUTED_VALUE"""),"REJECT")</f>
        <v>REJECT</v>
      </c>
      <c r="M558" s="78" t="str">
        <f>IFERROR(__xludf.DUMMYFUNCTION("""COMPUTED_VALUE"""),"")</f>
        <v/>
      </c>
      <c r="N558" s="85"/>
      <c r="O558" s="85"/>
      <c r="P558" s="85"/>
      <c r="Q558" s="86" t="str">
        <f>IFERROR(__xludf.DUMMYFUNCTION("""COMPUTED_VALUE"""),"REJECT")</f>
        <v>REJECT</v>
      </c>
      <c r="R558" s="66"/>
      <c r="S558" s="66"/>
      <c r="T558" s="66"/>
      <c r="U558" s="66"/>
      <c r="V558" s="66"/>
      <c r="W558" s="66"/>
      <c r="X558" s="66"/>
      <c r="Y558" s="66"/>
      <c r="Z558" s="66"/>
      <c r="AA558" s="66"/>
      <c r="AB558" s="66"/>
      <c r="AC558" s="66"/>
      <c r="AD558" s="66"/>
      <c r="AE558" s="66"/>
      <c r="AF558" s="66"/>
      <c r="AG558" s="66"/>
      <c r="AH558" s="66"/>
      <c r="AI558" s="66"/>
      <c r="AJ558" s="66"/>
      <c r="AK558" s="66"/>
      <c r="AL558" s="66"/>
      <c r="AM558" s="66"/>
      <c r="AN558" s="66"/>
      <c r="AO558" s="66"/>
    </row>
    <row r="559">
      <c r="A559" s="93"/>
      <c r="B559" s="85"/>
      <c r="C559" s="86"/>
      <c r="D559" s="93"/>
      <c r="E559" s="85"/>
      <c r="F559" s="85"/>
      <c r="G559" s="86"/>
      <c r="H559" s="78" t="str">
        <f>IFERROR(__xludf.DUMMYFUNCTION("""COMPUTED_VALUE"""),"")</f>
        <v/>
      </c>
      <c r="I559" s="85"/>
      <c r="J559" s="85"/>
      <c r="K559" s="85"/>
      <c r="L559" s="86" t="str">
        <f>IFERROR(__xludf.DUMMYFUNCTION("""COMPUTED_VALUE"""),"REJECT")</f>
        <v>REJECT</v>
      </c>
      <c r="M559" s="78" t="str">
        <f>IFERROR(__xludf.DUMMYFUNCTION("""COMPUTED_VALUE"""),"")</f>
        <v/>
      </c>
      <c r="N559" s="85"/>
      <c r="O559" s="85"/>
      <c r="P559" s="85"/>
      <c r="Q559" s="86" t="str">
        <f>IFERROR(__xludf.DUMMYFUNCTION("""COMPUTED_VALUE"""),"REJECT")</f>
        <v>REJECT</v>
      </c>
      <c r="R559" s="66"/>
      <c r="S559" s="66"/>
      <c r="T559" s="66"/>
      <c r="U559" s="66"/>
      <c r="V559" s="66"/>
      <c r="W559" s="66"/>
      <c r="X559" s="66"/>
      <c r="Y559" s="66"/>
      <c r="Z559" s="66"/>
      <c r="AA559" s="66"/>
      <c r="AB559" s="66"/>
      <c r="AC559" s="66"/>
      <c r="AD559" s="66"/>
      <c r="AE559" s="66"/>
      <c r="AF559" s="66"/>
      <c r="AG559" s="66"/>
      <c r="AH559" s="66"/>
      <c r="AI559" s="66"/>
      <c r="AJ559" s="66"/>
      <c r="AK559" s="66"/>
      <c r="AL559" s="66"/>
      <c r="AM559" s="66"/>
      <c r="AN559" s="66"/>
      <c r="AO559" s="66"/>
    </row>
    <row r="560">
      <c r="A560" s="93"/>
      <c r="B560" s="85"/>
      <c r="C560" s="86"/>
      <c r="D560" s="93"/>
      <c r="E560" s="85"/>
      <c r="F560" s="85"/>
      <c r="G560" s="86"/>
      <c r="H560" s="78" t="str">
        <f>IFERROR(__xludf.DUMMYFUNCTION("""COMPUTED_VALUE"""),"")</f>
        <v/>
      </c>
      <c r="I560" s="85"/>
      <c r="J560" s="85"/>
      <c r="K560" s="85"/>
      <c r="L560" s="86" t="str">
        <f>IFERROR(__xludf.DUMMYFUNCTION("""COMPUTED_VALUE"""),"REJECT")</f>
        <v>REJECT</v>
      </c>
      <c r="M560" s="78" t="str">
        <f>IFERROR(__xludf.DUMMYFUNCTION("""COMPUTED_VALUE"""),"")</f>
        <v/>
      </c>
      <c r="N560" s="85"/>
      <c r="O560" s="85"/>
      <c r="P560" s="85"/>
      <c r="Q560" s="86" t="str">
        <f>IFERROR(__xludf.DUMMYFUNCTION("""COMPUTED_VALUE"""),"REJECT")</f>
        <v>REJECT</v>
      </c>
      <c r="R560" s="66"/>
      <c r="S560" s="66"/>
      <c r="T560" s="66"/>
      <c r="U560" s="66"/>
      <c r="V560" s="66"/>
      <c r="W560" s="66"/>
      <c r="X560" s="66"/>
      <c r="Y560" s="66"/>
      <c r="Z560" s="66"/>
      <c r="AA560" s="66"/>
      <c r="AB560" s="66"/>
      <c r="AC560" s="66"/>
      <c r="AD560" s="66"/>
      <c r="AE560" s="66"/>
      <c r="AF560" s="66"/>
      <c r="AG560" s="66"/>
      <c r="AH560" s="66"/>
      <c r="AI560" s="66"/>
      <c r="AJ560" s="66"/>
      <c r="AK560" s="66"/>
      <c r="AL560" s="66"/>
      <c r="AM560" s="66"/>
      <c r="AN560" s="66"/>
      <c r="AO560" s="66"/>
    </row>
    <row r="561">
      <c r="A561" s="93"/>
      <c r="B561" s="85"/>
      <c r="C561" s="86"/>
      <c r="D561" s="93"/>
      <c r="E561" s="85"/>
      <c r="F561" s="85"/>
      <c r="G561" s="86"/>
      <c r="H561" s="78" t="str">
        <f>IFERROR(__xludf.DUMMYFUNCTION("""COMPUTED_VALUE"""),"")</f>
        <v/>
      </c>
      <c r="I561" s="85"/>
      <c r="J561" s="85"/>
      <c r="K561" s="85"/>
      <c r="L561" s="86" t="str">
        <f>IFERROR(__xludf.DUMMYFUNCTION("""COMPUTED_VALUE"""),"REJECT")</f>
        <v>REJECT</v>
      </c>
      <c r="M561" s="78" t="str">
        <f>IFERROR(__xludf.DUMMYFUNCTION("""COMPUTED_VALUE"""),"")</f>
        <v/>
      </c>
      <c r="N561" s="85"/>
      <c r="O561" s="85"/>
      <c r="P561" s="85"/>
      <c r="Q561" s="86" t="str">
        <f>IFERROR(__xludf.DUMMYFUNCTION("""COMPUTED_VALUE"""),"REJECT")</f>
        <v>REJECT</v>
      </c>
      <c r="R561" s="66"/>
      <c r="S561" s="66"/>
      <c r="T561" s="66"/>
      <c r="U561" s="66"/>
      <c r="V561" s="66"/>
      <c r="W561" s="66"/>
      <c r="X561" s="66"/>
      <c r="Y561" s="66"/>
      <c r="Z561" s="66"/>
      <c r="AA561" s="66"/>
      <c r="AB561" s="66"/>
      <c r="AC561" s="66"/>
      <c r="AD561" s="66"/>
      <c r="AE561" s="66"/>
      <c r="AF561" s="66"/>
      <c r="AG561" s="66"/>
      <c r="AH561" s="66"/>
      <c r="AI561" s="66"/>
      <c r="AJ561" s="66"/>
      <c r="AK561" s="66"/>
      <c r="AL561" s="66"/>
      <c r="AM561" s="66"/>
      <c r="AN561" s="66"/>
      <c r="AO561" s="66"/>
    </row>
    <row r="562">
      <c r="A562" s="93"/>
      <c r="B562" s="85"/>
      <c r="C562" s="86"/>
      <c r="D562" s="93"/>
      <c r="E562" s="85"/>
      <c r="F562" s="85"/>
      <c r="G562" s="86"/>
      <c r="H562" s="78" t="str">
        <f>IFERROR(__xludf.DUMMYFUNCTION("""COMPUTED_VALUE"""),"")</f>
        <v/>
      </c>
      <c r="I562" s="85"/>
      <c r="J562" s="85"/>
      <c r="K562" s="85"/>
      <c r="L562" s="86" t="str">
        <f>IFERROR(__xludf.DUMMYFUNCTION("""COMPUTED_VALUE"""),"REJECT")</f>
        <v>REJECT</v>
      </c>
      <c r="M562" s="78" t="str">
        <f>IFERROR(__xludf.DUMMYFUNCTION("""COMPUTED_VALUE"""),"")</f>
        <v/>
      </c>
      <c r="N562" s="85"/>
      <c r="O562" s="85"/>
      <c r="P562" s="85"/>
      <c r="Q562" s="86" t="str">
        <f>IFERROR(__xludf.DUMMYFUNCTION("""COMPUTED_VALUE"""),"REJECT")</f>
        <v>REJECT</v>
      </c>
      <c r="R562" s="66"/>
      <c r="S562" s="66"/>
      <c r="T562" s="66"/>
      <c r="U562" s="66"/>
      <c r="V562" s="66"/>
      <c r="W562" s="66"/>
      <c r="X562" s="66"/>
      <c r="Y562" s="66"/>
      <c r="Z562" s="66"/>
      <c r="AA562" s="66"/>
      <c r="AB562" s="66"/>
      <c r="AC562" s="66"/>
      <c r="AD562" s="66"/>
      <c r="AE562" s="66"/>
      <c r="AF562" s="66"/>
      <c r="AG562" s="66"/>
      <c r="AH562" s="66"/>
      <c r="AI562" s="66"/>
      <c r="AJ562" s="66"/>
      <c r="AK562" s="66"/>
      <c r="AL562" s="66"/>
      <c r="AM562" s="66"/>
      <c r="AN562" s="66"/>
      <c r="AO562" s="66"/>
    </row>
    <row r="563">
      <c r="A563" s="93"/>
      <c r="B563" s="85"/>
      <c r="C563" s="86"/>
      <c r="D563" s="93"/>
      <c r="E563" s="85"/>
      <c r="F563" s="85"/>
      <c r="G563" s="86"/>
      <c r="H563" s="78" t="str">
        <f>IFERROR(__xludf.DUMMYFUNCTION("""COMPUTED_VALUE"""),"")</f>
        <v/>
      </c>
      <c r="I563" s="85"/>
      <c r="J563" s="85"/>
      <c r="K563" s="85"/>
      <c r="L563" s="86" t="str">
        <f>IFERROR(__xludf.DUMMYFUNCTION("""COMPUTED_VALUE"""),"REJECT")</f>
        <v>REJECT</v>
      </c>
      <c r="M563" s="78" t="str">
        <f>IFERROR(__xludf.DUMMYFUNCTION("""COMPUTED_VALUE"""),"")</f>
        <v/>
      </c>
      <c r="N563" s="85"/>
      <c r="O563" s="85"/>
      <c r="P563" s="85"/>
      <c r="Q563" s="86" t="str">
        <f>IFERROR(__xludf.DUMMYFUNCTION("""COMPUTED_VALUE"""),"REJECT")</f>
        <v>REJECT</v>
      </c>
      <c r="R563" s="66"/>
      <c r="S563" s="66"/>
      <c r="T563" s="66"/>
      <c r="U563" s="66"/>
      <c r="V563" s="66"/>
      <c r="W563" s="66"/>
      <c r="X563" s="66"/>
      <c r="Y563" s="66"/>
      <c r="Z563" s="66"/>
      <c r="AA563" s="66"/>
      <c r="AB563" s="66"/>
      <c r="AC563" s="66"/>
      <c r="AD563" s="66"/>
      <c r="AE563" s="66"/>
      <c r="AF563" s="66"/>
      <c r="AG563" s="66"/>
      <c r="AH563" s="66"/>
      <c r="AI563" s="66"/>
      <c r="AJ563" s="66"/>
      <c r="AK563" s="66"/>
      <c r="AL563" s="66"/>
      <c r="AM563" s="66"/>
      <c r="AN563" s="66"/>
      <c r="AO563" s="66"/>
    </row>
    <row r="564">
      <c r="A564" s="93"/>
      <c r="B564" s="85"/>
      <c r="C564" s="86"/>
      <c r="D564" s="93"/>
      <c r="E564" s="85"/>
      <c r="F564" s="85"/>
      <c r="G564" s="86"/>
      <c r="H564" s="78" t="str">
        <f>IFERROR(__xludf.DUMMYFUNCTION("""COMPUTED_VALUE"""),"")</f>
        <v/>
      </c>
      <c r="I564" s="85"/>
      <c r="J564" s="85"/>
      <c r="K564" s="85"/>
      <c r="L564" s="86" t="str">
        <f>IFERROR(__xludf.DUMMYFUNCTION("""COMPUTED_VALUE"""),"REJECT")</f>
        <v>REJECT</v>
      </c>
      <c r="M564" s="78" t="str">
        <f>IFERROR(__xludf.DUMMYFUNCTION("""COMPUTED_VALUE"""),"")</f>
        <v/>
      </c>
      <c r="N564" s="85"/>
      <c r="O564" s="85"/>
      <c r="P564" s="85"/>
      <c r="Q564" s="86" t="str">
        <f>IFERROR(__xludf.DUMMYFUNCTION("""COMPUTED_VALUE"""),"REJECT")</f>
        <v>REJECT</v>
      </c>
      <c r="R564" s="66"/>
      <c r="S564" s="66"/>
      <c r="T564" s="66"/>
      <c r="U564" s="66"/>
      <c r="V564" s="66"/>
      <c r="W564" s="66"/>
      <c r="X564" s="66"/>
      <c r="Y564" s="66"/>
      <c r="Z564" s="66"/>
      <c r="AA564" s="66"/>
      <c r="AB564" s="66"/>
      <c r="AC564" s="66"/>
      <c r="AD564" s="66"/>
      <c r="AE564" s="66"/>
      <c r="AF564" s="66"/>
      <c r="AG564" s="66"/>
      <c r="AH564" s="66"/>
      <c r="AI564" s="66"/>
      <c r="AJ564" s="66"/>
      <c r="AK564" s="66"/>
      <c r="AL564" s="66"/>
      <c r="AM564" s="66"/>
      <c r="AN564" s="66"/>
      <c r="AO564" s="66"/>
    </row>
    <row r="565">
      <c r="A565" s="93"/>
      <c r="B565" s="85"/>
      <c r="C565" s="86"/>
      <c r="D565" s="93"/>
      <c r="E565" s="85"/>
      <c r="F565" s="85"/>
      <c r="G565" s="86"/>
      <c r="H565" s="78" t="str">
        <f>IFERROR(__xludf.DUMMYFUNCTION("""COMPUTED_VALUE"""),"")</f>
        <v/>
      </c>
      <c r="I565" s="85"/>
      <c r="J565" s="85"/>
      <c r="K565" s="85"/>
      <c r="L565" s="86" t="str">
        <f>IFERROR(__xludf.DUMMYFUNCTION("""COMPUTED_VALUE"""),"REJECT")</f>
        <v>REJECT</v>
      </c>
      <c r="M565" s="78" t="str">
        <f>IFERROR(__xludf.DUMMYFUNCTION("""COMPUTED_VALUE"""),"")</f>
        <v/>
      </c>
      <c r="N565" s="85"/>
      <c r="O565" s="85"/>
      <c r="P565" s="85"/>
      <c r="Q565" s="86" t="str">
        <f>IFERROR(__xludf.DUMMYFUNCTION("""COMPUTED_VALUE"""),"REJECT")</f>
        <v>REJECT</v>
      </c>
      <c r="R565" s="66"/>
      <c r="S565" s="66"/>
      <c r="T565" s="66"/>
      <c r="U565" s="66"/>
      <c r="V565" s="66"/>
      <c r="W565" s="66"/>
      <c r="X565" s="66"/>
      <c r="Y565" s="66"/>
      <c r="Z565" s="66"/>
      <c r="AA565" s="66"/>
      <c r="AB565" s="66"/>
      <c r="AC565" s="66"/>
      <c r="AD565" s="66"/>
      <c r="AE565" s="66"/>
      <c r="AF565" s="66"/>
      <c r="AG565" s="66"/>
      <c r="AH565" s="66"/>
      <c r="AI565" s="66"/>
      <c r="AJ565" s="66"/>
      <c r="AK565" s="66"/>
      <c r="AL565" s="66"/>
      <c r="AM565" s="66"/>
      <c r="AN565" s="66"/>
      <c r="AO565" s="66"/>
    </row>
    <row r="566">
      <c r="A566" s="93"/>
      <c r="B566" s="85"/>
      <c r="C566" s="86"/>
      <c r="D566" s="93"/>
      <c r="E566" s="85"/>
      <c r="F566" s="85"/>
      <c r="G566" s="86"/>
      <c r="H566" s="78" t="str">
        <f>IFERROR(__xludf.DUMMYFUNCTION("""COMPUTED_VALUE"""),"")</f>
        <v/>
      </c>
      <c r="I566" s="85"/>
      <c r="J566" s="85"/>
      <c r="K566" s="85"/>
      <c r="L566" s="86" t="str">
        <f>IFERROR(__xludf.DUMMYFUNCTION("""COMPUTED_VALUE"""),"REJECT")</f>
        <v>REJECT</v>
      </c>
      <c r="M566" s="78" t="str">
        <f>IFERROR(__xludf.DUMMYFUNCTION("""COMPUTED_VALUE"""),"")</f>
        <v/>
      </c>
      <c r="N566" s="85"/>
      <c r="O566" s="85"/>
      <c r="P566" s="85"/>
      <c r="Q566" s="86" t="str">
        <f>IFERROR(__xludf.DUMMYFUNCTION("""COMPUTED_VALUE"""),"REJECT")</f>
        <v>REJECT</v>
      </c>
      <c r="R566" s="66"/>
      <c r="S566" s="66"/>
      <c r="T566" s="66"/>
      <c r="U566" s="66"/>
      <c r="V566" s="66"/>
      <c r="W566" s="66"/>
      <c r="X566" s="66"/>
      <c r="Y566" s="66"/>
      <c r="Z566" s="66"/>
      <c r="AA566" s="66"/>
      <c r="AB566" s="66"/>
      <c r="AC566" s="66"/>
      <c r="AD566" s="66"/>
      <c r="AE566" s="66"/>
      <c r="AF566" s="66"/>
      <c r="AG566" s="66"/>
      <c r="AH566" s="66"/>
      <c r="AI566" s="66"/>
      <c r="AJ566" s="66"/>
      <c r="AK566" s="66"/>
      <c r="AL566" s="66"/>
      <c r="AM566" s="66"/>
      <c r="AN566" s="66"/>
      <c r="AO566" s="66"/>
    </row>
    <row r="567">
      <c r="A567" s="93"/>
      <c r="B567" s="85"/>
      <c r="C567" s="86"/>
      <c r="D567" s="93"/>
      <c r="E567" s="85"/>
      <c r="F567" s="85"/>
      <c r="G567" s="86"/>
      <c r="H567" s="78" t="str">
        <f>IFERROR(__xludf.DUMMYFUNCTION("""COMPUTED_VALUE"""),"")</f>
        <v/>
      </c>
      <c r="I567" s="85"/>
      <c r="J567" s="85"/>
      <c r="K567" s="85"/>
      <c r="L567" s="86" t="str">
        <f>IFERROR(__xludf.DUMMYFUNCTION("""COMPUTED_VALUE"""),"REJECT")</f>
        <v>REJECT</v>
      </c>
      <c r="M567" s="78" t="str">
        <f>IFERROR(__xludf.DUMMYFUNCTION("""COMPUTED_VALUE"""),"")</f>
        <v/>
      </c>
      <c r="N567" s="85"/>
      <c r="O567" s="85"/>
      <c r="P567" s="85"/>
      <c r="Q567" s="86" t="str">
        <f>IFERROR(__xludf.DUMMYFUNCTION("""COMPUTED_VALUE"""),"REJECT")</f>
        <v>REJECT</v>
      </c>
      <c r="R567" s="66"/>
      <c r="S567" s="66"/>
      <c r="T567" s="66"/>
      <c r="U567" s="66"/>
      <c r="V567" s="66"/>
      <c r="W567" s="66"/>
      <c r="X567" s="66"/>
      <c r="Y567" s="66"/>
      <c r="Z567" s="66"/>
      <c r="AA567" s="66"/>
      <c r="AB567" s="66"/>
      <c r="AC567" s="66"/>
      <c r="AD567" s="66"/>
      <c r="AE567" s="66"/>
      <c r="AF567" s="66"/>
      <c r="AG567" s="66"/>
      <c r="AH567" s="66"/>
      <c r="AI567" s="66"/>
      <c r="AJ567" s="66"/>
      <c r="AK567" s="66"/>
      <c r="AL567" s="66"/>
      <c r="AM567" s="66"/>
      <c r="AN567" s="66"/>
      <c r="AO567" s="66"/>
    </row>
    <row r="568">
      <c r="A568" s="93"/>
      <c r="B568" s="85"/>
      <c r="C568" s="86"/>
      <c r="D568" s="93"/>
      <c r="E568" s="85"/>
      <c r="F568" s="85"/>
      <c r="G568" s="86"/>
      <c r="H568" s="78" t="str">
        <f>IFERROR(__xludf.DUMMYFUNCTION("""COMPUTED_VALUE"""),"")</f>
        <v/>
      </c>
      <c r="I568" s="85"/>
      <c r="J568" s="85"/>
      <c r="K568" s="85"/>
      <c r="L568" s="86" t="str">
        <f>IFERROR(__xludf.DUMMYFUNCTION("""COMPUTED_VALUE"""),"REJECT")</f>
        <v>REJECT</v>
      </c>
      <c r="M568" s="78" t="str">
        <f>IFERROR(__xludf.DUMMYFUNCTION("""COMPUTED_VALUE"""),"")</f>
        <v/>
      </c>
      <c r="N568" s="85"/>
      <c r="O568" s="85"/>
      <c r="P568" s="85"/>
      <c r="Q568" s="86" t="str">
        <f>IFERROR(__xludf.DUMMYFUNCTION("""COMPUTED_VALUE"""),"REJECT")</f>
        <v>REJECT</v>
      </c>
      <c r="R568" s="66"/>
      <c r="S568" s="66"/>
      <c r="T568" s="66"/>
      <c r="U568" s="66"/>
      <c r="V568" s="66"/>
      <c r="W568" s="66"/>
      <c r="X568" s="66"/>
      <c r="Y568" s="66"/>
      <c r="Z568" s="66"/>
      <c r="AA568" s="66"/>
      <c r="AB568" s="66"/>
      <c r="AC568" s="66"/>
      <c r="AD568" s="66"/>
      <c r="AE568" s="66"/>
      <c r="AF568" s="66"/>
      <c r="AG568" s="66"/>
      <c r="AH568" s="66"/>
      <c r="AI568" s="66"/>
      <c r="AJ568" s="66"/>
      <c r="AK568" s="66"/>
      <c r="AL568" s="66"/>
      <c r="AM568" s="66"/>
      <c r="AN568" s="66"/>
      <c r="AO568" s="66"/>
    </row>
    <row r="569">
      <c r="A569" s="93"/>
      <c r="B569" s="85"/>
      <c r="C569" s="86"/>
      <c r="D569" s="93"/>
      <c r="E569" s="85"/>
      <c r="F569" s="85"/>
      <c r="G569" s="86"/>
      <c r="H569" s="78" t="str">
        <f>IFERROR(__xludf.DUMMYFUNCTION("""COMPUTED_VALUE"""),"")</f>
        <v/>
      </c>
      <c r="I569" s="85"/>
      <c r="J569" s="85"/>
      <c r="K569" s="85"/>
      <c r="L569" s="86" t="str">
        <f>IFERROR(__xludf.DUMMYFUNCTION("""COMPUTED_VALUE"""),"REJECT")</f>
        <v>REJECT</v>
      </c>
      <c r="M569" s="78" t="str">
        <f>IFERROR(__xludf.DUMMYFUNCTION("""COMPUTED_VALUE"""),"")</f>
        <v/>
      </c>
      <c r="N569" s="85"/>
      <c r="O569" s="85"/>
      <c r="P569" s="85"/>
      <c r="Q569" s="86" t="str">
        <f>IFERROR(__xludf.DUMMYFUNCTION("""COMPUTED_VALUE"""),"REJECT")</f>
        <v>REJECT</v>
      </c>
      <c r="R569" s="66"/>
      <c r="S569" s="66"/>
      <c r="T569" s="66"/>
      <c r="U569" s="66"/>
      <c r="V569" s="66"/>
      <c r="W569" s="66"/>
      <c r="X569" s="66"/>
      <c r="Y569" s="66"/>
      <c r="Z569" s="66"/>
      <c r="AA569" s="66"/>
      <c r="AB569" s="66"/>
      <c r="AC569" s="66"/>
      <c r="AD569" s="66"/>
      <c r="AE569" s="66"/>
      <c r="AF569" s="66"/>
      <c r="AG569" s="66"/>
      <c r="AH569" s="66"/>
      <c r="AI569" s="66"/>
      <c r="AJ569" s="66"/>
      <c r="AK569" s="66"/>
      <c r="AL569" s="66"/>
      <c r="AM569" s="66"/>
      <c r="AN569" s="66"/>
      <c r="AO569" s="66"/>
    </row>
    <row r="570">
      <c r="A570" s="93"/>
      <c r="B570" s="85"/>
      <c r="C570" s="86"/>
      <c r="D570" s="93"/>
      <c r="E570" s="85"/>
      <c r="F570" s="85"/>
      <c r="G570" s="86"/>
      <c r="H570" s="78" t="str">
        <f>IFERROR(__xludf.DUMMYFUNCTION("""COMPUTED_VALUE"""),"")</f>
        <v/>
      </c>
      <c r="I570" s="85"/>
      <c r="J570" s="85"/>
      <c r="K570" s="85"/>
      <c r="L570" s="86" t="str">
        <f>IFERROR(__xludf.DUMMYFUNCTION("""COMPUTED_VALUE"""),"REJECT")</f>
        <v>REJECT</v>
      </c>
      <c r="M570" s="78" t="str">
        <f>IFERROR(__xludf.DUMMYFUNCTION("""COMPUTED_VALUE"""),"")</f>
        <v/>
      </c>
      <c r="N570" s="85"/>
      <c r="O570" s="85"/>
      <c r="P570" s="85"/>
      <c r="Q570" s="86" t="str">
        <f>IFERROR(__xludf.DUMMYFUNCTION("""COMPUTED_VALUE"""),"REJECT")</f>
        <v>REJECT</v>
      </c>
      <c r="R570" s="66"/>
      <c r="S570" s="66"/>
      <c r="T570" s="66"/>
      <c r="U570" s="66"/>
      <c r="V570" s="66"/>
      <c r="W570" s="66"/>
      <c r="X570" s="66"/>
      <c r="Y570" s="66"/>
      <c r="Z570" s="66"/>
      <c r="AA570" s="66"/>
      <c r="AB570" s="66"/>
      <c r="AC570" s="66"/>
      <c r="AD570" s="66"/>
      <c r="AE570" s="66"/>
      <c r="AF570" s="66"/>
      <c r="AG570" s="66"/>
      <c r="AH570" s="66"/>
      <c r="AI570" s="66"/>
      <c r="AJ570" s="66"/>
      <c r="AK570" s="66"/>
      <c r="AL570" s="66"/>
      <c r="AM570" s="66"/>
      <c r="AN570" s="66"/>
      <c r="AO570" s="66"/>
    </row>
    <row r="571">
      <c r="A571" s="93"/>
      <c r="B571" s="85"/>
      <c r="C571" s="86"/>
      <c r="D571" s="93"/>
      <c r="E571" s="85"/>
      <c r="F571" s="85"/>
      <c r="G571" s="86"/>
      <c r="H571" s="78" t="str">
        <f>IFERROR(__xludf.DUMMYFUNCTION("""COMPUTED_VALUE"""),"")</f>
        <v/>
      </c>
      <c r="I571" s="85"/>
      <c r="J571" s="85"/>
      <c r="K571" s="85"/>
      <c r="L571" s="86" t="str">
        <f>IFERROR(__xludf.DUMMYFUNCTION("""COMPUTED_VALUE"""),"REJECT")</f>
        <v>REJECT</v>
      </c>
      <c r="M571" s="78" t="str">
        <f>IFERROR(__xludf.DUMMYFUNCTION("""COMPUTED_VALUE"""),"")</f>
        <v/>
      </c>
      <c r="N571" s="85"/>
      <c r="O571" s="85"/>
      <c r="P571" s="85"/>
      <c r="Q571" s="86" t="str">
        <f>IFERROR(__xludf.DUMMYFUNCTION("""COMPUTED_VALUE"""),"REJECT")</f>
        <v>REJECT</v>
      </c>
      <c r="R571" s="66"/>
      <c r="S571" s="66"/>
      <c r="T571" s="66"/>
      <c r="U571" s="66"/>
      <c r="V571" s="66"/>
      <c r="W571" s="66"/>
      <c r="X571" s="66"/>
      <c r="Y571" s="66"/>
      <c r="Z571" s="66"/>
      <c r="AA571" s="66"/>
      <c r="AB571" s="66"/>
      <c r="AC571" s="66"/>
      <c r="AD571" s="66"/>
      <c r="AE571" s="66"/>
      <c r="AF571" s="66"/>
      <c r="AG571" s="66"/>
      <c r="AH571" s="66"/>
      <c r="AI571" s="66"/>
      <c r="AJ571" s="66"/>
      <c r="AK571" s="66"/>
      <c r="AL571" s="66"/>
      <c r="AM571" s="66"/>
      <c r="AN571" s="66"/>
      <c r="AO571" s="66"/>
    </row>
    <row r="572">
      <c r="A572" s="93"/>
      <c r="B572" s="85"/>
      <c r="C572" s="86"/>
      <c r="D572" s="93"/>
      <c r="E572" s="85"/>
      <c r="F572" s="85"/>
      <c r="G572" s="86"/>
      <c r="H572" s="78" t="str">
        <f>IFERROR(__xludf.DUMMYFUNCTION("""COMPUTED_VALUE"""),"")</f>
        <v/>
      </c>
      <c r="I572" s="85"/>
      <c r="J572" s="85"/>
      <c r="K572" s="85"/>
      <c r="L572" s="86" t="str">
        <f>IFERROR(__xludf.DUMMYFUNCTION("""COMPUTED_VALUE"""),"REJECT")</f>
        <v>REJECT</v>
      </c>
      <c r="M572" s="78" t="str">
        <f>IFERROR(__xludf.DUMMYFUNCTION("""COMPUTED_VALUE"""),"")</f>
        <v/>
      </c>
      <c r="N572" s="85"/>
      <c r="O572" s="85"/>
      <c r="P572" s="85"/>
      <c r="Q572" s="86" t="str">
        <f>IFERROR(__xludf.DUMMYFUNCTION("""COMPUTED_VALUE"""),"REJECT")</f>
        <v>REJECT</v>
      </c>
      <c r="R572" s="66"/>
      <c r="S572" s="66"/>
      <c r="T572" s="66"/>
      <c r="U572" s="66"/>
      <c r="V572" s="66"/>
      <c r="W572" s="66"/>
      <c r="X572" s="66"/>
      <c r="Y572" s="66"/>
      <c r="Z572" s="66"/>
      <c r="AA572" s="66"/>
      <c r="AB572" s="66"/>
      <c r="AC572" s="66"/>
      <c r="AD572" s="66"/>
      <c r="AE572" s="66"/>
      <c r="AF572" s="66"/>
      <c r="AG572" s="66"/>
      <c r="AH572" s="66"/>
      <c r="AI572" s="66"/>
      <c r="AJ572" s="66"/>
      <c r="AK572" s="66"/>
      <c r="AL572" s="66"/>
      <c r="AM572" s="66"/>
      <c r="AN572" s="66"/>
      <c r="AO572" s="66"/>
    </row>
    <row r="573">
      <c r="A573" s="93"/>
      <c r="B573" s="85"/>
      <c r="C573" s="86"/>
      <c r="D573" s="93"/>
      <c r="E573" s="85"/>
      <c r="F573" s="85"/>
      <c r="G573" s="86"/>
      <c r="H573" s="78" t="str">
        <f>IFERROR(__xludf.DUMMYFUNCTION("""COMPUTED_VALUE"""),"")</f>
        <v/>
      </c>
      <c r="I573" s="85"/>
      <c r="J573" s="85"/>
      <c r="K573" s="85"/>
      <c r="L573" s="86" t="str">
        <f>IFERROR(__xludf.DUMMYFUNCTION("""COMPUTED_VALUE"""),"REJECT")</f>
        <v>REJECT</v>
      </c>
      <c r="M573" s="78" t="str">
        <f>IFERROR(__xludf.DUMMYFUNCTION("""COMPUTED_VALUE"""),"")</f>
        <v/>
      </c>
      <c r="N573" s="85"/>
      <c r="O573" s="85"/>
      <c r="P573" s="85"/>
      <c r="Q573" s="86" t="str">
        <f>IFERROR(__xludf.DUMMYFUNCTION("""COMPUTED_VALUE"""),"REJECT")</f>
        <v>REJECT</v>
      </c>
      <c r="R573" s="66"/>
      <c r="S573" s="66"/>
      <c r="T573" s="66"/>
      <c r="U573" s="66"/>
      <c r="V573" s="66"/>
      <c r="W573" s="66"/>
      <c r="X573" s="66"/>
      <c r="Y573" s="66"/>
      <c r="Z573" s="66"/>
      <c r="AA573" s="66"/>
      <c r="AB573" s="66"/>
      <c r="AC573" s="66"/>
      <c r="AD573" s="66"/>
      <c r="AE573" s="66"/>
      <c r="AF573" s="66"/>
      <c r="AG573" s="66"/>
      <c r="AH573" s="66"/>
      <c r="AI573" s="66"/>
      <c r="AJ573" s="66"/>
      <c r="AK573" s="66"/>
      <c r="AL573" s="66"/>
      <c r="AM573" s="66"/>
      <c r="AN573" s="66"/>
      <c r="AO573" s="66"/>
    </row>
    <row r="574">
      <c r="A574" s="93"/>
      <c r="B574" s="85"/>
      <c r="C574" s="86"/>
      <c r="D574" s="93"/>
      <c r="E574" s="85"/>
      <c r="F574" s="85"/>
      <c r="G574" s="86"/>
      <c r="H574" s="78" t="str">
        <f>IFERROR(__xludf.DUMMYFUNCTION("""COMPUTED_VALUE"""),"")</f>
        <v/>
      </c>
      <c r="I574" s="85"/>
      <c r="J574" s="85"/>
      <c r="K574" s="85"/>
      <c r="L574" s="86" t="str">
        <f>IFERROR(__xludf.DUMMYFUNCTION("""COMPUTED_VALUE"""),"REJECT")</f>
        <v>REJECT</v>
      </c>
      <c r="M574" s="78" t="str">
        <f>IFERROR(__xludf.DUMMYFUNCTION("""COMPUTED_VALUE"""),"")</f>
        <v/>
      </c>
      <c r="N574" s="85"/>
      <c r="O574" s="85"/>
      <c r="P574" s="85"/>
      <c r="Q574" s="86" t="str">
        <f>IFERROR(__xludf.DUMMYFUNCTION("""COMPUTED_VALUE"""),"REJECT")</f>
        <v>REJECT</v>
      </c>
      <c r="R574" s="66"/>
      <c r="S574" s="66"/>
      <c r="T574" s="66"/>
      <c r="U574" s="66"/>
      <c r="V574" s="66"/>
      <c r="W574" s="66"/>
      <c r="X574" s="66"/>
      <c r="Y574" s="66"/>
      <c r="Z574" s="66"/>
      <c r="AA574" s="66"/>
      <c r="AB574" s="66"/>
      <c r="AC574" s="66"/>
      <c r="AD574" s="66"/>
      <c r="AE574" s="66"/>
      <c r="AF574" s="66"/>
      <c r="AG574" s="66"/>
      <c r="AH574" s="66"/>
      <c r="AI574" s="66"/>
      <c r="AJ574" s="66"/>
      <c r="AK574" s="66"/>
      <c r="AL574" s="66"/>
      <c r="AM574" s="66"/>
      <c r="AN574" s="66"/>
      <c r="AO574" s="66"/>
    </row>
    <row r="575">
      <c r="A575" s="93"/>
      <c r="B575" s="85"/>
      <c r="C575" s="86"/>
      <c r="D575" s="93"/>
      <c r="E575" s="85"/>
      <c r="F575" s="85"/>
      <c r="G575" s="86"/>
      <c r="H575" s="78" t="str">
        <f>IFERROR(__xludf.DUMMYFUNCTION("""COMPUTED_VALUE"""),"")</f>
        <v/>
      </c>
      <c r="I575" s="85"/>
      <c r="J575" s="85"/>
      <c r="K575" s="85"/>
      <c r="L575" s="86" t="str">
        <f>IFERROR(__xludf.DUMMYFUNCTION("""COMPUTED_VALUE"""),"REJECT")</f>
        <v>REJECT</v>
      </c>
      <c r="M575" s="78" t="str">
        <f>IFERROR(__xludf.DUMMYFUNCTION("""COMPUTED_VALUE"""),"")</f>
        <v/>
      </c>
      <c r="N575" s="85"/>
      <c r="O575" s="85"/>
      <c r="P575" s="85"/>
      <c r="Q575" s="86" t="str">
        <f>IFERROR(__xludf.DUMMYFUNCTION("""COMPUTED_VALUE"""),"REJECT")</f>
        <v>REJECT</v>
      </c>
      <c r="R575" s="66"/>
      <c r="S575" s="66"/>
      <c r="T575" s="66"/>
      <c r="U575" s="66"/>
      <c r="V575" s="66"/>
      <c r="W575" s="66"/>
      <c r="X575" s="66"/>
      <c r="Y575" s="66"/>
      <c r="Z575" s="66"/>
      <c r="AA575" s="66"/>
      <c r="AB575" s="66"/>
      <c r="AC575" s="66"/>
      <c r="AD575" s="66"/>
      <c r="AE575" s="66"/>
      <c r="AF575" s="66"/>
      <c r="AG575" s="66"/>
      <c r="AH575" s="66"/>
      <c r="AI575" s="66"/>
      <c r="AJ575" s="66"/>
      <c r="AK575" s="66"/>
      <c r="AL575" s="66"/>
      <c r="AM575" s="66"/>
      <c r="AN575" s="66"/>
      <c r="AO575" s="66"/>
    </row>
    <row r="576">
      <c r="A576" s="93"/>
      <c r="B576" s="85"/>
      <c r="C576" s="86"/>
      <c r="D576" s="93"/>
      <c r="E576" s="85"/>
      <c r="F576" s="85"/>
      <c r="G576" s="86"/>
      <c r="H576" s="78" t="str">
        <f>IFERROR(__xludf.DUMMYFUNCTION("""COMPUTED_VALUE"""),"")</f>
        <v/>
      </c>
      <c r="I576" s="85"/>
      <c r="J576" s="85"/>
      <c r="K576" s="85"/>
      <c r="L576" s="86" t="str">
        <f>IFERROR(__xludf.DUMMYFUNCTION("""COMPUTED_VALUE"""),"REJECT")</f>
        <v>REJECT</v>
      </c>
      <c r="M576" s="78" t="str">
        <f>IFERROR(__xludf.DUMMYFUNCTION("""COMPUTED_VALUE"""),"")</f>
        <v/>
      </c>
      <c r="N576" s="85"/>
      <c r="O576" s="85"/>
      <c r="P576" s="85"/>
      <c r="Q576" s="86" t="str">
        <f>IFERROR(__xludf.DUMMYFUNCTION("""COMPUTED_VALUE"""),"REJECT")</f>
        <v>REJECT</v>
      </c>
      <c r="R576" s="66"/>
      <c r="S576" s="66"/>
      <c r="T576" s="66"/>
      <c r="U576" s="66"/>
      <c r="V576" s="66"/>
      <c r="W576" s="66"/>
      <c r="X576" s="66"/>
      <c r="Y576" s="66"/>
      <c r="Z576" s="66"/>
      <c r="AA576" s="66"/>
      <c r="AB576" s="66"/>
      <c r="AC576" s="66"/>
      <c r="AD576" s="66"/>
      <c r="AE576" s="66"/>
      <c r="AF576" s="66"/>
      <c r="AG576" s="66"/>
      <c r="AH576" s="66"/>
      <c r="AI576" s="66"/>
      <c r="AJ576" s="66"/>
      <c r="AK576" s="66"/>
      <c r="AL576" s="66"/>
      <c r="AM576" s="66"/>
      <c r="AN576" s="66"/>
      <c r="AO576" s="66"/>
    </row>
    <row r="577">
      <c r="A577" s="93"/>
      <c r="B577" s="85"/>
      <c r="C577" s="86"/>
      <c r="D577" s="93"/>
      <c r="E577" s="85"/>
      <c r="F577" s="85"/>
      <c r="G577" s="86"/>
      <c r="H577" s="78" t="str">
        <f>IFERROR(__xludf.DUMMYFUNCTION("""COMPUTED_VALUE"""),"")</f>
        <v/>
      </c>
      <c r="I577" s="85"/>
      <c r="J577" s="85"/>
      <c r="K577" s="85"/>
      <c r="L577" s="86" t="str">
        <f>IFERROR(__xludf.DUMMYFUNCTION("""COMPUTED_VALUE"""),"REJECT")</f>
        <v>REJECT</v>
      </c>
      <c r="M577" s="78" t="str">
        <f>IFERROR(__xludf.DUMMYFUNCTION("""COMPUTED_VALUE"""),"")</f>
        <v/>
      </c>
      <c r="N577" s="85"/>
      <c r="O577" s="85"/>
      <c r="P577" s="85"/>
      <c r="Q577" s="86" t="str">
        <f>IFERROR(__xludf.DUMMYFUNCTION("""COMPUTED_VALUE"""),"REJECT")</f>
        <v>REJECT</v>
      </c>
      <c r="R577" s="66"/>
      <c r="S577" s="66"/>
      <c r="T577" s="66"/>
      <c r="U577" s="66"/>
      <c r="V577" s="66"/>
      <c r="W577" s="66"/>
      <c r="X577" s="66"/>
      <c r="Y577" s="66"/>
      <c r="Z577" s="66"/>
      <c r="AA577" s="66"/>
      <c r="AB577" s="66"/>
      <c r="AC577" s="66"/>
      <c r="AD577" s="66"/>
      <c r="AE577" s="66"/>
      <c r="AF577" s="66"/>
      <c r="AG577" s="66"/>
      <c r="AH577" s="66"/>
      <c r="AI577" s="66"/>
      <c r="AJ577" s="66"/>
      <c r="AK577" s="66"/>
      <c r="AL577" s="66"/>
      <c r="AM577" s="66"/>
      <c r="AN577" s="66"/>
      <c r="AO577" s="66"/>
    </row>
    <row r="578">
      <c r="A578" s="93"/>
      <c r="B578" s="85"/>
      <c r="C578" s="86"/>
      <c r="D578" s="93"/>
      <c r="E578" s="85"/>
      <c r="F578" s="85"/>
      <c r="G578" s="86"/>
      <c r="H578" s="78" t="str">
        <f>IFERROR(__xludf.DUMMYFUNCTION("""COMPUTED_VALUE"""),"")</f>
        <v/>
      </c>
      <c r="I578" s="85"/>
      <c r="J578" s="85"/>
      <c r="K578" s="85"/>
      <c r="L578" s="86" t="str">
        <f>IFERROR(__xludf.DUMMYFUNCTION("""COMPUTED_VALUE"""),"REJECT")</f>
        <v>REJECT</v>
      </c>
      <c r="M578" s="78" t="str">
        <f>IFERROR(__xludf.DUMMYFUNCTION("""COMPUTED_VALUE"""),"")</f>
        <v/>
      </c>
      <c r="N578" s="85"/>
      <c r="O578" s="85"/>
      <c r="P578" s="85"/>
      <c r="Q578" s="86" t="str">
        <f>IFERROR(__xludf.DUMMYFUNCTION("""COMPUTED_VALUE"""),"REJECT")</f>
        <v>REJECT</v>
      </c>
      <c r="R578" s="66"/>
      <c r="S578" s="66"/>
      <c r="T578" s="66"/>
      <c r="U578" s="66"/>
      <c r="V578" s="66"/>
      <c r="W578" s="66"/>
      <c r="X578" s="66"/>
      <c r="Y578" s="66"/>
      <c r="Z578" s="66"/>
      <c r="AA578" s="66"/>
      <c r="AB578" s="66"/>
      <c r="AC578" s="66"/>
      <c r="AD578" s="66"/>
      <c r="AE578" s="66"/>
      <c r="AF578" s="66"/>
      <c r="AG578" s="66"/>
      <c r="AH578" s="66"/>
      <c r="AI578" s="66"/>
      <c r="AJ578" s="66"/>
      <c r="AK578" s="66"/>
      <c r="AL578" s="66"/>
      <c r="AM578" s="66"/>
      <c r="AN578" s="66"/>
      <c r="AO578" s="66"/>
    </row>
    <row r="579">
      <c r="A579" s="93"/>
      <c r="B579" s="85"/>
      <c r="C579" s="86"/>
      <c r="D579" s="93"/>
      <c r="E579" s="85"/>
      <c r="F579" s="85"/>
      <c r="G579" s="86"/>
      <c r="H579" s="78" t="str">
        <f>IFERROR(__xludf.DUMMYFUNCTION("""COMPUTED_VALUE"""),"")</f>
        <v/>
      </c>
      <c r="I579" s="85"/>
      <c r="J579" s="85"/>
      <c r="K579" s="85"/>
      <c r="L579" s="86" t="str">
        <f>IFERROR(__xludf.DUMMYFUNCTION("""COMPUTED_VALUE"""),"REJECT")</f>
        <v>REJECT</v>
      </c>
      <c r="M579" s="78" t="str">
        <f>IFERROR(__xludf.DUMMYFUNCTION("""COMPUTED_VALUE"""),"")</f>
        <v/>
      </c>
      <c r="N579" s="85"/>
      <c r="O579" s="85"/>
      <c r="P579" s="85"/>
      <c r="Q579" s="86" t="str">
        <f>IFERROR(__xludf.DUMMYFUNCTION("""COMPUTED_VALUE"""),"REJECT")</f>
        <v>REJECT</v>
      </c>
      <c r="R579" s="66"/>
      <c r="S579" s="66"/>
      <c r="T579" s="66"/>
      <c r="U579" s="66"/>
      <c r="V579" s="66"/>
      <c r="W579" s="66"/>
      <c r="X579" s="66"/>
      <c r="Y579" s="66"/>
      <c r="Z579" s="66"/>
      <c r="AA579" s="66"/>
      <c r="AB579" s="66"/>
      <c r="AC579" s="66"/>
      <c r="AD579" s="66"/>
      <c r="AE579" s="66"/>
      <c r="AF579" s="66"/>
      <c r="AG579" s="66"/>
      <c r="AH579" s="66"/>
      <c r="AI579" s="66"/>
      <c r="AJ579" s="66"/>
      <c r="AK579" s="66"/>
      <c r="AL579" s="66"/>
      <c r="AM579" s="66"/>
      <c r="AN579" s="66"/>
      <c r="AO579" s="66"/>
    </row>
    <row r="580">
      <c r="A580" s="93"/>
      <c r="B580" s="85"/>
      <c r="C580" s="86"/>
      <c r="D580" s="93"/>
      <c r="E580" s="85"/>
      <c r="F580" s="85"/>
      <c r="G580" s="86"/>
      <c r="H580" s="78" t="str">
        <f>IFERROR(__xludf.DUMMYFUNCTION("""COMPUTED_VALUE"""),"")</f>
        <v/>
      </c>
      <c r="I580" s="85"/>
      <c r="J580" s="85"/>
      <c r="K580" s="85"/>
      <c r="L580" s="86" t="str">
        <f>IFERROR(__xludf.DUMMYFUNCTION("""COMPUTED_VALUE"""),"REJECT")</f>
        <v>REJECT</v>
      </c>
      <c r="M580" s="78" t="str">
        <f>IFERROR(__xludf.DUMMYFUNCTION("""COMPUTED_VALUE"""),"")</f>
        <v/>
      </c>
      <c r="N580" s="85"/>
      <c r="O580" s="85"/>
      <c r="P580" s="85"/>
      <c r="Q580" s="86" t="str">
        <f>IFERROR(__xludf.DUMMYFUNCTION("""COMPUTED_VALUE"""),"REJECT")</f>
        <v>REJECT</v>
      </c>
      <c r="R580" s="66"/>
      <c r="S580" s="66"/>
      <c r="T580" s="66"/>
      <c r="U580" s="66"/>
      <c r="V580" s="66"/>
      <c r="W580" s="66"/>
      <c r="X580" s="66"/>
      <c r="Y580" s="66"/>
      <c r="Z580" s="66"/>
      <c r="AA580" s="66"/>
      <c r="AB580" s="66"/>
      <c r="AC580" s="66"/>
      <c r="AD580" s="66"/>
      <c r="AE580" s="66"/>
      <c r="AF580" s="66"/>
      <c r="AG580" s="66"/>
      <c r="AH580" s="66"/>
      <c r="AI580" s="66"/>
      <c r="AJ580" s="66"/>
      <c r="AK580" s="66"/>
      <c r="AL580" s="66"/>
      <c r="AM580" s="66"/>
      <c r="AN580" s="66"/>
      <c r="AO580" s="66"/>
    </row>
    <row r="581">
      <c r="A581" s="93"/>
      <c r="B581" s="85"/>
      <c r="C581" s="86"/>
      <c r="D581" s="93"/>
      <c r="E581" s="85"/>
      <c r="F581" s="85"/>
      <c r="G581" s="86"/>
      <c r="H581" s="78" t="str">
        <f>IFERROR(__xludf.DUMMYFUNCTION("""COMPUTED_VALUE"""),"")</f>
        <v/>
      </c>
      <c r="I581" s="85"/>
      <c r="J581" s="85"/>
      <c r="K581" s="85"/>
      <c r="L581" s="86" t="str">
        <f>IFERROR(__xludf.DUMMYFUNCTION("""COMPUTED_VALUE"""),"REJECT")</f>
        <v>REJECT</v>
      </c>
      <c r="M581" s="78" t="str">
        <f>IFERROR(__xludf.DUMMYFUNCTION("""COMPUTED_VALUE"""),"")</f>
        <v/>
      </c>
      <c r="N581" s="85"/>
      <c r="O581" s="85"/>
      <c r="P581" s="85"/>
      <c r="Q581" s="86" t="str">
        <f>IFERROR(__xludf.DUMMYFUNCTION("""COMPUTED_VALUE"""),"REJECT")</f>
        <v>REJECT</v>
      </c>
      <c r="R581" s="66"/>
      <c r="S581" s="66"/>
      <c r="T581" s="66"/>
      <c r="U581" s="66"/>
      <c r="V581" s="66"/>
      <c r="W581" s="66"/>
      <c r="X581" s="66"/>
      <c r="Y581" s="66"/>
      <c r="Z581" s="66"/>
      <c r="AA581" s="66"/>
      <c r="AB581" s="66"/>
      <c r="AC581" s="66"/>
      <c r="AD581" s="66"/>
      <c r="AE581" s="66"/>
      <c r="AF581" s="66"/>
      <c r="AG581" s="66"/>
      <c r="AH581" s="66"/>
      <c r="AI581" s="66"/>
      <c r="AJ581" s="66"/>
      <c r="AK581" s="66"/>
      <c r="AL581" s="66"/>
      <c r="AM581" s="66"/>
      <c r="AN581" s="66"/>
      <c r="AO581" s="66"/>
    </row>
    <row r="582">
      <c r="A582" s="93"/>
      <c r="B582" s="85"/>
      <c r="C582" s="86"/>
      <c r="D582" s="93"/>
      <c r="E582" s="85"/>
      <c r="F582" s="85"/>
      <c r="G582" s="86"/>
      <c r="H582" s="78" t="str">
        <f>IFERROR(__xludf.DUMMYFUNCTION("""COMPUTED_VALUE"""),"")</f>
        <v/>
      </c>
      <c r="I582" s="85"/>
      <c r="J582" s="85"/>
      <c r="K582" s="85"/>
      <c r="L582" s="86" t="str">
        <f>IFERROR(__xludf.DUMMYFUNCTION("""COMPUTED_VALUE"""),"REJECT")</f>
        <v>REJECT</v>
      </c>
      <c r="M582" s="78" t="str">
        <f>IFERROR(__xludf.DUMMYFUNCTION("""COMPUTED_VALUE"""),"")</f>
        <v/>
      </c>
      <c r="N582" s="85"/>
      <c r="O582" s="85"/>
      <c r="P582" s="85"/>
      <c r="Q582" s="86" t="str">
        <f>IFERROR(__xludf.DUMMYFUNCTION("""COMPUTED_VALUE"""),"REJECT")</f>
        <v>REJECT</v>
      </c>
      <c r="R582" s="66"/>
      <c r="S582" s="66"/>
      <c r="T582" s="66"/>
      <c r="U582" s="66"/>
      <c r="V582" s="66"/>
      <c r="W582" s="66"/>
      <c r="X582" s="66"/>
      <c r="Y582" s="66"/>
      <c r="Z582" s="66"/>
      <c r="AA582" s="66"/>
      <c r="AB582" s="66"/>
      <c r="AC582" s="66"/>
      <c r="AD582" s="66"/>
      <c r="AE582" s="66"/>
      <c r="AF582" s="66"/>
      <c r="AG582" s="66"/>
      <c r="AH582" s="66"/>
      <c r="AI582" s="66"/>
      <c r="AJ582" s="66"/>
      <c r="AK582" s="66"/>
      <c r="AL582" s="66"/>
      <c r="AM582" s="66"/>
      <c r="AN582" s="66"/>
      <c r="AO582" s="66"/>
    </row>
    <row r="583">
      <c r="A583" s="93"/>
      <c r="B583" s="85"/>
      <c r="C583" s="86"/>
      <c r="D583" s="93"/>
      <c r="E583" s="85"/>
      <c r="F583" s="85"/>
      <c r="G583" s="86"/>
      <c r="H583" s="78" t="str">
        <f>IFERROR(__xludf.DUMMYFUNCTION("""COMPUTED_VALUE"""),"")</f>
        <v/>
      </c>
      <c r="I583" s="85"/>
      <c r="J583" s="85"/>
      <c r="K583" s="85"/>
      <c r="L583" s="86" t="str">
        <f>IFERROR(__xludf.DUMMYFUNCTION("""COMPUTED_VALUE"""),"REJECT")</f>
        <v>REJECT</v>
      </c>
      <c r="M583" s="78" t="str">
        <f>IFERROR(__xludf.DUMMYFUNCTION("""COMPUTED_VALUE"""),"")</f>
        <v/>
      </c>
      <c r="N583" s="85"/>
      <c r="O583" s="85"/>
      <c r="P583" s="85"/>
      <c r="Q583" s="86" t="str">
        <f>IFERROR(__xludf.DUMMYFUNCTION("""COMPUTED_VALUE"""),"REJECT")</f>
        <v>REJECT</v>
      </c>
      <c r="R583" s="66"/>
      <c r="S583" s="66"/>
      <c r="T583" s="66"/>
      <c r="U583" s="66"/>
      <c r="V583" s="66"/>
      <c r="W583" s="66"/>
      <c r="X583" s="66"/>
      <c r="Y583" s="66"/>
      <c r="Z583" s="66"/>
      <c r="AA583" s="66"/>
      <c r="AB583" s="66"/>
      <c r="AC583" s="66"/>
      <c r="AD583" s="66"/>
      <c r="AE583" s="66"/>
      <c r="AF583" s="66"/>
      <c r="AG583" s="66"/>
      <c r="AH583" s="66"/>
      <c r="AI583" s="66"/>
      <c r="AJ583" s="66"/>
      <c r="AK583" s="66"/>
      <c r="AL583" s="66"/>
      <c r="AM583" s="66"/>
      <c r="AN583" s="66"/>
      <c r="AO583" s="66"/>
    </row>
    <row r="584">
      <c r="A584" s="93"/>
      <c r="B584" s="85"/>
      <c r="C584" s="86"/>
      <c r="D584" s="93"/>
      <c r="E584" s="85"/>
      <c r="F584" s="85"/>
      <c r="G584" s="86"/>
      <c r="H584" s="78" t="str">
        <f>IFERROR(__xludf.DUMMYFUNCTION("""COMPUTED_VALUE"""),"")</f>
        <v/>
      </c>
      <c r="I584" s="85"/>
      <c r="J584" s="85"/>
      <c r="K584" s="85"/>
      <c r="L584" s="86" t="str">
        <f>IFERROR(__xludf.DUMMYFUNCTION("""COMPUTED_VALUE"""),"REJECT")</f>
        <v>REJECT</v>
      </c>
      <c r="M584" s="78" t="str">
        <f>IFERROR(__xludf.DUMMYFUNCTION("""COMPUTED_VALUE"""),"")</f>
        <v/>
      </c>
      <c r="N584" s="85"/>
      <c r="O584" s="85"/>
      <c r="P584" s="85"/>
      <c r="Q584" s="86" t="str">
        <f>IFERROR(__xludf.DUMMYFUNCTION("""COMPUTED_VALUE"""),"REJECT")</f>
        <v>REJECT</v>
      </c>
      <c r="R584" s="66"/>
      <c r="S584" s="66"/>
      <c r="T584" s="66"/>
      <c r="U584" s="66"/>
      <c r="V584" s="66"/>
      <c r="W584" s="66"/>
      <c r="X584" s="66"/>
      <c r="Y584" s="66"/>
      <c r="Z584" s="66"/>
      <c r="AA584" s="66"/>
      <c r="AB584" s="66"/>
      <c r="AC584" s="66"/>
      <c r="AD584" s="66"/>
      <c r="AE584" s="66"/>
      <c r="AF584" s="66"/>
      <c r="AG584" s="66"/>
      <c r="AH584" s="66"/>
      <c r="AI584" s="66"/>
      <c r="AJ584" s="66"/>
      <c r="AK584" s="66"/>
      <c r="AL584" s="66"/>
      <c r="AM584" s="66"/>
      <c r="AN584" s="66"/>
      <c r="AO584" s="66"/>
    </row>
    <row r="585">
      <c r="A585" s="93"/>
      <c r="B585" s="85"/>
      <c r="C585" s="86"/>
      <c r="D585" s="93"/>
      <c r="E585" s="85"/>
      <c r="F585" s="85"/>
      <c r="G585" s="86"/>
      <c r="H585" s="78" t="str">
        <f>IFERROR(__xludf.DUMMYFUNCTION("""COMPUTED_VALUE"""),"")</f>
        <v/>
      </c>
      <c r="I585" s="85"/>
      <c r="J585" s="85"/>
      <c r="K585" s="85"/>
      <c r="L585" s="86" t="str">
        <f>IFERROR(__xludf.DUMMYFUNCTION("""COMPUTED_VALUE"""),"REJECT")</f>
        <v>REJECT</v>
      </c>
      <c r="M585" s="78" t="str">
        <f>IFERROR(__xludf.DUMMYFUNCTION("""COMPUTED_VALUE"""),"")</f>
        <v/>
      </c>
      <c r="N585" s="85"/>
      <c r="O585" s="85"/>
      <c r="P585" s="85"/>
      <c r="Q585" s="86" t="str">
        <f>IFERROR(__xludf.DUMMYFUNCTION("""COMPUTED_VALUE"""),"REJECT")</f>
        <v>REJECT</v>
      </c>
      <c r="R585" s="66"/>
      <c r="S585" s="66"/>
      <c r="T585" s="66"/>
      <c r="U585" s="66"/>
      <c r="V585" s="66"/>
      <c r="W585" s="66"/>
      <c r="X585" s="66"/>
      <c r="Y585" s="66"/>
      <c r="Z585" s="66"/>
      <c r="AA585" s="66"/>
      <c r="AB585" s="66"/>
      <c r="AC585" s="66"/>
      <c r="AD585" s="66"/>
      <c r="AE585" s="66"/>
      <c r="AF585" s="66"/>
      <c r="AG585" s="66"/>
      <c r="AH585" s="66"/>
      <c r="AI585" s="66"/>
      <c r="AJ585" s="66"/>
      <c r="AK585" s="66"/>
      <c r="AL585" s="66"/>
      <c r="AM585" s="66"/>
      <c r="AN585" s="66"/>
      <c r="AO585" s="66"/>
    </row>
    <row r="586">
      <c r="A586" s="93"/>
      <c r="B586" s="85"/>
      <c r="C586" s="86"/>
      <c r="D586" s="93"/>
      <c r="E586" s="85"/>
      <c r="F586" s="85"/>
      <c r="G586" s="86"/>
      <c r="H586" s="78" t="str">
        <f>IFERROR(__xludf.DUMMYFUNCTION("""COMPUTED_VALUE"""),"")</f>
        <v/>
      </c>
      <c r="I586" s="85"/>
      <c r="J586" s="85"/>
      <c r="K586" s="85"/>
      <c r="L586" s="86" t="str">
        <f>IFERROR(__xludf.DUMMYFUNCTION("""COMPUTED_VALUE"""),"REJECT")</f>
        <v>REJECT</v>
      </c>
      <c r="M586" s="78" t="str">
        <f>IFERROR(__xludf.DUMMYFUNCTION("""COMPUTED_VALUE"""),"")</f>
        <v/>
      </c>
      <c r="N586" s="85"/>
      <c r="O586" s="85"/>
      <c r="P586" s="85"/>
      <c r="Q586" s="86" t="str">
        <f>IFERROR(__xludf.DUMMYFUNCTION("""COMPUTED_VALUE"""),"REJECT")</f>
        <v>REJECT</v>
      </c>
      <c r="R586" s="66"/>
      <c r="S586" s="66"/>
      <c r="T586" s="66"/>
      <c r="U586" s="66"/>
      <c r="V586" s="66"/>
      <c r="W586" s="66"/>
      <c r="X586" s="66"/>
      <c r="Y586" s="66"/>
      <c r="Z586" s="66"/>
      <c r="AA586" s="66"/>
      <c r="AB586" s="66"/>
      <c r="AC586" s="66"/>
      <c r="AD586" s="66"/>
      <c r="AE586" s="66"/>
      <c r="AF586" s="66"/>
      <c r="AG586" s="66"/>
      <c r="AH586" s="66"/>
      <c r="AI586" s="66"/>
      <c r="AJ586" s="66"/>
      <c r="AK586" s="66"/>
      <c r="AL586" s="66"/>
      <c r="AM586" s="66"/>
      <c r="AN586" s="66"/>
      <c r="AO586" s="66"/>
    </row>
    <row r="587">
      <c r="A587" s="93"/>
      <c r="B587" s="85"/>
      <c r="C587" s="86"/>
      <c r="D587" s="93"/>
      <c r="E587" s="85"/>
      <c r="F587" s="85"/>
      <c r="G587" s="86"/>
      <c r="H587" s="78" t="str">
        <f>IFERROR(__xludf.DUMMYFUNCTION("""COMPUTED_VALUE"""),"")</f>
        <v/>
      </c>
      <c r="I587" s="85"/>
      <c r="J587" s="85"/>
      <c r="K587" s="85"/>
      <c r="L587" s="86" t="str">
        <f>IFERROR(__xludf.DUMMYFUNCTION("""COMPUTED_VALUE"""),"REJECT")</f>
        <v>REJECT</v>
      </c>
      <c r="M587" s="78" t="str">
        <f>IFERROR(__xludf.DUMMYFUNCTION("""COMPUTED_VALUE"""),"")</f>
        <v/>
      </c>
      <c r="N587" s="85"/>
      <c r="O587" s="85"/>
      <c r="P587" s="85"/>
      <c r="Q587" s="86" t="str">
        <f>IFERROR(__xludf.DUMMYFUNCTION("""COMPUTED_VALUE"""),"REJECT")</f>
        <v>REJECT</v>
      </c>
      <c r="R587" s="66"/>
      <c r="S587" s="66"/>
      <c r="T587" s="66"/>
      <c r="U587" s="66"/>
      <c r="V587" s="66"/>
      <c r="W587" s="66"/>
      <c r="X587" s="66"/>
      <c r="Y587" s="66"/>
      <c r="Z587" s="66"/>
      <c r="AA587" s="66"/>
      <c r="AB587" s="66"/>
      <c r="AC587" s="66"/>
      <c r="AD587" s="66"/>
      <c r="AE587" s="66"/>
      <c r="AF587" s="66"/>
      <c r="AG587" s="66"/>
      <c r="AH587" s="66"/>
      <c r="AI587" s="66"/>
      <c r="AJ587" s="66"/>
      <c r="AK587" s="66"/>
      <c r="AL587" s="66"/>
      <c r="AM587" s="66"/>
      <c r="AN587" s="66"/>
      <c r="AO587" s="66"/>
    </row>
    <row r="588">
      <c r="A588" s="93"/>
      <c r="B588" s="85"/>
      <c r="C588" s="86"/>
      <c r="D588" s="93"/>
      <c r="E588" s="85"/>
      <c r="F588" s="85"/>
      <c r="G588" s="86"/>
      <c r="H588" s="78" t="str">
        <f>IFERROR(__xludf.DUMMYFUNCTION("""COMPUTED_VALUE"""),"")</f>
        <v/>
      </c>
      <c r="I588" s="85"/>
      <c r="J588" s="85"/>
      <c r="K588" s="85"/>
      <c r="L588" s="86" t="str">
        <f>IFERROR(__xludf.DUMMYFUNCTION("""COMPUTED_VALUE"""),"REJECT")</f>
        <v>REJECT</v>
      </c>
      <c r="M588" s="78" t="str">
        <f>IFERROR(__xludf.DUMMYFUNCTION("""COMPUTED_VALUE"""),"")</f>
        <v/>
      </c>
      <c r="N588" s="85"/>
      <c r="O588" s="85"/>
      <c r="P588" s="85"/>
      <c r="Q588" s="86" t="str">
        <f>IFERROR(__xludf.DUMMYFUNCTION("""COMPUTED_VALUE"""),"REJECT")</f>
        <v>REJECT</v>
      </c>
      <c r="R588" s="66"/>
      <c r="S588" s="66"/>
      <c r="T588" s="66"/>
      <c r="U588" s="66"/>
      <c r="V588" s="66"/>
      <c r="W588" s="66"/>
      <c r="X588" s="66"/>
      <c r="Y588" s="66"/>
      <c r="Z588" s="66"/>
      <c r="AA588" s="66"/>
      <c r="AB588" s="66"/>
      <c r="AC588" s="66"/>
      <c r="AD588" s="66"/>
      <c r="AE588" s="66"/>
      <c r="AF588" s="66"/>
      <c r="AG588" s="66"/>
      <c r="AH588" s="66"/>
      <c r="AI588" s="66"/>
      <c r="AJ588" s="66"/>
      <c r="AK588" s="66"/>
      <c r="AL588" s="66"/>
      <c r="AM588" s="66"/>
      <c r="AN588" s="66"/>
      <c r="AO588" s="66"/>
    </row>
    <row r="589">
      <c r="A589" s="93"/>
      <c r="B589" s="85"/>
      <c r="C589" s="86"/>
      <c r="D589" s="93"/>
      <c r="E589" s="85"/>
      <c r="F589" s="85"/>
      <c r="G589" s="86"/>
      <c r="H589" s="78" t="str">
        <f>IFERROR(__xludf.DUMMYFUNCTION("""COMPUTED_VALUE"""),"")</f>
        <v/>
      </c>
      <c r="I589" s="85"/>
      <c r="J589" s="85"/>
      <c r="K589" s="85"/>
      <c r="L589" s="86" t="str">
        <f>IFERROR(__xludf.DUMMYFUNCTION("""COMPUTED_VALUE"""),"REJECT")</f>
        <v>REJECT</v>
      </c>
      <c r="M589" s="78" t="str">
        <f>IFERROR(__xludf.DUMMYFUNCTION("""COMPUTED_VALUE"""),"")</f>
        <v/>
      </c>
      <c r="N589" s="85"/>
      <c r="O589" s="85"/>
      <c r="P589" s="85"/>
      <c r="Q589" s="86" t="str">
        <f>IFERROR(__xludf.DUMMYFUNCTION("""COMPUTED_VALUE"""),"REJECT")</f>
        <v>REJECT</v>
      </c>
      <c r="R589" s="66"/>
      <c r="S589" s="66"/>
      <c r="T589" s="66"/>
      <c r="U589" s="66"/>
      <c r="V589" s="66"/>
      <c r="W589" s="66"/>
      <c r="X589" s="66"/>
      <c r="Y589" s="66"/>
      <c r="Z589" s="66"/>
      <c r="AA589" s="66"/>
      <c r="AB589" s="66"/>
      <c r="AC589" s="66"/>
      <c r="AD589" s="66"/>
      <c r="AE589" s="66"/>
      <c r="AF589" s="66"/>
      <c r="AG589" s="66"/>
      <c r="AH589" s="66"/>
      <c r="AI589" s="66"/>
      <c r="AJ589" s="66"/>
      <c r="AK589" s="66"/>
      <c r="AL589" s="66"/>
      <c r="AM589" s="66"/>
      <c r="AN589" s="66"/>
      <c r="AO589" s="66"/>
    </row>
    <row r="590">
      <c r="A590" s="93"/>
      <c r="B590" s="85"/>
      <c r="C590" s="86"/>
      <c r="D590" s="93"/>
      <c r="E590" s="85"/>
      <c r="F590" s="85"/>
      <c r="G590" s="86"/>
      <c r="H590" s="78" t="str">
        <f>IFERROR(__xludf.DUMMYFUNCTION("""COMPUTED_VALUE"""),"")</f>
        <v/>
      </c>
      <c r="I590" s="85"/>
      <c r="J590" s="85"/>
      <c r="K590" s="85"/>
      <c r="L590" s="86" t="str">
        <f>IFERROR(__xludf.DUMMYFUNCTION("""COMPUTED_VALUE"""),"REJECT")</f>
        <v>REJECT</v>
      </c>
      <c r="M590" s="78" t="str">
        <f>IFERROR(__xludf.DUMMYFUNCTION("""COMPUTED_VALUE"""),"")</f>
        <v/>
      </c>
      <c r="N590" s="85"/>
      <c r="O590" s="85"/>
      <c r="P590" s="85"/>
      <c r="Q590" s="86" t="str">
        <f>IFERROR(__xludf.DUMMYFUNCTION("""COMPUTED_VALUE"""),"REJECT")</f>
        <v>REJECT</v>
      </c>
      <c r="R590" s="66"/>
      <c r="S590" s="66"/>
      <c r="T590" s="66"/>
      <c r="U590" s="66"/>
      <c r="V590" s="66"/>
      <c r="W590" s="66"/>
      <c r="X590" s="66"/>
      <c r="Y590" s="66"/>
      <c r="Z590" s="66"/>
      <c r="AA590" s="66"/>
      <c r="AB590" s="66"/>
      <c r="AC590" s="66"/>
      <c r="AD590" s="66"/>
      <c r="AE590" s="66"/>
      <c r="AF590" s="66"/>
      <c r="AG590" s="66"/>
      <c r="AH590" s="66"/>
      <c r="AI590" s="66"/>
      <c r="AJ590" s="66"/>
      <c r="AK590" s="66"/>
      <c r="AL590" s="66"/>
      <c r="AM590" s="66"/>
      <c r="AN590" s="66"/>
      <c r="AO590" s="66"/>
    </row>
    <row r="591">
      <c r="A591" s="93"/>
      <c r="B591" s="85"/>
      <c r="C591" s="86"/>
      <c r="D591" s="93"/>
      <c r="E591" s="85"/>
      <c r="F591" s="85"/>
      <c r="G591" s="86"/>
      <c r="H591" s="78" t="str">
        <f>IFERROR(__xludf.DUMMYFUNCTION("""COMPUTED_VALUE"""),"")</f>
        <v/>
      </c>
      <c r="I591" s="85"/>
      <c r="J591" s="85"/>
      <c r="K591" s="85"/>
      <c r="L591" s="86" t="str">
        <f>IFERROR(__xludf.DUMMYFUNCTION("""COMPUTED_VALUE"""),"REJECT")</f>
        <v>REJECT</v>
      </c>
      <c r="M591" s="78" t="str">
        <f>IFERROR(__xludf.DUMMYFUNCTION("""COMPUTED_VALUE"""),"")</f>
        <v/>
      </c>
      <c r="N591" s="85"/>
      <c r="O591" s="85"/>
      <c r="P591" s="85"/>
      <c r="Q591" s="86" t="str">
        <f>IFERROR(__xludf.DUMMYFUNCTION("""COMPUTED_VALUE"""),"REJECT")</f>
        <v>REJECT</v>
      </c>
      <c r="R591" s="66"/>
      <c r="S591" s="66"/>
      <c r="T591" s="66"/>
      <c r="U591" s="66"/>
      <c r="V591" s="66"/>
      <c r="W591" s="66"/>
      <c r="X591" s="66"/>
      <c r="Y591" s="66"/>
      <c r="Z591" s="66"/>
      <c r="AA591" s="66"/>
      <c r="AB591" s="66"/>
      <c r="AC591" s="66"/>
      <c r="AD591" s="66"/>
      <c r="AE591" s="66"/>
      <c r="AF591" s="66"/>
      <c r="AG591" s="66"/>
      <c r="AH591" s="66"/>
      <c r="AI591" s="66"/>
      <c r="AJ591" s="66"/>
      <c r="AK591" s="66"/>
      <c r="AL591" s="66"/>
      <c r="AM591" s="66"/>
      <c r="AN591" s="66"/>
      <c r="AO591" s="66"/>
    </row>
    <row r="592">
      <c r="A592" s="93"/>
      <c r="B592" s="85"/>
      <c r="C592" s="86"/>
      <c r="D592" s="93"/>
      <c r="E592" s="85"/>
      <c r="F592" s="85"/>
      <c r="G592" s="86"/>
      <c r="H592" s="78" t="str">
        <f>IFERROR(__xludf.DUMMYFUNCTION("""COMPUTED_VALUE"""),"")</f>
        <v/>
      </c>
      <c r="I592" s="85"/>
      <c r="J592" s="85"/>
      <c r="K592" s="85"/>
      <c r="L592" s="86" t="str">
        <f>IFERROR(__xludf.DUMMYFUNCTION("""COMPUTED_VALUE"""),"REJECT")</f>
        <v>REJECT</v>
      </c>
      <c r="M592" s="78" t="str">
        <f>IFERROR(__xludf.DUMMYFUNCTION("""COMPUTED_VALUE"""),"")</f>
        <v/>
      </c>
      <c r="N592" s="85"/>
      <c r="O592" s="85"/>
      <c r="P592" s="85"/>
      <c r="Q592" s="86" t="str">
        <f>IFERROR(__xludf.DUMMYFUNCTION("""COMPUTED_VALUE"""),"REJECT")</f>
        <v>REJECT</v>
      </c>
      <c r="R592" s="66"/>
      <c r="S592" s="66"/>
      <c r="T592" s="66"/>
      <c r="U592" s="66"/>
      <c r="V592" s="66"/>
      <c r="W592" s="66"/>
      <c r="X592" s="66"/>
      <c r="Y592" s="66"/>
      <c r="Z592" s="66"/>
      <c r="AA592" s="66"/>
      <c r="AB592" s="66"/>
      <c r="AC592" s="66"/>
      <c r="AD592" s="66"/>
      <c r="AE592" s="66"/>
      <c r="AF592" s="66"/>
      <c r="AG592" s="66"/>
      <c r="AH592" s="66"/>
      <c r="AI592" s="66"/>
      <c r="AJ592" s="66"/>
      <c r="AK592" s="66"/>
      <c r="AL592" s="66"/>
      <c r="AM592" s="66"/>
      <c r="AN592" s="66"/>
      <c r="AO592" s="66"/>
    </row>
    <row r="593">
      <c r="A593" s="93"/>
      <c r="B593" s="85"/>
      <c r="C593" s="86"/>
      <c r="D593" s="93"/>
      <c r="E593" s="85"/>
      <c r="F593" s="85"/>
      <c r="G593" s="86"/>
      <c r="H593" s="78" t="str">
        <f>IFERROR(__xludf.DUMMYFUNCTION("""COMPUTED_VALUE"""),"")</f>
        <v/>
      </c>
      <c r="I593" s="85"/>
      <c r="J593" s="85"/>
      <c r="K593" s="85"/>
      <c r="L593" s="86" t="str">
        <f>IFERROR(__xludf.DUMMYFUNCTION("""COMPUTED_VALUE"""),"REJECT")</f>
        <v>REJECT</v>
      </c>
      <c r="M593" s="78" t="str">
        <f>IFERROR(__xludf.DUMMYFUNCTION("""COMPUTED_VALUE"""),"")</f>
        <v/>
      </c>
      <c r="N593" s="85"/>
      <c r="O593" s="85"/>
      <c r="P593" s="85"/>
      <c r="Q593" s="86" t="str">
        <f>IFERROR(__xludf.DUMMYFUNCTION("""COMPUTED_VALUE"""),"REJECT")</f>
        <v>REJECT</v>
      </c>
      <c r="R593" s="66"/>
      <c r="S593" s="66"/>
      <c r="T593" s="66"/>
      <c r="U593" s="66"/>
      <c r="V593" s="66"/>
      <c r="W593" s="66"/>
      <c r="X593" s="66"/>
      <c r="Y593" s="66"/>
      <c r="Z593" s="66"/>
      <c r="AA593" s="66"/>
      <c r="AB593" s="66"/>
      <c r="AC593" s="66"/>
      <c r="AD593" s="66"/>
      <c r="AE593" s="66"/>
      <c r="AF593" s="66"/>
      <c r="AG593" s="66"/>
      <c r="AH593" s="66"/>
      <c r="AI593" s="66"/>
      <c r="AJ593" s="66"/>
      <c r="AK593" s="66"/>
      <c r="AL593" s="66"/>
      <c r="AM593" s="66"/>
      <c r="AN593" s="66"/>
      <c r="AO593" s="66"/>
    </row>
    <row r="594">
      <c r="A594" s="93"/>
      <c r="B594" s="85"/>
      <c r="C594" s="86"/>
      <c r="D594" s="93"/>
      <c r="E594" s="85"/>
      <c r="F594" s="85"/>
      <c r="G594" s="86"/>
      <c r="H594" s="78" t="str">
        <f>IFERROR(__xludf.DUMMYFUNCTION("""COMPUTED_VALUE"""),"")</f>
        <v/>
      </c>
      <c r="I594" s="85"/>
      <c r="J594" s="85"/>
      <c r="K594" s="85"/>
      <c r="L594" s="86" t="str">
        <f>IFERROR(__xludf.DUMMYFUNCTION("""COMPUTED_VALUE"""),"REJECT")</f>
        <v>REJECT</v>
      </c>
      <c r="M594" s="78" t="str">
        <f>IFERROR(__xludf.DUMMYFUNCTION("""COMPUTED_VALUE"""),"")</f>
        <v/>
      </c>
      <c r="N594" s="85"/>
      <c r="O594" s="85"/>
      <c r="P594" s="85"/>
      <c r="Q594" s="86" t="str">
        <f>IFERROR(__xludf.DUMMYFUNCTION("""COMPUTED_VALUE"""),"REJECT")</f>
        <v>REJECT</v>
      </c>
      <c r="R594" s="66"/>
      <c r="S594" s="66"/>
      <c r="T594" s="66"/>
      <c r="U594" s="66"/>
      <c r="V594" s="66"/>
      <c r="W594" s="66"/>
      <c r="X594" s="66"/>
      <c r="Y594" s="66"/>
      <c r="Z594" s="66"/>
      <c r="AA594" s="66"/>
      <c r="AB594" s="66"/>
      <c r="AC594" s="66"/>
      <c r="AD594" s="66"/>
      <c r="AE594" s="66"/>
      <c r="AF594" s="66"/>
      <c r="AG594" s="66"/>
      <c r="AH594" s="66"/>
      <c r="AI594" s="66"/>
      <c r="AJ594" s="66"/>
      <c r="AK594" s="66"/>
      <c r="AL594" s="66"/>
      <c r="AM594" s="66"/>
      <c r="AN594" s="66"/>
      <c r="AO594" s="66"/>
    </row>
    <row r="595">
      <c r="A595" s="93"/>
      <c r="B595" s="85"/>
      <c r="C595" s="86"/>
      <c r="D595" s="93"/>
      <c r="E595" s="85"/>
      <c r="F595" s="85"/>
      <c r="G595" s="86"/>
      <c r="H595" s="78" t="str">
        <f>IFERROR(__xludf.DUMMYFUNCTION("""COMPUTED_VALUE"""),"")</f>
        <v/>
      </c>
      <c r="I595" s="85"/>
      <c r="J595" s="85"/>
      <c r="K595" s="85"/>
      <c r="L595" s="86" t="str">
        <f>IFERROR(__xludf.DUMMYFUNCTION("""COMPUTED_VALUE"""),"REJECT")</f>
        <v>REJECT</v>
      </c>
      <c r="M595" s="78" t="str">
        <f>IFERROR(__xludf.DUMMYFUNCTION("""COMPUTED_VALUE"""),"")</f>
        <v/>
      </c>
      <c r="N595" s="85"/>
      <c r="O595" s="85"/>
      <c r="P595" s="85"/>
      <c r="Q595" s="86" t="str">
        <f>IFERROR(__xludf.DUMMYFUNCTION("""COMPUTED_VALUE"""),"REJECT")</f>
        <v>REJECT</v>
      </c>
      <c r="R595" s="66"/>
      <c r="S595" s="66"/>
      <c r="T595" s="66"/>
      <c r="U595" s="66"/>
      <c r="V595" s="66"/>
      <c r="W595" s="66"/>
      <c r="X595" s="66"/>
      <c r="Y595" s="66"/>
      <c r="Z595" s="66"/>
      <c r="AA595" s="66"/>
      <c r="AB595" s="66"/>
      <c r="AC595" s="66"/>
      <c r="AD595" s="66"/>
      <c r="AE595" s="66"/>
      <c r="AF595" s="66"/>
      <c r="AG595" s="66"/>
      <c r="AH595" s="66"/>
      <c r="AI595" s="66"/>
      <c r="AJ595" s="66"/>
      <c r="AK595" s="66"/>
      <c r="AL595" s="66"/>
      <c r="AM595" s="66"/>
      <c r="AN595" s="66"/>
      <c r="AO595" s="66"/>
    </row>
    <row r="596">
      <c r="A596" s="93"/>
      <c r="B596" s="85"/>
      <c r="C596" s="86"/>
      <c r="D596" s="93"/>
      <c r="E596" s="85"/>
      <c r="F596" s="85"/>
      <c r="G596" s="86"/>
      <c r="H596" s="78" t="str">
        <f>IFERROR(__xludf.DUMMYFUNCTION("""COMPUTED_VALUE"""),"")</f>
        <v/>
      </c>
      <c r="I596" s="85"/>
      <c r="J596" s="85"/>
      <c r="K596" s="85"/>
      <c r="L596" s="86" t="str">
        <f>IFERROR(__xludf.DUMMYFUNCTION("""COMPUTED_VALUE"""),"REJECT")</f>
        <v>REJECT</v>
      </c>
      <c r="M596" s="78" t="str">
        <f>IFERROR(__xludf.DUMMYFUNCTION("""COMPUTED_VALUE"""),"")</f>
        <v/>
      </c>
      <c r="N596" s="85"/>
      <c r="O596" s="85"/>
      <c r="P596" s="85"/>
      <c r="Q596" s="86" t="str">
        <f>IFERROR(__xludf.DUMMYFUNCTION("""COMPUTED_VALUE"""),"REJECT")</f>
        <v>REJECT</v>
      </c>
      <c r="R596" s="66"/>
      <c r="S596" s="66"/>
      <c r="T596" s="66"/>
      <c r="U596" s="66"/>
      <c r="V596" s="66"/>
      <c r="W596" s="66"/>
      <c r="X596" s="66"/>
      <c r="Y596" s="66"/>
      <c r="Z596" s="66"/>
      <c r="AA596" s="66"/>
      <c r="AB596" s="66"/>
      <c r="AC596" s="66"/>
      <c r="AD596" s="66"/>
      <c r="AE596" s="66"/>
      <c r="AF596" s="66"/>
      <c r="AG596" s="66"/>
      <c r="AH596" s="66"/>
      <c r="AI596" s="66"/>
      <c r="AJ596" s="66"/>
      <c r="AK596" s="66"/>
      <c r="AL596" s="66"/>
      <c r="AM596" s="66"/>
      <c r="AN596" s="66"/>
      <c r="AO596" s="66"/>
    </row>
    <row r="597">
      <c r="A597" s="93"/>
      <c r="B597" s="85"/>
      <c r="C597" s="86"/>
      <c r="D597" s="93"/>
      <c r="E597" s="85"/>
      <c r="F597" s="85"/>
      <c r="G597" s="86"/>
      <c r="H597" s="78" t="str">
        <f>IFERROR(__xludf.DUMMYFUNCTION("""COMPUTED_VALUE"""),"")</f>
        <v/>
      </c>
      <c r="I597" s="85"/>
      <c r="J597" s="85"/>
      <c r="K597" s="85"/>
      <c r="L597" s="86" t="str">
        <f>IFERROR(__xludf.DUMMYFUNCTION("""COMPUTED_VALUE"""),"REJECT")</f>
        <v>REJECT</v>
      </c>
      <c r="M597" s="78" t="str">
        <f>IFERROR(__xludf.DUMMYFUNCTION("""COMPUTED_VALUE"""),"")</f>
        <v/>
      </c>
      <c r="N597" s="85"/>
      <c r="O597" s="85"/>
      <c r="P597" s="85"/>
      <c r="Q597" s="86" t="str">
        <f>IFERROR(__xludf.DUMMYFUNCTION("""COMPUTED_VALUE"""),"REJECT")</f>
        <v>REJECT</v>
      </c>
      <c r="R597" s="66"/>
      <c r="S597" s="66"/>
      <c r="T597" s="66"/>
      <c r="U597" s="66"/>
      <c r="V597" s="66"/>
      <c r="W597" s="66"/>
      <c r="X597" s="66"/>
      <c r="Y597" s="66"/>
      <c r="Z597" s="66"/>
      <c r="AA597" s="66"/>
      <c r="AB597" s="66"/>
      <c r="AC597" s="66"/>
      <c r="AD597" s="66"/>
      <c r="AE597" s="66"/>
      <c r="AF597" s="66"/>
      <c r="AG597" s="66"/>
      <c r="AH597" s="66"/>
      <c r="AI597" s="66"/>
      <c r="AJ597" s="66"/>
      <c r="AK597" s="66"/>
      <c r="AL597" s="66"/>
      <c r="AM597" s="66"/>
      <c r="AN597" s="66"/>
      <c r="AO597" s="66"/>
    </row>
    <row r="598">
      <c r="A598" s="93"/>
      <c r="B598" s="85"/>
      <c r="C598" s="86"/>
      <c r="D598" s="93"/>
      <c r="E598" s="85"/>
      <c r="F598" s="85"/>
      <c r="G598" s="86"/>
      <c r="H598" s="78" t="str">
        <f>IFERROR(__xludf.DUMMYFUNCTION("""COMPUTED_VALUE"""),"")</f>
        <v/>
      </c>
      <c r="I598" s="85"/>
      <c r="J598" s="85"/>
      <c r="K598" s="85"/>
      <c r="L598" s="86" t="str">
        <f>IFERROR(__xludf.DUMMYFUNCTION("""COMPUTED_VALUE"""),"REJECT")</f>
        <v>REJECT</v>
      </c>
      <c r="M598" s="78" t="str">
        <f>IFERROR(__xludf.DUMMYFUNCTION("""COMPUTED_VALUE"""),"")</f>
        <v/>
      </c>
      <c r="N598" s="85"/>
      <c r="O598" s="85"/>
      <c r="P598" s="85"/>
      <c r="Q598" s="86" t="str">
        <f>IFERROR(__xludf.DUMMYFUNCTION("""COMPUTED_VALUE"""),"REJECT")</f>
        <v>REJECT</v>
      </c>
      <c r="R598" s="66"/>
      <c r="S598" s="66"/>
      <c r="T598" s="66"/>
      <c r="U598" s="66"/>
      <c r="V598" s="66"/>
      <c r="W598" s="66"/>
      <c r="X598" s="66"/>
      <c r="Y598" s="66"/>
      <c r="Z598" s="66"/>
      <c r="AA598" s="66"/>
      <c r="AB598" s="66"/>
      <c r="AC598" s="66"/>
      <c r="AD598" s="66"/>
      <c r="AE598" s="66"/>
      <c r="AF598" s="66"/>
      <c r="AG598" s="66"/>
      <c r="AH598" s="66"/>
      <c r="AI598" s="66"/>
      <c r="AJ598" s="66"/>
      <c r="AK598" s="66"/>
      <c r="AL598" s="66"/>
      <c r="AM598" s="66"/>
      <c r="AN598" s="66"/>
      <c r="AO598" s="66"/>
    </row>
    <row r="599">
      <c r="A599" s="93"/>
      <c r="B599" s="85"/>
      <c r="C599" s="86"/>
      <c r="D599" s="93"/>
      <c r="E599" s="85"/>
      <c r="F599" s="85"/>
      <c r="G599" s="86"/>
      <c r="H599" s="78" t="str">
        <f>IFERROR(__xludf.DUMMYFUNCTION("""COMPUTED_VALUE"""),"")</f>
        <v/>
      </c>
      <c r="I599" s="85"/>
      <c r="J599" s="85"/>
      <c r="K599" s="85"/>
      <c r="L599" s="86" t="str">
        <f>IFERROR(__xludf.DUMMYFUNCTION("""COMPUTED_VALUE"""),"REJECT")</f>
        <v>REJECT</v>
      </c>
      <c r="M599" s="78" t="str">
        <f>IFERROR(__xludf.DUMMYFUNCTION("""COMPUTED_VALUE"""),"")</f>
        <v/>
      </c>
      <c r="N599" s="85"/>
      <c r="O599" s="85"/>
      <c r="P599" s="85"/>
      <c r="Q599" s="86" t="str">
        <f>IFERROR(__xludf.DUMMYFUNCTION("""COMPUTED_VALUE"""),"REJECT")</f>
        <v>REJECT</v>
      </c>
      <c r="R599" s="66"/>
      <c r="S599" s="66"/>
      <c r="T599" s="66"/>
      <c r="U599" s="66"/>
      <c r="V599" s="66"/>
      <c r="W599" s="66"/>
      <c r="X599" s="66"/>
      <c r="Y599" s="66"/>
      <c r="Z599" s="66"/>
      <c r="AA599" s="66"/>
      <c r="AB599" s="66"/>
      <c r="AC599" s="66"/>
      <c r="AD599" s="66"/>
      <c r="AE599" s="66"/>
      <c r="AF599" s="66"/>
      <c r="AG599" s="66"/>
      <c r="AH599" s="66"/>
      <c r="AI599" s="66"/>
      <c r="AJ599" s="66"/>
      <c r="AK599" s="66"/>
      <c r="AL599" s="66"/>
      <c r="AM599" s="66"/>
      <c r="AN599" s="66"/>
      <c r="AO599" s="66"/>
    </row>
    <row r="600">
      <c r="A600" s="93"/>
      <c r="B600" s="85"/>
      <c r="C600" s="86"/>
      <c r="D600" s="93"/>
      <c r="E600" s="85"/>
      <c r="F600" s="85"/>
      <c r="G600" s="86"/>
      <c r="H600" s="78" t="str">
        <f>IFERROR(__xludf.DUMMYFUNCTION("""COMPUTED_VALUE"""),"")</f>
        <v/>
      </c>
      <c r="I600" s="85"/>
      <c r="J600" s="85"/>
      <c r="K600" s="85"/>
      <c r="L600" s="86" t="str">
        <f>IFERROR(__xludf.DUMMYFUNCTION("""COMPUTED_VALUE"""),"REJECT")</f>
        <v>REJECT</v>
      </c>
      <c r="M600" s="78" t="str">
        <f>IFERROR(__xludf.DUMMYFUNCTION("""COMPUTED_VALUE"""),"")</f>
        <v/>
      </c>
      <c r="N600" s="85"/>
      <c r="O600" s="85"/>
      <c r="P600" s="85"/>
      <c r="Q600" s="86" t="str">
        <f>IFERROR(__xludf.DUMMYFUNCTION("""COMPUTED_VALUE"""),"REJECT")</f>
        <v>REJECT</v>
      </c>
      <c r="R600" s="66"/>
      <c r="S600" s="66"/>
      <c r="T600" s="66"/>
      <c r="U600" s="66"/>
      <c r="V600" s="66"/>
      <c r="W600" s="66"/>
      <c r="X600" s="66"/>
      <c r="Y600" s="66"/>
      <c r="Z600" s="66"/>
      <c r="AA600" s="66"/>
      <c r="AB600" s="66"/>
      <c r="AC600" s="66"/>
      <c r="AD600" s="66"/>
      <c r="AE600" s="66"/>
      <c r="AF600" s="66"/>
      <c r="AG600" s="66"/>
      <c r="AH600" s="66"/>
      <c r="AI600" s="66"/>
      <c r="AJ600" s="66"/>
      <c r="AK600" s="66"/>
      <c r="AL600" s="66"/>
      <c r="AM600" s="66"/>
      <c r="AN600" s="66"/>
      <c r="AO600" s="66"/>
    </row>
    <row r="601">
      <c r="A601" s="93"/>
      <c r="B601" s="85"/>
      <c r="C601" s="86"/>
      <c r="D601" s="93"/>
      <c r="E601" s="85"/>
      <c r="F601" s="85"/>
      <c r="G601" s="86"/>
      <c r="H601" s="78" t="str">
        <f>IFERROR(__xludf.DUMMYFUNCTION("""COMPUTED_VALUE"""),"")</f>
        <v/>
      </c>
      <c r="I601" s="85"/>
      <c r="J601" s="85"/>
      <c r="K601" s="85"/>
      <c r="L601" s="86" t="str">
        <f>IFERROR(__xludf.DUMMYFUNCTION("""COMPUTED_VALUE"""),"REJECT")</f>
        <v>REJECT</v>
      </c>
      <c r="M601" s="78" t="str">
        <f>IFERROR(__xludf.DUMMYFUNCTION("""COMPUTED_VALUE"""),"")</f>
        <v/>
      </c>
      <c r="N601" s="85"/>
      <c r="O601" s="85"/>
      <c r="P601" s="85"/>
      <c r="Q601" s="86" t="str">
        <f>IFERROR(__xludf.DUMMYFUNCTION("""COMPUTED_VALUE"""),"REJECT")</f>
        <v>REJECT</v>
      </c>
      <c r="R601" s="66"/>
      <c r="S601" s="66"/>
      <c r="T601" s="66"/>
      <c r="U601" s="66"/>
      <c r="V601" s="66"/>
      <c r="W601" s="66"/>
      <c r="X601" s="66"/>
      <c r="Y601" s="66"/>
      <c r="Z601" s="66"/>
      <c r="AA601" s="66"/>
      <c r="AB601" s="66"/>
      <c r="AC601" s="66"/>
      <c r="AD601" s="66"/>
      <c r="AE601" s="66"/>
      <c r="AF601" s="66"/>
      <c r="AG601" s="66"/>
      <c r="AH601" s="66"/>
      <c r="AI601" s="66"/>
      <c r="AJ601" s="66"/>
      <c r="AK601" s="66"/>
      <c r="AL601" s="66"/>
      <c r="AM601" s="66"/>
      <c r="AN601" s="66"/>
      <c r="AO601" s="66"/>
    </row>
    <row r="602">
      <c r="A602" s="93"/>
      <c r="B602" s="85"/>
      <c r="C602" s="86"/>
      <c r="D602" s="93"/>
      <c r="E602" s="85"/>
      <c r="F602" s="85"/>
      <c r="G602" s="86"/>
      <c r="H602" s="78" t="str">
        <f>IFERROR(__xludf.DUMMYFUNCTION("""COMPUTED_VALUE"""),"")</f>
        <v/>
      </c>
      <c r="I602" s="85"/>
      <c r="J602" s="85"/>
      <c r="K602" s="85"/>
      <c r="L602" s="86" t="str">
        <f>IFERROR(__xludf.DUMMYFUNCTION("""COMPUTED_VALUE"""),"REJECT")</f>
        <v>REJECT</v>
      </c>
      <c r="M602" s="78" t="str">
        <f>IFERROR(__xludf.DUMMYFUNCTION("""COMPUTED_VALUE"""),"")</f>
        <v/>
      </c>
      <c r="N602" s="85"/>
      <c r="O602" s="85"/>
      <c r="P602" s="85"/>
      <c r="Q602" s="86" t="str">
        <f>IFERROR(__xludf.DUMMYFUNCTION("""COMPUTED_VALUE"""),"REJECT")</f>
        <v>REJECT</v>
      </c>
      <c r="R602" s="66"/>
      <c r="S602" s="66"/>
      <c r="T602" s="66"/>
      <c r="U602" s="66"/>
      <c r="V602" s="66"/>
      <c r="W602" s="66"/>
      <c r="X602" s="66"/>
      <c r="Y602" s="66"/>
      <c r="Z602" s="66"/>
      <c r="AA602" s="66"/>
      <c r="AB602" s="66"/>
      <c r="AC602" s="66"/>
      <c r="AD602" s="66"/>
      <c r="AE602" s="66"/>
      <c r="AF602" s="66"/>
      <c r="AG602" s="66"/>
      <c r="AH602" s="66"/>
      <c r="AI602" s="66"/>
      <c r="AJ602" s="66"/>
      <c r="AK602" s="66"/>
      <c r="AL602" s="66"/>
      <c r="AM602" s="66"/>
      <c r="AN602" s="66"/>
      <c r="AO602" s="66"/>
    </row>
    <row r="603">
      <c r="A603" s="93"/>
      <c r="B603" s="85"/>
      <c r="C603" s="86"/>
      <c r="D603" s="93"/>
      <c r="E603" s="85"/>
      <c r="F603" s="85"/>
      <c r="G603" s="86"/>
      <c r="H603" s="78" t="str">
        <f>IFERROR(__xludf.DUMMYFUNCTION("""COMPUTED_VALUE"""),"")</f>
        <v/>
      </c>
      <c r="I603" s="85"/>
      <c r="J603" s="85"/>
      <c r="K603" s="85"/>
      <c r="L603" s="86" t="str">
        <f>IFERROR(__xludf.DUMMYFUNCTION("""COMPUTED_VALUE"""),"REJECT")</f>
        <v>REJECT</v>
      </c>
      <c r="M603" s="78" t="str">
        <f>IFERROR(__xludf.DUMMYFUNCTION("""COMPUTED_VALUE"""),"")</f>
        <v/>
      </c>
      <c r="N603" s="85"/>
      <c r="O603" s="85"/>
      <c r="P603" s="85"/>
      <c r="Q603" s="86" t="str">
        <f>IFERROR(__xludf.DUMMYFUNCTION("""COMPUTED_VALUE"""),"REJECT")</f>
        <v>REJECT</v>
      </c>
      <c r="R603" s="66"/>
      <c r="S603" s="66"/>
      <c r="T603" s="66"/>
      <c r="U603" s="66"/>
      <c r="V603" s="66"/>
      <c r="W603" s="66"/>
      <c r="X603" s="66"/>
      <c r="Y603" s="66"/>
      <c r="Z603" s="66"/>
      <c r="AA603" s="66"/>
      <c r="AB603" s="66"/>
      <c r="AC603" s="66"/>
      <c r="AD603" s="66"/>
      <c r="AE603" s="66"/>
      <c r="AF603" s="66"/>
      <c r="AG603" s="66"/>
      <c r="AH603" s="66"/>
      <c r="AI603" s="66"/>
      <c r="AJ603" s="66"/>
      <c r="AK603" s="66"/>
      <c r="AL603" s="66"/>
      <c r="AM603" s="66"/>
      <c r="AN603" s="66"/>
      <c r="AO603" s="66"/>
    </row>
    <row r="604">
      <c r="A604" s="93"/>
      <c r="B604" s="85"/>
      <c r="C604" s="86"/>
      <c r="D604" s="93"/>
      <c r="E604" s="85"/>
      <c r="F604" s="85"/>
      <c r="G604" s="86"/>
      <c r="H604" s="78" t="str">
        <f>IFERROR(__xludf.DUMMYFUNCTION("""COMPUTED_VALUE"""),"")</f>
        <v/>
      </c>
      <c r="I604" s="85"/>
      <c r="J604" s="85"/>
      <c r="K604" s="85"/>
      <c r="L604" s="86" t="str">
        <f>IFERROR(__xludf.DUMMYFUNCTION("""COMPUTED_VALUE"""),"REJECT")</f>
        <v>REJECT</v>
      </c>
      <c r="M604" s="78" t="str">
        <f>IFERROR(__xludf.DUMMYFUNCTION("""COMPUTED_VALUE"""),"")</f>
        <v/>
      </c>
      <c r="N604" s="85"/>
      <c r="O604" s="85"/>
      <c r="P604" s="85"/>
      <c r="Q604" s="86" t="str">
        <f>IFERROR(__xludf.DUMMYFUNCTION("""COMPUTED_VALUE"""),"REJECT")</f>
        <v>REJECT</v>
      </c>
      <c r="R604" s="66"/>
      <c r="S604" s="66"/>
      <c r="T604" s="66"/>
      <c r="U604" s="66"/>
      <c r="V604" s="66"/>
      <c r="W604" s="66"/>
      <c r="X604" s="66"/>
      <c r="Y604" s="66"/>
      <c r="Z604" s="66"/>
      <c r="AA604" s="66"/>
      <c r="AB604" s="66"/>
      <c r="AC604" s="66"/>
      <c r="AD604" s="66"/>
      <c r="AE604" s="66"/>
      <c r="AF604" s="66"/>
      <c r="AG604" s="66"/>
      <c r="AH604" s="66"/>
      <c r="AI604" s="66"/>
      <c r="AJ604" s="66"/>
      <c r="AK604" s="66"/>
      <c r="AL604" s="66"/>
      <c r="AM604" s="66"/>
      <c r="AN604" s="66"/>
      <c r="AO604" s="66"/>
    </row>
    <row r="605">
      <c r="A605" s="93"/>
      <c r="B605" s="85"/>
      <c r="C605" s="86"/>
      <c r="D605" s="93"/>
      <c r="E605" s="85"/>
      <c r="F605" s="85"/>
      <c r="G605" s="86"/>
      <c r="H605" s="78" t="str">
        <f>IFERROR(__xludf.DUMMYFUNCTION("""COMPUTED_VALUE"""),"")</f>
        <v/>
      </c>
      <c r="I605" s="85"/>
      <c r="J605" s="85"/>
      <c r="K605" s="85"/>
      <c r="L605" s="86" t="str">
        <f>IFERROR(__xludf.DUMMYFUNCTION("""COMPUTED_VALUE"""),"REJECT")</f>
        <v>REJECT</v>
      </c>
      <c r="M605" s="78" t="str">
        <f>IFERROR(__xludf.DUMMYFUNCTION("""COMPUTED_VALUE"""),"")</f>
        <v/>
      </c>
      <c r="N605" s="85"/>
      <c r="O605" s="85"/>
      <c r="P605" s="85"/>
      <c r="Q605" s="86" t="str">
        <f>IFERROR(__xludf.DUMMYFUNCTION("""COMPUTED_VALUE"""),"REJECT")</f>
        <v>REJECT</v>
      </c>
      <c r="R605" s="66"/>
      <c r="S605" s="66"/>
      <c r="T605" s="66"/>
      <c r="U605" s="66"/>
      <c r="V605" s="66"/>
      <c r="W605" s="66"/>
      <c r="X605" s="66"/>
      <c r="Y605" s="66"/>
      <c r="Z605" s="66"/>
      <c r="AA605" s="66"/>
      <c r="AB605" s="66"/>
      <c r="AC605" s="66"/>
      <c r="AD605" s="66"/>
      <c r="AE605" s="66"/>
      <c r="AF605" s="66"/>
      <c r="AG605" s="66"/>
      <c r="AH605" s="66"/>
      <c r="AI605" s="66"/>
      <c r="AJ605" s="66"/>
      <c r="AK605" s="66"/>
      <c r="AL605" s="66"/>
      <c r="AM605" s="66"/>
      <c r="AN605" s="66"/>
      <c r="AO605" s="66"/>
    </row>
    <row r="606">
      <c r="A606" s="93"/>
      <c r="B606" s="85"/>
      <c r="C606" s="86"/>
      <c r="D606" s="93"/>
      <c r="E606" s="85"/>
      <c r="F606" s="85"/>
      <c r="G606" s="86"/>
      <c r="H606" s="78" t="str">
        <f>IFERROR(__xludf.DUMMYFUNCTION("""COMPUTED_VALUE"""),"")</f>
        <v/>
      </c>
      <c r="I606" s="85"/>
      <c r="J606" s="85"/>
      <c r="K606" s="85"/>
      <c r="L606" s="86" t="str">
        <f>IFERROR(__xludf.DUMMYFUNCTION("""COMPUTED_VALUE"""),"REJECT")</f>
        <v>REJECT</v>
      </c>
      <c r="M606" s="78" t="str">
        <f>IFERROR(__xludf.DUMMYFUNCTION("""COMPUTED_VALUE"""),"")</f>
        <v/>
      </c>
      <c r="N606" s="85"/>
      <c r="O606" s="85"/>
      <c r="P606" s="85"/>
      <c r="Q606" s="86" t="str">
        <f>IFERROR(__xludf.DUMMYFUNCTION("""COMPUTED_VALUE"""),"REJECT")</f>
        <v>REJECT</v>
      </c>
      <c r="R606" s="66"/>
      <c r="S606" s="66"/>
      <c r="T606" s="66"/>
      <c r="U606" s="66"/>
      <c r="V606" s="66"/>
      <c r="W606" s="66"/>
      <c r="X606" s="66"/>
      <c r="Y606" s="66"/>
      <c r="Z606" s="66"/>
      <c r="AA606" s="66"/>
      <c r="AB606" s="66"/>
      <c r="AC606" s="66"/>
      <c r="AD606" s="66"/>
      <c r="AE606" s="66"/>
      <c r="AF606" s="66"/>
      <c r="AG606" s="66"/>
      <c r="AH606" s="66"/>
      <c r="AI606" s="66"/>
      <c r="AJ606" s="66"/>
      <c r="AK606" s="66"/>
      <c r="AL606" s="66"/>
      <c r="AM606" s="66"/>
      <c r="AN606" s="66"/>
      <c r="AO606" s="66"/>
    </row>
    <row r="607">
      <c r="A607" s="93"/>
      <c r="B607" s="85"/>
      <c r="C607" s="86"/>
      <c r="D607" s="93"/>
      <c r="E607" s="85"/>
      <c r="F607" s="85"/>
      <c r="G607" s="86"/>
      <c r="H607" s="78" t="str">
        <f>IFERROR(__xludf.DUMMYFUNCTION("""COMPUTED_VALUE"""),"")</f>
        <v/>
      </c>
      <c r="I607" s="85"/>
      <c r="J607" s="85"/>
      <c r="K607" s="85"/>
      <c r="L607" s="86" t="str">
        <f>IFERROR(__xludf.DUMMYFUNCTION("""COMPUTED_VALUE"""),"REJECT")</f>
        <v>REJECT</v>
      </c>
      <c r="M607" s="78" t="str">
        <f>IFERROR(__xludf.DUMMYFUNCTION("""COMPUTED_VALUE"""),"")</f>
        <v/>
      </c>
      <c r="N607" s="85"/>
      <c r="O607" s="85"/>
      <c r="P607" s="85"/>
      <c r="Q607" s="86" t="str">
        <f>IFERROR(__xludf.DUMMYFUNCTION("""COMPUTED_VALUE"""),"REJECT")</f>
        <v>REJECT</v>
      </c>
      <c r="R607" s="66"/>
      <c r="S607" s="66"/>
      <c r="T607" s="66"/>
      <c r="U607" s="66"/>
      <c r="V607" s="66"/>
      <c r="W607" s="66"/>
      <c r="X607" s="66"/>
      <c r="Y607" s="66"/>
      <c r="Z607" s="66"/>
      <c r="AA607" s="66"/>
      <c r="AB607" s="66"/>
      <c r="AC607" s="66"/>
      <c r="AD607" s="66"/>
      <c r="AE607" s="66"/>
      <c r="AF607" s="66"/>
      <c r="AG607" s="66"/>
      <c r="AH607" s="66"/>
      <c r="AI607" s="66"/>
      <c r="AJ607" s="66"/>
      <c r="AK607" s="66"/>
      <c r="AL607" s="66"/>
      <c r="AM607" s="66"/>
      <c r="AN607" s="66"/>
      <c r="AO607" s="66"/>
    </row>
    <row r="608">
      <c r="A608" s="93"/>
      <c r="B608" s="85"/>
      <c r="C608" s="86"/>
      <c r="D608" s="93"/>
      <c r="E608" s="85"/>
      <c r="F608" s="85"/>
      <c r="G608" s="86"/>
      <c r="H608" s="78" t="str">
        <f>IFERROR(__xludf.DUMMYFUNCTION("""COMPUTED_VALUE"""),"")</f>
        <v/>
      </c>
      <c r="I608" s="85"/>
      <c r="J608" s="85"/>
      <c r="K608" s="85"/>
      <c r="L608" s="86" t="str">
        <f>IFERROR(__xludf.DUMMYFUNCTION("""COMPUTED_VALUE"""),"REJECT")</f>
        <v>REJECT</v>
      </c>
      <c r="M608" s="78" t="str">
        <f>IFERROR(__xludf.DUMMYFUNCTION("""COMPUTED_VALUE"""),"")</f>
        <v/>
      </c>
      <c r="N608" s="85"/>
      <c r="O608" s="85"/>
      <c r="P608" s="85"/>
      <c r="Q608" s="86" t="str">
        <f>IFERROR(__xludf.DUMMYFUNCTION("""COMPUTED_VALUE"""),"REJECT")</f>
        <v>REJECT</v>
      </c>
      <c r="R608" s="66"/>
      <c r="S608" s="66"/>
      <c r="T608" s="66"/>
      <c r="U608" s="66"/>
      <c r="V608" s="66"/>
      <c r="W608" s="66"/>
      <c r="X608" s="66"/>
      <c r="Y608" s="66"/>
      <c r="Z608" s="66"/>
      <c r="AA608" s="66"/>
      <c r="AB608" s="66"/>
      <c r="AC608" s="66"/>
      <c r="AD608" s="66"/>
      <c r="AE608" s="66"/>
      <c r="AF608" s="66"/>
      <c r="AG608" s="66"/>
      <c r="AH608" s="66"/>
      <c r="AI608" s="66"/>
      <c r="AJ608" s="66"/>
      <c r="AK608" s="66"/>
      <c r="AL608" s="66"/>
      <c r="AM608" s="66"/>
      <c r="AN608" s="66"/>
      <c r="AO608" s="66"/>
    </row>
    <row r="609">
      <c r="A609" s="93"/>
      <c r="B609" s="85"/>
      <c r="C609" s="86"/>
      <c r="D609" s="93"/>
      <c r="E609" s="85"/>
      <c r="F609" s="85"/>
      <c r="G609" s="86"/>
      <c r="H609" s="78" t="str">
        <f>IFERROR(__xludf.DUMMYFUNCTION("""COMPUTED_VALUE"""),"")</f>
        <v/>
      </c>
      <c r="I609" s="85"/>
      <c r="J609" s="85"/>
      <c r="K609" s="85"/>
      <c r="L609" s="86" t="str">
        <f>IFERROR(__xludf.DUMMYFUNCTION("""COMPUTED_VALUE"""),"REJECT")</f>
        <v>REJECT</v>
      </c>
      <c r="M609" s="78" t="str">
        <f>IFERROR(__xludf.DUMMYFUNCTION("""COMPUTED_VALUE"""),"")</f>
        <v/>
      </c>
      <c r="N609" s="85"/>
      <c r="O609" s="85"/>
      <c r="P609" s="85"/>
      <c r="Q609" s="86" t="str">
        <f>IFERROR(__xludf.DUMMYFUNCTION("""COMPUTED_VALUE"""),"REJECT")</f>
        <v>REJECT</v>
      </c>
      <c r="R609" s="66"/>
      <c r="S609" s="66"/>
      <c r="T609" s="66"/>
      <c r="U609" s="66"/>
      <c r="V609" s="66"/>
      <c r="W609" s="66"/>
      <c r="X609" s="66"/>
      <c r="Y609" s="66"/>
      <c r="Z609" s="66"/>
      <c r="AA609" s="66"/>
      <c r="AB609" s="66"/>
      <c r="AC609" s="66"/>
      <c r="AD609" s="66"/>
      <c r="AE609" s="66"/>
      <c r="AF609" s="66"/>
      <c r="AG609" s="66"/>
      <c r="AH609" s="66"/>
      <c r="AI609" s="66"/>
      <c r="AJ609" s="66"/>
      <c r="AK609" s="66"/>
      <c r="AL609" s="66"/>
      <c r="AM609" s="66"/>
      <c r="AN609" s="66"/>
      <c r="AO609" s="66"/>
    </row>
    <row r="610">
      <c r="A610" s="93"/>
      <c r="B610" s="85"/>
      <c r="C610" s="86"/>
      <c r="D610" s="93"/>
      <c r="E610" s="85"/>
      <c r="F610" s="85"/>
      <c r="G610" s="86"/>
      <c r="H610" s="78" t="str">
        <f>IFERROR(__xludf.DUMMYFUNCTION("""COMPUTED_VALUE"""),"")</f>
        <v/>
      </c>
      <c r="I610" s="85"/>
      <c r="J610" s="85"/>
      <c r="K610" s="85"/>
      <c r="L610" s="86" t="str">
        <f>IFERROR(__xludf.DUMMYFUNCTION("""COMPUTED_VALUE"""),"REJECT")</f>
        <v>REJECT</v>
      </c>
      <c r="M610" s="78" t="str">
        <f>IFERROR(__xludf.DUMMYFUNCTION("""COMPUTED_VALUE"""),"")</f>
        <v/>
      </c>
      <c r="N610" s="85"/>
      <c r="O610" s="85"/>
      <c r="P610" s="85"/>
      <c r="Q610" s="86" t="str">
        <f>IFERROR(__xludf.DUMMYFUNCTION("""COMPUTED_VALUE"""),"REJECT")</f>
        <v>REJECT</v>
      </c>
      <c r="R610" s="66"/>
      <c r="S610" s="66"/>
      <c r="T610" s="66"/>
      <c r="U610" s="66"/>
      <c r="V610" s="66"/>
      <c r="W610" s="66"/>
      <c r="X610" s="66"/>
      <c r="Y610" s="66"/>
      <c r="Z610" s="66"/>
      <c r="AA610" s="66"/>
      <c r="AB610" s="66"/>
      <c r="AC610" s="66"/>
      <c r="AD610" s="66"/>
      <c r="AE610" s="66"/>
      <c r="AF610" s="66"/>
      <c r="AG610" s="66"/>
      <c r="AH610" s="66"/>
      <c r="AI610" s="66"/>
      <c r="AJ610" s="66"/>
      <c r="AK610" s="66"/>
      <c r="AL610" s="66"/>
      <c r="AM610" s="66"/>
      <c r="AN610" s="66"/>
      <c r="AO610" s="66"/>
    </row>
    <row r="611">
      <c r="A611" s="93"/>
      <c r="B611" s="85"/>
      <c r="C611" s="86"/>
      <c r="D611" s="93"/>
      <c r="E611" s="85"/>
      <c r="F611" s="85"/>
      <c r="G611" s="86"/>
      <c r="H611" s="78" t="str">
        <f>IFERROR(__xludf.DUMMYFUNCTION("""COMPUTED_VALUE"""),"")</f>
        <v/>
      </c>
      <c r="I611" s="85"/>
      <c r="J611" s="85"/>
      <c r="K611" s="85"/>
      <c r="L611" s="86" t="str">
        <f>IFERROR(__xludf.DUMMYFUNCTION("""COMPUTED_VALUE"""),"REJECT")</f>
        <v>REJECT</v>
      </c>
      <c r="M611" s="78" t="str">
        <f>IFERROR(__xludf.DUMMYFUNCTION("""COMPUTED_VALUE"""),"")</f>
        <v/>
      </c>
      <c r="N611" s="85"/>
      <c r="O611" s="85"/>
      <c r="P611" s="85"/>
      <c r="Q611" s="86" t="str">
        <f>IFERROR(__xludf.DUMMYFUNCTION("""COMPUTED_VALUE"""),"REJECT")</f>
        <v>REJECT</v>
      </c>
      <c r="R611" s="66"/>
      <c r="S611" s="66"/>
      <c r="T611" s="66"/>
      <c r="U611" s="66"/>
      <c r="V611" s="66"/>
      <c r="W611" s="66"/>
      <c r="X611" s="66"/>
      <c r="Y611" s="66"/>
      <c r="Z611" s="66"/>
      <c r="AA611" s="66"/>
      <c r="AB611" s="66"/>
      <c r="AC611" s="66"/>
      <c r="AD611" s="66"/>
      <c r="AE611" s="66"/>
      <c r="AF611" s="66"/>
      <c r="AG611" s="66"/>
      <c r="AH611" s="66"/>
      <c r="AI611" s="66"/>
      <c r="AJ611" s="66"/>
      <c r="AK611" s="66"/>
      <c r="AL611" s="66"/>
      <c r="AM611" s="66"/>
      <c r="AN611" s="66"/>
      <c r="AO611" s="66"/>
    </row>
    <row r="612">
      <c r="A612" s="93"/>
      <c r="B612" s="85"/>
      <c r="C612" s="86"/>
      <c r="D612" s="93"/>
      <c r="E612" s="85"/>
      <c r="F612" s="85"/>
      <c r="G612" s="86"/>
      <c r="H612" s="78" t="str">
        <f>IFERROR(__xludf.DUMMYFUNCTION("""COMPUTED_VALUE"""),"")</f>
        <v/>
      </c>
      <c r="I612" s="85"/>
      <c r="J612" s="85"/>
      <c r="K612" s="85"/>
      <c r="L612" s="86" t="str">
        <f>IFERROR(__xludf.DUMMYFUNCTION("""COMPUTED_VALUE"""),"REJECT")</f>
        <v>REJECT</v>
      </c>
      <c r="M612" s="78" t="str">
        <f>IFERROR(__xludf.DUMMYFUNCTION("""COMPUTED_VALUE"""),"")</f>
        <v/>
      </c>
      <c r="N612" s="85"/>
      <c r="O612" s="85"/>
      <c r="P612" s="85"/>
      <c r="Q612" s="86" t="str">
        <f>IFERROR(__xludf.DUMMYFUNCTION("""COMPUTED_VALUE"""),"REJECT")</f>
        <v>REJECT</v>
      </c>
      <c r="R612" s="66"/>
      <c r="S612" s="66"/>
      <c r="T612" s="66"/>
      <c r="U612" s="66"/>
      <c r="V612" s="66"/>
      <c r="W612" s="66"/>
      <c r="X612" s="66"/>
      <c r="Y612" s="66"/>
      <c r="Z612" s="66"/>
      <c r="AA612" s="66"/>
      <c r="AB612" s="66"/>
      <c r="AC612" s="66"/>
      <c r="AD612" s="66"/>
      <c r="AE612" s="66"/>
      <c r="AF612" s="66"/>
      <c r="AG612" s="66"/>
      <c r="AH612" s="66"/>
      <c r="AI612" s="66"/>
      <c r="AJ612" s="66"/>
      <c r="AK612" s="66"/>
      <c r="AL612" s="66"/>
      <c r="AM612" s="66"/>
      <c r="AN612" s="66"/>
      <c r="AO612" s="66"/>
    </row>
    <row r="613">
      <c r="A613" s="93"/>
      <c r="B613" s="85"/>
      <c r="C613" s="86"/>
      <c r="D613" s="93"/>
      <c r="E613" s="85"/>
      <c r="F613" s="85"/>
      <c r="G613" s="86"/>
      <c r="H613" s="78" t="str">
        <f>IFERROR(__xludf.DUMMYFUNCTION("""COMPUTED_VALUE"""),"")</f>
        <v/>
      </c>
      <c r="I613" s="85"/>
      <c r="J613" s="85"/>
      <c r="K613" s="85"/>
      <c r="L613" s="86" t="str">
        <f>IFERROR(__xludf.DUMMYFUNCTION("""COMPUTED_VALUE"""),"REJECT")</f>
        <v>REJECT</v>
      </c>
      <c r="M613" s="78" t="str">
        <f>IFERROR(__xludf.DUMMYFUNCTION("""COMPUTED_VALUE"""),"")</f>
        <v/>
      </c>
      <c r="N613" s="85"/>
      <c r="O613" s="85"/>
      <c r="P613" s="85"/>
      <c r="Q613" s="86" t="str">
        <f>IFERROR(__xludf.DUMMYFUNCTION("""COMPUTED_VALUE"""),"REJECT")</f>
        <v>REJECT</v>
      </c>
      <c r="R613" s="66"/>
      <c r="S613" s="66"/>
      <c r="T613" s="66"/>
      <c r="U613" s="66"/>
      <c r="V613" s="66"/>
      <c r="W613" s="66"/>
      <c r="X613" s="66"/>
      <c r="Y613" s="66"/>
      <c r="Z613" s="66"/>
      <c r="AA613" s="66"/>
      <c r="AB613" s="66"/>
      <c r="AC613" s="66"/>
      <c r="AD613" s="66"/>
      <c r="AE613" s="66"/>
      <c r="AF613" s="66"/>
      <c r="AG613" s="66"/>
      <c r="AH613" s="66"/>
      <c r="AI613" s="66"/>
      <c r="AJ613" s="66"/>
      <c r="AK613" s="66"/>
      <c r="AL613" s="66"/>
      <c r="AM613" s="66"/>
      <c r="AN613" s="66"/>
      <c r="AO613" s="66"/>
    </row>
    <row r="614">
      <c r="A614" s="93"/>
      <c r="B614" s="85"/>
      <c r="C614" s="86"/>
      <c r="D614" s="93"/>
      <c r="E614" s="85"/>
      <c r="F614" s="85"/>
      <c r="G614" s="86"/>
      <c r="H614" s="78" t="str">
        <f>IFERROR(__xludf.DUMMYFUNCTION("""COMPUTED_VALUE"""),"")</f>
        <v/>
      </c>
      <c r="I614" s="85"/>
      <c r="J614" s="85"/>
      <c r="K614" s="85"/>
      <c r="L614" s="86" t="str">
        <f>IFERROR(__xludf.DUMMYFUNCTION("""COMPUTED_VALUE"""),"REJECT")</f>
        <v>REJECT</v>
      </c>
      <c r="M614" s="78" t="str">
        <f>IFERROR(__xludf.DUMMYFUNCTION("""COMPUTED_VALUE"""),"")</f>
        <v/>
      </c>
      <c r="N614" s="85"/>
      <c r="O614" s="85"/>
      <c r="P614" s="85"/>
      <c r="Q614" s="86" t="str">
        <f>IFERROR(__xludf.DUMMYFUNCTION("""COMPUTED_VALUE"""),"REJECT")</f>
        <v>REJECT</v>
      </c>
      <c r="R614" s="66"/>
      <c r="S614" s="66"/>
      <c r="T614" s="66"/>
      <c r="U614" s="66"/>
      <c r="V614" s="66"/>
      <c r="W614" s="66"/>
      <c r="X614" s="66"/>
      <c r="Y614" s="66"/>
      <c r="Z614" s="66"/>
      <c r="AA614" s="66"/>
      <c r="AB614" s="66"/>
      <c r="AC614" s="66"/>
      <c r="AD614" s="66"/>
      <c r="AE614" s="66"/>
      <c r="AF614" s="66"/>
      <c r="AG614" s="66"/>
      <c r="AH614" s="66"/>
      <c r="AI614" s="66"/>
      <c r="AJ614" s="66"/>
      <c r="AK614" s="66"/>
      <c r="AL614" s="66"/>
      <c r="AM614" s="66"/>
      <c r="AN614" s="66"/>
      <c r="AO614" s="66"/>
    </row>
    <row r="615">
      <c r="A615" s="93"/>
      <c r="B615" s="85"/>
      <c r="C615" s="86"/>
      <c r="D615" s="93"/>
      <c r="E615" s="85"/>
      <c r="F615" s="85"/>
      <c r="G615" s="86"/>
      <c r="H615" s="78" t="str">
        <f>IFERROR(__xludf.DUMMYFUNCTION("""COMPUTED_VALUE"""),"")</f>
        <v/>
      </c>
      <c r="I615" s="85"/>
      <c r="J615" s="85"/>
      <c r="K615" s="85"/>
      <c r="L615" s="86" t="str">
        <f>IFERROR(__xludf.DUMMYFUNCTION("""COMPUTED_VALUE"""),"REJECT")</f>
        <v>REJECT</v>
      </c>
      <c r="M615" s="78" t="str">
        <f>IFERROR(__xludf.DUMMYFUNCTION("""COMPUTED_VALUE"""),"")</f>
        <v/>
      </c>
      <c r="N615" s="85"/>
      <c r="O615" s="85"/>
      <c r="P615" s="85"/>
      <c r="Q615" s="86" t="str">
        <f>IFERROR(__xludf.DUMMYFUNCTION("""COMPUTED_VALUE"""),"REJECT")</f>
        <v>REJECT</v>
      </c>
      <c r="R615" s="66"/>
      <c r="S615" s="66"/>
      <c r="T615" s="66"/>
      <c r="U615" s="66"/>
      <c r="V615" s="66"/>
      <c r="W615" s="66"/>
      <c r="X615" s="66"/>
      <c r="Y615" s="66"/>
      <c r="Z615" s="66"/>
      <c r="AA615" s="66"/>
      <c r="AB615" s="66"/>
      <c r="AC615" s="66"/>
      <c r="AD615" s="66"/>
      <c r="AE615" s="66"/>
      <c r="AF615" s="66"/>
      <c r="AG615" s="66"/>
      <c r="AH615" s="66"/>
      <c r="AI615" s="66"/>
      <c r="AJ615" s="66"/>
      <c r="AK615" s="66"/>
      <c r="AL615" s="66"/>
      <c r="AM615" s="66"/>
      <c r="AN615" s="66"/>
      <c r="AO615" s="66"/>
    </row>
    <row r="616">
      <c r="A616" s="93"/>
      <c r="B616" s="85"/>
      <c r="C616" s="86"/>
      <c r="D616" s="93"/>
      <c r="E616" s="85"/>
      <c r="F616" s="85"/>
      <c r="G616" s="86"/>
      <c r="H616" s="78" t="str">
        <f>IFERROR(__xludf.DUMMYFUNCTION("""COMPUTED_VALUE"""),"")</f>
        <v/>
      </c>
      <c r="I616" s="85"/>
      <c r="J616" s="85"/>
      <c r="K616" s="85"/>
      <c r="L616" s="86" t="str">
        <f>IFERROR(__xludf.DUMMYFUNCTION("""COMPUTED_VALUE"""),"REJECT")</f>
        <v>REJECT</v>
      </c>
      <c r="M616" s="78" t="str">
        <f>IFERROR(__xludf.DUMMYFUNCTION("""COMPUTED_VALUE"""),"")</f>
        <v/>
      </c>
      <c r="N616" s="85"/>
      <c r="O616" s="85"/>
      <c r="P616" s="85"/>
      <c r="Q616" s="86" t="str">
        <f>IFERROR(__xludf.DUMMYFUNCTION("""COMPUTED_VALUE"""),"REJECT")</f>
        <v>REJECT</v>
      </c>
      <c r="R616" s="66"/>
      <c r="S616" s="66"/>
      <c r="T616" s="66"/>
      <c r="U616" s="66"/>
      <c r="V616" s="66"/>
      <c r="W616" s="66"/>
      <c r="X616" s="66"/>
      <c r="Y616" s="66"/>
      <c r="Z616" s="66"/>
      <c r="AA616" s="66"/>
      <c r="AB616" s="66"/>
      <c r="AC616" s="66"/>
      <c r="AD616" s="66"/>
      <c r="AE616" s="66"/>
      <c r="AF616" s="66"/>
      <c r="AG616" s="66"/>
      <c r="AH616" s="66"/>
      <c r="AI616" s="66"/>
      <c r="AJ616" s="66"/>
      <c r="AK616" s="66"/>
      <c r="AL616" s="66"/>
      <c r="AM616" s="66"/>
      <c r="AN616" s="66"/>
      <c r="AO616" s="66"/>
    </row>
    <row r="617">
      <c r="A617" s="93"/>
      <c r="B617" s="85"/>
      <c r="C617" s="86"/>
      <c r="D617" s="93"/>
      <c r="E617" s="85"/>
      <c r="F617" s="85"/>
      <c r="G617" s="86"/>
      <c r="H617" s="78" t="str">
        <f>IFERROR(__xludf.DUMMYFUNCTION("""COMPUTED_VALUE"""),"")</f>
        <v/>
      </c>
      <c r="I617" s="85"/>
      <c r="J617" s="85"/>
      <c r="K617" s="85"/>
      <c r="L617" s="86" t="str">
        <f>IFERROR(__xludf.DUMMYFUNCTION("""COMPUTED_VALUE"""),"REJECT")</f>
        <v>REJECT</v>
      </c>
      <c r="M617" s="78" t="str">
        <f>IFERROR(__xludf.DUMMYFUNCTION("""COMPUTED_VALUE"""),"")</f>
        <v/>
      </c>
      <c r="N617" s="85"/>
      <c r="O617" s="85"/>
      <c r="P617" s="85"/>
      <c r="Q617" s="86" t="str">
        <f>IFERROR(__xludf.DUMMYFUNCTION("""COMPUTED_VALUE"""),"REJECT")</f>
        <v>REJECT</v>
      </c>
      <c r="R617" s="66"/>
      <c r="S617" s="66"/>
      <c r="T617" s="66"/>
      <c r="U617" s="66"/>
      <c r="V617" s="66"/>
      <c r="W617" s="66"/>
      <c r="X617" s="66"/>
      <c r="Y617" s="66"/>
      <c r="Z617" s="66"/>
      <c r="AA617" s="66"/>
      <c r="AB617" s="66"/>
      <c r="AC617" s="66"/>
      <c r="AD617" s="66"/>
      <c r="AE617" s="66"/>
      <c r="AF617" s="66"/>
      <c r="AG617" s="66"/>
      <c r="AH617" s="66"/>
      <c r="AI617" s="66"/>
      <c r="AJ617" s="66"/>
      <c r="AK617" s="66"/>
      <c r="AL617" s="66"/>
      <c r="AM617" s="66"/>
      <c r="AN617" s="66"/>
      <c r="AO617" s="66"/>
    </row>
    <row r="618">
      <c r="A618" s="93"/>
      <c r="B618" s="85"/>
      <c r="C618" s="86"/>
      <c r="D618" s="93"/>
      <c r="E618" s="85"/>
      <c r="F618" s="85"/>
      <c r="G618" s="86"/>
      <c r="H618" s="78" t="str">
        <f>IFERROR(__xludf.DUMMYFUNCTION("""COMPUTED_VALUE"""),"")</f>
        <v/>
      </c>
      <c r="I618" s="85"/>
      <c r="J618" s="85"/>
      <c r="K618" s="85"/>
      <c r="L618" s="86" t="str">
        <f>IFERROR(__xludf.DUMMYFUNCTION("""COMPUTED_VALUE"""),"REJECT")</f>
        <v>REJECT</v>
      </c>
      <c r="M618" s="78" t="str">
        <f>IFERROR(__xludf.DUMMYFUNCTION("""COMPUTED_VALUE"""),"")</f>
        <v/>
      </c>
      <c r="N618" s="85"/>
      <c r="O618" s="85"/>
      <c r="P618" s="85"/>
      <c r="Q618" s="86" t="str">
        <f>IFERROR(__xludf.DUMMYFUNCTION("""COMPUTED_VALUE"""),"REJECT")</f>
        <v>REJECT</v>
      </c>
      <c r="R618" s="66"/>
      <c r="S618" s="66"/>
      <c r="T618" s="66"/>
      <c r="U618" s="66"/>
      <c r="V618" s="66"/>
      <c r="W618" s="66"/>
      <c r="X618" s="66"/>
      <c r="Y618" s="66"/>
      <c r="Z618" s="66"/>
      <c r="AA618" s="66"/>
      <c r="AB618" s="66"/>
      <c r="AC618" s="66"/>
      <c r="AD618" s="66"/>
      <c r="AE618" s="66"/>
      <c r="AF618" s="66"/>
      <c r="AG618" s="66"/>
      <c r="AH618" s="66"/>
      <c r="AI618" s="66"/>
      <c r="AJ618" s="66"/>
      <c r="AK618" s="66"/>
      <c r="AL618" s="66"/>
      <c r="AM618" s="66"/>
      <c r="AN618" s="66"/>
      <c r="AO618" s="66"/>
    </row>
    <row r="619">
      <c r="A619" s="93"/>
      <c r="B619" s="85"/>
      <c r="C619" s="86"/>
      <c r="D619" s="93"/>
      <c r="E619" s="85"/>
      <c r="F619" s="85"/>
      <c r="G619" s="86"/>
      <c r="H619" s="78" t="str">
        <f>IFERROR(__xludf.DUMMYFUNCTION("""COMPUTED_VALUE"""),"")</f>
        <v/>
      </c>
      <c r="I619" s="85"/>
      <c r="J619" s="85"/>
      <c r="K619" s="85"/>
      <c r="L619" s="86" t="str">
        <f>IFERROR(__xludf.DUMMYFUNCTION("""COMPUTED_VALUE"""),"REJECT")</f>
        <v>REJECT</v>
      </c>
      <c r="M619" s="78" t="str">
        <f>IFERROR(__xludf.DUMMYFUNCTION("""COMPUTED_VALUE"""),"")</f>
        <v/>
      </c>
      <c r="N619" s="85"/>
      <c r="O619" s="85"/>
      <c r="P619" s="85"/>
      <c r="Q619" s="86" t="str">
        <f>IFERROR(__xludf.DUMMYFUNCTION("""COMPUTED_VALUE"""),"REJECT")</f>
        <v>REJECT</v>
      </c>
      <c r="R619" s="66"/>
      <c r="S619" s="66"/>
      <c r="T619" s="66"/>
      <c r="U619" s="66"/>
      <c r="V619" s="66"/>
      <c r="W619" s="66"/>
      <c r="X619" s="66"/>
      <c r="Y619" s="66"/>
      <c r="Z619" s="66"/>
      <c r="AA619" s="66"/>
      <c r="AB619" s="66"/>
      <c r="AC619" s="66"/>
      <c r="AD619" s="66"/>
      <c r="AE619" s="66"/>
      <c r="AF619" s="66"/>
      <c r="AG619" s="66"/>
      <c r="AH619" s="66"/>
      <c r="AI619" s="66"/>
      <c r="AJ619" s="66"/>
      <c r="AK619" s="66"/>
      <c r="AL619" s="66"/>
      <c r="AM619" s="66"/>
      <c r="AN619" s="66"/>
      <c r="AO619" s="66"/>
    </row>
    <row r="620">
      <c r="A620" s="93"/>
      <c r="B620" s="85"/>
      <c r="C620" s="86"/>
      <c r="D620" s="93"/>
      <c r="E620" s="85"/>
      <c r="F620" s="85"/>
      <c r="G620" s="86"/>
      <c r="H620" s="78" t="str">
        <f>IFERROR(__xludf.DUMMYFUNCTION("""COMPUTED_VALUE"""),"")</f>
        <v/>
      </c>
      <c r="I620" s="85"/>
      <c r="J620" s="85"/>
      <c r="K620" s="85"/>
      <c r="L620" s="86" t="str">
        <f>IFERROR(__xludf.DUMMYFUNCTION("""COMPUTED_VALUE"""),"REJECT")</f>
        <v>REJECT</v>
      </c>
      <c r="M620" s="78" t="str">
        <f>IFERROR(__xludf.DUMMYFUNCTION("""COMPUTED_VALUE"""),"")</f>
        <v/>
      </c>
      <c r="N620" s="85"/>
      <c r="O620" s="85"/>
      <c r="P620" s="85"/>
      <c r="Q620" s="86" t="str">
        <f>IFERROR(__xludf.DUMMYFUNCTION("""COMPUTED_VALUE"""),"REJECT")</f>
        <v>REJECT</v>
      </c>
      <c r="R620" s="66"/>
      <c r="S620" s="66"/>
      <c r="T620" s="66"/>
      <c r="U620" s="66"/>
      <c r="V620" s="66"/>
      <c r="W620" s="66"/>
      <c r="X620" s="66"/>
      <c r="Y620" s="66"/>
      <c r="Z620" s="66"/>
      <c r="AA620" s="66"/>
      <c r="AB620" s="66"/>
      <c r="AC620" s="66"/>
      <c r="AD620" s="66"/>
      <c r="AE620" s="66"/>
      <c r="AF620" s="66"/>
      <c r="AG620" s="66"/>
      <c r="AH620" s="66"/>
      <c r="AI620" s="66"/>
      <c r="AJ620" s="66"/>
      <c r="AK620" s="66"/>
      <c r="AL620" s="66"/>
      <c r="AM620" s="66"/>
      <c r="AN620" s="66"/>
      <c r="AO620" s="66"/>
    </row>
    <row r="621">
      <c r="A621" s="93"/>
      <c r="B621" s="85"/>
      <c r="C621" s="86"/>
      <c r="D621" s="93"/>
      <c r="E621" s="85"/>
      <c r="F621" s="85"/>
      <c r="G621" s="86"/>
      <c r="H621" s="78" t="str">
        <f>IFERROR(__xludf.DUMMYFUNCTION("""COMPUTED_VALUE"""),"")</f>
        <v/>
      </c>
      <c r="I621" s="85"/>
      <c r="J621" s="85"/>
      <c r="K621" s="85"/>
      <c r="L621" s="86" t="str">
        <f>IFERROR(__xludf.DUMMYFUNCTION("""COMPUTED_VALUE"""),"REJECT")</f>
        <v>REJECT</v>
      </c>
      <c r="M621" s="78" t="str">
        <f>IFERROR(__xludf.DUMMYFUNCTION("""COMPUTED_VALUE"""),"")</f>
        <v/>
      </c>
      <c r="N621" s="85"/>
      <c r="O621" s="85"/>
      <c r="P621" s="85"/>
      <c r="Q621" s="86" t="str">
        <f>IFERROR(__xludf.DUMMYFUNCTION("""COMPUTED_VALUE"""),"REJECT")</f>
        <v>REJECT</v>
      </c>
      <c r="R621" s="66"/>
      <c r="S621" s="66"/>
      <c r="T621" s="66"/>
      <c r="U621" s="66"/>
      <c r="V621" s="66"/>
      <c r="W621" s="66"/>
      <c r="X621" s="66"/>
      <c r="Y621" s="66"/>
      <c r="Z621" s="66"/>
      <c r="AA621" s="66"/>
      <c r="AB621" s="66"/>
      <c r="AC621" s="66"/>
      <c r="AD621" s="66"/>
      <c r="AE621" s="66"/>
      <c r="AF621" s="66"/>
      <c r="AG621" s="66"/>
      <c r="AH621" s="66"/>
      <c r="AI621" s="66"/>
      <c r="AJ621" s="66"/>
      <c r="AK621" s="66"/>
      <c r="AL621" s="66"/>
      <c r="AM621" s="66"/>
      <c r="AN621" s="66"/>
      <c r="AO621" s="66"/>
    </row>
    <row r="622">
      <c r="A622" s="93"/>
      <c r="B622" s="85"/>
      <c r="C622" s="86"/>
      <c r="D622" s="93"/>
      <c r="E622" s="85"/>
      <c r="F622" s="85"/>
      <c r="G622" s="86"/>
      <c r="H622" s="78" t="str">
        <f>IFERROR(__xludf.DUMMYFUNCTION("""COMPUTED_VALUE"""),"")</f>
        <v/>
      </c>
      <c r="I622" s="85"/>
      <c r="J622" s="85"/>
      <c r="K622" s="85"/>
      <c r="L622" s="86" t="str">
        <f>IFERROR(__xludf.DUMMYFUNCTION("""COMPUTED_VALUE"""),"REJECT")</f>
        <v>REJECT</v>
      </c>
      <c r="M622" s="78" t="str">
        <f>IFERROR(__xludf.DUMMYFUNCTION("""COMPUTED_VALUE"""),"")</f>
        <v/>
      </c>
      <c r="N622" s="85"/>
      <c r="O622" s="85"/>
      <c r="P622" s="85"/>
      <c r="Q622" s="86" t="str">
        <f>IFERROR(__xludf.DUMMYFUNCTION("""COMPUTED_VALUE"""),"REJECT")</f>
        <v>REJECT</v>
      </c>
      <c r="R622" s="66"/>
      <c r="S622" s="66"/>
      <c r="T622" s="66"/>
      <c r="U622" s="66"/>
      <c r="V622" s="66"/>
      <c r="W622" s="66"/>
      <c r="X622" s="66"/>
      <c r="Y622" s="66"/>
      <c r="Z622" s="66"/>
      <c r="AA622" s="66"/>
      <c r="AB622" s="66"/>
      <c r="AC622" s="66"/>
      <c r="AD622" s="66"/>
      <c r="AE622" s="66"/>
      <c r="AF622" s="66"/>
      <c r="AG622" s="66"/>
      <c r="AH622" s="66"/>
      <c r="AI622" s="66"/>
      <c r="AJ622" s="66"/>
      <c r="AK622" s="66"/>
      <c r="AL622" s="66"/>
      <c r="AM622" s="66"/>
      <c r="AN622" s="66"/>
      <c r="AO622" s="66"/>
    </row>
    <row r="623">
      <c r="A623" s="93"/>
      <c r="B623" s="85"/>
      <c r="C623" s="86"/>
      <c r="D623" s="93"/>
      <c r="E623" s="85"/>
      <c r="F623" s="85"/>
      <c r="G623" s="86"/>
      <c r="H623" s="78" t="str">
        <f>IFERROR(__xludf.DUMMYFUNCTION("""COMPUTED_VALUE"""),"")</f>
        <v/>
      </c>
      <c r="I623" s="85"/>
      <c r="J623" s="85"/>
      <c r="K623" s="85"/>
      <c r="L623" s="86" t="str">
        <f>IFERROR(__xludf.DUMMYFUNCTION("""COMPUTED_VALUE"""),"REJECT")</f>
        <v>REJECT</v>
      </c>
      <c r="M623" s="78" t="str">
        <f>IFERROR(__xludf.DUMMYFUNCTION("""COMPUTED_VALUE"""),"")</f>
        <v/>
      </c>
      <c r="N623" s="85"/>
      <c r="O623" s="85"/>
      <c r="P623" s="85"/>
      <c r="Q623" s="86" t="str">
        <f>IFERROR(__xludf.DUMMYFUNCTION("""COMPUTED_VALUE"""),"REJECT")</f>
        <v>REJECT</v>
      </c>
      <c r="R623" s="66"/>
      <c r="S623" s="66"/>
      <c r="T623" s="66"/>
      <c r="U623" s="66"/>
      <c r="V623" s="66"/>
      <c r="W623" s="66"/>
      <c r="X623" s="66"/>
      <c r="Y623" s="66"/>
      <c r="Z623" s="66"/>
      <c r="AA623" s="66"/>
      <c r="AB623" s="66"/>
      <c r="AC623" s="66"/>
      <c r="AD623" s="66"/>
      <c r="AE623" s="66"/>
      <c r="AF623" s="66"/>
      <c r="AG623" s="66"/>
      <c r="AH623" s="66"/>
      <c r="AI623" s="66"/>
      <c r="AJ623" s="66"/>
      <c r="AK623" s="66"/>
      <c r="AL623" s="66"/>
      <c r="AM623" s="66"/>
      <c r="AN623" s="66"/>
      <c r="AO623" s="66"/>
    </row>
    <row r="624">
      <c r="A624" s="93"/>
      <c r="B624" s="85"/>
      <c r="C624" s="86"/>
      <c r="D624" s="93"/>
      <c r="E624" s="85"/>
      <c r="F624" s="85"/>
      <c r="G624" s="86"/>
      <c r="H624" s="78" t="str">
        <f>IFERROR(__xludf.DUMMYFUNCTION("""COMPUTED_VALUE"""),"")</f>
        <v/>
      </c>
      <c r="I624" s="85"/>
      <c r="J624" s="85"/>
      <c r="K624" s="85"/>
      <c r="L624" s="86" t="str">
        <f>IFERROR(__xludf.DUMMYFUNCTION("""COMPUTED_VALUE"""),"REJECT")</f>
        <v>REJECT</v>
      </c>
      <c r="M624" s="78" t="str">
        <f>IFERROR(__xludf.DUMMYFUNCTION("""COMPUTED_VALUE"""),"")</f>
        <v/>
      </c>
      <c r="N624" s="85"/>
      <c r="O624" s="85"/>
      <c r="P624" s="85"/>
      <c r="Q624" s="86" t="str">
        <f>IFERROR(__xludf.DUMMYFUNCTION("""COMPUTED_VALUE"""),"REJECT")</f>
        <v>REJECT</v>
      </c>
      <c r="R624" s="66"/>
      <c r="S624" s="66"/>
      <c r="T624" s="66"/>
      <c r="U624" s="66"/>
      <c r="V624" s="66"/>
      <c r="W624" s="66"/>
      <c r="X624" s="66"/>
      <c r="Y624" s="66"/>
      <c r="Z624" s="66"/>
      <c r="AA624" s="66"/>
      <c r="AB624" s="66"/>
      <c r="AC624" s="66"/>
      <c r="AD624" s="66"/>
      <c r="AE624" s="66"/>
      <c r="AF624" s="66"/>
      <c r="AG624" s="66"/>
      <c r="AH624" s="66"/>
      <c r="AI624" s="66"/>
      <c r="AJ624" s="66"/>
      <c r="AK624" s="66"/>
      <c r="AL624" s="66"/>
      <c r="AM624" s="66"/>
      <c r="AN624" s="66"/>
      <c r="AO624" s="66"/>
    </row>
    <row r="625">
      <c r="A625" s="93"/>
      <c r="B625" s="85"/>
      <c r="C625" s="86"/>
      <c r="D625" s="93"/>
      <c r="E625" s="85"/>
      <c r="F625" s="85"/>
      <c r="G625" s="86"/>
      <c r="H625" s="78" t="str">
        <f>IFERROR(__xludf.DUMMYFUNCTION("""COMPUTED_VALUE"""),"")</f>
        <v/>
      </c>
      <c r="I625" s="85"/>
      <c r="J625" s="85"/>
      <c r="K625" s="85"/>
      <c r="L625" s="86" t="str">
        <f>IFERROR(__xludf.DUMMYFUNCTION("""COMPUTED_VALUE"""),"REJECT")</f>
        <v>REJECT</v>
      </c>
      <c r="M625" s="78" t="str">
        <f>IFERROR(__xludf.DUMMYFUNCTION("""COMPUTED_VALUE"""),"")</f>
        <v/>
      </c>
      <c r="N625" s="85"/>
      <c r="O625" s="85"/>
      <c r="P625" s="85"/>
      <c r="Q625" s="86" t="str">
        <f>IFERROR(__xludf.DUMMYFUNCTION("""COMPUTED_VALUE"""),"REJECT")</f>
        <v>REJECT</v>
      </c>
      <c r="R625" s="66"/>
      <c r="S625" s="66"/>
      <c r="T625" s="66"/>
      <c r="U625" s="66"/>
      <c r="V625" s="66"/>
      <c r="W625" s="66"/>
      <c r="X625" s="66"/>
      <c r="Y625" s="66"/>
      <c r="Z625" s="66"/>
      <c r="AA625" s="66"/>
      <c r="AB625" s="66"/>
      <c r="AC625" s="66"/>
      <c r="AD625" s="66"/>
      <c r="AE625" s="66"/>
      <c r="AF625" s="66"/>
      <c r="AG625" s="66"/>
      <c r="AH625" s="66"/>
      <c r="AI625" s="66"/>
      <c r="AJ625" s="66"/>
      <c r="AK625" s="66"/>
      <c r="AL625" s="66"/>
      <c r="AM625" s="66"/>
      <c r="AN625" s="66"/>
      <c r="AO625" s="66"/>
    </row>
    <row r="626">
      <c r="A626" s="93"/>
      <c r="B626" s="85"/>
      <c r="C626" s="86"/>
      <c r="D626" s="93"/>
      <c r="E626" s="85"/>
      <c r="F626" s="85"/>
      <c r="G626" s="86"/>
      <c r="H626" s="78" t="str">
        <f>IFERROR(__xludf.DUMMYFUNCTION("""COMPUTED_VALUE"""),"")</f>
        <v/>
      </c>
      <c r="I626" s="85"/>
      <c r="J626" s="85"/>
      <c r="K626" s="85"/>
      <c r="L626" s="86" t="str">
        <f>IFERROR(__xludf.DUMMYFUNCTION("""COMPUTED_VALUE"""),"REJECT")</f>
        <v>REJECT</v>
      </c>
      <c r="M626" s="78" t="str">
        <f>IFERROR(__xludf.DUMMYFUNCTION("""COMPUTED_VALUE"""),"")</f>
        <v/>
      </c>
      <c r="N626" s="85"/>
      <c r="O626" s="85"/>
      <c r="P626" s="85"/>
      <c r="Q626" s="86" t="str">
        <f>IFERROR(__xludf.DUMMYFUNCTION("""COMPUTED_VALUE"""),"REJECT")</f>
        <v>REJECT</v>
      </c>
      <c r="R626" s="66"/>
      <c r="S626" s="66"/>
      <c r="T626" s="66"/>
      <c r="U626" s="66"/>
      <c r="V626" s="66"/>
      <c r="W626" s="66"/>
      <c r="X626" s="66"/>
      <c r="Y626" s="66"/>
      <c r="Z626" s="66"/>
      <c r="AA626" s="66"/>
      <c r="AB626" s="66"/>
      <c r="AC626" s="66"/>
      <c r="AD626" s="66"/>
      <c r="AE626" s="66"/>
      <c r="AF626" s="66"/>
      <c r="AG626" s="66"/>
      <c r="AH626" s="66"/>
      <c r="AI626" s="66"/>
      <c r="AJ626" s="66"/>
      <c r="AK626" s="66"/>
      <c r="AL626" s="66"/>
      <c r="AM626" s="66"/>
      <c r="AN626" s="66"/>
      <c r="AO626" s="66"/>
    </row>
    <row r="627">
      <c r="A627" s="93"/>
      <c r="B627" s="85"/>
      <c r="C627" s="86"/>
      <c r="D627" s="93"/>
      <c r="E627" s="85"/>
      <c r="F627" s="85"/>
      <c r="G627" s="86"/>
      <c r="H627" s="78" t="str">
        <f>IFERROR(__xludf.DUMMYFUNCTION("""COMPUTED_VALUE"""),"")</f>
        <v/>
      </c>
      <c r="I627" s="85"/>
      <c r="J627" s="85"/>
      <c r="K627" s="85"/>
      <c r="L627" s="86" t="str">
        <f>IFERROR(__xludf.DUMMYFUNCTION("""COMPUTED_VALUE"""),"REJECT")</f>
        <v>REJECT</v>
      </c>
      <c r="M627" s="78" t="str">
        <f>IFERROR(__xludf.DUMMYFUNCTION("""COMPUTED_VALUE"""),"")</f>
        <v/>
      </c>
      <c r="N627" s="85"/>
      <c r="O627" s="85"/>
      <c r="P627" s="85"/>
      <c r="Q627" s="86" t="str">
        <f>IFERROR(__xludf.DUMMYFUNCTION("""COMPUTED_VALUE"""),"REJECT")</f>
        <v>REJECT</v>
      </c>
      <c r="R627" s="66"/>
      <c r="S627" s="66"/>
      <c r="T627" s="66"/>
      <c r="U627" s="66"/>
      <c r="V627" s="66"/>
      <c r="W627" s="66"/>
      <c r="X627" s="66"/>
      <c r="Y627" s="66"/>
      <c r="Z627" s="66"/>
      <c r="AA627" s="66"/>
      <c r="AB627" s="66"/>
      <c r="AC627" s="66"/>
      <c r="AD627" s="66"/>
      <c r="AE627" s="66"/>
      <c r="AF627" s="66"/>
      <c r="AG627" s="66"/>
      <c r="AH627" s="66"/>
      <c r="AI627" s="66"/>
      <c r="AJ627" s="66"/>
      <c r="AK627" s="66"/>
      <c r="AL627" s="66"/>
      <c r="AM627" s="66"/>
      <c r="AN627" s="66"/>
      <c r="AO627" s="66"/>
    </row>
    <row r="628">
      <c r="A628" s="93"/>
      <c r="B628" s="85"/>
      <c r="C628" s="86"/>
      <c r="D628" s="93"/>
      <c r="E628" s="85"/>
      <c r="F628" s="85"/>
      <c r="G628" s="86"/>
      <c r="H628" s="78" t="str">
        <f>IFERROR(__xludf.DUMMYFUNCTION("""COMPUTED_VALUE"""),"")</f>
        <v/>
      </c>
      <c r="I628" s="85"/>
      <c r="J628" s="85"/>
      <c r="K628" s="85"/>
      <c r="L628" s="86" t="str">
        <f>IFERROR(__xludf.DUMMYFUNCTION("""COMPUTED_VALUE"""),"REJECT")</f>
        <v>REJECT</v>
      </c>
      <c r="M628" s="78" t="str">
        <f>IFERROR(__xludf.DUMMYFUNCTION("""COMPUTED_VALUE"""),"")</f>
        <v/>
      </c>
      <c r="N628" s="85"/>
      <c r="O628" s="85"/>
      <c r="P628" s="85"/>
      <c r="Q628" s="86" t="str">
        <f>IFERROR(__xludf.DUMMYFUNCTION("""COMPUTED_VALUE"""),"REJECT")</f>
        <v>REJECT</v>
      </c>
      <c r="R628" s="66"/>
      <c r="S628" s="66"/>
      <c r="T628" s="66"/>
      <c r="U628" s="66"/>
      <c r="V628" s="66"/>
      <c r="W628" s="66"/>
      <c r="X628" s="66"/>
      <c r="Y628" s="66"/>
      <c r="Z628" s="66"/>
      <c r="AA628" s="66"/>
      <c r="AB628" s="66"/>
      <c r="AC628" s="66"/>
      <c r="AD628" s="66"/>
      <c r="AE628" s="66"/>
      <c r="AF628" s="66"/>
      <c r="AG628" s="66"/>
      <c r="AH628" s="66"/>
      <c r="AI628" s="66"/>
      <c r="AJ628" s="66"/>
      <c r="AK628" s="66"/>
      <c r="AL628" s="66"/>
      <c r="AM628" s="66"/>
      <c r="AN628" s="66"/>
      <c r="AO628" s="66"/>
    </row>
    <row r="629">
      <c r="A629" s="93"/>
      <c r="B629" s="85"/>
      <c r="C629" s="86"/>
      <c r="D629" s="93"/>
      <c r="E629" s="85"/>
      <c r="F629" s="85"/>
      <c r="G629" s="86"/>
      <c r="H629" s="78" t="str">
        <f>IFERROR(__xludf.DUMMYFUNCTION("""COMPUTED_VALUE"""),"")</f>
        <v/>
      </c>
      <c r="I629" s="85"/>
      <c r="J629" s="85"/>
      <c r="K629" s="85"/>
      <c r="L629" s="86" t="str">
        <f>IFERROR(__xludf.DUMMYFUNCTION("""COMPUTED_VALUE"""),"REJECT")</f>
        <v>REJECT</v>
      </c>
      <c r="M629" s="78" t="str">
        <f>IFERROR(__xludf.DUMMYFUNCTION("""COMPUTED_VALUE"""),"")</f>
        <v/>
      </c>
      <c r="N629" s="85"/>
      <c r="O629" s="85"/>
      <c r="P629" s="85"/>
      <c r="Q629" s="86" t="str">
        <f>IFERROR(__xludf.DUMMYFUNCTION("""COMPUTED_VALUE"""),"REJECT")</f>
        <v>REJECT</v>
      </c>
      <c r="R629" s="66"/>
      <c r="S629" s="66"/>
      <c r="T629" s="66"/>
      <c r="U629" s="66"/>
      <c r="V629" s="66"/>
      <c r="W629" s="66"/>
      <c r="X629" s="66"/>
      <c r="Y629" s="66"/>
      <c r="Z629" s="66"/>
      <c r="AA629" s="66"/>
      <c r="AB629" s="66"/>
      <c r="AC629" s="66"/>
      <c r="AD629" s="66"/>
      <c r="AE629" s="66"/>
      <c r="AF629" s="66"/>
      <c r="AG629" s="66"/>
      <c r="AH629" s="66"/>
      <c r="AI629" s="66"/>
      <c r="AJ629" s="66"/>
      <c r="AK629" s="66"/>
      <c r="AL629" s="66"/>
      <c r="AM629" s="66"/>
      <c r="AN629" s="66"/>
      <c r="AO629" s="66"/>
    </row>
    <row r="630">
      <c r="A630" s="93"/>
      <c r="B630" s="85"/>
      <c r="C630" s="86"/>
      <c r="D630" s="93"/>
      <c r="E630" s="85"/>
      <c r="F630" s="85"/>
      <c r="G630" s="86"/>
      <c r="H630" s="78" t="str">
        <f>IFERROR(__xludf.DUMMYFUNCTION("""COMPUTED_VALUE"""),"")</f>
        <v/>
      </c>
      <c r="I630" s="85"/>
      <c r="J630" s="85"/>
      <c r="K630" s="85"/>
      <c r="L630" s="86" t="str">
        <f>IFERROR(__xludf.DUMMYFUNCTION("""COMPUTED_VALUE"""),"REJECT")</f>
        <v>REJECT</v>
      </c>
      <c r="M630" s="78" t="str">
        <f>IFERROR(__xludf.DUMMYFUNCTION("""COMPUTED_VALUE"""),"")</f>
        <v/>
      </c>
      <c r="N630" s="85"/>
      <c r="O630" s="85"/>
      <c r="P630" s="85"/>
      <c r="Q630" s="86" t="str">
        <f>IFERROR(__xludf.DUMMYFUNCTION("""COMPUTED_VALUE"""),"REJECT")</f>
        <v>REJECT</v>
      </c>
      <c r="R630" s="66"/>
      <c r="S630" s="66"/>
      <c r="T630" s="66"/>
      <c r="U630" s="66"/>
      <c r="V630" s="66"/>
      <c r="W630" s="66"/>
      <c r="X630" s="66"/>
      <c r="Y630" s="66"/>
      <c r="Z630" s="66"/>
      <c r="AA630" s="66"/>
      <c r="AB630" s="66"/>
      <c r="AC630" s="66"/>
      <c r="AD630" s="66"/>
      <c r="AE630" s="66"/>
      <c r="AF630" s="66"/>
      <c r="AG630" s="66"/>
      <c r="AH630" s="66"/>
      <c r="AI630" s="66"/>
      <c r="AJ630" s="66"/>
      <c r="AK630" s="66"/>
      <c r="AL630" s="66"/>
      <c r="AM630" s="66"/>
      <c r="AN630" s="66"/>
      <c r="AO630" s="66"/>
    </row>
    <row r="631">
      <c r="A631" s="93"/>
      <c r="B631" s="85"/>
      <c r="C631" s="86"/>
      <c r="D631" s="93"/>
      <c r="E631" s="85"/>
      <c r="F631" s="85"/>
      <c r="G631" s="86"/>
      <c r="H631" s="78" t="str">
        <f>IFERROR(__xludf.DUMMYFUNCTION("""COMPUTED_VALUE"""),"")</f>
        <v/>
      </c>
      <c r="I631" s="85"/>
      <c r="J631" s="85"/>
      <c r="K631" s="85"/>
      <c r="L631" s="86" t="str">
        <f>IFERROR(__xludf.DUMMYFUNCTION("""COMPUTED_VALUE"""),"REJECT")</f>
        <v>REJECT</v>
      </c>
      <c r="M631" s="78" t="str">
        <f>IFERROR(__xludf.DUMMYFUNCTION("""COMPUTED_VALUE"""),"")</f>
        <v/>
      </c>
      <c r="N631" s="85"/>
      <c r="O631" s="85"/>
      <c r="P631" s="85"/>
      <c r="Q631" s="86" t="str">
        <f>IFERROR(__xludf.DUMMYFUNCTION("""COMPUTED_VALUE"""),"REJECT")</f>
        <v>REJECT</v>
      </c>
      <c r="R631" s="66"/>
      <c r="S631" s="66"/>
      <c r="T631" s="66"/>
      <c r="U631" s="66"/>
      <c r="V631" s="66"/>
      <c r="W631" s="66"/>
      <c r="X631" s="66"/>
      <c r="Y631" s="66"/>
      <c r="Z631" s="66"/>
      <c r="AA631" s="66"/>
      <c r="AB631" s="66"/>
      <c r="AC631" s="66"/>
      <c r="AD631" s="66"/>
      <c r="AE631" s="66"/>
      <c r="AF631" s="66"/>
      <c r="AG631" s="66"/>
      <c r="AH631" s="66"/>
      <c r="AI631" s="66"/>
      <c r="AJ631" s="66"/>
      <c r="AK631" s="66"/>
      <c r="AL631" s="66"/>
      <c r="AM631" s="66"/>
      <c r="AN631" s="66"/>
      <c r="AO631" s="66"/>
    </row>
    <row r="632">
      <c r="A632" s="93"/>
      <c r="B632" s="85"/>
      <c r="C632" s="86"/>
      <c r="D632" s="93"/>
      <c r="E632" s="85"/>
      <c r="F632" s="85"/>
      <c r="G632" s="86"/>
      <c r="H632" s="78" t="str">
        <f>IFERROR(__xludf.DUMMYFUNCTION("""COMPUTED_VALUE"""),"")</f>
        <v/>
      </c>
      <c r="I632" s="85"/>
      <c r="J632" s="85"/>
      <c r="K632" s="85"/>
      <c r="L632" s="86" t="str">
        <f>IFERROR(__xludf.DUMMYFUNCTION("""COMPUTED_VALUE"""),"REJECT")</f>
        <v>REJECT</v>
      </c>
      <c r="M632" s="78" t="str">
        <f>IFERROR(__xludf.DUMMYFUNCTION("""COMPUTED_VALUE"""),"")</f>
        <v/>
      </c>
      <c r="N632" s="85"/>
      <c r="O632" s="85"/>
      <c r="P632" s="85"/>
      <c r="Q632" s="86" t="str">
        <f>IFERROR(__xludf.DUMMYFUNCTION("""COMPUTED_VALUE"""),"REJECT")</f>
        <v>REJECT</v>
      </c>
      <c r="R632" s="66"/>
      <c r="S632" s="66"/>
      <c r="T632" s="66"/>
      <c r="U632" s="66"/>
      <c r="V632" s="66"/>
      <c r="W632" s="66"/>
      <c r="X632" s="66"/>
      <c r="Y632" s="66"/>
      <c r="Z632" s="66"/>
      <c r="AA632" s="66"/>
      <c r="AB632" s="66"/>
      <c r="AC632" s="66"/>
      <c r="AD632" s="66"/>
      <c r="AE632" s="66"/>
      <c r="AF632" s="66"/>
      <c r="AG632" s="66"/>
      <c r="AH632" s="66"/>
      <c r="AI632" s="66"/>
      <c r="AJ632" s="66"/>
      <c r="AK632" s="66"/>
      <c r="AL632" s="66"/>
      <c r="AM632" s="66"/>
      <c r="AN632" s="66"/>
      <c r="AO632" s="66"/>
    </row>
    <row r="633">
      <c r="A633" s="93"/>
      <c r="B633" s="85"/>
      <c r="C633" s="86"/>
      <c r="D633" s="93"/>
      <c r="E633" s="85"/>
      <c r="F633" s="85"/>
      <c r="G633" s="86"/>
      <c r="H633" s="78" t="str">
        <f>IFERROR(__xludf.DUMMYFUNCTION("""COMPUTED_VALUE"""),"")</f>
        <v/>
      </c>
      <c r="I633" s="85"/>
      <c r="J633" s="85"/>
      <c r="K633" s="85"/>
      <c r="L633" s="86" t="str">
        <f>IFERROR(__xludf.DUMMYFUNCTION("""COMPUTED_VALUE"""),"REJECT")</f>
        <v>REJECT</v>
      </c>
      <c r="M633" s="78" t="str">
        <f>IFERROR(__xludf.DUMMYFUNCTION("""COMPUTED_VALUE"""),"")</f>
        <v/>
      </c>
      <c r="N633" s="85"/>
      <c r="O633" s="85"/>
      <c r="P633" s="85"/>
      <c r="Q633" s="86" t="str">
        <f>IFERROR(__xludf.DUMMYFUNCTION("""COMPUTED_VALUE"""),"REJECT")</f>
        <v>REJECT</v>
      </c>
      <c r="R633" s="66"/>
      <c r="S633" s="66"/>
      <c r="T633" s="66"/>
      <c r="U633" s="66"/>
      <c r="V633" s="66"/>
      <c r="W633" s="66"/>
      <c r="X633" s="66"/>
      <c r="Y633" s="66"/>
      <c r="Z633" s="66"/>
      <c r="AA633" s="66"/>
      <c r="AB633" s="66"/>
      <c r="AC633" s="66"/>
      <c r="AD633" s="66"/>
      <c r="AE633" s="66"/>
      <c r="AF633" s="66"/>
      <c r="AG633" s="66"/>
      <c r="AH633" s="66"/>
      <c r="AI633" s="66"/>
      <c r="AJ633" s="66"/>
      <c r="AK633" s="66"/>
      <c r="AL633" s="66"/>
      <c r="AM633" s="66"/>
      <c r="AN633" s="66"/>
      <c r="AO633" s="66"/>
    </row>
    <row r="634">
      <c r="A634" s="93"/>
      <c r="B634" s="85"/>
      <c r="C634" s="86"/>
      <c r="D634" s="93"/>
      <c r="E634" s="85"/>
      <c r="F634" s="85"/>
      <c r="G634" s="86"/>
      <c r="H634" s="78" t="str">
        <f>IFERROR(__xludf.DUMMYFUNCTION("""COMPUTED_VALUE"""),"")</f>
        <v/>
      </c>
      <c r="I634" s="85"/>
      <c r="J634" s="85"/>
      <c r="K634" s="85"/>
      <c r="L634" s="86" t="str">
        <f>IFERROR(__xludf.DUMMYFUNCTION("""COMPUTED_VALUE"""),"REJECT")</f>
        <v>REJECT</v>
      </c>
      <c r="M634" s="78" t="str">
        <f>IFERROR(__xludf.DUMMYFUNCTION("""COMPUTED_VALUE"""),"")</f>
        <v/>
      </c>
      <c r="N634" s="85"/>
      <c r="O634" s="85"/>
      <c r="P634" s="85"/>
      <c r="Q634" s="86" t="str">
        <f>IFERROR(__xludf.DUMMYFUNCTION("""COMPUTED_VALUE"""),"REJECT")</f>
        <v>REJECT</v>
      </c>
      <c r="R634" s="66"/>
      <c r="S634" s="66"/>
      <c r="T634" s="66"/>
      <c r="U634" s="66"/>
      <c r="V634" s="66"/>
      <c r="W634" s="66"/>
      <c r="X634" s="66"/>
      <c r="Y634" s="66"/>
      <c r="Z634" s="66"/>
      <c r="AA634" s="66"/>
      <c r="AB634" s="66"/>
      <c r="AC634" s="66"/>
      <c r="AD634" s="66"/>
      <c r="AE634" s="66"/>
      <c r="AF634" s="66"/>
      <c r="AG634" s="66"/>
      <c r="AH634" s="66"/>
      <c r="AI634" s="66"/>
      <c r="AJ634" s="66"/>
      <c r="AK634" s="66"/>
      <c r="AL634" s="66"/>
      <c r="AM634" s="66"/>
      <c r="AN634" s="66"/>
      <c r="AO634" s="66"/>
    </row>
    <row r="635">
      <c r="A635" s="93"/>
      <c r="B635" s="85"/>
      <c r="C635" s="86"/>
      <c r="D635" s="93"/>
      <c r="E635" s="85"/>
      <c r="F635" s="85"/>
      <c r="G635" s="86"/>
      <c r="H635" s="78" t="str">
        <f>IFERROR(__xludf.DUMMYFUNCTION("""COMPUTED_VALUE"""),"")</f>
        <v/>
      </c>
      <c r="I635" s="85"/>
      <c r="J635" s="85"/>
      <c r="K635" s="85"/>
      <c r="L635" s="86" t="str">
        <f>IFERROR(__xludf.DUMMYFUNCTION("""COMPUTED_VALUE"""),"REJECT")</f>
        <v>REJECT</v>
      </c>
      <c r="M635" s="78" t="str">
        <f>IFERROR(__xludf.DUMMYFUNCTION("""COMPUTED_VALUE"""),"")</f>
        <v/>
      </c>
      <c r="N635" s="85"/>
      <c r="O635" s="85"/>
      <c r="P635" s="85"/>
      <c r="Q635" s="86" t="str">
        <f>IFERROR(__xludf.DUMMYFUNCTION("""COMPUTED_VALUE"""),"REJECT")</f>
        <v>REJECT</v>
      </c>
      <c r="R635" s="66"/>
      <c r="S635" s="66"/>
      <c r="T635" s="66"/>
      <c r="U635" s="66"/>
      <c r="V635" s="66"/>
      <c r="W635" s="66"/>
      <c r="X635" s="66"/>
      <c r="Y635" s="66"/>
      <c r="Z635" s="66"/>
      <c r="AA635" s="66"/>
      <c r="AB635" s="66"/>
      <c r="AC635" s="66"/>
      <c r="AD635" s="66"/>
      <c r="AE635" s="66"/>
      <c r="AF635" s="66"/>
      <c r="AG635" s="66"/>
      <c r="AH635" s="66"/>
      <c r="AI635" s="66"/>
      <c r="AJ635" s="66"/>
      <c r="AK635" s="66"/>
      <c r="AL635" s="66"/>
      <c r="AM635" s="66"/>
      <c r="AN635" s="66"/>
      <c r="AO635" s="66"/>
    </row>
    <row r="636">
      <c r="A636" s="93"/>
      <c r="B636" s="85"/>
      <c r="C636" s="86"/>
      <c r="D636" s="93"/>
      <c r="E636" s="85"/>
      <c r="F636" s="85"/>
      <c r="G636" s="86"/>
      <c r="H636" s="78" t="str">
        <f>IFERROR(__xludf.DUMMYFUNCTION("""COMPUTED_VALUE"""),"")</f>
        <v/>
      </c>
      <c r="I636" s="85"/>
      <c r="J636" s="85"/>
      <c r="K636" s="85"/>
      <c r="L636" s="86" t="str">
        <f>IFERROR(__xludf.DUMMYFUNCTION("""COMPUTED_VALUE"""),"REJECT")</f>
        <v>REJECT</v>
      </c>
      <c r="M636" s="78" t="str">
        <f>IFERROR(__xludf.DUMMYFUNCTION("""COMPUTED_VALUE"""),"")</f>
        <v/>
      </c>
      <c r="N636" s="85"/>
      <c r="O636" s="85"/>
      <c r="P636" s="85"/>
      <c r="Q636" s="86" t="str">
        <f>IFERROR(__xludf.DUMMYFUNCTION("""COMPUTED_VALUE"""),"REJECT")</f>
        <v>REJECT</v>
      </c>
      <c r="R636" s="66"/>
      <c r="S636" s="66"/>
      <c r="T636" s="66"/>
      <c r="U636" s="66"/>
      <c r="V636" s="66"/>
      <c r="W636" s="66"/>
      <c r="X636" s="66"/>
      <c r="Y636" s="66"/>
      <c r="Z636" s="66"/>
      <c r="AA636" s="66"/>
      <c r="AB636" s="66"/>
      <c r="AC636" s="66"/>
      <c r="AD636" s="66"/>
      <c r="AE636" s="66"/>
      <c r="AF636" s="66"/>
      <c r="AG636" s="66"/>
      <c r="AH636" s="66"/>
      <c r="AI636" s="66"/>
      <c r="AJ636" s="66"/>
      <c r="AK636" s="66"/>
      <c r="AL636" s="66"/>
      <c r="AM636" s="66"/>
      <c r="AN636" s="66"/>
      <c r="AO636" s="66"/>
    </row>
    <row r="637">
      <c r="A637" s="93"/>
      <c r="B637" s="85"/>
      <c r="C637" s="86"/>
      <c r="D637" s="93"/>
      <c r="E637" s="85"/>
      <c r="F637" s="85"/>
      <c r="G637" s="86"/>
      <c r="H637" s="78" t="str">
        <f>IFERROR(__xludf.DUMMYFUNCTION("""COMPUTED_VALUE"""),"")</f>
        <v/>
      </c>
      <c r="I637" s="85"/>
      <c r="J637" s="85"/>
      <c r="K637" s="85"/>
      <c r="L637" s="86" t="str">
        <f>IFERROR(__xludf.DUMMYFUNCTION("""COMPUTED_VALUE"""),"REJECT")</f>
        <v>REJECT</v>
      </c>
      <c r="M637" s="78" t="str">
        <f>IFERROR(__xludf.DUMMYFUNCTION("""COMPUTED_VALUE"""),"")</f>
        <v/>
      </c>
      <c r="N637" s="85"/>
      <c r="O637" s="85"/>
      <c r="P637" s="85"/>
      <c r="Q637" s="86" t="str">
        <f>IFERROR(__xludf.DUMMYFUNCTION("""COMPUTED_VALUE"""),"REJECT")</f>
        <v>REJECT</v>
      </c>
      <c r="R637" s="66"/>
      <c r="S637" s="66"/>
      <c r="T637" s="66"/>
      <c r="U637" s="66"/>
      <c r="V637" s="66"/>
      <c r="W637" s="66"/>
      <c r="X637" s="66"/>
      <c r="Y637" s="66"/>
      <c r="Z637" s="66"/>
      <c r="AA637" s="66"/>
      <c r="AB637" s="66"/>
      <c r="AC637" s="66"/>
      <c r="AD637" s="66"/>
      <c r="AE637" s="66"/>
      <c r="AF637" s="66"/>
      <c r="AG637" s="66"/>
      <c r="AH637" s="66"/>
      <c r="AI637" s="66"/>
      <c r="AJ637" s="66"/>
      <c r="AK637" s="66"/>
      <c r="AL637" s="66"/>
      <c r="AM637" s="66"/>
      <c r="AN637" s="66"/>
      <c r="AO637" s="66"/>
    </row>
    <row r="638">
      <c r="A638" s="93"/>
      <c r="B638" s="85"/>
      <c r="C638" s="86"/>
      <c r="D638" s="93"/>
      <c r="E638" s="85"/>
      <c r="F638" s="85"/>
      <c r="G638" s="86"/>
      <c r="H638" s="78" t="str">
        <f>IFERROR(__xludf.DUMMYFUNCTION("""COMPUTED_VALUE"""),"")</f>
        <v/>
      </c>
      <c r="I638" s="85"/>
      <c r="J638" s="85"/>
      <c r="K638" s="85"/>
      <c r="L638" s="86" t="str">
        <f>IFERROR(__xludf.DUMMYFUNCTION("""COMPUTED_VALUE"""),"REJECT")</f>
        <v>REJECT</v>
      </c>
      <c r="M638" s="78" t="str">
        <f>IFERROR(__xludf.DUMMYFUNCTION("""COMPUTED_VALUE"""),"")</f>
        <v/>
      </c>
      <c r="N638" s="85"/>
      <c r="O638" s="85"/>
      <c r="P638" s="85"/>
      <c r="Q638" s="86" t="str">
        <f>IFERROR(__xludf.DUMMYFUNCTION("""COMPUTED_VALUE"""),"REJECT")</f>
        <v>REJECT</v>
      </c>
      <c r="R638" s="66"/>
      <c r="S638" s="66"/>
      <c r="T638" s="66"/>
      <c r="U638" s="66"/>
      <c r="V638" s="66"/>
      <c r="W638" s="66"/>
      <c r="X638" s="66"/>
      <c r="Y638" s="66"/>
      <c r="Z638" s="66"/>
      <c r="AA638" s="66"/>
      <c r="AB638" s="66"/>
      <c r="AC638" s="66"/>
      <c r="AD638" s="66"/>
      <c r="AE638" s="66"/>
      <c r="AF638" s="66"/>
      <c r="AG638" s="66"/>
      <c r="AH638" s="66"/>
      <c r="AI638" s="66"/>
      <c r="AJ638" s="66"/>
      <c r="AK638" s="66"/>
      <c r="AL638" s="66"/>
      <c r="AM638" s="66"/>
      <c r="AN638" s="66"/>
      <c r="AO638" s="66"/>
    </row>
    <row r="639">
      <c r="A639" s="93"/>
      <c r="B639" s="85"/>
      <c r="C639" s="86"/>
      <c r="D639" s="93"/>
      <c r="E639" s="85"/>
      <c r="F639" s="85"/>
      <c r="G639" s="86"/>
      <c r="H639" s="78" t="str">
        <f>IFERROR(__xludf.DUMMYFUNCTION("""COMPUTED_VALUE"""),"")</f>
        <v/>
      </c>
      <c r="I639" s="85"/>
      <c r="J639" s="85"/>
      <c r="K639" s="85"/>
      <c r="L639" s="86" t="str">
        <f>IFERROR(__xludf.DUMMYFUNCTION("""COMPUTED_VALUE"""),"REJECT")</f>
        <v>REJECT</v>
      </c>
      <c r="M639" s="78" t="str">
        <f>IFERROR(__xludf.DUMMYFUNCTION("""COMPUTED_VALUE"""),"")</f>
        <v/>
      </c>
      <c r="N639" s="85"/>
      <c r="O639" s="85"/>
      <c r="P639" s="85"/>
      <c r="Q639" s="86" t="str">
        <f>IFERROR(__xludf.DUMMYFUNCTION("""COMPUTED_VALUE"""),"REJECT")</f>
        <v>REJECT</v>
      </c>
      <c r="R639" s="66"/>
      <c r="S639" s="66"/>
      <c r="T639" s="66"/>
      <c r="U639" s="66"/>
      <c r="V639" s="66"/>
      <c r="W639" s="66"/>
      <c r="X639" s="66"/>
      <c r="Y639" s="66"/>
      <c r="Z639" s="66"/>
      <c r="AA639" s="66"/>
      <c r="AB639" s="66"/>
      <c r="AC639" s="66"/>
      <c r="AD639" s="66"/>
      <c r="AE639" s="66"/>
      <c r="AF639" s="66"/>
      <c r="AG639" s="66"/>
      <c r="AH639" s="66"/>
      <c r="AI639" s="66"/>
      <c r="AJ639" s="66"/>
      <c r="AK639" s="66"/>
      <c r="AL639" s="66"/>
      <c r="AM639" s="66"/>
      <c r="AN639" s="66"/>
      <c r="AO639" s="66"/>
    </row>
    <row r="640">
      <c r="A640" s="93"/>
      <c r="B640" s="85"/>
      <c r="C640" s="86"/>
      <c r="D640" s="93"/>
      <c r="E640" s="85"/>
      <c r="F640" s="85"/>
      <c r="G640" s="86"/>
      <c r="H640" s="78" t="str">
        <f>IFERROR(__xludf.DUMMYFUNCTION("""COMPUTED_VALUE"""),"")</f>
        <v/>
      </c>
      <c r="I640" s="85"/>
      <c r="J640" s="85"/>
      <c r="K640" s="85"/>
      <c r="L640" s="86" t="str">
        <f>IFERROR(__xludf.DUMMYFUNCTION("""COMPUTED_VALUE"""),"REJECT")</f>
        <v>REJECT</v>
      </c>
      <c r="M640" s="78" t="str">
        <f>IFERROR(__xludf.DUMMYFUNCTION("""COMPUTED_VALUE"""),"")</f>
        <v/>
      </c>
      <c r="N640" s="85"/>
      <c r="O640" s="85"/>
      <c r="P640" s="85"/>
      <c r="Q640" s="86" t="str">
        <f>IFERROR(__xludf.DUMMYFUNCTION("""COMPUTED_VALUE"""),"REJECT")</f>
        <v>REJECT</v>
      </c>
      <c r="R640" s="66"/>
      <c r="S640" s="66"/>
      <c r="T640" s="66"/>
      <c r="U640" s="66"/>
      <c r="V640" s="66"/>
      <c r="W640" s="66"/>
      <c r="X640" s="66"/>
      <c r="Y640" s="66"/>
      <c r="Z640" s="66"/>
      <c r="AA640" s="66"/>
      <c r="AB640" s="66"/>
      <c r="AC640" s="66"/>
      <c r="AD640" s="66"/>
      <c r="AE640" s="66"/>
      <c r="AF640" s="66"/>
      <c r="AG640" s="66"/>
      <c r="AH640" s="66"/>
      <c r="AI640" s="66"/>
      <c r="AJ640" s="66"/>
      <c r="AK640" s="66"/>
      <c r="AL640" s="66"/>
      <c r="AM640" s="66"/>
      <c r="AN640" s="66"/>
      <c r="AO640" s="66"/>
    </row>
    <row r="641">
      <c r="A641" s="93"/>
      <c r="B641" s="85"/>
      <c r="C641" s="86"/>
      <c r="D641" s="93"/>
      <c r="E641" s="85"/>
      <c r="F641" s="85"/>
      <c r="G641" s="86"/>
      <c r="H641" s="78" t="str">
        <f>IFERROR(__xludf.DUMMYFUNCTION("""COMPUTED_VALUE"""),"")</f>
        <v/>
      </c>
      <c r="I641" s="85"/>
      <c r="J641" s="85"/>
      <c r="K641" s="85"/>
      <c r="L641" s="86" t="str">
        <f>IFERROR(__xludf.DUMMYFUNCTION("""COMPUTED_VALUE"""),"REJECT")</f>
        <v>REJECT</v>
      </c>
      <c r="M641" s="78" t="str">
        <f>IFERROR(__xludf.DUMMYFUNCTION("""COMPUTED_VALUE"""),"")</f>
        <v/>
      </c>
      <c r="N641" s="85"/>
      <c r="O641" s="85"/>
      <c r="P641" s="85"/>
      <c r="Q641" s="86" t="str">
        <f>IFERROR(__xludf.DUMMYFUNCTION("""COMPUTED_VALUE"""),"REJECT")</f>
        <v>REJECT</v>
      </c>
      <c r="R641" s="66"/>
      <c r="S641" s="66"/>
      <c r="T641" s="66"/>
      <c r="U641" s="66"/>
      <c r="V641" s="66"/>
      <c r="W641" s="66"/>
      <c r="X641" s="66"/>
      <c r="Y641" s="66"/>
      <c r="Z641" s="66"/>
      <c r="AA641" s="66"/>
      <c r="AB641" s="66"/>
      <c r="AC641" s="66"/>
      <c r="AD641" s="66"/>
      <c r="AE641" s="66"/>
      <c r="AF641" s="66"/>
      <c r="AG641" s="66"/>
      <c r="AH641" s="66"/>
      <c r="AI641" s="66"/>
      <c r="AJ641" s="66"/>
      <c r="AK641" s="66"/>
      <c r="AL641" s="66"/>
      <c r="AM641" s="66"/>
      <c r="AN641" s="66"/>
      <c r="AO641" s="66"/>
    </row>
    <row r="642">
      <c r="A642" s="93"/>
      <c r="B642" s="85"/>
      <c r="C642" s="86"/>
      <c r="D642" s="93"/>
      <c r="E642" s="85"/>
      <c r="F642" s="85"/>
      <c r="G642" s="86"/>
      <c r="H642" s="78" t="str">
        <f>IFERROR(__xludf.DUMMYFUNCTION("""COMPUTED_VALUE"""),"")</f>
        <v/>
      </c>
      <c r="I642" s="85"/>
      <c r="J642" s="85"/>
      <c r="K642" s="85"/>
      <c r="L642" s="86" t="str">
        <f>IFERROR(__xludf.DUMMYFUNCTION("""COMPUTED_VALUE"""),"REJECT")</f>
        <v>REJECT</v>
      </c>
      <c r="M642" s="78" t="str">
        <f>IFERROR(__xludf.DUMMYFUNCTION("""COMPUTED_VALUE"""),"")</f>
        <v/>
      </c>
      <c r="N642" s="85"/>
      <c r="O642" s="85"/>
      <c r="P642" s="85"/>
      <c r="Q642" s="86" t="str">
        <f>IFERROR(__xludf.DUMMYFUNCTION("""COMPUTED_VALUE"""),"REJECT")</f>
        <v>REJECT</v>
      </c>
      <c r="R642" s="66"/>
      <c r="S642" s="66"/>
      <c r="T642" s="66"/>
      <c r="U642" s="66"/>
      <c r="V642" s="66"/>
      <c r="W642" s="66"/>
      <c r="X642" s="66"/>
      <c r="Y642" s="66"/>
      <c r="Z642" s="66"/>
      <c r="AA642" s="66"/>
      <c r="AB642" s="66"/>
      <c r="AC642" s="66"/>
      <c r="AD642" s="66"/>
      <c r="AE642" s="66"/>
      <c r="AF642" s="66"/>
      <c r="AG642" s="66"/>
      <c r="AH642" s="66"/>
      <c r="AI642" s="66"/>
      <c r="AJ642" s="66"/>
      <c r="AK642" s="66"/>
      <c r="AL642" s="66"/>
      <c r="AM642" s="66"/>
      <c r="AN642" s="66"/>
      <c r="AO642" s="66"/>
    </row>
    <row r="643">
      <c r="A643" s="93"/>
      <c r="B643" s="85"/>
      <c r="C643" s="86"/>
      <c r="D643" s="93"/>
      <c r="E643" s="85"/>
      <c r="F643" s="85"/>
      <c r="G643" s="86"/>
      <c r="H643" s="78" t="str">
        <f>IFERROR(__xludf.DUMMYFUNCTION("""COMPUTED_VALUE"""),"")</f>
        <v/>
      </c>
      <c r="I643" s="85"/>
      <c r="J643" s="85"/>
      <c r="K643" s="85"/>
      <c r="L643" s="86" t="str">
        <f>IFERROR(__xludf.DUMMYFUNCTION("""COMPUTED_VALUE"""),"REJECT")</f>
        <v>REJECT</v>
      </c>
      <c r="M643" s="78" t="str">
        <f>IFERROR(__xludf.DUMMYFUNCTION("""COMPUTED_VALUE"""),"")</f>
        <v/>
      </c>
      <c r="N643" s="85"/>
      <c r="O643" s="85"/>
      <c r="P643" s="85"/>
      <c r="Q643" s="86" t="str">
        <f>IFERROR(__xludf.DUMMYFUNCTION("""COMPUTED_VALUE"""),"REJECT")</f>
        <v>REJECT</v>
      </c>
      <c r="R643" s="66"/>
      <c r="S643" s="66"/>
      <c r="T643" s="66"/>
      <c r="U643" s="66"/>
      <c r="V643" s="66"/>
      <c r="W643" s="66"/>
      <c r="X643" s="66"/>
      <c r="Y643" s="66"/>
      <c r="Z643" s="66"/>
      <c r="AA643" s="66"/>
      <c r="AB643" s="66"/>
      <c r="AC643" s="66"/>
      <c r="AD643" s="66"/>
      <c r="AE643" s="66"/>
      <c r="AF643" s="66"/>
      <c r="AG643" s="66"/>
      <c r="AH643" s="66"/>
      <c r="AI643" s="66"/>
      <c r="AJ643" s="66"/>
      <c r="AK643" s="66"/>
      <c r="AL643" s="66"/>
      <c r="AM643" s="66"/>
      <c r="AN643" s="66"/>
      <c r="AO643" s="66"/>
    </row>
    <row r="644">
      <c r="A644" s="93"/>
      <c r="B644" s="85"/>
      <c r="C644" s="86"/>
      <c r="D644" s="93"/>
      <c r="E644" s="85"/>
      <c r="F644" s="85"/>
      <c r="G644" s="86"/>
      <c r="H644" s="78" t="str">
        <f>IFERROR(__xludf.DUMMYFUNCTION("""COMPUTED_VALUE"""),"")</f>
        <v/>
      </c>
      <c r="I644" s="85"/>
      <c r="J644" s="85"/>
      <c r="K644" s="85"/>
      <c r="L644" s="86" t="str">
        <f>IFERROR(__xludf.DUMMYFUNCTION("""COMPUTED_VALUE"""),"REJECT")</f>
        <v>REJECT</v>
      </c>
      <c r="M644" s="78" t="str">
        <f>IFERROR(__xludf.DUMMYFUNCTION("""COMPUTED_VALUE"""),"")</f>
        <v/>
      </c>
      <c r="N644" s="85"/>
      <c r="O644" s="85"/>
      <c r="P644" s="85"/>
      <c r="Q644" s="86" t="str">
        <f>IFERROR(__xludf.DUMMYFUNCTION("""COMPUTED_VALUE"""),"REJECT")</f>
        <v>REJECT</v>
      </c>
      <c r="R644" s="66"/>
      <c r="S644" s="66"/>
      <c r="T644" s="66"/>
      <c r="U644" s="66"/>
      <c r="V644" s="66"/>
      <c r="W644" s="66"/>
      <c r="X644" s="66"/>
      <c r="Y644" s="66"/>
      <c r="Z644" s="66"/>
      <c r="AA644" s="66"/>
      <c r="AB644" s="66"/>
      <c r="AC644" s="66"/>
      <c r="AD644" s="66"/>
      <c r="AE644" s="66"/>
      <c r="AF644" s="66"/>
      <c r="AG644" s="66"/>
      <c r="AH644" s="66"/>
      <c r="AI644" s="66"/>
      <c r="AJ644" s="66"/>
      <c r="AK644" s="66"/>
      <c r="AL644" s="66"/>
      <c r="AM644" s="66"/>
      <c r="AN644" s="66"/>
      <c r="AO644" s="66"/>
    </row>
    <row r="645">
      <c r="A645" s="93"/>
      <c r="B645" s="85"/>
      <c r="C645" s="86"/>
      <c r="D645" s="93"/>
      <c r="E645" s="85"/>
      <c r="F645" s="85"/>
      <c r="G645" s="86"/>
      <c r="H645" s="78" t="str">
        <f>IFERROR(__xludf.DUMMYFUNCTION("""COMPUTED_VALUE"""),"")</f>
        <v/>
      </c>
      <c r="I645" s="85"/>
      <c r="J645" s="85"/>
      <c r="K645" s="85"/>
      <c r="L645" s="86" t="str">
        <f>IFERROR(__xludf.DUMMYFUNCTION("""COMPUTED_VALUE"""),"REJECT")</f>
        <v>REJECT</v>
      </c>
      <c r="M645" s="78" t="str">
        <f>IFERROR(__xludf.DUMMYFUNCTION("""COMPUTED_VALUE"""),"")</f>
        <v/>
      </c>
      <c r="N645" s="85"/>
      <c r="O645" s="85"/>
      <c r="P645" s="85"/>
      <c r="Q645" s="86" t="str">
        <f>IFERROR(__xludf.DUMMYFUNCTION("""COMPUTED_VALUE"""),"REJECT")</f>
        <v>REJECT</v>
      </c>
      <c r="R645" s="66"/>
      <c r="S645" s="66"/>
      <c r="T645" s="66"/>
      <c r="U645" s="66"/>
      <c r="V645" s="66"/>
      <c r="W645" s="66"/>
      <c r="X645" s="66"/>
      <c r="Y645" s="66"/>
      <c r="Z645" s="66"/>
      <c r="AA645" s="66"/>
      <c r="AB645" s="66"/>
      <c r="AC645" s="66"/>
      <c r="AD645" s="66"/>
      <c r="AE645" s="66"/>
      <c r="AF645" s="66"/>
      <c r="AG645" s="66"/>
      <c r="AH645" s="66"/>
      <c r="AI645" s="66"/>
      <c r="AJ645" s="66"/>
      <c r="AK645" s="66"/>
      <c r="AL645" s="66"/>
      <c r="AM645" s="66"/>
      <c r="AN645" s="66"/>
      <c r="AO645" s="66"/>
    </row>
    <row r="646">
      <c r="A646" s="93"/>
      <c r="B646" s="85"/>
      <c r="C646" s="86"/>
      <c r="D646" s="93"/>
      <c r="E646" s="85"/>
      <c r="F646" s="85"/>
      <c r="G646" s="86"/>
      <c r="H646" s="78" t="str">
        <f>IFERROR(__xludf.DUMMYFUNCTION("""COMPUTED_VALUE"""),"")</f>
        <v/>
      </c>
      <c r="I646" s="85"/>
      <c r="J646" s="85"/>
      <c r="K646" s="85"/>
      <c r="L646" s="86" t="str">
        <f>IFERROR(__xludf.DUMMYFUNCTION("""COMPUTED_VALUE"""),"REJECT")</f>
        <v>REJECT</v>
      </c>
      <c r="M646" s="78" t="str">
        <f>IFERROR(__xludf.DUMMYFUNCTION("""COMPUTED_VALUE"""),"")</f>
        <v/>
      </c>
      <c r="N646" s="85"/>
      <c r="O646" s="85"/>
      <c r="P646" s="85"/>
      <c r="Q646" s="86" t="str">
        <f>IFERROR(__xludf.DUMMYFUNCTION("""COMPUTED_VALUE"""),"REJECT")</f>
        <v>REJECT</v>
      </c>
      <c r="R646" s="66"/>
      <c r="S646" s="66"/>
      <c r="T646" s="66"/>
      <c r="U646" s="66"/>
      <c r="V646" s="66"/>
      <c r="W646" s="66"/>
      <c r="X646" s="66"/>
      <c r="Y646" s="66"/>
      <c r="Z646" s="66"/>
      <c r="AA646" s="66"/>
      <c r="AB646" s="66"/>
      <c r="AC646" s="66"/>
      <c r="AD646" s="66"/>
      <c r="AE646" s="66"/>
      <c r="AF646" s="66"/>
      <c r="AG646" s="66"/>
      <c r="AH646" s="66"/>
      <c r="AI646" s="66"/>
      <c r="AJ646" s="66"/>
      <c r="AK646" s="66"/>
      <c r="AL646" s="66"/>
      <c r="AM646" s="66"/>
      <c r="AN646" s="66"/>
      <c r="AO646" s="66"/>
    </row>
    <row r="647">
      <c r="A647" s="93"/>
      <c r="B647" s="85"/>
      <c r="C647" s="86"/>
      <c r="D647" s="93"/>
      <c r="E647" s="85"/>
      <c r="F647" s="85"/>
      <c r="G647" s="86"/>
      <c r="H647" s="78" t="str">
        <f>IFERROR(__xludf.DUMMYFUNCTION("""COMPUTED_VALUE"""),"")</f>
        <v/>
      </c>
      <c r="I647" s="85"/>
      <c r="J647" s="85"/>
      <c r="K647" s="85"/>
      <c r="L647" s="86" t="str">
        <f>IFERROR(__xludf.DUMMYFUNCTION("""COMPUTED_VALUE"""),"REJECT")</f>
        <v>REJECT</v>
      </c>
      <c r="M647" s="78" t="str">
        <f>IFERROR(__xludf.DUMMYFUNCTION("""COMPUTED_VALUE"""),"")</f>
        <v/>
      </c>
      <c r="N647" s="85"/>
      <c r="O647" s="85"/>
      <c r="P647" s="85"/>
      <c r="Q647" s="86" t="str">
        <f>IFERROR(__xludf.DUMMYFUNCTION("""COMPUTED_VALUE"""),"REJECT")</f>
        <v>REJECT</v>
      </c>
      <c r="R647" s="66"/>
      <c r="S647" s="66"/>
      <c r="T647" s="66"/>
      <c r="U647" s="66"/>
      <c r="V647" s="66"/>
      <c r="W647" s="66"/>
      <c r="X647" s="66"/>
      <c r="Y647" s="66"/>
      <c r="Z647" s="66"/>
      <c r="AA647" s="66"/>
      <c r="AB647" s="66"/>
      <c r="AC647" s="66"/>
      <c r="AD647" s="66"/>
      <c r="AE647" s="66"/>
      <c r="AF647" s="66"/>
      <c r="AG647" s="66"/>
      <c r="AH647" s="66"/>
      <c r="AI647" s="66"/>
      <c r="AJ647" s="66"/>
      <c r="AK647" s="66"/>
      <c r="AL647" s="66"/>
      <c r="AM647" s="66"/>
      <c r="AN647" s="66"/>
      <c r="AO647" s="66"/>
    </row>
    <row r="648">
      <c r="A648" s="93"/>
      <c r="B648" s="85"/>
      <c r="C648" s="86"/>
      <c r="D648" s="93"/>
      <c r="E648" s="85"/>
      <c r="F648" s="85"/>
      <c r="G648" s="86"/>
      <c r="H648" s="78" t="str">
        <f>IFERROR(__xludf.DUMMYFUNCTION("""COMPUTED_VALUE"""),"")</f>
        <v/>
      </c>
      <c r="I648" s="85"/>
      <c r="J648" s="85"/>
      <c r="K648" s="85"/>
      <c r="L648" s="86" t="str">
        <f>IFERROR(__xludf.DUMMYFUNCTION("""COMPUTED_VALUE"""),"REJECT")</f>
        <v>REJECT</v>
      </c>
      <c r="M648" s="78" t="str">
        <f>IFERROR(__xludf.DUMMYFUNCTION("""COMPUTED_VALUE"""),"")</f>
        <v/>
      </c>
      <c r="N648" s="85"/>
      <c r="O648" s="85"/>
      <c r="P648" s="85"/>
      <c r="Q648" s="86" t="str">
        <f>IFERROR(__xludf.DUMMYFUNCTION("""COMPUTED_VALUE"""),"REJECT")</f>
        <v>REJECT</v>
      </c>
      <c r="R648" s="66"/>
      <c r="S648" s="66"/>
      <c r="T648" s="66"/>
      <c r="U648" s="66"/>
      <c r="V648" s="66"/>
      <c r="W648" s="66"/>
      <c r="X648" s="66"/>
      <c r="Y648" s="66"/>
      <c r="Z648" s="66"/>
      <c r="AA648" s="66"/>
      <c r="AB648" s="66"/>
      <c r="AC648" s="66"/>
      <c r="AD648" s="66"/>
      <c r="AE648" s="66"/>
      <c r="AF648" s="66"/>
      <c r="AG648" s="66"/>
      <c r="AH648" s="66"/>
      <c r="AI648" s="66"/>
      <c r="AJ648" s="66"/>
      <c r="AK648" s="66"/>
      <c r="AL648" s="66"/>
      <c r="AM648" s="66"/>
      <c r="AN648" s="66"/>
      <c r="AO648" s="66"/>
    </row>
    <row r="649">
      <c r="A649" s="93"/>
      <c r="B649" s="85"/>
      <c r="C649" s="86"/>
      <c r="D649" s="93"/>
      <c r="E649" s="85"/>
      <c r="F649" s="85"/>
      <c r="G649" s="86"/>
      <c r="H649" s="78" t="str">
        <f>IFERROR(__xludf.DUMMYFUNCTION("""COMPUTED_VALUE"""),"")</f>
        <v/>
      </c>
      <c r="I649" s="85"/>
      <c r="J649" s="85"/>
      <c r="K649" s="85"/>
      <c r="L649" s="86" t="str">
        <f>IFERROR(__xludf.DUMMYFUNCTION("""COMPUTED_VALUE"""),"REJECT")</f>
        <v>REJECT</v>
      </c>
      <c r="M649" s="78" t="str">
        <f>IFERROR(__xludf.DUMMYFUNCTION("""COMPUTED_VALUE"""),"")</f>
        <v/>
      </c>
      <c r="N649" s="85"/>
      <c r="O649" s="85"/>
      <c r="P649" s="85"/>
      <c r="Q649" s="86" t="str">
        <f>IFERROR(__xludf.DUMMYFUNCTION("""COMPUTED_VALUE"""),"REJECT")</f>
        <v>REJECT</v>
      </c>
      <c r="R649" s="66"/>
      <c r="S649" s="66"/>
      <c r="T649" s="66"/>
      <c r="U649" s="66"/>
      <c r="V649" s="66"/>
      <c r="W649" s="66"/>
      <c r="X649" s="66"/>
      <c r="Y649" s="66"/>
      <c r="Z649" s="66"/>
      <c r="AA649" s="66"/>
      <c r="AB649" s="66"/>
      <c r="AC649" s="66"/>
      <c r="AD649" s="66"/>
      <c r="AE649" s="66"/>
      <c r="AF649" s="66"/>
      <c r="AG649" s="66"/>
      <c r="AH649" s="66"/>
      <c r="AI649" s="66"/>
      <c r="AJ649" s="66"/>
      <c r="AK649" s="66"/>
      <c r="AL649" s="66"/>
      <c r="AM649" s="66"/>
      <c r="AN649" s="66"/>
      <c r="AO649" s="66"/>
    </row>
    <row r="650">
      <c r="A650" s="93"/>
      <c r="B650" s="85"/>
      <c r="C650" s="86"/>
      <c r="D650" s="93"/>
      <c r="E650" s="85"/>
      <c r="F650" s="85"/>
      <c r="G650" s="86"/>
      <c r="H650" s="78" t="str">
        <f>IFERROR(__xludf.DUMMYFUNCTION("""COMPUTED_VALUE"""),"")</f>
        <v/>
      </c>
      <c r="I650" s="85"/>
      <c r="J650" s="85"/>
      <c r="K650" s="85"/>
      <c r="L650" s="86" t="str">
        <f>IFERROR(__xludf.DUMMYFUNCTION("""COMPUTED_VALUE"""),"REJECT")</f>
        <v>REJECT</v>
      </c>
      <c r="M650" s="78" t="str">
        <f>IFERROR(__xludf.DUMMYFUNCTION("""COMPUTED_VALUE"""),"")</f>
        <v/>
      </c>
      <c r="N650" s="85"/>
      <c r="O650" s="85"/>
      <c r="P650" s="85"/>
      <c r="Q650" s="86" t="str">
        <f>IFERROR(__xludf.DUMMYFUNCTION("""COMPUTED_VALUE"""),"REJECT")</f>
        <v>REJECT</v>
      </c>
      <c r="R650" s="66"/>
      <c r="S650" s="66"/>
      <c r="T650" s="66"/>
      <c r="U650" s="66"/>
      <c r="V650" s="66"/>
      <c r="W650" s="66"/>
      <c r="X650" s="66"/>
      <c r="Y650" s="66"/>
      <c r="Z650" s="66"/>
      <c r="AA650" s="66"/>
      <c r="AB650" s="66"/>
      <c r="AC650" s="66"/>
      <c r="AD650" s="66"/>
      <c r="AE650" s="66"/>
      <c r="AF650" s="66"/>
      <c r="AG650" s="66"/>
      <c r="AH650" s="66"/>
      <c r="AI650" s="66"/>
      <c r="AJ650" s="66"/>
      <c r="AK650" s="66"/>
      <c r="AL650" s="66"/>
      <c r="AM650" s="66"/>
      <c r="AN650" s="66"/>
      <c r="AO650" s="66"/>
    </row>
    <row r="651">
      <c r="A651" s="93"/>
      <c r="B651" s="85"/>
      <c r="C651" s="86"/>
      <c r="D651" s="93"/>
      <c r="E651" s="85"/>
      <c r="F651" s="85"/>
      <c r="G651" s="86"/>
      <c r="H651" s="78" t="str">
        <f>IFERROR(__xludf.DUMMYFUNCTION("""COMPUTED_VALUE"""),"")</f>
        <v/>
      </c>
      <c r="I651" s="85"/>
      <c r="J651" s="85"/>
      <c r="K651" s="85"/>
      <c r="L651" s="86" t="str">
        <f>IFERROR(__xludf.DUMMYFUNCTION("""COMPUTED_VALUE"""),"REJECT")</f>
        <v>REJECT</v>
      </c>
      <c r="M651" s="78" t="str">
        <f>IFERROR(__xludf.DUMMYFUNCTION("""COMPUTED_VALUE"""),"")</f>
        <v/>
      </c>
      <c r="N651" s="85"/>
      <c r="O651" s="85"/>
      <c r="P651" s="85"/>
      <c r="Q651" s="86" t="str">
        <f>IFERROR(__xludf.DUMMYFUNCTION("""COMPUTED_VALUE"""),"REJECT")</f>
        <v>REJECT</v>
      </c>
      <c r="R651" s="66"/>
      <c r="S651" s="66"/>
      <c r="T651" s="66"/>
      <c r="U651" s="66"/>
      <c r="V651" s="66"/>
      <c r="W651" s="66"/>
      <c r="X651" s="66"/>
      <c r="Y651" s="66"/>
      <c r="Z651" s="66"/>
      <c r="AA651" s="66"/>
      <c r="AB651" s="66"/>
      <c r="AC651" s="66"/>
      <c r="AD651" s="66"/>
      <c r="AE651" s="66"/>
      <c r="AF651" s="66"/>
      <c r="AG651" s="66"/>
      <c r="AH651" s="66"/>
      <c r="AI651" s="66"/>
      <c r="AJ651" s="66"/>
      <c r="AK651" s="66"/>
      <c r="AL651" s="66"/>
      <c r="AM651" s="66"/>
      <c r="AN651" s="66"/>
      <c r="AO651" s="66"/>
    </row>
    <row r="652">
      <c r="A652" s="93"/>
      <c r="B652" s="85"/>
      <c r="C652" s="86"/>
      <c r="D652" s="93"/>
      <c r="E652" s="85"/>
      <c r="F652" s="85"/>
      <c r="G652" s="86"/>
      <c r="H652" s="78" t="str">
        <f>IFERROR(__xludf.DUMMYFUNCTION("""COMPUTED_VALUE"""),"")</f>
        <v/>
      </c>
      <c r="I652" s="85"/>
      <c r="J652" s="85"/>
      <c r="K652" s="85"/>
      <c r="L652" s="86" t="str">
        <f>IFERROR(__xludf.DUMMYFUNCTION("""COMPUTED_VALUE"""),"REJECT")</f>
        <v>REJECT</v>
      </c>
      <c r="M652" s="78" t="str">
        <f>IFERROR(__xludf.DUMMYFUNCTION("""COMPUTED_VALUE"""),"")</f>
        <v/>
      </c>
      <c r="N652" s="85"/>
      <c r="O652" s="85"/>
      <c r="P652" s="85"/>
      <c r="Q652" s="86" t="str">
        <f>IFERROR(__xludf.DUMMYFUNCTION("""COMPUTED_VALUE"""),"REJECT")</f>
        <v>REJECT</v>
      </c>
      <c r="R652" s="66"/>
      <c r="S652" s="66"/>
      <c r="T652" s="66"/>
      <c r="U652" s="66"/>
      <c r="V652" s="66"/>
      <c r="W652" s="66"/>
      <c r="X652" s="66"/>
      <c r="Y652" s="66"/>
      <c r="Z652" s="66"/>
      <c r="AA652" s="66"/>
      <c r="AB652" s="66"/>
      <c r="AC652" s="66"/>
      <c r="AD652" s="66"/>
      <c r="AE652" s="66"/>
      <c r="AF652" s="66"/>
      <c r="AG652" s="66"/>
      <c r="AH652" s="66"/>
      <c r="AI652" s="66"/>
      <c r="AJ652" s="66"/>
      <c r="AK652" s="66"/>
      <c r="AL652" s="66"/>
      <c r="AM652" s="66"/>
      <c r="AN652" s="66"/>
      <c r="AO652" s="66"/>
    </row>
    <row r="653">
      <c r="A653" s="93"/>
      <c r="B653" s="85"/>
      <c r="C653" s="86"/>
      <c r="D653" s="93"/>
      <c r="E653" s="85"/>
      <c r="F653" s="85"/>
      <c r="G653" s="86"/>
      <c r="H653" s="78" t="str">
        <f>IFERROR(__xludf.DUMMYFUNCTION("""COMPUTED_VALUE"""),"")</f>
        <v/>
      </c>
      <c r="I653" s="85"/>
      <c r="J653" s="85"/>
      <c r="K653" s="85"/>
      <c r="L653" s="86" t="str">
        <f>IFERROR(__xludf.DUMMYFUNCTION("""COMPUTED_VALUE"""),"REJECT")</f>
        <v>REJECT</v>
      </c>
      <c r="M653" s="78" t="str">
        <f>IFERROR(__xludf.DUMMYFUNCTION("""COMPUTED_VALUE"""),"")</f>
        <v/>
      </c>
      <c r="N653" s="85"/>
      <c r="O653" s="85"/>
      <c r="P653" s="85"/>
      <c r="Q653" s="86" t="str">
        <f>IFERROR(__xludf.DUMMYFUNCTION("""COMPUTED_VALUE"""),"REJECT")</f>
        <v>REJECT</v>
      </c>
      <c r="R653" s="66"/>
      <c r="S653" s="66"/>
      <c r="T653" s="66"/>
      <c r="U653" s="66"/>
      <c r="V653" s="66"/>
      <c r="W653" s="66"/>
      <c r="X653" s="66"/>
      <c r="Y653" s="66"/>
      <c r="Z653" s="66"/>
      <c r="AA653" s="66"/>
      <c r="AB653" s="66"/>
      <c r="AC653" s="66"/>
      <c r="AD653" s="66"/>
      <c r="AE653" s="66"/>
      <c r="AF653" s="66"/>
      <c r="AG653" s="66"/>
      <c r="AH653" s="66"/>
      <c r="AI653" s="66"/>
      <c r="AJ653" s="66"/>
      <c r="AK653" s="66"/>
      <c r="AL653" s="66"/>
      <c r="AM653" s="66"/>
      <c r="AN653" s="66"/>
      <c r="AO653" s="66"/>
    </row>
    <row r="654">
      <c r="A654" s="93"/>
      <c r="B654" s="85"/>
      <c r="C654" s="86"/>
      <c r="D654" s="93"/>
      <c r="E654" s="85"/>
      <c r="F654" s="85"/>
      <c r="G654" s="86"/>
      <c r="H654" s="78" t="str">
        <f>IFERROR(__xludf.DUMMYFUNCTION("""COMPUTED_VALUE"""),"")</f>
        <v/>
      </c>
      <c r="I654" s="85"/>
      <c r="J654" s="85"/>
      <c r="K654" s="85"/>
      <c r="L654" s="86" t="str">
        <f>IFERROR(__xludf.DUMMYFUNCTION("""COMPUTED_VALUE"""),"REJECT")</f>
        <v>REJECT</v>
      </c>
      <c r="M654" s="78" t="str">
        <f>IFERROR(__xludf.DUMMYFUNCTION("""COMPUTED_VALUE"""),"")</f>
        <v/>
      </c>
      <c r="N654" s="85"/>
      <c r="O654" s="85"/>
      <c r="P654" s="85"/>
      <c r="Q654" s="86" t="str">
        <f>IFERROR(__xludf.DUMMYFUNCTION("""COMPUTED_VALUE"""),"REJECT")</f>
        <v>REJECT</v>
      </c>
      <c r="R654" s="66"/>
      <c r="S654" s="66"/>
      <c r="T654" s="66"/>
      <c r="U654" s="66"/>
      <c r="V654" s="66"/>
      <c r="W654" s="66"/>
      <c r="X654" s="66"/>
      <c r="Y654" s="66"/>
      <c r="Z654" s="66"/>
      <c r="AA654" s="66"/>
      <c r="AB654" s="66"/>
      <c r="AC654" s="66"/>
      <c r="AD654" s="66"/>
      <c r="AE654" s="66"/>
      <c r="AF654" s="66"/>
      <c r="AG654" s="66"/>
      <c r="AH654" s="66"/>
      <c r="AI654" s="66"/>
      <c r="AJ654" s="66"/>
      <c r="AK654" s="66"/>
      <c r="AL654" s="66"/>
      <c r="AM654" s="66"/>
      <c r="AN654" s="66"/>
      <c r="AO654" s="66"/>
    </row>
    <row r="655">
      <c r="A655" s="93"/>
      <c r="B655" s="85"/>
      <c r="C655" s="86"/>
      <c r="D655" s="93"/>
      <c r="E655" s="85"/>
      <c r="F655" s="85"/>
      <c r="G655" s="86"/>
      <c r="H655" s="78" t="str">
        <f>IFERROR(__xludf.DUMMYFUNCTION("""COMPUTED_VALUE"""),"")</f>
        <v/>
      </c>
      <c r="I655" s="85"/>
      <c r="J655" s="85"/>
      <c r="K655" s="85"/>
      <c r="L655" s="86" t="str">
        <f>IFERROR(__xludf.DUMMYFUNCTION("""COMPUTED_VALUE"""),"REJECT")</f>
        <v>REJECT</v>
      </c>
      <c r="M655" s="78" t="str">
        <f>IFERROR(__xludf.DUMMYFUNCTION("""COMPUTED_VALUE"""),"")</f>
        <v/>
      </c>
      <c r="N655" s="85"/>
      <c r="O655" s="85"/>
      <c r="P655" s="85"/>
      <c r="Q655" s="86" t="str">
        <f>IFERROR(__xludf.DUMMYFUNCTION("""COMPUTED_VALUE"""),"REJECT")</f>
        <v>REJECT</v>
      </c>
      <c r="R655" s="66"/>
      <c r="S655" s="66"/>
      <c r="T655" s="66"/>
      <c r="U655" s="66"/>
      <c r="V655" s="66"/>
      <c r="W655" s="66"/>
      <c r="X655" s="66"/>
      <c r="Y655" s="66"/>
      <c r="Z655" s="66"/>
      <c r="AA655" s="66"/>
      <c r="AB655" s="66"/>
      <c r="AC655" s="66"/>
      <c r="AD655" s="66"/>
      <c r="AE655" s="66"/>
      <c r="AF655" s="66"/>
      <c r="AG655" s="66"/>
      <c r="AH655" s="66"/>
      <c r="AI655" s="66"/>
      <c r="AJ655" s="66"/>
      <c r="AK655" s="66"/>
      <c r="AL655" s="66"/>
      <c r="AM655" s="66"/>
      <c r="AN655" s="66"/>
      <c r="AO655" s="66"/>
    </row>
    <row r="656">
      <c r="A656" s="93"/>
      <c r="B656" s="85"/>
      <c r="C656" s="86"/>
      <c r="D656" s="93"/>
      <c r="E656" s="85"/>
      <c r="F656" s="85"/>
      <c r="G656" s="86"/>
      <c r="H656" s="78" t="str">
        <f>IFERROR(__xludf.DUMMYFUNCTION("""COMPUTED_VALUE"""),"")</f>
        <v/>
      </c>
      <c r="I656" s="85"/>
      <c r="J656" s="85"/>
      <c r="K656" s="85"/>
      <c r="L656" s="86" t="str">
        <f>IFERROR(__xludf.DUMMYFUNCTION("""COMPUTED_VALUE"""),"REJECT")</f>
        <v>REJECT</v>
      </c>
      <c r="M656" s="78" t="str">
        <f>IFERROR(__xludf.DUMMYFUNCTION("""COMPUTED_VALUE"""),"")</f>
        <v/>
      </c>
      <c r="N656" s="85"/>
      <c r="O656" s="85"/>
      <c r="P656" s="85"/>
      <c r="Q656" s="86" t="str">
        <f>IFERROR(__xludf.DUMMYFUNCTION("""COMPUTED_VALUE"""),"REJECT")</f>
        <v>REJECT</v>
      </c>
      <c r="R656" s="66"/>
      <c r="S656" s="66"/>
      <c r="T656" s="66"/>
      <c r="U656" s="66"/>
      <c r="V656" s="66"/>
      <c r="W656" s="66"/>
      <c r="X656" s="66"/>
      <c r="Y656" s="66"/>
      <c r="Z656" s="66"/>
      <c r="AA656" s="66"/>
      <c r="AB656" s="66"/>
      <c r="AC656" s="66"/>
      <c r="AD656" s="66"/>
      <c r="AE656" s="66"/>
      <c r="AF656" s="66"/>
      <c r="AG656" s="66"/>
      <c r="AH656" s="66"/>
      <c r="AI656" s="66"/>
      <c r="AJ656" s="66"/>
      <c r="AK656" s="66"/>
      <c r="AL656" s="66"/>
      <c r="AM656" s="66"/>
      <c r="AN656" s="66"/>
      <c r="AO656" s="66"/>
    </row>
    <row r="657">
      <c r="A657" s="93"/>
      <c r="B657" s="85"/>
      <c r="C657" s="86"/>
      <c r="D657" s="93"/>
      <c r="E657" s="85"/>
      <c r="F657" s="85"/>
      <c r="G657" s="86"/>
      <c r="H657" s="78" t="str">
        <f>IFERROR(__xludf.DUMMYFUNCTION("""COMPUTED_VALUE"""),"")</f>
        <v/>
      </c>
      <c r="I657" s="85"/>
      <c r="J657" s="85"/>
      <c r="K657" s="85"/>
      <c r="L657" s="86" t="str">
        <f>IFERROR(__xludf.DUMMYFUNCTION("""COMPUTED_VALUE"""),"REJECT")</f>
        <v>REJECT</v>
      </c>
      <c r="M657" s="78" t="str">
        <f>IFERROR(__xludf.DUMMYFUNCTION("""COMPUTED_VALUE"""),"")</f>
        <v/>
      </c>
      <c r="N657" s="85"/>
      <c r="O657" s="85"/>
      <c r="P657" s="85"/>
      <c r="Q657" s="86" t="str">
        <f>IFERROR(__xludf.DUMMYFUNCTION("""COMPUTED_VALUE"""),"REJECT")</f>
        <v>REJECT</v>
      </c>
      <c r="R657" s="66"/>
      <c r="S657" s="66"/>
      <c r="T657" s="66"/>
      <c r="U657" s="66"/>
      <c r="V657" s="66"/>
      <c r="W657" s="66"/>
      <c r="X657" s="66"/>
      <c r="Y657" s="66"/>
      <c r="Z657" s="66"/>
      <c r="AA657" s="66"/>
      <c r="AB657" s="66"/>
      <c r="AC657" s="66"/>
      <c r="AD657" s="66"/>
      <c r="AE657" s="66"/>
      <c r="AF657" s="66"/>
      <c r="AG657" s="66"/>
      <c r="AH657" s="66"/>
      <c r="AI657" s="66"/>
      <c r="AJ657" s="66"/>
      <c r="AK657" s="66"/>
      <c r="AL657" s="66"/>
      <c r="AM657" s="66"/>
      <c r="AN657" s="66"/>
      <c r="AO657" s="66"/>
    </row>
    <row r="658">
      <c r="A658" s="93"/>
      <c r="B658" s="85"/>
      <c r="C658" s="86"/>
      <c r="D658" s="93"/>
      <c r="E658" s="85"/>
      <c r="F658" s="85"/>
      <c r="G658" s="86"/>
      <c r="H658" s="78" t="str">
        <f>IFERROR(__xludf.DUMMYFUNCTION("""COMPUTED_VALUE"""),"")</f>
        <v/>
      </c>
      <c r="I658" s="85"/>
      <c r="J658" s="85"/>
      <c r="K658" s="85"/>
      <c r="L658" s="86" t="str">
        <f>IFERROR(__xludf.DUMMYFUNCTION("""COMPUTED_VALUE"""),"REJECT")</f>
        <v>REJECT</v>
      </c>
      <c r="M658" s="78" t="str">
        <f>IFERROR(__xludf.DUMMYFUNCTION("""COMPUTED_VALUE"""),"")</f>
        <v/>
      </c>
      <c r="N658" s="85"/>
      <c r="O658" s="85"/>
      <c r="P658" s="85"/>
      <c r="Q658" s="86" t="str">
        <f>IFERROR(__xludf.DUMMYFUNCTION("""COMPUTED_VALUE"""),"REJECT")</f>
        <v>REJECT</v>
      </c>
      <c r="R658" s="66"/>
      <c r="S658" s="66"/>
      <c r="T658" s="66"/>
      <c r="U658" s="66"/>
      <c r="V658" s="66"/>
      <c r="W658" s="66"/>
      <c r="X658" s="66"/>
      <c r="Y658" s="66"/>
      <c r="Z658" s="66"/>
      <c r="AA658" s="66"/>
      <c r="AB658" s="66"/>
      <c r="AC658" s="66"/>
      <c r="AD658" s="66"/>
      <c r="AE658" s="66"/>
      <c r="AF658" s="66"/>
      <c r="AG658" s="66"/>
      <c r="AH658" s="66"/>
      <c r="AI658" s="66"/>
      <c r="AJ658" s="66"/>
      <c r="AK658" s="66"/>
      <c r="AL658" s="66"/>
      <c r="AM658" s="66"/>
      <c r="AN658" s="66"/>
      <c r="AO658" s="66"/>
    </row>
    <row r="659">
      <c r="A659" s="93"/>
      <c r="B659" s="85"/>
      <c r="C659" s="86"/>
      <c r="D659" s="93"/>
      <c r="E659" s="85"/>
      <c r="F659" s="85"/>
      <c r="G659" s="86"/>
      <c r="H659" s="78" t="str">
        <f>IFERROR(__xludf.DUMMYFUNCTION("""COMPUTED_VALUE"""),"")</f>
        <v/>
      </c>
      <c r="I659" s="85"/>
      <c r="J659" s="85"/>
      <c r="K659" s="85"/>
      <c r="L659" s="86" t="str">
        <f>IFERROR(__xludf.DUMMYFUNCTION("""COMPUTED_VALUE"""),"REJECT")</f>
        <v>REJECT</v>
      </c>
      <c r="M659" s="78" t="str">
        <f>IFERROR(__xludf.DUMMYFUNCTION("""COMPUTED_VALUE"""),"")</f>
        <v/>
      </c>
      <c r="N659" s="85"/>
      <c r="O659" s="85"/>
      <c r="P659" s="85"/>
      <c r="Q659" s="86" t="str">
        <f>IFERROR(__xludf.DUMMYFUNCTION("""COMPUTED_VALUE"""),"REJECT")</f>
        <v>REJECT</v>
      </c>
      <c r="R659" s="66"/>
      <c r="S659" s="66"/>
      <c r="T659" s="66"/>
      <c r="U659" s="66"/>
      <c r="V659" s="66"/>
      <c r="W659" s="66"/>
      <c r="X659" s="66"/>
      <c r="Y659" s="66"/>
      <c r="Z659" s="66"/>
      <c r="AA659" s="66"/>
      <c r="AB659" s="66"/>
      <c r="AC659" s="66"/>
      <c r="AD659" s="66"/>
      <c r="AE659" s="66"/>
      <c r="AF659" s="66"/>
      <c r="AG659" s="66"/>
      <c r="AH659" s="66"/>
      <c r="AI659" s="66"/>
      <c r="AJ659" s="66"/>
      <c r="AK659" s="66"/>
      <c r="AL659" s="66"/>
      <c r="AM659" s="66"/>
      <c r="AN659" s="66"/>
      <c r="AO659" s="66"/>
    </row>
    <row r="660">
      <c r="A660" s="93"/>
      <c r="B660" s="85"/>
      <c r="C660" s="86"/>
      <c r="D660" s="93"/>
      <c r="E660" s="85"/>
      <c r="F660" s="85"/>
      <c r="G660" s="86"/>
      <c r="H660" s="78" t="str">
        <f>IFERROR(__xludf.DUMMYFUNCTION("""COMPUTED_VALUE"""),"")</f>
        <v/>
      </c>
      <c r="I660" s="85"/>
      <c r="J660" s="85"/>
      <c r="K660" s="85"/>
      <c r="L660" s="86" t="str">
        <f>IFERROR(__xludf.DUMMYFUNCTION("""COMPUTED_VALUE"""),"REJECT")</f>
        <v>REJECT</v>
      </c>
      <c r="M660" s="78" t="str">
        <f>IFERROR(__xludf.DUMMYFUNCTION("""COMPUTED_VALUE"""),"")</f>
        <v/>
      </c>
      <c r="N660" s="85"/>
      <c r="O660" s="85"/>
      <c r="P660" s="85"/>
      <c r="Q660" s="86" t="str">
        <f>IFERROR(__xludf.DUMMYFUNCTION("""COMPUTED_VALUE"""),"REJECT")</f>
        <v>REJECT</v>
      </c>
      <c r="R660" s="66"/>
      <c r="S660" s="66"/>
      <c r="T660" s="66"/>
      <c r="U660" s="66"/>
      <c r="V660" s="66"/>
      <c r="W660" s="66"/>
      <c r="X660" s="66"/>
      <c r="Y660" s="66"/>
      <c r="Z660" s="66"/>
      <c r="AA660" s="66"/>
      <c r="AB660" s="66"/>
      <c r="AC660" s="66"/>
      <c r="AD660" s="66"/>
      <c r="AE660" s="66"/>
      <c r="AF660" s="66"/>
      <c r="AG660" s="66"/>
      <c r="AH660" s="66"/>
      <c r="AI660" s="66"/>
      <c r="AJ660" s="66"/>
      <c r="AK660" s="66"/>
      <c r="AL660" s="66"/>
      <c r="AM660" s="66"/>
      <c r="AN660" s="66"/>
      <c r="AO660" s="66"/>
    </row>
    <row r="661">
      <c r="A661" s="93"/>
      <c r="B661" s="85"/>
      <c r="C661" s="86"/>
      <c r="D661" s="93"/>
      <c r="E661" s="85"/>
      <c r="F661" s="85"/>
      <c r="G661" s="86"/>
      <c r="H661" s="78" t="str">
        <f>IFERROR(__xludf.DUMMYFUNCTION("""COMPUTED_VALUE"""),"")</f>
        <v/>
      </c>
      <c r="I661" s="85"/>
      <c r="J661" s="85"/>
      <c r="K661" s="85"/>
      <c r="L661" s="86" t="str">
        <f>IFERROR(__xludf.DUMMYFUNCTION("""COMPUTED_VALUE"""),"REJECT")</f>
        <v>REJECT</v>
      </c>
      <c r="M661" s="78" t="str">
        <f>IFERROR(__xludf.DUMMYFUNCTION("""COMPUTED_VALUE"""),"")</f>
        <v/>
      </c>
      <c r="N661" s="85"/>
      <c r="O661" s="85"/>
      <c r="P661" s="85"/>
      <c r="Q661" s="86" t="str">
        <f>IFERROR(__xludf.DUMMYFUNCTION("""COMPUTED_VALUE"""),"REJECT")</f>
        <v>REJECT</v>
      </c>
      <c r="R661" s="66"/>
      <c r="S661" s="66"/>
      <c r="T661" s="66"/>
      <c r="U661" s="66"/>
      <c r="V661" s="66"/>
      <c r="W661" s="66"/>
      <c r="X661" s="66"/>
      <c r="Y661" s="66"/>
      <c r="Z661" s="66"/>
      <c r="AA661" s="66"/>
      <c r="AB661" s="66"/>
      <c r="AC661" s="66"/>
      <c r="AD661" s="66"/>
      <c r="AE661" s="66"/>
      <c r="AF661" s="66"/>
      <c r="AG661" s="66"/>
      <c r="AH661" s="66"/>
      <c r="AI661" s="66"/>
      <c r="AJ661" s="66"/>
      <c r="AK661" s="66"/>
      <c r="AL661" s="66"/>
      <c r="AM661" s="66"/>
      <c r="AN661" s="66"/>
      <c r="AO661" s="66"/>
    </row>
    <row r="662">
      <c r="A662" s="93"/>
      <c r="B662" s="85"/>
      <c r="C662" s="86"/>
      <c r="D662" s="93"/>
      <c r="E662" s="85"/>
      <c r="F662" s="85"/>
      <c r="G662" s="86"/>
      <c r="H662" s="78" t="str">
        <f>IFERROR(__xludf.DUMMYFUNCTION("""COMPUTED_VALUE"""),"")</f>
        <v/>
      </c>
      <c r="I662" s="85"/>
      <c r="J662" s="85"/>
      <c r="K662" s="85"/>
      <c r="L662" s="86" t="str">
        <f>IFERROR(__xludf.DUMMYFUNCTION("""COMPUTED_VALUE"""),"REJECT")</f>
        <v>REJECT</v>
      </c>
      <c r="M662" s="78" t="str">
        <f>IFERROR(__xludf.DUMMYFUNCTION("""COMPUTED_VALUE"""),"")</f>
        <v/>
      </c>
      <c r="N662" s="85"/>
      <c r="O662" s="85"/>
      <c r="P662" s="85"/>
      <c r="Q662" s="86" t="str">
        <f>IFERROR(__xludf.DUMMYFUNCTION("""COMPUTED_VALUE"""),"REJECT")</f>
        <v>REJECT</v>
      </c>
      <c r="R662" s="66"/>
      <c r="S662" s="66"/>
      <c r="T662" s="66"/>
      <c r="U662" s="66"/>
      <c r="V662" s="66"/>
      <c r="W662" s="66"/>
      <c r="X662" s="66"/>
      <c r="Y662" s="66"/>
      <c r="Z662" s="66"/>
      <c r="AA662" s="66"/>
      <c r="AB662" s="66"/>
      <c r="AC662" s="66"/>
      <c r="AD662" s="66"/>
      <c r="AE662" s="66"/>
      <c r="AF662" s="66"/>
      <c r="AG662" s="66"/>
      <c r="AH662" s="66"/>
      <c r="AI662" s="66"/>
      <c r="AJ662" s="66"/>
      <c r="AK662" s="66"/>
      <c r="AL662" s="66"/>
      <c r="AM662" s="66"/>
      <c r="AN662" s="66"/>
      <c r="AO662" s="66"/>
    </row>
    <row r="663">
      <c r="A663" s="93"/>
      <c r="B663" s="85"/>
      <c r="C663" s="86"/>
      <c r="D663" s="93"/>
      <c r="E663" s="85"/>
      <c r="F663" s="85"/>
      <c r="G663" s="86"/>
      <c r="H663" s="78" t="str">
        <f>IFERROR(__xludf.DUMMYFUNCTION("""COMPUTED_VALUE"""),"")</f>
        <v/>
      </c>
      <c r="I663" s="85"/>
      <c r="J663" s="85"/>
      <c r="K663" s="85"/>
      <c r="L663" s="86" t="str">
        <f>IFERROR(__xludf.DUMMYFUNCTION("""COMPUTED_VALUE"""),"REJECT")</f>
        <v>REJECT</v>
      </c>
      <c r="M663" s="78" t="str">
        <f>IFERROR(__xludf.DUMMYFUNCTION("""COMPUTED_VALUE"""),"")</f>
        <v/>
      </c>
      <c r="N663" s="85"/>
      <c r="O663" s="85"/>
      <c r="P663" s="85"/>
      <c r="Q663" s="86" t="str">
        <f>IFERROR(__xludf.DUMMYFUNCTION("""COMPUTED_VALUE"""),"REJECT")</f>
        <v>REJECT</v>
      </c>
      <c r="R663" s="66"/>
      <c r="S663" s="66"/>
      <c r="T663" s="66"/>
      <c r="U663" s="66"/>
      <c r="V663" s="66"/>
      <c r="W663" s="66"/>
      <c r="X663" s="66"/>
      <c r="Y663" s="66"/>
      <c r="Z663" s="66"/>
      <c r="AA663" s="66"/>
      <c r="AB663" s="66"/>
      <c r="AC663" s="66"/>
      <c r="AD663" s="66"/>
      <c r="AE663" s="66"/>
      <c r="AF663" s="66"/>
      <c r="AG663" s="66"/>
      <c r="AH663" s="66"/>
      <c r="AI663" s="66"/>
      <c r="AJ663" s="66"/>
      <c r="AK663" s="66"/>
      <c r="AL663" s="66"/>
      <c r="AM663" s="66"/>
      <c r="AN663" s="66"/>
      <c r="AO663" s="66"/>
    </row>
    <row r="664">
      <c r="A664" s="93"/>
      <c r="B664" s="85"/>
      <c r="C664" s="86"/>
      <c r="D664" s="93"/>
      <c r="E664" s="85"/>
      <c r="F664" s="85"/>
      <c r="G664" s="86"/>
      <c r="H664" s="78" t="str">
        <f>IFERROR(__xludf.DUMMYFUNCTION("""COMPUTED_VALUE"""),"")</f>
        <v/>
      </c>
      <c r="I664" s="85"/>
      <c r="J664" s="85"/>
      <c r="K664" s="85"/>
      <c r="L664" s="86" t="str">
        <f>IFERROR(__xludf.DUMMYFUNCTION("""COMPUTED_VALUE"""),"REJECT")</f>
        <v>REJECT</v>
      </c>
      <c r="M664" s="78" t="str">
        <f>IFERROR(__xludf.DUMMYFUNCTION("""COMPUTED_VALUE"""),"")</f>
        <v/>
      </c>
      <c r="N664" s="85"/>
      <c r="O664" s="85"/>
      <c r="P664" s="85"/>
      <c r="Q664" s="86" t="str">
        <f>IFERROR(__xludf.DUMMYFUNCTION("""COMPUTED_VALUE"""),"REJECT")</f>
        <v>REJECT</v>
      </c>
      <c r="R664" s="66"/>
      <c r="S664" s="66"/>
      <c r="T664" s="66"/>
      <c r="U664" s="66"/>
      <c r="V664" s="66"/>
      <c r="W664" s="66"/>
      <c r="X664" s="66"/>
      <c r="Y664" s="66"/>
      <c r="Z664" s="66"/>
      <c r="AA664" s="66"/>
      <c r="AB664" s="66"/>
      <c r="AC664" s="66"/>
      <c r="AD664" s="66"/>
      <c r="AE664" s="66"/>
      <c r="AF664" s="66"/>
      <c r="AG664" s="66"/>
      <c r="AH664" s="66"/>
      <c r="AI664" s="66"/>
      <c r="AJ664" s="66"/>
      <c r="AK664" s="66"/>
      <c r="AL664" s="66"/>
      <c r="AM664" s="66"/>
      <c r="AN664" s="66"/>
      <c r="AO664" s="66"/>
    </row>
    <row r="665">
      <c r="A665" s="93"/>
      <c r="B665" s="85"/>
      <c r="C665" s="86"/>
      <c r="D665" s="93"/>
      <c r="E665" s="85"/>
      <c r="F665" s="85"/>
      <c r="G665" s="86"/>
      <c r="H665" s="78" t="str">
        <f>IFERROR(__xludf.DUMMYFUNCTION("""COMPUTED_VALUE"""),"")</f>
        <v/>
      </c>
      <c r="I665" s="85"/>
      <c r="J665" s="85"/>
      <c r="K665" s="85"/>
      <c r="L665" s="86" t="str">
        <f>IFERROR(__xludf.DUMMYFUNCTION("""COMPUTED_VALUE"""),"REJECT")</f>
        <v>REJECT</v>
      </c>
      <c r="M665" s="78" t="str">
        <f>IFERROR(__xludf.DUMMYFUNCTION("""COMPUTED_VALUE"""),"")</f>
        <v/>
      </c>
      <c r="N665" s="85"/>
      <c r="O665" s="85"/>
      <c r="P665" s="85"/>
      <c r="Q665" s="86" t="str">
        <f>IFERROR(__xludf.DUMMYFUNCTION("""COMPUTED_VALUE"""),"REJECT")</f>
        <v>REJECT</v>
      </c>
      <c r="R665" s="66"/>
      <c r="S665" s="66"/>
      <c r="T665" s="66"/>
      <c r="U665" s="66"/>
      <c r="V665" s="66"/>
      <c r="W665" s="66"/>
      <c r="X665" s="66"/>
      <c r="Y665" s="66"/>
      <c r="Z665" s="66"/>
      <c r="AA665" s="66"/>
      <c r="AB665" s="66"/>
      <c r="AC665" s="66"/>
      <c r="AD665" s="66"/>
      <c r="AE665" s="66"/>
      <c r="AF665" s="66"/>
      <c r="AG665" s="66"/>
      <c r="AH665" s="66"/>
      <c r="AI665" s="66"/>
      <c r="AJ665" s="66"/>
      <c r="AK665" s="66"/>
      <c r="AL665" s="66"/>
      <c r="AM665" s="66"/>
      <c r="AN665" s="66"/>
      <c r="AO665" s="66"/>
    </row>
    <row r="666">
      <c r="A666" s="93"/>
      <c r="B666" s="85"/>
      <c r="C666" s="86"/>
      <c r="D666" s="93"/>
      <c r="E666" s="85"/>
      <c r="F666" s="85"/>
      <c r="G666" s="86"/>
      <c r="H666" s="78" t="str">
        <f>IFERROR(__xludf.DUMMYFUNCTION("""COMPUTED_VALUE"""),"")</f>
        <v/>
      </c>
      <c r="I666" s="85"/>
      <c r="J666" s="85"/>
      <c r="K666" s="85"/>
      <c r="L666" s="86" t="str">
        <f>IFERROR(__xludf.DUMMYFUNCTION("""COMPUTED_VALUE"""),"REJECT")</f>
        <v>REJECT</v>
      </c>
      <c r="M666" s="78" t="str">
        <f>IFERROR(__xludf.DUMMYFUNCTION("""COMPUTED_VALUE"""),"")</f>
        <v/>
      </c>
      <c r="N666" s="85"/>
      <c r="O666" s="85"/>
      <c r="P666" s="85"/>
      <c r="Q666" s="86" t="str">
        <f>IFERROR(__xludf.DUMMYFUNCTION("""COMPUTED_VALUE"""),"REJECT")</f>
        <v>REJECT</v>
      </c>
      <c r="R666" s="66"/>
      <c r="S666" s="66"/>
      <c r="T666" s="66"/>
      <c r="U666" s="66"/>
      <c r="V666" s="66"/>
      <c r="W666" s="66"/>
      <c r="X666" s="66"/>
      <c r="Y666" s="66"/>
      <c r="Z666" s="66"/>
      <c r="AA666" s="66"/>
      <c r="AB666" s="66"/>
      <c r="AC666" s="66"/>
      <c r="AD666" s="66"/>
      <c r="AE666" s="66"/>
      <c r="AF666" s="66"/>
      <c r="AG666" s="66"/>
      <c r="AH666" s="66"/>
      <c r="AI666" s="66"/>
      <c r="AJ666" s="66"/>
      <c r="AK666" s="66"/>
      <c r="AL666" s="66"/>
      <c r="AM666" s="66"/>
      <c r="AN666" s="66"/>
      <c r="AO666" s="66"/>
    </row>
    <row r="667">
      <c r="A667" s="93"/>
      <c r="B667" s="85"/>
      <c r="C667" s="86"/>
      <c r="D667" s="93"/>
      <c r="E667" s="85"/>
      <c r="F667" s="85"/>
      <c r="G667" s="86"/>
      <c r="H667" s="78" t="str">
        <f>IFERROR(__xludf.DUMMYFUNCTION("""COMPUTED_VALUE"""),"")</f>
        <v/>
      </c>
      <c r="I667" s="85"/>
      <c r="J667" s="85"/>
      <c r="K667" s="85"/>
      <c r="L667" s="86" t="str">
        <f>IFERROR(__xludf.DUMMYFUNCTION("""COMPUTED_VALUE"""),"REJECT")</f>
        <v>REJECT</v>
      </c>
      <c r="M667" s="78" t="str">
        <f>IFERROR(__xludf.DUMMYFUNCTION("""COMPUTED_VALUE"""),"")</f>
        <v/>
      </c>
      <c r="N667" s="85"/>
      <c r="O667" s="85"/>
      <c r="P667" s="85"/>
      <c r="Q667" s="86" t="str">
        <f>IFERROR(__xludf.DUMMYFUNCTION("""COMPUTED_VALUE"""),"REJECT")</f>
        <v>REJECT</v>
      </c>
      <c r="R667" s="66"/>
      <c r="S667" s="66"/>
      <c r="T667" s="66"/>
      <c r="U667" s="66"/>
      <c r="V667" s="66"/>
      <c r="W667" s="66"/>
      <c r="X667" s="66"/>
      <c r="Y667" s="66"/>
      <c r="Z667" s="66"/>
      <c r="AA667" s="66"/>
      <c r="AB667" s="66"/>
      <c r="AC667" s="66"/>
      <c r="AD667" s="66"/>
      <c r="AE667" s="66"/>
      <c r="AF667" s="66"/>
      <c r="AG667" s="66"/>
      <c r="AH667" s="66"/>
      <c r="AI667" s="66"/>
      <c r="AJ667" s="66"/>
      <c r="AK667" s="66"/>
      <c r="AL667" s="66"/>
      <c r="AM667" s="66"/>
      <c r="AN667" s="66"/>
      <c r="AO667" s="66"/>
    </row>
    <row r="668">
      <c r="A668" s="93"/>
      <c r="B668" s="85"/>
      <c r="C668" s="86"/>
      <c r="D668" s="93"/>
      <c r="E668" s="85"/>
      <c r="F668" s="85"/>
      <c r="G668" s="86"/>
      <c r="H668" s="78" t="str">
        <f>IFERROR(__xludf.DUMMYFUNCTION("""COMPUTED_VALUE"""),"")</f>
        <v/>
      </c>
      <c r="I668" s="85"/>
      <c r="J668" s="85"/>
      <c r="K668" s="85"/>
      <c r="L668" s="86" t="str">
        <f>IFERROR(__xludf.DUMMYFUNCTION("""COMPUTED_VALUE"""),"REJECT")</f>
        <v>REJECT</v>
      </c>
      <c r="M668" s="78" t="str">
        <f>IFERROR(__xludf.DUMMYFUNCTION("""COMPUTED_VALUE"""),"")</f>
        <v/>
      </c>
      <c r="N668" s="85"/>
      <c r="O668" s="85"/>
      <c r="P668" s="85"/>
      <c r="Q668" s="86" t="str">
        <f>IFERROR(__xludf.DUMMYFUNCTION("""COMPUTED_VALUE"""),"REJECT")</f>
        <v>REJECT</v>
      </c>
      <c r="R668" s="66"/>
      <c r="S668" s="66"/>
      <c r="T668" s="66"/>
      <c r="U668" s="66"/>
      <c r="V668" s="66"/>
      <c r="W668" s="66"/>
      <c r="X668" s="66"/>
      <c r="Y668" s="66"/>
      <c r="Z668" s="66"/>
      <c r="AA668" s="66"/>
      <c r="AB668" s="66"/>
      <c r="AC668" s="66"/>
      <c r="AD668" s="66"/>
      <c r="AE668" s="66"/>
      <c r="AF668" s="66"/>
      <c r="AG668" s="66"/>
      <c r="AH668" s="66"/>
      <c r="AI668" s="66"/>
      <c r="AJ668" s="66"/>
      <c r="AK668" s="66"/>
      <c r="AL668" s="66"/>
      <c r="AM668" s="66"/>
      <c r="AN668" s="66"/>
      <c r="AO668" s="66"/>
    </row>
    <row r="669">
      <c r="A669" s="93"/>
      <c r="B669" s="85"/>
      <c r="C669" s="86"/>
      <c r="D669" s="93"/>
      <c r="E669" s="85"/>
      <c r="F669" s="85"/>
      <c r="G669" s="86"/>
      <c r="H669" s="78" t="str">
        <f>IFERROR(__xludf.DUMMYFUNCTION("""COMPUTED_VALUE"""),"")</f>
        <v/>
      </c>
      <c r="I669" s="85"/>
      <c r="J669" s="85"/>
      <c r="K669" s="85"/>
      <c r="L669" s="86" t="str">
        <f>IFERROR(__xludf.DUMMYFUNCTION("""COMPUTED_VALUE"""),"REJECT")</f>
        <v>REJECT</v>
      </c>
      <c r="M669" s="78" t="str">
        <f>IFERROR(__xludf.DUMMYFUNCTION("""COMPUTED_VALUE"""),"")</f>
        <v/>
      </c>
      <c r="N669" s="85"/>
      <c r="O669" s="85"/>
      <c r="P669" s="85"/>
      <c r="Q669" s="86" t="str">
        <f>IFERROR(__xludf.DUMMYFUNCTION("""COMPUTED_VALUE"""),"REJECT")</f>
        <v>REJECT</v>
      </c>
      <c r="R669" s="66"/>
      <c r="S669" s="66"/>
      <c r="T669" s="66"/>
      <c r="U669" s="66"/>
      <c r="V669" s="66"/>
      <c r="W669" s="66"/>
      <c r="X669" s="66"/>
      <c r="Y669" s="66"/>
      <c r="Z669" s="66"/>
      <c r="AA669" s="66"/>
      <c r="AB669" s="66"/>
      <c r="AC669" s="66"/>
      <c r="AD669" s="66"/>
      <c r="AE669" s="66"/>
      <c r="AF669" s="66"/>
      <c r="AG669" s="66"/>
      <c r="AH669" s="66"/>
      <c r="AI669" s="66"/>
      <c r="AJ669" s="66"/>
      <c r="AK669" s="66"/>
      <c r="AL669" s="66"/>
      <c r="AM669" s="66"/>
      <c r="AN669" s="66"/>
      <c r="AO669" s="66"/>
    </row>
    <row r="670">
      <c r="A670" s="93"/>
      <c r="B670" s="85"/>
      <c r="C670" s="86"/>
      <c r="D670" s="93"/>
      <c r="E670" s="85"/>
      <c r="F670" s="85"/>
      <c r="G670" s="86"/>
      <c r="H670" s="78" t="str">
        <f>IFERROR(__xludf.DUMMYFUNCTION("""COMPUTED_VALUE"""),"")</f>
        <v/>
      </c>
      <c r="I670" s="85"/>
      <c r="J670" s="85"/>
      <c r="K670" s="85"/>
      <c r="L670" s="86" t="str">
        <f>IFERROR(__xludf.DUMMYFUNCTION("""COMPUTED_VALUE"""),"REJECT")</f>
        <v>REJECT</v>
      </c>
      <c r="M670" s="78" t="str">
        <f>IFERROR(__xludf.DUMMYFUNCTION("""COMPUTED_VALUE"""),"")</f>
        <v/>
      </c>
      <c r="N670" s="85"/>
      <c r="O670" s="85"/>
      <c r="P670" s="85"/>
      <c r="Q670" s="86" t="str">
        <f>IFERROR(__xludf.DUMMYFUNCTION("""COMPUTED_VALUE"""),"REJECT")</f>
        <v>REJECT</v>
      </c>
      <c r="R670" s="66"/>
      <c r="S670" s="66"/>
      <c r="T670" s="66"/>
      <c r="U670" s="66"/>
      <c r="V670" s="66"/>
      <c r="W670" s="66"/>
      <c r="X670" s="66"/>
      <c r="Y670" s="66"/>
      <c r="Z670" s="66"/>
      <c r="AA670" s="66"/>
      <c r="AB670" s="66"/>
      <c r="AC670" s="66"/>
      <c r="AD670" s="66"/>
      <c r="AE670" s="66"/>
      <c r="AF670" s="66"/>
      <c r="AG670" s="66"/>
      <c r="AH670" s="66"/>
      <c r="AI670" s="66"/>
      <c r="AJ670" s="66"/>
      <c r="AK670" s="66"/>
      <c r="AL670" s="66"/>
      <c r="AM670" s="66"/>
      <c r="AN670" s="66"/>
      <c r="AO670" s="66"/>
    </row>
    <row r="671">
      <c r="A671" s="93"/>
      <c r="B671" s="85"/>
      <c r="C671" s="86"/>
      <c r="D671" s="93"/>
      <c r="E671" s="85"/>
      <c r="F671" s="85"/>
      <c r="G671" s="86"/>
      <c r="H671" s="78" t="str">
        <f>IFERROR(__xludf.DUMMYFUNCTION("""COMPUTED_VALUE"""),"")</f>
        <v/>
      </c>
      <c r="I671" s="85"/>
      <c r="J671" s="85"/>
      <c r="K671" s="85"/>
      <c r="L671" s="86" t="str">
        <f>IFERROR(__xludf.DUMMYFUNCTION("""COMPUTED_VALUE"""),"REJECT")</f>
        <v>REJECT</v>
      </c>
      <c r="M671" s="78" t="str">
        <f>IFERROR(__xludf.DUMMYFUNCTION("""COMPUTED_VALUE"""),"")</f>
        <v/>
      </c>
      <c r="N671" s="85"/>
      <c r="O671" s="85"/>
      <c r="P671" s="85"/>
      <c r="Q671" s="86" t="str">
        <f>IFERROR(__xludf.DUMMYFUNCTION("""COMPUTED_VALUE"""),"REJECT")</f>
        <v>REJECT</v>
      </c>
      <c r="R671" s="66"/>
      <c r="S671" s="66"/>
      <c r="T671" s="66"/>
      <c r="U671" s="66"/>
      <c r="V671" s="66"/>
      <c r="W671" s="66"/>
      <c r="X671" s="66"/>
      <c r="Y671" s="66"/>
      <c r="Z671" s="66"/>
      <c r="AA671" s="66"/>
      <c r="AB671" s="66"/>
      <c r="AC671" s="66"/>
      <c r="AD671" s="66"/>
      <c r="AE671" s="66"/>
      <c r="AF671" s="66"/>
      <c r="AG671" s="66"/>
      <c r="AH671" s="66"/>
      <c r="AI671" s="66"/>
      <c r="AJ671" s="66"/>
      <c r="AK671" s="66"/>
      <c r="AL671" s="66"/>
      <c r="AM671" s="66"/>
      <c r="AN671" s="66"/>
      <c r="AO671" s="66"/>
    </row>
    <row r="672">
      <c r="A672" s="93"/>
      <c r="B672" s="85"/>
      <c r="C672" s="86"/>
      <c r="D672" s="93"/>
      <c r="E672" s="85"/>
      <c r="F672" s="85"/>
      <c r="G672" s="86"/>
      <c r="H672" s="78" t="str">
        <f>IFERROR(__xludf.DUMMYFUNCTION("""COMPUTED_VALUE"""),"")</f>
        <v/>
      </c>
      <c r="I672" s="85"/>
      <c r="J672" s="85"/>
      <c r="K672" s="85"/>
      <c r="L672" s="86" t="str">
        <f>IFERROR(__xludf.DUMMYFUNCTION("""COMPUTED_VALUE"""),"REJECT")</f>
        <v>REJECT</v>
      </c>
      <c r="M672" s="78" t="str">
        <f>IFERROR(__xludf.DUMMYFUNCTION("""COMPUTED_VALUE"""),"")</f>
        <v/>
      </c>
      <c r="N672" s="85"/>
      <c r="O672" s="85"/>
      <c r="P672" s="85"/>
      <c r="Q672" s="86" t="str">
        <f>IFERROR(__xludf.DUMMYFUNCTION("""COMPUTED_VALUE"""),"REJECT")</f>
        <v>REJECT</v>
      </c>
      <c r="R672" s="66"/>
      <c r="S672" s="66"/>
      <c r="T672" s="66"/>
      <c r="U672" s="66"/>
      <c r="V672" s="66"/>
      <c r="W672" s="66"/>
      <c r="X672" s="66"/>
      <c r="Y672" s="66"/>
      <c r="Z672" s="66"/>
      <c r="AA672" s="66"/>
      <c r="AB672" s="66"/>
      <c r="AC672" s="66"/>
      <c r="AD672" s="66"/>
      <c r="AE672" s="66"/>
      <c r="AF672" s="66"/>
      <c r="AG672" s="66"/>
      <c r="AH672" s="66"/>
      <c r="AI672" s="66"/>
      <c r="AJ672" s="66"/>
      <c r="AK672" s="66"/>
      <c r="AL672" s="66"/>
      <c r="AM672" s="66"/>
      <c r="AN672" s="66"/>
      <c r="AO672" s="66"/>
    </row>
    <row r="673">
      <c r="A673" s="93"/>
      <c r="B673" s="85"/>
      <c r="C673" s="86"/>
      <c r="D673" s="93"/>
      <c r="E673" s="85"/>
      <c r="F673" s="85"/>
      <c r="G673" s="86"/>
      <c r="H673" s="78" t="str">
        <f>IFERROR(__xludf.DUMMYFUNCTION("""COMPUTED_VALUE"""),"")</f>
        <v/>
      </c>
      <c r="I673" s="85"/>
      <c r="J673" s="85"/>
      <c r="K673" s="85"/>
      <c r="L673" s="86" t="str">
        <f>IFERROR(__xludf.DUMMYFUNCTION("""COMPUTED_VALUE"""),"REJECT")</f>
        <v>REJECT</v>
      </c>
      <c r="M673" s="78" t="str">
        <f>IFERROR(__xludf.DUMMYFUNCTION("""COMPUTED_VALUE"""),"")</f>
        <v/>
      </c>
      <c r="N673" s="85"/>
      <c r="O673" s="85"/>
      <c r="P673" s="85"/>
      <c r="Q673" s="86" t="str">
        <f>IFERROR(__xludf.DUMMYFUNCTION("""COMPUTED_VALUE"""),"REJECT")</f>
        <v>REJECT</v>
      </c>
      <c r="R673" s="66"/>
      <c r="S673" s="66"/>
      <c r="T673" s="66"/>
      <c r="U673" s="66"/>
      <c r="V673" s="66"/>
      <c r="W673" s="66"/>
      <c r="X673" s="66"/>
      <c r="Y673" s="66"/>
      <c r="Z673" s="66"/>
      <c r="AA673" s="66"/>
      <c r="AB673" s="66"/>
      <c r="AC673" s="66"/>
      <c r="AD673" s="66"/>
      <c r="AE673" s="66"/>
      <c r="AF673" s="66"/>
      <c r="AG673" s="66"/>
      <c r="AH673" s="66"/>
      <c r="AI673" s="66"/>
      <c r="AJ673" s="66"/>
      <c r="AK673" s="66"/>
      <c r="AL673" s="66"/>
      <c r="AM673" s="66"/>
      <c r="AN673" s="66"/>
      <c r="AO673" s="66"/>
    </row>
    <row r="674">
      <c r="A674" s="93"/>
      <c r="B674" s="85"/>
      <c r="C674" s="86"/>
      <c r="D674" s="93"/>
      <c r="E674" s="85"/>
      <c r="F674" s="85"/>
      <c r="G674" s="86"/>
      <c r="H674" s="78" t="str">
        <f>IFERROR(__xludf.DUMMYFUNCTION("""COMPUTED_VALUE"""),"")</f>
        <v/>
      </c>
      <c r="I674" s="85"/>
      <c r="J674" s="85"/>
      <c r="K674" s="85"/>
      <c r="L674" s="86" t="str">
        <f>IFERROR(__xludf.DUMMYFUNCTION("""COMPUTED_VALUE"""),"REJECT")</f>
        <v>REJECT</v>
      </c>
      <c r="M674" s="78" t="str">
        <f>IFERROR(__xludf.DUMMYFUNCTION("""COMPUTED_VALUE"""),"")</f>
        <v/>
      </c>
      <c r="N674" s="85"/>
      <c r="O674" s="85"/>
      <c r="P674" s="85"/>
      <c r="Q674" s="86" t="str">
        <f>IFERROR(__xludf.DUMMYFUNCTION("""COMPUTED_VALUE"""),"REJECT")</f>
        <v>REJECT</v>
      </c>
      <c r="R674" s="66"/>
      <c r="S674" s="66"/>
      <c r="T674" s="66"/>
      <c r="U674" s="66"/>
      <c r="V674" s="66"/>
      <c r="W674" s="66"/>
      <c r="X674" s="66"/>
      <c r="Y674" s="66"/>
      <c r="Z674" s="66"/>
      <c r="AA674" s="66"/>
      <c r="AB674" s="66"/>
      <c r="AC674" s="66"/>
      <c r="AD674" s="66"/>
      <c r="AE674" s="66"/>
      <c r="AF674" s="66"/>
      <c r="AG674" s="66"/>
      <c r="AH674" s="66"/>
      <c r="AI674" s="66"/>
      <c r="AJ674" s="66"/>
      <c r="AK674" s="66"/>
      <c r="AL674" s="66"/>
      <c r="AM674" s="66"/>
      <c r="AN674" s="66"/>
      <c r="AO674" s="66"/>
    </row>
    <row r="675">
      <c r="A675" s="93"/>
      <c r="B675" s="85"/>
      <c r="C675" s="86"/>
      <c r="D675" s="93"/>
      <c r="E675" s="85"/>
      <c r="F675" s="85"/>
      <c r="G675" s="86"/>
      <c r="H675" s="78" t="str">
        <f>IFERROR(__xludf.DUMMYFUNCTION("""COMPUTED_VALUE"""),"")</f>
        <v/>
      </c>
      <c r="I675" s="85"/>
      <c r="J675" s="85"/>
      <c r="K675" s="85"/>
      <c r="L675" s="86" t="str">
        <f>IFERROR(__xludf.DUMMYFUNCTION("""COMPUTED_VALUE"""),"REJECT")</f>
        <v>REJECT</v>
      </c>
      <c r="M675" s="78" t="str">
        <f>IFERROR(__xludf.DUMMYFUNCTION("""COMPUTED_VALUE"""),"")</f>
        <v/>
      </c>
      <c r="N675" s="85"/>
      <c r="O675" s="85"/>
      <c r="P675" s="85"/>
      <c r="Q675" s="86" t="str">
        <f>IFERROR(__xludf.DUMMYFUNCTION("""COMPUTED_VALUE"""),"REJECT")</f>
        <v>REJECT</v>
      </c>
      <c r="R675" s="66"/>
      <c r="S675" s="66"/>
      <c r="T675" s="66"/>
      <c r="U675" s="66"/>
      <c r="V675" s="66"/>
      <c r="W675" s="66"/>
      <c r="X675" s="66"/>
      <c r="Y675" s="66"/>
      <c r="Z675" s="66"/>
      <c r="AA675" s="66"/>
      <c r="AB675" s="66"/>
      <c r="AC675" s="66"/>
      <c r="AD675" s="66"/>
      <c r="AE675" s="66"/>
      <c r="AF675" s="66"/>
      <c r="AG675" s="66"/>
      <c r="AH675" s="66"/>
      <c r="AI675" s="66"/>
      <c r="AJ675" s="66"/>
      <c r="AK675" s="66"/>
      <c r="AL675" s="66"/>
      <c r="AM675" s="66"/>
      <c r="AN675" s="66"/>
      <c r="AO675" s="66"/>
    </row>
    <row r="676">
      <c r="A676" s="93"/>
      <c r="B676" s="85"/>
      <c r="C676" s="86"/>
      <c r="D676" s="93"/>
      <c r="E676" s="85"/>
      <c r="F676" s="85"/>
      <c r="G676" s="86"/>
      <c r="H676" s="78" t="str">
        <f>IFERROR(__xludf.DUMMYFUNCTION("""COMPUTED_VALUE"""),"")</f>
        <v/>
      </c>
      <c r="I676" s="85"/>
      <c r="J676" s="85"/>
      <c r="K676" s="85"/>
      <c r="L676" s="86" t="str">
        <f>IFERROR(__xludf.DUMMYFUNCTION("""COMPUTED_VALUE"""),"REJECT")</f>
        <v>REJECT</v>
      </c>
      <c r="M676" s="78" t="str">
        <f>IFERROR(__xludf.DUMMYFUNCTION("""COMPUTED_VALUE"""),"")</f>
        <v/>
      </c>
      <c r="N676" s="85"/>
      <c r="O676" s="85"/>
      <c r="P676" s="85"/>
      <c r="Q676" s="86" t="str">
        <f>IFERROR(__xludf.DUMMYFUNCTION("""COMPUTED_VALUE"""),"REJECT")</f>
        <v>REJECT</v>
      </c>
      <c r="R676" s="66"/>
      <c r="S676" s="66"/>
      <c r="T676" s="66"/>
      <c r="U676" s="66"/>
      <c r="V676" s="66"/>
      <c r="W676" s="66"/>
      <c r="X676" s="66"/>
      <c r="Y676" s="66"/>
      <c r="Z676" s="66"/>
      <c r="AA676" s="66"/>
      <c r="AB676" s="66"/>
      <c r="AC676" s="66"/>
      <c r="AD676" s="66"/>
      <c r="AE676" s="66"/>
      <c r="AF676" s="66"/>
      <c r="AG676" s="66"/>
      <c r="AH676" s="66"/>
      <c r="AI676" s="66"/>
      <c r="AJ676" s="66"/>
      <c r="AK676" s="66"/>
      <c r="AL676" s="66"/>
      <c r="AM676" s="66"/>
      <c r="AN676" s="66"/>
      <c r="AO676" s="66"/>
    </row>
    <row r="677">
      <c r="A677" s="93"/>
      <c r="B677" s="85"/>
      <c r="C677" s="86"/>
      <c r="D677" s="93"/>
      <c r="E677" s="85"/>
      <c r="F677" s="85"/>
      <c r="G677" s="86"/>
      <c r="H677" s="78" t="str">
        <f>IFERROR(__xludf.DUMMYFUNCTION("""COMPUTED_VALUE"""),"")</f>
        <v/>
      </c>
      <c r="I677" s="85"/>
      <c r="J677" s="85"/>
      <c r="K677" s="85"/>
      <c r="L677" s="86" t="str">
        <f>IFERROR(__xludf.DUMMYFUNCTION("""COMPUTED_VALUE"""),"REJECT")</f>
        <v>REJECT</v>
      </c>
      <c r="M677" s="78" t="str">
        <f>IFERROR(__xludf.DUMMYFUNCTION("""COMPUTED_VALUE"""),"")</f>
        <v/>
      </c>
      <c r="N677" s="85"/>
      <c r="O677" s="85"/>
      <c r="P677" s="85"/>
      <c r="Q677" s="86" t="str">
        <f>IFERROR(__xludf.DUMMYFUNCTION("""COMPUTED_VALUE"""),"REJECT")</f>
        <v>REJECT</v>
      </c>
      <c r="R677" s="66"/>
      <c r="S677" s="66"/>
      <c r="T677" s="66"/>
      <c r="U677" s="66"/>
      <c r="V677" s="66"/>
      <c r="W677" s="66"/>
      <c r="X677" s="66"/>
      <c r="Y677" s="66"/>
      <c r="Z677" s="66"/>
      <c r="AA677" s="66"/>
      <c r="AB677" s="66"/>
      <c r="AC677" s="66"/>
      <c r="AD677" s="66"/>
      <c r="AE677" s="66"/>
      <c r="AF677" s="66"/>
      <c r="AG677" s="66"/>
      <c r="AH677" s="66"/>
      <c r="AI677" s="66"/>
      <c r="AJ677" s="66"/>
      <c r="AK677" s="66"/>
      <c r="AL677" s="66"/>
      <c r="AM677" s="66"/>
      <c r="AN677" s="66"/>
      <c r="AO677" s="66"/>
    </row>
    <row r="678">
      <c r="A678" s="93"/>
      <c r="B678" s="85"/>
      <c r="C678" s="86"/>
      <c r="D678" s="93"/>
      <c r="E678" s="85"/>
      <c r="F678" s="85"/>
      <c r="G678" s="86"/>
      <c r="H678" s="78" t="str">
        <f>IFERROR(__xludf.DUMMYFUNCTION("""COMPUTED_VALUE"""),"")</f>
        <v/>
      </c>
      <c r="I678" s="85"/>
      <c r="J678" s="85"/>
      <c r="K678" s="85"/>
      <c r="L678" s="86" t="str">
        <f>IFERROR(__xludf.DUMMYFUNCTION("""COMPUTED_VALUE"""),"REJECT")</f>
        <v>REJECT</v>
      </c>
      <c r="M678" s="78" t="str">
        <f>IFERROR(__xludf.DUMMYFUNCTION("""COMPUTED_VALUE"""),"")</f>
        <v/>
      </c>
      <c r="N678" s="85"/>
      <c r="O678" s="85"/>
      <c r="P678" s="85"/>
      <c r="Q678" s="86" t="str">
        <f>IFERROR(__xludf.DUMMYFUNCTION("""COMPUTED_VALUE"""),"REJECT")</f>
        <v>REJECT</v>
      </c>
      <c r="R678" s="66"/>
      <c r="S678" s="66"/>
      <c r="T678" s="66"/>
      <c r="U678" s="66"/>
      <c r="V678" s="66"/>
      <c r="W678" s="66"/>
      <c r="X678" s="66"/>
      <c r="Y678" s="66"/>
      <c r="Z678" s="66"/>
      <c r="AA678" s="66"/>
      <c r="AB678" s="66"/>
      <c r="AC678" s="66"/>
      <c r="AD678" s="66"/>
      <c r="AE678" s="66"/>
      <c r="AF678" s="66"/>
      <c r="AG678" s="66"/>
      <c r="AH678" s="66"/>
      <c r="AI678" s="66"/>
      <c r="AJ678" s="66"/>
      <c r="AK678" s="66"/>
      <c r="AL678" s="66"/>
      <c r="AM678" s="66"/>
      <c r="AN678" s="66"/>
      <c r="AO678" s="66"/>
    </row>
    <row r="679">
      <c r="A679" s="93"/>
      <c r="B679" s="85"/>
      <c r="C679" s="86"/>
      <c r="D679" s="93"/>
      <c r="E679" s="85"/>
      <c r="F679" s="85"/>
      <c r="G679" s="86"/>
      <c r="H679" s="78" t="str">
        <f>IFERROR(__xludf.DUMMYFUNCTION("""COMPUTED_VALUE"""),"")</f>
        <v/>
      </c>
      <c r="I679" s="85"/>
      <c r="J679" s="85"/>
      <c r="K679" s="85"/>
      <c r="L679" s="86" t="str">
        <f>IFERROR(__xludf.DUMMYFUNCTION("""COMPUTED_VALUE"""),"REJECT")</f>
        <v>REJECT</v>
      </c>
      <c r="M679" s="78" t="str">
        <f>IFERROR(__xludf.DUMMYFUNCTION("""COMPUTED_VALUE"""),"")</f>
        <v/>
      </c>
      <c r="N679" s="85"/>
      <c r="O679" s="85"/>
      <c r="P679" s="85"/>
      <c r="Q679" s="86" t="str">
        <f>IFERROR(__xludf.DUMMYFUNCTION("""COMPUTED_VALUE"""),"REJECT")</f>
        <v>REJECT</v>
      </c>
      <c r="R679" s="66"/>
      <c r="S679" s="66"/>
      <c r="T679" s="66"/>
      <c r="U679" s="66"/>
      <c r="V679" s="66"/>
      <c r="W679" s="66"/>
      <c r="X679" s="66"/>
      <c r="Y679" s="66"/>
      <c r="Z679" s="66"/>
      <c r="AA679" s="66"/>
      <c r="AB679" s="66"/>
      <c r="AC679" s="66"/>
      <c r="AD679" s="66"/>
      <c r="AE679" s="66"/>
      <c r="AF679" s="66"/>
      <c r="AG679" s="66"/>
      <c r="AH679" s="66"/>
      <c r="AI679" s="66"/>
      <c r="AJ679" s="66"/>
      <c r="AK679" s="66"/>
      <c r="AL679" s="66"/>
      <c r="AM679" s="66"/>
      <c r="AN679" s="66"/>
      <c r="AO679" s="66"/>
    </row>
    <row r="680">
      <c r="A680" s="93"/>
      <c r="B680" s="85"/>
      <c r="C680" s="86"/>
      <c r="D680" s="93"/>
      <c r="E680" s="85"/>
      <c r="F680" s="85"/>
      <c r="G680" s="86"/>
      <c r="H680" s="78" t="str">
        <f>IFERROR(__xludf.DUMMYFUNCTION("""COMPUTED_VALUE"""),"")</f>
        <v/>
      </c>
      <c r="I680" s="85"/>
      <c r="J680" s="85"/>
      <c r="K680" s="85"/>
      <c r="L680" s="86" t="str">
        <f>IFERROR(__xludf.DUMMYFUNCTION("""COMPUTED_VALUE"""),"REJECT")</f>
        <v>REJECT</v>
      </c>
      <c r="M680" s="78" t="str">
        <f>IFERROR(__xludf.DUMMYFUNCTION("""COMPUTED_VALUE"""),"")</f>
        <v/>
      </c>
      <c r="N680" s="85"/>
      <c r="O680" s="85"/>
      <c r="P680" s="85"/>
      <c r="Q680" s="86" t="str">
        <f>IFERROR(__xludf.DUMMYFUNCTION("""COMPUTED_VALUE"""),"REJECT")</f>
        <v>REJECT</v>
      </c>
      <c r="R680" s="66"/>
      <c r="S680" s="66"/>
      <c r="T680" s="66"/>
      <c r="U680" s="66"/>
      <c r="V680" s="66"/>
      <c r="W680" s="66"/>
      <c r="X680" s="66"/>
      <c r="Y680" s="66"/>
      <c r="Z680" s="66"/>
      <c r="AA680" s="66"/>
      <c r="AB680" s="66"/>
      <c r="AC680" s="66"/>
      <c r="AD680" s="66"/>
      <c r="AE680" s="66"/>
      <c r="AF680" s="66"/>
      <c r="AG680" s="66"/>
      <c r="AH680" s="66"/>
      <c r="AI680" s="66"/>
      <c r="AJ680" s="66"/>
      <c r="AK680" s="66"/>
      <c r="AL680" s="66"/>
      <c r="AM680" s="66"/>
      <c r="AN680" s="66"/>
      <c r="AO680" s="66"/>
    </row>
    <row r="681">
      <c r="A681" s="93"/>
      <c r="B681" s="85"/>
      <c r="C681" s="86"/>
      <c r="D681" s="93"/>
      <c r="E681" s="85"/>
      <c r="F681" s="85"/>
      <c r="G681" s="86"/>
      <c r="H681" s="78" t="str">
        <f>IFERROR(__xludf.DUMMYFUNCTION("""COMPUTED_VALUE"""),"")</f>
        <v/>
      </c>
      <c r="I681" s="85"/>
      <c r="J681" s="85"/>
      <c r="K681" s="85"/>
      <c r="L681" s="86" t="str">
        <f>IFERROR(__xludf.DUMMYFUNCTION("""COMPUTED_VALUE"""),"REJECT")</f>
        <v>REJECT</v>
      </c>
      <c r="M681" s="78" t="str">
        <f>IFERROR(__xludf.DUMMYFUNCTION("""COMPUTED_VALUE"""),"")</f>
        <v/>
      </c>
      <c r="N681" s="85"/>
      <c r="O681" s="85"/>
      <c r="P681" s="85"/>
      <c r="Q681" s="86" t="str">
        <f>IFERROR(__xludf.DUMMYFUNCTION("""COMPUTED_VALUE"""),"REJECT")</f>
        <v>REJECT</v>
      </c>
      <c r="R681" s="66"/>
      <c r="S681" s="66"/>
      <c r="T681" s="66"/>
      <c r="U681" s="66"/>
      <c r="V681" s="66"/>
      <c r="W681" s="66"/>
      <c r="X681" s="66"/>
      <c r="Y681" s="66"/>
      <c r="Z681" s="66"/>
      <c r="AA681" s="66"/>
      <c r="AB681" s="66"/>
      <c r="AC681" s="66"/>
      <c r="AD681" s="66"/>
      <c r="AE681" s="66"/>
      <c r="AF681" s="66"/>
      <c r="AG681" s="66"/>
      <c r="AH681" s="66"/>
      <c r="AI681" s="66"/>
      <c r="AJ681" s="66"/>
      <c r="AK681" s="66"/>
      <c r="AL681" s="66"/>
      <c r="AM681" s="66"/>
      <c r="AN681" s="66"/>
      <c r="AO681" s="66"/>
    </row>
    <row r="682">
      <c r="A682" s="93"/>
      <c r="B682" s="85"/>
      <c r="C682" s="86"/>
      <c r="D682" s="93"/>
      <c r="E682" s="85"/>
      <c r="F682" s="85"/>
      <c r="G682" s="86"/>
      <c r="H682" s="78" t="str">
        <f>IFERROR(__xludf.DUMMYFUNCTION("""COMPUTED_VALUE"""),"")</f>
        <v/>
      </c>
      <c r="I682" s="85"/>
      <c r="J682" s="85"/>
      <c r="K682" s="85"/>
      <c r="L682" s="86" t="str">
        <f>IFERROR(__xludf.DUMMYFUNCTION("""COMPUTED_VALUE"""),"REJECT")</f>
        <v>REJECT</v>
      </c>
      <c r="M682" s="78" t="str">
        <f>IFERROR(__xludf.DUMMYFUNCTION("""COMPUTED_VALUE"""),"")</f>
        <v/>
      </c>
      <c r="N682" s="85"/>
      <c r="O682" s="85"/>
      <c r="P682" s="85"/>
      <c r="Q682" s="86" t="str">
        <f>IFERROR(__xludf.DUMMYFUNCTION("""COMPUTED_VALUE"""),"REJECT")</f>
        <v>REJECT</v>
      </c>
      <c r="R682" s="66"/>
      <c r="S682" s="66"/>
      <c r="T682" s="66"/>
      <c r="U682" s="66"/>
      <c r="V682" s="66"/>
      <c r="W682" s="66"/>
      <c r="X682" s="66"/>
      <c r="Y682" s="66"/>
      <c r="Z682" s="66"/>
      <c r="AA682" s="66"/>
      <c r="AB682" s="66"/>
      <c r="AC682" s="66"/>
      <c r="AD682" s="66"/>
      <c r="AE682" s="66"/>
      <c r="AF682" s="66"/>
      <c r="AG682" s="66"/>
      <c r="AH682" s="66"/>
      <c r="AI682" s="66"/>
      <c r="AJ682" s="66"/>
      <c r="AK682" s="66"/>
      <c r="AL682" s="66"/>
      <c r="AM682" s="66"/>
      <c r="AN682" s="66"/>
      <c r="AO682" s="66"/>
    </row>
    <row r="683">
      <c r="A683" s="93"/>
      <c r="B683" s="85"/>
      <c r="C683" s="86"/>
      <c r="D683" s="93"/>
      <c r="E683" s="85"/>
      <c r="F683" s="85"/>
      <c r="G683" s="86"/>
      <c r="H683" s="78" t="str">
        <f>IFERROR(__xludf.DUMMYFUNCTION("""COMPUTED_VALUE"""),"")</f>
        <v/>
      </c>
      <c r="I683" s="85"/>
      <c r="J683" s="85"/>
      <c r="K683" s="85"/>
      <c r="L683" s="86" t="str">
        <f>IFERROR(__xludf.DUMMYFUNCTION("""COMPUTED_VALUE"""),"REJECT")</f>
        <v>REJECT</v>
      </c>
      <c r="M683" s="78" t="str">
        <f>IFERROR(__xludf.DUMMYFUNCTION("""COMPUTED_VALUE"""),"")</f>
        <v/>
      </c>
      <c r="N683" s="85"/>
      <c r="O683" s="85"/>
      <c r="P683" s="85"/>
      <c r="Q683" s="86" t="str">
        <f>IFERROR(__xludf.DUMMYFUNCTION("""COMPUTED_VALUE"""),"REJECT")</f>
        <v>REJECT</v>
      </c>
      <c r="R683" s="66"/>
      <c r="S683" s="66"/>
      <c r="T683" s="66"/>
      <c r="U683" s="66"/>
      <c r="V683" s="66"/>
      <c r="W683" s="66"/>
      <c r="X683" s="66"/>
      <c r="Y683" s="66"/>
      <c r="Z683" s="66"/>
      <c r="AA683" s="66"/>
      <c r="AB683" s="66"/>
      <c r="AC683" s="66"/>
      <c r="AD683" s="66"/>
      <c r="AE683" s="66"/>
      <c r="AF683" s="66"/>
      <c r="AG683" s="66"/>
      <c r="AH683" s="66"/>
      <c r="AI683" s="66"/>
      <c r="AJ683" s="66"/>
      <c r="AK683" s="66"/>
      <c r="AL683" s="66"/>
      <c r="AM683" s="66"/>
      <c r="AN683" s="66"/>
      <c r="AO683" s="66"/>
    </row>
    <row r="684">
      <c r="A684" s="93"/>
      <c r="B684" s="85"/>
      <c r="C684" s="86"/>
      <c r="D684" s="93"/>
      <c r="E684" s="85"/>
      <c r="F684" s="85"/>
      <c r="G684" s="86"/>
      <c r="H684" s="78" t="str">
        <f>IFERROR(__xludf.DUMMYFUNCTION("""COMPUTED_VALUE"""),"")</f>
        <v/>
      </c>
      <c r="I684" s="85"/>
      <c r="J684" s="85"/>
      <c r="K684" s="85"/>
      <c r="L684" s="86" t="str">
        <f>IFERROR(__xludf.DUMMYFUNCTION("""COMPUTED_VALUE"""),"REJECT")</f>
        <v>REJECT</v>
      </c>
      <c r="M684" s="78" t="str">
        <f>IFERROR(__xludf.DUMMYFUNCTION("""COMPUTED_VALUE"""),"")</f>
        <v/>
      </c>
      <c r="N684" s="85"/>
      <c r="O684" s="85"/>
      <c r="P684" s="85"/>
      <c r="Q684" s="86" t="str">
        <f>IFERROR(__xludf.DUMMYFUNCTION("""COMPUTED_VALUE"""),"REJECT")</f>
        <v>REJECT</v>
      </c>
      <c r="R684" s="66"/>
      <c r="S684" s="66"/>
      <c r="T684" s="66"/>
      <c r="U684" s="66"/>
      <c r="V684" s="66"/>
      <c r="W684" s="66"/>
      <c r="X684" s="66"/>
      <c r="Y684" s="66"/>
      <c r="Z684" s="66"/>
      <c r="AA684" s="66"/>
      <c r="AB684" s="66"/>
      <c r="AC684" s="66"/>
      <c r="AD684" s="66"/>
      <c r="AE684" s="66"/>
      <c r="AF684" s="66"/>
      <c r="AG684" s="66"/>
      <c r="AH684" s="66"/>
      <c r="AI684" s="66"/>
      <c r="AJ684" s="66"/>
      <c r="AK684" s="66"/>
      <c r="AL684" s="66"/>
      <c r="AM684" s="66"/>
      <c r="AN684" s="66"/>
      <c r="AO684" s="66"/>
    </row>
    <row r="685">
      <c r="A685" s="93"/>
      <c r="B685" s="85"/>
      <c r="C685" s="86"/>
      <c r="D685" s="93"/>
      <c r="E685" s="85"/>
      <c r="F685" s="85"/>
      <c r="G685" s="86"/>
      <c r="H685" s="78" t="str">
        <f>IFERROR(__xludf.DUMMYFUNCTION("""COMPUTED_VALUE"""),"")</f>
        <v/>
      </c>
      <c r="I685" s="85"/>
      <c r="J685" s="85"/>
      <c r="K685" s="85"/>
      <c r="L685" s="86" t="str">
        <f>IFERROR(__xludf.DUMMYFUNCTION("""COMPUTED_VALUE"""),"REJECT")</f>
        <v>REJECT</v>
      </c>
      <c r="M685" s="78" t="str">
        <f>IFERROR(__xludf.DUMMYFUNCTION("""COMPUTED_VALUE"""),"")</f>
        <v/>
      </c>
      <c r="N685" s="85"/>
      <c r="O685" s="85"/>
      <c r="P685" s="85"/>
      <c r="Q685" s="86" t="str">
        <f>IFERROR(__xludf.DUMMYFUNCTION("""COMPUTED_VALUE"""),"REJECT")</f>
        <v>REJECT</v>
      </c>
      <c r="R685" s="66"/>
      <c r="S685" s="66"/>
      <c r="T685" s="66"/>
      <c r="U685" s="66"/>
      <c r="V685" s="66"/>
      <c r="W685" s="66"/>
      <c r="X685" s="66"/>
      <c r="Y685" s="66"/>
      <c r="Z685" s="66"/>
      <c r="AA685" s="66"/>
      <c r="AB685" s="66"/>
      <c r="AC685" s="66"/>
      <c r="AD685" s="66"/>
      <c r="AE685" s="66"/>
      <c r="AF685" s="66"/>
      <c r="AG685" s="66"/>
      <c r="AH685" s="66"/>
      <c r="AI685" s="66"/>
      <c r="AJ685" s="66"/>
      <c r="AK685" s="66"/>
      <c r="AL685" s="66"/>
      <c r="AM685" s="66"/>
      <c r="AN685" s="66"/>
      <c r="AO685" s="66"/>
    </row>
    <row r="686">
      <c r="A686" s="93"/>
      <c r="B686" s="85"/>
      <c r="C686" s="86"/>
      <c r="D686" s="93"/>
      <c r="E686" s="85"/>
      <c r="F686" s="85"/>
      <c r="G686" s="86"/>
      <c r="H686" s="78" t="str">
        <f>IFERROR(__xludf.DUMMYFUNCTION("""COMPUTED_VALUE"""),"")</f>
        <v/>
      </c>
      <c r="I686" s="85"/>
      <c r="J686" s="85"/>
      <c r="K686" s="85"/>
      <c r="L686" s="86" t="str">
        <f>IFERROR(__xludf.DUMMYFUNCTION("""COMPUTED_VALUE"""),"REJECT")</f>
        <v>REJECT</v>
      </c>
      <c r="M686" s="78" t="str">
        <f>IFERROR(__xludf.DUMMYFUNCTION("""COMPUTED_VALUE"""),"")</f>
        <v/>
      </c>
      <c r="N686" s="85"/>
      <c r="O686" s="85"/>
      <c r="P686" s="85"/>
      <c r="Q686" s="86" t="str">
        <f>IFERROR(__xludf.DUMMYFUNCTION("""COMPUTED_VALUE"""),"REJECT")</f>
        <v>REJECT</v>
      </c>
      <c r="R686" s="66"/>
      <c r="S686" s="66"/>
      <c r="T686" s="66"/>
      <c r="U686" s="66"/>
      <c r="V686" s="66"/>
      <c r="W686" s="66"/>
      <c r="X686" s="66"/>
      <c r="Y686" s="66"/>
      <c r="Z686" s="66"/>
      <c r="AA686" s="66"/>
      <c r="AB686" s="66"/>
      <c r="AC686" s="66"/>
      <c r="AD686" s="66"/>
      <c r="AE686" s="66"/>
      <c r="AF686" s="66"/>
      <c r="AG686" s="66"/>
      <c r="AH686" s="66"/>
      <c r="AI686" s="66"/>
      <c r="AJ686" s="66"/>
      <c r="AK686" s="66"/>
      <c r="AL686" s="66"/>
      <c r="AM686" s="66"/>
      <c r="AN686" s="66"/>
      <c r="AO686" s="66"/>
    </row>
    <row r="687">
      <c r="A687" s="93"/>
      <c r="B687" s="85"/>
      <c r="C687" s="86"/>
      <c r="D687" s="93"/>
      <c r="E687" s="85"/>
      <c r="F687" s="85"/>
      <c r="G687" s="86"/>
      <c r="H687" s="78" t="str">
        <f>IFERROR(__xludf.DUMMYFUNCTION("""COMPUTED_VALUE"""),"")</f>
        <v/>
      </c>
      <c r="I687" s="85"/>
      <c r="J687" s="85"/>
      <c r="K687" s="85"/>
      <c r="L687" s="86" t="str">
        <f>IFERROR(__xludf.DUMMYFUNCTION("""COMPUTED_VALUE"""),"REJECT")</f>
        <v>REJECT</v>
      </c>
      <c r="M687" s="78" t="str">
        <f>IFERROR(__xludf.DUMMYFUNCTION("""COMPUTED_VALUE"""),"")</f>
        <v/>
      </c>
      <c r="N687" s="85"/>
      <c r="O687" s="85"/>
      <c r="P687" s="85"/>
      <c r="Q687" s="86" t="str">
        <f>IFERROR(__xludf.DUMMYFUNCTION("""COMPUTED_VALUE"""),"REJECT")</f>
        <v>REJECT</v>
      </c>
      <c r="R687" s="66"/>
      <c r="S687" s="66"/>
      <c r="T687" s="66"/>
      <c r="U687" s="66"/>
      <c r="V687" s="66"/>
      <c r="W687" s="66"/>
      <c r="X687" s="66"/>
      <c r="Y687" s="66"/>
      <c r="Z687" s="66"/>
      <c r="AA687" s="66"/>
      <c r="AB687" s="66"/>
      <c r="AC687" s="66"/>
      <c r="AD687" s="66"/>
      <c r="AE687" s="66"/>
      <c r="AF687" s="66"/>
      <c r="AG687" s="66"/>
      <c r="AH687" s="66"/>
      <c r="AI687" s="66"/>
      <c r="AJ687" s="66"/>
      <c r="AK687" s="66"/>
      <c r="AL687" s="66"/>
      <c r="AM687" s="66"/>
      <c r="AN687" s="66"/>
      <c r="AO687" s="66"/>
    </row>
    <row r="688">
      <c r="A688" s="93"/>
      <c r="B688" s="85"/>
      <c r="C688" s="86"/>
      <c r="D688" s="93"/>
      <c r="E688" s="85"/>
      <c r="F688" s="85"/>
      <c r="G688" s="86"/>
      <c r="H688" s="78" t="str">
        <f>IFERROR(__xludf.DUMMYFUNCTION("""COMPUTED_VALUE"""),"")</f>
        <v/>
      </c>
      <c r="I688" s="85"/>
      <c r="J688" s="85"/>
      <c r="K688" s="85"/>
      <c r="L688" s="86" t="str">
        <f>IFERROR(__xludf.DUMMYFUNCTION("""COMPUTED_VALUE"""),"REJECT")</f>
        <v>REJECT</v>
      </c>
      <c r="M688" s="78" t="str">
        <f>IFERROR(__xludf.DUMMYFUNCTION("""COMPUTED_VALUE"""),"")</f>
        <v/>
      </c>
      <c r="N688" s="85"/>
      <c r="O688" s="85"/>
      <c r="P688" s="85"/>
      <c r="Q688" s="86" t="str">
        <f>IFERROR(__xludf.DUMMYFUNCTION("""COMPUTED_VALUE"""),"REJECT")</f>
        <v>REJECT</v>
      </c>
      <c r="R688" s="66"/>
      <c r="S688" s="66"/>
      <c r="T688" s="66"/>
      <c r="U688" s="66"/>
      <c r="V688" s="66"/>
      <c r="W688" s="66"/>
      <c r="X688" s="66"/>
      <c r="Y688" s="66"/>
      <c r="Z688" s="66"/>
      <c r="AA688" s="66"/>
      <c r="AB688" s="66"/>
      <c r="AC688" s="66"/>
      <c r="AD688" s="66"/>
      <c r="AE688" s="66"/>
      <c r="AF688" s="66"/>
      <c r="AG688" s="66"/>
      <c r="AH688" s="66"/>
      <c r="AI688" s="66"/>
      <c r="AJ688" s="66"/>
      <c r="AK688" s="66"/>
      <c r="AL688" s="66"/>
      <c r="AM688" s="66"/>
      <c r="AN688" s="66"/>
      <c r="AO688" s="66"/>
    </row>
    <row r="689">
      <c r="A689" s="93"/>
      <c r="B689" s="85"/>
      <c r="C689" s="86"/>
      <c r="D689" s="93"/>
      <c r="E689" s="85"/>
      <c r="F689" s="85"/>
      <c r="G689" s="86"/>
      <c r="H689" s="78" t="str">
        <f>IFERROR(__xludf.DUMMYFUNCTION("""COMPUTED_VALUE"""),"")</f>
        <v/>
      </c>
      <c r="I689" s="85"/>
      <c r="J689" s="85"/>
      <c r="K689" s="85"/>
      <c r="L689" s="86" t="str">
        <f>IFERROR(__xludf.DUMMYFUNCTION("""COMPUTED_VALUE"""),"REJECT")</f>
        <v>REJECT</v>
      </c>
      <c r="M689" s="78" t="str">
        <f>IFERROR(__xludf.DUMMYFUNCTION("""COMPUTED_VALUE"""),"")</f>
        <v/>
      </c>
      <c r="N689" s="85"/>
      <c r="O689" s="85"/>
      <c r="P689" s="85"/>
      <c r="Q689" s="86" t="str">
        <f>IFERROR(__xludf.DUMMYFUNCTION("""COMPUTED_VALUE"""),"REJECT")</f>
        <v>REJECT</v>
      </c>
      <c r="R689" s="66"/>
      <c r="S689" s="66"/>
      <c r="T689" s="66"/>
      <c r="U689" s="66"/>
      <c r="V689" s="66"/>
      <c r="W689" s="66"/>
      <c r="X689" s="66"/>
      <c r="Y689" s="66"/>
      <c r="Z689" s="66"/>
      <c r="AA689" s="66"/>
      <c r="AB689" s="66"/>
      <c r="AC689" s="66"/>
      <c r="AD689" s="66"/>
      <c r="AE689" s="66"/>
      <c r="AF689" s="66"/>
      <c r="AG689" s="66"/>
      <c r="AH689" s="66"/>
      <c r="AI689" s="66"/>
      <c r="AJ689" s="66"/>
      <c r="AK689" s="66"/>
      <c r="AL689" s="66"/>
      <c r="AM689" s="66"/>
      <c r="AN689" s="66"/>
      <c r="AO689" s="66"/>
    </row>
    <row r="690">
      <c r="A690" s="93"/>
      <c r="B690" s="85"/>
      <c r="C690" s="86"/>
      <c r="D690" s="93"/>
      <c r="E690" s="85"/>
      <c r="F690" s="85"/>
      <c r="G690" s="86"/>
      <c r="H690" s="78" t="str">
        <f>IFERROR(__xludf.DUMMYFUNCTION("""COMPUTED_VALUE"""),"")</f>
        <v/>
      </c>
      <c r="I690" s="85"/>
      <c r="J690" s="85"/>
      <c r="K690" s="85"/>
      <c r="L690" s="86" t="str">
        <f>IFERROR(__xludf.DUMMYFUNCTION("""COMPUTED_VALUE"""),"REJECT")</f>
        <v>REJECT</v>
      </c>
      <c r="M690" s="78" t="str">
        <f>IFERROR(__xludf.DUMMYFUNCTION("""COMPUTED_VALUE"""),"")</f>
        <v/>
      </c>
      <c r="N690" s="85"/>
      <c r="O690" s="85"/>
      <c r="P690" s="85"/>
      <c r="Q690" s="86" t="str">
        <f>IFERROR(__xludf.DUMMYFUNCTION("""COMPUTED_VALUE"""),"REJECT")</f>
        <v>REJECT</v>
      </c>
      <c r="R690" s="66"/>
      <c r="S690" s="66"/>
      <c r="T690" s="66"/>
      <c r="U690" s="66"/>
      <c r="V690" s="66"/>
      <c r="W690" s="66"/>
      <c r="X690" s="66"/>
      <c r="Y690" s="66"/>
      <c r="Z690" s="66"/>
      <c r="AA690" s="66"/>
      <c r="AB690" s="66"/>
      <c r="AC690" s="66"/>
      <c r="AD690" s="66"/>
      <c r="AE690" s="66"/>
      <c r="AF690" s="66"/>
      <c r="AG690" s="66"/>
      <c r="AH690" s="66"/>
      <c r="AI690" s="66"/>
      <c r="AJ690" s="66"/>
      <c r="AK690" s="66"/>
      <c r="AL690" s="66"/>
      <c r="AM690" s="66"/>
      <c r="AN690" s="66"/>
      <c r="AO690" s="66"/>
    </row>
    <row r="691">
      <c r="A691" s="93"/>
      <c r="B691" s="85"/>
      <c r="C691" s="86"/>
      <c r="D691" s="93"/>
      <c r="E691" s="85"/>
      <c r="F691" s="85"/>
      <c r="G691" s="86"/>
      <c r="H691" s="78" t="str">
        <f>IFERROR(__xludf.DUMMYFUNCTION("""COMPUTED_VALUE"""),"")</f>
        <v/>
      </c>
      <c r="I691" s="85"/>
      <c r="J691" s="85"/>
      <c r="K691" s="85"/>
      <c r="L691" s="86" t="str">
        <f>IFERROR(__xludf.DUMMYFUNCTION("""COMPUTED_VALUE"""),"REJECT")</f>
        <v>REJECT</v>
      </c>
      <c r="M691" s="78" t="str">
        <f>IFERROR(__xludf.DUMMYFUNCTION("""COMPUTED_VALUE"""),"")</f>
        <v/>
      </c>
      <c r="N691" s="85"/>
      <c r="O691" s="85"/>
      <c r="P691" s="85"/>
      <c r="Q691" s="86" t="str">
        <f>IFERROR(__xludf.DUMMYFUNCTION("""COMPUTED_VALUE"""),"REJECT")</f>
        <v>REJECT</v>
      </c>
      <c r="R691" s="66"/>
      <c r="S691" s="66"/>
      <c r="T691" s="66"/>
      <c r="U691" s="66"/>
      <c r="V691" s="66"/>
      <c r="W691" s="66"/>
      <c r="X691" s="66"/>
      <c r="Y691" s="66"/>
      <c r="Z691" s="66"/>
      <c r="AA691" s="66"/>
      <c r="AB691" s="66"/>
      <c r="AC691" s="66"/>
      <c r="AD691" s="66"/>
      <c r="AE691" s="66"/>
      <c r="AF691" s="66"/>
      <c r="AG691" s="66"/>
      <c r="AH691" s="66"/>
      <c r="AI691" s="66"/>
      <c r="AJ691" s="66"/>
      <c r="AK691" s="66"/>
      <c r="AL691" s="66"/>
      <c r="AM691" s="66"/>
      <c r="AN691" s="66"/>
      <c r="AO691" s="66"/>
    </row>
    <row r="692">
      <c r="A692" s="93"/>
      <c r="B692" s="85"/>
      <c r="C692" s="86"/>
      <c r="D692" s="93"/>
      <c r="E692" s="85"/>
      <c r="F692" s="85"/>
      <c r="G692" s="86"/>
      <c r="H692" s="78" t="str">
        <f>IFERROR(__xludf.DUMMYFUNCTION("""COMPUTED_VALUE"""),"")</f>
        <v/>
      </c>
      <c r="I692" s="85"/>
      <c r="J692" s="85"/>
      <c r="K692" s="85"/>
      <c r="L692" s="86" t="str">
        <f>IFERROR(__xludf.DUMMYFUNCTION("""COMPUTED_VALUE"""),"REJECT")</f>
        <v>REJECT</v>
      </c>
      <c r="M692" s="78" t="str">
        <f>IFERROR(__xludf.DUMMYFUNCTION("""COMPUTED_VALUE"""),"")</f>
        <v/>
      </c>
      <c r="N692" s="85"/>
      <c r="O692" s="85"/>
      <c r="P692" s="85"/>
      <c r="Q692" s="86" t="str">
        <f>IFERROR(__xludf.DUMMYFUNCTION("""COMPUTED_VALUE"""),"REJECT")</f>
        <v>REJECT</v>
      </c>
      <c r="R692" s="66"/>
      <c r="S692" s="66"/>
      <c r="T692" s="66"/>
      <c r="U692" s="66"/>
      <c r="V692" s="66"/>
      <c r="W692" s="66"/>
      <c r="X692" s="66"/>
      <c r="Y692" s="66"/>
      <c r="Z692" s="66"/>
      <c r="AA692" s="66"/>
      <c r="AB692" s="66"/>
      <c r="AC692" s="66"/>
      <c r="AD692" s="66"/>
      <c r="AE692" s="66"/>
      <c r="AF692" s="66"/>
      <c r="AG692" s="66"/>
      <c r="AH692" s="66"/>
      <c r="AI692" s="66"/>
      <c r="AJ692" s="66"/>
      <c r="AK692" s="66"/>
      <c r="AL692" s="66"/>
      <c r="AM692" s="66"/>
      <c r="AN692" s="66"/>
      <c r="AO692" s="66"/>
    </row>
    <row r="693">
      <c r="A693" s="93"/>
      <c r="B693" s="85"/>
      <c r="C693" s="86"/>
      <c r="D693" s="93"/>
      <c r="E693" s="85"/>
      <c r="F693" s="85"/>
      <c r="G693" s="86"/>
      <c r="H693" s="78" t="str">
        <f>IFERROR(__xludf.DUMMYFUNCTION("""COMPUTED_VALUE"""),"")</f>
        <v/>
      </c>
      <c r="I693" s="85"/>
      <c r="J693" s="85"/>
      <c r="K693" s="85"/>
      <c r="L693" s="86" t="str">
        <f>IFERROR(__xludf.DUMMYFUNCTION("""COMPUTED_VALUE"""),"REJECT")</f>
        <v>REJECT</v>
      </c>
      <c r="M693" s="78" t="str">
        <f>IFERROR(__xludf.DUMMYFUNCTION("""COMPUTED_VALUE"""),"")</f>
        <v/>
      </c>
      <c r="N693" s="85"/>
      <c r="O693" s="85"/>
      <c r="P693" s="85"/>
      <c r="Q693" s="86" t="str">
        <f>IFERROR(__xludf.DUMMYFUNCTION("""COMPUTED_VALUE"""),"REJECT")</f>
        <v>REJECT</v>
      </c>
      <c r="R693" s="66"/>
      <c r="S693" s="66"/>
      <c r="T693" s="66"/>
      <c r="U693" s="66"/>
      <c r="V693" s="66"/>
      <c r="W693" s="66"/>
      <c r="X693" s="66"/>
      <c r="Y693" s="66"/>
      <c r="Z693" s="66"/>
      <c r="AA693" s="66"/>
      <c r="AB693" s="66"/>
      <c r="AC693" s="66"/>
      <c r="AD693" s="66"/>
      <c r="AE693" s="66"/>
      <c r="AF693" s="66"/>
      <c r="AG693" s="66"/>
      <c r="AH693" s="66"/>
      <c r="AI693" s="66"/>
      <c r="AJ693" s="66"/>
      <c r="AK693" s="66"/>
      <c r="AL693" s="66"/>
      <c r="AM693" s="66"/>
      <c r="AN693" s="66"/>
      <c r="AO693" s="66"/>
    </row>
    <row r="694">
      <c r="A694" s="93"/>
      <c r="B694" s="85"/>
      <c r="C694" s="86"/>
      <c r="D694" s="93"/>
      <c r="E694" s="85"/>
      <c r="F694" s="85"/>
      <c r="G694" s="86"/>
      <c r="H694" s="78" t="str">
        <f>IFERROR(__xludf.DUMMYFUNCTION("""COMPUTED_VALUE"""),"")</f>
        <v/>
      </c>
      <c r="I694" s="85"/>
      <c r="J694" s="85"/>
      <c r="K694" s="85"/>
      <c r="L694" s="86" t="str">
        <f>IFERROR(__xludf.DUMMYFUNCTION("""COMPUTED_VALUE"""),"REJECT")</f>
        <v>REJECT</v>
      </c>
      <c r="M694" s="78" t="str">
        <f>IFERROR(__xludf.DUMMYFUNCTION("""COMPUTED_VALUE"""),"")</f>
        <v/>
      </c>
      <c r="N694" s="85"/>
      <c r="O694" s="85"/>
      <c r="P694" s="85"/>
      <c r="Q694" s="86" t="str">
        <f>IFERROR(__xludf.DUMMYFUNCTION("""COMPUTED_VALUE"""),"REJECT")</f>
        <v>REJECT</v>
      </c>
      <c r="R694" s="66"/>
      <c r="S694" s="66"/>
      <c r="T694" s="66"/>
      <c r="U694" s="66"/>
      <c r="V694" s="66"/>
      <c r="W694" s="66"/>
      <c r="X694" s="66"/>
      <c r="Y694" s="66"/>
      <c r="Z694" s="66"/>
      <c r="AA694" s="66"/>
      <c r="AB694" s="66"/>
      <c r="AC694" s="66"/>
      <c r="AD694" s="66"/>
      <c r="AE694" s="66"/>
      <c r="AF694" s="66"/>
      <c r="AG694" s="66"/>
      <c r="AH694" s="66"/>
      <c r="AI694" s="66"/>
      <c r="AJ694" s="66"/>
      <c r="AK694" s="66"/>
      <c r="AL694" s="66"/>
      <c r="AM694" s="66"/>
      <c r="AN694" s="66"/>
      <c r="AO694" s="66"/>
    </row>
    <row r="695">
      <c r="A695" s="93"/>
      <c r="B695" s="85"/>
      <c r="C695" s="86"/>
      <c r="D695" s="93"/>
      <c r="E695" s="85"/>
      <c r="F695" s="85"/>
      <c r="G695" s="86"/>
      <c r="H695" s="78" t="str">
        <f>IFERROR(__xludf.DUMMYFUNCTION("""COMPUTED_VALUE"""),"")</f>
        <v/>
      </c>
      <c r="I695" s="85"/>
      <c r="J695" s="85"/>
      <c r="K695" s="85"/>
      <c r="L695" s="86" t="str">
        <f>IFERROR(__xludf.DUMMYFUNCTION("""COMPUTED_VALUE"""),"REJECT")</f>
        <v>REJECT</v>
      </c>
      <c r="M695" s="78" t="str">
        <f>IFERROR(__xludf.DUMMYFUNCTION("""COMPUTED_VALUE"""),"")</f>
        <v/>
      </c>
      <c r="N695" s="85"/>
      <c r="O695" s="85"/>
      <c r="P695" s="85"/>
      <c r="Q695" s="86" t="str">
        <f>IFERROR(__xludf.DUMMYFUNCTION("""COMPUTED_VALUE"""),"REJECT")</f>
        <v>REJECT</v>
      </c>
      <c r="R695" s="66"/>
      <c r="S695" s="66"/>
      <c r="T695" s="66"/>
      <c r="U695" s="66"/>
      <c r="V695" s="66"/>
      <c r="W695" s="66"/>
      <c r="X695" s="66"/>
      <c r="Y695" s="66"/>
      <c r="Z695" s="66"/>
      <c r="AA695" s="66"/>
      <c r="AB695" s="66"/>
      <c r="AC695" s="66"/>
      <c r="AD695" s="66"/>
      <c r="AE695" s="66"/>
      <c r="AF695" s="66"/>
      <c r="AG695" s="66"/>
      <c r="AH695" s="66"/>
      <c r="AI695" s="66"/>
      <c r="AJ695" s="66"/>
      <c r="AK695" s="66"/>
      <c r="AL695" s="66"/>
      <c r="AM695" s="66"/>
      <c r="AN695" s="66"/>
      <c r="AO695" s="66"/>
    </row>
    <row r="696">
      <c r="A696" s="93"/>
      <c r="B696" s="85"/>
      <c r="C696" s="86"/>
      <c r="D696" s="93"/>
      <c r="E696" s="85"/>
      <c r="F696" s="85"/>
      <c r="G696" s="86"/>
      <c r="H696" s="78" t="str">
        <f>IFERROR(__xludf.DUMMYFUNCTION("""COMPUTED_VALUE"""),"")</f>
        <v/>
      </c>
      <c r="I696" s="85"/>
      <c r="J696" s="85"/>
      <c r="K696" s="85"/>
      <c r="L696" s="86" t="str">
        <f>IFERROR(__xludf.DUMMYFUNCTION("""COMPUTED_VALUE"""),"REJECT")</f>
        <v>REJECT</v>
      </c>
      <c r="M696" s="78" t="str">
        <f>IFERROR(__xludf.DUMMYFUNCTION("""COMPUTED_VALUE"""),"")</f>
        <v/>
      </c>
      <c r="N696" s="85"/>
      <c r="O696" s="85"/>
      <c r="P696" s="85"/>
      <c r="Q696" s="86" t="str">
        <f>IFERROR(__xludf.DUMMYFUNCTION("""COMPUTED_VALUE"""),"REJECT")</f>
        <v>REJECT</v>
      </c>
      <c r="R696" s="66"/>
      <c r="S696" s="66"/>
      <c r="T696" s="66"/>
      <c r="U696" s="66"/>
      <c r="V696" s="66"/>
      <c r="W696" s="66"/>
      <c r="X696" s="66"/>
      <c r="Y696" s="66"/>
      <c r="Z696" s="66"/>
      <c r="AA696" s="66"/>
      <c r="AB696" s="66"/>
      <c r="AC696" s="66"/>
      <c r="AD696" s="66"/>
      <c r="AE696" s="66"/>
      <c r="AF696" s="66"/>
      <c r="AG696" s="66"/>
      <c r="AH696" s="66"/>
      <c r="AI696" s="66"/>
      <c r="AJ696" s="66"/>
      <c r="AK696" s="66"/>
      <c r="AL696" s="66"/>
      <c r="AM696" s="66"/>
      <c r="AN696" s="66"/>
      <c r="AO696" s="66"/>
    </row>
    <row r="697">
      <c r="A697" s="93"/>
      <c r="B697" s="85"/>
      <c r="C697" s="86"/>
      <c r="D697" s="93"/>
      <c r="E697" s="85"/>
      <c r="F697" s="85"/>
      <c r="G697" s="86"/>
      <c r="H697" s="78" t="str">
        <f>IFERROR(__xludf.DUMMYFUNCTION("""COMPUTED_VALUE"""),"")</f>
        <v/>
      </c>
      <c r="I697" s="85"/>
      <c r="J697" s="85"/>
      <c r="K697" s="85"/>
      <c r="L697" s="86" t="str">
        <f>IFERROR(__xludf.DUMMYFUNCTION("""COMPUTED_VALUE"""),"REJECT")</f>
        <v>REJECT</v>
      </c>
      <c r="M697" s="78" t="str">
        <f>IFERROR(__xludf.DUMMYFUNCTION("""COMPUTED_VALUE"""),"")</f>
        <v/>
      </c>
      <c r="N697" s="85"/>
      <c r="O697" s="85"/>
      <c r="P697" s="85"/>
      <c r="Q697" s="86" t="str">
        <f>IFERROR(__xludf.DUMMYFUNCTION("""COMPUTED_VALUE"""),"REJECT")</f>
        <v>REJECT</v>
      </c>
      <c r="R697" s="66"/>
      <c r="S697" s="66"/>
      <c r="T697" s="66"/>
      <c r="U697" s="66"/>
      <c r="V697" s="66"/>
      <c r="W697" s="66"/>
      <c r="X697" s="66"/>
      <c r="Y697" s="66"/>
      <c r="Z697" s="66"/>
      <c r="AA697" s="66"/>
      <c r="AB697" s="66"/>
      <c r="AC697" s="66"/>
      <c r="AD697" s="66"/>
      <c r="AE697" s="66"/>
      <c r="AF697" s="66"/>
      <c r="AG697" s="66"/>
      <c r="AH697" s="66"/>
      <c r="AI697" s="66"/>
      <c r="AJ697" s="66"/>
      <c r="AK697" s="66"/>
      <c r="AL697" s="66"/>
      <c r="AM697" s="66"/>
      <c r="AN697" s="66"/>
      <c r="AO697" s="66"/>
    </row>
    <row r="698">
      <c r="A698" s="93"/>
      <c r="B698" s="85"/>
      <c r="C698" s="86"/>
      <c r="D698" s="93"/>
      <c r="E698" s="85"/>
      <c r="F698" s="85"/>
      <c r="G698" s="86"/>
      <c r="H698" s="78" t="str">
        <f>IFERROR(__xludf.DUMMYFUNCTION("""COMPUTED_VALUE"""),"")</f>
        <v/>
      </c>
      <c r="I698" s="85"/>
      <c r="J698" s="85"/>
      <c r="K698" s="85"/>
      <c r="L698" s="86" t="str">
        <f>IFERROR(__xludf.DUMMYFUNCTION("""COMPUTED_VALUE"""),"REJECT")</f>
        <v>REJECT</v>
      </c>
      <c r="M698" s="78" t="str">
        <f>IFERROR(__xludf.DUMMYFUNCTION("""COMPUTED_VALUE"""),"")</f>
        <v/>
      </c>
      <c r="N698" s="85"/>
      <c r="O698" s="85"/>
      <c r="P698" s="85"/>
      <c r="Q698" s="86" t="str">
        <f>IFERROR(__xludf.DUMMYFUNCTION("""COMPUTED_VALUE"""),"REJECT")</f>
        <v>REJECT</v>
      </c>
      <c r="R698" s="66"/>
      <c r="S698" s="66"/>
      <c r="T698" s="66"/>
      <c r="U698" s="66"/>
      <c r="V698" s="66"/>
      <c r="W698" s="66"/>
      <c r="X698" s="66"/>
      <c r="Y698" s="66"/>
      <c r="Z698" s="66"/>
      <c r="AA698" s="66"/>
      <c r="AB698" s="66"/>
      <c r="AC698" s="66"/>
      <c r="AD698" s="66"/>
      <c r="AE698" s="66"/>
      <c r="AF698" s="66"/>
      <c r="AG698" s="66"/>
      <c r="AH698" s="66"/>
      <c r="AI698" s="66"/>
      <c r="AJ698" s="66"/>
      <c r="AK698" s="66"/>
      <c r="AL698" s="66"/>
      <c r="AM698" s="66"/>
      <c r="AN698" s="66"/>
      <c r="AO698" s="66"/>
    </row>
    <row r="699">
      <c r="A699" s="93"/>
      <c r="B699" s="85"/>
      <c r="C699" s="86"/>
      <c r="D699" s="93"/>
      <c r="E699" s="85"/>
      <c r="F699" s="85"/>
      <c r="G699" s="86"/>
      <c r="H699" s="78" t="str">
        <f>IFERROR(__xludf.DUMMYFUNCTION("""COMPUTED_VALUE"""),"")</f>
        <v/>
      </c>
      <c r="I699" s="85"/>
      <c r="J699" s="85"/>
      <c r="K699" s="85"/>
      <c r="L699" s="86" t="str">
        <f>IFERROR(__xludf.DUMMYFUNCTION("""COMPUTED_VALUE"""),"REJECT")</f>
        <v>REJECT</v>
      </c>
      <c r="M699" s="78" t="str">
        <f>IFERROR(__xludf.DUMMYFUNCTION("""COMPUTED_VALUE"""),"")</f>
        <v/>
      </c>
      <c r="N699" s="85"/>
      <c r="O699" s="85"/>
      <c r="P699" s="85"/>
      <c r="Q699" s="86" t="str">
        <f>IFERROR(__xludf.DUMMYFUNCTION("""COMPUTED_VALUE"""),"REJECT")</f>
        <v>REJECT</v>
      </c>
      <c r="R699" s="66"/>
      <c r="S699" s="66"/>
      <c r="T699" s="66"/>
      <c r="U699" s="66"/>
      <c r="V699" s="66"/>
      <c r="W699" s="66"/>
      <c r="X699" s="66"/>
      <c r="Y699" s="66"/>
      <c r="Z699" s="66"/>
      <c r="AA699" s="66"/>
      <c r="AB699" s="66"/>
      <c r="AC699" s="66"/>
      <c r="AD699" s="66"/>
      <c r="AE699" s="66"/>
      <c r="AF699" s="66"/>
      <c r="AG699" s="66"/>
      <c r="AH699" s="66"/>
      <c r="AI699" s="66"/>
      <c r="AJ699" s="66"/>
      <c r="AK699" s="66"/>
      <c r="AL699" s="66"/>
      <c r="AM699" s="66"/>
      <c r="AN699" s="66"/>
      <c r="AO699" s="66"/>
    </row>
    <row r="700">
      <c r="A700" s="93"/>
      <c r="B700" s="85"/>
      <c r="C700" s="86"/>
      <c r="D700" s="93"/>
      <c r="E700" s="85"/>
      <c r="F700" s="85"/>
      <c r="G700" s="86"/>
      <c r="H700" s="78" t="str">
        <f>IFERROR(__xludf.DUMMYFUNCTION("""COMPUTED_VALUE"""),"")</f>
        <v/>
      </c>
      <c r="I700" s="85"/>
      <c r="J700" s="85"/>
      <c r="K700" s="85"/>
      <c r="L700" s="86" t="str">
        <f>IFERROR(__xludf.DUMMYFUNCTION("""COMPUTED_VALUE"""),"REJECT")</f>
        <v>REJECT</v>
      </c>
      <c r="M700" s="78" t="str">
        <f>IFERROR(__xludf.DUMMYFUNCTION("""COMPUTED_VALUE"""),"")</f>
        <v/>
      </c>
      <c r="N700" s="85"/>
      <c r="O700" s="85"/>
      <c r="P700" s="85"/>
      <c r="Q700" s="86" t="str">
        <f>IFERROR(__xludf.DUMMYFUNCTION("""COMPUTED_VALUE"""),"REJECT")</f>
        <v>REJECT</v>
      </c>
      <c r="R700" s="66"/>
      <c r="S700" s="66"/>
      <c r="T700" s="66"/>
      <c r="U700" s="66"/>
      <c r="V700" s="66"/>
      <c r="W700" s="66"/>
      <c r="X700" s="66"/>
      <c r="Y700" s="66"/>
      <c r="Z700" s="66"/>
      <c r="AA700" s="66"/>
      <c r="AB700" s="66"/>
      <c r="AC700" s="66"/>
      <c r="AD700" s="66"/>
      <c r="AE700" s="66"/>
      <c r="AF700" s="66"/>
      <c r="AG700" s="66"/>
      <c r="AH700" s="66"/>
      <c r="AI700" s="66"/>
      <c r="AJ700" s="66"/>
      <c r="AK700" s="66"/>
      <c r="AL700" s="66"/>
      <c r="AM700" s="66"/>
      <c r="AN700" s="66"/>
      <c r="AO700" s="66"/>
    </row>
    <row r="701">
      <c r="A701" s="93"/>
      <c r="B701" s="85"/>
      <c r="C701" s="86"/>
      <c r="D701" s="93"/>
      <c r="E701" s="85"/>
      <c r="F701" s="85"/>
      <c r="G701" s="86"/>
      <c r="H701" s="78" t="str">
        <f>IFERROR(__xludf.DUMMYFUNCTION("""COMPUTED_VALUE"""),"")</f>
        <v/>
      </c>
      <c r="I701" s="85"/>
      <c r="J701" s="85"/>
      <c r="K701" s="85"/>
      <c r="L701" s="86" t="str">
        <f>IFERROR(__xludf.DUMMYFUNCTION("""COMPUTED_VALUE"""),"REJECT")</f>
        <v>REJECT</v>
      </c>
      <c r="M701" s="78" t="str">
        <f>IFERROR(__xludf.DUMMYFUNCTION("""COMPUTED_VALUE"""),"")</f>
        <v/>
      </c>
      <c r="N701" s="85"/>
      <c r="O701" s="85"/>
      <c r="P701" s="85"/>
      <c r="Q701" s="86" t="str">
        <f>IFERROR(__xludf.DUMMYFUNCTION("""COMPUTED_VALUE"""),"REJECT")</f>
        <v>REJECT</v>
      </c>
      <c r="R701" s="66"/>
      <c r="S701" s="66"/>
      <c r="T701" s="66"/>
      <c r="U701" s="66"/>
      <c r="V701" s="66"/>
      <c r="W701" s="66"/>
      <c r="X701" s="66"/>
      <c r="Y701" s="66"/>
      <c r="Z701" s="66"/>
      <c r="AA701" s="66"/>
      <c r="AB701" s="66"/>
      <c r="AC701" s="66"/>
      <c r="AD701" s="66"/>
      <c r="AE701" s="66"/>
      <c r="AF701" s="66"/>
      <c r="AG701" s="66"/>
      <c r="AH701" s="66"/>
      <c r="AI701" s="66"/>
      <c r="AJ701" s="66"/>
      <c r="AK701" s="66"/>
      <c r="AL701" s="66"/>
      <c r="AM701" s="66"/>
      <c r="AN701" s="66"/>
      <c r="AO701" s="66"/>
    </row>
    <row r="702">
      <c r="A702" s="93"/>
      <c r="B702" s="85"/>
      <c r="C702" s="86"/>
      <c r="D702" s="93"/>
      <c r="E702" s="85"/>
      <c r="F702" s="85"/>
      <c r="G702" s="86"/>
      <c r="H702" s="78" t="str">
        <f>IFERROR(__xludf.DUMMYFUNCTION("""COMPUTED_VALUE"""),"")</f>
        <v/>
      </c>
      <c r="I702" s="85"/>
      <c r="J702" s="85"/>
      <c r="K702" s="85"/>
      <c r="L702" s="86" t="str">
        <f>IFERROR(__xludf.DUMMYFUNCTION("""COMPUTED_VALUE"""),"REJECT")</f>
        <v>REJECT</v>
      </c>
      <c r="M702" s="78" t="str">
        <f>IFERROR(__xludf.DUMMYFUNCTION("""COMPUTED_VALUE"""),"")</f>
        <v/>
      </c>
      <c r="N702" s="85"/>
      <c r="O702" s="85"/>
      <c r="P702" s="85"/>
      <c r="Q702" s="86" t="str">
        <f>IFERROR(__xludf.DUMMYFUNCTION("""COMPUTED_VALUE"""),"REJECT")</f>
        <v>REJECT</v>
      </c>
      <c r="R702" s="66"/>
      <c r="S702" s="66"/>
      <c r="T702" s="66"/>
      <c r="U702" s="66"/>
      <c r="V702" s="66"/>
      <c r="W702" s="66"/>
      <c r="X702" s="66"/>
      <c r="Y702" s="66"/>
      <c r="Z702" s="66"/>
      <c r="AA702" s="66"/>
      <c r="AB702" s="66"/>
      <c r="AC702" s="66"/>
      <c r="AD702" s="66"/>
      <c r="AE702" s="66"/>
      <c r="AF702" s="66"/>
      <c r="AG702" s="66"/>
      <c r="AH702" s="66"/>
      <c r="AI702" s="66"/>
      <c r="AJ702" s="66"/>
      <c r="AK702" s="66"/>
      <c r="AL702" s="66"/>
      <c r="AM702" s="66"/>
      <c r="AN702" s="66"/>
      <c r="AO702" s="66"/>
    </row>
    <row r="703">
      <c r="A703" s="93"/>
      <c r="B703" s="85"/>
      <c r="C703" s="86"/>
      <c r="D703" s="93"/>
      <c r="E703" s="85"/>
      <c r="F703" s="85"/>
      <c r="G703" s="86"/>
      <c r="H703" s="78" t="str">
        <f>IFERROR(__xludf.DUMMYFUNCTION("""COMPUTED_VALUE"""),"")</f>
        <v/>
      </c>
      <c r="I703" s="85"/>
      <c r="J703" s="85"/>
      <c r="K703" s="85"/>
      <c r="L703" s="86" t="str">
        <f>IFERROR(__xludf.DUMMYFUNCTION("""COMPUTED_VALUE"""),"REJECT")</f>
        <v>REJECT</v>
      </c>
      <c r="M703" s="78" t="str">
        <f>IFERROR(__xludf.DUMMYFUNCTION("""COMPUTED_VALUE"""),"")</f>
        <v/>
      </c>
      <c r="N703" s="85"/>
      <c r="O703" s="85"/>
      <c r="P703" s="85"/>
      <c r="Q703" s="86" t="str">
        <f>IFERROR(__xludf.DUMMYFUNCTION("""COMPUTED_VALUE"""),"REJECT")</f>
        <v>REJECT</v>
      </c>
      <c r="R703" s="66"/>
      <c r="S703" s="66"/>
      <c r="T703" s="66"/>
      <c r="U703" s="66"/>
      <c r="V703" s="66"/>
      <c r="W703" s="66"/>
      <c r="X703" s="66"/>
      <c r="Y703" s="66"/>
      <c r="Z703" s="66"/>
      <c r="AA703" s="66"/>
      <c r="AB703" s="66"/>
      <c r="AC703" s="66"/>
      <c r="AD703" s="66"/>
      <c r="AE703" s="66"/>
      <c r="AF703" s="66"/>
      <c r="AG703" s="66"/>
      <c r="AH703" s="66"/>
      <c r="AI703" s="66"/>
      <c r="AJ703" s="66"/>
      <c r="AK703" s="66"/>
      <c r="AL703" s="66"/>
      <c r="AM703" s="66"/>
      <c r="AN703" s="66"/>
      <c r="AO703" s="66"/>
    </row>
    <row r="704">
      <c r="A704" s="93"/>
      <c r="B704" s="85"/>
      <c r="C704" s="86"/>
      <c r="D704" s="93"/>
      <c r="E704" s="85"/>
      <c r="F704" s="85"/>
      <c r="G704" s="86"/>
      <c r="H704" s="78" t="str">
        <f>IFERROR(__xludf.DUMMYFUNCTION("""COMPUTED_VALUE"""),"")</f>
        <v/>
      </c>
      <c r="I704" s="85"/>
      <c r="J704" s="85"/>
      <c r="K704" s="85"/>
      <c r="L704" s="86" t="str">
        <f>IFERROR(__xludf.DUMMYFUNCTION("""COMPUTED_VALUE"""),"REJECT")</f>
        <v>REJECT</v>
      </c>
      <c r="M704" s="78" t="str">
        <f>IFERROR(__xludf.DUMMYFUNCTION("""COMPUTED_VALUE"""),"")</f>
        <v/>
      </c>
      <c r="N704" s="85"/>
      <c r="O704" s="85"/>
      <c r="P704" s="85"/>
      <c r="Q704" s="86" t="str">
        <f>IFERROR(__xludf.DUMMYFUNCTION("""COMPUTED_VALUE"""),"REJECT")</f>
        <v>REJECT</v>
      </c>
      <c r="R704" s="66"/>
      <c r="S704" s="66"/>
      <c r="T704" s="66"/>
      <c r="U704" s="66"/>
      <c r="V704" s="66"/>
      <c r="W704" s="66"/>
      <c r="X704" s="66"/>
      <c r="Y704" s="66"/>
      <c r="Z704" s="66"/>
      <c r="AA704" s="66"/>
      <c r="AB704" s="66"/>
      <c r="AC704" s="66"/>
      <c r="AD704" s="66"/>
      <c r="AE704" s="66"/>
      <c r="AF704" s="66"/>
      <c r="AG704" s="66"/>
      <c r="AH704" s="66"/>
      <c r="AI704" s="66"/>
      <c r="AJ704" s="66"/>
      <c r="AK704" s="66"/>
      <c r="AL704" s="66"/>
      <c r="AM704" s="66"/>
      <c r="AN704" s="66"/>
      <c r="AO704" s="66"/>
    </row>
    <row r="705">
      <c r="A705" s="93"/>
      <c r="B705" s="85"/>
      <c r="C705" s="86"/>
      <c r="D705" s="93"/>
      <c r="E705" s="85"/>
      <c r="F705" s="85"/>
      <c r="G705" s="86"/>
      <c r="H705" s="78" t="str">
        <f>IFERROR(__xludf.DUMMYFUNCTION("""COMPUTED_VALUE"""),"")</f>
        <v/>
      </c>
      <c r="I705" s="85"/>
      <c r="J705" s="85"/>
      <c r="K705" s="85"/>
      <c r="L705" s="86" t="str">
        <f>IFERROR(__xludf.DUMMYFUNCTION("""COMPUTED_VALUE"""),"REJECT")</f>
        <v>REJECT</v>
      </c>
      <c r="M705" s="78" t="str">
        <f>IFERROR(__xludf.DUMMYFUNCTION("""COMPUTED_VALUE"""),"")</f>
        <v/>
      </c>
      <c r="N705" s="85"/>
      <c r="O705" s="85"/>
      <c r="P705" s="85"/>
      <c r="Q705" s="86" t="str">
        <f>IFERROR(__xludf.DUMMYFUNCTION("""COMPUTED_VALUE"""),"REJECT")</f>
        <v>REJECT</v>
      </c>
      <c r="R705" s="66"/>
      <c r="S705" s="66"/>
      <c r="T705" s="66"/>
      <c r="U705" s="66"/>
      <c r="V705" s="66"/>
      <c r="W705" s="66"/>
      <c r="X705" s="66"/>
      <c r="Y705" s="66"/>
      <c r="Z705" s="66"/>
      <c r="AA705" s="66"/>
      <c r="AB705" s="66"/>
      <c r="AC705" s="66"/>
      <c r="AD705" s="66"/>
      <c r="AE705" s="66"/>
      <c r="AF705" s="66"/>
      <c r="AG705" s="66"/>
      <c r="AH705" s="66"/>
      <c r="AI705" s="66"/>
      <c r="AJ705" s="66"/>
      <c r="AK705" s="66"/>
      <c r="AL705" s="66"/>
      <c r="AM705" s="66"/>
      <c r="AN705" s="66"/>
      <c r="AO705" s="66"/>
    </row>
    <row r="706">
      <c r="A706" s="93"/>
      <c r="B706" s="85"/>
      <c r="C706" s="86"/>
      <c r="D706" s="93"/>
      <c r="E706" s="85"/>
      <c r="F706" s="85"/>
      <c r="G706" s="86"/>
      <c r="H706" s="78" t="str">
        <f>IFERROR(__xludf.DUMMYFUNCTION("""COMPUTED_VALUE"""),"")</f>
        <v/>
      </c>
      <c r="I706" s="85"/>
      <c r="J706" s="85"/>
      <c r="K706" s="85"/>
      <c r="L706" s="86" t="str">
        <f>IFERROR(__xludf.DUMMYFUNCTION("""COMPUTED_VALUE"""),"REJECT")</f>
        <v>REJECT</v>
      </c>
      <c r="M706" s="78" t="str">
        <f>IFERROR(__xludf.DUMMYFUNCTION("""COMPUTED_VALUE"""),"")</f>
        <v/>
      </c>
      <c r="N706" s="85"/>
      <c r="O706" s="85"/>
      <c r="P706" s="85"/>
      <c r="Q706" s="86" t="str">
        <f>IFERROR(__xludf.DUMMYFUNCTION("""COMPUTED_VALUE"""),"REJECT")</f>
        <v>REJECT</v>
      </c>
      <c r="R706" s="66"/>
      <c r="S706" s="66"/>
      <c r="T706" s="66"/>
      <c r="U706" s="66"/>
      <c r="V706" s="66"/>
      <c r="W706" s="66"/>
      <c r="X706" s="66"/>
      <c r="Y706" s="66"/>
      <c r="Z706" s="66"/>
      <c r="AA706" s="66"/>
      <c r="AB706" s="66"/>
      <c r="AC706" s="66"/>
      <c r="AD706" s="66"/>
      <c r="AE706" s="66"/>
      <c r="AF706" s="66"/>
      <c r="AG706" s="66"/>
      <c r="AH706" s="66"/>
      <c r="AI706" s="66"/>
      <c r="AJ706" s="66"/>
      <c r="AK706" s="66"/>
      <c r="AL706" s="66"/>
      <c r="AM706" s="66"/>
      <c r="AN706" s="66"/>
      <c r="AO706" s="66"/>
    </row>
    <row r="707">
      <c r="A707" s="93"/>
      <c r="B707" s="85"/>
      <c r="C707" s="86"/>
      <c r="D707" s="93"/>
      <c r="E707" s="85"/>
      <c r="F707" s="85"/>
      <c r="G707" s="86"/>
      <c r="H707" s="78" t="str">
        <f>IFERROR(__xludf.DUMMYFUNCTION("""COMPUTED_VALUE"""),"")</f>
        <v/>
      </c>
      <c r="I707" s="85"/>
      <c r="J707" s="85"/>
      <c r="K707" s="85"/>
      <c r="L707" s="86" t="str">
        <f>IFERROR(__xludf.DUMMYFUNCTION("""COMPUTED_VALUE"""),"REJECT")</f>
        <v>REJECT</v>
      </c>
      <c r="M707" s="78" t="str">
        <f>IFERROR(__xludf.DUMMYFUNCTION("""COMPUTED_VALUE"""),"")</f>
        <v/>
      </c>
      <c r="N707" s="85"/>
      <c r="O707" s="85"/>
      <c r="P707" s="85"/>
      <c r="Q707" s="86" t="str">
        <f>IFERROR(__xludf.DUMMYFUNCTION("""COMPUTED_VALUE"""),"REJECT")</f>
        <v>REJECT</v>
      </c>
      <c r="R707" s="66"/>
      <c r="S707" s="66"/>
      <c r="T707" s="66"/>
      <c r="U707" s="66"/>
      <c r="V707" s="66"/>
      <c r="W707" s="66"/>
      <c r="X707" s="66"/>
      <c r="Y707" s="66"/>
      <c r="Z707" s="66"/>
      <c r="AA707" s="66"/>
      <c r="AB707" s="66"/>
      <c r="AC707" s="66"/>
      <c r="AD707" s="66"/>
      <c r="AE707" s="66"/>
      <c r="AF707" s="66"/>
      <c r="AG707" s="66"/>
      <c r="AH707" s="66"/>
      <c r="AI707" s="66"/>
      <c r="AJ707" s="66"/>
      <c r="AK707" s="66"/>
      <c r="AL707" s="66"/>
      <c r="AM707" s="66"/>
      <c r="AN707" s="66"/>
      <c r="AO707" s="66"/>
    </row>
    <row r="708">
      <c r="A708" s="93"/>
      <c r="B708" s="85"/>
      <c r="C708" s="86"/>
      <c r="D708" s="93"/>
      <c r="E708" s="85"/>
      <c r="F708" s="85"/>
      <c r="G708" s="86"/>
      <c r="H708" s="78" t="str">
        <f>IFERROR(__xludf.DUMMYFUNCTION("""COMPUTED_VALUE"""),"")</f>
        <v/>
      </c>
      <c r="I708" s="85"/>
      <c r="J708" s="85"/>
      <c r="K708" s="85"/>
      <c r="L708" s="86" t="str">
        <f>IFERROR(__xludf.DUMMYFUNCTION("""COMPUTED_VALUE"""),"REJECT")</f>
        <v>REJECT</v>
      </c>
      <c r="M708" s="78" t="str">
        <f>IFERROR(__xludf.DUMMYFUNCTION("""COMPUTED_VALUE"""),"")</f>
        <v/>
      </c>
      <c r="N708" s="85"/>
      <c r="O708" s="85"/>
      <c r="P708" s="85"/>
      <c r="Q708" s="86" t="str">
        <f>IFERROR(__xludf.DUMMYFUNCTION("""COMPUTED_VALUE"""),"REJECT")</f>
        <v>REJECT</v>
      </c>
      <c r="R708" s="66"/>
      <c r="S708" s="66"/>
      <c r="T708" s="66"/>
      <c r="U708" s="66"/>
      <c r="V708" s="66"/>
      <c r="W708" s="66"/>
      <c r="X708" s="66"/>
      <c r="Y708" s="66"/>
      <c r="Z708" s="66"/>
      <c r="AA708" s="66"/>
      <c r="AB708" s="66"/>
      <c r="AC708" s="66"/>
      <c r="AD708" s="66"/>
      <c r="AE708" s="66"/>
      <c r="AF708" s="66"/>
      <c r="AG708" s="66"/>
      <c r="AH708" s="66"/>
      <c r="AI708" s="66"/>
      <c r="AJ708" s="66"/>
      <c r="AK708" s="66"/>
      <c r="AL708" s="66"/>
      <c r="AM708" s="66"/>
      <c r="AN708" s="66"/>
      <c r="AO708" s="66"/>
    </row>
    <row r="709">
      <c r="A709" s="93"/>
      <c r="B709" s="85"/>
      <c r="C709" s="86"/>
      <c r="D709" s="93"/>
      <c r="E709" s="85"/>
      <c r="F709" s="85"/>
      <c r="G709" s="86"/>
      <c r="H709" s="78" t="str">
        <f>IFERROR(__xludf.DUMMYFUNCTION("""COMPUTED_VALUE"""),"")</f>
        <v/>
      </c>
      <c r="I709" s="85"/>
      <c r="J709" s="85"/>
      <c r="K709" s="85"/>
      <c r="L709" s="86" t="str">
        <f>IFERROR(__xludf.DUMMYFUNCTION("""COMPUTED_VALUE"""),"REJECT")</f>
        <v>REJECT</v>
      </c>
      <c r="M709" s="78" t="str">
        <f>IFERROR(__xludf.DUMMYFUNCTION("""COMPUTED_VALUE"""),"")</f>
        <v/>
      </c>
      <c r="N709" s="85"/>
      <c r="O709" s="85"/>
      <c r="P709" s="85"/>
      <c r="Q709" s="86" t="str">
        <f>IFERROR(__xludf.DUMMYFUNCTION("""COMPUTED_VALUE"""),"REJECT")</f>
        <v>REJECT</v>
      </c>
      <c r="R709" s="66"/>
      <c r="S709" s="66"/>
      <c r="T709" s="66"/>
      <c r="U709" s="66"/>
      <c r="V709" s="66"/>
      <c r="W709" s="66"/>
      <c r="X709" s="66"/>
      <c r="Y709" s="66"/>
      <c r="Z709" s="66"/>
      <c r="AA709" s="66"/>
      <c r="AB709" s="66"/>
      <c r="AC709" s="66"/>
      <c r="AD709" s="66"/>
      <c r="AE709" s="66"/>
      <c r="AF709" s="66"/>
      <c r="AG709" s="66"/>
      <c r="AH709" s="66"/>
      <c r="AI709" s="66"/>
      <c r="AJ709" s="66"/>
      <c r="AK709" s="66"/>
      <c r="AL709" s="66"/>
      <c r="AM709" s="66"/>
      <c r="AN709" s="66"/>
      <c r="AO709" s="66"/>
    </row>
    <row r="710">
      <c r="A710" s="93"/>
      <c r="B710" s="85"/>
      <c r="C710" s="86"/>
      <c r="D710" s="93"/>
      <c r="E710" s="85"/>
      <c r="F710" s="85"/>
      <c r="G710" s="86"/>
      <c r="H710" s="78" t="str">
        <f>IFERROR(__xludf.DUMMYFUNCTION("""COMPUTED_VALUE"""),"")</f>
        <v/>
      </c>
      <c r="I710" s="85"/>
      <c r="J710" s="85"/>
      <c r="K710" s="85"/>
      <c r="L710" s="86" t="str">
        <f>IFERROR(__xludf.DUMMYFUNCTION("""COMPUTED_VALUE"""),"REJECT")</f>
        <v>REJECT</v>
      </c>
      <c r="M710" s="78" t="str">
        <f>IFERROR(__xludf.DUMMYFUNCTION("""COMPUTED_VALUE"""),"")</f>
        <v/>
      </c>
      <c r="N710" s="85"/>
      <c r="O710" s="85"/>
      <c r="P710" s="85"/>
      <c r="Q710" s="86" t="str">
        <f>IFERROR(__xludf.DUMMYFUNCTION("""COMPUTED_VALUE"""),"REJECT")</f>
        <v>REJECT</v>
      </c>
      <c r="R710" s="66"/>
      <c r="S710" s="66"/>
      <c r="T710" s="66"/>
      <c r="U710" s="66"/>
      <c r="V710" s="66"/>
      <c r="W710" s="66"/>
      <c r="X710" s="66"/>
      <c r="Y710" s="66"/>
      <c r="Z710" s="66"/>
      <c r="AA710" s="66"/>
      <c r="AB710" s="66"/>
      <c r="AC710" s="66"/>
      <c r="AD710" s="66"/>
      <c r="AE710" s="66"/>
      <c r="AF710" s="66"/>
      <c r="AG710" s="66"/>
      <c r="AH710" s="66"/>
      <c r="AI710" s="66"/>
      <c r="AJ710" s="66"/>
      <c r="AK710" s="66"/>
      <c r="AL710" s="66"/>
      <c r="AM710" s="66"/>
      <c r="AN710" s="66"/>
      <c r="AO710" s="66"/>
    </row>
    <row r="711">
      <c r="A711" s="93"/>
      <c r="B711" s="85"/>
      <c r="C711" s="86"/>
      <c r="D711" s="93"/>
      <c r="E711" s="85"/>
      <c r="F711" s="85"/>
      <c r="G711" s="86"/>
      <c r="H711" s="78" t="str">
        <f>IFERROR(__xludf.DUMMYFUNCTION("""COMPUTED_VALUE"""),"")</f>
        <v/>
      </c>
      <c r="I711" s="85"/>
      <c r="J711" s="85"/>
      <c r="K711" s="85"/>
      <c r="L711" s="86" t="str">
        <f>IFERROR(__xludf.DUMMYFUNCTION("""COMPUTED_VALUE"""),"REJECT")</f>
        <v>REJECT</v>
      </c>
      <c r="M711" s="78" t="str">
        <f>IFERROR(__xludf.DUMMYFUNCTION("""COMPUTED_VALUE"""),"")</f>
        <v/>
      </c>
      <c r="N711" s="85"/>
      <c r="O711" s="85"/>
      <c r="P711" s="85"/>
      <c r="Q711" s="86" t="str">
        <f>IFERROR(__xludf.DUMMYFUNCTION("""COMPUTED_VALUE"""),"REJECT")</f>
        <v>REJECT</v>
      </c>
      <c r="R711" s="66"/>
      <c r="S711" s="66"/>
      <c r="T711" s="66"/>
      <c r="U711" s="66"/>
      <c r="V711" s="66"/>
      <c r="W711" s="66"/>
      <c r="X711" s="66"/>
      <c r="Y711" s="66"/>
      <c r="Z711" s="66"/>
      <c r="AA711" s="66"/>
      <c r="AB711" s="66"/>
      <c r="AC711" s="66"/>
      <c r="AD711" s="66"/>
      <c r="AE711" s="66"/>
      <c r="AF711" s="66"/>
      <c r="AG711" s="66"/>
      <c r="AH711" s="66"/>
      <c r="AI711" s="66"/>
      <c r="AJ711" s="66"/>
      <c r="AK711" s="66"/>
      <c r="AL711" s="66"/>
      <c r="AM711" s="66"/>
      <c r="AN711" s="66"/>
      <c r="AO711" s="66"/>
    </row>
    <row r="712">
      <c r="A712" s="93"/>
      <c r="B712" s="85"/>
      <c r="C712" s="86"/>
      <c r="D712" s="93"/>
      <c r="E712" s="85"/>
      <c r="F712" s="85"/>
      <c r="G712" s="86"/>
      <c r="H712" s="78" t="str">
        <f>IFERROR(__xludf.DUMMYFUNCTION("""COMPUTED_VALUE"""),"")</f>
        <v/>
      </c>
      <c r="I712" s="85"/>
      <c r="J712" s="85"/>
      <c r="K712" s="85"/>
      <c r="L712" s="86" t="str">
        <f>IFERROR(__xludf.DUMMYFUNCTION("""COMPUTED_VALUE"""),"REJECT")</f>
        <v>REJECT</v>
      </c>
      <c r="M712" s="78" t="str">
        <f>IFERROR(__xludf.DUMMYFUNCTION("""COMPUTED_VALUE"""),"")</f>
        <v/>
      </c>
      <c r="N712" s="85"/>
      <c r="O712" s="85"/>
      <c r="P712" s="85"/>
      <c r="Q712" s="86" t="str">
        <f>IFERROR(__xludf.DUMMYFUNCTION("""COMPUTED_VALUE"""),"REJECT")</f>
        <v>REJECT</v>
      </c>
      <c r="R712" s="66"/>
      <c r="S712" s="66"/>
      <c r="T712" s="66"/>
      <c r="U712" s="66"/>
      <c r="V712" s="66"/>
      <c r="W712" s="66"/>
      <c r="X712" s="66"/>
      <c r="Y712" s="66"/>
      <c r="Z712" s="66"/>
      <c r="AA712" s="66"/>
      <c r="AB712" s="66"/>
      <c r="AC712" s="66"/>
      <c r="AD712" s="66"/>
      <c r="AE712" s="66"/>
      <c r="AF712" s="66"/>
      <c r="AG712" s="66"/>
      <c r="AH712" s="66"/>
      <c r="AI712" s="66"/>
      <c r="AJ712" s="66"/>
      <c r="AK712" s="66"/>
      <c r="AL712" s="66"/>
      <c r="AM712" s="66"/>
      <c r="AN712" s="66"/>
      <c r="AO712" s="66"/>
    </row>
    <row r="713">
      <c r="A713" s="93"/>
      <c r="B713" s="85"/>
      <c r="C713" s="86"/>
      <c r="D713" s="93"/>
      <c r="E713" s="85"/>
      <c r="F713" s="85"/>
      <c r="G713" s="86"/>
      <c r="H713" s="78" t="str">
        <f>IFERROR(__xludf.DUMMYFUNCTION("""COMPUTED_VALUE"""),"")</f>
        <v/>
      </c>
      <c r="I713" s="85"/>
      <c r="J713" s="85"/>
      <c r="K713" s="85"/>
      <c r="L713" s="86" t="str">
        <f>IFERROR(__xludf.DUMMYFUNCTION("""COMPUTED_VALUE"""),"REJECT")</f>
        <v>REJECT</v>
      </c>
      <c r="M713" s="78" t="str">
        <f>IFERROR(__xludf.DUMMYFUNCTION("""COMPUTED_VALUE"""),"")</f>
        <v/>
      </c>
      <c r="N713" s="85"/>
      <c r="O713" s="85"/>
      <c r="P713" s="85"/>
      <c r="Q713" s="86" t="str">
        <f>IFERROR(__xludf.DUMMYFUNCTION("""COMPUTED_VALUE"""),"REJECT")</f>
        <v>REJECT</v>
      </c>
      <c r="R713" s="66"/>
      <c r="S713" s="66"/>
      <c r="T713" s="66"/>
      <c r="U713" s="66"/>
      <c r="V713" s="66"/>
      <c r="W713" s="66"/>
      <c r="X713" s="66"/>
      <c r="Y713" s="66"/>
      <c r="Z713" s="66"/>
      <c r="AA713" s="66"/>
      <c r="AB713" s="66"/>
      <c r="AC713" s="66"/>
      <c r="AD713" s="66"/>
      <c r="AE713" s="66"/>
      <c r="AF713" s="66"/>
      <c r="AG713" s="66"/>
      <c r="AH713" s="66"/>
      <c r="AI713" s="66"/>
      <c r="AJ713" s="66"/>
      <c r="AK713" s="66"/>
      <c r="AL713" s="66"/>
      <c r="AM713" s="66"/>
      <c r="AN713" s="66"/>
      <c r="AO713" s="66"/>
    </row>
    <row r="714">
      <c r="A714" s="93"/>
      <c r="B714" s="85"/>
      <c r="C714" s="86"/>
      <c r="D714" s="93"/>
      <c r="E714" s="85"/>
      <c r="F714" s="85"/>
      <c r="G714" s="86"/>
      <c r="H714" s="78" t="str">
        <f>IFERROR(__xludf.DUMMYFUNCTION("""COMPUTED_VALUE"""),"")</f>
        <v/>
      </c>
      <c r="I714" s="85"/>
      <c r="J714" s="85"/>
      <c r="K714" s="85"/>
      <c r="L714" s="86" t="str">
        <f>IFERROR(__xludf.DUMMYFUNCTION("""COMPUTED_VALUE"""),"REJECT")</f>
        <v>REJECT</v>
      </c>
      <c r="M714" s="78" t="str">
        <f>IFERROR(__xludf.DUMMYFUNCTION("""COMPUTED_VALUE"""),"")</f>
        <v/>
      </c>
      <c r="N714" s="85"/>
      <c r="O714" s="85"/>
      <c r="P714" s="85"/>
      <c r="Q714" s="86" t="str">
        <f>IFERROR(__xludf.DUMMYFUNCTION("""COMPUTED_VALUE"""),"REJECT")</f>
        <v>REJECT</v>
      </c>
      <c r="R714" s="66"/>
      <c r="S714" s="66"/>
      <c r="T714" s="66"/>
      <c r="U714" s="66"/>
      <c r="V714" s="66"/>
      <c r="W714" s="66"/>
      <c r="X714" s="66"/>
      <c r="Y714" s="66"/>
      <c r="Z714" s="66"/>
      <c r="AA714" s="66"/>
      <c r="AB714" s="66"/>
      <c r="AC714" s="66"/>
      <c r="AD714" s="66"/>
      <c r="AE714" s="66"/>
      <c r="AF714" s="66"/>
      <c r="AG714" s="66"/>
      <c r="AH714" s="66"/>
      <c r="AI714" s="66"/>
      <c r="AJ714" s="66"/>
      <c r="AK714" s="66"/>
      <c r="AL714" s="66"/>
      <c r="AM714" s="66"/>
      <c r="AN714" s="66"/>
      <c r="AO714" s="66"/>
    </row>
    <row r="715">
      <c r="A715" s="93"/>
      <c r="B715" s="85"/>
      <c r="C715" s="86"/>
      <c r="D715" s="93"/>
      <c r="E715" s="85"/>
      <c r="F715" s="85"/>
      <c r="G715" s="86"/>
      <c r="H715" s="78" t="str">
        <f>IFERROR(__xludf.DUMMYFUNCTION("""COMPUTED_VALUE"""),"")</f>
        <v/>
      </c>
      <c r="I715" s="85"/>
      <c r="J715" s="85"/>
      <c r="K715" s="85"/>
      <c r="L715" s="86" t="str">
        <f>IFERROR(__xludf.DUMMYFUNCTION("""COMPUTED_VALUE"""),"REJECT")</f>
        <v>REJECT</v>
      </c>
      <c r="M715" s="78" t="str">
        <f>IFERROR(__xludf.DUMMYFUNCTION("""COMPUTED_VALUE"""),"")</f>
        <v/>
      </c>
      <c r="N715" s="85"/>
      <c r="O715" s="85"/>
      <c r="P715" s="85"/>
      <c r="Q715" s="86" t="str">
        <f>IFERROR(__xludf.DUMMYFUNCTION("""COMPUTED_VALUE"""),"REJECT")</f>
        <v>REJECT</v>
      </c>
      <c r="R715" s="66"/>
      <c r="S715" s="66"/>
      <c r="T715" s="66"/>
      <c r="U715" s="66"/>
      <c r="V715" s="66"/>
      <c r="W715" s="66"/>
      <c r="X715" s="66"/>
      <c r="Y715" s="66"/>
      <c r="Z715" s="66"/>
      <c r="AA715" s="66"/>
      <c r="AB715" s="66"/>
      <c r="AC715" s="66"/>
      <c r="AD715" s="66"/>
      <c r="AE715" s="66"/>
      <c r="AF715" s="66"/>
      <c r="AG715" s="66"/>
      <c r="AH715" s="66"/>
      <c r="AI715" s="66"/>
      <c r="AJ715" s="66"/>
      <c r="AK715" s="66"/>
      <c r="AL715" s="66"/>
      <c r="AM715" s="66"/>
      <c r="AN715" s="66"/>
      <c r="AO715" s="66"/>
    </row>
    <row r="716">
      <c r="A716" s="93"/>
      <c r="B716" s="85"/>
      <c r="C716" s="86"/>
      <c r="D716" s="93"/>
      <c r="E716" s="85"/>
      <c r="F716" s="85"/>
      <c r="G716" s="86"/>
      <c r="H716" s="78" t="str">
        <f>IFERROR(__xludf.DUMMYFUNCTION("""COMPUTED_VALUE"""),"")</f>
        <v/>
      </c>
      <c r="I716" s="85"/>
      <c r="J716" s="85"/>
      <c r="K716" s="85"/>
      <c r="L716" s="86" t="str">
        <f>IFERROR(__xludf.DUMMYFUNCTION("""COMPUTED_VALUE"""),"REJECT")</f>
        <v>REJECT</v>
      </c>
      <c r="M716" s="78" t="str">
        <f>IFERROR(__xludf.DUMMYFUNCTION("""COMPUTED_VALUE"""),"")</f>
        <v/>
      </c>
      <c r="N716" s="85"/>
      <c r="O716" s="85"/>
      <c r="P716" s="85"/>
      <c r="Q716" s="86" t="str">
        <f>IFERROR(__xludf.DUMMYFUNCTION("""COMPUTED_VALUE"""),"REJECT")</f>
        <v>REJECT</v>
      </c>
      <c r="R716" s="66"/>
      <c r="S716" s="66"/>
      <c r="T716" s="66"/>
      <c r="U716" s="66"/>
      <c r="V716" s="66"/>
      <c r="W716" s="66"/>
      <c r="X716" s="66"/>
      <c r="Y716" s="66"/>
      <c r="Z716" s="66"/>
      <c r="AA716" s="66"/>
      <c r="AB716" s="66"/>
      <c r="AC716" s="66"/>
      <c r="AD716" s="66"/>
      <c r="AE716" s="66"/>
      <c r="AF716" s="66"/>
      <c r="AG716" s="66"/>
      <c r="AH716" s="66"/>
      <c r="AI716" s="66"/>
      <c r="AJ716" s="66"/>
      <c r="AK716" s="66"/>
      <c r="AL716" s="66"/>
      <c r="AM716" s="66"/>
      <c r="AN716" s="66"/>
      <c r="AO716" s="66"/>
    </row>
    <row r="717">
      <c r="A717" s="93"/>
      <c r="B717" s="85"/>
      <c r="C717" s="86"/>
      <c r="D717" s="93"/>
      <c r="E717" s="85"/>
      <c r="F717" s="85"/>
      <c r="G717" s="86"/>
      <c r="H717" s="78" t="str">
        <f>IFERROR(__xludf.DUMMYFUNCTION("""COMPUTED_VALUE"""),"")</f>
        <v/>
      </c>
      <c r="I717" s="85"/>
      <c r="J717" s="85"/>
      <c r="K717" s="85"/>
      <c r="L717" s="86" t="str">
        <f>IFERROR(__xludf.DUMMYFUNCTION("""COMPUTED_VALUE"""),"REJECT")</f>
        <v>REJECT</v>
      </c>
      <c r="M717" s="78" t="str">
        <f>IFERROR(__xludf.DUMMYFUNCTION("""COMPUTED_VALUE"""),"")</f>
        <v/>
      </c>
      <c r="N717" s="85"/>
      <c r="O717" s="85"/>
      <c r="P717" s="85"/>
      <c r="Q717" s="86" t="str">
        <f>IFERROR(__xludf.DUMMYFUNCTION("""COMPUTED_VALUE"""),"REJECT")</f>
        <v>REJECT</v>
      </c>
      <c r="R717" s="66"/>
      <c r="S717" s="66"/>
      <c r="T717" s="66"/>
      <c r="U717" s="66"/>
      <c r="V717" s="66"/>
      <c r="W717" s="66"/>
      <c r="X717" s="66"/>
      <c r="Y717" s="66"/>
      <c r="Z717" s="66"/>
      <c r="AA717" s="66"/>
      <c r="AB717" s="66"/>
      <c r="AC717" s="66"/>
      <c r="AD717" s="66"/>
      <c r="AE717" s="66"/>
      <c r="AF717" s="66"/>
      <c r="AG717" s="66"/>
      <c r="AH717" s="66"/>
      <c r="AI717" s="66"/>
      <c r="AJ717" s="66"/>
      <c r="AK717" s="66"/>
      <c r="AL717" s="66"/>
      <c r="AM717" s="66"/>
      <c r="AN717" s="66"/>
      <c r="AO717" s="66"/>
    </row>
    <row r="718">
      <c r="A718" s="93"/>
      <c r="B718" s="85"/>
      <c r="C718" s="86"/>
      <c r="D718" s="93"/>
      <c r="E718" s="85"/>
      <c r="F718" s="85"/>
      <c r="G718" s="86"/>
      <c r="H718" s="78" t="str">
        <f>IFERROR(__xludf.DUMMYFUNCTION("""COMPUTED_VALUE"""),"")</f>
        <v/>
      </c>
      <c r="I718" s="85"/>
      <c r="J718" s="85"/>
      <c r="K718" s="85"/>
      <c r="L718" s="86" t="str">
        <f>IFERROR(__xludf.DUMMYFUNCTION("""COMPUTED_VALUE"""),"REJECT")</f>
        <v>REJECT</v>
      </c>
      <c r="M718" s="78" t="str">
        <f>IFERROR(__xludf.DUMMYFUNCTION("""COMPUTED_VALUE"""),"")</f>
        <v/>
      </c>
      <c r="N718" s="85"/>
      <c r="O718" s="85"/>
      <c r="P718" s="85"/>
      <c r="Q718" s="86" t="str">
        <f>IFERROR(__xludf.DUMMYFUNCTION("""COMPUTED_VALUE"""),"REJECT")</f>
        <v>REJECT</v>
      </c>
      <c r="R718" s="66"/>
      <c r="S718" s="66"/>
      <c r="T718" s="66"/>
      <c r="U718" s="66"/>
      <c r="V718" s="66"/>
      <c r="W718" s="66"/>
      <c r="X718" s="66"/>
      <c r="Y718" s="66"/>
      <c r="Z718" s="66"/>
      <c r="AA718" s="66"/>
      <c r="AB718" s="66"/>
      <c r="AC718" s="66"/>
      <c r="AD718" s="66"/>
      <c r="AE718" s="66"/>
      <c r="AF718" s="66"/>
      <c r="AG718" s="66"/>
      <c r="AH718" s="66"/>
      <c r="AI718" s="66"/>
      <c r="AJ718" s="66"/>
      <c r="AK718" s="66"/>
      <c r="AL718" s="66"/>
      <c r="AM718" s="66"/>
      <c r="AN718" s="66"/>
      <c r="AO718" s="66"/>
    </row>
    <row r="719">
      <c r="A719" s="93"/>
      <c r="B719" s="85"/>
      <c r="C719" s="86"/>
      <c r="D719" s="93"/>
      <c r="E719" s="85"/>
      <c r="F719" s="85"/>
      <c r="G719" s="86"/>
      <c r="H719" s="78" t="str">
        <f>IFERROR(__xludf.DUMMYFUNCTION("""COMPUTED_VALUE"""),"")</f>
        <v/>
      </c>
      <c r="I719" s="85"/>
      <c r="J719" s="85"/>
      <c r="K719" s="85"/>
      <c r="L719" s="86" t="str">
        <f>IFERROR(__xludf.DUMMYFUNCTION("""COMPUTED_VALUE"""),"REJECT")</f>
        <v>REJECT</v>
      </c>
      <c r="M719" s="78" t="str">
        <f>IFERROR(__xludf.DUMMYFUNCTION("""COMPUTED_VALUE"""),"")</f>
        <v/>
      </c>
      <c r="N719" s="85"/>
      <c r="O719" s="85"/>
      <c r="P719" s="85"/>
      <c r="Q719" s="86" t="str">
        <f>IFERROR(__xludf.DUMMYFUNCTION("""COMPUTED_VALUE"""),"REJECT")</f>
        <v>REJECT</v>
      </c>
      <c r="R719" s="66"/>
      <c r="S719" s="66"/>
      <c r="T719" s="66"/>
      <c r="U719" s="66"/>
      <c r="V719" s="66"/>
      <c r="W719" s="66"/>
      <c r="X719" s="66"/>
      <c r="Y719" s="66"/>
      <c r="Z719" s="66"/>
      <c r="AA719" s="66"/>
      <c r="AB719" s="66"/>
      <c r="AC719" s="66"/>
      <c r="AD719" s="66"/>
      <c r="AE719" s="66"/>
      <c r="AF719" s="66"/>
      <c r="AG719" s="66"/>
      <c r="AH719" s="66"/>
      <c r="AI719" s="66"/>
      <c r="AJ719" s="66"/>
      <c r="AK719" s="66"/>
      <c r="AL719" s="66"/>
      <c r="AM719" s="66"/>
      <c r="AN719" s="66"/>
      <c r="AO719" s="66"/>
    </row>
    <row r="720">
      <c r="A720" s="93"/>
      <c r="B720" s="85"/>
      <c r="C720" s="86"/>
      <c r="D720" s="93"/>
      <c r="E720" s="85"/>
      <c r="F720" s="85"/>
      <c r="G720" s="86"/>
      <c r="H720" s="78" t="str">
        <f>IFERROR(__xludf.DUMMYFUNCTION("""COMPUTED_VALUE"""),"")</f>
        <v/>
      </c>
      <c r="I720" s="85"/>
      <c r="J720" s="85"/>
      <c r="K720" s="85"/>
      <c r="L720" s="86" t="str">
        <f>IFERROR(__xludf.DUMMYFUNCTION("""COMPUTED_VALUE"""),"REJECT")</f>
        <v>REJECT</v>
      </c>
      <c r="M720" s="78" t="str">
        <f>IFERROR(__xludf.DUMMYFUNCTION("""COMPUTED_VALUE"""),"")</f>
        <v/>
      </c>
      <c r="N720" s="85"/>
      <c r="O720" s="85"/>
      <c r="P720" s="85"/>
      <c r="Q720" s="86" t="str">
        <f>IFERROR(__xludf.DUMMYFUNCTION("""COMPUTED_VALUE"""),"REJECT")</f>
        <v>REJECT</v>
      </c>
      <c r="R720" s="66"/>
      <c r="S720" s="66"/>
      <c r="T720" s="66"/>
      <c r="U720" s="66"/>
      <c r="V720" s="66"/>
      <c r="W720" s="66"/>
      <c r="X720" s="66"/>
      <c r="Y720" s="66"/>
      <c r="Z720" s="66"/>
      <c r="AA720" s="66"/>
      <c r="AB720" s="66"/>
      <c r="AC720" s="66"/>
      <c r="AD720" s="66"/>
      <c r="AE720" s="66"/>
      <c r="AF720" s="66"/>
      <c r="AG720" s="66"/>
      <c r="AH720" s="66"/>
      <c r="AI720" s="66"/>
      <c r="AJ720" s="66"/>
      <c r="AK720" s="66"/>
      <c r="AL720" s="66"/>
      <c r="AM720" s="66"/>
      <c r="AN720" s="66"/>
      <c r="AO720" s="66"/>
    </row>
    <row r="721">
      <c r="A721" s="93"/>
      <c r="B721" s="85"/>
      <c r="C721" s="86"/>
      <c r="D721" s="93"/>
      <c r="E721" s="85"/>
      <c r="F721" s="85"/>
      <c r="G721" s="86"/>
      <c r="H721" s="78" t="str">
        <f>IFERROR(__xludf.DUMMYFUNCTION("""COMPUTED_VALUE"""),"")</f>
        <v/>
      </c>
      <c r="I721" s="85"/>
      <c r="J721" s="85"/>
      <c r="K721" s="85"/>
      <c r="L721" s="86" t="str">
        <f>IFERROR(__xludf.DUMMYFUNCTION("""COMPUTED_VALUE"""),"REJECT")</f>
        <v>REJECT</v>
      </c>
      <c r="M721" s="78" t="str">
        <f>IFERROR(__xludf.DUMMYFUNCTION("""COMPUTED_VALUE"""),"")</f>
        <v/>
      </c>
      <c r="N721" s="85"/>
      <c r="O721" s="85"/>
      <c r="P721" s="85"/>
      <c r="Q721" s="86" t="str">
        <f>IFERROR(__xludf.DUMMYFUNCTION("""COMPUTED_VALUE"""),"REJECT")</f>
        <v>REJECT</v>
      </c>
      <c r="R721" s="66"/>
      <c r="S721" s="66"/>
      <c r="T721" s="66"/>
      <c r="U721" s="66"/>
      <c r="V721" s="66"/>
      <c r="W721" s="66"/>
      <c r="X721" s="66"/>
      <c r="Y721" s="66"/>
      <c r="Z721" s="66"/>
      <c r="AA721" s="66"/>
      <c r="AB721" s="66"/>
      <c r="AC721" s="66"/>
      <c r="AD721" s="66"/>
      <c r="AE721" s="66"/>
      <c r="AF721" s="66"/>
      <c r="AG721" s="66"/>
      <c r="AH721" s="66"/>
      <c r="AI721" s="66"/>
      <c r="AJ721" s="66"/>
      <c r="AK721" s="66"/>
      <c r="AL721" s="66"/>
      <c r="AM721" s="66"/>
      <c r="AN721" s="66"/>
      <c r="AO721" s="66"/>
    </row>
    <row r="722">
      <c r="A722" s="93"/>
      <c r="B722" s="85"/>
      <c r="C722" s="86"/>
      <c r="D722" s="93"/>
      <c r="E722" s="85"/>
      <c r="F722" s="85"/>
      <c r="G722" s="86"/>
      <c r="H722" s="78" t="str">
        <f>IFERROR(__xludf.DUMMYFUNCTION("""COMPUTED_VALUE"""),"")</f>
        <v/>
      </c>
      <c r="I722" s="85"/>
      <c r="J722" s="85"/>
      <c r="K722" s="85"/>
      <c r="L722" s="86" t="str">
        <f>IFERROR(__xludf.DUMMYFUNCTION("""COMPUTED_VALUE"""),"REJECT")</f>
        <v>REJECT</v>
      </c>
      <c r="M722" s="78" t="str">
        <f>IFERROR(__xludf.DUMMYFUNCTION("""COMPUTED_VALUE"""),"")</f>
        <v/>
      </c>
      <c r="N722" s="85"/>
      <c r="O722" s="85"/>
      <c r="P722" s="85"/>
      <c r="Q722" s="86" t="str">
        <f>IFERROR(__xludf.DUMMYFUNCTION("""COMPUTED_VALUE"""),"REJECT")</f>
        <v>REJECT</v>
      </c>
      <c r="R722" s="66"/>
      <c r="S722" s="66"/>
      <c r="T722" s="66"/>
      <c r="U722" s="66"/>
      <c r="V722" s="66"/>
      <c r="W722" s="66"/>
      <c r="X722" s="66"/>
      <c r="Y722" s="66"/>
      <c r="Z722" s="66"/>
      <c r="AA722" s="66"/>
      <c r="AB722" s="66"/>
      <c r="AC722" s="66"/>
      <c r="AD722" s="66"/>
      <c r="AE722" s="66"/>
      <c r="AF722" s="66"/>
      <c r="AG722" s="66"/>
      <c r="AH722" s="66"/>
      <c r="AI722" s="66"/>
      <c r="AJ722" s="66"/>
      <c r="AK722" s="66"/>
      <c r="AL722" s="66"/>
      <c r="AM722" s="66"/>
      <c r="AN722" s="66"/>
      <c r="AO722" s="66"/>
    </row>
    <row r="723">
      <c r="A723" s="93"/>
      <c r="B723" s="85"/>
      <c r="C723" s="86"/>
      <c r="D723" s="93"/>
      <c r="E723" s="85"/>
      <c r="F723" s="85"/>
      <c r="G723" s="86"/>
      <c r="H723" s="78" t="str">
        <f>IFERROR(__xludf.DUMMYFUNCTION("""COMPUTED_VALUE"""),"")</f>
        <v/>
      </c>
      <c r="I723" s="85"/>
      <c r="J723" s="85"/>
      <c r="K723" s="85"/>
      <c r="L723" s="86" t="str">
        <f>IFERROR(__xludf.DUMMYFUNCTION("""COMPUTED_VALUE"""),"REJECT")</f>
        <v>REJECT</v>
      </c>
      <c r="M723" s="78" t="str">
        <f>IFERROR(__xludf.DUMMYFUNCTION("""COMPUTED_VALUE"""),"")</f>
        <v/>
      </c>
      <c r="N723" s="85"/>
      <c r="O723" s="85"/>
      <c r="P723" s="85"/>
      <c r="Q723" s="86" t="str">
        <f>IFERROR(__xludf.DUMMYFUNCTION("""COMPUTED_VALUE"""),"REJECT")</f>
        <v>REJECT</v>
      </c>
      <c r="R723" s="66"/>
      <c r="S723" s="66"/>
      <c r="T723" s="66"/>
      <c r="U723" s="66"/>
      <c r="V723" s="66"/>
      <c r="W723" s="66"/>
      <c r="X723" s="66"/>
      <c r="Y723" s="66"/>
      <c r="Z723" s="66"/>
      <c r="AA723" s="66"/>
      <c r="AB723" s="66"/>
      <c r="AC723" s="66"/>
      <c r="AD723" s="66"/>
      <c r="AE723" s="66"/>
      <c r="AF723" s="66"/>
      <c r="AG723" s="66"/>
      <c r="AH723" s="66"/>
      <c r="AI723" s="66"/>
      <c r="AJ723" s="66"/>
      <c r="AK723" s="66"/>
      <c r="AL723" s="66"/>
      <c r="AM723" s="66"/>
      <c r="AN723" s="66"/>
      <c r="AO723" s="66"/>
    </row>
    <row r="724">
      <c r="A724" s="93"/>
      <c r="B724" s="85"/>
      <c r="C724" s="86"/>
      <c r="D724" s="93"/>
      <c r="E724" s="85"/>
      <c r="F724" s="85"/>
      <c r="G724" s="86"/>
      <c r="H724" s="78" t="str">
        <f>IFERROR(__xludf.DUMMYFUNCTION("""COMPUTED_VALUE"""),"")</f>
        <v/>
      </c>
      <c r="I724" s="85"/>
      <c r="J724" s="85"/>
      <c r="K724" s="85"/>
      <c r="L724" s="86" t="str">
        <f>IFERROR(__xludf.DUMMYFUNCTION("""COMPUTED_VALUE"""),"REJECT")</f>
        <v>REJECT</v>
      </c>
      <c r="M724" s="78" t="str">
        <f>IFERROR(__xludf.DUMMYFUNCTION("""COMPUTED_VALUE"""),"")</f>
        <v/>
      </c>
      <c r="N724" s="85"/>
      <c r="O724" s="85"/>
      <c r="P724" s="85"/>
      <c r="Q724" s="86" t="str">
        <f>IFERROR(__xludf.DUMMYFUNCTION("""COMPUTED_VALUE"""),"REJECT")</f>
        <v>REJECT</v>
      </c>
      <c r="R724" s="66"/>
      <c r="S724" s="66"/>
      <c r="T724" s="66"/>
      <c r="U724" s="66"/>
      <c r="V724" s="66"/>
      <c r="W724" s="66"/>
      <c r="X724" s="66"/>
      <c r="Y724" s="66"/>
      <c r="Z724" s="66"/>
      <c r="AA724" s="66"/>
      <c r="AB724" s="66"/>
      <c r="AC724" s="66"/>
      <c r="AD724" s="66"/>
      <c r="AE724" s="66"/>
      <c r="AF724" s="66"/>
      <c r="AG724" s="66"/>
      <c r="AH724" s="66"/>
      <c r="AI724" s="66"/>
      <c r="AJ724" s="66"/>
      <c r="AK724" s="66"/>
      <c r="AL724" s="66"/>
      <c r="AM724" s="66"/>
      <c r="AN724" s="66"/>
      <c r="AO724" s="66"/>
    </row>
    <row r="725">
      <c r="A725" s="93"/>
      <c r="B725" s="85"/>
      <c r="C725" s="86"/>
      <c r="D725" s="93"/>
      <c r="E725" s="85"/>
      <c r="F725" s="85"/>
      <c r="G725" s="86"/>
      <c r="H725" s="78" t="str">
        <f>IFERROR(__xludf.DUMMYFUNCTION("""COMPUTED_VALUE"""),"")</f>
        <v/>
      </c>
      <c r="I725" s="85"/>
      <c r="J725" s="85"/>
      <c r="K725" s="85"/>
      <c r="L725" s="86" t="str">
        <f>IFERROR(__xludf.DUMMYFUNCTION("""COMPUTED_VALUE"""),"REJECT")</f>
        <v>REJECT</v>
      </c>
      <c r="M725" s="78" t="str">
        <f>IFERROR(__xludf.DUMMYFUNCTION("""COMPUTED_VALUE"""),"")</f>
        <v/>
      </c>
      <c r="N725" s="85"/>
      <c r="O725" s="85"/>
      <c r="P725" s="85"/>
      <c r="Q725" s="86" t="str">
        <f>IFERROR(__xludf.DUMMYFUNCTION("""COMPUTED_VALUE"""),"REJECT")</f>
        <v>REJECT</v>
      </c>
      <c r="R725" s="66"/>
      <c r="S725" s="66"/>
      <c r="T725" s="66"/>
      <c r="U725" s="66"/>
      <c r="V725" s="66"/>
      <c r="W725" s="66"/>
      <c r="X725" s="66"/>
      <c r="Y725" s="66"/>
      <c r="Z725" s="66"/>
      <c r="AA725" s="66"/>
      <c r="AB725" s="66"/>
      <c r="AC725" s="66"/>
      <c r="AD725" s="66"/>
      <c r="AE725" s="66"/>
      <c r="AF725" s="66"/>
      <c r="AG725" s="66"/>
      <c r="AH725" s="66"/>
      <c r="AI725" s="66"/>
      <c r="AJ725" s="66"/>
      <c r="AK725" s="66"/>
      <c r="AL725" s="66"/>
      <c r="AM725" s="66"/>
      <c r="AN725" s="66"/>
      <c r="AO725" s="66"/>
    </row>
    <row r="726">
      <c r="A726" s="93"/>
      <c r="B726" s="85"/>
      <c r="C726" s="86"/>
      <c r="D726" s="93"/>
      <c r="E726" s="85"/>
      <c r="F726" s="85"/>
      <c r="G726" s="86"/>
      <c r="H726" s="78" t="str">
        <f>IFERROR(__xludf.DUMMYFUNCTION("""COMPUTED_VALUE"""),"")</f>
        <v/>
      </c>
      <c r="I726" s="85"/>
      <c r="J726" s="85"/>
      <c r="K726" s="85"/>
      <c r="L726" s="86" t="str">
        <f>IFERROR(__xludf.DUMMYFUNCTION("""COMPUTED_VALUE"""),"REJECT")</f>
        <v>REJECT</v>
      </c>
      <c r="M726" s="78" t="str">
        <f>IFERROR(__xludf.DUMMYFUNCTION("""COMPUTED_VALUE"""),"")</f>
        <v/>
      </c>
      <c r="N726" s="85"/>
      <c r="O726" s="85"/>
      <c r="P726" s="85"/>
      <c r="Q726" s="86" t="str">
        <f>IFERROR(__xludf.DUMMYFUNCTION("""COMPUTED_VALUE"""),"REJECT")</f>
        <v>REJECT</v>
      </c>
      <c r="R726" s="66"/>
      <c r="S726" s="66"/>
      <c r="T726" s="66"/>
      <c r="U726" s="66"/>
      <c r="V726" s="66"/>
      <c r="W726" s="66"/>
      <c r="X726" s="66"/>
      <c r="Y726" s="66"/>
      <c r="Z726" s="66"/>
      <c r="AA726" s="66"/>
      <c r="AB726" s="66"/>
      <c r="AC726" s="66"/>
      <c r="AD726" s="66"/>
      <c r="AE726" s="66"/>
      <c r="AF726" s="66"/>
      <c r="AG726" s="66"/>
      <c r="AH726" s="66"/>
      <c r="AI726" s="66"/>
      <c r="AJ726" s="66"/>
      <c r="AK726" s="66"/>
      <c r="AL726" s="66"/>
      <c r="AM726" s="66"/>
      <c r="AN726" s="66"/>
      <c r="AO726" s="66"/>
    </row>
    <row r="727">
      <c r="A727" s="93"/>
      <c r="B727" s="85"/>
      <c r="C727" s="86"/>
      <c r="D727" s="93"/>
      <c r="E727" s="85"/>
      <c r="F727" s="85"/>
      <c r="G727" s="86"/>
      <c r="H727" s="78" t="str">
        <f>IFERROR(__xludf.DUMMYFUNCTION("""COMPUTED_VALUE"""),"")</f>
        <v/>
      </c>
      <c r="I727" s="85"/>
      <c r="J727" s="85"/>
      <c r="K727" s="85"/>
      <c r="L727" s="86" t="str">
        <f>IFERROR(__xludf.DUMMYFUNCTION("""COMPUTED_VALUE"""),"REJECT")</f>
        <v>REJECT</v>
      </c>
      <c r="M727" s="78" t="str">
        <f>IFERROR(__xludf.DUMMYFUNCTION("""COMPUTED_VALUE"""),"")</f>
        <v/>
      </c>
      <c r="N727" s="85"/>
      <c r="O727" s="85"/>
      <c r="P727" s="85"/>
      <c r="Q727" s="86" t="str">
        <f>IFERROR(__xludf.DUMMYFUNCTION("""COMPUTED_VALUE"""),"REJECT")</f>
        <v>REJECT</v>
      </c>
      <c r="R727" s="66"/>
      <c r="S727" s="66"/>
      <c r="T727" s="66"/>
      <c r="U727" s="66"/>
      <c r="V727" s="66"/>
      <c r="W727" s="66"/>
      <c r="X727" s="66"/>
      <c r="Y727" s="66"/>
      <c r="Z727" s="66"/>
      <c r="AA727" s="66"/>
      <c r="AB727" s="66"/>
      <c r="AC727" s="66"/>
      <c r="AD727" s="66"/>
      <c r="AE727" s="66"/>
      <c r="AF727" s="66"/>
      <c r="AG727" s="66"/>
      <c r="AH727" s="66"/>
      <c r="AI727" s="66"/>
      <c r="AJ727" s="66"/>
      <c r="AK727" s="66"/>
      <c r="AL727" s="66"/>
      <c r="AM727" s="66"/>
      <c r="AN727" s="66"/>
      <c r="AO727" s="66"/>
    </row>
    <row r="728">
      <c r="A728" s="93"/>
      <c r="B728" s="85"/>
      <c r="C728" s="86"/>
      <c r="D728" s="93"/>
      <c r="E728" s="85"/>
      <c r="F728" s="85"/>
      <c r="G728" s="86"/>
      <c r="H728" s="78" t="str">
        <f>IFERROR(__xludf.DUMMYFUNCTION("""COMPUTED_VALUE"""),"")</f>
        <v/>
      </c>
      <c r="I728" s="85"/>
      <c r="J728" s="85"/>
      <c r="K728" s="85"/>
      <c r="L728" s="86" t="str">
        <f>IFERROR(__xludf.DUMMYFUNCTION("""COMPUTED_VALUE"""),"REJECT")</f>
        <v>REJECT</v>
      </c>
      <c r="M728" s="78" t="str">
        <f>IFERROR(__xludf.DUMMYFUNCTION("""COMPUTED_VALUE"""),"")</f>
        <v/>
      </c>
      <c r="N728" s="85"/>
      <c r="O728" s="85"/>
      <c r="P728" s="85"/>
      <c r="Q728" s="86" t="str">
        <f>IFERROR(__xludf.DUMMYFUNCTION("""COMPUTED_VALUE"""),"REJECT")</f>
        <v>REJECT</v>
      </c>
      <c r="R728" s="66"/>
      <c r="S728" s="66"/>
      <c r="T728" s="66"/>
      <c r="U728" s="66"/>
      <c r="V728" s="66"/>
      <c r="W728" s="66"/>
      <c r="X728" s="66"/>
      <c r="Y728" s="66"/>
      <c r="Z728" s="66"/>
      <c r="AA728" s="66"/>
      <c r="AB728" s="66"/>
      <c r="AC728" s="66"/>
      <c r="AD728" s="66"/>
      <c r="AE728" s="66"/>
      <c r="AF728" s="66"/>
      <c r="AG728" s="66"/>
      <c r="AH728" s="66"/>
      <c r="AI728" s="66"/>
      <c r="AJ728" s="66"/>
      <c r="AK728" s="66"/>
      <c r="AL728" s="66"/>
      <c r="AM728" s="66"/>
      <c r="AN728" s="66"/>
      <c r="AO728" s="66"/>
    </row>
    <row r="729">
      <c r="A729" s="93"/>
      <c r="B729" s="85"/>
      <c r="C729" s="86"/>
      <c r="D729" s="93"/>
      <c r="E729" s="85"/>
      <c r="F729" s="85"/>
      <c r="G729" s="86"/>
      <c r="H729" s="78" t="str">
        <f>IFERROR(__xludf.DUMMYFUNCTION("""COMPUTED_VALUE"""),"")</f>
        <v/>
      </c>
      <c r="I729" s="85"/>
      <c r="J729" s="85"/>
      <c r="K729" s="85"/>
      <c r="L729" s="86" t="str">
        <f>IFERROR(__xludf.DUMMYFUNCTION("""COMPUTED_VALUE"""),"REJECT")</f>
        <v>REJECT</v>
      </c>
      <c r="M729" s="78" t="str">
        <f>IFERROR(__xludf.DUMMYFUNCTION("""COMPUTED_VALUE"""),"")</f>
        <v/>
      </c>
      <c r="N729" s="85"/>
      <c r="O729" s="85"/>
      <c r="P729" s="85"/>
      <c r="Q729" s="86" t="str">
        <f>IFERROR(__xludf.DUMMYFUNCTION("""COMPUTED_VALUE"""),"REJECT")</f>
        <v>REJECT</v>
      </c>
      <c r="R729" s="66"/>
      <c r="S729" s="66"/>
      <c r="T729" s="66"/>
      <c r="U729" s="66"/>
      <c r="V729" s="66"/>
      <c r="W729" s="66"/>
      <c r="X729" s="66"/>
      <c r="Y729" s="66"/>
      <c r="Z729" s="66"/>
      <c r="AA729" s="66"/>
      <c r="AB729" s="66"/>
      <c r="AC729" s="66"/>
      <c r="AD729" s="66"/>
      <c r="AE729" s="66"/>
      <c r="AF729" s="66"/>
      <c r="AG729" s="66"/>
      <c r="AH729" s="66"/>
      <c r="AI729" s="66"/>
      <c r="AJ729" s="66"/>
      <c r="AK729" s="66"/>
      <c r="AL729" s="66"/>
      <c r="AM729" s="66"/>
      <c r="AN729" s="66"/>
      <c r="AO729" s="66"/>
    </row>
    <row r="730">
      <c r="A730" s="93"/>
      <c r="B730" s="85"/>
      <c r="C730" s="86"/>
      <c r="D730" s="93"/>
      <c r="E730" s="85"/>
      <c r="F730" s="85"/>
      <c r="G730" s="86"/>
      <c r="H730" s="78" t="str">
        <f>IFERROR(__xludf.DUMMYFUNCTION("""COMPUTED_VALUE"""),"")</f>
        <v/>
      </c>
      <c r="I730" s="85"/>
      <c r="J730" s="85"/>
      <c r="K730" s="85"/>
      <c r="L730" s="86" t="str">
        <f>IFERROR(__xludf.DUMMYFUNCTION("""COMPUTED_VALUE"""),"REJECT")</f>
        <v>REJECT</v>
      </c>
      <c r="M730" s="78" t="str">
        <f>IFERROR(__xludf.DUMMYFUNCTION("""COMPUTED_VALUE"""),"")</f>
        <v/>
      </c>
      <c r="N730" s="85"/>
      <c r="O730" s="85"/>
      <c r="P730" s="85"/>
      <c r="Q730" s="86" t="str">
        <f>IFERROR(__xludf.DUMMYFUNCTION("""COMPUTED_VALUE"""),"REJECT")</f>
        <v>REJECT</v>
      </c>
      <c r="R730" s="66"/>
      <c r="S730" s="66"/>
      <c r="T730" s="66"/>
      <c r="U730" s="66"/>
      <c r="V730" s="66"/>
      <c r="W730" s="66"/>
      <c r="X730" s="66"/>
      <c r="Y730" s="66"/>
      <c r="Z730" s="66"/>
      <c r="AA730" s="66"/>
      <c r="AB730" s="66"/>
      <c r="AC730" s="66"/>
      <c r="AD730" s="66"/>
      <c r="AE730" s="66"/>
      <c r="AF730" s="66"/>
      <c r="AG730" s="66"/>
      <c r="AH730" s="66"/>
      <c r="AI730" s="66"/>
      <c r="AJ730" s="66"/>
      <c r="AK730" s="66"/>
      <c r="AL730" s="66"/>
      <c r="AM730" s="66"/>
      <c r="AN730" s="66"/>
      <c r="AO730" s="66"/>
    </row>
    <row r="731">
      <c r="A731" s="93"/>
      <c r="B731" s="85"/>
      <c r="C731" s="86"/>
      <c r="D731" s="93"/>
      <c r="E731" s="85"/>
      <c r="F731" s="85"/>
      <c r="G731" s="86"/>
      <c r="H731" s="78" t="str">
        <f>IFERROR(__xludf.DUMMYFUNCTION("""COMPUTED_VALUE"""),"")</f>
        <v/>
      </c>
      <c r="I731" s="85"/>
      <c r="J731" s="85"/>
      <c r="K731" s="85"/>
      <c r="L731" s="86" t="str">
        <f>IFERROR(__xludf.DUMMYFUNCTION("""COMPUTED_VALUE"""),"REJECT")</f>
        <v>REJECT</v>
      </c>
      <c r="M731" s="78" t="str">
        <f>IFERROR(__xludf.DUMMYFUNCTION("""COMPUTED_VALUE"""),"")</f>
        <v/>
      </c>
      <c r="N731" s="85"/>
      <c r="O731" s="85"/>
      <c r="P731" s="85"/>
      <c r="Q731" s="86" t="str">
        <f>IFERROR(__xludf.DUMMYFUNCTION("""COMPUTED_VALUE"""),"REJECT")</f>
        <v>REJECT</v>
      </c>
      <c r="R731" s="66"/>
      <c r="S731" s="66"/>
      <c r="T731" s="66"/>
      <c r="U731" s="66"/>
      <c r="V731" s="66"/>
      <c r="W731" s="66"/>
      <c r="X731" s="66"/>
      <c r="Y731" s="66"/>
      <c r="Z731" s="66"/>
      <c r="AA731" s="66"/>
      <c r="AB731" s="66"/>
      <c r="AC731" s="66"/>
      <c r="AD731" s="66"/>
      <c r="AE731" s="66"/>
      <c r="AF731" s="66"/>
      <c r="AG731" s="66"/>
      <c r="AH731" s="66"/>
      <c r="AI731" s="66"/>
      <c r="AJ731" s="66"/>
      <c r="AK731" s="66"/>
      <c r="AL731" s="66"/>
      <c r="AM731" s="66"/>
      <c r="AN731" s="66"/>
      <c r="AO731" s="66"/>
    </row>
    <row r="732">
      <c r="A732" s="93"/>
      <c r="B732" s="85"/>
      <c r="C732" s="86"/>
      <c r="D732" s="93"/>
      <c r="E732" s="85"/>
      <c r="F732" s="85"/>
      <c r="G732" s="86"/>
      <c r="H732" s="78" t="str">
        <f>IFERROR(__xludf.DUMMYFUNCTION("""COMPUTED_VALUE"""),"")</f>
        <v/>
      </c>
      <c r="I732" s="85"/>
      <c r="J732" s="85"/>
      <c r="K732" s="85"/>
      <c r="L732" s="86" t="str">
        <f>IFERROR(__xludf.DUMMYFUNCTION("""COMPUTED_VALUE"""),"REJECT")</f>
        <v>REJECT</v>
      </c>
      <c r="M732" s="78" t="str">
        <f>IFERROR(__xludf.DUMMYFUNCTION("""COMPUTED_VALUE"""),"")</f>
        <v/>
      </c>
      <c r="N732" s="85"/>
      <c r="O732" s="85"/>
      <c r="P732" s="85"/>
      <c r="Q732" s="86" t="str">
        <f>IFERROR(__xludf.DUMMYFUNCTION("""COMPUTED_VALUE"""),"REJECT")</f>
        <v>REJECT</v>
      </c>
      <c r="R732" s="66"/>
      <c r="S732" s="66"/>
      <c r="T732" s="66"/>
      <c r="U732" s="66"/>
      <c r="V732" s="66"/>
      <c r="W732" s="66"/>
      <c r="X732" s="66"/>
      <c r="Y732" s="66"/>
      <c r="Z732" s="66"/>
      <c r="AA732" s="66"/>
      <c r="AB732" s="66"/>
      <c r="AC732" s="66"/>
      <c r="AD732" s="66"/>
      <c r="AE732" s="66"/>
      <c r="AF732" s="66"/>
      <c r="AG732" s="66"/>
      <c r="AH732" s="66"/>
      <c r="AI732" s="66"/>
      <c r="AJ732" s="66"/>
      <c r="AK732" s="66"/>
      <c r="AL732" s="66"/>
      <c r="AM732" s="66"/>
      <c r="AN732" s="66"/>
      <c r="AO732" s="66"/>
    </row>
    <row r="733">
      <c r="A733" s="93"/>
      <c r="B733" s="85"/>
      <c r="C733" s="86"/>
      <c r="D733" s="93"/>
      <c r="E733" s="85"/>
      <c r="F733" s="85"/>
      <c r="G733" s="86"/>
      <c r="H733" s="78" t="str">
        <f>IFERROR(__xludf.DUMMYFUNCTION("""COMPUTED_VALUE"""),"")</f>
        <v/>
      </c>
      <c r="I733" s="85"/>
      <c r="J733" s="85"/>
      <c r="K733" s="85"/>
      <c r="L733" s="86" t="str">
        <f>IFERROR(__xludf.DUMMYFUNCTION("""COMPUTED_VALUE"""),"REJECT")</f>
        <v>REJECT</v>
      </c>
      <c r="M733" s="78" t="str">
        <f>IFERROR(__xludf.DUMMYFUNCTION("""COMPUTED_VALUE"""),"")</f>
        <v/>
      </c>
      <c r="N733" s="85"/>
      <c r="O733" s="85"/>
      <c r="P733" s="85"/>
      <c r="Q733" s="86" t="str">
        <f>IFERROR(__xludf.DUMMYFUNCTION("""COMPUTED_VALUE"""),"REJECT")</f>
        <v>REJECT</v>
      </c>
      <c r="R733" s="66"/>
      <c r="S733" s="66"/>
      <c r="T733" s="66"/>
      <c r="U733" s="66"/>
      <c r="V733" s="66"/>
      <c r="W733" s="66"/>
      <c r="X733" s="66"/>
      <c r="Y733" s="66"/>
      <c r="Z733" s="66"/>
      <c r="AA733" s="66"/>
      <c r="AB733" s="66"/>
      <c r="AC733" s="66"/>
      <c r="AD733" s="66"/>
      <c r="AE733" s="66"/>
      <c r="AF733" s="66"/>
      <c r="AG733" s="66"/>
      <c r="AH733" s="66"/>
      <c r="AI733" s="66"/>
      <c r="AJ733" s="66"/>
      <c r="AK733" s="66"/>
      <c r="AL733" s="66"/>
      <c r="AM733" s="66"/>
      <c r="AN733" s="66"/>
      <c r="AO733" s="66"/>
    </row>
    <row r="734">
      <c r="A734" s="93"/>
      <c r="B734" s="85"/>
      <c r="C734" s="86"/>
      <c r="D734" s="93"/>
      <c r="E734" s="85"/>
      <c r="F734" s="85"/>
      <c r="G734" s="86"/>
      <c r="H734" s="78" t="str">
        <f>IFERROR(__xludf.DUMMYFUNCTION("""COMPUTED_VALUE"""),"")</f>
        <v/>
      </c>
      <c r="I734" s="85"/>
      <c r="J734" s="85"/>
      <c r="K734" s="85"/>
      <c r="L734" s="86" t="str">
        <f>IFERROR(__xludf.DUMMYFUNCTION("""COMPUTED_VALUE"""),"REJECT")</f>
        <v>REJECT</v>
      </c>
      <c r="M734" s="78" t="str">
        <f>IFERROR(__xludf.DUMMYFUNCTION("""COMPUTED_VALUE"""),"")</f>
        <v/>
      </c>
      <c r="N734" s="85"/>
      <c r="O734" s="85"/>
      <c r="P734" s="85"/>
      <c r="Q734" s="86" t="str">
        <f>IFERROR(__xludf.DUMMYFUNCTION("""COMPUTED_VALUE"""),"REJECT")</f>
        <v>REJECT</v>
      </c>
      <c r="R734" s="66"/>
      <c r="S734" s="66"/>
      <c r="T734" s="66"/>
      <c r="U734" s="66"/>
      <c r="V734" s="66"/>
      <c r="W734" s="66"/>
      <c r="X734" s="66"/>
      <c r="Y734" s="66"/>
      <c r="Z734" s="66"/>
      <c r="AA734" s="66"/>
      <c r="AB734" s="66"/>
      <c r="AC734" s="66"/>
      <c r="AD734" s="66"/>
      <c r="AE734" s="66"/>
      <c r="AF734" s="66"/>
      <c r="AG734" s="66"/>
      <c r="AH734" s="66"/>
      <c r="AI734" s="66"/>
      <c r="AJ734" s="66"/>
      <c r="AK734" s="66"/>
      <c r="AL734" s="66"/>
      <c r="AM734" s="66"/>
      <c r="AN734" s="66"/>
      <c r="AO734" s="66"/>
    </row>
    <row r="735">
      <c r="A735" s="93"/>
      <c r="B735" s="85"/>
      <c r="C735" s="86"/>
      <c r="D735" s="93"/>
      <c r="E735" s="85"/>
      <c r="F735" s="85"/>
      <c r="G735" s="86"/>
      <c r="H735" s="78" t="str">
        <f>IFERROR(__xludf.DUMMYFUNCTION("""COMPUTED_VALUE"""),"")</f>
        <v/>
      </c>
      <c r="I735" s="85"/>
      <c r="J735" s="85"/>
      <c r="K735" s="85"/>
      <c r="L735" s="86" t="str">
        <f>IFERROR(__xludf.DUMMYFUNCTION("""COMPUTED_VALUE"""),"REJECT")</f>
        <v>REJECT</v>
      </c>
      <c r="M735" s="78" t="str">
        <f>IFERROR(__xludf.DUMMYFUNCTION("""COMPUTED_VALUE"""),"")</f>
        <v/>
      </c>
      <c r="N735" s="85"/>
      <c r="O735" s="85"/>
      <c r="P735" s="85"/>
      <c r="Q735" s="86" t="str">
        <f>IFERROR(__xludf.DUMMYFUNCTION("""COMPUTED_VALUE"""),"REJECT")</f>
        <v>REJECT</v>
      </c>
      <c r="R735" s="66"/>
      <c r="S735" s="66"/>
      <c r="T735" s="66"/>
      <c r="U735" s="66"/>
      <c r="V735" s="66"/>
      <c r="W735" s="66"/>
      <c r="X735" s="66"/>
      <c r="Y735" s="66"/>
      <c r="Z735" s="66"/>
      <c r="AA735" s="66"/>
      <c r="AB735" s="66"/>
      <c r="AC735" s="66"/>
      <c r="AD735" s="66"/>
      <c r="AE735" s="66"/>
      <c r="AF735" s="66"/>
      <c r="AG735" s="66"/>
      <c r="AH735" s="66"/>
      <c r="AI735" s="66"/>
      <c r="AJ735" s="66"/>
      <c r="AK735" s="66"/>
      <c r="AL735" s="66"/>
      <c r="AM735" s="66"/>
      <c r="AN735" s="66"/>
      <c r="AO735" s="66"/>
    </row>
    <row r="736">
      <c r="A736" s="93"/>
      <c r="B736" s="85"/>
      <c r="C736" s="86"/>
      <c r="D736" s="93"/>
      <c r="E736" s="85"/>
      <c r="F736" s="85"/>
      <c r="G736" s="86"/>
      <c r="H736" s="78" t="str">
        <f>IFERROR(__xludf.DUMMYFUNCTION("""COMPUTED_VALUE"""),"")</f>
        <v/>
      </c>
      <c r="I736" s="85"/>
      <c r="J736" s="85"/>
      <c r="K736" s="85"/>
      <c r="L736" s="86" t="str">
        <f>IFERROR(__xludf.DUMMYFUNCTION("""COMPUTED_VALUE"""),"REJECT")</f>
        <v>REJECT</v>
      </c>
      <c r="M736" s="78" t="str">
        <f>IFERROR(__xludf.DUMMYFUNCTION("""COMPUTED_VALUE"""),"")</f>
        <v/>
      </c>
      <c r="N736" s="85"/>
      <c r="O736" s="85"/>
      <c r="P736" s="85"/>
      <c r="Q736" s="86" t="str">
        <f>IFERROR(__xludf.DUMMYFUNCTION("""COMPUTED_VALUE"""),"REJECT")</f>
        <v>REJECT</v>
      </c>
      <c r="R736" s="66"/>
      <c r="S736" s="66"/>
      <c r="T736" s="66"/>
      <c r="U736" s="66"/>
      <c r="V736" s="66"/>
      <c r="W736" s="66"/>
      <c r="X736" s="66"/>
      <c r="Y736" s="66"/>
      <c r="Z736" s="66"/>
      <c r="AA736" s="66"/>
      <c r="AB736" s="66"/>
      <c r="AC736" s="66"/>
      <c r="AD736" s="66"/>
      <c r="AE736" s="66"/>
      <c r="AF736" s="66"/>
      <c r="AG736" s="66"/>
      <c r="AH736" s="66"/>
      <c r="AI736" s="66"/>
      <c r="AJ736" s="66"/>
      <c r="AK736" s="66"/>
      <c r="AL736" s="66"/>
      <c r="AM736" s="66"/>
      <c r="AN736" s="66"/>
      <c r="AO736" s="66"/>
    </row>
    <row r="737">
      <c r="A737" s="93"/>
      <c r="B737" s="85"/>
      <c r="C737" s="86"/>
      <c r="D737" s="93"/>
      <c r="E737" s="85"/>
      <c r="F737" s="85"/>
      <c r="G737" s="86"/>
      <c r="H737" s="78" t="str">
        <f>IFERROR(__xludf.DUMMYFUNCTION("""COMPUTED_VALUE"""),"")</f>
        <v/>
      </c>
      <c r="I737" s="85"/>
      <c r="J737" s="85"/>
      <c r="K737" s="85"/>
      <c r="L737" s="86" t="str">
        <f>IFERROR(__xludf.DUMMYFUNCTION("""COMPUTED_VALUE"""),"REJECT")</f>
        <v>REJECT</v>
      </c>
      <c r="M737" s="78" t="str">
        <f>IFERROR(__xludf.DUMMYFUNCTION("""COMPUTED_VALUE"""),"")</f>
        <v/>
      </c>
      <c r="N737" s="85"/>
      <c r="O737" s="85"/>
      <c r="P737" s="85"/>
      <c r="Q737" s="86" t="str">
        <f>IFERROR(__xludf.DUMMYFUNCTION("""COMPUTED_VALUE"""),"REJECT")</f>
        <v>REJECT</v>
      </c>
      <c r="R737" s="66"/>
      <c r="S737" s="66"/>
      <c r="T737" s="66"/>
      <c r="U737" s="66"/>
      <c r="V737" s="66"/>
      <c r="W737" s="66"/>
      <c r="X737" s="66"/>
      <c r="Y737" s="66"/>
      <c r="Z737" s="66"/>
      <c r="AA737" s="66"/>
      <c r="AB737" s="66"/>
      <c r="AC737" s="66"/>
      <c r="AD737" s="66"/>
      <c r="AE737" s="66"/>
      <c r="AF737" s="66"/>
      <c r="AG737" s="66"/>
      <c r="AH737" s="66"/>
      <c r="AI737" s="66"/>
      <c r="AJ737" s="66"/>
      <c r="AK737" s="66"/>
      <c r="AL737" s="66"/>
      <c r="AM737" s="66"/>
      <c r="AN737" s="66"/>
      <c r="AO737" s="66"/>
    </row>
    <row r="738">
      <c r="A738" s="93"/>
      <c r="B738" s="85"/>
      <c r="C738" s="86"/>
      <c r="D738" s="93"/>
      <c r="E738" s="85"/>
      <c r="F738" s="85"/>
      <c r="G738" s="86"/>
      <c r="H738" s="78" t="str">
        <f>IFERROR(__xludf.DUMMYFUNCTION("""COMPUTED_VALUE"""),"")</f>
        <v/>
      </c>
      <c r="I738" s="85"/>
      <c r="J738" s="85"/>
      <c r="K738" s="85"/>
      <c r="L738" s="86" t="str">
        <f>IFERROR(__xludf.DUMMYFUNCTION("""COMPUTED_VALUE"""),"REJECT")</f>
        <v>REJECT</v>
      </c>
      <c r="M738" s="78" t="str">
        <f>IFERROR(__xludf.DUMMYFUNCTION("""COMPUTED_VALUE"""),"")</f>
        <v/>
      </c>
      <c r="N738" s="85"/>
      <c r="O738" s="85"/>
      <c r="P738" s="85"/>
      <c r="Q738" s="86" t="str">
        <f>IFERROR(__xludf.DUMMYFUNCTION("""COMPUTED_VALUE"""),"REJECT")</f>
        <v>REJECT</v>
      </c>
      <c r="R738" s="66"/>
      <c r="S738" s="66"/>
      <c r="T738" s="66"/>
      <c r="U738" s="66"/>
      <c r="V738" s="66"/>
      <c r="W738" s="66"/>
      <c r="X738" s="66"/>
      <c r="Y738" s="66"/>
      <c r="Z738" s="66"/>
      <c r="AA738" s="66"/>
      <c r="AB738" s="66"/>
      <c r="AC738" s="66"/>
      <c r="AD738" s="66"/>
      <c r="AE738" s="66"/>
      <c r="AF738" s="66"/>
      <c r="AG738" s="66"/>
      <c r="AH738" s="66"/>
      <c r="AI738" s="66"/>
      <c r="AJ738" s="66"/>
      <c r="AK738" s="66"/>
      <c r="AL738" s="66"/>
      <c r="AM738" s="66"/>
      <c r="AN738" s="66"/>
      <c r="AO738" s="66"/>
    </row>
    <row r="739">
      <c r="A739" s="93"/>
      <c r="B739" s="85"/>
      <c r="C739" s="86"/>
      <c r="D739" s="93"/>
      <c r="E739" s="85"/>
      <c r="F739" s="85"/>
      <c r="G739" s="86"/>
      <c r="H739" s="78" t="str">
        <f>IFERROR(__xludf.DUMMYFUNCTION("""COMPUTED_VALUE"""),"")</f>
        <v/>
      </c>
      <c r="I739" s="85"/>
      <c r="J739" s="85"/>
      <c r="K739" s="85"/>
      <c r="L739" s="86" t="str">
        <f>IFERROR(__xludf.DUMMYFUNCTION("""COMPUTED_VALUE"""),"REJECT")</f>
        <v>REJECT</v>
      </c>
      <c r="M739" s="78" t="str">
        <f>IFERROR(__xludf.DUMMYFUNCTION("""COMPUTED_VALUE"""),"")</f>
        <v/>
      </c>
      <c r="N739" s="85"/>
      <c r="O739" s="85"/>
      <c r="P739" s="85"/>
      <c r="Q739" s="86" t="str">
        <f>IFERROR(__xludf.DUMMYFUNCTION("""COMPUTED_VALUE"""),"REJECT")</f>
        <v>REJECT</v>
      </c>
      <c r="R739" s="66"/>
      <c r="S739" s="66"/>
      <c r="T739" s="66"/>
      <c r="U739" s="66"/>
      <c r="V739" s="66"/>
      <c r="W739" s="66"/>
      <c r="X739" s="66"/>
      <c r="Y739" s="66"/>
      <c r="Z739" s="66"/>
      <c r="AA739" s="66"/>
      <c r="AB739" s="66"/>
      <c r="AC739" s="66"/>
      <c r="AD739" s="66"/>
      <c r="AE739" s="66"/>
      <c r="AF739" s="66"/>
      <c r="AG739" s="66"/>
      <c r="AH739" s="66"/>
      <c r="AI739" s="66"/>
      <c r="AJ739" s="66"/>
      <c r="AK739" s="66"/>
      <c r="AL739" s="66"/>
      <c r="AM739" s="66"/>
      <c r="AN739" s="66"/>
      <c r="AO739" s="66"/>
    </row>
    <row r="740">
      <c r="A740" s="93"/>
      <c r="B740" s="85"/>
      <c r="C740" s="86"/>
      <c r="D740" s="93"/>
      <c r="E740" s="85"/>
      <c r="F740" s="85"/>
      <c r="G740" s="86"/>
      <c r="H740" s="78" t="str">
        <f>IFERROR(__xludf.DUMMYFUNCTION("""COMPUTED_VALUE"""),"")</f>
        <v/>
      </c>
      <c r="I740" s="85"/>
      <c r="J740" s="85"/>
      <c r="K740" s="85"/>
      <c r="L740" s="86" t="str">
        <f>IFERROR(__xludf.DUMMYFUNCTION("""COMPUTED_VALUE"""),"REJECT")</f>
        <v>REJECT</v>
      </c>
      <c r="M740" s="78" t="str">
        <f>IFERROR(__xludf.DUMMYFUNCTION("""COMPUTED_VALUE"""),"")</f>
        <v/>
      </c>
      <c r="N740" s="85"/>
      <c r="O740" s="85"/>
      <c r="P740" s="85"/>
      <c r="Q740" s="86" t="str">
        <f>IFERROR(__xludf.DUMMYFUNCTION("""COMPUTED_VALUE"""),"REJECT")</f>
        <v>REJECT</v>
      </c>
      <c r="R740" s="66"/>
      <c r="S740" s="66"/>
      <c r="T740" s="66"/>
      <c r="U740" s="66"/>
      <c r="V740" s="66"/>
      <c r="W740" s="66"/>
      <c r="X740" s="66"/>
      <c r="Y740" s="66"/>
      <c r="Z740" s="66"/>
      <c r="AA740" s="66"/>
      <c r="AB740" s="66"/>
      <c r="AC740" s="66"/>
      <c r="AD740" s="66"/>
      <c r="AE740" s="66"/>
      <c r="AF740" s="66"/>
      <c r="AG740" s="66"/>
      <c r="AH740" s="66"/>
      <c r="AI740" s="66"/>
      <c r="AJ740" s="66"/>
      <c r="AK740" s="66"/>
      <c r="AL740" s="66"/>
      <c r="AM740" s="66"/>
      <c r="AN740" s="66"/>
      <c r="AO740" s="66"/>
    </row>
    <row r="741">
      <c r="A741" s="93"/>
      <c r="B741" s="85"/>
      <c r="C741" s="86"/>
      <c r="D741" s="93"/>
      <c r="E741" s="85"/>
      <c r="F741" s="85"/>
      <c r="G741" s="86"/>
      <c r="H741" s="78" t="str">
        <f>IFERROR(__xludf.DUMMYFUNCTION("""COMPUTED_VALUE"""),"")</f>
        <v/>
      </c>
      <c r="I741" s="85"/>
      <c r="J741" s="85"/>
      <c r="K741" s="85"/>
      <c r="L741" s="86" t="str">
        <f>IFERROR(__xludf.DUMMYFUNCTION("""COMPUTED_VALUE"""),"REJECT")</f>
        <v>REJECT</v>
      </c>
      <c r="M741" s="78" t="str">
        <f>IFERROR(__xludf.DUMMYFUNCTION("""COMPUTED_VALUE"""),"")</f>
        <v/>
      </c>
      <c r="N741" s="85"/>
      <c r="O741" s="85"/>
      <c r="P741" s="85"/>
      <c r="Q741" s="86" t="str">
        <f>IFERROR(__xludf.DUMMYFUNCTION("""COMPUTED_VALUE"""),"REJECT")</f>
        <v>REJECT</v>
      </c>
      <c r="R741" s="66"/>
      <c r="S741" s="66"/>
      <c r="T741" s="66"/>
      <c r="U741" s="66"/>
      <c r="V741" s="66"/>
      <c r="W741" s="66"/>
      <c r="X741" s="66"/>
      <c r="Y741" s="66"/>
      <c r="Z741" s="66"/>
      <c r="AA741" s="66"/>
      <c r="AB741" s="66"/>
      <c r="AC741" s="66"/>
      <c r="AD741" s="66"/>
      <c r="AE741" s="66"/>
      <c r="AF741" s="66"/>
      <c r="AG741" s="66"/>
      <c r="AH741" s="66"/>
      <c r="AI741" s="66"/>
      <c r="AJ741" s="66"/>
      <c r="AK741" s="66"/>
      <c r="AL741" s="66"/>
      <c r="AM741" s="66"/>
      <c r="AN741" s="66"/>
      <c r="AO741" s="66"/>
    </row>
    <row r="742">
      <c r="A742" s="93"/>
      <c r="B742" s="85"/>
      <c r="C742" s="86"/>
      <c r="D742" s="93"/>
      <c r="E742" s="85"/>
      <c r="F742" s="85"/>
      <c r="G742" s="86"/>
      <c r="H742" s="78" t="str">
        <f>IFERROR(__xludf.DUMMYFUNCTION("""COMPUTED_VALUE"""),"")</f>
        <v/>
      </c>
      <c r="I742" s="85"/>
      <c r="J742" s="85"/>
      <c r="K742" s="85"/>
      <c r="L742" s="86" t="str">
        <f>IFERROR(__xludf.DUMMYFUNCTION("""COMPUTED_VALUE"""),"REJECT")</f>
        <v>REJECT</v>
      </c>
      <c r="M742" s="78" t="str">
        <f>IFERROR(__xludf.DUMMYFUNCTION("""COMPUTED_VALUE"""),"")</f>
        <v/>
      </c>
      <c r="N742" s="85"/>
      <c r="O742" s="85"/>
      <c r="P742" s="85"/>
      <c r="Q742" s="86" t="str">
        <f>IFERROR(__xludf.DUMMYFUNCTION("""COMPUTED_VALUE"""),"REJECT")</f>
        <v>REJECT</v>
      </c>
      <c r="R742" s="66"/>
      <c r="S742" s="66"/>
      <c r="T742" s="66"/>
      <c r="U742" s="66"/>
      <c r="V742" s="66"/>
      <c r="W742" s="66"/>
      <c r="X742" s="66"/>
      <c r="Y742" s="66"/>
      <c r="Z742" s="66"/>
      <c r="AA742" s="66"/>
      <c r="AB742" s="66"/>
      <c r="AC742" s="66"/>
      <c r="AD742" s="66"/>
      <c r="AE742" s="66"/>
      <c r="AF742" s="66"/>
      <c r="AG742" s="66"/>
      <c r="AH742" s="66"/>
      <c r="AI742" s="66"/>
      <c r="AJ742" s="66"/>
      <c r="AK742" s="66"/>
      <c r="AL742" s="66"/>
      <c r="AM742" s="66"/>
      <c r="AN742" s="66"/>
      <c r="AO742" s="66"/>
    </row>
    <row r="743">
      <c r="A743" s="93"/>
      <c r="B743" s="85"/>
      <c r="C743" s="86"/>
      <c r="D743" s="93"/>
      <c r="E743" s="85"/>
      <c r="F743" s="85"/>
      <c r="G743" s="86"/>
      <c r="H743" s="78" t="str">
        <f>IFERROR(__xludf.DUMMYFUNCTION("""COMPUTED_VALUE"""),"")</f>
        <v/>
      </c>
      <c r="I743" s="85"/>
      <c r="J743" s="85"/>
      <c r="K743" s="85"/>
      <c r="L743" s="86" t="str">
        <f>IFERROR(__xludf.DUMMYFUNCTION("""COMPUTED_VALUE"""),"REJECT")</f>
        <v>REJECT</v>
      </c>
      <c r="M743" s="78" t="str">
        <f>IFERROR(__xludf.DUMMYFUNCTION("""COMPUTED_VALUE"""),"")</f>
        <v/>
      </c>
      <c r="N743" s="85"/>
      <c r="O743" s="85"/>
      <c r="P743" s="85"/>
      <c r="Q743" s="86" t="str">
        <f>IFERROR(__xludf.DUMMYFUNCTION("""COMPUTED_VALUE"""),"REJECT")</f>
        <v>REJECT</v>
      </c>
      <c r="R743" s="66"/>
      <c r="S743" s="66"/>
      <c r="T743" s="66"/>
      <c r="U743" s="66"/>
      <c r="V743" s="66"/>
      <c r="W743" s="66"/>
      <c r="X743" s="66"/>
      <c r="Y743" s="66"/>
      <c r="Z743" s="66"/>
      <c r="AA743" s="66"/>
      <c r="AB743" s="66"/>
      <c r="AC743" s="66"/>
      <c r="AD743" s="66"/>
      <c r="AE743" s="66"/>
      <c r="AF743" s="66"/>
      <c r="AG743" s="66"/>
      <c r="AH743" s="66"/>
      <c r="AI743" s="66"/>
      <c r="AJ743" s="66"/>
      <c r="AK743" s="66"/>
      <c r="AL743" s="66"/>
      <c r="AM743" s="66"/>
      <c r="AN743" s="66"/>
      <c r="AO743" s="66"/>
    </row>
    <row r="744">
      <c r="A744" s="93"/>
      <c r="B744" s="85"/>
      <c r="C744" s="86"/>
      <c r="D744" s="93"/>
      <c r="E744" s="85"/>
      <c r="F744" s="85"/>
      <c r="G744" s="86"/>
      <c r="H744" s="78" t="str">
        <f>IFERROR(__xludf.DUMMYFUNCTION("""COMPUTED_VALUE"""),"")</f>
        <v/>
      </c>
      <c r="I744" s="85"/>
      <c r="J744" s="85"/>
      <c r="K744" s="85"/>
      <c r="L744" s="86" t="str">
        <f>IFERROR(__xludf.DUMMYFUNCTION("""COMPUTED_VALUE"""),"REJECT")</f>
        <v>REJECT</v>
      </c>
      <c r="M744" s="78" t="str">
        <f>IFERROR(__xludf.DUMMYFUNCTION("""COMPUTED_VALUE"""),"")</f>
        <v/>
      </c>
      <c r="N744" s="85"/>
      <c r="O744" s="85"/>
      <c r="P744" s="85"/>
      <c r="Q744" s="86" t="str">
        <f>IFERROR(__xludf.DUMMYFUNCTION("""COMPUTED_VALUE"""),"REJECT")</f>
        <v>REJECT</v>
      </c>
      <c r="R744" s="66"/>
      <c r="S744" s="66"/>
      <c r="T744" s="66"/>
      <c r="U744" s="66"/>
      <c r="V744" s="66"/>
      <c r="W744" s="66"/>
      <c r="X744" s="66"/>
      <c r="Y744" s="66"/>
      <c r="Z744" s="66"/>
      <c r="AA744" s="66"/>
      <c r="AB744" s="66"/>
      <c r="AC744" s="66"/>
      <c r="AD744" s="66"/>
      <c r="AE744" s="66"/>
      <c r="AF744" s="66"/>
      <c r="AG744" s="66"/>
      <c r="AH744" s="66"/>
      <c r="AI744" s="66"/>
      <c r="AJ744" s="66"/>
      <c r="AK744" s="66"/>
      <c r="AL744" s="66"/>
      <c r="AM744" s="66"/>
      <c r="AN744" s="66"/>
      <c r="AO744" s="66"/>
    </row>
    <row r="745">
      <c r="A745" s="93"/>
      <c r="B745" s="85"/>
      <c r="C745" s="86"/>
      <c r="D745" s="93"/>
      <c r="E745" s="85"/>
      <c r="F745" s="85"/>
      <c r="G745" s="86"/>
      <c r="H745" s="78" t="str">
        <f>IFERROR(__xludf.DUMMYFUNCTION("""COMPUTED_VALUE"""),"")</f>
        <v/>
      </c>
      <c r="I745" s="85"/>
      <c r="J745" s="85"/>
      <c r="K745" s="85"/>
      <c r="L745" s="86" t="str">
        <f>IFERROR(__xludf.DUMMYFUNCTION("""COMPUTED_VALUE"""),"REJECT")</f>
        <v>REJECT</v>
      </c>
      <c r="M745" s="78" t="str">
        <f>IFERROR(__xludf.DUMMYFUNCTION("""COMPUTED_VALUE"""),"")</f>
        <v/>
      </c>
      <c r="N745" s="85"/>
      <c r="O745" s="85"/>
      <c r="P745" s="85"/>
      <c r="Q745" s="86" t="str">
        <f>IFERROR(__xludf.DUMMYFUNCTION("""COMPUTED_VALUE"""),"REJECT")</f>
        <v>REJECT</v>
      </c>
      <c r="R745" s="66"/>
      <c r="S745" s="66"/>
      <c r="T745" s="66"/>
      <c r="U745" s="66"/>
      <c r="V745" s="66"/>
      <c r="W745" s="66"/>
      <c r="X745" s="66"/>
      <c r="Y745" s="66"/>
      <c r="Z745" s="66"/>
      <c r="AA745" s="66"/>
      <c r="AB745" s="66"/>
      <c r="AC745" s="66"/>
      <c r="AD745" s="66"/>
      <c r="AE745" s="66"/>
      <c r="AF745" s="66"/>
      <c r="AG745" s="66"/>
      <c r="AH745" s="66"/>
      <c r="AI745" s="66"/>
      <c r="AJ745" s="66"/>
      <c r="AK745" s="66"/>
      <c r="AL745" s="66"/>
      <c r="AM745" s="66"/>
      <c r="AN745" s="66"/>
      <c r="AO745" s="66"/>
    </row>
    <row r="746">
      <c r="A746" s="93"/>
      <c r="B746" s="85"/>
      <c r="C746" s="86"/>
      <c r="D746" s="93"/>
      <c r="E746" s="85"/>
      <c r="F746" s="85"/>
      <c r="G746" s="86"/>
      <c r="H746" s="78" t="str">
        <f>IFERROR(__xludf.DUMMYFUNCTION("""COMPUTED_VALUE"""),"")</f>
        <v/>
      </c>
      <c r="I746" s="85"/>
      <c r="J746" s="85"/>
      <c r="K746" s="85"/>
      <c r="L746" s="86" t="str">
        <f>IFERROR(__xludf.DUMMYFUNCTION("""COMPUTED_VALUE"""),"REJECT")</f>
        <v>REJECT</v>
      </c>
      <c r="M746" s="78" t="str">
        <f>IFERROR(__xludf.DUMMYFUNCTION("""COMPUTED_VALUE"""),"")</f>
        <v/>
      </c>
      <c r="N746" s="85"/>
      <c r="O746" s="85"/>
      <c r="P746" s="85"/>
      <c r="Q746" s="86" t="str">
        <f>IFERROR(__xludf.DUMMYFUNCTION("""COMPUTED_VALUE"""),"REJECT")</f>
        <v>REJECT</v>
      </c>
      <c r="R746" s="66"/>
      <c r="S746" s="66"/>
      <c r="T746" s="66"/>
      <c r="U746" s="66"/>
      <c r="V746" s="66"/>
      <c r="W746" s="66"/>
      <c r="X746" s="66"/>
      <c r="Y746" s="66"/>
      <c r="Z746" s="66"/>
      <c r="AA746" s="66"/>
      <c r="AB746" s="66"/>
      <c r="AC746" s="66"/>
      <c r="AD746" s="66"/>
      <c r="AE746" s="66"/>
      <c r="AF746" s="66"/>
      <c r="AG746" s="66"/>
      <c r="AH746" s="66"/>
      <c r="AI746" s="66"/>
      <c r="AJ746" s="66"/>
      <c r="AK746" s="66"/>
      <c r="AL746" s="66"/>
      <c r="AM746" s="66"/>
      <c r="AN746" s="66"/>
      <c r="AO746" s="66"/>
    </row>
    <row r="747">
      <c r="A747" s="93"/>
      <c r="B747" s="85"/>
      <c r="C747" s="86"/>
      <c r="D747" s="93"/>
      <c r="E747" s="85"/>
      <c r="F747" s="85"/>
      <c r="G747" s="86"/>
      <c r="H747" s="78" t="str">
        <f>IFERROR(__xludf.DUMMYFUNCTION("""COMPUTED_VALUE"""),"")</f>
        <v/>
      </c>
      <c r="I747" s="85"/>
      <c r="J747" s="85"/>
      <c r="K747" s="85"/>
      <c r="L747" s="86" t="str">
        <f>IFERROR(__xludf.DUMMYFUNCTION("""COMPUTED_VALUE"""),"REJECT")</f>
        <v>REJECT</v>
      </c>
      <c r="M747" s="78" t="str">
        <f>IFERROR(__xludf.DUMMYFUNCTION("""COMPUTED_VALUE"""),"")</f>
        <v/>
      </c>
      <c r="N747" s="85"/>
      <c r="O747" s="85"/>
      <c r="P747" s="85"/>
      <c r="Q747" s="86" t="str">
        <f>IFERROR(__xludf.DUMMYFUNCTION("""COMPUTED_VALUE"""),"REJECT")</f>
        <v>REJECT</v>
      </c>
      <c r="R747" s="66"/>
      <c r="S747" s="66"/>
      <c r="T747" s="66"/>
      <c r="U747" s="66"/>
      <c r="V747" s="66"/>
      <c r="W747" s="66"/>
      <c r="X747" s="66"/>
      <c r="Y747" s="66"/>
      <c r="Z747" s="66"/>
      <c r="AA747" s="66"/>
      <c r="AB747" s="66"/>
      <c r="AC747" s="66"/>
      <c r="AD747" s="66"/>
      <c r="AE747" s="66"/>
      <c r="AF747" s="66"/>
      <c r="AG747" s="66"/>
      <c r="AH747" s="66"/>
      <c r="AI747" s="66"/>
      <c r="AJ747" s="66"/>
      <c r="AK747" s="66"/>
      <c r="AL747" s="66"/>
      <c r="AM747" s="66"/>
      <c r="AN747" s="66"/>
      <c r="AO747" s="66"/>
    </row>
    <row r="748">
      <c r="A748" s="93"/>
      <c r="B748" s="85"/>
      <c r="C748" s="86"/>
      <c r="D748" s="93"/>
      <c r="E748" s="85"/>
      <c r="F748" s="85"/>
      <c r="G748" s="86"/>
      <c r="H748" s="78" t="str">
        <f>IFERROR(__xludf.DUMMYFUNCTION("""COMPUTED_VALUE"""),"")</f>
        <v/>
      </c>
      <c r="I748" s="85"/>
      <c r="J748" s="85"/>
      <c r="K748" s="85"/>
      <c r="L748" s="86" t="str">
        <f>IFERROR(__xludf.DUMMYFUNCTION("""COMPUTED_VALUE"""),"REJECT")</f>
        <v>REJECT</v>
      </c>
      <c r="M748" s="78" t="str">
        <f>IFERROR(__xludf.DUMMYFUNCTION("""COMPUTED_VALUE"""),"")</f>
        <v/>
      </c>
      <c r="N748" s="85"/>
      <c r="O748" s="85"/>
      <c r="P748" s="85"/>
      <c r="Q748" s="86" t="str">
        <f>IFERROR(__xludf.DUMMYFUNCTION("""COMPUTED_VALUE"""),"REJECT")</f>
        <v>REJECT</v>
      </c>
      <c r="R748" s="66"/>
      <c r="S748" s="66"/>
      <c r="T748" s="66"/>
      <c r="U748" s="66"/>
      <c r="V748" s="66"/>
      <c r="W748" s="66"/>
      <c r="X748" s="66"/>
      <c r="Y748" s="66"/>
      <c r="Z748" s="66"/>
      <c r="AA748" s="66"/>
      <c r="AB748" s="66"/>
      <c r="AC748" s="66"/>
      <c r="AD748" s="66"/>
      <c r="AE748" s="66"/>
      <c r="AF748" s="66"/>
      <c r="AG748" s="66"/>
      <c r="AH748" s="66"/>
      <c r="AI748" s="66"/>
      <c r="AJ748" s="66"/>
      <c r="AK748" s="66"/>
      <c r="AL748" s="66"/>
      <c r="AM748" s="66"/>
      <c r="AN748" s="66"/>
      <c r="AO748" s="66"/>
    </row>
    <row r="749">
      <c r="A749" s="93"/>
      <c r="B749" s="85"/>
      <c r="C749" s="86"/>
      <c r="D749" s="93"/>
      <c r="E749" s="85"/>
      <c r="F749" s="85"/>
      <c r="G749" s="86"/>
      <c r="H749" s="78" t="str">
        <f>IFERROR(__xludf.DUMMYFUNCTION("""COMPUTED_VALUE"""),"")</f>
        <v/>
      </c>
      <c r="I749" s="85"/>
      <c r="J749" s="85"/>
      <c r="K749" s="85"/>
      <c r="L749" s="86" t="str">
        <f>IFERROR(__xludf.DUMMYFUNCTION("""COMPUTED_VALUE"""),"REJECT")</f>
        <v>REJECT</v>
      </c>
      <c r="M749" s="78" t="str">
        <f>IFERROR(__xludf.DUMMYFUNCTION("""COMPUTED_VALUE"""),"")</f>
        <v/>
      </c>
      <c r="N749" s="85"/>
      <c r="O749" s="85"/>
      <c r="P749" s="85"/>
      <c r="Q749" s="86" t="str">
        <f>IFERROR(__xludf.DUMMYFUNCTION("""COMPUTED_VALUE"""),"REJECT")</f>
        <v>REJECT</v>
      </c>
      <c r="R749" s="66"/>
      <c r="S749" s="66"/>
      <c r="T749" s="66"/>
      <c r="U749" s="66"/>
      <c r="V749" s="66"/>
      <c r="W749" s="66"/>
      <c r="X749" s="66"/>
      <c r="Y749" s="66"/>
      <c r="Z749" s="66"/>
      <c r="AA749" s="66"/>
      <c r="AB749" s="66"/>
      <c r="AC749" s="66"/>
      <c r="AD749" s="66"/>
      <c r="AE749" s="66"/>
      <c r="AF749" s="66"/>
      <c r="AG749" s="66"/>
      <c r="AH749" s="66"/>
      <c r="AI749" s="66"/>
      <c r="AJ749" s="66"/>
      <c r="AK749" s="66"/>
      <c r="AL749" s="66"/>
      <c r="AM749" s="66"/>
      <c r="AN749" s="66"/>
      <c r="AO749" s="66"/>
    </row>
    <row r="750">
      <c r="A750" s="93"/>
      <c r="B750" s="85"/>
      <c r="C750" s="86"/>
      <c r="D750" s="93"/>
      <c r="E750" s="85"/>
      <c r="F750" s="85"/>
      <c r="G750" s="86"/>
      <c r="H750" s="78" t="str">
        <f>IFERROR(__xludf.DUMMYFUNCTION("""COMPUTED_VALUE"""),"")</f>
        <v/>
      </c>
      <c r="I750" s="85"/>
      <c r="J750" s="85"/>
      <c r="K750" s="85"/>
      <c r="L750" s="86" t="str">
        <f>IFERROR(__xludf.DUMMYFUNCTION("""COMPUTED_VALUE"""),"REJECT")</f>
        <v>REJECT</v>
      </c>
      <c r="M750" s="78" t="str">
        <f>IFERROR(__xludf.DUMMYFUNCTION("""COMPUTED_VALUE"""),"")</f>
        <v/>
      </c>
      <c r="N750" s="85"/>
      <c r="O750" s="85"/>
      <c r="P750" s="85"/>
      <c r="Q750" s="86" t="str">
        <f>IFERROR(__xludf.DUMMYFUNCTION("""COMPUTED_VALUE"""),"REJECT")</f>
        <v>REJECT</v>
      </c>
      <c r="R750" s="66"/>
      <c r="S750" s="66"/>
      <c r="T750" s="66"/>
      <c r="U750" s="66"/>
      <c r="V750" s="66"/>
      <c r="W750" s="66"/>
      <c r="X750" s="66"/>
      <c r="Y750" s="66"/>
      <c r="Z750" s="66"/>
      <c r="AA750" s="66"/>
      <c r="AB750" s="66"/>
      <c r="AC750" s="66"/>
      <c r="AD750" s="66"/>
      <c r="AE750" s="66"/>
      <c r="AF750" s="66"/>
      <c r="AG750" s="66"/>
      <c r="AH750" s="66"/>
      <c r="AI750" s="66"/>
      <c r="AJ750" s="66"/>
      <c r="AK750" s="66"/>
      <c r="AL750" s="66"/>
      <c r="AM750" s="66"/>
      <c r="AN750" s="66"/>
      <c r="AO750" s="66"/>
    </row>
    <row r="751">
      <c r="A751" s="93"/>
      <c r="B751" s="85"/>
      <c r="C751" s="86"/>
      <c r="D751" s="93"/>
      <c r="E751" s="85"/>
      <c r="F751" s="85"/>
      <c r="G751" s="86"/>
      <c r="H751" s="78" t="str">
        <f>IFERROR(__xludf.DUMMYFUNCTION("""COMPUTED_VALUE"""),"")</f>
        <v/>
      </c>
      <c r="I751" s="85"/>
      <c r="J751" s="85"/>
      <c r="K751" s="85"/>
      <c r="L751" s="86" t="str">
        <f>IFERROR(__xludf.DUMMYFUNCTION("""COMPUTED_VALUE"""),"REJECT")</f>
        <v>REJECT</v>
      </c>
      <c r="M751" s="78" t="str">
        <f>IFERROR(__xludf.DUMMYFUNCTION("""COMPUTED_VALUE"""),"")</f>
        <v/>
      </c>
      <c r="N751" s="85"/>
      <c r="O751" s="85"/>
      <c r="P751" s="85"/>
      <c r="Q751" s="86" t="str">
        <f>IFERROR(__xludf.DUMMYFUNCTION("""COMPUTED_VALUE"""),"REJECT")</f>
        <v>REJECT</v>
      </c>
      <c r="R751" s="66"/>
      <c r="S751" s="66"/>
      <c r="T751" s="66"/>
      <c r="U751" s="66"/>
      <c r="V751" s="66"/>
      <c r="W751" s="66"/>
      <c r="X751" s="66"/>
      <c r="Y751" s="66"/>
      <c r="Z751" s="66"/>
      <c r="AA751" s="66"/>
      <c r="AB751" s="66"/>
      <c r="AC751" s="66"/>
      <c r="AD751" s="66"/>
      <c r="AE751" s="66"/>
      <c r="AF751" s="66"/>
      <c r="AG751" s="66"/>
      <c r="AH751" s="66"/>
      <c r="AI751" s="66"/>
      <c r="AJ751" s="66"/>
      <c r="AK751" s="66"/>
      <c r="AL751" s="66"/>
      <c r="AM751" s="66"/>
      <c r="AN751" s="66"/>
      <c r="AO751" s="66"/>
    </row>
    <row r="752">
      <c r="A752" s="93"/>
      <c r="B752" s="85"/>
      <c r="C752" s="86"/>
      <c r="D752" s="93"/>
      <c r="E752" s="85"/>
      <c r="F752" s="85"/>
      <c r="G752" s="86"/>
      <c r="H752" s="78" t="str">
        <f>IFERROR(__xludf.DUMMYFUNCTION("""COMPUTED_VALUE"""),"")</f>
        <v/>
      </c>
      <c r="I752" s="85"/>
      <c r="J752" s="85"/>
      <c r="K752" s="85"/>
      <c r="L752" s="86" t="str">
        <f>IFERROR(__xludf.DUMMYFUNCTION("""COMPUTED_VALUE"""),"REJECT")</f>
        <v>REJECT</v>
      </c>
      <c r="M752" s="78" t="str">
        <f>IFERROR(__xludf.DUMMYFUNCTION("""COMPUTED_VALUE"""),"")</f>
        <v/>
      </c>
      <c r="N752" s="85"/>
      <c r="O752" s="85"/>
      <c r="P752" s="85"/>
      <c r="Q752" s="86" t="str">
        <f>IFERROR(__xludf.DUMMYFUNCTION("""COMPUTED_VALUE"""),"REJECT")</f>
        <v>REJECT</v>
      </c>
      <c r="R752" s="66"/>
      <c r="S752" s="66"/>
      <c r="T752" s="66"/>
      <c r="U752" s="66"/>
      <c r="V752" s="66"/>
      <c r="W752" s="66"/>
      <c r="X752" s="66"/>
      <c r="Y752" s="66"/>
      <c r="Z752" s="66"/>
      <c r="AA752" s="66"/>
      <c r="AB752" s="66"/>
      <c r="AC752" s="66"/>
      <c r="AD752" s="66"/>
      <c r="AE752" s="66"/>
      <c r="AF752" s="66"/>
      <c r="AG752" s="66"/>
      <c r="AH752" s="66"/>
      <c r="AI752" s="66"/>
      <c r="AJ752" s="66"/>
      <c r="AK752" s="66"/>
      <c r="AL752" s="66"/>
      <c r="AM752" s="66"/>
      <c r="AN752" s="66"/>
      <c r="AO752" s="66"/>
    </row>
    <row r="753">
      <c r="A753" s="93"/>
      <c r="B753" s="85"/>
      <c r="C753" s="86"/>
      <c r="D753" s="93"/>
      <c r="E753" s="85"/>
      <c r="F753" s="85"/>
      <c r="G753" s="86"/>
      <c r="H753" s="78" t="str">
        <f>IFERROR(__xludf.DUMMYFUNCTION("""COMPUTED_VALUE"""),"")</f>
        <v/>
      </c>
      <c r="I753" s="85"/>
      <c r="J753" s="85"/>
      <c r="K753" s="85"/>
      <c r="L753" s="86" t="str">
        <f>IFERROR(__xludf.DUMMYFUNCTION("""COMPUTED_VALUE"""),"REJECT")</f>
        <v>REJECT</v>
      </c>
      <c r="M753" s="78" t="str">
        <f>IFERROR(__xludf.DUMMYFUNCTION("""COMPUTED_VALUE"""),"")</f>
        <v/>
      </c>
      <c r="N753" s="85"/>
      <c r="O753" s="85"/>
      <c r="P753" s="85"/>
      <c r="Q753" s="86" t="str">
        <f>IFERROR(__xludf.DUMMYFUNCTION("""COMPUTED_VALUE"""),"REJECT")</f>
        <v>REJECT</v>
      </c>
      <c r="R753" s="66"/>
      <c r="S753" s="66"/>
      <c r="T753" s="66"/>
      <c r="U753" s="66"/>
      <c r="V753" s="66"/>
      <c r="W753" s="66"/>
      <c r="X753" s="66"/>
      <c r="Y753" s="66"/>
      <c r="Z753" s="66"/>
      <c r="AA753" s="66"/>
      <c r="AB753" s="66"/>
      <c r="AC753" s="66"/>
      <c r="AD753" s="66"/>
      <c r="AE753" s="66"/>
      <c r="AF753" s="66"/>
      <c r="AG753" s="66"/>
      <c r="AH753" s="66"/>
      <c r="AI753" s="66"/>
      <c r="AJ753" s="66"/>
      <c r="AK753" s="66"/>
      <c r="AL753" s="66"/>
      <c r="AM753" s="66"/>
      <c r="AN753" s="66"/>
      <c r="AO753" s="66"/>
    </row>
    <row r="754">
      <c r="A754" s="93"/>
      <c r="B754" s="85"/>
      <c r="C754" s="86"/>
      <c r="D754" s="93"/>
      <c r="E754" s="85"/>
      <c r="F754" s="85"/>
      <c r="G754" s="86"/>
      <c r="H754" s="78" t="str">
        <f>IFERROR(__xludf.DUMMYFUNCTION("""COMPUTED_VALUE"""),"")</f>
        <v/>
      </c>
      <c r="I754" s="85"/>
      <c r="J754" s="85"/>
      <c r="K754" s="85"/>
      <c r="L754" s="86" t="str">
        <f>IFERROR(__xludf.DUMMYFUNCTION("""COMPUTED_VALUE"""),"REJECT")</f>
        <v>REJECT</v>
      </c>
      <c r="M754" s="78" t="str">
        <f>IFERROR(__xludf.DUMMYFUNCTION("""COMPUTED_VALUE"""),"")</f>
        <v/>
      </c>
      <c r="N754" s="85"/>
      <c r="O754" s="85"/>
      <c r="P754" s="85"/>
      <c r="Q754" s="86" t="str">
        <f>IFERROR(__xludf.DUMMYFUNCTION("""COMPUTED_VALUE"""),"REJECT")</f>
        <v>REJECT</v>
      </c>
      <c r="R754" s="66"/>
      <c r="S754" s="66"/>
      <c r="T754" s="66"/>
      <c r="U754" s="66"/>
      <c r="V754" s="66"/>
      <c r="W754" s="66"/>
      <c r="X754" s="66"/>
      <c r="Y754" s="66"/>
      <c r="Z754" s="66"/>
      <c r="AA754" s="66"/>
      <c r="AB754" s="66"/>
      <c r="AC754" s="66"/>
      <c r="AD754" s="66"/>
      <c r="AE754" s="66"/>
      <c r="AF754" s="66"/>
      <c r="AG754" s="66"/>
      <c r="AH754" s="66"/>
      <c r="AI754" s="66"/>
      <c r="AJ754" s="66"/>
      <c r="AK754" s="66"/>
      <c r="AL754" s="66"/>
      <c r="AM754" s="66"/>
      <c r="AN754" s="66"/>
      <c r="AO754" s="66"/>
    </row>
    <row r="755">
      <c r="A755" s="93"/>
      <c r="B755" s="85"/>
      <c r="C755" s="86"/>
      <c r="D755" s="93"/>
      <c r="E755" s="85"/>
      <c r="F755" s="85"/>
      <c r="G755" s="86"/>
      <c r="H755" s="78" t="str">
        <f>IFERROR(__xludf.DUMMYFUNCTION("""COMPUTED_VALUE"""),"")</f>
        <v/>
      </c>
      <c r="I755" s="85"/>
      <c r="J755" s="85"/>
      <c r="K755" s="85"/>
      <c r="L755" s="86" t="str">
        <f>IFERROR(__xludf.DUMMYFUNCTION("""COMPUTED_VALUE"""),"REJECT")</f>
        <v>REJECT</v>
      </c>
      <c r="M755" s="78" t="str">
        <f>IFERROR(__xludf.DUMMYFUNCTION("""COMPUTED_VALUE"""),"")</f>
        <v/>
      </c>
      <c r="N755" s="85"/>
      <c r="O755" s="85"/>
      <c r="P755" s="85"/>
      <c r="Q755" s="86" t="str">
        <f>IFERROR(__xludf.DUMMYFUNCTION("""COMPUTED_VALUE"""),"REJECT")</f>
        <v>REJECT</v>
      </c>
      <c r="R755" s="66"/>
      <c r="S755" s="66"/>
      <c r="T755" s="66"/>
      <c r="U755" s="66"/>
      <c r="V755" s="66"/>
      <c r="W755" s="66"/>
      <c r="X755" s="66"/>
      <c r="Y755" s="66"/>
      <c r="Z755" s="66"/>
      <c r="AA755" s="66"/>
      <c r="AB755" s="66"/>
      <c r="AC755" s="66"/>
      <c r="AD755" s="66"/>
      <c r="AE755" s="66"/>
      <c r="AF755" s="66"/>
      <c r="AG755" s="66"/>
      <c r="AH755" s="66"/>
      <c r="AI755" s="66"/>
      <c r="AJ755" s="66"/>
      <c r="AK755" s="66"/>
      <c r="AL755" s="66"/>
      <c r="AM755" s="66"/>
      <c r="AN755" s="66"/>
      <c r="AO755" s="66"/>
    </row>
    <row r="756">
      <c r="A756" s="93"/>
      <c r="B756" s="85"/>
      <c r="C756" s="86"/>
      <c r="D756" s="93"/>
      <c r="E756" s="85"/>
      <c r="F756" s="85"/>
      <c r="G756" s="86"/>
      <c r="H756" s="78" t="str">
        <f>IFERROR(__xludf.DUMMYFUNCTION("""COMPUTED_VALUE"""),"")</f>
        <v/>
      </c>
      <c r="I756" s="85"/>
      <c r="J756" s="85"/>
      <c r="K756" s="85"/>
      <c r="L756" s="86" t="str">
        <f>IFERROR(__xludf.DUMMYFUNCTION("""COMPUTED_VALUE"""),"REJECT")</f>
        <v>REJECT</v>
      </c>
      <c r="M756" s="78" t="str">
        <f>IFERROR(__xludf.DUMMYFUNCTION("""COMPUTED_VALUE"""),"")</f>
        <v/>
      </c>
      <c r="N756" s="85"/>
      <c r="O756" s="85"/>
      <c r="P756" s="85"/>
      <c r="Q756" s="86" t="str">
        <f>IFERROR(__xludf.DUMMYFUNCTION("""COMPUTED_VALUE"""),"REJECT")</f>
        <v>REJECT</v>
      </c>
      <c r="R756" s="66"/>
      <c r="S756" s="66"/>
      <c r="T756" s="66"/>
      <c r="U756" s="66"/>
      <c r="V756" s="66"/>
      <c r="W756" s="66"/>
      <c r="X756" s="66"/>
      <c r="Y756" s="66"/>
      <c r="Z756" s="66"/>
      <c r="AA756" s="66"/>
      <c r="AB756" s="66"/>
      <c r="AC756" s="66"/>
      <c r="AD756" s="66"/>
      <c r="AE756" s="66"/>
      <c r="AF756" s="66"/>
      <c r="AG756" s="66"/>
      <c r="AH756" s="66"/>
      <c r="AI756" s="66"/>
      <c r="AJ756" s="66"/>
      <c r="AK756" s="66"/>
      <c r="AL756" s="66"/>
      <c r="AM756" s="66"/>
      <c r="AN756" s="66"/>
      <c r="AO756" s="66"/>
    </row>
    <row r="757">
      <c r="A757" s="93"/>
      <c r="B757" s="85"/>
      <c r="C757" s="86"/>
      <c r="D757" s="93"/>
      <c r="E757" s="85"/>
      <c r="F757" s="85"/>
      <c r="G757" s="86"/>
      <c r="H757" s="78" t="str">
        <f>IFERROR(__xludf.DUMMYFUNCTION("""COMPUTED_VALUE"""),"")</f>
        <v/>
      </c>
      <c r="I757" s="85"/>
      <c r="J757" s="85"/>
      <c r="K757" s="85"/>
      <c r="L757" s="86" t="str">
        <f>IFERROR(__xludf.DUMMYFUNCTION("""COMPUTED_VALUE"""),"REJECT")</f>
        <v>REJECT</v>
      </c>
      <c r="M757" s="78" t="str">
        <f>IFERROR(__xludf.DUMMYFUNCTION("""COMPUTED_VALUE"""),"")</f>
        <v/>
      </c>
      <c r="N757" s="85"/>
      <c r="O757" s="85"/>
      <c r="P757" s="85"/>
      <c r="Q757" s="86" t="str">
        <f>IFERROR(__xludf.DUMMYFUNCTION("""COMPUTED_VALUE"""),"REJECT")</f>
        <v>REJECT</v>
      </c>
      <c r="R757" s="66"/>
      <c r="S757" s="66"/>
      <c r="T757" s="66"/>
      <c r="U757" s="66"/>
      <c r="V757" s="66"/>
      <c r="W757" s="66"/>
      <c r="X757" s="66"/>
      <c r="Y757" s="66"/>
      <c r="Z757" s="66"/>
      <c r="AA757" s="66"/>
      <c r="AB757" s="66"/>
      <c r="AC757" s="66"/>
      <c r="AD757" s="66"/>
      <c r="AE757" s="66"/>
      <c r="AF757" s="66"/>
      <c r="AG757" s="66"/>
      <c r="AH757" s="66"/>
      <c r="AI757" s="66"/>
      <c r="AJ757" s="66"/>
      <c r="AK757" s="66"/>
      <c r="AL757" s="66"/>
      <c r="AM757" s="66"/>
      <c r="AN757" s="66"/>
      <c r="AO757" s="66"/>
    </row>
    <row r="758">
      <c r="A758" s="93"/>
      <c r="B758" s="85"/>
      <c r="C758" s="86"/>
      <c r="D758" s="93"/>
      <c r="E758" s="85"/>
      <c r="F758" s="85"/>
      <c r="G758" s="86"/>
      <c r="H758" s="78" t="str">
        <f>IFERROR(__xludf.DUMMYFUNCTION("""COMPUTED_VALUE"""),"")</f>
        <v/>
      </c>
      <c r="I758" s="85"/>
      <c r="J758" s="85"/>
      <c r="K758" s="85"/>
      <c r="L758" s="86" t="str">
        <f>IFERROR(__xludf.DUMMYFUNCTION("""COMPUTED_VALUE"""),"REJECT")</f>
        <v>REJECT</v>
      </c>
      <c r="M758" s="78" t="str">
        <f>IFERROR(__xludf.DUMMYFUNCTION("""COMPUTED_VALUE"""),"")</f>
        <v/>
      </c>
      <c r="N758" s="85"/>
      <c r="O758" s="85"/>
      <c r="P758" s="85"/>
      <c r="Q758" s="86" t="str">
        <f>IFERROR(__xludf.DUMMYFUNCTION("""COMPUTED_VALUE"""),"REJECT")</f>
        <v>REJECT</v>
      </c>
      <c r="R758" s="66"/>
      <c r="S758" s="66"/>
      <c r="T758" s="66"/>
      <c r="U758" s="66"/>
      <c r="V758" s="66"/>
      <c r="W758" s="66"/>
      <c r="X758" s="66"/>
      <c r="Y758" s="66"/>
      <c r="Z758" s="66"/>
      <c r="AA758" s="66"/>
      <c r="AB758" s="66"/>
      <c r="AC758" s="66"/>
      <c r="AD758" s="66"/>
      <c r="AE758" s="66"/>
      <c r="AF758" s="66"/>
      <c r="AG758" s="66"/>
      <c r="AH758" s="66"/>
      <c r="AI758" s="66"/>
      <c r="AJ758" s="66"/>
      <c r="AK758" s="66"/>
      <c r="AL758" s="66"/>
      <c r="AM758" s="66"/>
      <c r="AN758" s="66"/>
      <c r="AO758" s="66"/>
    </row>
    <row r="759">
      <c r="A759" s="93"/>
      <c r="B759" s="85"/>
      <c r="C759" s="86"/>
      <c r="D759" s="93"/>
      <c r="E759" s="85"/>
      <c r="F759" s="85"/>
      <c r="G759" s="86"/>
      <c r="H759" s="78" t="str">
        <f>IFERROR(__xludf.DUMMYFUNCTION("""COMPUTED_VALUE"""),"")</f>
        <v/>
      </c>
      <c r="I759" s="85"/>
      <c r="J759" s="85"/>
      <c r="K759" s="85"/>
      <c r="L759" s="86" t="str">
        <f>IFERROR(__xludf.DUMMYFUNCTION("""COMPUTED_VALUE"""),"REJECT")</f>
        <v>REJECT</v>
      </c>
      <c r="M759" s="78" t="str">
        <f>IFERROR(__xludf.DUMMYFUNCTION("""COMPUTED_VALUE"""),"")</f>
        <v/>
      </c>
      <c r="N759" s="85"/>
      <c r="O759" s="85"/>
      <c r="P759" s="85"/>
      <c r="Q759" s="86" t="str">
        <f>IFERROR(__xludf.DUMMYFUNCTION("""COMPUTED_VALUE"""),"REJECT")</f>
        <v>REJECT</v>
      </c>
      <c r="R759" s="66"/>
      <c r="S759" s="66"/>
      <c r="T759" s="66"/>
      <c r="U759" s="66"/>
      <c r="V759" s="66"/>
      <c r="W759" s="66"/>
      <c r="X759" s="66"/>
      <c r="Y759" s="66"/>
      <c r="Z759" s="66"/>
      <c r="AA759" s="66"/>
      <c r="AB759" s="66"/>
      <c r="AC759" s="66"/>
      <c r="AD759" s="66"/>
      <c r="AE759" s="66"/>
      <c r="AF759" s="66"/>
      <c r="AG759" s="66"/>
      <c r="AH759" s="66"/>
      <c r="AI759" s="66"/>
      <c r="AJ759" s="66"/>
      <c r="AK759" s="66"/>
      <c r="AL759" s="66"/>
      <c r="AM759" s="66"/>
      <c r="AN759" s="66"/>
      <c r="AO759" s="66"/>
    </row>
    <row r="760">
      <c r="A760" s="93"/>
      <c r="B760" s="85"/>
      <c r="C760" s="86"/>
      <c r="D760" s="93"/>
      <c r="E760" s="85"/>
      <c r="F760" s="85"/>
      <c r="G760" s="86"/>
      <c r="H760" s="78" t="str">
        <f>IFERROR(__xludf.DUMMYFUNCTION("""COMPUTED_VALUE"""),"")</f>
        <v/>
      </c>
      <c r="I760" s="85"/>
      <c r="J760" s="85"/>
      <c r="K760" s="85"/>
      <c r="L760" s="86" t="str">
        <f>IFERROR(__xludf.DUMMYFUNCTION("""COMPUTED_VALUE"""),"REJECT")</f>
        <v>REJECT</v>
      </c>
      <c r="M760" s="78" t="str">
        <f>IFERROR(__xludf.DUMMYFUNCTION("""COMPUTED_VALUE"""),"")</f>
        <v/>
      </c>
      <c r="N760" s="85"/>
      <c r="O760" s="85"/>
      <c r="P760" s="85"/>
      <c r="Q760" s="86" t="str">
        <f>IFERROR(__xludf.DUMMYFUNCTION("""COMPUTED_VALUE"""),"REJECT")</f>
        <v>REJECT</v>
      </c>
      <c r="R760" s="66"/>
      <c r="S760" s="66"/>
      <c r="T760" s="66"/>
      <c r="U760" s="66"/>
      <c r="V760" s="66"/>
      <c r="W760" s="66"/>
      <c r="X760" s="66"/>
      <c r="Y760" s="66"/>
      <c r="Z760" s="66"/>
      <c r="AA760" s="66"/>
      <c r="AB760" s="66"/>
      <c r="AC760" s="66"/>
      <c r="AD760" s="66"/>
      <c r="AE760" s="66"/>
      <c r="AF760" s="66"/>
      <c r="AG760" s="66"/>
      <c r="AH760" s="66"/>
      <c r="AI760" s="66"/>
      <c r="AJ760" s="66"/>
      <c r="AK760" s="66"/>
      <c r="AL760" s="66"/>
      <c r="AM760" s="66"/>
      <c r="AN760" s="66"/>
      <c r="AO760" s="66"/>
    </row>
    <row r="761">
      <c r="A761" s="93"/>
      <c r="B761" s="85"/>
      <c r="C761" s="86"/>
      <c r="D761" s="93"/>
      <c r="E761" s="85"/>
      <c r="F761" s="85"/>
      <c r="G761" s="86"/>
      <c r="H761" s="78" t="str">
        <f>IFERROR(__xludf.DUMMYFUNCTION("""COMPUTED_VALUE"""),"")</f>
        <v/>
      </c>
      <c r="I761" s="85"/>
      <c r="J761" s="85"/>
      <c r="K761" s="85"/>
      <c r="L761" s="86" t="str">
        <f>IFERROR(__xludf.DUMMYFUNCTION("""COMPUTED_VALUE"""),"REJECT")</f>
        <v>REJECT</v>
      </c>
      <c r="M761" s="78" t="str">
        <f>IFERROR(__xludf.DUMMYFUNCTION("""COMPUTED_VALUE"""),"")</f>
        <v/>
      </c>
      <c r="N761" s="85"/>
      <c r="O761" s="85"/>
      <c r="P761" s="85"/>
      <c r="Q761" s="86" t="str">
        <f>IFERROR(__xludf.DUMMYFUNCTION("""COMPUTED_VALUE"""),"REJECT")</f>
        <v>REJECT</v>
      </c>
      <c r="R761" s="66"/>
      <c r="S761" s="66"/>
      <c r="T761" s="66"/>
      <c r="U761" s="66"/>
      <c r="V761" s="66"/>
      <c r="W761" s="66"/>
      <c r="X761" s="66"/>
      <c r="Y761" s="66"/>
      <c r="Z761" s="66"/>
      <c r="AA761" s="66"/>
      <c r="AB761" s="66"/>
      <c r="AC761" s="66"/>
      <c r="AD761" s="66"/>
      <c r="AE761" s="66"/>
      <c r="AF761" s="66"/>
      <c r="AG761" s="66"/>
      <c r="AH761" s="66"/>
      <c r="AI761" s="66"/>
      <c r="AJ761" s="66"/>
      <c r="AK761" s="66"/>
      <c r="AL761" s="66"/>
      <c r="AM761" s="66"/>
      <c r="AN761" s="66"/>
      <c r="AO761" s="66"/>
    </row>
    <row r="762">
      <c r="A762" s="93"/>
      <c r="B762" s="85"/>
      <c r="C762" s="86"/>
      <c r="D762" s="93"/>
      <c r="E762" s="85"/>
      <c r="F762" s="85"/>
      <c r="G762" s="86"/>
      <c r="H762" s="78" t="str">
        <f>IFERROR(__xludf.DUMMYFUNCTION("""COMPUTED_VALUE"""),"")</f>
        <v/>
      </c>
      <c r="I762" s="85"/>
      <c r="J762" s="85"/>
      <c r="K762" s="85"/>
      <c r="L762" s="86" t="str">
        <f>IFERROR(__xludf.DUMMYFUNCTION("""COMPUTED_VALUE"""),"REJECT")</f>
        <v>REJECT</v>
      </c>
      <c r="M762" s="78" t="str">
        <f>IFERROR(__xludf.DUMMYFUNCTION("""COMPUTED_VALUE"""),"")</f>
        <v/>
      </c>
      <c r="N762" s="85"/>
      <c r="O762" s="85"/>
      <c r="P762" s="85"/>
      <c r="Q762" s="86" t="str">
        <f>IFERROR(__xludf.DUMMYFUNCTION("""COMPUTED_VALUE"""),"REJECT")</f>
        <v>REJECT</v>
      </c>
      <c r="R762" s="66"/>
      <c r="S762" s="66"/>
      <c r="T762" s="66"/>
      <c r="U762" s="66"/>
      <c r="V762" s="66"/>
      <c r="W762" s="66"/>
      <c r="X762" s="66"/>
      <c r="Y762" s="66"/>
      <c r="Z762" s="66"/>
      <c r="AA762" s="66"/>
      <c r="AB762" s="66"/>
      <c r="AC762" s="66"/>
      <c r="AD762" s="66"/>
      <c r="AE762" s="66"/>
      <c r="AF762" s="66"/>
      <c r="AG762" s="66"/>
      <c r="AH762" s="66"/>
      <c r="AI762" s="66"/>
      <c r="AJ762" s="66"/>
      <c r="AK762" s="66"/>
      <c r="AL762" s="66"/>
      <c r="AM762" s="66"/>
      <c r="AN762" s="66"/>
      <c r="AO762" s="66"/>
    </row>
    <row r="763">
      <c r="A763" s="93"/>
      <c r="B763" s="85"/>
      <c r="C763" s="86"/>
      <c r="D763" s="93"/>
      <c r="E763" s="85"/>
      <c r="F763" s="85"/>
      <c r="G763" s="86"/>
      <c r="H763" s="78" t="str">
        <f>IFERROR(__xludf.DUMMYFUNCTION("""COMPUTED_VALUE"""),"")</f>
        <v/>
      </c>
      <c r="I763" s="85"/>
      <c r="J763" s="85"/>
      <c r="K763" s="85"/>
      <c r="L763" s="86" t="str">
        <f>IFERROR(__xludf.DUMMYFUNCTION("""COMPUTED_VALUE"""),"REJECT")</f>
        <v>REJECT</v>
      </c>
      <c r="M763" s="78" t="str">
        <f>IFERROR(__xludf.DUMMYFUNCTION("""COMPUTED_VALUE"""),"")</f>
        <v/>
      </c>
      <c r="N763" s="85"/>
      <c r="O763" s="85"/>
      <c r="P763" s="85"/>
      <c r="Q763" s="86" t="str">
        <f>IFERROR(__xludf.DUMMYFUNCTION("""COMPUTED_VALUE"""),"REJECT")</f>
        <v>REJECT</v>
      </c>
      <c r="R763" s="66"/>
      <c r="S763" s="66"/>
      <c r="T763" s="66"/>
      <c r="U763" s="66"/>
      <c r="V763" s="66"/>
      <c r="W763" s="66"/>
      <c r="X763" s="66"/>
      <c r="Y763" s="66"/>
      <c r="Z763" s="66"/>
      <c r="AA763" s="66"/>
      <c r="AB763" s="66"/>
      <c r="AC763" s="66"/>
      <c r="AD763" s="66"/>
      <c r="AE763" s="66"/>
      <c r="AF763" s="66"/>
      <c r="AG763" s="66"/>
      <c r="AH763" s="66"/>
      <c r="AI763" s="66"/>
      <c r="AJ763" s="66"/>
      <c r="AK763" s="66"/>
      <c r="AL763" s="66"/>
      <c r="AM763" s="66"/>
      <c r="AN763" s="66"/>
      <c r="AO763" s="66"/>
    </row>
    <row r="764">
      <c r="A764" s="93"/>
      <c r="B764" s="85"/>
      <c r="C764" s="86"/>
      <c r="D764" s="93"/>
      <c r="E764" s="85"/>
      <c r="F764" s="85"/>
      <c r="G764" s="86"/>
      <c r="H764" s="78" t="str">
        <f>IFERROR(__xludf.DUMMYFUNCTION("""COMPUTED_VALUE"""),"")</f>
        <v/>
      </c>
      <c r="I764" s="85"/>
      <c r="J764" s="85"/>
      <c r="K764" s="85"/>
      <c r="L764" s="86" t="str">
        <f>IFERROR(__xludf.DUMMYFUNCTION("""COMPUTED_VALUE"""),"REJECT")</f>
        <v>REJECT</v>
      </c>
      <c r="M764" s="78" t="str">
        <f>IFERROR(__xludf.DUMMYFUNCTION("""COMPUTED_VALUE"""),"")</f>
        <v/>
      </c>
      <c r="N764" s="85"/>
      <c r="O764" s="85"/>
      <c r="P764" s="85"/>
      <c r="Q764" s="86" t="str">
        <f>IFERROR(__xludf.DUMMYFUNCTION("""COMPUTED_VALUE"""),"REJECT")</f>
        <v>REJECT</v>
      </c>
      <c r="R764" s="66"/>
      <c r="S764" s="66"/>
      <c r="T764" s="66"/>
      <c r="U764" s="66"/>
      <c r="V764" s="66"/>
      <c r="W764" s="66"/>
      <c r="X764" s="66"/>
      <c r="Y764" s="66"/>
      <c r="Z764" s="66"/>
      <c r="AA764" s="66"/>
      <c r="AB764" s="66"/>
      <c r="AC764" s="66"/>
      <c r="AD764" s="66"/>
      <c r="AE764" s="66"/>
      <c r="AF764" s="66"/>
      <c r="AG764" s="66"/>
      <c r="AH764" s="66"/>
      <c r="AI764" s="66"/>
      <c r="AJ764" s="66"/>
      <c r="AK764" s="66"/>
      <c r="AL764" s="66"/>
      <c r="AM764" s="66"/>
      <c r="AN764" s="66"/>
      <c r="AO764" s="66"/>
    </row>
    <row r="765">
      <c r="A765" s="93"/>
      <c r="B765" s="85"/>
      <c r="C765" s="86"/>
      <c r="D765" s="93"/>
      <c r="E765" s="85"/>
      <c r="F765" s="85"/>
      <c r="G765" s="86"/>
      <c r="H765" s="78" t="str">
        <f>IFERROR(__xludf.DUMMYFUNCTION("""COMPUTED_VALUE"""),"")</f>
        <v/>
      </c>
      <c r="I765" s="85"/>
      <c r="J765" s="85"/>
      <c r="K765" s="85"/>
      <c r="L765" s="86" t="str">
        <f>IFERROR(__xludf.DUMMYFUNCTION("""COMPUTED_VALUE"""),"REJECT")</f>
        <v>REJECT</v>
      </c>
      <c r="M765" s="78" t="str">
        <f>IFERROR(__xludf.DUMMYFUNCTION("""COMPUTED_VALUE"""),"")</f>
        <v/>
      </c>
      <c r="N765" s="85"/>
      <c r="O765" s="85"/>
      <c r="P765" s="85"/>
      <c r="Q765" s="86" t="str">
        <f>IFERROR(__xludf.DUMMYFUNCTION("""COMPUTED_VALUE"""),"REJECT")</f>
        <v>REJECT</v>
      </c>
      <c r="R765" s="66"/>
      <c r="S765" s="66"/>
      <c r="T765" s="66"/>
      <c r="U765" s="66"/>
      <c r="V765" s="66"/>
      <c r="W765" s="66"/>
      <c r="X765" s="66"/>
      <c r="Y765" s="66"/>
      <c r="Z765" s="66"/>
      <c r="AA765" s="66"/>
      <c r="AB765" s="66"/>
      <c r="AC765" s="66"/>
      <c r="AD765" s="66"/>
      <c r="AE765" s="66"/>
      <c r="AF765" s="66"/>
      <c r="AG765" s="66"/>
      <c r="AH765" s="66"/>
      <c r="AI765" s="66"/>
      <c r="AJ765" s="66"/>
      <c r="AK765" s="66"/>
      <c r="AL765" s="66"/>
      <c r="AM765" s="66"/>
      <c r="AN765" s="66"/>
      <c r="AO765" s="66"/>
    </row>
    <row r="766">
      <c r="A766" s="93"/>
      <c r="B766" s="85"/>
      <c r="C766" s="86"/>
      <c r="D766" s="93"/>
      <c r="E766" s="85"/>
      <c r="F766" s="85"/>
      <c r="G766" s="86"/>
      <c r="H766" s="78" t="str">
        <f>IFERROR(__xludf.DUMMYFUNCTION("""COMPUTED_VALUE"""),"")</f>
        <v/>
      </c>
      <c r="I766" s="85"/>
      <c r="J766" s="85"/>
      <c r="K766" s="85"/>
      <c r="L766" s="86" t="str">
        <f>IFERROR(__xludf.DUMMYFUNCTION("""COMPUTED_VALUE"""),"REJECT")</f>
        <v>REJECT</v>
      </c>
      <c r="M766" s="78" t="str">
        <f>IFERROR(__xludf.DUMMYFUNCTION("""COMPUTED_VALUE"""),"")</f>
        <v/>
      </c>
      <c r="N766" s="85"/>
      <c r="O766" s="85"/>
      <c r="P766" s="85"/>
      <c r="Q766" s="86" t="str">
        <f>IFERROR(__xludf.DUMMYFUNCTION("""COMPUTED_VALUE"""),"REJECT")</f>
        <v>REJECT</v>
      </c>
      <c r="R766" s="66"/>
      <c r="S766" s="66"/>
      <c r="T766" s="66"/>
      <c r="U766" s="66"/>
      <c r="V766" s="66"/>
      <c r="W766" s="66"/>
      <c r="X766" s="66"/>
      <c r="Y766" s="66"/>
      <c r="Z766" s="66"/>
      <c r="AA766" s="66"/>
      <c r="AB766" s="66"/>
      <c r="AC766" s="66"/>
      <c r="AD766" s="66"/>
      <c r="AE766" s="66"/>
      <c r="AF766" s="66"/>
      <c r="AG766" s="66"/>
      <c r="AH766" s="66"/>
      <c r="AI766" s="66"/>
      <c r="AJ766" s="66"/>
      <c r="AK766" s="66"/>
      <c r="AL766" s="66"/>
      <c r="AM766" s="66"/>
      <c r="AN766" s="66"/>
      <c r="AO766" s="66"/>
    </row>
    <row r="767">
      <c r="A767" s="93"/>
      <c r="B767" s="85"/>
      <c r="C767" s="86"/>
      <c r="D767" s="93"/>
      <c r="E767" s="85"/>
      <c r="F767" s="85"/>
      <c r="G767" s="86"/>
      <c r="H767" s="78" t="str">
        <f>IFERROR(__xludf.DUMMYFUNCTION("""COMPUTED_VALUE"""),"")</f>
        <v/>
      </c>
      <c r="I767" s="85"/>
      <c r="J767" s="85"/>
      <c r="K767" s="85"/>
      <c r="L767" s="86" t="str">
        <f>IFERROR(__xludf.DUMMYFUNCTION("""COMPUTED_VALUE"""),"REJECT")</f>
        <v>REJECT</v>
      </c>
      <c r="M767" s="78" t="str">
        <f>IFERROR(__xludf.DUMMYFUNCTION("""COMPUTED_VALUE"""),"")</f>
        <v/>
      </c>
      <c r="N767" s="85"/>
      <c r="O767" s="85"/>
      <c r="P767" s="85"/>
      <c r="Q767" s="86" t="str">
        <f>IFERROR(__xludf.DUMMYFUNCTION("""COMPUTED_VALUE"""),"REJECT")</f>
        <v>REJECT</v>
      </c>
      <c r="R767" s="66"/>
      <c r="S767" s="66"/>
      <c r="T767" s="66"/>
      <c r="U767" s="66"/>
      <c r="V767" s="66"/>
      <c r="W767" s="66"/>
      <c r="X767" s="66"/>
      <c r="Y767" s="66"/>
      <c r="Z767" s="66"/>
      <c r="AA767" s="66"/>
      <c r="AB767" s="66"/>
      <c r="AC767" s="66"/>
      <c r="AD767" s="66"/>
      <c r="AE767" s="66"/>
      <c r="AF767" s="66"/>
      <c r="AG767" s="66"/>
      <c r="AH767" s="66"/>
      <c r="AI767" s="66"/>
      <c r="AJ767" s="66"/>
      <c r="AK767" s="66"/>
      <c r="AL767" s="66"/>
      <c r="AM767" s="66"/>
      <c r="AN767" s="66"/>
      <c r="AO767" s="66"/>
    </row>
    <row r="768">
      <c r="A768" s="93"/>
      <c r="B768" s="85"/>
      <c r="C768" s="86"/>
      <c r="D768" s="93"/>
      <c r="E768" s="85"/>
      <c r="F768" s="85"/>
      <c r="G768" s="86"/>
      <c r="H768" s="78" t="str">
        <f>IFERROR(__xludf.DUMMYFUNCTION("""COMPUTED_VALUE"""),"")</f>
        <v/>
      </c>
      <c r="I768" s="85"/>
      <c r="J768" s="85"/>
      <c r="K768" s="85"/>
      <c r="L768" s="86" t="str">
        <f>IFERROR(__xludf.DUMMYFUNCTION("""COMPUTED_VALUE"""),"REJECT")</f>
        <v>REJECT</v>
      </c>
      <c r="M768" s="78" t="str">
        <f>IFERROR(__xludf.DUMMYFUNCTION("""COMPUTED_VALUE"""),"")</f>
        <v/>
      </c>
      <c r="N768" s="85"/>
      <c r="O768" s="85"/>
      <c r="P768" s="85"/>
      <c r="Q768" s="86" t="str">
        <f>IFERROR(__xludf.DUMMYFUNCTION("""COMPUTED_VALUE"""),"REJECT")</f>
        <v>REJECT</v>
      </c>
      <c r="R768" s="66"/>
      <c r="S768" s="66"/>
      <c r="T768" s="66"/>
      <c r="U768" s="66"/>
      <c r="V768" s="66"/>
      <c r="W768" s="66"/>
      <c r="X768" s="66"/>
      <c r="Y768" s="66"/>
      <c r="Z768" s="66"/>
      <c r="AA768" s="66"/>
      <c r="AB768" s="66"/>
      <c r="AC768" s="66"/>
      <c r="AD768" s="66"/>
      <c r="AE768" s="66"/>
      <c r="AF768" s="66"/>
      <c r="AG768" s="66"/>
      <c r="AH768" s="66"/>
      <c r="AI768" s="66"/>
      <c r="AJ768" s="66"/>
      <c r="AK768" s="66"/>
      <c r="AL768" s="66"/>
      <c r="AM768" s="66"/>
      <c r="AN768" s="66"/>
      <c r="AO768" s="66"/>
    </row>
    <row r="769">
      <c r="A769" s="93"/>
      <c r="B769" s="85"/>
      <c r="C769" s="86"/>
      <c r="D769" s="93"/>
      <c r="E769" s="85"/>
      <c r="F769" s="85"/>
      <c r="G769" s="86"/>
      <c r="H769" s="78" t="str">
        <f>IFERROR(__xludf.DUMMYFUNCTION("""COMPUTED_VALUE"""),"")</f>
        <v/>
      </c>
      <c r="I769" s="85"/>
      <c r="J769" s="85"/>
      <c r="K769" s="85"/>
      <c r="L769" s="86" t="str">
        <f>IFERROR(__xludf.DUMMYFUNCTION("""COMPUTED_VALUE"""),"REJECT")</f>
        <v>REJECT</v>
      </c>
      <c r="M769" s="78" t="str">
        <f>IFERROR(__xludf.DUMMYFUNCTION("""COMPUTED_VALUE"""),"")</f>
        <v/>
      </c>
      <c r="N769" s="85"/>
      <c r="O769" s="85"/>
      <c r="P769" s="85"/>
      <c r="Q769" s="86" t="str">
        <f>IFERROR(__xludf.DUMMYFUNCTION("""COMPUTED_VALUE"""),"REJECT")</f>
        <v>REJECT</v>
      </c>
      <c r="R769" s="66"/>
      <c r="S769" s="66"/>
      <c r="T769" s="66"/>
      <c r="U769" s="66"/>
      <c r="V769" s="66"/>
      <c r="W769" s="66"/>
      <c r="X769" s="66"/>
      <c r="Y769" s="66"/>
      <c r="Z769" s="66"/>
      <c r="AA769" s="66"/>
      <c r="AB769" s="66"/>
      <c r="AC769" s="66"/>
      <c r="AD769" s="66"/>
      <c r="AE769" s="66"/>
      <c r="AF769" s="66"/>
      <c r="AG769" s="66"/>
      <c r="AH769" s="66"/>
      <c r="AI769" s="66"/>
      <c r="AJ769" s="66"/>
      <c r="AK769" s="66"/>
      <c r="AL769" s="66"/>
      <c r="AM769" s="66"/>
      <c r="AN769" s="66"/>
      <c r="AO769" s="66"/>
    </row>
    <row r="770">
      <c r="A770" s="93"/>
      <c r="B770" s="85"/>
      <c r="C770" s="86"/>
      <c r="D770" s="93"/>
      <c r="E770" s="85"/>
      <c r="F770" s="85"/>
      <c r="G770" s="86"/>
      <c r="H770" s="78" t="str">
        <f>IFERROR(__xludf.DUMMYFUNCTION("""COMPUTED_VALUE"""),"")</f>
        <v/>
      </c>
      <c r="I770" s="85"/>
      <c r="J770" s="85"/>
      <c r="K770" s="85"/>
      <c r="L770" s="86" t="str">
        <f>IFERROR(__xludf.DUMMYFUNCTION("""COMPUTED_VALUE"""),"REJECT")</f>
        <v>REJECT</v>
      </c>
      <c r="M770" s="78" t="str">
        <f>IFERROR(__xludf.DUMMYFUNCTION("""COMPUTED_VALUE"""),"")</f>
        <v/>
      </c>
      <c r="N770" s="85"/>
      <c r="O770" s="85"/>
      <c r="P770" s="85"/>
      <c r="Q770" s="86" t="str">
        <f>IFERROR(__xludf.DUMMYFUNCTION("""COMPUTED_VALUE"""),"REJECT")</f>
        <v>REJECT</v>
      </c>
      <c r="R770" s="66"/>
      <c r="S770" s="66"/>
      <c r="T770" s="66"/>
      <c r="U770" s="66"/>
      <c r="V770" s="66"/>
      <c r="W770" s="66"/>
      <c r="X770" s="66"/>
      <c r="Y770" s="66"/>
      <c r="Z770" s="66"/>
      <c r="AA770" s="66"/>
      <c r="AB770" s="66"/>
      <c r="AC770" s="66"/>
      <c r="AD770" s="66"/>
      <c r="AE770" s="66"/>
      <c r="AF770" s="66"/>
      <c r="AG770" s="66"/>
      <c r="AH770" s="66"/>
      <c r="AI770" s="66"/>
      <c r="AJ770" s="66"/>
      <c r="AK770" s="66"/>
      <c r="AL770" s="66"/>
      <c r="AM770" s="66"/>
      <c r="AN770" s="66"/>
      <c r="AO770" s="66"/>
    </row>
    <row r="771">
      <c r="A771" s="93"/>
      <c r="B771" s="85"/>
      <c r="C771" s="86"/>
      <c r="D771" s="93"/>
      <c r="E771" s="85"/>
      <c r="F771" s="85"/>
      <c r="G771" s="86"/>
      <c r="H771" s="78" t="str">
        <f>IFERROR(__xludf.DUMMYFUNCTION("""COMPUTED_VALUE"""),"")</f>
        <v/>
      </c>
      <c r="I771" s="85"/>
      <c r="J771" s="85"/>
      <c r="K771" s="85"/>
      <c r="L771" s="86" t="str">
        <f>IFERROR(__xludf.DUMMYFUNCTION("""COMPUTED_VALUE"""),"REJECT")</f>
        <v>REJECT</v>
      </c>
      <c r="M771" s="78" t="str">
        <f>IFERROR(__xludf.DUMMYFUNCTION("""COMPUTED_VALUE"""),"")</f>
        <v/>
      </c>
      <c r="N771" s="85"/>
      <c r="O771" s="85"/>
      <c r="P771" s="85"/>
      <c r="Q771" s="86" t="str">
        <f>IFERROR(__xludf.DUMMYFUNCTION("""COMPUTED_VALUE"""),"REJECT")</f>
        <v>REJECT</v>
      </c>
      <c r="R771" s="66"/>
      <c r="S771" s="66"/>
      <c r="T771" s="66"/>
      <c r="U771" s="66"/>
      <c r="V771" s="66"/>
      <c r="W771" s="66"/>
      <c r="X771" s="66"/>
      <c r="Y771" s="66"/>
      <c r="Z771" s="66"/>
      <c r="AA771" s="66"/>
      <c r="AB771" s="66"/>
      <c r="AC771" s="66"/>
      <c r="AD771" s="66"/>
      <c r="AE771" s="66"/>
      <c r="AF771" s="66"/>
      <c r="AG771" s="66"/>
      <c r="AH771" s="66"/>
      <c r="AI771" s="66"/>
      <c r="AJ771" s="66"/>
      <c r="AK771" s="66"/>
      <c r="AL771" s="66"/>
      <c r="AM771" s="66"/>
      <c r="AN771" s="66"/>
      <c r="AO771" s="66"/>
    </row>
    <row r="772">
      <c r="A772" s="93"/>
      <c r="B772" s="85"/>
      <c r="C772" s="86"/>
      <c r="D772" s="93"/>
      <c r="E772" s="85"/>
      <c r="F772" s="85"/>
      <c r="G772" s="86"/>
      <c r="H772" s="78" t="str">
        <f>IFERROR(__xludf.DUMMYFUNCTION("""COMPUTED_VALUE"""),"")</f>
        <v/>
      </c>
      <c r="I772" s="85"/>
      <c r="J772" s="85"/>
      <c r="K772" s="85"/>
      <c r="L772" s="86" t="str">
        <f>IFERROR(__xludf.DUMMYFUNCTION("""COMPUTED_VALUE"""),"REJECT")</f>
        <v>REJECT</v>
      </c>
      <c r="M772" s="78" t="str">
        <f>IFERROR(__xludf.DUMMYFUNCTION("""COMPUTED_VALUE"""),"")</f>
        <v/>
      </c>
      <c r="N772" s="85"/>
      <c r="O772" s="85"/>
      <c r="P772" s="85"/>
      <c r="Q772" s="86" t="str">
        <f>IFERROR(__xludf.DUMMYFUNCTION("""COMPUTED_VALUE"""),"REJECT")</f>
        <v>REJECT</v>
      </c>
      <c r="R772" s="66"/>
      <c r="S772" s="66"/>
      <c r="T772" s="66"/>
      <c r="U772" s="66"/>
      <c r="V772" s="66"/>
      <c r="W772" s="66"/>
      <c r="X772" s="66"/>
      <c r="Y772" s="66"/>
      <c r="Z772" s="66"/>
      <c r="AA772" s="66"/>
      <c r="AB772" s="66"/>
      <c r="AC772" s="66"/>
      <c r="AD772" s="66"/>
      <c r="AE772" s="66"/>
      <c r="AF772" s="66"/>
      <c r="AG772" s="66"/>
      <c r="AH772" s="66"/>
      <c r="AI772" s="66"/>
      <c r="AJ772" s="66"/>
      <c r="AK772" s="66"/>
      <c r="AL772" s="66"/>
      <c r="AM772" s="66"/>
      <c r="AN772" s="66"/>
      <c r="AO772" s="66"/>
    </row>
    <row r="773">
      <c r="A773" s="93"/>
      <c r="B773" s="85"/>
      <c r="C773" s="86"/>
      <c r="D773" s="93"/>
      <c r="E773" s="85"/>
      <c r="F773" s="85"/>
      <c r="G773" s="86"/>
      <c r="H773" s="78" t="str">
        <f>IFERROR(__xludf.DUMMYFUNCTION("""COMPUTED_VALUE"""),"")</f>
        <v/>
      </c>
      <c r="I773" s="85"/>
      <c r="J773" s="85"/>
      <c r="K773" s="85"/>
      <c r="L773" s="86" t="str">
        <f>IFERROR(__xludf.DUMMYFUNCTION("""COMPUTED_VALUE"""),"REJECT")</f>
        <v>REJECT</v>
      </c>
      <c r="M773" s="78" t="str">
        <f>IFERROR(__xludf.DUMMYFUNCTION("""COMPUTED_VALUE"""),"")</f>
        <v/>
      </c>
      <c r="N773" s="85"/>
      <c r="O773" s="85"/>
      <c r="P773" s="85"/>
      <c r="Q773" s="86" t="str">
        <f>IFERROR(__xludf.DUMMYFUNCTION("""COMPUTED_VALUE"""),"REJECT")</f>
        <v>REJECT</v>
      </c>
      <c r="R773" s="66"/>
      <c r="S773" s="66"/>
      <c r="T773" s="66"/>
      <c r="U773" s="66"/>
      <c r="V773" s="66"/>
      <c r="W773" s="66"/>
      <c r="X773" s="66"/>
      <c r="Y773" s="66"/>
      <c r="Z773" s="66"/>
      <c r="AA773" s="66"/>
      <c r="AB773" s="66"/>
      <c r="AC773" s="66"/>
      <c r="AD773" s="66"/>
      <c r="AE773" s="66"/>
      <c r="AF773" s="66"/>
      <c r="AG773" s="66"/>
      <c r="AH773" s="66"/>
      <c r="AI773" s="66"/>
      <c r="AJ773" s="66"/>
      <c r="AK773" s="66"/>
      <c r="AL773" s="66"/>
      <c r="AM773" s="66"/>
      <c r="AN773" s="66"/>
      <c r="AO773" s="66"/>
    </row>
    <row r="774">
      <c r="A774" s="93"/>
      <c r="B774" s="85"/>
      <c r="C774" s="86"/>
      <c r="D774" s="93"/>
      <c r="E774" s="85"/>
      <c r="F774" s="85"/>
      <c r="G774" s="86"/>
      <c r="H774" s="78" t="str">
        <f>IFERROR(__xludf.DUMMYFUNCTION("""COMPUTED_VALUE"""),"")</f>
        <v/>
      </c>
      <c r="I774" s="85"/>
      <c r="J774" s="85"/>
      <c r="K774" s="85"/>
      <c r="L774" s="86" t="str">
        <f>IFERROR(__xludf.DUMMYFUNCTION("""COMPUTED_VALUE"""),"REJECT")</f>
        <v>REJECT</v>
      </c>
      <c r="M774" s="78" t="str">
        <f>IFERROR(__xludf.DUMMYFUNCTION("""COMPUTED_VALUE"""),"")</f>
        <v/>
      </c>
      <c r="N774" s="85"/>
      <c r="O774" s="85"/>
      <c r="P774" s="85"/>
      <c r="Q774" s="86" t="str">
        <f>IFERROR(__xludf.DUMMYFUNCTION("""COMPUTED_VALUE"""),"REJECT")</f>
        <v>REJECT</v>
      </c>
      <c r="R774" s="66"/>
      <c r="S774" s="66"/>
      <c r="T774" s="66"/>
      <c r="U774" s="66"/>
      <c r="V774" s="66"/>
      <c r="W774" s="66"/>
      <c r="X774" s="66"/>
      <c r="Y774" s="66"/>
      <c r="Z774" s="66"/>
      <c r="AA774" s="66"/>
      <c r="AB774" s="66"/>
      <c r="AC774" s="66"/>
      <c r="AD774" s="66"/>
      <c r="AE774" s="66"/>
      <c r="AF774" s="66"/>
      <c r="AG774" s="66"/>
      <c r="AH774" s="66"/>
      <c r="AI774" s="66"/>
      <c r="AJ774" s="66"/>
      <c r="AK774" s="66"/>
      <c r="AL774" s="66"/>
      <c r="AM774" s="66"/>
      <c r="AN774" s="66"/>
      <c r="AO774" s="66"/>
    </row>
    <row r="775">
      <c r="A775" s="93"/>
      <c r="B775" s="85"/>
      <c r="C775" s="86"/>
      <c r="D775" s="93"/>
      <c r="E775" s="85"/>
      <c r="F775" s="85"/>
      <c r="G775" s="86"/>
      <c r="H775" s="78" t="str">
        <f>IFERROR(__xludf.DUMMYFUNCTION("""COMPUTED_VALUE"""),"")</f>
        <v/>
      </c>
      <c r="I775" s="85"/>
      <c r="J775" s="85"/>
      <c r="K775" s="85"/>
      <c r="L775" s="86" t="str">
        <f>IFERROR(__xludf.DUMMYFUNCTION("""COMPUTED_VALUE"""),"REJECT")</f>
        <v>REJECT</v>
      </c>
      <c r="M775" s="78" t="str">
        <f>IFERROR(__xludf.DUMMYFUNCTION("""COMPUTED_VALUE"""),"")</f>
        <v/>
      </c>
      <c r="N775" s="85"/>
      <c r="O775" s="85"/>
      <c r="P775" s="85"/>
      <c r="Q775" s="86" t="str">
        <f>IFERROR(__xludf.DUMMYFUNCTION("""COMPUTED_VALUE"""),"REJECT")</f>
        <v>REJECT</v>
      </c>
      <c r="R775" s="66"/>
      <c r="S775" s="66"/>
      <c r="T775" s="66"/>
      <c r="U775" s="66"/>
      <c r="V775" s="66"/>
      <c r="W775" s="66"/>
      <c r="X775" s="66"/>
      <c r="Y775" s="66"/>
      <c r="Z775" s="66"/>
      <c r="AA775" s="66"/>
      <c r="AB775" s="66"/>
      <c r="AC775" s="66"/>
      <c r="AD775" s="66"/>
      <c r="AE775" s="66"/>
      <c r="AF775" s="66"/>
      <c r="AG775" s="66"/>
      <c r="AH775" s="66"/>
      <c r="AI775" s="66"/>
      <c r="AJ775" s="66"/>
      <c r="AK775" s="66"/>
      <c r="AL775" s="66"/>
      <c r="AM775" s="66"/>
      <c r="AN775" s="66"/>
      <c r="AO775" s="66"/>
    </row>
    <row r="776">
      <c r="A776" s="93"/>
      <c r="B776" s="85"/>
      <c r="C776" s="86"/>
      <c r="D776" s="93"/>
      <c r="E776" s="85"/>
      <c r="F776" s="85"/>
      <c r="G776" s="86"/>
      <c r="H776" s="78" t="str">
        <f>IFERROR(__xludf.DUMMYFUNCTION("""COMPUTED_VALUE"""),"")</f>
        <v/>
      </c>
      <c r="I776" s="85"/>
      <c r="J776" s="85"/>
      <c r="K776" s="85"/>
      <c r="L776" s="86" t="str">
        <f>IFERROR(__xludf.DUMMYFUNCTION("""COMPUTED_VALUE"""),"REJECT")</f>
        <v>REJECT</v>
      </c>
      <c r="M776" s="78" t="str">
        <f>IFERROR(__xludf.DUMMYFUNCTION("""COMPUTED_VALUE"""),"")</f>
        <v/>
      </c>
      <c r="N776" s="85"/>
      <c r="O776" s="85"/>
      <c r="P776" s="85"/>
      <c r="Q776" s="86" t="str">
        <f>IFERROR(__xludf.DUMMYFUNCTION("""COMPUTED_VALUE"""),"REJECT")</f>
        <v>REJECT</v>
      </c>
      <c r="R776" s="66"/>
      <c r="S776" s="66"/>
      <c r="T776" s="66"/>
      <c r="U776" s="66"/>
      <c r="V776" s="66"/>
      <c r="W776" s="66"/>
      <c r="X776" s="66"/>
      <c r="Y776" s="66"/>
      <c r="Z776" s="66"/>
      <c r="AA776" s="66"/>
      <c r="AB776" s="66"/>
      <c r="AC776" s="66"/>
      <c r="AD776" s="66"/>
      <c r="AE776" s="66"/>
      <c r="AF776" s="66"/>
      <c r="AG776" s="66"/>
      <c r="AH776" s="66"/>
      <c r="AI776" s="66"/>
      <c r="AJ776" s="66"/>
      <c r="AK776" s="66"/>
      <c r="AL776" s="66"/>
      <c r="AM776" s="66"/>
      <c r="AN776" s="66"/>
      <c r="AO776" s="66"/>
    </row>
    <row r="777">
      <c r="A777" s="93"/>
      <c r="B777" s="85"/>
      <c r="C777" s="86"/>
      <c r="D777" s="93"/>
      <c r="E777" s="85"/>
      <c r="F777" s="85"/>
      <c r="G777" s="86"/>
      <c r="H777" s="78" t="str">
        <f>IFERROR(__xludf.DUMMYFUNCTION("""COMPUTED_VALUE"""),"")</f>
        <v/>
      </c>
      <c r="I777" s="85"/>
      <c r="J777" s="85"/>
      <c r="K777" s="85"/>
      <c r="L777" s="86" t="str">
        <f>IFERROR(__xludf.DUMMYFUNCTION("""COMPUTED_VALUE"""),"REJECT")</f>
        <v>REJECT</v>
      </c>
      <c r="M777" s="78" t="str">
        <f>IFERROR(__xludf.DUMMYFUNCTION("""COMPUTED_VALUE"""),"")</f>
        <v/>
      </c>
      <c r="N777" s="85"/>
      <c r="O777" s="85"/>
      <c r="P777" s="85"/>
      <c r="Q777" s="86" t="str">
        <f>IFERROR(__xludf.DUMMYFUNCTION("""COMPUTED_VALUE"""),"REJECT")</f>
        <v>REJECT</v>
      </c>
      <c r="R777" s="66"/>
      <c r="S777" s="66"/>
      <c r="T777" s="66"/>
      <c r="U777" s="66"/>
      <c r="V777" s="66"/>
      <c r="W777" s="66"/>
      <c r="X777" s="66"/>
      <c r="Y777" s="66"/>
      <c r="Z777" s="66"/>
      <c r="AA777" s="66"/>
      <c r="AB777" s="66"/>
      <c r="AC777" s="66"/>
      <c r="AD777" s="66"/>
      <c r="AE777" s="66"/>
      <c r="AF777" s="66"/>
      <c r="AG777" s="66"/>
      <c r="AH777" s="66"/>
      <c r="AI777" s="66"/>
      <c r="AJ777" s="66"/>
      <c r="AK777" s="66"/>
      <c r="AL777" s="66"/>
      <c r="AM777" s="66"/>
      <c r="AN777" s="66"/>
      <c r="AO777" s="66"/>
    </row>
    <row r="778">
      <c r="A778" s="93"/>
      <c r="B778" s="85"/>
      <c r="C778" s="86"/>
      <c r="D778" s="93"/>
      <c r="E778" s="85"/>
      <c r="F778" s="85"/>
      <c r="G778" s="86"/>
      <c r="H778" s="78" t="str">
        <f>IFERROR(__xludf.DUMMYFUNCTION("""COMPUTED_VALUE"""),"")</f>
        <v/>
      </c>
      <c r="I778" s="85"/>
      <c r="J778" s="85"/>
      <c r="K778" s="85"/>
      <c r="L778" s="86" t="str">
        <f>IFERROR(__xludf.DUMMYFUNCTION("""COMPUTED_VALUE"""),"REJECT")</f>
        <v>REJECT</v>
      </c>
      <c r="M778" s="78" t="str">
        <f>IFERROR(__xludf.DUMMYFUNCTION("""COMPUTED_VALUE"""),"")</f>
        <v/>
      </c>
      <c r="N778" s="85"/>
      <c r="O778" s="85"/>
      <c r="P778" s="85"/>
      <c r="Q778" s="86" t="str">
        <f>IFERROR(__xludf.DUMMYFUNCTION("""COMPUTED_VALUE"""),"REJECT")</f>
        <v>REJECT</v>
      </c>
      <c r="R778" s="66"/>
      <c r="S778" s="66"/>
      <c r="T778" s="66"/>
      <c r="U778" s="66"/>
      <c r="V778" s="66"/>
      <c r="W778" s="66"/>
      <c r="X778" s="66"/>
      <c r="Y778" s="66"/>
      <c r="Z778" s="66"/>
      <c r="AA778" s="66"/>
      <c r="AB778" s="66"/>
      <c r="AC778" s="66"/>
      <c r="AD778" s="66"/>
      <c r="AE778" s="66"/>
      <c r="AF778" s="66"/>
      <c r="AG778" s="66"/>
      <c r="AH778" s="66"/>
      <c r="AI778" s="66"/>
      <c r="AJ778" s="66"/>
      <c r="AK778" s="66"/>
      <c r="AL778" s="66"/>
      <c r="AM778" s="66"/>
      <c r="AN778" s="66"/>
      <c r="AO778" s="66"/>
    </row>
    <row r="779">
      <c r="A779" s="93"/>
      <c r="B779" s="85"/>
      <c r="C779" s="86"/>
      <c r="D779" s="93"/>
      <c r="E779" s="85"/>
      <c r="F779" s="85"/>
      <c r="G779" s="86"/>
      <c r="H779" s="78" t="str">
        <f>IFERROR(__xludf.DUMMYFUNCTION("""COMPUTED_VALUE"""),"")</f>
        <v/>
      </c>
      <c r="I779" s="85"/>
      <c r="J779" s="85"/>
      <c r="K779" s="85"/>
      <c r="L779" s="86" t="str">
        <f>IFERROR(__xludf.DUMMYFUNCTION("""COMPUTED_VALUE"""),"REJECT")</f>
        <v>REJECT</v>
      </c>
      <c r="M779" s="78" t="str">
        <f>IFERROR(__xludf.DUMMYFUNCTION("""COMPUTED_VALUE"""),"")</f>
        <v/>
      </c>
      <c r="N779" s="85"/>
      <c r="O779" s="85"/>
      <c r="P779" s="85"/>
      <c r="Q779" s="86" t="str">
        <f>IFERROR(__xludf.DUMMYFUNCTION("""COMPUTED_VALUE"""),"REJECT")</f>
        <v>REJECT</v>
      </c>
      <c r="R779" s="66"/>
      <c r="S779" s="66"/>
      <c r="T779" s="66"/>
      <c r="U779" s="66"/>
      <c r="V779" s="66"/>
      <c r="W779" s="66"/>
      <c r="X779" s="66"/>
      <c r="Y779" s="66"/>
      <c r="Z779" s="66"/>
      <c r="AA779" s="66"/>
      <c r="AB779" s="66"/>
      <c r="AC779" s="66"/>
      <c r="AD779" s="66"/>
      <c r="AE779" s="66"/>
      <c r="AF779" s="66"/>
      <c r="AG779" s="66"/>
      <c r="AH779" s="66"/>
      <c r="AI779" s="66"/>
      <c r="AJ779" s="66"/>
      <c r="AK779" s="66"/>
      <c r="AL779" s="66"/>
      <c r="AM779" s="66"/>
      <c r="AN779" s="66"/>
      <c r="AO779" s="66"/>
    </row>
    <row r="780">
      <c r="A780" s="93"/>
      <c r="B780" s="85"/>
      <c r="C780" s="86"/>
      <c r="D780" s="93"/>
      <c r="E780" s="85"/>
      <c r="F780" s="85"/>
      <c r="G780" s="86"/>
      <c r="H780" s="78" t="str">
        <f>IFERROR(__xludf.DUMMYFUNCTION("""COMPUTED_VALUE"""),"")</f>
        <v/>
      </c>
      <c r="I780" s="85"/>
      <c r="J780" s="85"/>
      <c r="K780" s="85"/>
      <c r="L780" s="86" t="str">
        <f>IFERROR(__xludf.DUMMYFUNCTION("""COMPUTED_VALUE"""),"REJECT")</f>
        <v>REJECT</v>
      </c>
      <c r="M780" s="78" t="str">
        <f>IFERROR(__xludf.DUMMYFUNCTION("""COMPUTED_VALUE"""),"")</f>
        <v/>
      </c>
      <c r="N780" s="85"/>
      <c r="O780" s="85"/>
      <c r="P780" s="85"/>
      <c r="Q780" s="86" t="str">
        <f>IFERROR(__xludf.DUMMYFUNCTION("""COMPUTED_VALUE"""),"REJECT")</f>
        <v>REJECT</v>
      </c>
      <c r="R780" s="66"/>
      <c r="S780" s="66"/>
      <c r="T780" s="66"/>
      <c r="U780" s="66"/>
      <c r="V780" s="66"/>
      <c r="W780" s="66"/>
      <c r="X780" s="66"/>
      <c r="Y780" s="66"/>
      <c r="Z780" s="66"/>
      <c r="AA780" s="66"/>
      <c r="AB780" s="66"/>
      <c r="AC780" s="66"/>
      <c r="AD780" s="66"/>
      <c r="AE780" s="66"/>
      <c r="AF780" s="66"/>
      <c r="AG780" s="66"/>
      <c r="AH780" s="66"/>
      <c r="AI780" s="66"/>
      <c r="AJ780" s="66"/>
      <c r="AK780" s="66"/>
      <c r="AL780" s="66"/>
      <c r="AM780" s="66"/>
      <c r="AN780" s="66"/>
      <c r="AO780" s="66"/>
    </row>
    <row r="781">
      <c r="A781" s="93"/>
      <c r="B781" s="85"/>
      <c r="C781" s="86"/>
      <c r="D781" s="93"/>
      <c r="E781" s="85"/>
      <c r="F781" s="85"/>
      <c r="G781" s="86"/>
      <c r="H781" s="78" t="str">
        <f>IFERROR(__xludf.DUMMYFUNCTION("""COMPUTED_VALUE"""),"")</f>
        <v/>
      </c>
      <c r="I781" s="85"/>
      <c r="J781" s="85"/>
      <c r="K781" s="85"/>
      <c r="L781" s="86" t="str">
        <f>IFERROR(__xludf.DUMMYFUNCTION("""COMPUTED_VALUE"""),"REJECT")</f>
        <v>REJECT</v>
      </c>
      <c r="M781" s="78" t="str">
        <f>IFERROR(__xludf.DUMMYFUNCTION("""COMPUTED_VALUE"""),"")</f>
        <v/>
      </c>
      <c r="N781" s="85"/>
      <c r="O781" s="85"/>
      <c r="P781" s="85"/>
      <c r="Q781" s="86" t="str">
        <f>IFERROR(__xludf.DUMMYFUNCTION("""COMPUTED_VALUE"""),"REJECT")</f>
        <v>REJECT</v>
      </c>
      <c r="R781" s="66"/>
      <c r="S781" s="66"/>
      <c r="T781" s="66"/>
      <c r="U781" s="66"/>
      <c r="V781" s="66"/>
      <c r="W781" s="66"/>
      <c r="X781" s="66"/>
      <c r="Y781" s="66"/>
      <c r="Z781" s="66"/>
      <c r="AA781" s="66"/>
      <c r="AB781" s="66"/>
      <c r="AC781" s="66"/>
      <c r="AD781" s="66"/>
      <c r="AE781" s="66"/>
      <c r="AF781" s="66"/>
      <c r="AG781" s="66"/>
      <c r="AH781" s="66"/>
      <c r="AI781" s="66"/>
      <c r="AJ781" s="66"/>
      <c r="AK781" s="66"/>
      <c r="AL781" s="66"/>
      <c r="AM781" s="66"/>
      <c r="AN781" s="66"/>
      <c r="AO781" s="66"/>
    </row>
    <row r="782">
      <c r="A782" s="93"/>
      <c r="B782" s="85"/>
      <c r="C782" s="86"/>
      <c r="D782" s="93"/>
      <c r="E782" s="85"/>
      <c r="F782" s="85"/>
      <c r="G782" s="86"/>
      <c r="H782" s="78" t="str">
        <f>IFERROR(__xludf.DUMMYFUNCTION("""COMPUTED_VALUE"""),"")</f>
        <v/>
      </c>
      <c r="I782" s="85"/>
      <c r="J782" s="85"/>
      <c r="K782" s="85"/>
      <c r="L782" s="86" t="str">
        <f>IFERROR(__xludf.DUMMYFUNCTION("""COMPUTED_VALUE"""),"REJECT")</f>
        <v>REJECT</v>
      </c>
      <c r="M782" s="78" t="str">
        <f>IFERROR(__xludf.DUMMYFUNCTION("""COMPUTED_VALUE"""),"")</f>
        <v/>
      </c>
      <c r="N782" s="85"/>
      <c r="O782" s="85"/>
      <c r="P782" s="85"/>
      <c r="Q782" s="86" t="str">
        <f>IFERROR(__xludf.DUMMYFUNCTION("""COMPUTED_VALUE"""),"REJECT")</f>
        <v>REJECT</v>
      </c>
      <c r="R782" s="66"/>
      <c r="S782" s="66"/>
      <c r="T782" s="66"/>
      <c r="U782" s="66"/>
      <c r="V782" s="66"/>
      <c r="W782" s="66"/>
      <c r="X782" s="66"/>
      <c r="Y782" s="66"/>
      <c r="Z782" s="66"/>
      <c r="AA782" s="66"/>
      <c r="AB782" s="66"/>
      <c r="AC782" s="66"/>
      <c r="AD782" s="66"/>
      <c r="AE782" s="66"/>
      <c r="AF782" s="66"/>
      <c r="AG782" s="66"/>
      <c r="AH782" s="66"/>
      <c r="AI782" s="66"/>
      <c r="AJ782" s="66"/>
      <c r="AK782" s="66"/>
      <c r="AL782" s="66"/>
      <c r="AM782" s="66"/>
      <c r="AN782" s="66"/>
      <c r="AO782" s="66"/>
    </row>
    <row r="783">
      <c r="A783" s="93"/>
      <c r="B783" s="85"/>
      <c r="C783" s="86"/>
      <c r="D783" s="93"/>
      <c r="E783" s="85"/>
      <c r="F783" s="85"/>
      <c r="G783" s="86"/>
      <c r="H783" s="78" t="str">
        <f>IFERROR(__xludf.DUMMYFUNCTION("""COMPUTED_VALUE"""),"")</f>
        <v/>
      </c>
      <c r="I783" s="85"/>
      <c r="J783" s="85"/>
      <c r="K783" s="85"/>
      <c r="L783" s="86" t="str">
        <f>IFERROR(__xludf.DUMMYFUNCTION("""COMPUTED_VALUE"""),"REJECT")</f>
        <v>REJECT</v>
      </c>
      <c r="M783" s="78" t="str">
        <f>IFERROR(__xludf.DUMMYFUNCTION("""COMPUTED_VALUE"""),"")</f>
        <v/>
      </c>
      <c r="N783" s="85"/>
      <c r="O783" s="85"/>
      <c r="P783" s="85"/>
      <c r="Q783" s="86" t="str">
        <f>IFERROR(__xludf.DUMMYFUNCTION("""COMPUTED_VALUE"""),"REJECT")</f>
        <v>REJECT</v>
      </c>
      <c r="R783" s="66"/>
      <c r="S783" s="66"/>
      <c r="T783" s="66"/>
      <c r="U783" s="66"/>
      <c r="V783" s="66"/>
      <c r="W783" s="66"/>
      <c r="X783" s="66"/>
      <c r="Y783" s="66"/>
      <c r="Z783" s="66"/>
      <c r="AA783" s="66"/>
      <c r="AB783" s="66"/>
      <c r="AC783" s="66"/>
      <c r="AD783" s="66"/>
      <c r="AE783" s="66"/>
      <c r="AF783" s="66"/>
      <c r="AG783" s="66"/>
      <c r="AH783" s="66"/>
      <c r="AI783" s="66"/>
      <c r="AJ783" s="66"/>
      <c r="AK783" s="66"/>
      <c r="AL783" s="66"/>
      <c r="AM783" s="66"/>
      <c r="AN783" s="66"/>
      <c r="AO783" s="66"/>
    </row>
    <row r="784">
      <c r="A784" s="93"/>
      <c r="B784" s="85"/>
      <c r="C784" s="86"/>
      <c r="D784" s="93"/>
      <c r="E784" s="85"/>
      <c r="F784" s="85"/>
      <c r="G784" s="86"/>
      <c r="H784" s="78" t="str">
        <f>IFERROR(__xludf.DUMMYFUNCTION("""COMPUTED_VALUE"""),"")</f>
        <v/>
      </c>
      <c r="I784" s="85"/>
      <c r="J784" s="85"/>
      <c r="K784" s="85"/>
      <c r="L784" s="86" t="str">
        <f>IFERROR(__xludf.DUMMYFUNCTION("""COMPUTED_VALUE"""),"REJECT")</f>
        <v>REJECT</v>
      </c>
      <c r="M784" s="78" t="str">
        <f>IFERROR(__xludf.DUMMYFUNCTION("""COMPUTED_VALUE"""),"")</f>
        <v/>
      </c>
      <c r="N784" s="85"/>
      <c r="O784" s="85"/>
      <c r="P784" s="85"/>
      <c r="Q784" s="86" t="str">
        <f>IFERROR(__xludf.DUMMYFUNCTION("""COMPUTED_VALUE"""),"REJECT")</f>
        <v>REJECT</v>
      </c>
      <c r="R784" s="66"/>
      <c r="S784" s="66"/>
      <c r="T784" s="66"/>
      <c r="U784" s="66"/>
      <c r="V784" s="66"/>
      <c r="W784" s="66"/>
      <c r="X784" s="66"/>
      <c r="Y784" s="66"/>
      <c r="Z784" s="66"/>
      <c r="AA784" s="66"/>
      <c r="AB784" s="66"/>
      <c r="AC784" s="66"/>
      <c r="AD784" s="66"/>
      <c r="AE784" s="66"/>
      <c r="AF784" s="66"/>
      <c r="AG784" s="66"/>
      <c r="AH784" s="66"/>
      <c r="AI784" s="66"/>
      <c r="AJ784" s="66"/>
      <c r="AK784" s="66"/>
      <c r="AL784" s="66"/>
      <c r="AM784" s="66"/>
      <c r="AN784" s="66"/>
      <c r="AO784" s="66"/>
    </row>
    <row r="785">
      <c r="A785" s="93"/>
      <c r="B785" s="85"/>
      <c r="C785" s="86"/>
      <c r="D785" s="93"/>
      <c r="E785" s="85"/>
      <c r="F785" s="85"/>
      <c r="G785" s="86"/>
      <c r="H785" s="78" t="str">
        <f>IFERROR(__xludf.DUMMYFUNCTION("""COMPUTED_VALUE"""),"")</f>
        <v/>
      </c>
      <c r="I785" s="85"/>
      <c r="J785" s="85"/>
      <c r="K785" s="85"/>
      <c r="L785" s="86" t="str">
        <f>IFERROR(__xludf.DUMMYFUNCTION("""COMPUTED_VALUE"""),"REJECT")</f>
        <v>REJECT</v>
      </c>
      <c r="M785" s="78" t="str">
        <f>IFERROR(__xludf.DUMMYFUNCTION("""COMPUTED_VALUE"""),"")</f>
        <v/>
      </c>
      <c r="N785" s="85"/>
      <c r="O785" s="85"/>
      <c r="P785" s="85"/>
      <c r="Q785" s="86" t="str">
        <f>IFERROR(__xludf.DUMMYFUNCTION("""COMPUTED_VALUE"""),"REJECT")</f>
        <v>REJECT</v>
      </c>
      <c r="R785" s="66"/>
      <c r="S785" s="66"/>
      <c r="T785" s="66"/>
      <c r="U785" s="66"/>
      <c r="V785" s="66"/>
      <c r="W785" s="66"/>
      <c r="X785" s="66"/>
      <c r="Y785" s="66"/>
      <c r="Z785" s="66"/>
      <c r="AA785" s="66"/>
      <c r="AB785" s="66"/>
      <c r="AC785" s="66"/>
      <c r="AD785" s="66"/>
      <c r="AE785" s="66"/>
      <c r="AF785" s="66"/>
      <c r="AG785" s="66"/>
      <c r="AH785" s="66"/>
      <c r="AI785" s="66"/>
      <c r="AJ785" s="66"/>
      <c r="AK785" s="66"/>
      <c r="AL785" s="66"/>
      <c r="AM785" s="66"/>
      <c r="AN785" s="66"/>
      <c r="AO785" s="66"/>
    </row>
    <row r="786">
      <c r="A786" s="93"/>
      <c r="B786" s="85"/>
      <c r="C786" s="86"/>
      <c r="D786" s="93"/>
      <c r="E786" s="85"/>
      <c r="F786" s="85"/>
      <c r="G786" s="86"/>
      <c r="H786" s="78" t="str">
        <f>IFERROR(__xludf.DUMMYFUNCTION("""COMPUTED_VALUE"""),"")</f>
        <v/>
      </c>
      <c r="I786" s="85"/>
      <c r="J786" s="85"/>
      <c r="K786" s="85"/>
      <c r="L786" s="86" t="str">
        <f>IFERROR(__xludf.DUMMYFUNCTION("""COMPUTED_VALUE"""),"REJECT")</f>
        <v>REJECT</v>
      </c>
      <c r="M786" s="78" t="str">
        <f>IFERROR(__xludf.DUMMYFUNCTION("""COMPUTED_VALUE"""),"")</f>
        <v/>
      </c>
      <c r="N786" s="85"/>
      <c r="O786" s="85"/>
      <c r="P786" s="85"/>
      <c r="Q786" s="86" t="str">
        <f>IFERROR(__xludf.DUMMYFUNCTION("""COMPUTED_VALUE"""),"REJECT")</f>
        <v>REJECT</v>
      </c>
      <c r="R786" s="66"/>
      <c r="S786" s="66"/>
      <c r="T786" s="66"/>
      <c r="U786" s="66"/>
      <c r="V786" s="66"/>
      <c r="W786" s="66"/>
      <c r="X786" s="66"/>
      <c r="Y786" s="66"/>
      <c r="Z786" s="66"/>
      <c r="AA786" s="66"/>
      <c r="AB786" s="66"/>
      <c r="AC786" s="66"/>
      <c r="AD786" s="66"/>
      <c r="AE786" s="66"/>
      <c r="AF786" s="66"/>
      <c r="AG786" s="66"/>
      <c r="AH786" s="66"/>
      <c r="AI786" s="66"/>
      <c r="AJ786" s="66"/>
      <c r="AK786" s="66"/>
      <c r="AL786" s="66"/>
      <c r="AM786" s="66"/>
      <c r="AN786" s="66"/>
      <c r="AO786" s="66"/>
    </row>
    <row r="787">
      <c r="A787" s="93"/>
      <c r="B787" s="85"/>
      <c r="C787" s="86"/>
      <c r="D787" s="93"/>
      <c r="E787" s="85"/>
      <c r="F787" s="85"/>
      <c r="G787" s="86"/>
      <c r="H787" s="78" t="str">
        <f>IFERROR(__xludf.DUMMYFUNCTION("""COMPUTED_VALUE"""),"")</f>
        <v/>
      </c>
      <c r="I787" s="85"/>
      <c r="J787" s="85"/>
      <c r="K787" s="85"/>
      <c r="L787" s="86" t="str">
        <f>IFERROR(__xludf.DUMMYFUNCTION("""COMPUTED_VALUE"""),"REJECT")</f>
        <v>REJECT</v>
      </c>
      <c r="M787" s="78" t="str">
        <f>IFERROR(__xludf.DUMMYFUNCTION("""COMPUTED_VALUE"""),"")</f>
        <v/>
      </c>
      <c r="N787" s="85"/>
      <c r="O787" s="85"/>
      <c r="P787" s="85"/>
      <c r="Q787" s="86" t="str">
        <f>IFERROR(__xludf.DUMMYFUNCTION("""COMPUTED_VALUE"""),"REJECT")</f>
        <v>REJECT</v>
      </c>
      <c r="R787" s="66"/>
      <c r="S787" s="66"/>
      <c r="T787" s="66"/>
      <c r="U787" s="66"/>
      <c r="V787" s="66"/>
      <c r="W787" s="66"/>
      <c r="X787" s="66"/>
      <c r="Y787" s="66"/>
      <c r="Z787" s="66"/>
      <c r="AA787" s="66"/>
      <c r="AB787" s="66"/>
      <c r="AC787" s="66"/>
      <c r="AD787" s="66"/>
      <c r="AE787" s="66"/>
      <c r="AF787" s="66"/>
      <c r="AG787" s="66"/>
      <c r="AH787" s="66"/>
      <c r="AI787" s="66"/>
      <c r="AJ787" s="66"/>
      <c r="AK787" s="66"/>
      <c r="AL787" s="66"/>
      <c r="AM787" s="66"/>
      <c r="AN787" s="66"/>
      <c r="AO787" s="66"/>
    </row>
    <row r="788">
      <c r="A788" s="93"/>
      <c r="B788" s="85"/>
      <c r="C788" s="86"/>
      <c r="D788" s="93"/>
      <c r="E788" s="85"/>
      <c r="F788" s="85"/>
      <c r="G788" s="86"/>
      <c r="H788" s="78" t="str">
        <f>IFERROR(__xludf.DUMMYFUNCTION("""COMPUTED_VALUE"""),"")</f>
        <v/>
      </c>
      <c r="I788" s="85"/>
      <c r="J788" s="85"/>
      <c r="K788" s="85"/>
      <c r="L788" s="86" t="str">
        <f>IFERROR(__xludf.DUMMYFUNCTION("""COMPUTED_VALUE"""),"REJECT")</f>
        <v>REJECT</v>
      </c>
      <c r="M788" s="78" t="str">
        <f>IFERROR(__xludf.DUMMYFUNCTION("""COMPUTED_VALUE"""),"")</f>
        <v/>
      </c>
      <c r="N788" s="85"/>
      <c r="O788" s="85"/>
      <c r="P788" s="85"/>
      <c r="Q788" s="86" t="str">
        <f>IFERROR(__xludf.DUMMYFUNCTION("""COMPUTED_VALUE"""),"REJECT")</f>
        <v>REJECT</v>
      </c>
      <c r="R788" s="66"/>
      <c r="S788" s="66"/>
      <c r="T788" s="66"/>
      <c r="U788" s="66"/>
      <c r="V788" s="66"/>
      <c r="W788" s="66"/>
      <c r="X788" s="66"/>
      <c r="Y788" s="66"/>
      <c r="Z788" s="66"/>
      <c r="AA788" s="66"/>
      <c r="AB788" s="66"/>
      <c r="AC788" s="66"/>
      <c r="AD788" s="66"/>
      <c r="AE788" s="66"/>
      <c r="AF788" s="66"/>
      <c r="AG788" s="66"/>
      <c r="AH788" s="66"/>
      <c r="AI788" s="66"/>
      <c r="AJ788" s="66"/>
      <c r="AK788" s="66"/>
      <c r="AL788" s="66"/>
      <c r="AM788" s="66"/>
      <c r="AN788" s="66"/>
      <c r="AO788" s="66"/>
    </row>
    <row r="789">
      <c r="A789" s="93"/>
      <c r="B789" s="85"/>
      <c r="C789" s="86"/>
      <c r="D789" s="93"/>
      <c r="E789" s="85"/>
      <c r="F789" s="85"/>
      <c r="G789" s="86"/>
      <c r="H789" s="78" t="str">
        <f>IFERROR(__xludf.DUMMYFUNCTION("""COMPUTED_VALUE"""),"")</f>
        <v/>
      </c>
      <c r="I789" s="85"/>
      <c r="J789" s="85"/>
      <c r="K789" s="85"/>
      <c r="L789" s="86" t="str">
        <f>IFERROR(__xludf.DUMMYFUNCTION("""COMPUTED_VALUE"""),"REJECT")</f>
        <v>REJECT</v>
      </c>
      <c r="M789" s="78" t="str">
        <f>IFERROR(__xludf.DUMMYFUNCTION("""COMPUTED_VALUE"""),"")</f>
        <v/>
      </c>
      <c r="N789" s="85"/>
      <c r="O789" s="85"/>
      <c r="P789" s="85"/>
      <c r="Q789" s="86" t="str">
        <f>IFERROR(__xludf.DUMMYFUNCTION("""COMPUTED_VALUE"""),"REJECT")</f>
        <v>REJECT</v>
      </c>
      <c r="R789" s="66"/>
      <c r="S789" s="66"/>
      <c r="T789" s="66"/>
      <c r="U789" s="66"/>
      <c r="V789" s="66"/>
      <c r="W789" s="66"/>
      <c r="X789" s="66"/>
      <c r="Y789" s="66"/>
      <c r="Z789" s="66"/>
      <c r="AA789" s="66"/>
      <c r="AB789" s="66"/>
      <c r="AC789" s="66"/>
      <c r="AD789" s="66"/>
      <c r="AE789" s="66"/>
      <c r="AF789" s="66"/>
      <c r="AG789" s="66"/>
      <c r="AH789" s="66"/>
      <c r="AI789" s="66"/>
      <c r="AJ789" s="66"/>
      <c r="AK789" s="66"/>
      <c r="AL789" s="66"/>
      <c r="AM789" s="66"/>
      <c r="AN789" s="66"/>
      <c r="AO789" s="66"/>
    </row>
    <row r="790">
      <c r="A790" s="93"/>
      <c r="B790" s="85"/>
      <c r="C790" s="86"/>
      <c r="D790" s="93"/>
      <c r="E790" s="85"/>
      <c r="F790" s="85"/>
      <c r="G790" s="86"/>
      <c r="H790" s="78" t="str">
        <f>IFERROR(__xludf.DUMMYFUNCTION("""COMPUTED_VALUE"""),"")</f>
        <v/>
      </c>
      <c r="I790" s="85"/>
      <c r="J790" s="85"/>
      <c r="K790" s="85"/>
      <c r="L790" s="86" t="str">
        <f>IFERROR(__xludf.DUMMYFUNCTION("""COMPUTED_VALUE"""),"REJECT")</f>
        <v>REJECT</v>
      </c>
      <c r="M790" s="78" t="str">
        <f>IFERROR(__xludf.DUMMYFUNCTION("""COMPUTED_VALUE"""),"")</f>
        <v/>
      </c>
      <c r="N790" s="85"/>
      <c r="O790" s="85"/>
      <c r="P790" s="85"/>
      <c r="Q790" s="86" t="str">
        <f>IFERROR(__xludf.DUMMYFUNCTION("""COMPUTED_VALUE"""),"REJECT")</f>
        <v>REJECT</v>
      </c>
      <c r="R790" s="66"/>
      <c r="S790" s="66"/>
      <c r="T790" s="66"/>
      <c r="U790" s="66"/>
      <c r="V790" s="66"/>
      <c r="W790" s="66"/>
      <c r="X790" s="66"/>
      <c r="Y790" s="66"/>
      <c r="Z790" s="66"/>
      <c r="AA790" s="66"/>
      <c r="AB790" s="66"/>
      <c r="AC790" s="66"/>
      <c r="AD790" s="66"/>
      <c r="AE790" s="66"/>
      <c r="AF790" s="66"/>
      <c r="AG790" s="66"/>
      <c r="AH790" s="66"/>
      <c r="AI790" s="66"/>
      <c r="AJ790" s="66"/>
      <c r="AK790" s="66"/>
      <c r="AL790" s="66"/>
      <c r="AM790" s="66"/>
      <c r="AN790" s="66"/>
      <c r="AO790" s="66"/>
    </row>
    <row r="791">
      <c r="A791" s="93"/>
      <c r="B791" s="85"/>
      <c r="C791" s="86"/>
      <c r="D791" s="93"/>
      <c r="E791" s="85"/>
      <c r="F791" s="85"/>
      <c r="G791" s="86"/>
      <c r="H791" s="78" t="str">
        <f>IFERROR(__xludf.DUMMYFUNCTION("""COMPUTED_VALUE"""),"")</f>
        <v/>
      </c>
      <c r="I791" s="85"/>
      <c r="J791" s="85"/>
      <c r="K791" s="85"/>
      <c r="L791" s="86" t="str">
        <f>IFERROR(__xludf.DUMMYFUNCTION("""COMPUTED_VALUE"""),"REJECT")</f>
        <v>REJECT</v>
      </c>
      <c r="M791" s="78" t="str">
        <f>IFERROR(__xludf.DUMMYFUNCTION("""COMPUTED_VALUE"""),"")</f>
        <v/>
      </c>
      <c r="N791" s="85"/>
      <c r="O791" s="85"/>
      <c r="P791" s="85"/>
      <c r="Q791" s="86" t="str">
        <f>IFERROR(__xludf.DUMMYFUNCTION("""COMPUTED_VALUE"""),"REJECT")</f>
        <v>REJECT</v>
      </c>
      <c r="R791" s="66"/>
      <c r="S791" s="66"/>
      <c r="T791" s="66"/>
      <c r="U791" s="66"/>
      <c r="V791" s="66"/>
      <c r="W791" s="66"/>
      <c r="X791" s="66"/>
      <c r="Y791" s="66"/>
      <c r="Z791" s="66"/>
      <c r="AA791" s="66"/>
      <c r="AB791" s="66"/>
      <c r="AC791" s="66"/>
      <c r="AD791" s="66"/>
      <c r="AE791" s="66"/>
      <c r="AF791" s="66"/>
      <c r="AG791" s="66"/>
      <c r="AH791" s="66"/>
      <c r="AI791" s="66"/>
      <c r="AJ791" s="66"/>
      <c r="AK791" s="66"/>
      <c r="AL791" s="66"/>
      <c r="AM791" s="66"/>
      <c r="AN791" s="66"/>
      <c r="AO791" s="66"/>
    </row>
    <row r="792">
      <c r="A792" s="93"/>
      <c r="B792" s="85"/>
      <c r="C792" s="86"/>
      <c r="D792" s="93"/>
      <c r="E792" s="85"/>
      <c r="F792" s="85"/>
      <c r="G792" s="86"/>
      <c r="H792" s="78" t="str">
        <f>IFERROR(__xludf.DUMMYFUNCTION("""COMPUTED_VALUE"""),"")</f>
        <v/>
      </c>
      <c r="I792" s="85"/>
      <c r="J792" s="85"/>
      <c r="K792" s="85"/>
      <c r="L792" s="86" t="str">
        <f>IFERROR(__xludf.DUMMYFUNCTION("""COMPUTED_VALUE"""),"REJECT")</f>
        <v>REJECT</v>
      </c>
      <c r="M792" s="78" t="str">
        <f>IFERROR(__xludf.DUMMYFUNCTION("""COMPUTED_VALUE"""),"")</f>
        <v/>
      </c>
      <c r="N792" s="85"/>
      <c r="O792" s="85"/>
      <c r="P792" s="85"/>
      <c r="Q792" s="86" t="str">
        <f>IFERROR(__xludf.DUMMYFUNCTION("""COMPUTED_VALUE"""),"REJECT")</f>
        <v>REJECT</v>
      </c>
      <c r="R792" s="66"/>
      <c r="S792" s="66"/>
      <c r="T792" s="66"/>
      <c r="U792" s="66"/>
      <c r="V792" s="66"/>
      <c r="W792" s="66"/>
      <c r="X792" s="66"/>
      <c r="Y792" s="66"/>
      <c r="Z792" s="66"/>
      <c r="AA792" s="66"/>
      <c r="AB792" s="66"/>
      <c r="AC792" s="66"/>
      <c r="AD792" s="66"/>
      <c r="AE792" s="66"/>
      <c r="AF792" s="66"/>
      <c r="AG792" s="66"/>
      <c r="AH792" s="66"/>
      <c r="AI792" s="66"/>
      <c r="AJ792" s="66"/>
      <c r="AK792" s="66"/>
      <c r="AL792" s="66"/>
      <c r="AM792" s="66"/>
      <c r="AN792" s="66"/>
      <c r="AO792" s="66"/>
    </row>
    <row r="793">
      <c r="A793" s="93"/>
      <c r="B793" s="85"/>
      <c r="C793" s="86"/>
      <c r="D793" s="93"/>
      <c r="E793" s="85"/>
      <c r="F793" s="85"/>
      <c r="G793" s="86"/>
      <c r="H793" s="78" t="str">
        <f>IFERROR(__xludf.DUMMYFUNCTION("""COMPUTED_VALUE"""),"")</f>
        <v/>
      </c>
      <c r="I793" s="85"/>
      <c r="J793" s="85"/>
      <c r="K793" s="85"/>
      <c r="L793" s="86" t="str">
        <f>IFERROR(__xludf.DUMMYFUNCTION("""COMPUTED_VALUE"""),"REJECT")</f>
        <v>REJECT</v>
      </c>
      <c r="M793" s="78" t="str">
        <f>IFERROR(__xludf.DUMMYFUNCTION("""COMPUTED_VALUE"""),"")</f>
        <v/>
      </c>
      <c r="N793" s="85"/>
      <c r="O793" s="85"/>
      <c r="P793" s="85"/>
      <c r="Q793" s="86" t="str">
        <f>IFERROR(__xludf.DUMMYFUNCTION("""COMPUTED_VALUE"""),"REJECT")</f>
        <v>REJECT</v>
      </c>
      <c r="R793" s="66"/>
      <c r="S793" s="66"/>
      <c r="T793" s="66"/>
      <c r="U793" s="66"/>
      <c r="V793" s="66"/>
      <c r="W793" s="66"/>
      <c r="X793" s="66"/>
      <c r="Y793" s="66"/>
      <c r="Z793" s="66"/>
      <c r="AA793" s="66"/>
      <c r="AB793" s="66"/>
      <c r="AC793" s="66"/>
      <c r="AD793" s="66"/>
      <c r="AE793" s="66"/>
      <c r="AF793" s="66"/>
      <c r="AG793" s="66"/>
      <c r="AH793" s="66"/>
      <c r="AI793" s="66"/>
      <c r="AJ793" s="66"/>
      <c r="AK793" s="66"/>
      <c r="AL793" s="66"/>
      <c r="AM793" s="66"/>
      <c r="AN793" s="66"/>
      <c r="AO793" s="66"/>
    </row>
    <row r="794">
      <c r="A794" s="93"/>
      <c r="B794" s="85"/>
      <c r="C794" s="86"/>
      <c r="D794" s="93"/>
      <c r="E794" s="85"/>
      <c r="F794" s="85"/>
      <c r="G794" s="86"/>
      <c r="H794" s="78" t="str">
        <f>IFERROR(__xludf.DUMMYFUNCTION("""COMPUTED_VALUE"""),"")</f>
        <v/>
      </c>
      <c r="I794" s="85"/>
      <c r="J794" s="85"/>
      <c r="K794" s="85"/>
      <c r="L794" s="86" t="str">
        <f>IFERROR(__xludf.DUMMYFUNCTION("""COMPUTED_VALUE"""),"REJECT")</f>
        <v>REJECT</v>
      </c>
      <c r="M794" s="78" t="str">
        <f>IFERROR(__xludf.DUMMYFUNCTION("""COMPUTED_VALUE"""),"")</f>
        <v/>
      </c>
      <c r="N794" s="85"/>
      <c r="O794" s="85"/>
      <c r="P794" s="85"/>
      <c r="Q794" s="86" t="str">
        <f>IFERROR(__xludf.DUMMYFUNCTION("""COMPUTED_VALUE"""),"REJECT")</f>
        <v>REJECT</v>
      </c>
      <c r="R794" s="66"/>
      <c r="S794" s="66"/>
      <c r="T794" s="66"/>
      <c r="U794" s="66"/>
      <c r="V794" s="66"/>
      <c r="W794" s="66"/>
      <c r="X794" s="66"/>
      <c r="Y794" s="66"/>
      <c r="Z794" s="66"/>
      <c r="AA794" s="66"/>
      <c r="AB794" s="66"/>
      <c r="AC794" s="66"/>
      <c r="AD794" s="66"/>
      <c r="AE794" s="66"/>
      <c r="AF794" s="66"/>
      <c r="AG794" s="66"/>
      <c r="AH794" s="66"/>
      <c r="AI794" s="66"/>
      <c r="AJ794" s="66"/>
      <c r="AK794" s="66"/>
      <c r="AL794" s="66"/>
      <c r="AM794" s="66"/>
      <c r="AN794" s="66"/>
      <c r="AO794" s="66"/>
    </row>
    <row r="795">
      <c r="A795" s="93"/>
      <c r="B795" s="85"/>
      <c r="C795" s="86"/>
      <c r="D795" s="93"/>
      <c r="E795" s="85"/>
      <c r="F795" s="85"/>
      <c r="G795" s="86"/>
      <c r="H795" s="78" t="str">
        <f>IFERROR(__xludf.DUMMYFUNCTION("""COMPUTED_VALUE"""),"")</f>
        <v/>
      </c>
      <c r="I795" s="85"/>
      <c r="J795" s="85"/>
      <c r="K795" s="85"/>
      <c r="L795" s="86" t="str">
        <f>IFERROR(__xludf.DUMMYFUNCTION("""COMPUTED_VALUE"""),"REJECT")</f>
        <v>REJECT</v>
      </c>
      <c r="M795" s="78" t="str">
        <f>IFERROR(__xludf.DUMMYFUNCTION("""COMPUTED_VALUE"""),"")</f>
        <v/>
      </c>
      <c r="N795" s="85"/>
      <c r="O795" s="85"/>
      <c r="P795" s="85"/>
      <c r="Q795" s="86" t="str">
        <f>IFERROR(__xludf.DUMMYFUNCTION("""COMPUTED_VALUE"""),"REJECT")</f>
        <v>REJECT</v>
      </c>
      <c r="R795" s="66"/>
      <c r="S795" s="66"/>
      <c r="T795" s="66"/>
      <c r="U795" s="66"/>
      <c r="V795" s="66"/>
      <c r="W795" s="66"/>
      <c r="X795" s="66"/>
      <c r="Y795" s="66"/>
      <c r="Z795" s="66"/>
      <c r="AA795" s="66"/>
      <c r="AB795" s="66"/>
      <c r="AC795" s="66"/>
      <c r="AD795" s="66"/>
      <c r="AE795" s="66"/>
      <c r="AF795" s="66"/>
      <c r="AG795" s="66"/>
      <c r="AH795" s="66"/>
      <c r="AI795" s="66"/>
      <c r="AJ795" s="66"/>
      <c r="AK795" s="66"/>
      <c r="AL795" s="66"/>
      <c r="AM795" s="66"/>
      <c r="AN795" s="66"/>
      <c r="AO795" s="66"/>
    </row>
    <row r="796">
      <c r="A796" s="93"/>
      <c r="B796" s="85"/>
      <c r="C796" s="86"/>
      <c r="D796" s="93"/>
      <c r="E796" s="85"/>
      <c r="F796" s="85"/>
      <c r="G796" s="86"/>
      <c r="H796" s="78" t="str">
        <f>IFERROR(__xludf.DUMMYFUNCTION("""COMPUTED_VALUE"""),"")</f>
        <v/>
      </c>
      <c r="I796" s="85"/>
      <c r="J796" s="85"/>
      <c r="K796" s="85"/>
      <c r="L796" s="86" t="str">
        <f>IFERROR(__xludf.DUMMYFUNCTION("""COMPUTED_VALUE"""),"REJECT")</f>
        <v>REJECT</v>
      </c>
      <c r="M796" s="78" t="str">
        <f>IFERROR(__xludf.DUMMYFUNCTION("""COMPUTED_VALUE"""),"")</f>
        <v/>
      </c>
      <c r="N796" s="85"/>
      <c r="O796" s="85"/>
      <c r="P796" s="85"/>
      <c r="Q796" s="86" t="str">
        <f>IFERROR(__xludf.DUMMYFUNCTION("""COMPUTED_VALUE"""),"REJECT")</f>
        <v>REJECT</v>
      </c>
      <c r="R796" s="66"/>
      <c r="S796" s="66"/>
      <c r="T796" s="66"/>
      <c r="U796" s="66"/>
      <c r="V796" s="66"/>
      <c r="W796" s="66"/>
      <c r="X796" s="66"/>
      <c r="Y796" s="66"/>
      <c r="Z796" s="66"/>
      <c r="AA796" s="66"/>
      <c r="AB796" s="66"/>
      <c r="AC796" s="66"/>
      <c r="AD796" s="66"/>
      <c r="AE796" s="66"/>
      <c r="AF796" s="66"/>
      <c r="AG796" s="66"/>
      <c r="AH796" s="66"/>
      <c r="AI796" s="66"/>
      <c r="AJ796" s="66"/>
      <c r="AK796" s="66"/>
      <c r="AL796" s="66"/>
      <c r="AM796" s="66"/>
      <c r="AN796" s="66"/>
      <c r="AO796" s="66"/>
    </row>
    <row r="797">
      <c r="A797" s="93"/>
      <c r="B797" s="85"/>
      <c r="C797" s="86"/>
      <c r="D797" s="93"/>
      <c r="E797" s="85"/>
      <c r="F797" s="85"/>
      <c r="G797" s="86"/>
      <c r="H797" s="78" t="str">
        <f>IFERROR(__xludf.DUMMYFUNCTION("""COMPUTED_VALUE"""),"")</f>
        <v/>
      </c>
      <c r="I797" s="85"/>
      <c r="J797" s="85"/>
      <c r="K797" s="85"/>
      <c r="L797" s="86" t="str">
        <f>IFERROR(__xludf.DUMMYFUNCTION("""COMPUTED_VALUE"""),"REJECT")</f>
        <v>REJECT</v>
      </c>
      <c r="M797" s="78" t="str">
        <f>IFERROR(__xludf.DUMMYFUNCTION("""COMPUTED_VALUE"""),"")</f>
        <v/>
      </c>
      <c r="N797" s="85"/>
      <c r="O797" s="85"/>
      <c r="P797" s="85"/>
      <c r="Q797" s="86" t="str">
        <f>IFERROR(__xludf.DUMMYFUNCTION("""COMPUTED_VALUE"""),"REJECT")</f>
        <v>REJECT</v>
      </c>
      <c r="R797" s="66"/>
      <c r="S797" s="66"/>
      <c r="T797" s="66"/>
      <c r="U797" s="66"/>
      <c r="V797" s="66"/>
      <c r="W797" s="66"/>
      <c r="X797" s="66"/>
      <c r="Y797" s="66"/>
      <c r="Z797" s="66"/>
      <c r="AA797" s="66"/>
      <c r="AB797" s="66"/>
      <c r="AC797" s="66"/>
      <c r="AD797" s="66"/>
      <c r="AE797" s="66"/>
      <c r="AF797" s="66"/>
      <c r="AG797" s="66"/>
      <c r="AH797" s="66"/>
      <c r="AI797" s="66"/>
      <c r="AJ797" s="66"/>
      <c r="AK797" s="66"/>
      <c r="AL797" s="66"/>
      <c r="AM797" s="66"/>
      <c r="AN797" s="66"/>
      <c r="AO797" s="66"/>
    </row>
    <row r="798">
      <c r="A798" s="93"/>
      <c r="B798" s="85"/>
      <c r="C798" s="86"/>
      <c r="D798" s="93"/>
      <c r="E798" s="85"/>
      <c r="F798" s="85"/>
      <c r="G798" s="86"/>
      <c r="H798" s="78" t="str">
        <f>IFERROR(__xludf.DUMMYFUNCTION("""COMPUTED_VALUE"""),"")</f>
        <v/>
      </c>
      <c r="I798" s="85"/>
      <c r="J798" s="85"/>
      <c r="K798" s="85"/>
      <c r="L798" s="86" t="str">
        <f>IFERROR(__xludf.DUMMYFUNCTION("""COMPUTED_VALUE"""),"REJECT")</f>
        <v>REJECT</v>
      </c>
      <c r="M798" s="78" t="str">
        <f>IFERROR(__xludf.DUMMYFUNCTION("""COMPUTED_VALUE"""),"")</f>
        <v/>
      </c>
      <c r="N798" s="85"/>
      <c r="O798" s="85"/>
      <c r="P798" s="85"/>
      <c r="Q798" s="86" t="str">
        <f>IFERROR(__xludf.DUMMYFUNCTION("""COMPUTED_VALUE"""),"REJECT")</f>
        <v>REJECT</v>
      </c>
      <c r="R798" s="66"/>
      <c r="S798" s="66"/>
      <c r="T798" s="66"/>
      <c r="U798" s="66"/>
      <c r="V798" s="66"/>
      <c r="W798" s="66"/>
      <c r="X798" s="66"/>
      <c r="Y798" s="66"/>
      <c r="Z798" s="66"/>
      <c r="AA798" s="66"/>
      <c r="AB798" s="66"/>
      <c r="AC798" s="66"/>
      <c r="AD798" s="66"/>
      <c r="AE798" s="66"/>
      <c r="AF798" s="66"/>
      <c r="AG798" s="66"/>
      <c r="AH798" s="66"/>
      <c r="AI798" s="66"/>
      <c r="AJ798" s="66"/>
      <c r="AK798" s="66"/>
      <c r="AL798" s="66"/>
      <c r="AM798" s="66"/>
      <c r="AN798" s="66"/>
      <c r="AO798" s="66"/>
    </row>
    <row r="799">
      <c r="A799" s="93"/>
      <c r="B799" s="85"/>
      <c r="C799" s="86"/>
      <c r="D799" s="93"/>
      <c r="E799" s="85"/>
      <c r="F799" s="85"/>
      <c r="G799" s="86"/>
      <c r="H799" s="78" t="str">
        <f>IFERROR(__xludf.DUMMYFUNCTION("""COMPUTED_VALUE"""),"")</f>
        <v/>
      </c>
      <c r="I799" s="85"/>
      <c r="J799" s="85"/>
      <c r="K799" s="85"/>
      <c r="L799" s="86" t="str">
        <f>IFERROR(__xludf.DUMMYFUNCTION("""COMPUTED_VALUE"""),"REJECT")</f>
        <v>REJECT</v>
      </c>
      <c r="M799" s="78" t="str">
        <f>IFERROR(__xludf.DUMMYFUNCTION("""COMPUTED_VALUE"""),"")</f>
        <v/>
      </c>
      <c r="N799" s="85"/>
      <c r="O799" s="85"/>
      <c r="P799" s="85"/>
      <c r="Q799" s="86" t="str">
        <f>IFERROR(__xludf.DUMMYFUNCTION("""COMPUTED_VALUE"""),"REJECT")</f>
        <v>REJECT</v>
      </c>
      <c r="R799" s="66"/>
      <c r="S799" s="66"/>
      <c r="T799" s="66"/>
      <c r="U799" s="66"/>
      <c r="V799" s="66"/>
      <c r="W799" s="66"/>
      <c r="X799" s="66"/>
      <c r="Y799" s="66"/>
      <c r="Z799" s="66"/>
      <c r="AA799" s="66"/>
      <c r="AB799" s="66"/>
      <c r="AC799" s="66"/>
      <c r="AD799" s="66"/>
      <c r="AE799" s="66"/>
      <c r="AF799" s="66"/>
      <c r="AG799" s="66"/>
      <c r="AH799" s="66"/>
      <c r="AI799" s="66"/>
      <c r="AJ799" s="66"/>
      <c r="AK799" s="66"/>
      <c r="AL799" s="66"/>
      <c r="AM799" s="66"/>
      <c r="AN799" s="66"/>
      <c r="AO799" s="66"/>
    </row>
    <row r="800">
      <c r="A800" s="93"/>
      <c r="B800" s="85"/>
      <c r="C800" s="86"/>
      <c r="D800" s="93"/>
      <c r="E800" s="85"/>
      <c r="F800" s="85"/>
      <c r="G800" s="86"/>
      <c r="H800" s="78" t="str">
        <f>IFERROR(__xludf.DUMMYFUNCTION("""COMPUTED_VALUE"""),"")</f>
        <v/>
      </c>
      <c r="I800" s="85"/>
      <c r="J800" s="85"/>
      <c r="K800" s="85"/>
      <c r="L800" s="86" t="str">
        <f>IFERROR(__xludf.DUMMYFUNCTION("""COMPUTED_VALUE"""),"REJECT")</f>
        <v>REJECT</v>
      </c>
      <c r="M800" s="78" t="str">
        <f>IFERROR(__xludf.DUMMYFUNCTION("""COMPUTED_VALUE"""),"")</f>
        <v/>
      </c>
      <c r="N800" s="85"/>
      <c r="O800" s="85"/>
      <c r="P800" s="85"/>
      <c r="Q800" s="86" t="str">
        <f>IFERROR(__xludf.DUMMYFUNCTION("""COMPUTED_VALUE"""),"REJECT")</f>
        <v>REJECT</v>
      </c>
      <c r="R800" s="66"/>
      <c r="S800" s="66"/>
      <c r="T800" s="66"/>
      <c r="U800" s="66"/>
      <c r="V800" s="66"/>
      <c r="W800" s="66"/>
      <c r="X800" s="66"/>
      <c r="Y800" s="66"/>
      <c r="Z800" s="66"/>
      <c r="AA800" s="66"/>
      <c r="AB800" s="66"/>
      <c r="AC800" s="66"/>
      <c r="AD800" s="66"/>
      <c r="AE800" s="66"/>
      <c r="AF800" s="66"/>
      <c r="AG800" s="66"/>
      <c r="AH800" s="66"/>
      <c r="AI800" s="66"/>
      <c r="AJ800" s="66"/>
      <c r="AK800" s="66"/>
      <c r="AL800" s="66"/>
      <c r="AM800" s="66"/>
      <c r="AN800" s="66"/>
      <c r="AO800" s="66"/>
    </row>
    <row r="801">
      <c r="A801" s="93"/>
      <c r="B801" s="85"/>
      <c r="C801" s="86"/>
      <c r="D801" s="93"/>
      <c r="E801" s="85"/>
      <c r="F801" s="85"/>
      <c r="G801" s="86"/>
      <c r="H801" s="78" t="str">
        <f>IFERROR(__xludf.DUMMYFUNCTION("""COMPUTED_VALUE"""),"")</f>
        <v/>
      </c>
      <c r="I801" s="85"/>
      <c r="J801" s="85"/>
      <c r="K801" s="85"/>
      <c r="L801" s="86" t="str">
        <f>IFERROR(__xludf.DUMMYFUNCTION("""COMPUTED_VALUE"""),"REJECT")</f>
        <v>REJECT</v>
      </c>
      <c r="M801" s="78" t="str">
        <f>IFERROR(__xludf.DUMMYFUNCTION("""COMPUTED_VALUE"""),"")</f>
        <v/>
      </c>
      <c r="N801" s="85"/>
      <c r="O801" s="85"/>
      <c r="P801" s="85"/>
      <c r="Q801" s="86" t="str">
        <f>IFERROR(__xludf.DUMMYFUNCTION("""COMPUTED_VALUE"""),"REJECT")</f>
        <v>REJECT</v>
      </c>
      <c r="R801" s="66"/>
      <c r="S801" s="66"/>
      <c r="T801" s="66"/>
      <c r="U801" s="66"/>
      <c r="V801" s="66"/>
      <c r="W801" s="66"/>
      <c r="X801" s="66"/>
      <c r="Y801" s="66"/>
      <c r="Z801" s="66"/>
      <c r="AA801" s="66"/>
      <c r="AB801" s="66"/>
      <c r="AC801" s="66"/>
      <c r="AD801" s="66"/>
      <c r="AE801" s="66"/>
      <c r="AF801" s="66"/>
      <c r="AG801" s="66"/>
      <c r="AH801" s="66"/>
      <c r="AI801" s="66"/>
      <c r="AJ801" s="66"/>
      <c r="AK801" s="66"/>
      <c r="AL801" s="66"/>
      <c r="AM801" s="66"/>
      <c r="AN801" s="66"/>
      <c r="AO801" s="66"/>
    </row>
    <row r="802">
      <c r="A802" s="93"/>
      <c r="B802" s="85"/>
      <c r="C802" s="86"/>
      <c r="D802" s="93"/>
      <c r="E802" s="85"/>
      <c r="F802" s="85"/>
      <c r="G802" s="86"/>
      <c r="H802" s="78" t="str">
        <f>IFERROR(__xludf.DUMMYFUNCTION("""COMPUTED_VALUE"""),"")</f>
        <v/>
      </c>
      <c r="I802" s="85"/>
      <c r="J802" s="85"/>
      <c r="K802" s="85"/>
      <c r="L802" s="86" t="str">
        <f>IFERROR(__xludf.DUMMYFUNCTION("""COMPUTED_VALUE"""),"REJECT")</f>
        <v>REJECT</v>
      </c>
      <c r="M802" s="78" t="str">
        <f>IFERROR(__xludf.DUMMYFUNCTION("""COMPUTED_VALUE"""),"")</f>
        <v/>
      </c>
      <c r="N802" s="85"/>
      <c r="O802" s="85"/>
      <c r="P802" s="85"/>
      <c r="Q802" s="86" t="str">
        <f>IFERROR(__xludf.DUMMYFUNCTION("""COMPUTED_VALUE"""),"REJECT")</f>
        <v>REJECT</v>
      </c>
      <c r="R802" s="66"/>
      <c r="S802" s="66"/>
      <c r="T802" s="66"/>
      <c r="U802" s="66"/>
      <c r="V802" s="66"/>
      <c r="W802" s="66"/>
      <c r="X802" s="66"/>
      <c r="Y802" s="66"/>
      <c r="Z802" s="66"/>
      <c r="AA802" s="66"/>
      <c r="AB802" s="66"/>
      <c r="AC802" s="66"/>
      <c r="AD802" s="66"/>
      <c r="AE802" s="66"/>
      <c r="AF802" s="66"/>
      <c r="AG802" s="66"/>
      <c r="AH802" s="66"/>
      <c r="AI802" s="66"/>
      <c r="AJ802" s="66"/>
      <c r="AK802" s="66"/>
      <c r="AL802" s="66"/>
      <c r="AM802" s="66"/>
      <c r="AN802" s="66"/>
      <c r="AO802" s="66"/>
    </row>
    <row r="803">
      <c r="A803" s="93"/>
      <c r="B803" s="85"/>
      <c r="C803" s="86"/>
      <c r="D803" s="93"/>
      <c r="E803" s="85"/>
      <c r="F803" s="85"/>
      <c r="G803" s="86"/>
      <c r="H803" s="78" t="str">
        <f>IFERROR(__xludf.DUMMYFUNCTION("""COMPUTED_VALUE"""),"")</f>
        <v/>
      </c>
      <c r="I803" s="85"/>
      <c r="J803" s="85"/>
      <c r="K803" s="85"/>
      <c r="L803" s="86" t="str">
        <f>IFERROR(__xludf.DUMMYFUNCTION("""COMPUTED_VALUE"""),"REJECT")</f>
        <v>REJECT</v>
      </c>
      <c r="M803" s="78" t="str">
        <f>IFERROR(__xludf.DUMMYFUNCTION("""COMPUTED_VALUE"""),"")</f>
        <v/>
      </c>
      <c r="N803" s="85"/>
      <c r="O803" s="85"/>
      <c r="P803" s="85"/>
      <c r="Q803" s="86" t="str">
        <f>IFERROR(__xludf.DUMMYFUNCTION("""COMPUTED_VALUE"""),"REJECT")</f>
        <v>REJECT</v>
      </c>
      <c r="R803" s="66"/>
      <c r="S803" s="66"/>
      <c r="T803" s="66"/>
      <c r="U803" s="66"/>
      <c r="V803" s="66"/>
      <c r="W803" s="66"/>
      <c r="X803" s="66"/>
      <c r="Y803" s="66"/>
      <c r="Z803" s="66"/>
      <c r="AA803" s="66"/>
      <c r="AB803" s="66"/>
      <c r="AC803" s="66"/>
      <c r="AD803" s="66"/>
      <c r="AE803" s="66"/>
      <c r="AF803" s="66"/>
      <c r="AG803" s="66"/>
      <c r="AH803" s="66"/>
      <c r="AI803" s="66"/>
      <c r="AJ803" s="66"/>
      <c r="AK803" s="66"/>
      <c r="AL803" s="66"/>
      <c r="AM803" s="66"/>
      <c r="AN803" s="66"/>
      <c r="AO803" s="66"/>
    </row>
    <row r="804">
      <c r="A804" s="93"/>
      <c r="B804" s="85"/>
      <c r="C804" s="86"/>
      <c r="D804" s="93"/>
      <c r="E804" s="85"/>
      <c r="F804" s="85"/>
      <c r="G804" s="86"/>
      <c r="H804" s="78" t="str">
        <f>IFERROR(__xludf.DUMMYFUNCTION("""COMPUTED_VALUE"""),"")</f>
        <v/>
      </c>
      <c r="I804" s="85"/>
      <c r="J804" s="85"/>
      <c r="K804" s="85"/>
      <c r="L804" s="86" t="str">
        <f>IFERROR(__xludf.DUMMYFUNCTION("""COMPUTED_VALUE"""),"REJECT")</f>
        <v>REJECT</v>
      </c>
      <c r="M804" s="78" t="str">
        <f>IFERROR(__xludf.DUMMYFUNCTION("""COMPUTED_VALUE"""),"")</f>
        <v/>
      </c>
      <c r="N804" s="85"/>
      <c r="O804" s="85"/>
      <c r="P804" s="85"/>
      <c r="Q804" s="86" t="str">
        <f>IFERROR(__xludf.DUMMYFUNCTION("""COMPUTED_VALUE"""),"REJECT")</f>
        <v>REJECT</v>
      </c>
      <c r="R804" s="66"/>
      <c r="S804" s="66"/>
      <c r="T804" s="66"/>
      <c r="U804" s="66"/>
      <c r="V804" s="66"/>
      <c r="W804" s="66"/>
      <c r="X804" s="66"/>
      <c r="Y804" s="66"/>
      <c r="Z804" s="66"/>
      <c r="AA804" s="66"/>
      <c r="AB804" s="66"/>
      <c r="AC804" s="66"/>
      <c r="AD804" s="66"/>
      <c r="AE804" s="66"/>
      <c r="AF804" s="66"/>
      <c r="AG804" s="66"/>
      <c r="AH804" s="66"/>
      <c r="AI804" s="66"/>
      <c r="AJ804" s="66"/>
      <c r="AK804" s="66"/>
      <c r="AL804" s="66"/>
      <c r="AM804" s="66"/>
      <c r="AN804" s="66"/>
      <c r="AO804" s="66"/>
    </row>
    <row r="805">
      <c r="A805" s="93"/>
      <c r="B805" s="85"/>
      <c r="C805" s="86"/>
      <c r="D805" s="93"/>
      <c r="E805" s="85"/>
      <c r="F805" s="85"/>
      <c r="G805" s="86"/>
      <c r="H805" s="78" t="str">
        <f>IFERROR(__xludf.DUMMYFUNCTION("""COMPUTED_VALUE"""),"")</f>
        <v/>
      </c>
      <c r="I805" s="85"/>
      <c r="J805" s="85"/>
      <c r="K805" s="85"/>
      <c r="L805" s="86" t="str">
        <f>IFERROR(__xludf.DUMMYFUNCTION("""COMPUTED_VALUE"""),"REJECT")</f>
        <v>REJECT</v>
      </c>
      <c r="M805" s="78" t="str">
        <f>IFERROR(__xludf.DUMMYFUNCTION("""COMPUTED_VALUE"""),"")</f>
        <v/>
      </c>
      <c r="N805" s="85"/>
      <c r="O805" s="85"/>
      <c r="P805" s="85"/>
      <c r="Q805" s="86" t="str">
        <f>IFERROR(__xludf.DUMMYFUNCTION("""COMPUTED_VALUE"""),"REJECT")</f>
        <v>REJECT</v>
      </c>
      <c r="R805" s="66"/>
      <c r="S805" s="66"/>
      <c r="T805" s="66"/>
      <c r="U805" s="66"/>
      <c r="V805" s="66"/>
      <c r="W805" s="66"/>
      <c r="X805" s="66"/>
      <c r="Y805" s="66"/>
      <c r="Z805" s="66"/>
      <c r="AA805" s="66"/>
      <c r="AB805" s="66"/>
      <c r="AC805" s="66"/>
      <c r="AD805" s="66"/>
      <c r="AE805" s="66"/>
      <c r="AF805" s="66"/>
      <c r="AG805" s="66"/>
      <c r="AH805" s="66"/>
      <c r="AI805" s="66"/>
      <c r="AJ805" s="66"/>
      <c r="AK805" s="66"/>
      <c r="AL805" s="66"/>
      <c r="AM805" s="66"/>
      <c r="AN805" s="66"/>
      <c r="AO805" s="66"/>
    </row>
    <row r="806">
      <c r="A806" s="93"/>
      <c r="B806" s="85"/>
      <c r="C806" s="86"/>
      <c r="D806" s="93"/>
      <c r="E806" s="85"/>
      <c r="F806" s="85"/>
      <c r="G806" s="86"/>
      <c r="H806" s="78" t="str">
        <f>IFERROR(__xludf.DUMMYFUNCTION("""COMPUTED_VALUE"""),"")</f>
        <v/>
      </c>
      <c r="I806" s="85"/>
      <c r="J806" s="85"/>
      <c r="K806" s="85"/>
      <c r="L806" s="86" t="str">
        <f>IFERROR(__xludf.DUMMYFUNCTION("""COMPUTED_VALUE"""),"REJECT")</f>
        <v>REJECT</v>
      </c>
      <c r="M806" s="78" t="str">
        <f>IFERROR(__xludf.DUMMYFUNCTION("""COMPUTED_VALUE"""),"")</f>
        <v/>
      </c>
      <c r="N806" s="85"/>
      <c r="O806" s="85"/>
      <c r="P806" s="85"/>
      <c r="Q806" s="86" t="str">
        <f>IFERROR(__xludf.DUMMYFUNCTION("""COMPUTED_VALUE"""),"REJECT")</f>
        <v>REJECT</v>
      </c>
      <c r="R806" s="66"/>
      <c r="S806" s="66"/>
      <c r="T806" s="66"/>
      <c r="U806" s="66"/>
      <c r="V806" s="66"/>
      <c r="W806" s="66"/>
      <c r="X806" s="66"/>
      <c r="Y806" s="66"/>
      <c r="Z806" s="66"/>
      <c r="AA806" s="66"/>
      <c r="AB806" s="66"/>
      <c r="AC806" s="66"/>
      <c r="AD806" s="66"/>
      <c r="AE806" s="66"/>
      <c r="AF806" s="66"/>
      <c r="AG806" s="66"/>
      <c r="AH806" s="66"/>
      <c r="AI806" s="66"/>
      <c r="AJ806" s="66"/>
      <c r="AK806" s="66"/>
      <c r="AL806" s="66"/>
      <c r="AM806" s="66"/>
      <c r="AN806" s="66"/>
      <c r="AO806" s="66"/>
    </row>
    <row r="807">
      <c r="A807" s="93"/>
      <c r="B807" s="85"/>
      <c r="C807" s="86"/>
      <c r="D807" s="93"/>
      <c r="E807" s="85"/>
      <c r="F807" s="85"/>
      <c r="G807" s="86"/>
      <c r="H807" s="78" t="str">
        <f>IFERROR(__xludf.DUMMYFUNCTION("""COMPUTED_VALUE"""),"")</f>
        <v/>
      </c>
      <c r="I807" s="85"/>
      <c r="J807" s="85"/>
      <c r="K807" s="85"/>
      <c r="L807" s="86" t="str">
        <f>IFERROR(__xludf.DUMMYFUNCTION("""COMPUTED_VALUE"""),"REJECT")</f>
        <v>REJECT</v>
      </c>
      <c r="M807" s="78" t="str">
        <f>IFERROR(__xludf.DUMMYFUNCTION("""COMPUTED_VALUE"""),"")</f>
        <v/>
      </c>
      <c r="N807" s="85"/>
      <c r="O807" s="85"/>
      <c r="P807" s="85"/>
      <c r="Q807" s="86" t="str">
        <f>IFERROR(__xludf.DUMMYFUNCTION("""COMPUTED_VALUE"""),"REJECT")</f>
        <v>REJECT</v>
      </c>
      <c r="R807" s="66"/>
      <c r="S807" s="66"/>
      <c r="T807" s="66"/>
      <c r="U807" s="66"/>
      <c r="V807" s="66"/>
      <c r="W807" s="66"/>
      <c r="X807" s="66"/>
      <c r="Y807" s="66"/>
      <c r="Z807" s="66"/>
      <c r="AA807" s="66"/>
      <c r="AB807" s="66"/>
      <c r="AC807" s="66"/>
      <c r="AD807" s="66"/>
      <c r="AE807" s="66"/>
      <c r="AF807" s="66"/>
      <c r="AG807" s="66"/>
      <c r="AH807" s="66"/>
      <c r="AI807" s="66"/>
      <c r="AJ807" s="66"/>
      <c r="AK807" s="66"/>
      <c r="AL807" s="66"/>
      <c r="AM807" s="66"/>
      <c r="AN807" s="66"/>
      <c r="AO807" s="66"/>
    </row>
    <row r="808">
      <c r="A808" s="93"/>
      <c r="B808" s="85"/>
      <c r="C808" s="86"/>
      <c r="D808" s="93"/>
      <c r="E808" s="85"/>
      <c r="F808" s="85"/>
      <c r="G808" s="86"/>
      <c r="H808" s="78" t="str">
        <f>IFERROR(__xludf.DUMMYFUNCTION("""COMPUTED_VALUE"""),"")</f>
        <v/>
      </c>
      <c r="I808" s="85"/>
      <c r="J808" s="85"/>
      <c r="K808" s="85"/>
      <c r="L808" s="86" t="str">
        <f>IFERROR(__xludf.DUMMYFUNCTION("""COMPUTED_VALUE"""),"REJECT")</f>
        <v>REJECT</v>
      </c>
      <c r="M808" s="78" t="str">
        <f>IFERROR(__xludf.DUMMYFUNCTION("""COMPUTED_VALUE"""),"")</f>
        <v/>
      </c>
      <c r="N808" s="85"/>
      <c r="O808" s="85"/>
      <c r="P808" s="85"/>
      <c r="Q808" s="86" t="str">
        <f>IFERROR(__xludf.DUMMYFUNCTION("""COMPUTED_VALUE"""),"REJECT")</f>
        <v>REJECT</v>
      </c>
      <c r="R808" s="66"/>
      <c r="S808" s="66"/>
      <c r="T808" s="66"/>
      <c r="U808" s="66"/>
      <c r="V808" s="66"/>
      <c r="W808" s="66"/>
      <c r="X808" s="66"/>
      <c r="Y808" s="66"/>
      <c r="Z808" s="66"/>
      <c r="AA808" s="66"/>
      <c r="AB808" s="66"/>
      <c r="AC808" s="66"/>
      <c r="AD808" s="66"/>
      <c r="AE808" s="66"/>
      <c r="AF808" s="66"/>
      <c r="AG808" s="66"/>
      <c r="AH808" s="66"/>
      <c r="AI808" s="66"/>
      <c r="AJ808" s="66"/>
      <c r="AK808" s="66"/>
      <c r="AL808" s="66"/>
      <c r="AM808" s="66"/>
      <c r="AN808" s="66"/>
      <c r="AO808" s="66"/>
    </row>
    <row r="809">
      <c r="A809" s="93"/>
      <c r="B809" s="85"/>
      <c r="C809" s="86"/>
      <c r="D809" s="93"/>
      <c r="E809" s="85"/>
      <c r="F809" s="85"/>
      <c r="G809" s="86"/>
      <c r="H809" s="78" t="str">
        <f>IFERROR(__xludf.DUMMYFUNCTION("""COMPUTED_VALUE"""),"")</f>
        <v/>
      </c>
      <c r="I809" s="85"/>
      <c r="J809" s="85"/>
      <c r="K809" s="85"/>
      <c r="L809" s="86" t="str">
        <f>IFERROR(__xludf.DUMMYFUNCTION("""COMPUTED_VALUE"""),"REJECT")</f>
        <v>REJECT</v>
      </c>
      <c r="M809" s="78" t="str">
        <f>IFERROR(__xludf.DUMMYFUNCTION("""COMPUTED_VALUE"""),"")</f>
        <v/>
      </c>
      <c r="N809" s="85"/>
      <c r="O809" s="85"/>
      <c r="P809" s="85"/>
      <c r="Q809" s="86" t="str">
        <f>IFERROR(__xludf.DUMMYFUNCTION("""COMPUTED_VALUE"""),"REJECT")</f>
        <v>REJECT</v>
      </c>
      <c r="R809" s="66"/>
      <c r="S809" s="66"/>
      <c r="T809" s="66"/>
      <c r="U809" s="66"/>
      <c r="V809" s="66"/>
      <c r="W809" s="66"/>
      <c r="X809" s="66"/>
      <c r="Y809" s="66"/>
      <c r="Z809" s="66"/>
      <c r="AA809" s="66"/>
      <c r="AB809" s="66"/>
      <c r="AC809" s="66"/>
      <c r="AD809" s="66"/>
      <c r="AE809" s="66"/>
      <c r="AF809" s="66"/>
      <c r="AG809" s="66"/>
      <c r="AH809" s="66"/>
      <c r="AI809" s="66"/>
      <c r="AJ809" s="66"/>
      <c r="AK809" s="66"/>
      <c r="AL809" s="66"/>
      <c r="AM809" s="66"/>
      <c r="AN809" s="66"/>
      <c r="AO809" s="66"/>
    </row>
    <row r="810">
      <c r="A810" s="93"/>
      <c r="B810" s="85"/>
      <c r="C810" s="86"/>
      <c r="D810" s="93"/>
      <c r="E810" s="85"/>
      <c r="F810" s="85"/>
      <c r="G810" s="86"/>
      <c r="H810" s="78" t="str">
        <f>IFERROR(__xludf.DUMMYFUNCTION("""COMPUTED_VALUE"""),"")</f>
        <v/>
      </c>
      <c r="I810" s="85"/>
      <c r="J810" s="85"/>
      <c r="K810" s="85"/>
      <c r="L810" s="86" t="str">
        <f>IFERROR(__xludf.DUMMYFUNCTION("""COMPUTED_VALUE"""),"REJECT")</f>
        <v>REJECT</v>
      </c>
      <c r="M810" s="78" t="str">
        <f>IFERROR(__xludf.DUMMYFUNCTION("""COMPUTED_VALUE"""),"")</f>
        <v/>
      </c>
      <c r="N810" s="85"/>
      <c r="O810" s="85"/>
      <c r="P810" s="85"/>
      <c r="Q810" s="86" t="str">
        <f>IFERROR(__xludf.DUMMYFUNCTION("""COMPUTED_VALUE"""),"REJECT")</f>
        <v>REJECT</v>
      </c>
      <c r="R810" s="66"/>
      <c r="S810" s="66"/>
      <c r="T810" s="66"/>
      <c r="U810" s="66"/>
      <c r="V810" s="66"/>
      <c r="W810" s="66"/>
      <c r="X810" s="66"/>
      <c r="Y810" s="66"/>
      <c r="Z810" s="66"/>
      <c r="AA810" s="66"/>
      <c r="AB810" s="66"/>
      <c r="AC810" s="66"/>
      <c r="AD810" s="66"/>
      <c r="AE810" s="66"/>
      <c r="AF810" s="66"/>
      <c r="AG810" s="66"/>
      <c r="AH810" s="66"/>
      <c r="AI810" s="66"/>
      <c r="AJ810" s="66"/>
      <c r="AK810" s="66"/>
      <c r="AL810" s="66"/>
      <c r="AM810" s="66"/>
      <c r="AN810" s="66"/>
      <c r="AO810" s="66"/>
    </row>
    <row r="811">
      <c r="A811" s="93"/>
      <c r="B811" s="85"/>
      <c r="C811" s="86"/>
      <c r="D811" s="93"/>
      <c r="E811" s="85"/>
      <c r="F811" s="85"/>
      <c r="G811" s="86"/>
      <c r="H811" s="78" t="str">
        <f>IFERROR(__xludf.DUMMYFUNCTION("""COMPUTED_VALUE"""),"")</f>
        <v/>
      </c>
      <c r="I811" s="85"/>
      <c r="J811" s="85"/>
      <c r="K811" s="85"/>
      <c r="L811" s="86" t="str">
        <f>IFERROR(__xludf.DUMMYFUNCTION("""COMPUTED_VALUE"""),"REJECT")</f>
        <v>REJECT</v>
      </c>
      <c r="M811" s="78" t="str">
        <f>IFERROR(__xludf.DUMMYFUNCTION("""COMPUTED_VALUE"""),"")</f>
        <v/>
      </c>
      <c r="N811" s="85"/>
      <c r="O811" s="85"/>
      <c r="P811" s="85"/>
      <c r="Q811" s="86" t="str">
        <f>IFERROR(__xludf.DUMMYFUNCTION("""COMPUTED_VALUE"""),"REJECT")</f>
        <v>REJECT</v>
      </c>
      <c r="R811" s="66"/>
      <c r="S811" s="66"/>
      <c r="T811" s="66"/>
      <c r="U811" s="66"/>
      <c r="V811" s="66"/>
      <c r="W811" s="66"/>
      <c r="X811" s="66"/>
      <c r="Y811" s="66"/>
      <c r="Z811" s="66"/>
      <c r="AA811" s="66"/>
      <c r="AB811" s="66"/>
      <c r="AC811" s="66"/>
      <c r="AD811" s="66"/>
      <c r="AE811" s="66"/>
      <c r="AF811" s="66"/>
      <c r="AG811" s="66"/>
      <c r="AH811" s="66"/>
      <c r="AI811" s="66"/>
      <c r="AJ811" s="66"/>
      <c r="AK811" s="66"/>
      <c r="AL811" s="66"/>
      <c r="AM811" s="66"/>
      <c r="AN811" s="66"/>
      <c r="AO811" s="66"/>
    </row>
    <row r="812">
      <c r="A812" s="93"/>
      <c r="B812" s="85"/>
      <c r="C812" s="86"/>
      <c r="D812" s="93"/>
      <c r="E812" s="85"/>
      <c r="F812" s="85"/>
      <c r="G812" s="86"/>
      <c r="H812" s="78" t="str">
        <f>IFERROR(__xludf.DUMMYFUNCTION("""COMPUTED_VALUE"""),"")</f>
        <v/>
      </c>
      <c r="I812" s="85"/>
      <c r="J812" s="85"/>
      <c r="K812" s="85"/>
      <c r="L812" s="86" t="str">
        <f>IFERROR(__xludf.DUMMYFUNCTION("""COMPUTED_VALUE"""),"REJECT")</f>
        <v>REJECT</v>
      </c>
      <c r="M812" s="78" t="str">
        <f>IFERROR(__xludf.DUMMYFUNCTION("""COMPUTED_VALUE"""),"")</f>
        <v/>
      </c>
      <c r="N812" s="85"/>
      <c r="O812" s="85"/>
      <c r="P812" s="85"/>
      <c r="Q812" s="86" t="str">
        <f>IFERROR(__xludf.DUMMYFUNCTION("""COMPUTED_VALUE"""),"REJECT")</f>
        <v>REJECT</v>
      </c>
      <c r="R812" s="66"/>
      <c r="S812" s="66"/>
      <c r="T812" s="66"/>
      <c r="U812" s="66"/>
      <c r="V812" s="66"/>
      <c r="W812" s="66"/>
      <c r="X812" s="66"/>
      <c r="Y812" s="66"/>
      <c r="Z812" s="66"/>
      <c r="AA812" s="66"/>
      <c r="AB812" s="66"/>
      <c r="AC812" s="66"/>
      <c r="AD812" s="66"/>
      <c r="AE812" s="66"/>
      <c r="AF812" s="66"/>
      <c r="AG812" s="66"/>
      <c r="AH812" s="66"/>
      <c r="AI812" s="66"/>
      <c r="AJ812" s="66"/>
      <c r="AK812" s="66"/>
      <c r="AL812" s="66"/>
      <c r="AM812" s="66"/>
      <c r="AN812" s="66"/>
      <c r="AO812" s="66"/>
    </row>
    <row r="813">
      <c r="A813" s="93"/>
      <c r="B813" s="85"/>
      <c r="C813" s="86"/>
      <c r="D813" s="93"/>
      <c r="E813" s="85"/>
      <c r="F813" s="85"/>
      <c r="G813" s="86"/>
      <c r="H813" s="78" t="str">
        <f>IFERROR(__xludf.DUMMYFUNCTION("""COMPUTED_VALUE"""),"")</f>
        <v/>
      </c>
      <c r="I813" s="85"/>
      <c r="J813" s="85"/>
      <c r="K813" s="85"/>
      <c r="L813" s="86" t="str">
        <f>IFERROR(__xludf.DUMMYFUNCTION("""COMPUTED_VALUE"""),"REJECT")</f>
        <v>REJECT</v>
      </c>
      <c r="M813" s="78" t="str">
        <f>IFERROR(__xludf.DUMMYFUNCTION("""COMPUTED_VALUE"""),"")</f>
        <v/>
      </c>
      <c r="N813" s="85"/>
      <c r="O813" s="85"/>
      <c r="P813" s="85"/>
      <c r="Q813" s="86" t="str">
        <f>IFERROR(__xludf.DUMMYFUNCTION("""COMPUTED_VALUE"""),"REJECT")</f>
        <v>REJECT</v>
      </c>
      <c r="R813" s="66"/>
      <c r="S813" s="66"/>
      <c r="T813" s="66"/>
      <c r="U813" s="66"/>
      <c r="V813" s="66"/>
      <c r="W813" s="66"/>
      <c r="X813" s="66"/>
      <c r="Y813" s="66"/>
      <c r="Z813" s="66"/>
      <c r="AA813" s="66"/>
      <c r="AB813" s="66"/>
      <c r="AC813" s="66"/>
      <c r="AD813" s="66"/>
      <c r="AE813" s="66"/>
      <c r="AF813" s="66"/>
      <c r="AG813" s="66"/>
      <c r="AH813" s="66"/>
      <c r="AI813" s="66"/>
      <c r="AJ813" s="66"/>
      <c r="AK813" s="66"/>
      <c r="AL813" s="66"/>
      <c r="AM813" s="66"/>
      <c r="AN813" s="66"/>
      <c r="AO813" s="66"/>
    </row>
    <row r="814">
      <c r="A814" s="93"/>
      <c r="B814" s="85"/>
      <c r="C814" s="86"/>
      <c r="D814" s="93"/>
      <c r="E814" s="85"/>
      <c r="F814" s="85"/>
      <c r="G814" s="86"/>
      <c r="H814" s="78" t="str">
        <f>IFERROR(__xludf.DUMMYFUNCTION("""COMPUTED_VALUE"""),"")</f>
        <v/>
      </c>
      <c r="I814" s="85"/>
      <c r="J814" s="85"/>
      <c r="K814" s="85"/>
      <c r="L814" s="86" t="str">
        <f>IFERROR(__xludf.DUMMYFUNCTION("""COMPUTED_VALUE"""),"REJECT")</f>
        <v>REJECT</v>
      </c>
      <c r="M814" s="78" t="str">
        <f>IFERROR(__xludf.DUMMYFUNCTION("""COMPUTED_VALUE"""),"")</f>
        <v/>
      </c>
      <c r="N814" s="85"/>
      <c r="O814" s="85"/>
      <c r="P814" s="85"/>
      <c r="Q814" s="86" t="str">
        <f>IFERROR(__xludf.DUMMYFUNCTION("""COMPUTED_VALUE"""),"REJECT")</f>
        <v>REJECT</v>
      </c>
      <c r="R814" s="66"/>
      <c r="S814" s="66"/>
      <c r="T814" s="66"/>
      <c r="U814" s="66"/>
      <c r="V814" s="66"/>
      <c r="W814" s="66"/>
      <c r="X814" s="66"/>
      <c r="Y814" s="66"/>
      <c r="Z814" s="66"/>
      <c r="AA814" s="66"/>
      <c r="AB814" s="66"/>
      <c r="AC814" s="66"/>
      <c r="AD814" s="66"/>
      <c r="AE814" s="66"/>
      <c r="AF814" s="66"/>
      <c r="AG814" s="66"/>
      <c r="AH814" s="66"/>
      <c r="AI814" s="66"/>
      <c r="AJ814" s="66"/>
      <c r="AK814" s="66"/>
      <c r="AL814" s="66"/>
      <c r="AM814" s="66"/>
      <c r="AN814" s="66"/>
      <c r="AO814" s="66"/>
    </row>
    <row r="815">
      <c r="A815" s="93"/>
      <c r="B815" s="85"/>
      <c r="C815" s="86"/>
      <c r="D815" s="93"/>
      <c r="E815" s="85"/>
      <c r="F815" s="85"/>
      <c r="G815" s="86"/>
      <c r="H815" s="78" t="str">
        <f>IFERROR(__xludf.DUMMYFUNCTION("""COMPUTED_VALUE"""),"")</f>
        <v/>
      </c>
      <c r="I815" s="85"/>
      <c r="J815" s="85"/>
      <c r="K815" s="85"/>
      <c r="L815" s="86" t="str">
        <f>IFERROR(__xludf.DUMMYFUNCTION("""COMPUTED_VALUE"""),"REJECT")</f>
        <v>REJECT</v>
      </c>
      <c r="M815" s="78" t="str">
        <f>IFERROR(__xludf.DUMMYFUNCTION("""COMPUTED_VALUE"""),"")</f>
        <v/>
      </c>
      <c r="N815" s="85"/>
      <c r="O815" s="85"/>
      <c r="P815" s="85"/>
      <c r="Q815" s="86" t="str">
        <f>IFERROR(__xludf.DUMMYFUNCTION("""COMPUTED_VALUE"""),"REJECT")</f>
        <v>REJECT</v>
      </c>
      <c r="R815" s="66"/>
      <c r="S815" s="66"/>
      <c r="T815" s="66"/>
      <c r="U815" s="66"/>
      <c r="V815" s="66"/>
      <c r="W815" s="66"/>
      <c r="X815" s="66"/>
      <c r="Y815" s="66"/>
      <c r="Z815" s="66"/>
      <c r="AA815" s="66"/>
      <c r="AB815" s="66"/>
      <c r="AC815" s="66"/>
      <c r="AD815" s="66"/>
      <c r="AE815" s="66"/>
      <c r="AF815" s="66"/>
      <c r="AG815" s="66"/>
      <c r="AH815" s="66"/>
      <c r="AI815" s="66"/>
      <c r="AJ815" s="66"/>
      <c r="AK815" s="66"/>
      <c r="AL815" s="66"/>
      <c r="AM815" s="66"/>
      <c r="AN815" s="66"/>
      <c r="AO815" s="66"/>
    </row>
    <row r="816">
      <c r="A816" s="93"/>
      <c r="B816" s="85"/>
      <c r="C816" s="86"/>
      <c r="D816" s="93"/>
      <c r="E816" s="85"/>
      <c r="F816" s="85"/>
      <c r="G816" s="86"/>
      <c r="H816" s="78" t="str">
        <f>IFERROR(__xludf.DUMMYFUNCTION("""COMPUTED_VALUE"""),"")</f>
        <v/>
      </c>
      <c r="I816" s="85"/>
      <c r="J816" s="85"/>
      <c r="K816" s="85"/>
      <c r="L816" s="86" t="str">
        <f>IFERROR(__xludf.DUMMYFUNCTION("""COMPUTED_VALUE"""),"REJECT")</f>
        <v>REJECT</v>
      </c>
      <c r="M816" s="78" t="str">
        <f>IFERROR(__xludf.DUMMYFUNCTION("""COMPUTED_VALUE"""),"")</f>
        <v/>
      </c>
      <c r="N816" s="85"/>
      <c r="O816" s="85"/>
      <c r="P816" s="85"/>
      <c r="Q816" s="86" t="str">
        <f>IFERROR(__xludf.DUMMYFUNCTION("""COMPUTED_VALUE"""),"REJECT")</f>
        <v>REJECT</v>
      </c>
      <c r="R816" s="66"/>
      <c r="S816" s="66"/>
      <c r="T816" s="66"/>
      <c r="U816" s="66"/>
      <c r="V816" s="66"/>
      <c r="W816" s="66"/>
      <c r="X816" s="66"/>
      <c r="Y816" s="66"/>
      <c r="Z816" s="66"/>
      <c r="AA816" s="66"/>
      <c r="AB816" s="66"/>
      <c r="AC816" s="66"/>
      <c r="AD816" s="66"/>
      <c r="AE816" s="66"/>
      <c r="AF816" s="66"/>
      <c r="AG816" s="66"/>
      <c r="AH816" s="66"/>
      <c r="AI816" s="66"/>
      <c r="AJ816" s="66"/>
      <c r="AK816" s="66"/>
      <c r="AL816" s="66"/>
      <c r="AM816" s="66"/>
      <c r="AN816" s="66"/>
      <c r="AO816" s="66"/>
    </row>
    <row r="817">
      <c r="A817" s="93"/>
      <c r="B817" s="85"/>
      <c r="C817" s="86"/>
      <c r="D817" s="93"/>
      <c r="E817" s="85"/>
      <c r="F817" s="85"/>
      <c r="G817" s="86"/>
      <c r="H817" s="78" t="str">
        <f>IFERROR(__xludf.DUMMYFUNCTION("""COMPUTED_VALUE"""),"")</f>
        <v/>
      </c>
      <c r="I817" s="85"/>
      <c r="J817" s="85"/>
      <c r="K817" s="85"/>
      <c r="L817" s="86" t="str">
        <f>IFERROR(__xludf.DUMMYFUNCTION("""COMPUTED_VALUE"""),"REJECT")</f>
        <v>REJECT</v>
      </c>
      <c r="M817" s="78" t="str">
        <f>IFERROR(__xludf.DUMMYFUNCTION("""COMPUTED_VALUE"""),"")</f>
        <v/>
      </c>
      <c r="N817" s="85"/>
      <c r="O817" s="85"/>
      <c r="P817" s="85"/>
      <c r="Q817" s="86" t="str">
        <f>IFERROR(__xludf.DUMMYFUNCTION("""COMPUTED_VALUE"""),"REJECT")</f>
        <v>REJECT</v>
      </c>
      <c r="R817" s="66"/>
      <c r="S817" s="66"/>
      <c r="T817" s="66"/>
      <c r="U817" s="66"/>
      <c r="V817" s="66"/>
      <c r="W817" s="66"/>
      <c r="X817" s="66"/>
      <c r="Y817" s="66"/>
      <c r="Z817" s="66"/>
      <c r="AA817" s="66"/>
      <c r="AB817" s="66"/>
      <c r="AC817" s="66"/>
      <c r="AD817" s="66"/>
      <c r="AE817" s="66"/>
      <c r="AF817" s="66"/>
      <c r="AG817" s="66"/>
      <c r="AH817" s="66"/>
      <c r="AI817" s="66"/>
      <c r="AJ817" s="66"/>
      <c r="AK817" s="66"/>
      <c r="AL817" s="66"/>
      <c r="AM817" s="66"/>
      <c r="AN817" s="66"/>
      <c r="AO817" s="66"/>
    </row>
    <row r="818">
      <c r="A818" s="93"/>
      <c r="B818" s="85"/>
      <c r="C818" s="86"/>
      <c r="D818" s="93"/>
      <c r="E818" s="85"/>
      <c r="F818" s="85"/>
      <c r="G818" s="86"/>
      <c r="H818" s="78" t="str">
        <f>IFERROR(__xludf.DUMMYFUNCTION("""COMPUTED_VALUE"""),"")</f>
        <v/>
      </c>
      <c r="I818" s="85"/>
      <c r="J818" s="85"/>
      <c r="K818" s="85"/>
      <c r="L818" s="86" t="str">
        <f>IFERROR(__xludf.DUMMYFUNCTION("""COMPUTED_VALUE"""),"REJECT")</f>
        <v>REJECT</v>
      </c>
      <c r="M818" s="78" t="str">
        <f>IFERROR(__xludf.DUMMYFUNCTION("""COMPUTED_VALUE"""),"")</f>
        <v/>
      </c>
      <c r="N818" s="85"/>
      <c r="O818" s="85"/>
      <c r="P818" s="85"/>
      <c r="Q818" s="86" t="str">
        <f>IFERROR(__xludf.DUMMYFUNCTION("""COMPUTED_VALUE"""),"REJECT")</f>
        <v>REJECT</v>
      </c>
      <c r="R818" s="66"/>
      <c r="S818" s="66"/>
      <c r="T818" s="66"/>
      <c r="U818" s="66"/>
      <c r="V818" s="66"/>
      <c r="W818" s="66"/>
      <c r="X818" s="66"/>
      <c r="Y818" s="66"/>
      <c r="Z818" s="66"/>
      <c r="AA818" s="66"/>
      <c r="AB818" s="66"/>
      <c r="AC818" s="66"/>
      <c r="AD818" s="66"/>
      <c r="AE818" s="66"/>
      <c r="AF818" s="66"/>
      <c r="AG818" s="66"/>
      <c r="AH818" s="66"/>
      <c r="AI818" s="66"/>
      <c r="AJ818" s="66"/>
      <c r="AK818" s="66"/>
      <c r="AL818" s="66"/>
      <c r="AM818" s="66"/>
      <c r="AN818" s="66"/>
      <c r="AO818" s="66"/>
    </row>
    <row r="819">
      <c r="A819" s="93"/>
      <c r="B819" s="85"/>
      <c r="C819" s="86"/>
      <c r="D819" s="93"/>
      <c r="E819" s="85"/>
      <c r="F819" s="85"/>
      <c r="G819" s="86"/>
      <c r="H819" s="78" t="str">
        <f>IFERROR(__xludf.DUMMYFUNCTION("""COMPUTED_VALUE"""),"")</f>
        <v/>
      </c>
      <c r="I819" s="85"/>
      <c r="J819" s="85"/>
      <c r="K819" s="85"/>
      <c r="L819" s="86" t="str">
        <f>IFERROR(__xludf.DUMMYFUNCTION("""COMPUTED_VALUE"""),"REJECT")</f>
        <v>REJECT</v>
      </c>
      <c r="M819" s="78" t="str">
        <f>IFERROR(__xludf.DUMMYFUNCTION("""COMPUTED_VALUE"""),"")</f>
        <v/>
      </c>
      <c r="N819" s="85"/>
      <c r="O819" s="85"/>
      <c r="P819" s="85"/>
      <c r="Q819" s="86" t="str">
        <f>IFERROR(__xludf.DUMMYFUNCTION("""COMPUTED_VALUE"""),"REJECT")</f>
        <v>REJECT</v>
      </c>
      <c r="R819" s="66"/>
      <c r="S819" s="66"/>
      <c r="T819" s="66"/>
      <c r="U819" s="66"/>
      <c r="V819" s="66"/>
      <c r="W819" s="66"/>
      <c r="X819" s="66"/>
      <c r="Y819" s="66"/>
      <c r="Z819" s="66"/>
      <c r="AA819" s="66"/>
      <c r="AB819" s="66"/>
      <c r="AC819" s="66"/>
      <c r="AD819" s="66"/>
      <c r="AE819" s="66"/>
      <c r="AF819" s="66"/>
      <c r="AG819" s="66"/>
      <c r="AH819" s="66"/>
      <c r="AI819" s="66"/>
      <c r="AJ819" s="66"/>
      <c r="AK819" s="66"/>
      <c r="AL819" s="66"/>
      <c r="AM819" s="66"/>
      <c r="AN819" s="66"/>
      <c r="AO819" s="66"/>
    </row>
    <row r="820">
      <c r="A820" s="93"/>
      <c r="B820" s="85"/>
      <c r="C820" s="86"/>
      <c r="D820" s="93"/>
      <c r="E820" s="85"/>
      <c r="F820" s="85"/>
      <c r="G820" s="86"/>
      <c r="H820" s="78" t="str">
        <f>IFERROR(__xludf.DUMMYFUNCTION("""COMPUTED_VALUE"""),"")</f>
        <v/>
      </c>
      <c r="I820" s="85"/>
      <c r="J820" s="85"/>
      <c r="K820" s="85"/>
      <c r="L820" s="86" t="str">
        <f>IFERROR(__xludf.DUMMYFUNCTION("""COMPUTED_VALUE"""),"REJECT")</f>
        <v>REJECT</v>
      </c>
      <c r="M820" s="78" t="str">
        <f>IFERROR(__xludf.DUMMYFUNCTION("""COMPUTED_VALUE"""),"")</f>
        <v/>
      </c>
      <c r="N820" s="85"/>
      <c r="O820" s="85"/>
      <c r="P820" s="85"/>
      <c r="Q820" s="86" t="str">
        <f>IFERROR(__xludf.DUMMYFUNCTION("""COMPUTED_VALUE"""),"REJECT")</f>
        <v>REJECT</v>
      </c>
      <c r="R820" s="66"/>
      <c r="S820" s="66"/>
      <c r="T820" s="66"/>
      <c r="U820" s="66"/>
      <c r="V820" s="66"/>
      <c r="W820" s="66"/>
      <c r="X820" s="66"/>
      <c r="Y820" s="66"/>
      <c r="Z820" s="66"/>
      <c r="AA820" s="66"/>
      <c r="AB820" s="66"/>
      <c r="AC820" s="66"/>
      <c r="AD820" s="66"/>
      <c r="AE820" s="66"/>
      <c r="AF820" s="66"/>
      <c r="AG820" s="66"/>
      <c r="AH820" s="66"/>
      <c r="AI820" s="66"/>
      <c r="AJ820" s="66"/>
      <c r="AK820" s="66"/>
      <c r="AL820" s="66"/>
      <c r="AM820" s="66"/>
      <c r="AN820" s="66"/>
      <c r="AO820" s="66"/>
    </row>
    <row r="821">
      <c r="A821" s="93"/>
      <c r="B821" s="85"/>
      <c r="C821" s="86"/>
      <c r="D821" s="93"/>
      <c r="E821" s="85"/>
      <c r="F821" s="85"/>
      <c r="G821" s="86"/>
      <c r="H821" s="78" t="str">
        <f>IFERROR(__xludf.DUMMYFUNCTION("""COMPUTED_VALUE"""),"")</f>
        <v/>
      </c>
      <c r="I821" s="85"/>
      <c r="J821" s="85"/>
      <c r="K821" s="85"/>
      <c r="L821" s="86" t="str">
        <f>IFERROR(__xludf.DUMMYFUNCTION("""COMPUTED_VALUE"""),"REJECT")</f>
        <v>REJECT</v>
      </c>
      <c r="M821" s="78" t="str">
        <f>IFERROR(__xludf.DUMMYFUNCTION("""COMPUTED_VALUE"""),"")</f>
        <v/>
      </c>
      <c r="N821" s="85"/>
      <c r="O821" s="85"/>
      <c r="P821" s="85"/>
      <c r="Q821" s="86" t="str">
        <f>IFERROR(__xludf.DUMMYFUNCTION("""COMPUTED_VALUE"""),"REJECT")</f>
        <v>REJECT</v>
      </c>
      <c r="R821" s="66"/>
      <c r="S821" s="66"/>
      <c r="T821" s="66"/>
      <c r="U821" s="66"/>
      <c r="V821" s="66"/>
      <c r="W821" s="66"/>
      <c r="X821" s="66"/>
      <c r="Y821" s="66"/>
      <c r="Z821" s="66"/>
      <c r="AA821" s="66"/>
      <c r="AB821" s="66"/>
      <c r="AC821" s="66"/>
      <c r="AD821" s="66"/>
      <c r="AE821" s="66"/>
      <c r="AF821" s="66"/>
      <c r="AG821" s="66"/>
      <c r="AH821" s="66"/>
      <c r="AI821" s="66"/>
      <c r="AJ821" s="66"/>
      <c r="AK821" s="66"/>
      <c r="AL821" s="66"/>
      <c r="AM821" s="66"/>
      <c r="AN821" s="66"/>
      <c r="AO821" s="66"/>
    </row>
    <row r="822">
      <c r="A822" s="93"/>
      <c r="B822" s="85"/>
      <c r="C822" s="86"/>
      <c r="D822" s="93"/>
      <c r="E822" s="85"/>
      <c r="F822" s="85"/>
      <c r="G822" s="86"/>
      <c r="H822" s="78" t="str">
        <f>IFERROR(__xludf.DUMMYFUNCTION("""COMPUTED_VALUE"""),"")</f>
        <v/>
      </c>
      <c r="I822" s="85"/>
      <c r="J822" s="85"/>
      <c r="K822" s="85"/>
      <c r="L822" s="86" t="str">
        <f>IFERROR(__xludf.DUMMYFUNCTION("""COMPUTED_VALUE"""),"REJECT")</f>
        <v>REJECT</v>
      </c>
      <c r="M822" s="78" t="str">
        <f>IFERROR(__xludf.DUMMYFUNCTION("""COMPUTED_VALUE"""),"")</f>
        <v/>
      </c>
      <c r="N822" s="85"/>
      <c r="O822" s="85"/>
      <c r="P822" s="85"/>
      <c r="Q822" s="86" t="str">
        <f>IFERROR(__xludf.DUMMYFUNCTION("""COMPUTED_VALUE"""),"REJECT")</f>
        <v>REJECT</v>
      </c>
      <c r="R822" s="66"/>
      <c r="S822" s="66"/>
      <c r="T822" s="66"/>
      <c r="U822" s="66"/>
      <c r="V822" s="66"/>
      <c r="W822" s="66"/>
      <c r="X822" s="66"/>
      <c r="Y822" s="66"/>
      <c r="Z822" s="66"/>
      <c r="AA822" s="66"/>
      <c r="AB822" s="66"/>
      <c r="AC822" s="66"/>
      <c r="AD822" s="66"/>
      <c r="AE822" s="66"/>
      <c r="AF822" s="66"/>
      <c r="AG822" s="66"/>
      <c r="AH822" s="66"/>
      <c r="AI822" s="66"/>
      <c r="AJ822" s="66"/>
      <c r="AK822" s="66"/>
      <c r="AL822" s="66"/>
      <c r="AM822" s="66"/>
      <c r="AN822" s="66"/>
      <c r="AO822" s="66"/>
    </row>
    <row r="823">
      <c r="A823" s="93"/>
      <c r="B823" s="85"/>
      <c r="C823" s="86"/>
      <c r="D823" s="93"/>
      <c r="E823" s="85"/>
      <c r="F823" s="85"/>
      <c r="G823" s="86"/>
      <c r="H823" s="78" t="str">
        <f>IFERROR(__xludf.DUMMYFUNCTION("""COMPUTED_VALUE"""),"")</f>
        <v/>
      </c>
      <c r="I823" s="85"/>
      <c r="J823" s="85"/>
      <c r="K823" s="85"/>
      <c r="L823" s="86" t="str">
        <f>IFERROR(__xludf.DUMMYFUNCTION("""COMPUTED_VALUE"""),"REJECT")</f>
        <v>REJECT</v>
      </c>
      <c r="M823" s="78" t="str">
        <f>IFERROR(__xludf.DUMMYFUNCTION("""COMPUTED_VALUE"""),"")</f>
        <v/>
      </c>
      <c r="N823" s="85"/>
      <c r="O823" s="85"/>
      <c r="P823" s="85"/>
      <c r="Q823" s="86" t="str">
        <f>IFERROR(__xludf.DUMMYFUNCTION("""COMPUTED_VALUE"""),"REJECT")</f>
        <v>REJECT</v>
      </c>
      <c r="R823" s="66"/>
      <c r="S823" s="66"/>
      <c r="T823" s="66"/>
      <c r="U823" s="66"/>
      <c r="V823" s="66"/>
      <c r="W823" s="66"/>
      <c r="X823" s="66"/>
      <c r="Y823" s="66"/>
      <c r="Z823" s="66"/>
      <c r="AA823" s="66"/>
      <c r="AB823" s="66"/>
      <c r="AC823" s="66"/>
      <c r="AD823" s="66"/>
      <c r="AE823" s="66"/>
      <c r="AF823" s="66"/>
      <c r="AG823" s="66"/>
      <c r="AH823" s="66"/>
      <c r="AI823" s="66"/>
      <c r="AJ823" s="66"/>
      <c r="AK823" s="66"/>
      <c r="AL823" s="66"/>
      <c r="AM823" s="66"/>
      <c r="AN823" s="66"/>
      <c r="AO823" s="66"/>
    </row>
    <row r="824">
      <c r="A824" s="93"/>
      <c r="B824" s="85"/>
      <c r="C824" s="86"/>
      <c r="D824" s="93"/>
      <c r="E824" s="85"/>
      <c r="F824" s="85"/>
      <c r="G824" s="86"/>
      <c r="H824" s="78" t="str">
        <f>IFERROR(__xludf.DUMMYFUNCTION("""COMPUTED_VALUE"""),"")</f>
        <v/>
      </c>
      <c r="I824" s="85"/>
      <c r="J824" s="85"/>
      <c r="K824" s="85"/>
      <c r="L824" s="86" t="str">
        <f>IFERROR(__xludf.DUMMYFUNCTION("""COMPUTED_VALUE"""),"REJECT")</f>
        <v>REJECT</v>
      </c>
      <c r="M824" s="78" t="str">
        <f>IFERROR(__xludf.DUMMYFUNCTION("""COMPUTED_VALUE"""),"")</f>
        <v/>
      </c>
      <c r="N824" s="85"/>
      <c r="O824" s="85"/>
      <c r="P824" s="85"/>
      <c r="Q824" s="86" t="str">
        <f>IFERROR(__xludf.DUMMYFUNCTION("""COMPUTED_VALUE"""),"REJECT")</f>
        <v>REJECT</v>
      </c>
      <c r="R824" s="66"/>
      <c r="S824" s="66"/>
      <c r="T824" s="66"/>
      <c r="U824" s="66"/>
      <c r="V824" s="66"/>
      <c r="W824" s="66"/>
      <c r="X824" s="66"/>
      <c r="Y824" s="66"/>
      <c r="Z824" s="66"/>
      <c r="AA824" s="66"/>
      <c r="AB824" s="66"/>
      <c r="AC824" s="66"/>
      <c r="AD824" s="66"/>
      <c r="AE824" s="66"/>
      <c r="AF824" s="66"/>
      <c r="AG824" s="66"/>
      <c r="AH824" s="66"/>
      <c r="AI824" s="66"/>
      <c r="AJ824" s="66"/>
      <c r="AK824" s="66"/>
      <c r="AL824" s="66"/>
      <c r="AM824" s="66"/>
      <c r="AN824" s="66"/>
      <c r="AO824" s="66"/>
    </row>
    <row r="825">
      <c r="A825" s="93"/>
      <c r="B825" s="85"/>
      <c r="C825" s="86"/>
      <c r="D825" s="93"/>
      <c r="E825" s="85"/>
      <c r="F825" s="85"/>
      <c r="G825" s="86"/>
      <c r="H825" s="78" t="str">
        <f>IFERROR(__xludf.DUMMYFUNCTION("""COMPUTED_VALUE"""),"")</f>
        <v/>
      </c>
      <c r="I825" s="85"/>
      <c r="J825" s="85"/>
      <c r="K825" s="85"/>
      <c r="L825" s="86" t="str">
        <f>IFERROR(__xludf.DUMMYFUNCTION("""COMPUTED_VALUE"""),"REJECT")</f>
        <v>REJECT</v>
      </c>
      <c r="M825" s="78" t="str">
        <f>IFERROR(__xludf.DUMMYFUNCTION("""COMPUTED_VALUE"""),"")</f>
        <v/>
      </c>
      <c r="N825" s="85"/>
      <c r="O825" s="85"/>
      <c r="P825" s="85"/>
      <c r="Q825" s="86" t="str">
        <f>IFERROR(__xludf.DUMMYFUNCTION("""COMPUTED_VALUE"""),"REJECT")</f>
        <v>REJECT</v>
      </c>
      <c r="R825" s="66"/>
      <c r="S825" s="66"/>
      <c r="T825" s="66"/>
      <c r="U825" s="66"/>
      <c r="V825" s="66"/>
      <c r="W825" s="66"/>
      <c r="X825" s="66"/>
      <c r="Y825" s="66"/>
      <c r="Z825" s="66"/>
      <c r="AA825" s="66"/>
      <c r="AB825" s="66"/>
      <c r="AC825" s="66"/>
      <c r="AD825" s="66"/>
      <c r="AE825" s="66"/>
      <c r="AF825" s="66"/>
      <c r="AG825" s="66"/>
      <c r="AH825" s="66"/>
      <c r="AI825" s="66"/>
      <c r="AJ825" s="66"/>
      <c r="AK825" s="66"/>
      <c r="AL825" s="66"/>
      <c r="AM825" s="66"/>
      <c r="AN825" s="66"/>
      <c r="AO825" s="66"/>
    </row>
    <row r="826">
      <c r="A826" s="93"/>
      <c r="B826" s="85"/>
      <c r="C826" s="86"/>
      <c r="D826" s="93"/>
      <c r="E826" s="85"/>
      <c r="F826" s="85"/>
      <c r="G826" s="86"/>
      <c r="H826" s="78" t="str">
        <f>IFERROR(__xludf.DUMMYFUNCTION("""COMPUTED_VALUE"""),"")</f>
        <v/>
      </c>
      <c r="I826" s="85"/>
      <c r="J826" s="85"/>
      <c r="K826" s="85"/>
      <c r="L826" s="86" t="str">
        <f>IFERROR(__xludf.DUMMYFUNCTION("""COMPUTED_VALUE"""),"REJECT")</f>
        <v>REJECT</v>
      </c>
      <c r="M826" s="78" t="str">
        <f>IFERROR(__xludf.DUMMYFUNCTION("""COMPUTED_VALUE"""),"")</f>
        <v/>
      </c>
      <c r="N826" s="85"/>
      <c r="O826" s="85"/>
      <c r="P826" s="85"/>
      <c r="Q826" s="86" t="str">
        <f>IFERROR(__xludf.DUMMYFUNCTION("""COMPUTED_VALUE"""),"REJECT")</f>
        <v>REJECT</v>
      </c>
      <c r="R826" s="66"/>
      <c r="S826" s="66"/>
      <c r="T826" s="66"/>
      <c r="U826" s="66"/>
      <c r="V826" s="66"/>
      <c r="W826" s="66"/>
      <c r="X826" s="66"/>
      <c r="Y826" s="66"/>
      <c r="Z826" s="66"/>
      <c r="AA826" s="66"/>
      <c r="AB826" s="66"/>
      <c r="AC826" s="66"/>
      <c r="AD826" s="66"/>
      <c r="AE826" s="66"/>
      <c r="AF826" s="66"/>
      <c r="AG826" s="66"/>
      <c r="AH826" s="66"/>
      <c r="AI826" s="66"/>
      <c r="AJ826" s="66"/>
      <c r="AK826" s="66"/>
      <c r="AL826" s="66"/>
      <c r="AM826" s="66"/>
      <c r="AN826" s="66"/>
      <c r="AO826" s="66"/>
    </row>
    <row r="827">
      <c r="A827" s="93"/>
      <c r="B827" s="85"/>
      <c r="C827" s="86"/>
      <c r="D827" s="93"/>
      <c r="E827" s="85"/>
      <c r="F827" s="85"/>
      <c r="G827" s="86"/>
      <c r="H827" s="78" t="str">
        <f>IFERROR(__xludf.DUMMYFUNCTION("""COMPUTED_VALUE"""),"")</f>
        <v/>
      </c>
      <c r="I827" s="85"/>
      <c r="J827" s="85"/>
      <c r="K827" s="85"/>
      <c r="L827" s="86" t="str">
        <f>IFERROR(__xludf.DUMMYFUNCTION("""COMPUTED_VALUE"""),"REJECT")</f>
        <v>REJECT</v>
      </c>
      <c r="M827" s="78" t="str">
        <f>IFERROR(__xludf.DUMMYFUNCTION("""COMPUTED_VALUE"""),"")</f>
        <v/>
      </c>
      <c r="N827" s="85"/>
      <c r="O827" s="85"/>
      <c r="P827" s="85"/>
      <c r="Q827" s="86" t="str">
        <f>IFERROR(__xludf.DUMMYFUNCTION("""COMPUTED_VALUE"""),"REJECT")</f>
        <v>REJECT</v>
      </c>
      <c r="R827" s="66"/>
      <c r="S827" s="66"/>
      <c r="T827" s="66"/>
      <c r="U827" s="66"/>
      <c r="V827" s="66"/>
      <c r="W827" s="66"/>
      <c r="X827" s="66"/>
      <c r="Y827" s="66"/>
      <c r="Z827" s="66"/>
      <c r="AA827" s="66"/>
      <c r="AB827" s="66"/>
      <c r="AC827" s="66"/>
      <c r="AD827" s="66"/>
      <c r="AE827" s="66"/>
      <c r="AF827" s="66"/>
      <c r="AG827" s="66"/>
      <c r="AH827" s="66"/>
      <c r="AI827" s="66"/>
      <c r="AJ827" s="66"/>
      <c r="AK827" s="66"/>
      <c r="AL827" s="66"/>
      <c r="AM827" s="66"/>
      <c r="AN827" s="66"/>
      <c r="AO827" s="66"/>
    </row>
    <row r="828">
      <c r="A828" s="93"/>
      <c r="B828" s="85"/>
      <c r="C828" s="86"/>
      <c r="D828" s="93"/>
      <c r="E828" s="85"/>
      <c r="F828" s="85"/>
      <c r="G828" s="86"/>
      <c r="H828" s="78" t="str">
        <f>IFERROR(__xludf.DUMMYFUNCTION("""COMPUTED_VALUE"""),"")</f>
        <v/>
      </c>
      <c r="I828" s="85"/>
      <c r="J828" s="85"/>
      <c r="K828" s="85"/>
      <c r="L828" s="86" t="str">
        <f>IFERROR(__xludf.DUMMYFUNCTION("""COMPUTED_VALUE"""),"REJECT")</f>
        <v>REJECT</v>
      </c>
      <c r="M828" s="78" t="str">
        <f>IFERROR(__xludf.DUMMYFUNCTION("""COMPUTED_VALUE"""),"")</f>
        <v/>
      </c>
      <c r="N828" s="85"/>
      <c r="O828" s="85"/>
      <c r="P828" s="85"/>
      <c r="Q828" s="86" t="str">
        <f>IFERROR(__xludf.DUMMYFUNCTION("""COMPUTED_VALUE"""),"REJECT")</f>
        <v>REJECT</v>
      </c>
      <c r="R828" s="66"/>
      <c r="S828" s="66"/>
      <c r="T828" s="66"/>
      <c r="U828" s="66"/>
      <c r="V828" s="66"/>
      <c r="W828" s="66"/>
      <c r="X828" s="66"/>
      <c r="Y828" s="66"/>
      <c r="Z828" s="66"/>
      <c r="AA828" s="66"/>
      <c r="AB828" s="66"/>
      <c r="AC828" s="66"/>
      <c r="AD828" s="66"/>
      <c r="AE828" s="66"/>
      <c r="AF828" s="66"/>
      <c r="AG828" s="66"/>
      <c r="AH828" s="66"/>
      <c r="AI828" s="66"/>
      <c r="AJ828" s="66"/>
      <c r="AK828" s="66"/>
      <c r="AL828" s="66"/>
      <c r="AM828" s="66"/>
      <c r="AN828" s="66"/>
      <c r="AO828" s="66"/>
    </row>
    <row r="829">
      <c r="A829" s="93"/>
      <c r="B829" s="85"/>
      <c r="C829" s="86"/>
      <c r="D829" s="93"/>
      <c r="E829" s="85"/>
      <c r="F829" s="85"/>
      <c r="G829" s="86"/>
      <c r="H829" s="78" t="str">
        <f>IFERROR(__xludf.DUMMYFUNCTION("""COMPUTED_VALUE"""),"")</f>
        <v/>
      </c>
      <c r="I829" s="85"/>
      <c r="J829" s="85"/>
      <c r="K829" s="85"/>
      <c r="L829" s="86" t="str">
        <f>IFERROR(__xludf.DUMMYFUNCTION("""COMPUTED_VALUE"""),"REJECT")</f>
        <v>REJECT</v>
      </c>
      <c r="M829" s="78" t="str">
        <f>IFERROR(__xludf.DUMMYFUNCTION("""COMPUTED_VALUE"""),"")</f>
        <v/>
      </c>
      <c r="N829" s="85"/>
      <c r="O829" s="85"/>
      <c r="P829" s="85"/>
      <c r="Q829" s="86" t="str">
        <f>IFERROR(__xludf.DUMMYFUNCTION("""COMPUTED_VALUE"""),"REJECT")</f>
        <v>REJECT</v>
      </c>
      <c r="R829" s="66"/>
      <c r="S829" s="66"/>
      <c r="T829" s="66"/>
      <c r="U829" s="66"/>
      <c r="V829" s="66"/>
      <c r="W829" s="66"/>
      <c r="X829" s="66"/>
      <c r="Y829" s="66"/>
      <c r="Z829" s="66"/>
      <c r="AA829" s="66"/>
      <c r="AB829" s="66"/>
      <c r="AC829" s="66"/>
      <c r="AD829" s="66"/>
      <c r="AE829" s="66"/>
      <c r="AF829" s="66"/>
      <c r="AG829" s="66"/>
      <c r="AH829" s="66"/>
      <c r="AI829" s="66"/>
      <c r="AJ829" s="66"/>
      <c r="AK829" s="66"/>
      <c r="AL829" s="66"/>
      <c r="AM829" s="66"/>
      <c r="AN829" s="66"/>
      <c r="AO829" s="66"/>
    </row>
    <row r="830">
      <c r="A830" s="93"/>
      <c r="B830" s="85"/>
      <c r="C830" s="86"/>
      <c r="D830" s="93"/>
      <c r="E830" s="85"/>
      <c r="F830" s="85"/>
      <c r="G830" s="86"/>
      <c r="H830" s="78" t="str">
        <f>IFERROR(__xludf.DUMMYFUNCTION("""COMPUTED_VALUE"""),"")</f>
        <v/>
      </c>
      <c r="I830" s="85"/>
      <c r="J830" s="85"/>
      <c r="K830" s="85"/>
      <c r="L830" s="86" t="str">
        <f>IFERROR(__xludf.DUMMYFUNCTION("""COMPUTED_VALUE"""),"REJECT")</f>
        <v>REJECT</v>
      </c>
      <c r="M830" s="78" t="str">
        <f>IFERROR(__xludf.DUMMYFUNCTION("""COMPUTED_VALUE"""),"")</f>
        <v/>
      </c>
      <c r="N830" s="85"/>
      <c r="O830" s="85"/>
      <c r="P830" s="85"/>
      <c r="Q830" s="86" t="str">
        <f>IFERROR(__xludf.DUMMYFUNCTION("""COMPUTED_VALUE"""),"REJECT")</f>
        <v>REJECT</v>
      </c>
      <c r="R830" s="66"/>
      <c r="S830" s="66"/>
      <c r="T830" s="66"/>
      <c r="U830" s="66"/>
      <c r="V830" s="66"/>
      <c r="W830" s="66"/>
      <c r="X830" s="66"/>
      <c r="Y830" s="66"/>
      <c r="Z830" s="66"/>
      <c r="AA830" s="66"/>
      <c r="AB830" s="66"/>
      <c r="AC830" s="66"/>
      <c r="AD830" s="66"/>
      <c r="AE830" s="66"/>
      <c r="AF830" s="66"/>
      <c r="AG830" s="66"/>
      <c r="AH830" s="66"/>
      <c r="AI830" s="66"/>
      <c r="AJ830" s="66"/>
      <c r="AK830" s="66"/>
      <c r="AL830" s="66"/>
      <c r="AM830" s="66"/>
      <c r="AN830" s="66"/>
      <c r="AO830" s="66"/>
    </row>
    <row r="831">
      <c r="A831" s="93"/>
      <c r="B831" s="85"/>
      <c r="C831" s="86"/>
      <c r="D831" s="93"/>
      <c r="E831" s="85"/>
      <c r="F831" s="85"/>
      <c r="G831" s="86"/>
      <c r="H831" s="78" t="str">
        <f>IFERROR(__xludf.DUMMYFUNCTION("""COMPUTED_VALUE"""),"")</f>
        <v/>
      </c>
      <c r="I831" s="85"/>
      <c r="J831" s="85"/>
      <c r="K831" s="85"/>
      <c r="L831" s="86" t="str">
        <f>IFERROR(__xludf.DUMMYFUNCTION("""COMPUTED_VALUE"""),"REJECT")</f>
        <v>REJECT</v>
      </c>
      <c r="M831" s="78" t="str">
        <f>IFERROR(__xludf.DUMMYFUNCTION("""COMPUTED_VALUE"""),"")</f>
        <v/>
      </c>
      <c r="N831" s="85"/>
      <c r="O831" s="85"/>
      <c r="P831" s="85"/>
      <c r="Q831" s="86" t="str">
        <f>IFERROR(__xludf.DUMMYFUNCTION("""COMPUTED_VALUE"""),"REJECT")</f>
        <v>REJECT</v>
      </c>
      <c r="R831" s="66"/>
      <c r="S831" s="66"/>
      <c r="T831" s="66"/>
      <c r="U831" s="66"/>
      <c r="V831" s="66"/>
      <c r="W831" s="66"/>
      <c r="X831" s="66"/>
      <c r="Y831" s="66"/>
      <c r="Z831" s="66"/>
      <c r="AA831" s="66"/>
      <c r="AB831" s="66"/>
      <c r="AC831" s="66"/>
      <c r="AD831" s="66"/>
      <c r="AE831" s="66"/>
      <c r="AF831" s="66"/>
      <c r="AG831" s="66"/>
      <c r="AH831" s="66"/>
      <c r="AI831" s="66"/>
      <c r="AJ831" s="66"/>
      <c r="AK831" s="66"/>
      <c r="AL831" s="66"/>
      <c r="AM831" s="66"/>
      <c r="AN831" s="66"/>
      <c r="AO831" s="66"/>
    </row>
    <row r="832">
      <c r="A832" s="93"/>
      <c r="B832" s="85"/>
      <c r="C832" s="86"/>
      <c r="D832" s="93"/>
      <c r="E832" s="85"/>
      <c r="F832" s="85"/>
      <c r="G832" s="86"/>
      <c r="H832" s="78" t="str">
        <f>IFERROR(__xludf.DUMMYFUNCTION("""COMPUTED_VALUE"""),"")</f>
        <v/>
      </c>
      <c r="I832" s="85"/>
      <c r="J832" s="85"/>
      <c r="K832" s="85"/>
      <c r="L832" s="86" t="str">
        <f>IFERROR(__xludf.DUMMYFUNCTION("""COMPUTED_VALUE"""),"REJECT")</f>
        <v>REJECT</v>
      </c>
      <c r="M832" s="78" t="str">
        <f>IFERROR(__xludf.DUMMYFUNCTION("""COMPUTED_VALUE"""),"")</f>
        <v/>
      </c>
      <c r="N832" s="85"/>
      <c r="O832" s="85"/>
      <c r="P832" s="85"/>
      <c r="Q832" s="86" t="str">
        <f>IFERROR(__xludf.DUMMYFUNCTION("""COMPUTED_VALUE"""),"REJECT")</f>
        <v>REJECT</v>
      </c>
      <c r="R832" s="66"/>
      <c r="S832" s="66"/>
      <c r="T832" s="66"/>
      <c r="U832" s="66"/>
      <c r="V832" s="66"/>
      <c r="W832" s="66"/>
      <c r="X832" s="66"/>
      <c r="Y832" s="66"/>
      <c r="Z832" s="66"/>
      <c r="AA832" s="66"/>
      <c r="AB832" s="66"/>
      <c r="AC832" s="66"/>
      <c r="AD832" s="66"/>
      <c r="AE832" s="66"/>
      <c r="AF832" s="66"/>
      <c r="AG832" s="66"/>
      <c r="AH832" s="66"/>
      <c r="AI832" s="66"/>
      <c r="AJ832" s="66"/>
      <c r="AK832" s="66"/>
      <c r="AL832" s="66"/>
      <c r="AM832" s="66"/>
      <c r="AN832" s="66"/>
      <c r="AO832" s="66"/>
    </row>
    <row r="833">
      <c r="A833" s="93"/>
      <c r="B833" s="85"/>
      <c r="C833" s="86"/>
      <c r="D833" s="93"/>
      <c r="E833" s="85"/>
      <c r="F833" s="85"/>
      <c r="G833" s="86"/>
      <c r="H833" s="78" t="str">
        <f>IFERROR(__xludf.DUMMYFUNCTION("""COMPUTED_VALUE"""),"")</f>
        <v/>
      </c>
      <c r="I833" s="85"/>
      <c r="J833" s="85"/>
      <c r="K833" s="85"/>
      <c r="L833" s="86" t="str">
        <f>IFERROR(__xludf.DUMMYFUNCTION("""COMPUTED_VALUE"""),"REJECT")</f>
        <v>REJECT</v>
      </c>
      <c r="M833" s="78" t="str">
        <f>IFERROR(__xludf.DUMMYFUNCTION("""COMPUTED_VALUE"""),"")</f>
        <v/>
      </c>
      <c r="N833" s="85"/>
      <c r="O833" s="85"/>
      <c r="P833" s="85"/>
      <c r="Q833" s="86" t="str">
        <f>IFERROR(__xludf.DUMMYFUNCTION("""COMPUTED_VALUE"""),"REJECT")</f>
        <v>REJECT</v>
      </c>
      <c r="R833" s="66"/>
      <c r="S833" s="66"/>
      <c r="T833" s="66"/>
      <c r="U833" s="66"/>
      <c r="V833" s="66"/>
      <c r="W833" s="66"/>
      <c r="X833" s="66"/>
      <c r="Y833" s="66"/>
      <c r="Z833" s="66"/>
      <c r="AA833" s="66"/>
      <c r="AB833" s="66"/>
      <c r="AC833" s="66"/>
      <c r="AD833" s="66"/>
      <c r="AE833" s="66"/>
      <c r="AF833" s="66"/>
      <c r="AG833" s="66"/>
      <c r="AH833" s="66"/>
      <c r="AI833" s="66"/>
      <c r="AJ833" s="66"/>
      <c r="AK833" s="66"/>
      <c r="AL833" s="66"/>
      <c r="AM833" s="66"/>
      <c r="AN833" s="66"/>
      <c r="AO833" s="66"/>
    </row>
    <row r="834">
      <c r="A834" s="93"/>
      <c r="B834" s="85"/>
      <c r="C834" s="86"/>
      <c r="D834" s="93"/>
      <c r="E834" s="85"/>
      <c r="F834" s="85"/>
      <c r="G834" s="86"/>
      <c r="H834" s="78" t="str">
        <f>IFERROR(__xludf.DUMMYFUNCTION("""COMPUTED_VALUE"""),"")</f>
        <v/>
      </c>
      <c r="I834" s="85"/>
      <c r="J834" s="85"/>
      <c r="K834" s="85"/>
      <c r="L834" s="86" t="str">
        <f>IFERROR(__xludf.DUMMYFUNCTION("""COMPUTED_VALUE"""),"REJECT")</f>
        <v>REJECT</v>
      </c>
      <c r="M834" s="78" t="str">
        <f>IFERROR(__xludf.DUMMYFUNCTION("""COMPUTED_VALUE"""),"")</f>
        <v/>
      </c>
      <c r="N834" s="85"/>
      <c r="O834" s="85"/>
      <c r="P834" s="85"/>
      <c r="Q834" s="86" t="str">
        <f>IFERROR(__xludf.DUMMYFUNCTION("""COMPUTED_VALUE"""),"REJECT")</f>
        <v>REJECT</v>
      </c>
      <c r="R834" s="66"/>
      <c r="S834" s="66"/>
      <c r="T834" s="66"/>
      <c r="U834" s="66"/>
      <c r="V834" s="66"/>
      <c r="W834" s="66"/>
      <c r="X834" s="66"/>
      <c r="Y834" s="66"/>
      <c r="Z834" s="66"/>
      <c r="AA834" s="66"/>
      <c r="AB834" s="66"/>
      <c r="AC834" s="66"/>
      <c r="AD834" s="66"/>
      <c r="AE834" s="66"/>
      <c r="AF834" s="66"/>
      <c r="AG834" s="66"/>
      <c r="AH834" s="66"/>
      <c r="AI834" s="66"/>
      <c r="AJ834" s="66"/>
      <c r="AK834" s="66"/>
      <c r="AL834" s="66"/>
      <c r="AM834" s="66"/>
      <c r="AN834" s="66"/>
      <c r="AO834" s="66"/>
    </row>
    <row r="835">
      <c r="A835" s="93"/>
      <c r="B835" s="85"/>
      <c r="C835" s="86"/>
      <c r="D835" s="93"/>
      <c r="E835" s="85"/>
      <c r="F835" s="85"/>
      <c r="G835" s="86"/>
      <c r="H835" s="78" t="str">
        <f>IFERROR(__xludf.DUMMYFUNCTION("""COMPUTED_VALUE"""),"")</f>
        <v/>
      </c>
      <c r="I835" s="85"/>
      <c r="J835" s="85"/>
      <c r="K835" s="85"/>
      <c r="L835" s="86" t="str">
        <f>IFERROR(__xludf.DUMMYFUNCTION("""COMPUTED_VALUE"""),"REJECT")</f>
        <v>REJECT</v>
      </c>
      <c r="M835" s="78" t="str">
        <f>IFERROR(__xludf.DUMMYFUNCTION("""COMPUTED_VALUE"""),"")</f>
        <v/>
      </c>
      <c r="N835" s="85"/>
      <c r="O835" s="85"/>
      <c r="P835" s="85"/>
      <c r="Q835" s="86" t="str">
        <f>IFERROR(__xludf.DUMMYFUNCTION("""COMPUTED_VALUE"""),"REJECT")</f>
        <v>REJECT</v>
      </c>
      <c r="R835" s="66"/>
      <c r="S835" s="66"/>
      <c r="T835" s="66"/>
      <c r="U835" s="66"/>
      <c r="V835" s="66"/>
      <c r="W835" s="66"/>
      <c r="X835" s="66"/>
      <c r="Y835" s="66"/>
      <c r="Z835" s="66"/>
      <c r="AA835" s="66"/>
      <c r="AB835" s="66"/>
      <c r="AC835" s="66"/>
      <c r="AD835" s="66"/>
      <c r="AE835" s="66"/>
      <c r="AF835" s="66"/>
      <c r="AG835" s="66"/>
      <c r="AH835" s="66"/>
      <c r="AI835" s="66"/>
      <c r="AJ835" s="66"/>
      <c r="AK835" s="66"/>
      <c r="AL835" s="66"/>
      <c r="AM835" s="66"/>
      <c r="AN835" s="66"/>
      <c r="AO835" s="66"/>
    </row>
    <row r="836">
      <c r="A836" s="93"/>
      <c r="B836" s="85"/>
      <c r="C836" s="86"/>
      <c r="D836" s="93"/>
      <c r="E836" s="85"/>
      <c r="F836" s="85"/>
      <c r="G836" s="86"/>
      <c r="H836" s="78" t="str">
        <f>IFERROR(__xludf.DUMMYFUNCTION("""COMPUTED_VALUE"""),"")</f>
        <v/>
      </c>
      <c r="I836" s="85"/>
      <c r="J836" s="85"/>
      <c r="K836" s="85"/>
      <c r="L836" s="86" t="str">
        <f>IFERROR(__xludf.DUMMYFUNCTION("""COMPUTED_VALUE"""),"REJECT")</f>
        <v>REJECT</v>
      </c>
      <c r="M836" s="78" t="str">
        <f>IFERROR(__xludf.DUMMYFUNCTION("""COMPUTED_VALUE"""),"")</f>
        <v/>
      </c>
      <c r="N836" s="85"/>
      <c r="O836" s="85"/>
      <c r="P836" s="85"/>
      <c r="Q836" s="86" t="str">
        <f>IFERROR(__xludf.DUMMYFUNCTION("""COMPUTED_VALUE"""),"REJECT")</f>
        <v>REJECT</v>
      </c>
      <c r="R836" s="66"/>
      <c r="S836" s="66"/>
      <c r="T836" s="66"/>
      <c r="U836" s="66"/>
      <c r="V836" s="66"/>
      <c r="W836" s="66"/>
      <c r="X836" s="66"/>
      <c r="Y836" s="66"/>
      <c r="Z836" s="66"/>
      <c r="AA836" s="66"/>
      <c r="AB836" s="66"/>
      <c r="AC836" s="66"/>
      <c r="AD836" s="66"/>
      <c r="AE836" s="66"/>
      <c r="AF836" s="66"/>
      <c r="AG836" s="66"/>
      <c r="AH836" s="66"/>
      <c r="AI836" s="66"/>
      <c r="AJ836" s="66"/>
      <c r="AK836" s="66"/>
      <c r="AL836" s="66"/>
      <c r="AM836" s="66"/>
      <c r="AN836" s="66"/>
      <c r="AO836" s="66"/>
    </row>
    <row r="837">
      <c r="A837" s="93"/>
      <c r="B837" s="85"/>
      <c r="C837" s="86"/>
      <c r="D837" s="93"/>
      <c r="E837" s="85"/>
      <c r="F837" s="85"/>
      <c r="G837" s="86"/>
      <c r="H837" s="78" t="str">
        <f>IFERROR(__xludf.DUMMYFUNCTION("""COMPUTED_VALUE"""),"")</f>
        <v/>
      </c>
      <c r="I837" s="85"/>
      <c r="J837" s="85"/>
      <c r="K837" s="85"/>
      <c r="L837" s="86" t="str">
        <f>IFERROR(__xludf.DUMMYFUNCTION("""COMPUTED_VALUE"""),"REJECT")</f>
        <v>REJECT</v>
      </c>
      <c r="M837" s="78" t="str">
        <f>IFERROR(__xludf.DUMMYFUNCTION("""COMPUTED_VALUE"""),"")</f>
        <v/>
      </c>
      <c r="N837" s="85"/>
      <c r="O837" s="85"/>
      <c r="P837" s="85"/>
      <c r="Q837" s="86" t="str">
        <f>IFERROR(__xludf.DUMMYFUNCTION("""COMPUTED_VALUE"""),"REJECT")</f>
        <v>REJECT</v>
      </c>
      <c r="R837" s="66"/>
      <c r="S837" s="66"/>
      <c r="T837" s="66"/>
      <c r="U837" s="66"/>
      <c r="V837" s="66"/>
      <c r="W837" s="66"/>
      <c r="X837" s="66"/>
      <c r="Y837" s="66"/>
      <c r="Z837" s="66"/>
      <c r="AA837" s="66"/>
      <c r="AB837" s="66"/>
      <c r="AC837" s="66"/>
      <c r="AD837" s="66"/>
      <c r="AE837" s="66"/>
      <c r="AF837" s="66"/>
      <c r="AG837" s="66"/>
      <c r="AH837" s="66"/>
      <c r="AI837" s="66"/>
      <c r="AJ837" s="66"/>
      <c r="AK837" s="66"/>
      <c r="AL837" s="66"/>
      <c r="AM837" s="66"/>
      <c r="AN837" s="66"/>
      <c r="AO837" s="66"/>
    </row>
    <row r="838">
      <c r="A838" s="93"/>
      <c r="B838" s="85"/>
      <c r="C838" s="86"/>
      <c r="D838" s="93"/>
      <c r="E838" s="85"/>
      <c r="F838" s="85"/>
      <c r="G838" s="86"/>
      <c r="H838" s="78" t="str">
        <f>IFERROR(__xludf.DUMMYFUNCTION("""COMPUTED_VALUE"""),"")</f>
        <v/>
      </c>
      <c r="I838" s="85"/>
      <c r="J838" s="85"/>
      <c r="K838" s="85"/>
      <c r="L838" s="86" t="str">
        <f>IFERROR(__xludf.DUMMYFUNCTION("""COMPUTED_VALUE"""),"REJECT")</f>
        <v>REJECT</v>
      </c>
      <c r="M838" s="78" t="str">
        <f>IFERROR(__xludf.DUMMYFUNCTION("""COMPUTED_VALUE"""),"")</f>
        <v/>
      </c>
      <c r="N838" s="85"/>
      <c r="O838" s="85"/>
      <c r="P838" s="85"/>
      <c r="Q838" s="86" t="str">
        <f>IFERROR(__xludf.DUMMYFUNCTION("""COMPUTED_VALUE"""),"REJECT")</f>
        <v>REJECT</v>
      </c>
      <c r="R838" s="66"/>
      <c r="S838" s="66"/>
      <c r="T838" s="66"/>
      <c r="U838" s="66"/>
      <c r="V838" s="66"/>
      <c r="W838" s="66"/>
      <c r="X838" s="66"/>
      <c r="Y838" s="66"/>
      <c r="Z838" s="66"/>
      <c r="AA838" s="66"/>
      <c r="AB838" s="66"/>
      <c r="AC838" s="66"/>
      <c r="AD838" s="66"/>
      <c r="AE838" s="66"/>
      <c r="AF838" s="66"/>
      <c r="AG838" s="66"/>
      <c r="AH838" s="66"/>
      <c r="AI838" s="66"/>
      <c r="AJ838" s="66"/>
      <c r="AK838" s="66"/>
      <c r="AL838" s="66"/>
      <c r="AM838" s="66"/>
      <c r="AN838" s="66"/>
      <c r="AO838" s="66"/>
    </row>
    <row r="839">
      <c r="A839" s="93"/>
      <c r="B839" s="85"/>
      <c r="C839" s="86"/>
      <c r="D839" s="93"/>
      <c r="E839" s="85"/>
      <c r="F839" s="85"/>
      <c r="G839" s="86"/>
      <c r="H839" s="78" t="str">
        <f>IFERROR(__xludf.DUMMYFUNCTION("""COMPUTED_VALUE"""),"")</f>
        <v/>
      </c>
      <c r="I839" s="85"/>
      <c r="J839" s="85"/>
      <c r="K839" s="85"/>
      <c r="L839" s="86" t="str">
        <f>IFERROR(__xludf.DUMMYFUNCTION("""COMPUTED_VALUE"""),"REJECT")</f>
        <v>REJECT</v>
      </c>
      <c r="M839" s="78" t="str">
        <f>IFERROR(__xludf.DUMMYFUNCTION("""COMPUTED_VALUE"""),"")</f>
        <v/>
      </c>
      <c r="N839" s="85"/>
      <c r="O839" s="85"/>
      <c r="P839" s="85"/>
      <c r="Q839" s="86" t="str">
        <f>IFERROR(__xludf.DUMMYFUNCTION("""COMPUTED_VALUE"""),"REJECT")</f>
        <v>REJECT</v>
      </c>
      <c r="R839" s="66"/>
      <c r="S839" s="66"/>
      <c r="T839" s="66"/>
      <c r="U839" s="66"/>
      <c r="V839" s="66"/>
      <c r="W839" s="66"/>
      <c r="X839" s="66"/>
      <c r="Y839" s="66"/>
      <c r="Z839" s="66"/>
      <c r="AA839" s="66"/>
      <c r="AB839" s="66"/>
      <c r="AC839" s="66"/>
      <c r="AD839" s="66"/>
      <c r="AE839" s="66"/>
      <c r="AF839" s="66"/>
      <c r="AG839" s="66"/>
      <c r="AH839" s="66"/>
      <c r="AI839" s="66"/>
      <c r="AJ839" s="66"/>
      <c r="AK839" s="66"/>
      <c r="AL839" s="66"/>
      <c r="AM839" s="66"/>
      <c r="AN839" s="66"/>
      <c r="AO839" s="66"/>
    </row>
    <row r="840">
      <c r="A840" s="93"/>
      <c r="B840" s="85"/>
      <c r="C840" s="86"/>
      <c r="D840" s="93"/>
      <c r="E840" s="85"/>
      <c r="F840" s="85"/>
      <c r="G840" s="86"/>
      <c r="H840" s="78" t="str">
        <f>IFERROR(__xludf.DUMMYFUNCTION("""COMPUTED_VALUE"""),"")</f>
        <v/>
      </c>
      <c r="I840" s="85"/>
      <c r="J840" s="85"/>
      <c r="K840" s="85"/>
      <c r="L840" s="86" t="str">
        <f>IFERROR(__xludf.DUMMYFUNCTION("""COMPUTED_VALUE"""),"REJECT")</f>
        <v>REJECT</v>
      </c>
      <c r="M840" s="78" t="str">
        <f>IFERROR(__xludf.DUMMYFUNCTION("""COMPUTED_VALUE"""),"")</f>
        <v/>
      </c>
      <c r="N840" s="85"/>
      <c r="O840" s="85"/>
      <c r="P840" s="85"/>
      <c r="Q840" s="86" t="str">
        <f>IFERROR(__xludf.DUMMYFUNCTION("""COMPUTED_VALUE"""),"REJECT")</f>
        <v>REJECT</v>
      </c>
      <c r="R840" s="66"/>
      <c r="S840" s="66"/>
      <c r="T840" s="66"/>
      <c r="U840" s="66"/>
      <c r="V840" s="66"/>
      <c r="W840" s="66"/>
      <c r="X840" s="66"/>
      <c r="Y840" s="66"/>
      <c r="Z840" s="66"/>
      <c r="AA840" s="66"/>
      <c r="AB840" s="66"/>
      <c r="AC840" s="66"/>
      <c r="AD840" s="66"/>
      <c r="AE840" s="66"/>
      <c r="AF840" s="66"/>
      <c r="AG840" s="66"/>
      <c r="AH840" s="66"/>
      <c r="AI840" s="66"/>
      <c r="AJ840" s="66"/>
      <c r="AK840" s="66"/>
      <c r="AL840" s="66"/>
      <c r="AM840" s="66"/>
      <c r="AN840" s="66"/>
      <c r="AO840" s="66"/>
    </row>
    <row r="841">
      <c r="A841" s="93"/>
      <c r="B841" s="85"/>
      <c r="C841" s="86"/>
      <c r="D841" s="93"/>
      <c r="E841" s="85"/>
      <c r="F841" s="85"/>
      <c r="G841" s="86"/>
      <c r="H841" s="78" t="str">
        <f>IFERROR(__xludf.DUMMYFUNCTION("""COMPUTED_VALUE"""),"")</f>
        <v/>
      </c>
      <c r="I841" s="85"/>
      <c r="J841" s="85"/>
      <c r="K841" s="85"/>
      <c r="L841" s="86" t="str">
        <f>IFERROR(__xludf.DUMMYFUNCTION("""COMPUTED_VALUE"""),"REJECT")</f>
        <v>REJECT</v>
      </c>
      <c r="M841" s="78" t="str">
        <f>IFERROR(__xludf.DUMMYFUNCTION("""COMPUTED_VALUE"""),"")</f>
        <v/>
      </c>
      <c r="N841" s="85"/>
      <c r="O841" s="85"/>
      <c r="P841" s="85"/>
      <c r="Q841" s="86" t="str">
        <f>IFERROR(__xludf.DUMMYFUNCTION("""COMPUTED_VALUE"""),"REJECT")</f>
        <v>REJECT</v>
      </c>
      <c r="R841" s="66"/>
      <c r="S841" s="66"/>
      <c r="T841" s="66"/>
      <c r="U841" s="66"/>
      <c r="V841" s="66"/>
      <c r="W841" s="66"/>
      <c r="X841" s="66"/>
      <c r="Y841" s="66"/>
      <c r="Z841" s="66"/>
      <c r="AA841" s="66"/>
      <c r="AB841" s="66"/>
      <c r="AC841" s="66"/>
      <c r="AD841" s="66"/>
      <c r="AE841" s="66"/>
      <c r="AF841" s="66"/>
      <c r="AG841" s="66"/>
      <c r="AH841" s="66"/>
      <c r="AI841" s="66"/>
      <c r="AJ841" s="66"/>
      <c r="AK841" s="66"/>
      <c r="AL841" s="66"/>
      <c r="AM841" s="66"/>
      <c r="AN841" s="66"/>
      <c r="AO841" s="66"/>
    </row>
    <row r="842">
      <c r="A842" s="93"/>
      <c r="B842" s="85"/>
      <c r="C842" s="86"/>
      <c r="D842" s="93"/>
      <c r="E842" s="85"/>
      <c r="F842" s="85"/>
      <c r="G842" s="86"/>
      <c r="H842" s="78" t="str">
        <f>IFERROR(__xludf.DUMMYFUNCTION("""COMPUTED_VALUE"""),"")</f>
        <v/>
      </c>
      <c r="I842" s="85"/>
      <c r="J842" s="85"/>
      <c r="K842" s="85"/>
      <c r="L842" s="86" t="str">
        <f>IFERROR(__xludf.DUMMYFUNCTION("""COMPUTED_VALUE"""),"REJECT")</f>
        <v>REJECT</v>
      </c>
      <c r="M842" s="78" t="str">
        <f>IFERROR(__xludf.DUMMYFUNCTION("""COMPUTED_VALUE"""),"")</f>
        <v/>
      </c>
      <c r="N842" s="85"/>
      <c r="O842" s="85"/>
      <c r="P842" s="85"/>
      <c r="Q842" s="86" t="str">
        <f>IFERROR(__xludf.DUMMYFUNCTION("""COMPUTED_VALUE"""),"REJECT")</f>
        <v>REJECT</v>
      </c>
      <c r="R842" s="66"/>
      <c r="S842" s="66"/>
      <c r="T842" s="66"/>
      <c r="U842" s="66"/>
      <c r="V842" s="66"/>
      <c r="W842" s="66"/>
      <c r="X842" s="66"/>
      <c r="Y842" s="66"/>
      <c r="Z842" s="66"/>
      <c r="AA842" s="66"/>
      <c r="AB842" s="66"/>
      <c r="AC842" s="66"/>
      <c r="AD842" s="66"/>
      <c r="AE842" s="66"/>
      <c r="AF842" s="66"/>
      <c r="AG842" s="66"/>
      <c r="AH842" s="66"/>
      <c r="AI842" s="66"/>
      <c r="AJ842" s="66"/>
      <c r="AK842" s="66"/>
      <c r="AL842" s="66"/>
      <c r="AM842" s="66"/>
      <c r="AN842" s="66"/>
      <c r="AO842" s="66"/>
    </row>
    <row r="843">
      <c r="A843" s="93"/>
      <c r="B843" s="85"/>
      <c r="C843" s="86"/>
      <c r="D843" s="93"/>
      <c r="E843" s="85"/>
      <c r="F843" s="85"/>
      <c r="G843" s="86"/>
      <c r="H843" s="78" t="str">
        <f>IFERROR(__xludf.DUMMYFUNCTION("""COMPUTED_VALUE"""),"")</f>
        <v/>
      </c>
      <c r="I843" s="85"/>
      <c r="J843" s="85"/>
      <c r="K843" s="85"/>
      <c r="L843" s="86" t="str">
        <f>IFERROR(__xludf.DUMMYFUNCTION("""COMPUTED_VALUE"""),"REJECT")</f>
        <v>REJECT</v>
      </c>
      <c r="M843" s="78" t="str">
        <f>IFERROR(__xludf.DUMMYFUNCTION("""COMPUTED_VALUE"""),"")</f>
        <v/>
      </c>
      <c r="N843" s="85"/>
      <c r="O843" s="85"/>
      <c r="P843" s="85"/>
      <c r="Q843" s="86" t="str">
        <f>IFERROR(__xludf.DUMMYFUNCTION("""COMPUTED_VALUE"""),"REJECT")</f>
        <v>REJECT</v>
      </c>
      <c r="R843" s="66"/>
      <c r="S843" s="66"/>
      <c r="T843" s="66"/>
      <c r="U843" s="66"/>
      <c r="V843" s="66"/>
      <c r="W843" s="66"/>
      <c r="X843" s="66"/>
      <c r="Y843" s="66"/>
      <c r="Z843" s="66"/>
      <c r="AA843" s="66"/>
      <c r="AB843" s="66"/>
      <c r="AC843" s="66"/>
      <c r="AD843" s="66"/>
      <c r="AE843" s="66"/>
      <c r="AF843" s="66"/>
      <c r="AG843" s="66"/>
      <c r="AH843" s="66"/>
      <c r="AI843" s="66"/>
      <c r="AJ843" s="66"/>
      <c r="AK843" s="66"/>
      <c r="AL843" s="66"/>
      <c r="AM843" s="66"/>
      <c r="AN843" s="66"/>
      <c r="AO843" s="66"/>
    </row>
    <row r="844">
      <c r="A844" s="93"/>
      <c r="B844" s="85"/>
      <c r="C844" s="86"/>
      <c r="D844" s="93"/>
      <c r="E844" s="85"/>
      <c r="F844" s="85"/>
      <c r="G844" s="86"/>
      <c r="H844" s="78" t="str">
        <f>IFERROR(__xludf.DUMMYFUNCTION("""COMPUTED_VALUE"""),"")</f>
        <v/>
      </c>
      <c r="I844" s="85"/>
      <c r="J844" s="85"/>
      <c r="K844" s="85"/>
      <c r="L844" s="86" t="str">
        <f>IFERROR(__xludf.DUMMYFUNCTION("""COMPUTED_VALUE"""),"REJECT")</f>
        <v>REJECT</v>
      </c>
      <c r="M844" s="78" t="str">
        <f>IFERROR(__xludf.DUMMYFUNCTION("""COMPUTED_VALUE"""),"")</f>
        <v/>
      </c>
      <c r="N844" s="85"/>
      <c r="O844" s="85"/>
      <c r="P844" s="85"/>
      <c r="Q844" s="86" t="str">
        <f>IFERROR(__xludf.DUMMYFUNCTION("""COMPUTED_VALUE"""),"REJECT")</f>
        <v>REJECT</v>
      </c>
      <c r="R844" s="66"/>
      <c r="S844" s="66"/>
      <c r="T844" s="66"/>
      <c r="U844" s="66"/>
      <c r="V844" s="66"/>
      <c r="W844" s="66"/>
      <c r="X844" s="66"/>
      <c r="Y844" s="66"/>
      <c r="Z844" s="66"/>
      <c r="AA844" s="66"/>
      <c r="AB844" s="66"/>
      <c r="AC844" s="66"/>
      <c r="AD844" s="66"/>
      <c r="AE844" s="66"/>
      <c r="AF844" s="66"/>
      <c r="AG844" s="66"/>
      <c r="AH844" s="66"/>
      <c r="AI844" s="66"/>
      <c r="AJ844" s="66"/>
      <c r="AK844" s="66"/>
      <c r="AL844" s="66"/>
      <c r="AM844" s="66"/>
      <c r="AN844" s="66"/>
      <c r="AO844" s="66"/>
    </row>
    <row r="845">
      <c r="A845" s="93"/>
      <c r="B845" s="85"/>
      <c r="C845" s="86"/>
      <c r="D845" s="93"/>
      <c r="E845" s="85"/>
      <c r="F845" s="85"/>
      <c r="G845" s="86"/>
      <c r="H845" s="78" t="str">
        <f>IFERROR(__xludf.DUMMYFUNCTION("""COMPUTED_VALUE"""),"")</f>
        <v/>
      </c>
      <c r="I845" s="85"/>
      <c r="J845" s="85"/>
      <c r="K845" s="85"/>
      <c r="L845" s="86" t="str">
        <f>IFERROR(__xludf.DUMMYFUNCTION("""COMPUTED_VALUE"""),"REJECT")</f>
        <v>REJECT</v>
      </c>
      <c r="M845" s="78" t="str">
        <f>IFERROR(__xludf.DUMMYFUNCTION("""COMPUTED_VALUE"""),"")</f>
        <v/>
      </c>
      <c r="N845" s="85"/>
      <c r="O845" s="85"/>
      <c r="P845" s="85"/>
      <c r="Q845" s="86" t="str">
        <f>IFERROR(__xludf.DUMMYFUNCTION("""COMPUTED_VALUE"""),"REJECT")</f>
        <v>REJECT</v>
      </c>
      <c r="R845" s="66"/>
      <c r="S845" s="66"/>
      <c r="T845" s="66"/>
      <c r="U845" s="66"/>
      <c r="V845" s="66"/>
      <c r="W845" s="66"/>
      <c r="X845" s="66"/>
      <c r="Y845" s="66"/>
      <c r="Z845" s="66"/>
      <c r="AA845" s="66"/>
      <c r="AB845" s="66"/>
      <c r="AC845" s="66"/>
      <c r="AD845" s="66"/>
      <c r="AE845" s="66"/>
      <c r="AF845" s="66"/>
      <c r="AG845" s="66"/>
      <c r="AH845" s="66"/>
      <c r="AI845" s="66"/>
      <c r="AJ845" s="66"/>
      <c r="AK845" s="66"/>
      <c r="AL845" s="66"/>
      <c r="AM845" s="66"/>
      <c r="AN845" s="66"/>
      <c r="AO845" s="66"/>
    </row>
    <row r="846">
      <c r="A846" s="93"/>
      <c r="B846" s="85"/>
      <c r="C846" s="86"/>
      <c r="D846" s="93"/>
      <c r="E846" s="85"/>
      <c r="F846" s="85"/>
      <c r="G846" s="86"/>
      <c r="H846" s="78" t="str">
        <f>IFERROR(__xludf.DUMMYFUNCTION("""COMPUTED_VALUE"""),"")</f>
        <v/>
      </c>
      <c r="I846" s="85"/>
      <c r="J846" s="85"/>
      <c r="K846" s="85"/>
      <c r="L846" s="86" t="str">
        <f>IFERROR(__xludf.DUMMYFUNCTION("""COMPUTED_VALUE"""),"REJECT")</f>
        <v>REJECT</v>
      </c>
      <c r="M846" s="78" t="str">
        <f>IFERROR(__xludf.DUMMYFUNCTION("""COMPUTED_VALUE"""),"")</f>
        <v/>
      </c>
      <c r="N846" s="85"/>
      <c r="O846" s="85"/>
      <c r="P846" s="85"/>
      <c r="Q846" s="86" t="str">
        <f>IFERROR(__xludf.DUMMYFUNCTION("""COMPUTED_VALUE"""),"REJECT")</f>
        <v>REJECT</v>
      </c>
      <c r="R846" s="66"/>
      <c r="S846" s="66"/>
      <c r="T846" s="66"/>
      <c r="U846" s="66"/>
      <c r="V846" s="66"/>
      <c r="W846" s="66"/>
      <c r="X846" s="66"/>
      <c r="Y846" s="66"/>
      <c r="Z846" s="66"/>
      <c r="AA846" s="66"/>
      <c r="AB846" s="66"/>
      <c r="AC846" s="66"/>
      <c r="AD846" s="66"/>
      <c r="AE846" s="66"/>
      <c r="AF846" s="66"/>
      <c r="AG846" s="66"/>
      <c r="AH846" s="66"/>
      <c r="AI846" s="66"/>
      <c r="AJ846" s="66"/>
      <c r="AK846" s="66"/>
      <c r="AL846" s="66"/>
      <c r="AM846" s="66"/>
      <c r="AN846" s="66"/>
      <c r="AO846" s="66"/>
    </row>
    <row r="847">
      <c r="A847" s="93"/>
      <c r="B847" s="85"/>
      <c r="C847" s="86"/>
      <c r="D847" s="93"/>
      <c r="E847" s="85"/>
      <c r="F847" s="85"/>
      <c r="G847" s="86"/>
      <c r="H847" s="78" t="str">
        <f>IFERROR(__xludf.DUMMYFUNCTION("""COMPUTED_VALUE"""),"")</f>
        <v/>
      </c>
      <c r="I847" s="85"/>
      <c r="J847" s="85"/>
      <c r="K847" s="85"/>
      <c r="L847" s="86" t="str">
        <f>IFERROR(__xludf.DUMMYFUNCTION("""COMPUTED_VALUE"""),"REJECT")</f>
        <v>REJECT</v>
      </c>
      <c r="M847" s="78" t="str">
        <f>IFERROR(__xludf.DUMMYFUNCTION("""COMPUTED_VALUE"""),"")</f>
        <v/>
      </c>
      <c r="N847" s="85"/>
      <c r="O847" s="85"/>
      <c r="P847" s="85"/>
      <c r="Q847" s="86" t="str">
        <f>IFERROR(__xludf.DUMMYFUNCTION("""COMPUTED_VALUE"""),"REJECT")</f>
        <v>REJECT</v>
      </c>
      <c r="R847" s="66"/>
      <c r="S847" s="66"/>
      <c r="T847" s="66"/>
      <c r="U847" s="66"/>
      <c r="V847" s="66"/>
      <c r="W847" s="66"/>
      <c r="X847" s="66"/>
      <c r="Y847" s="66"/>
      <c r="Z847" s="66"/>
      <c r="AA847" s="66"/>
      <c r="AB847" s="66"/>
      <c r="AC847" s="66"/>
      <c r="AD847" s="66"/>
      <c r="AE847" s="66"/>
      <c r="AF847" s="66"/>
      <c r="AG847" s="66"/>
      <c r="AH847" s="66"/>
      <c r="AI847" s="66"/>
      <c r="AJ847" s="66"/>
      <c r="AK847" s="66"/>
      <c r="AL847" s="66"/>
      <c r="AM847" s="66"/>
      <c r="AN847" s="66"/>
      <c r="AO847" s="66"/>
    </row>
    <row r="848">
      <c r="A848" s="93"/>
      <c r="B848" s="85"/>
      <c r="C848" s="86"/>
      <c r="D848" s="93"/>
      <c r="E848" s="85"/>
      <c r="F848" s="85"/>
      <c r="G848" s="86"/>
      <c r="H848" s="78" t="str">
        <f>IFERROR(__xludf.DUMMYFUNCTION("""COMPUTED_VALUE"""),"")</f>
        <v/>
      </c>
      <c r="I848" s="85"/>
      <c r="J848" s="85"/>
      <c r="K848" s="85"/>
      <c r="L848" s="86" t="str">
        <f>IFERROR(__xludf.DUMMYFUNCTION("""COMPUTED_VALUE"""),"REJECT")</f>
        <v>REJECT</v>
      </c>
      <c r="M848" s="78" t="str">
        <f>IFERROR(__xludf.DUMMYFUNCTION("""COMPUTED_VALUE"""),"")</f>
        <v/>
      </c>
      <c r="N848" s="85"/>
      <c r="O848" s="85"/>
      <c r="P848" s="85"/>
      <c r="Q848" s="86" t="str">
        <f>IFERROR(__xludf.DUMMYFUNCTION("""COMPUTED_VALUE"""),"REJECT")</f>
        <v>REJECT</v>
      </c>
      <c r="R848" s="66"/>
      <c r="S848" s="66"/>
      <c r="T848" s="66"/>
      <c r="U848" s="66"/>
      <c r="V848" s="66"/>
      <c r="W848" s="66"/>
      <c r="X848" s="66"/>
      <c r="Y848" s="66"/>
      <c r="Z848" s="66"/>
      <c r="AA848" s="66"/>
      <c r="AB848" s="66"/>
      <c r="AC848" s="66"/>
      <c r="AD848" s="66"/>
      <c r="AE848" s="66"/>
      <c r="AF848" s="66"/>
      <c r="AG848" s="66"/>
      <c r="AH848" s="66"/>
      <c r="AI848" s="66"/>
      <c r="AJ848" s="66"/>
      <c r="AK848" s="66"/>
      <c r="AL848" s="66"/>
      <c r="AM848" s="66"/>
      <c r="AN848" s="66"/>
      <c r="AO848" s="66"/>
    </row>
    <row r="849">
      <c r="A849" s="93"/>
      <c r="B849" s="85"/>
      <c r="C849" s="86"/>
      <c r="D849" s="93"/>
      <c r="E849" s="85"/>
      <c r="F849" s="85"/>
      <c r="G849" s="86"/>
      <c r="H849" s="78" t="str">
        <f>IFERROR(__xludf.DUMMYFUNCTION("""COMPUTED_VALUE"""),"")</f>
        <v/>
      </c>
      <c r="I849" s="85"/>
      <c r="J849" s="85"/>
      <c r="K849" s="85"/>
      <c r="L849" s="86" t="str">
        <f>IFERROR(__xludf.DUMMYFUNCTION("""COMPUTED_VALUE"""),"REJECT")</f>
        <v>REJECT</v>
      </c>
      <c r="M849" s="78" t="str">
        <f>IFERROR(__xludf.DUMMYFUNCTION("""COMPUTED_VALUE"""),"")</f>
        <v/>
      </c>
      <c r="N849" s="85"/>
      <c r="O849" s="85"/>
      <c r="P849" s="85"/>
      <c r="Q849" s="86" t="str">
        <f>IFERROR(__xludf.DUMMYFUNCTION("""COMPUTED_VALUE"""),"REJECT")</f>
        <v>REJECT</v>
      </c>
      <c r="R849" s="66"/>
      <c r="S849" s="66"/>
      <c r="T849" s="66"/>
      <c r="U849" s="66"/>
      <c r="V849" s="66"/>
      <c r="W849" s="66"/>
      <c r="X849" s="66"/>
      <c r="Y849" s="66"/>
      <c r="Z849" s="66"/>
      <c r="AA849" s="66"/>
      <c r="AB849" s="66"/>
      <c r="AC849" s="66"/>
      <c r="AD849" s="66"/>
      <c r="AE849" s="66"/>
      <c r="AF849" s="66"/>
      <c r="AG849" s="66"/>
      <c r="AH849" s="66"/>
      <c r="AI849" s="66"/>
      <c r="AJ849" s="66"/>
      <c r="AK849" s="66"/>
      <c r="AL849" s="66"/>
      <c r="AM849" s="66"/>
      <c r="AN849" s="66"/>
      <c r="AO849" s="66"/>
    </row>
    <row r="850">
      <c r="A850" s="93"/>
      <c r="B850" s="85"/>
      <c r="C850" s="86"/>
      <c r="D850" s="93"/>
      <c r="E850" s="85"/>
      <c r="F850" s="85"/>
      <c r="G850" s="86"/>
      <c r="H850" s="78" t="str">
        <f>IFERROR(__xludf.DUMMYFUNCTION("""COMPUTED_VALUE"""),"")</f>
        <v/>
      </c>
      <c r="I850" s="85"/>
      <c r="J850" s="85"/>
      <c r="K850" s="85"/>
      <c r="L850" s="86" t="str">
        <f>IFERROR(__xludf.DUMMYFUNCTION("""COMPUTED_VALUE"""),"REJECT")</f>
        <v>REJECT</v>
      </c>
      <c r="M850" s="78" t="str">
        <f>IFERROR(__xludf.DUMMYFUNCTION("""COMPUTED_VALUE"""),"")</f>
        <v/>
      </c>
      <c r="N850" s="85"/>
      <c r="O850" s="85"/>
      <c r="P850" s="85"/>
      <c r="Q850" s="86" t="str">
        <f>IFERROR(__xludf.DUMMYFUNCTION("""COMPUTED_VALUE"""),"REJECT")</f>
        <v>REJECT</v>
      </c>
      <c r="R850" s="66"/>
      <c r="S850" s="66"/>
      <c r="T850" s="66"/>
      <c r="U850" s="66"/>
      <c r="V850" s="66"/>
      <c r="W850" s="66"/>
      <c r="X850" s="66"/>
      <c r="Y850" s="66"/>
      <c r="Z850" s="66"/>
      <c r="AA850" s="66"/>
      <c r="AB850" s="66"/>
      <c r="AC850" s="66"/>
      <c r="AD850" s="66"/>
      <c r="AE850" s="66"/>
      <c r="AF850" s="66"/>
      <c r="AG850" s="66"/>
      <c r="AH850" s="66"/>
      <c r="AI850" s="66"/>
      <c r="AJ850" s="66"/>
      <c r="AK850" s="66"/>
      <c r="AL850" s="66"/>
      <c r="AM850" s="66"/>
      <c r="AN850" s="66"/>
      <c r="AO850" s="66"/>
    </row>
    <row r="851">
      <c r="A851" s="93"/>
      <c r="B851" s="85"/>
      <c r="C851" s="86"/>
      <c r="D851" s="93"/>
      <c r="E851" s="85"/>
      <c r="F851" s="85"/>
      <c r="G851" s="86"/>
      <c r="H851" s="78" t="str">
        <f>IFERROR(__xludf.DUMMYFUNCTION("""COMPUTED_VALUE"""),"")</f>
        <v/>
      </c>
      <c r="I851" s="85"/>
      <c r="J851" s="85"/>
      <c r="K851" s="85"/>
      <c r="L851" s="86" t="str">
        <f>IFERROR(__xludf.DUMMYFUNCTION("""COMPUTED_VALUE"""),"REJECT")</f>
        <v>REJECT</v>
      </c>
      <c r="M851" s="78" t="str">
        <f>IFERROR(__xludf.DUMMYFUNCTION("""COMPUTED_VALUE"""),"")</f>
        <v/>
      </c>
      <c r="N851" s="85"/>
      <c r="O851" s="85"/>
      <c r="P851" s="85"/>
      <c r="Q851" s="86" t="str">
        <f>IFERROR(__xludf.DUMMYFUNCTION("""COMPUTED_VALUE"""),"REJECT")</f>
        <v>REJECT</v>
      </c>
      <c r="R851" s="66"/>
      <c r="S851" s="66"/>
      <c r="T851" s="66"/>
      <c r="U851" s="66"/>
      <c r="V851" s="66"/>
      <c r="W851" s="66"/>
      <c r="X851" s="66"/>
      <c r="Y851" s="66"/>
      <c r="Z851" s="66"/>
      <c r="AA851" s="66"/>
      <c r="AB851" s="66"/>
      <c r="AC851" s="66"/>
      <c r="AD851" s="66"/>
      <c r="AE851" s="66"/>
      <c r="AF851" s="66"/>
      <c r="AG851" s="66"/>
      <c r="AH851" s="66"/>
      <c r="AI851" s="66"/>
      <c r="AJ851" s="66"/>
      <c r="AK851" s="66"/>
      <c r="AL851" s="66"/>
      <c r="AM851" s="66"/>
      <c r="AN851" s="66"/>
      <c r="AO851" s="66"/>
    </row>
    <row r="852">
      <c r="A852" s="93"/>
      <c r="B852" s="85"/>
      <c r="C852" s="86"/>
      <c r="D852" s="93"/>
      <c r="E852" s="85"/>
      <c r="F852" s="85"/>
      <c r="G852" s="86"/>
      <c r="H852" s="78" t="str">
        <f>IFERROR(__xludf.DUMMYFUNCTION("""COMPUTED_VALUE"""),"")</f>
        <v/>
      </c>
      <c r="I852" s="85"/>
      <c r="J852" s="85"/>
      <c r="K852" s="85"/>
      <c r="L852" s="86" t="str">
        <f>IFERROR(__xludf.DUMMYFUNCTION("""COMPUTED_VALUE"""),"REJECT")</f>
        <v>REJECT</v>
      </c>
      <c r="M852" s="78" t="str">
        <f>IFERROR(__xludf.DUMMYFUNCTION("""COMPUTED_VALUE"""),"")</f>
        <v/>
      </c>
      <c r="N852" s="85"/>
      <c r="O852" s="85"/>
      <c r="P852" s="85"/>
      <c r="Q852" s="86" t="str">
        <f>IFERROR(__xludf.DUMMYFUNCTION("""COMPUTED_VALUE"""),"REJECT")</f>
        <v>REJECT</v>
      </c>
      <c r="R852" s="66"/>
      <c r="S852" s="66"/>
      <c r="T852" s="66"/>
      <c r="U852" s="66"/>
      <c r="V852" s="66"/>
      <c r="W852" s="66"/>
      <c r="X852" s="66"/>
      <c r="Y852" s="66"/>
      <c r="Z852" s="66"/>
      <c r="AA852" s="66"/>
      <c r="AB852" s="66"/>
      <c r="AC852" s="66"/>
      <c r="AD852" s="66"/>
      <c r="AE852" s="66"/>
      <c r="AF852" s="66"/>
      <c r="AG852" s="66"/>
      <c r="AH852" s="66"/>
      <c r="AI852" s="66"/>
      <c r="AJ852" s="66"/>
      <c r="AK852" s="66"/>
      <c r="AL852" s="66"/>
      <c r="AM852" s="66"/>
      <c r="AN852" s="66"/>
      <c r="AO852" s="66"/>
    </row>
    <row r="853">
      <c r="A853" s="93"/>
      <c r="B853" s="85"/>
      <c r="C853" s="86"/>
      <c r="D853" s="93"/>
      <c r="E853" s="85"/>
      <c r="F853" s="85"/>
      <c r="G853" s="86"/>
      <c r="H853" s="78" t="str">
        <f>IFERROR(__xludf.DUMMYFUNCTION("""COMPUTED_VALUE"""),"")</f>
        <v/>
      </c>
      <c r="I853" s="85"/>
      <c r="J853" s="85"/>
      <c r="K853" s="85"/>
      <c r="L853" s="86" t="str">
        <f>IFERROR(__xludf.DUMMYFUNCTION("""COMPUTED_VALUE"""),"REJECT")</f>
        <v>REJECT</v>
      </c>
      <c r="M853" s="78" t="str">
        <f>IFERROR(__xludf.DUMMYFUNCTION("""COMPUTED_VALUE"""),"")</f>
        <v/>
      </c>
      <c r="N853" s="85"/>
      <c r="O853" s="85"/>
      <c r="P853" s="85"/>
      <c r="Q853" s="86" t="str">
        <f>IFERROR(__xludf.DUMMYFUNCTION("""COMPUTED_VALUE"""),"REJECT")</f>
        <v>REJECT</v>
      </c>
      <c r="R853" s="66"/>
      <c r="S853" s="66"/>
      <c r="T853" s="66"/>
      <c r="U853" s="66"/>
      <c r="V853" s="66"/>
      <c r="W853" s="66"/>
      <c r="X853" s="66"/>
      <c r="Y853" s="66"/>
      <c r="Z853" s="66"/>
      <c r="AA853" s="66"/>
      <c r="AB853" s="66"/>
      <c r="AC853" s="66"/>
      <c r="AD853" s="66"/>
      <c r="AE853" s="66"/>
      <c r="AF853" s="66"/>
      <c r="AG853" s="66"/>
      <c r="AH853" s="66"/>
      <c r="AI853" s="66"/>
      <c r="AJ853" s="66"/>
      <c r="AK853" s="66"/>
      <c r="AL853" s="66"/>
      <c r="AM853" s="66"/>
      <c r="AN853" s="66"/>
      <c r="AO853" s="66"/>
    </row>
    <row r="854">
      <c r="A854" s="93"/>
      <c r="B854" s="85"/>
      <c r="C854" s="86"/>
      <c r="D854" s="93"/>
      <c r="E854" s="85"/>
      <c r="F854" s="85"/>
      <c r="G854" s="86"/>
      <c r="H854" s="78" t="str">
        <f>IFERROR(__xludf.DUMMYFUNCTION("""COMPUTED_VALUE"""),"")</f>
        <v/>
      </c>
      <c r="I854" s="85"/>
      <c r="J854" s="85"/>
      <c r="K854" s="85"/>
      <c r="L854" s="86" t="str">
        <f>IFERROR(__xludf.DUMMYFUNCTION("""COMPUTED_VALUE"""),"REJECT")</f>
        <v>REJECT</v>
      </c>
      <c r="M854" s="78" t="str">
        <f>IFERROR(__xludf.DUMMYFUNCTION("""COMPUTED_VALUE"""),"")</f>
        <v/>
      </c>
      <c r="N854" s="85"/>
      <c r="O854" s="85"/>
      <c r="P854" s="85"/>
      <c r="Q854" s="86" t="str">
        <f>IFERROR(__xludf.DUMMYFUNCTION("""COMPUTED_VALUE"""),"REJECT")</f>
        <v>REJECT</v>
      </c>
      <c r="R854" s="66"/>
      <c r="S854" s="66"/>
      <c r="T854" s="66"/>
      <c r="U854" s="66"/>
      <c r="V854" s="66"/>
      <c r="W854" s="66"/>
      <c r="X854" s="66"/>
      <c r="Y854" s="66"/>
      <c r="Z854" s="66"/>
      <c r="AA854" s="66"/>
      <c r="AB854" s="66"/>
      <c r="AC854" s="66"/>
      <c r="AD854" s="66"/>
      <c r="AE854" s="66"/>
      <c r="AF854" s="66"/>
      <c r="AG854" s="66"/>
      <c r="AH854" s="66"/>
      <c r="AI854" s="66"/>
      <c r="AJ854" s="66"/>
      <c r="AK854" s="66"/>
      <c r="AL854" s="66"/>
      <c r="AM854" s="66"/>
      <c r="AN854" s="66"/>
      <c r="AO854" s="66"/>
    </row>
    <row r="855">
      <c r="A855" s="93"/>
      <c r="B855" s="85"/>
      <c r="C855" s="86"/>
      <c r="D855" s="93"/>
      <c r="E855" s="85"/>
      <c r="F855" s="85"/>
      <c r="G855" s="86"/>
      <c r="H855" s="78" t="str">
        <f>IFERROR(__xludf.DUMMYFUNCTION("""COMPUTED_VALUE"""),"")</f>
        <v/>
      </c>
      <c r="I855" s="85"/>
      <c r="J855" s="85"/>
      <c r="K855" s="85"/>
      <c r="L855" s="86" t="str">
        <f>IFERROR(__xludf.DUMMYFUNCTION("""COMPUTED_VALUE"""),"REJECT")</f>
        <v>REJECT</v>
      </c>
      <c r="M855" s="78" t="str">
        <f>IFERROR(__xludf.DUMMYFUNCTION("""COMPUTED_VALUE"""),"")</f>
        <v/>
      </c>
      <c r="N855" s="85"/>
      <c r="O855" s="85"/>
      <c r="P855" s="85"/>
      <c r="Q855" s="86" t="str">
        <f>IFERROR(__xludf.DUMMYFUNCTION("""COMPUTED_VALUE"""),"REJECT")</f>
        <v>REJECT</v>
      </c>
      <c r="R855" s="66"/>
      <c r="S855" s="66"/>
      <c r="T855" s="66"/>
      <c r="U855" s="66"/>
      <c r="V855" s="66"/>
      <c r="W855" s="66"/>
      <c r="X855" s="66"/>
      <c r="Y855" s="66"/>
      <c r="Z855" s="66"/>
      <c r="AA855" s="66"/>
      <c r="AB855" s="66"/>
      <c r="AC855" s="66"/>
      <c r="AD855" s="66"/>
      <c r="AE855" s="66"/>
      <c r="AF855" s="66"/>
      <c r="AG855" s="66"/>
      <c r="AH855" s="66"/>
      <c r="AI855" s="66"/>
      <c r="AJ855" s="66"/>
      <c r="AK855" s="66"/>
      <c r="AL855" s="66"/>
      <c r="AM855" s="66"/>
      <c r="AN855" s="66"/>
      <c r="AO855" s="66"/>
    </row>
    <row r="856">
      <c r="A856" s="93"/>
      <c r="B856" s="85"/>
      <c r="C856" s="86"/>
      <c r="D856" s="93"/>
      <c r="E856" s="85"/>
      <c r="F856" s="85"/>
      <c r="G856" s="86"/>
      <c r="H856" s="78" t="str">
        <f>IFERROR(__xludf.DUMMYFUNCTION("""COMPUTED_VALUE"""),"")</f>
        <v/>
      </c>
      <c r="I856" s="85"/>
      <c r="J856" s="85"/>
      <c r="K856" s="85"/>
      <c r="L856" s="86" t="str">
        <f>IFERROR(__xludf.DUMMYFUNCTION("""COMPUTED_VALUE"""),"REJECT")</f>
        <v>REJECT</v>
      </c>
      <c r="M856" s="78" t="str">
        <f>IFERROR(__xludf.DUMMYFUNCTION("""COMPUTED_VALUE"""),"")</f>
        <v/>
      </c>
      <c r="N856" s="85"/>
      <c r="O856" s="85"/>
      <c r="P856" s="85"/>
      <c r="Q856" s="86" t="str">
        <f>IFERROR(__xludf.DUMMYFUNCTION("""COMPUTED_VALUE"""),"REJECT")</f>
        <v>REJECT</v>
      </c>
      <c r="R856" s="66"/>
      <c r="S856" s="66"/>
      <c r="T856" s="66"/>
      <c r="U856" s="66"/>
      <c r="V856" s="66"/>
      <c r="W856" s="66"/>
      <c r="X856" s="66"/>
      <c r="Y856" s="66"/>
      <c r="Z856" s="66"/>
      <c r="AA856" s="66"/>
      <c r="AB856" s="66"/>
      <c r="AC856" s="66"/>
      <c r="AD856" s="66"/>
      <c r="AE856" s="66"/>
      <c r="AF856" s="66"/>
      <c r="AG856" s="66"/>
      <c r="AH856" s="66"/>
      <c r="AI856" s="66"/>
      <c r="AJ856" s="66"/>
      <c r="AK856" s="66"/>
      <c r="AL856" s="66"/>
      <c r="AM856" s="66"/>
      <c r="AN856" s="66"/>
      <c r="AO856" s="66"/>
    </row>
    <row r="857">
      <c r="A857" s="93"/>
      <c r="B857" s="85"/>
      <c r="C857" s="86"/>
      <c r="D857" s="93"/>
      <c r="E857" s="85"/>
      <c r="F857" s="85"/>
      <c r="G857" s="86"/>
      <c r="H857" s="78" t="str">
        <f>IFERROR(__xludf.DUMMYFUNCTION("""COMPUTED_VALUE"""),"")</f>
        <v/>
      </c>
      <c r="I857" s="85"/>
      <c r="J857" s="85"/>
      <c r="K857" s="85"/>
      <c r="L857" s="86" t="str">
        <f>IFERROR(__xludf.DUMMYFUNCTION("""COMPUTED_VALUE"""),"REJECT")</f>
        <v>REJECT</v>
      </c>
      <c r="M857" s="78" t="str">
        <f>IFERROR(__xludf.DUMMYFUNCTION("""COMPUTED_VALUE"""),"")</f>
        <v/>
      </c>
      <c r="N857" s="85"/>
      <c r="O857" s="85"/>
      <c r="P857" s="85"/>
      <c r="Q857" s="86" t="str">
        <f>IFERROR(__xludf.DUMMYFUNCTION("""COMPUTED_VALUE"""),"REJECT")</f>
        <v>REJECT</v>
      </c>
      <c r="R857" s="66"/>
      <c r="S857" s="66"/>
      <c r="T857" s="66"/>
      <c r="U857" s="66"/>
      <c r="V857" s="66"/>
      <c r="W857" s="66"/>
      <c r="X857" s="66"/>
      <c r="Y857" s="66"/>
      <c r="Z857" s="66"/>
      <c r="AA857" s="66"/>
      <c r="AB857" s="66"/>
      <c r="AC857" s="66"/>
      <c r="AD857" s="66"/>
      <c r="AE857" s="66"/>
      <c r="AF857" s="66"/>
      <c r="AG857" s="66"/>
      <c r="AH857" s="66"/>
      <c r="AI857" s="66"/>
      <c r="AJ857" s="66"/>
      <c r="AK857" s="66"/>
      <c r="AL857" s="66"/>
      <c r="AM857" s="66"/>
      <c r="AN857" s="66"/>
      <c r="AO857" s="66"/>
    </row>
    <row r="858">
      <c r="A858" s="93"/>
      <c r="B858" s="85"/>
      <c r="C858" s="86"/>
      <c r="D858" s="93"/>
      <c r="E858" s="85"/>
      <c r="F858" s="85"/>
      <c r="G858" s="86"/>
      <c r="H858" s="78" t="str">
        <f>IFERROR(__xludf.DUMMYFUNCTION("""COMPUTED_VALUE"""),"")</f>
        <v/>
      </c>
      <c r="I858" s="85"/>
      <c r="J858" s="85"/>
      <c r="K858" s="85"/>
      <c r="L858" s="86" t="str">
        <f>IFERROR(__xludf.DUMMYFUNCTION("""COMPUTED_VALUE"""),"REJECT")</f>
        <v>REJECT</v>
      </c>
      <c r="M858" s="78" t="str">
        <f>IFERROR(__xludf.DUMMYFUNCTION("""COMPUTED_VALUE"""),"")</f>
        <v/>
      </c>
      <c r="N858" s="85"/>
      <c r="O858" s="85"/>
      <c r="P858" s="85"/>
      <c r="Q858" s="86" t="str">
        <f>IFERROR(__xludf.DUMMYFUNCTION("""COMPUTED_VALUE"""),"REJECT")</f>
        <v>REJECT</v>
      </c>
      <c r="R858" s="66"/>
      <c r="S858" s="66"/>
      <c r="T858" s="66"/>
      <c r="U858" s="66"/>
      <c r="V858" s="66"/>
      <c r="W858" s="66"/>
      <c r="X858" s="66"/>
      <c r="Y858" s="66"/>
      <c r="Z858" s="66"/>
      <c r="AA858" s="66"/>
      <c r="AB858" s="66"/>
      <c r="AC858" s="66"/>
      <c r="AD858" s="66"/>
      <c r="AE858" s="66"/>
      <c r="AF858" s="66"/>
      <c r="AG858" s="66"/>
      <c r="AH858" s="66"/>
      <c r="AI858" s="66"/>
      <c r="AJ858" s="66"/>
      <c r="AK858" s="66"/>
      <c r="AL858" s="66"/>
      <c r="AM858" s="66"/>
      <c r="AN858" s="66"/>
      <c r="AO858" s="66"/>
    </row>
    <row r="859">
      <c r="A859" s="93"/>
      <c r="B859" s="85"/>
      <c r="C859" s="86"/>
      <c r="D859" s="93"/>
      <c r="E859" s="85"/>
      <c r="F859" s="85"/>
      <c r="G859" s="86"/>
      <c r="H859" s="78" t="str">
        <f>IFERROR(__xludf.DUMMYFUNCTION("""COMPUTED_VALUE"""),"")</f>
        <v/>
      </c>
      <c r="I859" s="85"/>
      <c r="J859" s="85"/>
      <c r="K859" s="85"/>
      <c r="L859" s="86" t="str">
        <f>IFERROR(__xludf.DUMMYFUNCTION("""COMPUTED_VALUE"""),"REJECT")</f>
        <v>REJECT</v>
      </c>
      <c r="M859" s="78" t="str">
        <f>IFERROR(__xludf.DUMMYFUNCTION("""COMPUTED_VALUE"""),"")</f>
        <v/>
      </c>
      <c r="N859" s="85"/>
      <c r="O859" s="85"/>
      <c r="P859" s="85"/>
      <c r="Q859" s="86" t="str">
        <f>IFERROR(__xludf.DUMMYFUNCTION("""COMPUTED_VALUE"""),"REJECT")</f>
        <v>REJECT</v>
      </c>
      <c r="R859" s="66"/>
      <c r="S859" s="66"/>
      <c r="T859" s="66"/>
      <c r="U859" s="66"/>
      <c r="V859" s="66"/>
      <c r="W859" s="66"/>
      <c r="X859" s="66"/>
      <c r="Y859" s="66"/>
      <c r="Z859" s="66"/>
      <c r="AA859" s="66"/>
      <c r="AB859" s="66"/>
      <c r="AC859" s="66"/>
      <c r="AD859" s="66"/>
      <c r="AE859" s="66"/>
      <c r="AF859" s="66"/>
      <c r="AG859" s="66"/>
      <c r="AH859" s="66"/>
      <c r="AI859" s="66"/>
      <c r="AJ859" s="66"/>
      <c r="AK859" s="66"/>
      <c r="AL859" s="66"/>
      <c r="AM859" s="66"/>
      <c r="AN859" s="66"/>
      <c r="AO859" s="66"/>
    </row>
    <row r="860">
      <c r="A860" s="93"/>
      <c r="B860" s="85"/>
      <c r="C860" s="86"/>
      <c r="D860" s="93"/>
      <c r="E860" s="85"/>
      <c r="F860" s="85"/>
      <c r="G860" s="86"/>
      <c r="H860" s="78" t="str">
        <f>IFERROR(__xludf.DUMMYFUNCTION("""COMPUTED_VALUE"""),"")</f>
        <v/>
      </c>
      <c r="I860" s="85"/>
      <c r="J860" s="85"/>
      <c r="K860" s="85"/>
      <c r="L860" s="86" t="str">
        <f>IFERROR(__xludf.DUMMYFUNCTION("""COMPUTED_VALUE"""),"REJECT")</f>
        <v>REJECT</v>
      </c>
      <c r="M860" s="78" t="str">
        <f>IFERROR(__xludf.DUMMYFUNCTION("""COMPUTED_VALUE"""),"")</f>
        <v/>
      </c>
      <c r="N860" s="85"/>
      <c r="O860" s="85"/>
      <c r="P860" s="85"/>
      <c r="Q860" s="86" t="str">
        <f>IFERROR(__xludf.DUMMYFUNCTION("""COMPUTED_VALUE"""),"REJECT")</f>
        <v>REJECT</v>
      </c>
      <c r="R860" s="66"/>
      <c r="S860" s="66"/>
      <c r="T860" s="66"/>
      <c r="U860" s="66"/>
      <c r="V860" s="66"/>
      <c r="W860" s="66"/>
      <c r="X860" s="66"/>
      <c r="Y860" s="66"/>
      <c r="Z860" s="66"/>
      <c r="AA860" s="66"/>
      <c r="AB860" s="66"/>
      <c r="AC860" s="66"/>
      <c r="AD860" s="66"/>
      <c r="AE860" s="66"/>
      <c r="AF860" s="66"/>
      <c r="AG860" s="66"/>
      <c r="AH860" s="66"/>
      <c r="AI860" s="66"/>
      <c r="AJ860" s="66"/>
      <c r="AK860" s="66"/>
      <c r="AL860" s="66"/>
      <c r="AM860" s="66"/>
      <c r="AN860" s="66"/>
      <c r="AO860" s="66"/>
    </row>
    <row r="861">
      <c r="A861" s="93"/>
      <c r="B861" s="85"/>
      <c r="C861" s="86"/>
      <c r="D861" s="93"/>
      <c r="E861" s="85"/>
      <c r="F861" s="85"/>
      <c r="G861" s="86"/>
      <c r="H861" s="78" t="str">
        <f>IFERROR(__xludf.DUMMYFUNCTION("""COMPUTED_VALUE"""),"")</f>
        <v/>
      </c>
      <c r="I861" s="85"/>
      <c r="J861" s="85"/>
      <c r="K861" s="85"/>
      <c r="L861" s="86" t="str">
        <f>IFERROR(__xludf.DUMMYFUNCTION("""COMPUTED_VALUE"""),"REJECT")</f>
        <v>REJECT</v>
      </c>
      <c r="M861" s="78" t="str">
        <f>IFERROR(__xludf.DUMMYFUNCTION("""COMPUTED_VALUE"""),"")</f>
        <v/>
      </c>
      <c r="N861" s="85"/>
      <c r="O861" s="85"/>
      <c r="P861" s="85"/>
      <c r="Q861" s="86" t="str">
        <f>IFERROR(__xludf.DUMMYFUNCTION("""COMPUTED_VALUE"""),"REJECT")</f>
        <v>REJECT</v>
      </c>
      <c r="R861" s="66"/>
      <c r="S861" s="66"/>
      <c r="T861" s="66"/>
      <c r="U861" s="66"/>
      <c r="V861" s="66"/>
      <c r="W861" s="66"/>
      <c r="X861" s="66"/>
      <c r="Y861" s="66"/>
      <c r="Z861" s="66"/>
      <c r="AA861" s="66"/>
      <c r="AB861" s="66"/>
      <c r="AC861" s="66"/>
      <c r="AD861" s="66"/>
      <c r="AE861" s="66"/>
      <c r="AF861" s="66"/>
      <c r="AG861" s="66"/>
      <c r="AH861" s="66"/>
      <c r="AI861" s="66"/>
      <c r="AJ861" s="66"/>
      <c r="AK861" s="66"/>
      <c r="AL861" s="66"/>
      <c r="AM861" s="66"/>
      <c r="AN861" s="66"/>
      <c r="AO861" s="66"/>
    </row>
    <row r="862">
      <c r="A862" s="93"/>
      <c r="B862" s="85"/>
      <c r="C862" s="86"/>
      <c r="D862" s="93"/>
      <c r="E862" s="85"/>
      <c r="F862" s="85"/>
      <c r="G862" s="86"/>
      <c r="H862" s="78" t="str">
        <f>IFERROR(__xludf.DUMMYFUNCTION("""COMPUTED_VALUE"""),"")</f>
        <v/>
      </c>
      <c r="I862" s="85"/>
      <c r="J862" s="85"/>
      <c r="K862" s="85"/>
      <c r="L862" s="86" t="str">
        <f>IFERROR(__xludf.DUMMYFUNCTION("""COMPUTED_VALUE"""),"REJECT")</f>
        <v>REJECT</v>
      </c>
      <c r="M862" s="78" t="str">
        <f>IFERROR(__xludf.DUMMYFUNCTION("""COMPUTED_VALUE"""),"")</f>
        <v/>
      </c>
      <c r="N862" s="85"/>
      <c r="O862" s="85"/>
      <c r="P862" s="85"/>
      <c r="Q862" s="86" t="str">
        <f>IFERROR(__xludf.DUMMYFUNCTION("""COMPUTED_VALUE"""),"REJECT")</f>
        <v>REJECT</v>
      </c>
      <c r="R862" s="66"/>
      <c r="S862" s="66"/>
      <c r="T862" s="66"/>
      <c r="U862" s="66"/>
      <c r="V862" s="66"/>
      <c r="W862" s="66"/>
      <c r="X862" s="66"/>
      <c r="Y862" s="66"/>
      <c r="Z862" s="66"/>
      <c r="AA862" s="66"/>
      <c r="AB862" s="66"/>
      <c r="AC862" s="66"/>
      <c r="AD862" s="66"/>
      <c r="AE862" s="66"/>
      <c r="AF862" s="66"/>
      <c r="AG862" s="66"/>
      <c r="AH862" s="66"/>
      <c r="AI862" s="66"/>
      <c r="AJ862" s="66"/>
      <c r="AK862" s="66"/>
      <c r="AL862" s="66"/>
      <c r="AM862" s="66"/>
      <c r="AN862" s="66"/>
      <c r="AO862" s="66"/>
    </row>
    <row r="863">
      <c r="A863" s="93"/>
      <c r="B863" s="85"/>
      <c r="C863" s="86"/>
      <c r="D863" s="93"/>
      <c r="E863" s="85"/>
      <c r="F863" s="85"/>
      <c r="G863" s="86"/>
      <c r="H863" s="78" t="str">
        <f>IFERROR(__xludf.DUMMYFUNCTION("""COMPUTED_VALUE"""),"")</f>
        <v/>
      </c>
      <c r="I863" s="85"/>
      <c r="J863" s="85"/>
      <c r="K863" s="85"/>
      <c r="L863" s="86" t="str">
        <f>IFERROR(__xludf.DUMMYFUNCTION("""COMPUTED_VALUE"""),"REJECT")</f>
        <v>REJECT</v>
      </c>
      <c r="M863" s="78" t="str">
        <f>IFERROR(__xludf.DUMMYFUNCTION("""COMPUTED_VALUE"""),"")</f>
        <v/>
      </c>
      <c r="N863" s="85"/>
      <c r="O863" s="85"/>
      <c r="P863" s="85"/>
      <c r="Q863" s="86" t="str">
        <f>IFERROR(__xludf.DUMMYFUNCTION("""COMPUTED_VALUE"""),"REJECT")</f>
        <v>REJECT</v>
      </c>
      <c r="R863" s="66"/>
      <c r="S863" s="66"/>
      <c r="T863" s="66"/>
      <c r="U863" s="66"/>
      <c r="V863" s="66"/>
      <c r="W863" s="66"/>
      <c r="X863" s="66"/>
      <c r="Y863" s="66"/>
      <c r="Z863" s="66"/>
      <c r="AA863" s="66"/>
      <c r="AB863" s="66"/>
      <c r="AC863" s="66"/>
      <c r="AD863" s="66"/>
      <c r="AE863" s="66"/>
      <c r="AF863" s="66"/>
      <c r="AG863" s="66"/>
      <c r="AH863" s="66"/>
      <c r="AI863" s="66"/>
      <c r="AJ863" s="66"/>
      <c r="AK863" s="66"/>
      <c r="AL863" s="66"/>
      <c r="AM863" s="66"/>
      <c r="AN863" s="66"/>
      <c r="AO863" s="66"/>
    </row>
    <row r="864">
      <c r="A864" s="93"/>
      <c r="B864" s="85"/>
      <c r="C864" s="86"/>
      <c r="D864" s="93"/>
      <c r="E864" s="85"/>
      <c r="F864" s="85"/>
      <c r="G864" s="86"/>
      <c r="H864" s="78" t="str">
        <f>IFERROR(__xludf.DUMMYFUNCTION("""COMPUTED_VALUE"""),"")</f>
        <v/>
      </c>
      <c r="I864" s="85"/>
      <c r="J864" s="85"/>
      <c r="K864" s="85"/>
      <c r="L864" s="86" t="str">
        <f>IFERROR(__xludf.DUMMYFUNCTION("""COMPUTED_VALUE"""),"REJECT")</f>
        <v>REJECT</v>
      </c>
      <c r="M864" s="78" t="str">
        <f>IFERROR(__xludf.DUMMYFUNCTION("""COMPUTED_VALUE"""),"")</f>
        <v/>
      </c>
      <c r="N864" s="85"/>
      <c r="O864" s="85"/>
      <c r="P864" s="85"/>
      <c r="Q864" s="86" t="str">
        <f>IFERROR(__xludf.DUMMYFUNCTION("""COMPUTED_VALUE"""),"REJECT")</f>
        <v>REJECT</v>
      </c>
      <c r="R864" s="66"/>
      <c r="S864" s="66"/>
      <c r="T864" s="66"/>
      <c r="U864" s="66"/>
      <c r="V864" s="66"/>
      <c r="W864" s="66"/>
      <c r="X864" s="66"/>
      <c r="Y864" s="66"/>
      <c r="Z864" s="66"/>
      <c r="AA864" s="66"/>
      <c r="AB864" s="66"/>
      <c r="AC864" s="66"/>
      <c r="AD864" s="66"/>
      <c r="AE864" s="66"/>
      <c r="AF864" s="66"/>
      <c r="AG864" s="66"/>
      <c r="AH864" s="66"/>
      <c r="AI864" s="66"/>
      <c r="AJ864" s="66"/>
      <c r="AK864" s="66"/>
      <c r="AL864" s="66"/>
      <c r="AM864" s="66"/>
      <c r="AN864" s="66"/>
      <c r="AO864" s="66"/>
    </row>
    <row r="865">
      <c r="A865" s="93"/>
      <c r="B865" s="85"/>
      <c r="C865" s="86"/>
      <c r="D865" s="93"/>
      <c r="E865" s="85"/>
      <c r="F865" s="85"/>
      <c r="G865" s="86"/>
      <c r="H865" s="78" t="str">
        <f>IFERROR(__xludf.DUMMYFUNCTION("""COMPUTED_VALUE"""),"")</f>
        <v/>
      </c>
      <c r="I865" s="85"/>
      <c r="J865" s="85"/>
      <c r="K865" s="85"/>
      <c r="L865" s="86" t="str">
        <f>IFERROR(__xludf.DUMMYFUNCTION("""COMPUTED_VALUE"""),"REJECT")</f>
        <v>REJECT</v>
      </c>
      <c r="M865" s="78" t="str">
        <f>IFERROR(__xludf.DUMMYFUNCTION("""COMPUTED_VALUE"""),"")</f>
        <v/>
      </c>
      <c r="N865" s="85"/>
      <c r="O865" s="85"/>
      <c r="P865" s="85"/>
      <c r="Q865" s="86" t="str">
        <f>IFERROR(__xludf.DUMMYFUNCTION("""COMPUTED_VALUE"""),"REJECT")</f>
        <v>REJECT</v>
      </c>
      <c r="R865" s="66"/>
      <c r="S865" s="66"/>
      <c r="T865" s="66"/>
      <c r="U865" s="66"/>
      <c r="V865" s="66"/>
      <c r="W865" s="66"/>
      <c r="X865" s="66"/>
      <c r="Y865" s="66"/>
      <c r="Z865" s="66"/>
      <c r="AA865" s="66"/>
      <c r="AB865" s="66"/>
      <c r="AC865" s="66"/>
      <c r="AD865" s="66"/>
      <c r="AE865" s="66"/>
      <c r="AF865" s="66"/>
      <c r="AG865" s="66"/>
      <c r="AH865" s="66"/>
      <c r="AI865" s="66"/>
      <c r="AJ865" s="66"/>
      <c r="AK865" s="66"/>
      <c r="AL865" s="66"/>
      <c r="AM865" s="66"/>
      <c r="AN865" s="66"/>
      <c r="AO865" s="66"/>
    </row>
    <row r="866">
      <c r="A866" s="93"/>
      <c r="B866" s="85"/>
      <c r="C866" s="86"/>
      <c r="D866" s="93"/>
      <c r="E866" s="85"/>
      <c r="F866" s="85"/>
      <c r="G866" s="86"/>
      <c r="H866" s="78" t="str">
        <f>IFERROR(__xludf.DUMMYFUNCTION("""COMPUTED_VALUE"""),"")</f>
        <v/>
      </c>
      <c r="I866" s="85"/>
      <c r="J866" s="85"/>
      <c r="K866" s="85"/>
      <c r="L866" s="86" t="str">
        <f>IFERROR(__xludf.DUMMYFUNCTION("""COMPUTED_VALUE"""),"REJECT")</f>
        <v>REJECT</v>
      </c>
      <c r="M866" s="78" t="str">
        <f>IFERROR(__xludf.DUMMYFUNCTION("""COMPUTED_VALUE"""),"")</f>
        <v/>
      </c>
      <c r="N866" s="85"/>
      <c r="O866" s="85"/>
      <c r="P866" s="85"/>
      <c r="Q866" s="86" t="str">
        <f>IFERROR(__xludf.DUMMYFUNCTION("""COMPUTED_VALUE"""),"REJECT")</f>
        <v>REJECT</v>
      </c>
      <c r="R866" s="66"/>
      <c r="S866" s="66"/>
      <c r="T866" s="66"/>
      <c r="U866" s="66"/>
      <c r="V866" s="66"/>
      <c r="W866" s="66"/>
      <c r="X866" s="66"/>
      <c r="Y866" s="66"/>
      <c r="Z866" s="66"/>
      <c r="AA866" s="66"/>
      <c r="AB866" s="66"/>
      <c r="AC866" s="66"/>
      <c r="AD866" s="66"/>
      <c r="AE866" s="66"/>
      <c r="AF866" s="66"/>
      <c r="AG866" s="66"/>
      <c r="AH866" s="66"/>
      <c r="AI866" s="66"/>
      <c r="AJ866" s="66"/>
      <c r="AK866" s="66"/>
      <c r="AL866" s="66"/>
      <c r="AM866" s="66"/>
      <c r="AN866" s="66"/>
      <c r="AO866" s="66"/>
    </row>
    <row r="867">
      <c r="A867" s="93"/>
      <c r="B867" s="85"/>
      <c r="C867" s="86"/>
      <c r="D867" s="93"/>
      <c r="E867" s="85"/>
      <c r="F867" s="85"/>
      <c r="G867" s="86"/>
      <c r="H867" s="78" t="str">
        <f>IFERROR(__xludf.DUMMYFUNCTION("""COMPUTED_VALUE"""),"")</f>
        <v/>
      </c>
      <c r="I867" s="85"/>
      <c r="J867" s="85"/>
      <c r="K867" s="85"/>
      <c r="L867" s="86" t="str">
        <f>IFERROR(__xludf.DUMMYFUNCTION("""COMPUTED_VALUE"""),"REJECT")</f>
        <v>REJECT</v>
      </c>
      <c r="M867" s="78" t="str">
        <f>IFERROR(__xludf.DUMMYFUNCTION("""COMPUTED_VALUE"""),"")</f>
        <v/>
      </c>
      <c r="N867" s="85"/>
      <c r="O867" s="85"/>
      <c r="P867" s="85"/>
      <c r="Q867" s="86" t="str">
        <f>IFERROR(__xludf.DUMMYFUNCTION("""COMPUTED_VALUE"""),"REJECT")</f>
        <v>REJECT</v>
      </c>
      <c r="R867" s="66"/>
      <c r="S867" s="66"/>
      <c r="T867" s="66"/>
      <c r="U867" s="66"/>
      <c r="V867" s="66"/>
      <c r="W867" s="66"/>
      <c r="X867" s="66"/>
      <c r="Y867" s="66"/>
      <c r="Z867" s="66"/>
      <c r="AA867" s="66"/>
      <c r="AB867" s="66"/>
      <c r="AC867" s="66"/>
      <c r="AD867" s="66"/>
      <c r="AE867" s="66"/>
      <c r="AF867" s="66"/>
      <c r="AG867" s="66"/>
      <c r="AH867" s="66"/>
      <c r="AI867" s="66"/>
      <c r="AJ867" s="66"/>
      <c r="AK867" s="66"/>
      <c r="AL867" s="66"/>
      <c r="AM867" s="66"/>
      <c r="AN867" s="66"/>
      <c r="AO867" s="66"/>
    </row>
    <row r="868">
      <c r="A868" s="93"/>
      <c r="B868" s="85"/>
      <c r="C868" s="86"/>
      <c r="D868" s="93"/>
      <c r="E868" s="85"/>
      <c r="F868" s="85"/>
      <c r="G868" s="86"/>
      <c r="H868" s="78" t="str">
        <f>IFERROR(__xludf.DUMMYFUNCTION("""COMPUTED_VALUE"""),"")</f>
        <v/>
      </c>
      <c r="I868" s="85"/>
      <c r="J868" s="85"/>
      <c r="K868" s="85"/>
      <c r="L868" s="86" t="str">
        <f>IFERROR(__xludf.DUMMYFUNCTION("""COMPUTED_VALUE"""),"REJECT")</f>
        <v>REJECT</v>
      </c>
      <c r="M868" s="78" t="str">
        <f>IFERROR(__xludf.DUMMYFUNCTION("""COMPUTED_VALUE"""),"")</f>
        <v/>
      </c>
      <c r="N868" s="85"/>
      <c r="O868" s="85"/>
      <c r="P868" s="85"/>
      <c r="Q868" s="86" t="str">
        <f>IFERROR(__xludf.DUMMYFUNCTION("""COMPUTED_VALUE"""),"REJECT")</f>
        <v>REJECT</v>
      </c>
      <c r="R868" s="66"/>
      <c r="S868" s="66"/>
      <c r="T868" s="66"/>
      <c r="U868" s="66"/>
      <c r="V868" s="66"/>
      <c r="W868" s="66"/>
      <c r="X868" s="66"/>
      <c r="Y868" s="66"/>
      <c r="Z868" s="66"/>
      <c r="AA868" s="66"/>
      <c r="AB868" s="66"/>
      <c r="AC868" s="66"/>
      <c r="AD868" s="66"/>
      <c r="AE868" s="66"/>
      <c r="AF868" s="66"/>
      <c r="AG868" s="66"/>
      <c r="AH868" s="66"/>
      <c r="AI868" s="66"/>
      <c r="AJ868" s="66"/>
      <c r="AK868" s="66"/>
      <c r="AL868" s="66"/>
      <c r="AM868" s="66"/>
      <c r="AN868" s="66"/>
      <c r="AO868" s="66"/>
    </row>
    <row r="869">
      <c r="A869" s="93"/>
      <c r="B869" s="85"/>
      <c r="C869" s="86"/>
      <c r="D869" s="93"/>
      <c r="E869" s="85"/>
      <c r="F869" s="85"/>
      <c r="G869" s="86"/>
      <c r="H869" s="78" t="str">
        <f>IFERROR(__xludf.DUMMYFUNCTION("""COMPUTED_VALUE"""),"")</f>
        <v/>
      </c>
      <c r="I869" s="85"/>
      <c r="J869" s="85"/>
      <c r="K869" s="85"/>
      <c r="L869" s="86" t="str">
        <f>IFERROR(__xludf.DUMMYFUNCTION("""COMPUTED_VALUE"""),"REJECT")</f>
        <v>REJECT</v>
      </c>
      <c r="M869" s="78" t="str">
        <f>IFERROR(__xludf.DUMMYFUNCTION("""COMPUTED_VALUE"""),"")</f>
        <v/>
      </c>
      <c r="N869" s="85"/>
      <c r="O869" s="85"/>
      <c r="P869" s="85"/>
      <c r="Q869" s="86" t="str">
        <f>IFERROR(__xludf.DUMMYFUNCTION("""COMPUTED_VALUE"""),"REJECT")</f>
        <v>REJECT</v>
      </c>
      <c r="R869" s="66"/>
      <c r="S869" s="66"/>
      <c r="T869" s="66"/>
      <c r="U869" s="66"/>
      <c r="V869" s="66"/>
      <c r="W869" s="66"/>
      <c r="X869" s="66"/>
      <c r="Y869" s="66"/>
      <c r="Z869" s="66"/>
      <c r="AA869" s="66"/>
      <c r="AB869" s="66"/>
      <c r="AC869" s="66"/>
      <c r="AD869" s="66"/>
      <c r="AE869" s="66"/>
      <c r="AF869" s="66"/>
      <c r="AG869" s="66"/>
      <c r="AH869" s="66"/>
      <c r="AI869" s="66"/>
      <c r="AJ869" s="66"/>
      <c r="AK869" s="66"/>
      <c r="AL869" s="66"/>
      <c r="AM869" s="66"/>
      <c r="AN869" s="66"/>
      <c r="AO869" s="66"/>
    </row>
    <row r="870">
      <c r="A870" s="93"/>
      <c r="B870" s="85"/>
      <c r="C870" s="86"/>
      <c r="D870" s="93"/>
      <c r="E870" s="85"/>
      <c r="F870" s="85"/>
      <c r="G870" s="86"/>
      <c r="H870" s="78" t="str">
        <f>IFERROR(__xludf.DUMMYFUNCTION("""COMPUTED_VALUE"""),"")</f>
        <v/>
      </c>
      <c r="I870" s="85"/>
      <c r="J870" s="85"/>
      <c r="K870" s="85"/>
      <c r="L870" s="86" t="str">
        <f>IFERROR(__xludf.DUMMYFUNCTION("""COMPUTED_VALUE"""),"REJECT")</f>
        <v>REJECT</v>
      </c>
      <c r="M870" s="78" t="str">
        <f>IFERROR(__xludf.DUMMYFUNCTION("""COMPUTED_VALUE"""),"")</f>
        <v/>
      </c>
      <c r="N870" s="85"/>
      <c r="O870" s="85"/>
      <c r="P870" s="85"/>
      <c r="Q870" s="86" t="str">
        <f>IFERROR(__xludf.DUMMYFUNCTION("""COMPUTED_VALUE"""),"REJECT")</f>
        <v>REJECT</v>
      </c>
      <c r="R870" s="66"/>
      <c r="S870" s="66"/>
      <c r="T870" s="66"/>
      <c r="U870" s="66"/>
      <c r="V870" s="66"/>
      <c r="W870" s="66"/>
      <c r="X870" s="66"/>
      <c r="Y870" s="66"/>
      <c r="Z870" s="66"/>
      <c r="AA870" s="66"/>
      <c r="AB870" s="66"/>
      <c r="AC870" s="66"/>
      <c r="AD870" s="66"/>
      <c r="AE870" s="66"/>
      <c r="AF870" s="66"/>
      <c r="AG870" s="66"/>
      <c r="AH870" s="66"/>
      <c r="AI870" s="66"/>
      <c r="AJ870" s="66"/>
      <c r="AK870" s="66"/>
      <c r="AL870" s="66"/>
      <c r="AM870" s="66"/>
      <c r="AN870" s="66"/>
      <c r="AO870" s="66"/>
    </row>
    <row r="871">
      <c r="A871" s="93"/>
      <c r="B871" s="85"/>
      <c r="C871" s="86"/>
      <c r="D871" s="93"/>
      <c r="E871" s="85"/>
      <c r="F871" s="85"/>
      <c r="G871" s="86"/>
      <c r="H871" s="78" t="str">
        <f>IFERROR(__xludf.DUMMYFUNCTION("""COMPUTED_VALUE"""),"")</f>
        <v/>
      </c>
      <c r="I871" s="85"/>
      <c r="J871" s="85"/>
      <c r="K871" s="85"/>
      <c r="L871" s="86" t="str">
        <f>IFERROR(__xludf.DUMMYFUNCTION("""COMPUTED_VALUE"""),"REJECT")</f>
        <v>REJECT</v>
      </c>
      <c r="M871" s="78" t="str">
        <f>IFERROR(__xludf.DUMMYFUNCTION("""COMPUTED_VALUE"""),"")</f>
        <v/>
      </c>
      <c r="N871" s="85"/>
      <c r="O871" s="85"/>
      <c r="P871" s="85"/>
      <c r="Q871" s="86" t="str">
        <f>IFERROR(__xludf.DUMMYFUNCTION("""COMPUTED_VALUE"""),"REJECT")</f>
        <v>REJECT</v>
      </c>
      <c r="R871" s="66"/>
      <c r="S871" s="66"/>
      <c r="T871" s="66"/>
      <c r="U871" s="66"/>
      <c r="V871" s="66"/>
      <c r="W871" s="66"/>
      <c r="X871" s="66"/>
      <c r="Y871" s="66"/>
      <c r="Z871" s="66"/>
      <c r="AA871" s="66"/>
      <c r="AB871" s="66"/>
      <c r="AC871" s="66"/>
      <c r="AD871" s="66"/>
      <c r="AE871" s="66"/>
      <c r="AF871" s="66"/>
      <c r="AG871" s="66"/>
      <c r="AH871" s="66"/>
      <c r="AI871" s="66"/>
      <c r="AJ871" s="66"/>
      <c r="AK871" s="66"/>
      <c r="AL871" s="66"/>
      <c r="AM871" s="66"/>
      <c r="AN871" s="66"/>
      <c r="AO871" s="66"/>
    </row>
    <row r="872">
      <c r="A872" s="93"/>
      <c r="B872" s="85"/>
      <c r="C872" s="86"/>
      <c r="D872" s="93"/>
      <c r="E872" s="85"/>
      <c r="F872" s="85"/>
      <c r="G872" s="86"/>
      <c r="H872" s="78" t="str">
        <f>IFERROR(__xludf.DUMMYFUNCTION("""COMPUTED_VALUE"""),"")</f>
        <v/>
      </c>
      <c r="I872" s="85"/>
      <c r="J872" s="85"/>
      <c r="K872" s="85"/>
      <c r="L872" s="86" t="str">
        <f>IFERROR(__xludf.DUMMYFUNCTION("""COMPUTED_VALUE"""),"REJECT")</f>
        <v>REJECT</v>
      </c>
      <c r="M872" s="78" t="str">
        <f>IFERROR(__xludf.DUMMYFUNCTION("""COMPUTED_VALUE"""),"")</f>
        <v/>
      </c>
      <c r="N872" s="85"/>
      <c r="O872" s="85"/>
      <c r="P872" s="85"/>
      <c r="Q872" s="86" t="str">
        <f>IFERROR(__xludf.DUMMYFUNCTION("""COMPUTED_VALUE"""),"REJECT")</f>
        <v>REJECT</v>
      </c>
      <c r="R872" s="66"/>
      <c r="S872" s="66"/>
      <c r="T872" s="66"/>
      <c r="U872" s="66"/>
      <c r="V872" s="66"/>
      <c r="W872" s="66"/>
      <c r="X872" s="66"/>
      <c r="Y872" s="66"/>
      <c r="Z872" s="66"/>
      <c r="AA872" s="66"/>
      <c r="AB872" s="66"/>
      <c r="AC872" s="66"/>
      <c r="AD872" s="66"/>
      <c r="AE872" s="66"/>
      <c r="AF872" s="66"/>
      <c r="AG872" s="66"/>
      <c r="AH872" s="66"/>
      <c r="AI872" s="66"/>
      <c r="AJ872" s="66"/>
      <c r="AK872" s="66"/>
      <c r="AL872" s="66"/>
      <c r="AM872" s="66"/>
      <c r="AN872" s="66"/>
      <c r="AO872" s="66"/>
    </row>
    <row r="873">
      <c r="A873" s="93"/>
      <c r="B873" s="85"/>
      <c r="C873" s="86"/>
      <c r="D873" s="93"/>
      <c r="E873" s="85"/>
      <c r="F873" s="85"/>
      <c r="G873" s="86"/>
      <c r="H873" s="78" t="str">
        <f>IFERROR(__xludf.DUMMYFUNCTION("""COMPUTED_VALUE"""),"")</f>
        <v/>
      </c>
      <c r="I873" s="85"/>
      <c r="J873" s="85"/>
      <c r="K873" s="85"/>
      <c r="L873" s="86" t="str">
        <f>IFERROR(__xludf.DUMMYFUNCTION("""COMPUTED_VALUE"""),"REJECT")</f>
        <v>REJECT</v>
      </c>
      <c r="M873" s="78" t="str">
        <f>IFERROR(__xludf.DUMMYFUNCTION("""COMPUTED_VALUE"""),"")</f>
        <v/>
      </c>
      <c r="N873" s="85"/>
      <c r="O873" s="85"/>
      <c r="P873" s="85"/>
      <c r="Q873" s="86" t="str">
        <f>IFERROR(__xludf.DUMMYFUNCTION("""COMPUTED_VALUE"""),"REJECT")</f>
        <v>REJECT</v>
      </c>
      <c r="R873" s="66"/>
      <c r="S873" s="66"/>
      <c r="T873" s="66"/>
      <c r="U873" s="66"/>
      <c r="V873" s="66"/>
      <c r="W873" s="66"/>
      <c r="X873" s="66"/>
      <c r="Y873" s="66"/>
      <c r="Z873" s="66"/>
      <c r="AA873" s="66"/>
      <c r="AB873" s="66"/>
      <c r="AC873" s="66"/>
      <c r="AD873" s="66"/>
      <c r="AE873" s="66"/>
      <c r="AF873" s="66"/>
      <c r="AG873" s="66"/>
      <c r="AH873" s="66"/>
      <c r="AI873" s="66"/>
      <c r="AJ873" s="66"/>
      <c r="AK873" s="66"/>
      <c r="AL873" s="66"/>
      <c r="AM873" s="66"/>
      <c r="AN873" s="66"/>
      <c r="AO873" s="66"/>
    </row>
    <row r="874">
      <c r="A874" s="93"/>
      <c r="B874" s="85"/>
      <c r="C874" s="86"/>
      <c r="D874" s="93"/>
      <c r="E874" s="85"/>
      <c r="F874" s="85"/>
      <c r="G874" s="86"/>
      <c r="H874" s="78" t="str">
        <f>IFERROR(__xludf.DUMMYFUNCTION("""COMPUTED_VALUE"""),"")</f>
        <v/>
      </c>
      <c r="I874" s="85"/>
      <c r="J874" s="85"/>
      <c r="K874" s="85"/>
      <c r="L874" s="86" t="str">
        <f>IFERROR(__xludf.DUMMYFUNCTION("""COMPUTED_VALUE"""),"REJECT")</f>
        <v>REJECT</v>
      </c>
      <c r="M874" s="78" t="str">
        <f>IFERROR(__xludf.DUMMYFUNCTION("""COMPUTED_VALUE"""),"")</f>
        <v/>
      </c>
      <c r="N874" s="85"/>
      <c r="O874" s="85"/>
      <c r="P874" s="85"/>
      <c r="Q874" s="86" t="str">
        <f>IFERROR(__xludf.DUMMYFUNCTION("""COMPUTED_VALUE"""),"REJECT")</f>
        <v>REJECT</v>
      </c>
      <c r="R874" s="66"/>
      <c r="S874" s="66"/>
      <c r="T874" s="66"/>
      <c r="U874" s="66"/>
      <c r="V874" s="66"/>
      <c r="W874" s="66"/>
      <c r="X874" s="66"/>
      <c r="Y874" s="66"/>
      <c r="Z874" s="66"/>
      <c r="AA874" s="66"/>
      <c r="AB874" s="66"/>
      <c r="AC874" s="66"/>
      <c r="AD874" s="66"/>
      <c r="AE874" s="66"/>
      <c r="AF874" s="66"/>
      <c r="AG874" s="66"/>
      <c r="AH874" s="66"/>
      <c r="AI874" s="66"/>
      <c r="AJ874" s="66"/>
      <c r="AK874" s="66"/>
      <c r="AL874" s="66"/>
      <c r="AM874" s="66"/>
      <c r="AN874" s="66"/>
      <c r="AO874" s="66"/>
    </row>
    <row r="875">
      <c r="A875" s="93"/>
      <c r="B875" s="85"/>
      <c r="C875" s="86"/>
      <c r="D875" s="93"/>
      <c r="E875" s="85"/>
      <c r="F875" s="85"/>
      <c r="G875" s="86"/>
      <c r="H875" s="78" t="str">
        <f>IFERROR(__xludf.DUMMYFUNCTION("""COMPUTED_VALUE"""),"")</f>
        <v/>
      </c>
      <c r="I875" s="85"/>
      <c r="J875" s="85"/>
      <c r="K875" s="85"/>
      <c r="L875" s="86" t="str">
        <f>IFERROR(__xludf.DUMMYFUNCTION("""COMPUTED_VALUE"""),"REJECT")</f>
        <v>REJECT</v>
      </c>
      <c r="M875" s="78" t="str">
        <f>IFERROR(__xludf.DUMMYFUNCTION("""COMPUTED_VALUE"""),"")</f>
        <v/>
      </c>
      <c r="N875" s="85"/>
      <c r="O875" s="85"/>
      <c r="P875" s="85"/>
      <c r="Q875" s="86" t="str">
        <f>IFERROR(__xludf.DUMMYFUNCTION("""COMPUTED_VALUE"""),"REJECT")</f>
        <v>REJECT</v>
      </c>
      <c r="R875" s="66"/>
      <c r="S875" s="66"/>
      <c r="T875" s="66"/>
      <c r="U875" s="66"/>
      <c r="V875" s="66"/>
      <c r="W875" s="66"/>
      <c r="X875" s="66"/>
      <c r="Y875" s="66"/>
      <c r="Z875" s="66"/>
      <c r="AA875" s="66"/>
      <c r="AB875" s="66"/>
      <c r="AC875" s="66"/>
      <c r="AD875" s="66"/>
      <c r="AE875" s="66"/>
      <c r="AF875" s="66"/>
      <c r="AG875" s="66"/>
      <c r="AH875" s="66"/>
      <c r="AI875" s="66"/>
      <c r="AJ875" s="66"/>
      <c r="AK875" s="66"/>
      <c r="AL875" s="66"/>
      <c r="AM875" s="66"/>
      <c r="AN875" s="66"/>
      <c r="AO875" s="66"/>
    </row>
    <row r="876">
      <c r="A876" s="93"/>
      <c r="B876" s="85"/>
      <c r="C876" s="86"/>
      <c r="D876" s="93"/>
      <c r="E876" s="85"/>
      <c r="F876" s="85"/>
      <c r="G876" s="86"/>
      <c r="H876" s="78" t="str">
        <f>IFERROR(__xludf.DUMMYFUNCTION("""COMPUTED_VALUE"""),"")</f>
        <v/>
      </c>
      <c r="I876" s="85"/>
      <c r="J876" s="85"/>
      <c r="K876" s="85"/>
      <c r="L876" s="86" t="str">
        <f>IFERROR(__xludf.DUMMYFUNCTION("""COMPUTED_VALUE"""),"REJECT")</f>
        <v>REJECT</v>
      </c>
      <c r="M876" s="78" t="str">
        <f>IFERROR(__xludf.DUMMYFUNCTION("""COMPUTED_VALUE"""),"")</f>
        <v/>
      </c>
      <c r="N876" s="85"/>
      <c r="O876" s="85"/>
      <c r="P876" s="85"/>
      <c r="Q876" s="86" t="str">
        <f>IFERROR(__xludf.DUMMYFUNCTION("""COMPUTED_VALUE"""),"REJECT")</f>
        <v>REJECT</v>
      </c>
      <c r="R876" s="66"/>
      <c r="S876" s="66"/>
      <c r="T876" s="66"/>
      <c r="U876" s="66"/>
      <c r="V876" s="66"/>
      <c r="W876" s="66"/>
      <c r="X876" s="66"/>
      <c r="Y876" s="66"/>
      <c r="Z876" s="66"/>
      <c r="AA876" s="66"/>
      <c r="AB876" s="66"/>
      <c r="AC876" s="66"/>
      <c r="AD876" s="66"/>
      <c r="AE876" s="66"/>
      <c r="AF876" s="66"/>
      <c r="AG876" s="66"/>
      <c r="AH876" s="66"/>
      <c r="AI876" s="66"/>
      <c r="AJ876" s="66"/>
      <c r="AK876" s="66"/>
      <c r="AL876" s="66"/>
      <c r="AM876" s="66"/>
      <c r="AN876" s="66"/>
      <c r="AO876" s="66"/>
    </row>
    <row r="877">
      <c r="A877" s="93"/>
      <c r="B877" s="85"/>
      <c r="C877" s="86"/>
      <c r="D877" s="93"/>
      <c r="E877" s="85"/>
      <c r="F877" s="85"/>
      <c r="G877" s="86"/>
      <c r="H877" s="78" t="str">
        <f>IFERROR(__xludf.DUMMYFUNCTION("""COMPUTED_VALUE"""),"")</f>
        <v/>
      </c>
      <c r="I877" s="85"/>
      <c r="J877" s="85"/>
      <c r="K877" s="85"/>
      <c r="L877" s="86" t="str">
        <f>IFERROR(__xludf.DUMMYFUNCTION("""COMPUTED_VALUE"""),"REJECT")</f>
        <v>REJECT</v>
      </c>
      <c r="M877" s="78" t="str">
        <f>IFERROR(__xludf.DUMMYFUNCTION("""COMPUTED_VALUE"""),"")</f>
        <v/>
      </c>
      <c r="N877" s="85"/>
      <c r="O877" s="85"/>
      <c r="P877" s="85"/>
      <c r="Q877" s="86" t="str">
        <f>IFERROR(__xludf.DUMMYFUNCTION("""COMPUTED_VALUE"""),"REJECT")</f>
        <v>REJECT</v>
      </c>
      <c r="R877" s="66"/>
      <c r="S877" s="66"/>
      <c r="T877" s="66"/>
      <c r="U877" s="66"/>
      <c r="V877" s="66"/>
      <c r="W877" s="66"/>
      <c r="X877" s="66"/>
      <c r="Y877" s="66"/>
      <c r="Z877" s="66"/>
      <c r="AA877" s="66"/>
      <c r="AB877" s="66"/>
      <c r="AC877" s="66"/>
      <c r="AD877" s="66"/>
      <c r="AE877" s="66"/>
      <c r="AF877" s="66"/>
      <c r="AG877" s="66"/>
      <c r="AH877" s="66"/>
      <c r="AI877" s="66"/>
      <c r="AJ877" s="66"/>
      <c r="AK877" s="66"/>
      <c r="AL877" s="66"/>
      <c r="AM877" s="66"/>
      <c r="AN877" s="66"/>
      <c r="AO877" s="66"/>
    </row>
    <row r="878">
      <c r="A878" s="93"/>
      <c r="B878" s="85"/>
      <c r="C878" s="86"/>
      <c r="D878" s="93"/>
      <c r="E878" s="85"/>
      <c r="F878" s="85"/>
      <c r="G878" s="86"/>
      <c r="H878" s="78" t="str">
        <f>IFERROR(__xludf.DUMMYFUNCTION("""COMPUTED_VALUE"""),"")</f>
        <v/>
      </c>
      <c r="I878" s="85"/>
      <c r="J878" s="85"/>
      <c r="K878" s="85"/>
      <c r="L878" s="86" t="str">
        <f>IFERROR(__xludf.DUMMYFUNCTION("""COMPUTED_VALUE"""),"REJECT")</f>
        <v>REJECT</v>
      </c>
      <c r="M878" s="78" t="str">
        <f>IFERROR(__xludf.DUMMYFUNCTION("""COMPUTED_VALUE"""),"")</f>
        <v/>
      </c>
      <c r="N878" s="85"/>
      <c r="O878" s="85"/>
      <c r="P878" s="85"/>
      <c r="Q878" s="86" t="str">
        <f>IFERROR(__xludf.DUMMYFUNCTION("""COMPUTED_VALUE"""),"REJECT")</f>
        <v>REJECT</v>
      </c>
      <c r="R878" s="66"/>
      <c r="S878" s="66"/>
      <c r="T878" s="66"/>
      <c r="U878" s="66"/>
      <c r="V878" s="66"/>
      <c r="W878" s="66"/>
      <c r="X878" s="66"/>
      <c r="Y878" s="66"/>
      <c r="Z878" s="66"/>
      <c r="AA878" s="66"/>
      <c r="AB878" s="66"/>
      <c r="AC878" s="66"/>
      <c r="AD878" s="66"/>
      <c r="AE878" s="66"/>
      <c r="AF878" s="66"/>
      <c r="AG878" s="66"/>
      <c r="AH878" s="66"/>
      <c r="AI878" s="66"/>
      <c r="AJ878" s="66"/>
      <c r="AK878" s="66"/>
      <c r="AL878" s="66"/>
      <c r="AM878" s="66"/>
      <c r="AN878" s="66"/>
      <c r="AO878" s="66"/>
    </row>
    <row r="879">
      <c r="A879" s="93"/>
      <c r="B879" s="85"/>
      <c r="C879" s="86"/>
      <c r="D879" s="93"/>
      <c r="E879" s="85"/>
      <c r="F879" s="85"/>
      <c r="G879" s="86"/>
      <c r="H879" s="78" t="str">
        <f>IFERROR(__xludf.DUMMYFUNCTION("""COMPUTED_VALUE"""),"")</f>
        <v/>
      </c>
      <c r="I879" s="85"/>
      <c r="J879" s="85"/>
      <c r="K879" s="85"/>
      <c r="L879" s="86" t="str">
        <f>IFERROR(__xludf.DUMMYFUNCTION("""COMPUTED_VALUE"""),"REJECT")</f>
        <v>REJECT</v>
      </c>
      <c r="M879" s="78" t="str">
        <f>IFERROR(__xludf.DUMMYFUNCTION("""COMPUTED_VALUE"""),"")</f>
        <v/>
      </c>
      <c r="N879" s="85"/>
      <c r="O879" s="85"/>
      <c r="P879" s="85"/>
      <c r="Q879" s="86" t="str">
        <f>IFERROR(__xludf.DUMMYFUNCTION("""COMPUTED_VALUE"""),"REJECT")</f>
        <v>REJECT</v>
      </c>
      <c r="R879" s="66"/>
      <c r="S879" s="66"/>
      <c r="T879" s="66"/>
      <c r="U879" s="66"/>
      <c r="V879" s="66"/>
      <c r="W879" s="66"/>
      <c r="X879" s="66"/>
      <c r="Y879" s="66"/>
      <c r="Z879" s="66"/>
      <c r="AA879" s="66"/>
      <c r="AB879" s="66"/>
      <c r="AC879" s="66"/>
      <c r="AD879" s="66"/>
      <c r="AE879" s="66"/>
      <c r="AF879" s="66"/>
      <c r="AG879" s="66"/>
      <c r="AH879" s="66"/>
      <c r="AI879" s="66"/>
      <c r="AJ879" s="66"/>
      <c r="AK879" s="66"/>
      <c r="AL879" s="66"/>
      <c r="AM879" s="66"/>
      <c r="AN879" s="66"/>
      <c r="AO879" s="66"/>
    </row>
    <row r="880">
      <c r="A880" s="93"/>
      <c r="B880" s="85"/>
      <c r="C880" s="86"/>
      <c r="D880" s="93"/>
      <c r="E880" s="85"/>
      <c r="F880" s="85"/>
      <c r="G880" s="86"/>
      <c r="H880" s="78" t="str">
        <f>IFERROR(__xludf.DUMMYFUNCTION("""COMPUTED_VALUE"""),"")</f>
        <v/>
      </c>
      <c r="I880" s="85"/>
      <c r="J880" s="85"/>
      <c r="K880" s="85"/>
      <c r="L880" s="86" t="str">
        <f>IFERROR(__xludf.DUMMYFUNCTION("""COMPUTED_VALUE"""),"REJECT")</f>
        <v>REJECT</v>
      </c>
      <c r="M880" s="78" t="str">
        <f>IFERROR(__xludf.DUMMYFUNCTION("""COMPUTED_VALUE"""),"")</f>
        <v/>
      </c>
      <c r="N880" s="85"/>
      <c r="O880" s="85"/>
      <c r="P880" s="85"/>
      <c r="Q880" s="86" t="str">
        <f>IFERROR(__xludf.DUMMYFUNCTION("""COMPUTED_VALUE"""),"REJECT")</f>
        <v>REJECT</v>
      </c>
      <c r="R880" s="66"/>
      <c r="S880" s="66"/>
      <c r="T880" s="66"/>
      <c r="U880" s="66"/>
      <c r="V880" s="66"/>
      <c r="W880" s="66"/>
      <c r="X880" s="66"/>
      <c r="Y880" s="66"/>
      <c r="Z880" s="66"/>
      <c r="AA880" s="66"/>
      <c r="AB880" s="66"/>
      <c r="AC880" s="66"/>
      <c r="AD880" s="66"/>
      <c r="AE880" s="66"/>
      <c r="AF880" s="66"/>
      <c r="AG880" s="66"/>
      <c r="AH880" s="66"/>
      <c r="AI880" s="66"/>
      <c r="AJ880" s="66"/>
      <c r="AK880" s="66"/>
      <c r="AL880" s="66"/>
      <c r="AM880" s="66"/>
      <c r="AN880" s="66"/>
      <c r="AO880" s="66"/>
    </row>
    <row r="881">
      <c r="A881" s="93"/>
      <c r="B881" s="85"/>
      <c r="C881" s="86"/>
      <c r="D881" s="93"/>
      <c r="E881" s="85"/>
      <c r="F881" s="85"/>
      <c r="G881" s="86"/>
      <c r="H881" s="78" t="str">
        <f>IFERROR(__xludf.DUMMYFUNCTION("""COMPUTED_VALUE"""),"")</f>
        <v/>
      </c>
      <c r="I881" s="85"/>
      <c r="J881" s="85"/>
      <c r="K881" s="85"/>
      <c r="L881" s="86" t="str">
        <f>IFERROR(__xludf.DUMMYFUNCTION("""COMPUTED_VALUE"""),"REJECT")</f>
        <v>REJECT</v>
      </c>
      <c r="M881" s="78" t="str">
        <f>IFERROR(__xludf.DUMMYFUNCTION("""COMPUTED_VALUE"""),"")</f>
        <v/>
      </c>
      <c r="N881" s="85"/>
      <c r="O881" s="85"/>
      <c r="P881" s="85"/>
      <c r="Q881" s="86" t="str">
        <f>IFERROR(__xludf.DUMMYFUNCTION("""COMPUTED_VALUE"""),"REJECT")</f>
        <v>REJECT</v>
      </c>
      <c r="R881" s="66"/>
      <c r="S881" s="66"/>
      <c r="T881" s="66"/>
      <c r="U881" s="66"/>
      <c r="V881" s="66"/>
      <c r="W881" s="66"/>
      <c r="X881" s="66"/>
      <c r="Y881" s="66"/>
      <c r="Z881" s="66"/>
      <c r="AA881" s="66"/>
      <c r="AB881" s="66"/>
      <c r="AC881" s="66"/>
      <c r="AD881" s="66"/>
      <c r="AE881" s="66"/>
      <c r="AF881" s="66"/>
      <c r="AG881" s="66"/>
      <c r="AH881" s="66"/>
      <c r="AI881" s="66"/>
      <c r="AJ881" s="66"/>
      <c r="AK881" s="66"/>
      <c r="AL881" s="66"/>
      <c r="AM881" s="66"/>
      <c r="AN881" s="66"/>
      <c r="AO881" s="66"/>
    </row>
    <row r="882">
      <c r="A882" s="93"/>
      <c r="B882" s="85"/>
      <c r="C882" s="86"/>
      <c r="D882" s="93"/>
      <c r="E882" s="85"/>
      <c r="F882" s="85"/>
      <c r="G882" s="86"/>
      <c r="H882" s="78" t="str">
        <f>IFERROR(__xludf.DUMMYFUNCTION("""COMPUTED_VALUE"""),"")</f>
        <v/>
      </c>
      <c r="I882" s="85"/>
      <c r="J882" s="85"/>
      <c r="K882" s="85"/>
      <c r="L882" s="86" t="str">
        <f>IFERROR(__xludf.DUMMYFUNCTION("""COMPUTED_VALUE"""),"REJECT")</f>
        <v>REJECT</v>
      </c>
      <c r="M882" s="78" t="str">
        <f>IFERROR(__xludf.DUMMYFUNCTION("""COMPUTED_VALUE"""),"")</f>
        <v/>
      </c>
      <c r="N882" s="85"/>
      <c r="O882" s="85"/>
      <c r="P882" s="85"/>
      <c r="Q882" s="86" t="str">
        <f>IFERROR(__xludf.DUMMYFUNCTION("""COMPUTED_VALUE"""),"REJECT")</f>
        <v>REJECT</v>
      </c>
      <c r="R882" s="66"/>
      <c r="S882" s="66"/>
      <c r="T882" s="66"/>
      <c r="U882" s="66"/>
      <c r="V882" s="66"/>
      <c r="W882" s="66"/>
      <c r="X882" s="66"/>
      <c r="Y882" s="66"/>
      <c r="Z882" s="66"/>
      <c r="AA882" s="66"/>
      <c r="AB882" s="66"/>
      <c r="AC882" s="66"/>
      <c r="AD882" s="66"/>
      <c r="AE882" s="66"/>
      <c r="AF882" s="66"/>
      <c r="AG882" s="66"/>
      <c r="AH882" s="66"/>
      <c r="AI882" s="66"/>
      <c r="AJ882" s="66"/>
      <c r="AK882" s="66"/>
      <c r="AL882" s="66"/>
      <c r="AM882" s="66"/>
      <c r="AN882" s="66"/>
      <c r="AO882" s="66"/>
    </row>
    <row r="883">
      <c r="A883" s="93"/>
      <c r="B883" s="85"/>
      <c r="C883" s="86"/>
      <c r="D883" s="93"/>
      <c r="E883" s="85"/>
      <c r="F883" s="85"/>
      <c r="G883" s="86"/>
      <c r="H883" s="78" t="str">
        <f>IFERROR(__xludf.DUMMYFUNCTION("""COMPUTED_VALUE"""),"")</f>
        <v/>
      </c>
      <c r="I883" s="85"/>
      <c r="J883" s="85"/>
      <c r="K883" s="85"/>
      <c r="L883" s="86" t="str">
        <f>IFERROR(__xludf.DUMMYFUNCTION("""COMPUTED_VALUE"""),"REJECT")</f>
        <v>REJECT</v>
      </c>
      <c r="M883" s="78" t="str">
        <f>IFERROR(__xludf.DUMMYFUNCTION("""COMPUTED_VALUE"""),"")</f>
        <v/>
      </c>
      <c r="N883" s="85"/>
      <c r="O883" s="85"/>
      <c r="P883" s="85"/>
      <c r="Q883" s="86" t="str">
        <f>IFERROR(__xludf.DUMMYFUNCTION("""COMPUTED_VALUE"""),"REJECT")</f>
        <v>REJECT</v>
      </c>
      <c r="R883" s="66"/>
      <c r="S883" s="66"/>
      <c r="T883" s="66"/>
      <c r="U883" s="66"/>
      <c r="V883" s="66"/>
      <c r="W883" s="66"/>
      <c r="X883" s="66"/>
      <c r="Y883" s="66"/>
      <c r="Z883" s="66"/>
      <c r="AA883" s="66"/>
      <c r="AB883" s="66"/>
      <c r="AC883" s="66"/>
      <c r="AD883" s="66"/>
      <c r="AE883" s="66"/>
      <c r="AF883" s="66"/>
      <c r="AG883" s="66"/>
      <c r="AH883" s="66"/>
      <c r="AI883" s="66"/>
      <c r="AJ883" s="66"/>
      <c r="AK883" s="66"/>
      <c r="AL883" s="66"/>
      <c r="AM883" s="66"/>
      <c r="AN883" s="66"/>
      <c r="AO883" s="66"/>
    </row>
    <row r="884">
      <c r="A884" s="93"/>
      <c r="B884" s="85"/>
      <c r="C884" s="86"/>
      <c r="D884" s="93"/>
      <c r="E884" s="85"/>
      <c r="F884" s="85"/>
      <c r="G884" s="86"/>
      <c r="H884" s="78" t="str">
        <f>IFERROR(__xludf.DUMMYFUNCTION("""COMPUTED_VALUE"""),"")</f>
        <v/>
      </c>
      <c r="I884" s="85"/>
      <c r="J884" s="85"/>
      <c r="K884" s="85"/>
      <c r="L884" s="86" t="str">
        <f>IFERROR(__xludf.DUMMYFUNCTION("""COMPUTED_VALUE"""),"REJECT")</f>
        <v>REJECT</v>
      </c>
      <c r="M884" s="78" t="str">
        <f>IFERROR(__xludf.DUMMYFUNCTION("""COMPUTED_VALUE"""),"")</f>
        <v/>
      </c>
      <c r="N884" s="85"/>
      <c r="O884" s="85"/>
      <c r="P884" s="85"/>
      <c r="Q884" s="86" t="str">
        <f>IFERROR(__xludf.DUMMYFUNCTION("""COMPUTED_VALUE"""),"REJECT")</f>
        <v>REJECT</v>
      </c>
      <c r="R884" s="66"/>
      <c r="S884" s="66"/>
      <c r="T884" s="66"/>
      <c r="U884" s="66"/>
      <c r="V884" s="66"/>
      <c r="W884" s="66"/>
      <c r="X884" s="66"/>
      <c r="Y884" s="66"/>
      <c r="Z884" s="66"/>
      <c r="AA884" s="66"/>
      <c r="AB884" s="66"/>
      <c r="AC884" s="66"/>
      <c r="AD884" s="66"/>
      <c r="AE884" s="66"/>
      <c r="AF884" s="66"/>
      <c r="AG884" s="66"/>
      <c r="AH884" s="66"/>
      <c r="AI884" s="66"/>
      <c r="AJ884" s="66"/>
      <c r="AK884" s="66"/>
      <c r="AL884" s="66"/>
      <c r="AM884" s="66"/>
      <c r="AN884" s="66"/>
      <c r="AO884" s="66"/>
    </row>
    <row r="885">
      <c r="A885" s="93"/>
      <c r="B885" s="85"/>
      <c r="C885" s="86"/>
      <c r="D885" s="93"/>
      <c r="E885" s="85"/>
      <c r="F885" s="85"/>
      <c r="G885" s="86"/>
      <c r="H885" s="78" t="str">
        <f>IFERROR(__xludf.DUMMYFUNCTION("""COMPUTED_VALUE"""),"")</f>
        <v/>
      </c>
      <c r="I885" s="85"/>
      <c r="J885" s="85"/>
      <c r="K885" s="85"/>
      <c r="L885" s="86" t="str">
        <f>IFERROR(__xludf.DUMMYFUNCTION("""COMPUTED_VALUE"""),"REJECT")</f>
        <v>REJECT</v>
      </c>
      <c r="M885" s="78" t="str">
        <f>IFERROR(__xludf.DUMMYFUNCTION("""COMPUTED_VALUE"""),"")</f>
        <v/>
      </c>
      <c r="N885" s="85"/>
      <c r="O885" s="85"/>
      <c r="P885" s="85"/>
      <c r="Q885" s="86" t="str">
        <f>IFERROR(__xludf.DUMMYFUNCTION("""COMPUTED_VALUE"""),"REJECT")</f>
        <v>REJECT</v>
      </c>
      <c r="R885" s="66"/>
      <c r="S885" s="66"/>
      <c r="T885" s="66"/>
      <c r="U885" s="66"/>
      <c r="V885" s="66"/>
      <c r="W885" s="66"/>
      <c r="X885" s="66"/>
      <c r="Y885" s="66"/>
      <c r="Z885" s="66"/>
      <c r="AA885" s="66"/>
      <c r="AB885" s="66"/>
      <c r="AC885" s="66"/>
      <c r="AD885" s="66"/>
      <c r="AE885" s="66"/>
      <c r="AF885" s="66"/>
      <c r="AG885" s="66"/>
      <c r="AH885" s="66"/>
      <c r="AI885" s="66"/>
      <c r="AJ885" s="66"/>
      <c r="AK885" s="66"/>
      <c r="AL885" s="66"/>
      <c r="AM885" s="66"/>
      <c r="AN885" s="66"/>
      <c r="AO885" s="66"/>
    </row>
    <row r="886">
      <c r="A886" s="93"/>
      <c r="B886" s="85"/>
      <c r="C886" s="86"/>
      <c r="D886" s="93"/>
      <c r="E886" s="85"/>
      <c r="F886" s="85"/>
      <c r="G886" s="86"/>
      <c r="H886" s="78" t="str">
        <f>IFERROR(__xludf.DUMMYFUNCTION("""COMPUTED_VALUE"""),"")</f>
        <v/>
      </c>
      <c r="I886" s="85"/>
      <c r="J886" s="85"/>
      <c r="K886" s="85"/>
      <c r="L886" s="86" t="str">
        <f>IFERROR(__xludf.DUMMYFUNCTION("""COMPUTED_VALUE"""),"REJECT")</f>
        <v>REJECT</v>
      </c>
      <c r="M886" s="78" t="str">
        <f>IFERROR(__xludf.DUMMYFUNCTION("""COMPUTED_VALUE"""),"")</f>
        <v/>
      </c>
      <c r="N886" s="85"/>
      <c r="O886" s="85"/>
      <c r="P886" s="85"/>
      <c r="Q886" s="86" t="str">
        <f>IFERROR(__xludf.DUMMYFUNCTION("""COMPUTED_VALUE"""),"REJECT")</f>
        <v>REJECT</v>
      </c>
      <c r="R886" s="66"/>
      <c r="S886" s="66"/>
      <c r="T886" s="66"/>
      <c r="U886" s="66"/>
      <c r="V886" s="66"/>
      <c r="W886" s="66"/>
      <c r="X886" s="66"/>
      <c r="Y886" s="66"/>
      <c r="Z886" s="66"/>
      <c r="AA886" s="66"/>
      <c r="AB886" s="66"/>
      <c r="AC886" s="66"/>
      <c r="AD886" s="66"/>
      <c r="AE886" s="66"/>
      <c r="AF886" s="66"/>
      <c r="AG886" s="66"/>
      <c r="AH886" s="66"/>
      <c r="AI886" s="66"/>
      <c r="AJ886" s="66"/>
      <c r="AK886" s="66"/>
      <c r="AL886" s="66"/>
      <c r="AM886" s="66"/>
      <c r="AN886" s="66"/>
      <c r="AO886" s="66"/>
    </row>
    <row r="887">
      <c r="A887" s="93"/>
      <c r="B887" s="85"/>
      <c r="C887" s="86"/>
      <c r="D887" s="93"/>
      <c r="E887" s="85"/>
      <c r="F887" s="85"/>
      <c r="G887" s="86"/>
      <c r="H887" s="78" t="str">
        <f>IFERROR(__xludf.DUMMYFUNCTION("""COMPUTED_VALUE"""),"")</f>
        <v/>
      </c>
      <c r="I887" s="85"/>
      <c r="J887" s="85"/>
      <c r="K887" s="85"/>
      <c r="L887" s="86" t="str">
        <f>IFERROR(__xludf.DUMMYFUNCTION("""COMPUTED_VALUE"""),"REJECT")</f>
        <v>REJECT</v>
      </c>
      <c r="M887" s="78" t="str">
        <f>IFERROR(__xludf.DUMMYFUNCTION("""COMPUTED_VALUE"""),"")</f>
        <v/>
      </c>
      <c r="N887" s="85"/>
      <c r="O887" s="85"/>
      <c r="P887" s="85"/>
      <c r="Q887" s="86" t="str">
        <f>IFERROR(__xludf.DUMMYFUNCTION("""COMPUTED_VALUE"""),"REJECT")</f>
        <v>REJECT</v>
      </c>
      <c r="R887" s="66"/>
      <c r="S887" s="66"/>
      <c r="T887" s="66"/>
      <c r="U887" s="66"/>
      <c r="V887" s="66"/>
      <c r="W887" s="66"/>
      <c r="X887" s="66"/>
      <c r="Y887" s="66"/>
      <c r="Z887" s="66"/>
      <c r="AA887" s="66"/>
      <c r="AB887" s="66"/>
      <c r="AC887" s="66"/>
      <c r="AD887" s="66"/>
      <c r="AE887" s="66"/>
      <c r="AF887" s="66"/>
      <c r="AG887" s="66"/>
      <c r="AH887" s="66"/>
      <c r="AI887" s="66"/>
      <c r="AJ887" s="66"/>
      <c r="AK887" s="66"/>
      <c r="AL887" s="66"/>
      <c r="AM887" s="66"/>
      <c r="AN887" s="66"/>
      <c r="AO887" s="66"/>
    </row>
    <row r="888">
      <c r="A888" s="93"/>
      <c r="B888" s="85"/>
      <c r="C888" s="86"/>
      <c r="D888" s="93"/>
      <c r="E888" s="85"/>
      <c r="F888" s="85"/>
      <c r="G888" s="86"/>
      <c r="H888" s="78" t="str">
        <f>IFERROR(__xludf.DUMMYFUNCTION("""COMPUTED_VALUE"""),"")</f>
        <v/>
      </c>
      <c r="I888" s="85"/>
      <c r="J888" s="85"/>
      <c r="K888" s="85"/>
      <c r="L888" s="86" t="str">
        <f>IFERROR(__xludf.DUMMYFUNCTION("""COMPUTED_VALUE"""),"REJECT")</f>
        <v>REJECT</v>
      </c>
      <c r="M888" s="78" t="str">
        <f>IFERROR(__xludf.DUMMYFUNCTION("""COMPUTED_VALUE"""),"")</f>
        <v/>
      </c>
      <c r="N888" s="85"/>
      <c r="O888" s="85"/>
      <c r="P888" s="85"/>
      <c r="Q888" s="86" t="str">
        <f>IFERROR(__xludf.DUMMYFUNCTION("""COMPUTED_VALUE"""),"REJECT")</f>
        <v>REJECT</v>
      </c>
      <c r="R888" s="66"/>
      <c r="S888" s="66"/>
      <c r="T888" s="66"/>
      <c r="U888" s="66"/>
      <c r="V888" s="66"/>
      <c r="W888" s="66"/>
      <c r="X888" s="66"/>
      <c r="Y888" s="66"/>
      <c r="Z888" s="66"/>
      <c r="AA888" s="66"/>
      <c r="AB888" s="66"/>
      <c r="AC888" s="66"/>
      <c r="AD888" s="66"/>
      <c r="AE888" s="66"/>
      <c r="AF888" s="66"/>
      <c r="AG888" s="66"/>
      <c r="AH888" s="66"/>
      <c r="AI888" s="66"/>
      <c r="AJ888" s="66"/>
      <c r="AK888" s="66"/>
      <c r="AL888" s="66"/>
      <c r="AM888" s="66"/>
      <c r="AN888" s="66"/>
      <c r="AO888" s="66"/>
    </row>
    <row r="889">
      <c r="A889" s="93"/>
      <c r="B889" s="85"/>
      <c r="C889" s="86"/>
      <c r="D889" s="93"/>
      <c r="E889" s="85"/>
      <c r="F889" s="85"/>
      <c r="G889" s="86"/>
      <c r="H889" s="78" t="str">
        <f>IFERROR(__xludf.DUMMYFUNCTION("""COMPUTED_VALUE"""),"")</f>
        <v/>
      </c>
      <c r="I889" s="85"/>
      <c r="J889" s="85"/>
      <c r="K889" s="85"/>
      <c r="L889" s="86" t="str">
        <f>IFERROR(__xludf.DUMMYFUNCTION("""COMPUTED_VALUE"""),"REJECT")</f>
        <v>REJECT</v>
      </c>
      <c r="M889" s="78" t="str">
        <f>IFERROR(__xludf.DUMMYFUNCTION("""COMPUTED_VALUE"""),"")</f>
        <v/>
      </c>
      <c r="N889" s="85"/>
      <c r="O889" s="85"/>
      <c r="P889" s="85"/>
      <c r="Q889" s="86" t="str">
        <f>IFERROR(__xludf.DUMMYFUNCTION("""COMPUTED_VALUE"""),"REJECT")</f>
        <v>REJECT</v>
      </c>
      <c r="R889" s="66"/>
      <c r="S889" s="66"/>
      <c r="T889" s="66"/>
      <c r="U889" s="66"/>
      <c r="V889" s="66"/>
      <c r="W889" s="66"/>
      <c r="X889" s="66"/>
      <c r="Y889" s="66"/>
      <c r="Z889" s="66"/>
      <c r="AA889" s="66"/>
      <c r="AB889" s="66"/>
      <c r="AC889" s="66"/>
      <c r="AD889" s="66"/>
      <c r="AE889" s="66"/>
      <c r="AF889" s="66"/>
      <c r="AG889" s="66"/>
      <c r="AH889" s="66"/>
      <c r="AI889" s="66"/>
      <c r="AJ889" s="66"/>
      <c r="AK889" s="66"/>
      <c r="AL889" s="66"/>
      <c r="AM889" s="66"/>
      <c r="AN889" s="66"/>
      <c r="AO889" s="66"/>
    </row>
    <row r="890">
      <c r="A890" s="93"/>
      <c r="B890" s="85"/>
      <c r="C890" s="86"/>
      <c r="D890" s="93"/>
      <c r="E890" s="85"/>
      <c r="F890" s="85"/>
      <c r="G890" s="86"/>
      <c r="H890" s="78" t="str">
        <f>IFERROR(__xludf.DUMMYFUNCTION("""COMPUTED_VALUE"""),"")</f>
        <v/>
      </c>
      <c r="I890" s="85"/>
      <c r="J890" s="85"/>
      <c r="K890" s="85"/>
      <c r="L890" s="86" t="str">
        <f>IFERROR(__xludf.DUMMYFUNCTION("""COMPUTED_VALUE"""),"REJECT")</f>
        <v>REJECT</v>
      </c>
      <c r="M890" s="78" t="str">
        <f>IFERROR(__xludf.DUMMYFUNCTION("""COMPUTED_VALUE"""),"")</f>
        <v/>
      </c>
      <c r="N890" s="85"/>
      <c r="O890" s="85"/>
      <c r="P890" s="85"/>
      <c r="Q890" s="86" t="str">
        <f>IFERROR(__xludf.DUMMYFUNCTION("""COMPUTED_VALUE"""),"REJECT")</f>
        <v>REJECT</v>
      </c>
      <c r="R890" s="66"/>
      <c r="S890" s="66"/>
      <c r="T890" s="66"/>
      <c r="U890" s="66"/>
      <c r="V890" s="66"/>
      <c r="W890" s="66"/>
      <c r="X890" s="66"/>
      <c r="Y890" s="66"/>
      <c r="Z890" s="66"/>
      <c r="AA890" s="66"/>
      <c r="AB890" s="66"/>
      <c r="AC890" s="66"/>
      <c r="AD890" s="66"/>
      <c r="AE890" s="66"/>
      <c r="AF890" s="66"/>
      <c r="AG890" s="66"/>
      <c r="AH890" s="66"/>
      <c r="AI890" s="66"/>
      <c r="AJ890" s="66"/>
      <c r="AK890" s="66"/>
      <c r="AL890" s="66"/>
      <c r="AM890" s="66"/>
      <c r="AN890" s="66"/>
      <c r="AO890" s="66"/>
    </row>
    <row r="891">
      <c r="A891" s="93"/>
      <c r="B891" s="85"/>
      <c r="C891" s="86"/>
      <c r="D891" s="93"/>
      <c r="E891" s="85"/>
      <c r="F891" s="85"/>
      <c r="G891" s="86"/>
      <c r="H891" s="78" t="str">
        <f>IFERROR(__xludf.DUMMYFUNCTION("""COMPUTED_VALUE"""),"")</f>
        <v/>
      </c>
      <c r="I891" s="85"/>
      <c r="J891" s="85"/>
      <c r="K891" s="85"/>
      <c r="L891" s="86" t="str">
        <f>IFERROR(__xludf.DUMMYFUNCTION("""COMPUTED_VALUE"""),"REJECT")</f>
        <v>REJECT</v>
      </c>
      <c r="M891" s="78" t="str">
        <f>IFERROR(__xludf.DUMMYFUNCTION("""COMPUTED_VALUE"""),"")</f>
        <v/>
      </c>
      <c r="N891" s="85"/>
      <c r="O891" s="85"/>
      <c r="P891" s="85"/>
      <c r="Q891" s="86" t="str">
        <f>IFERROR(__xludf.DUMMYFUNCTION("""COMPUTED_VALUE"""),"REJECT")</f>
        <v>REJECT</v>
      </c>
      <c r="R891" s="66"/>
      <c r="S891" s="66"/>
      <c r="T891" s="66"/>
      <c r="U891" s="66"/>
      <c r="V891" s="66"/>
      <c r="W891" s="66"/>
      <c r="X891" s="66"/>
      <c r="Y891" s="66"/>
      <c r="Z891" s="66"/>
      <c r="AA891" s="66"/>
      <c r="AB891" s="66"/>
      <c r="AC891" s="66"/>
      <c r="AD891" s="66"/>
      <c r="AE891" s="66"/>
      <c r="AF891" s="66"/>
      <c r="AG891" s="66"/>
      <c r="AH891" s="66"/>
      <c r="AI891" s="66"/>
      <c r="AJ891" s="66"/>
      <c r="AK891" s="66"/>
      <c r="AL891" s="66"/>
      <c r="AM891" s="66"/>
      <c r="AN891" s="66"/>
      <c r="AO891" s="66"/>
    </row>
    <row r="892">
      <c r="A892" s="93"/>
      <c r="B892" s="85"/>
      <c r="C892" s="86"/>
      <c r="D892" s="93"/>
      <c r="E892" s="85"/>
      <c r="F892" s="85"/>
      <c r="G892" s="86"/>
      <c r="H892" s="78" t="str">
        <f>IFERROR(__xludf.DUMMYFUNCTION("""COMPUTED_VALUE"""),"")</f>
        <v/>
      </c>
      <c r="I892" s="85"/>
      <c r="J892" s="85"/>
      <c r="K892" s="85"/>
      <c r="L892" s="86" t="str">
        <f>IFERROR(__xludf.DUMMYFUNCTION("""COMPUTED_VALUE"""),"REJECT")</f>
        <v>REJECT</v>
      </c>
      <c r="M892" s="78" t="str">
        <f>IFERROR(__xludf.DUMMYFUNCTION("""COMPUTED_VALUE"""),"")</f>
        <v/>
      </c>
      <c r="N892" s="85"/>
      <c r="O892" s="85"/>
      <c r="P892" s="85"/>
      <c r="Q892" s="86" t="str">
        <f>IFERROR(__xludf.DUMMYFUNCTION("""COMPUTED_VALUE"""),"REJECT")</f>
        <v>REJECT</v>
      </c>
      <c r="R892" s="66"/>
      <c r="S892" s="66"/>
      <c r="T892" s="66"/>
      <c r="U892" s="66"/>
      <c r="V892" s="66"/>
      <c r="W892" s="66"/>
      <c r="X892" s="66"/>
      <c r="Y892" s="66"/>
      <c r="Z892" s="66"/>
      <c r="AA892" s="66"/>
      <c r="AB892" s="66"/>
      <c r="AC892" s="66"/>
      <c r="AD892" s="66"/>
      <c r="AE892" s="66"/>
      <c r="AF892" s="66"/>
      <c r="AG892" s="66"/>
      <c r="AH892" s="66"/>
      <c r="AI892" s="66"/>
      <c r="AJ892" s="66"/>
      <c r="AK892" s="66"/>
      <c r="AL892" s="66"/>
      <c r="AM892" s="66"/>
      <c r="AN892" s="66"/>
      <c r="AO892" s="66"/>
    </row>
    <row r="893">
      <c r="A893" s="93"/>
      <c r="B893" s="85"/>
      <c r="C893" s="86"/>
      <c r="D893" s="93"/>
      <c r="E893" s="85"/>
      <c r="F893" s="85"/>
      <c r="G893" s="86"/>
      <c r="H893" s="78" t="str">
        <f>IFERROR(__xludf.DUMMYFUNCTION("""COMPUTED_VALUE"""),"")</f>
        <v/>
      </c>
      <c r="I893" s="85"/>
      <c r="J893" s="85"/>
      <c r="K893" s="85"/>
      <c r="L893" s="86" t="str">
        <f>IFERROR(__xludf.DUMMYFUNCTION("""COMPUTED_VALUE"""),"REJECT")</f>
        <v>REJECT</v>
      </c>
      <c r="M893" s="78" t="str">
        <f>IFERROR(__xludf.DUMMYFUNCTION("""COMPUTED_VALUE"""),"")</f>
        <v/>
      </c>
      <c r="N893" s="85"/>
      <c r="O893" s="85"/>
      <c r="P893" s="85"/>
      <c r="Q893" s="86" t="str">
        <f>IFERROR(__xludf.DUMMYFUNCTION("""COMPUTED_VALUE"""),"REJECT")</f>
        <v>REJECT</v>
      </c>
      <c r="R893" s="66"/>
      <c r="S893" s="66"/>
      <c r="T893" s="66"/>
      <c r="U893" s="66"/>
      <c r="V893" s="66"/>
      <c r="W893" s="66"/>
      <c r="X893" s="66"/>
      <c r="Y893" s="66"/>
      <c r="Z893" s="66"/>
      <c r="AA893" s="66"/>
      <c r="AB893" s="66"/>
      <c r="AC893" s="66"/>
      <c r="AD893" s="66"/>
      <c r="AE893" s="66"/>
      <c r="AF893" s="66"/>
      <c r="AG893" s="66"/>
      <c r="AH893" s="66"/>
      <c r="AI893" s="66"/>
      <c r="AJ893" s="66"/>
      <c r="AK893" s="66"/>
      <c r="AL893" s="66"/>
      <c r="AM893" s="66"/>
      <c r="AN893" s="66"/>
      <c r="AO893" s="66"/>
    </row>
    <row r="894">
      <c r="A894" s="93"/>
      <c r="B894" s="85"/>
      <c r="C894" s="86"/>
      <c r="D894" s="93"/>
      <c r="E894" s="85"/>
      <c r="F894" s="85"/>
      <c r="G894" s="86"/>
      <c r="H894" s="78" t="str">
        <f>IFERROR(__xludf.DUMMYFUNCTION("""COMPUTED_VALUE"""),"")</f>
        <v/>
      </c>
      <c r="I894" s="85"/>
      <c r="J894" s="85"/>
      <c r="K894" s="85"/>
      <c r="L894" s="86" t="str">
        <f>IFERROR(__xludf.DUMMYFUNCTION("""COMPUTED_VALUE"""),"REJECT")</f>
        <v>REJECT</v>
      </c>
      <c r="M894" s="78" t="str">
        <f>IFERROR(__xludf.DUMMYFUNCTION("""COMPUTED_VALUE"""),"")</f>
        <v/>
      </c>
      <c r="N894" s="85"/>
      <c r="O894" s="85"/>
      <c r="P894" s="85"/>
      <c r="Q894" s="86" t="str">
        <f>IFERROR(__xludf.DUMMYFUNCTION("""COMPUTED_VALUE"""),"REJECT")</f>
        <v>REJECT</v>
      </c>
      <c r="R894" s="66"/>
      <c r="S894" s="66"/>
      <c r="T894" s="66"/>
      <c r="U894" s="66"/>
      <c r="V894" s="66"/>
      <c r="W894" s="66"/>
      <c r="X894" s="66"/>
      <c r="Y894" s="66"/>
      <c r="Z894" s="66"/>
      <c r="AA894" s="66"/>
      <c r="AB894" s="66"/>
      <c r="AC894" s="66"/>
      <c r="AD894" s="66"/>
      <c r="AE894" s="66"/>
      <c r="AF894" s="66"/>
      <c r="AG894" s="66"/>
      <c r="AH894" s="66"/>
      <c r="AI894" s="66"/>
      <c r="AJ894" s="66"/>
      <c r="AK894" s="66"/>
      <c r="AL894" s="66"/>
      <c r="AM894" s="66"/>
      <c r="AN894" s="66"/>
      <c r="AO894" s="66"/>
    </row>
    <row r="895">
      <c r="A895" s="93"/>
      <c r="B895" s="85"/>
      <c r="C895" s="86"/>
      <c r="D895" s="93"/>
      <c r="E895" s="85"/>
      <c r="F895" s="85"/>
      <c r="G895" s="86"/>
      <c r="H895" s="78" t="str">
        <f>IFERROR(__xludf.DUMMYFUNCTION("""COMPUTED_VALUE"""),"")</f>
        <v/>
      </c>
      <c r="I895" s="85"/>
      <c r="J895" s="85"/>
      <c r="K895" s="85"/>
      <c r="L895" s="86" t="str">
        <f>IFERROR(__xludf.DUMMYFUNCTION("""COMPUTED_VALUE"""),"REJECT")</f>
        <v>REJECT</v>
      </c>
      <c r="M895" s="78" t="str">
        <f>IFERROR(__xludf.DUMMYFUNCTION("""COMPUTED_VALUE"""),"")</f>
        <v/>
      </c>
      <c r="N895" s="85"/>
      <c r="O895" s="85"/>
      <c r="P895" s="85"/>
      <c r="Q895" s="86" t="str">
        <f>IFERROR(__xludf.DUMMYFUNCTION("""COMPUTED_VALUE"""),"REJECT")</f>
        <v>REJECT</v>
      </c>
      <c r="R895" s="66"/>
      <c r="S895" s="66"/>
      <c r="T895" s="66"/>
      <c r="U895" s="66"/>
      <c r="V895" s="66"/>
      <c r="W895" s="66"/>
      <c r="X895" s="66"/>
      <c r="Y895" s="66"/>
      <c r="Z895" s="66"/>
      <c r="AA895" s="66"/>
      <c r="AB895" s="66"/>
      <c r="AC895" s="66"/>
      <c r="AD895" s="66"/>
      <c r="AE895" s="66"/>
      <c r="AF895" s="66"/>
      <c r="AG895" s="66"/>
      <c r="AH895" s="66"/>
      <c r="AI895" s="66"/>
      <c r="AJ895" s="66"/>
      <c r="AK895" s="66"/>
      <c r="AL895" s="66"/>
      <c r="AM895" s="66"/>
      <c r="AN895" s="66"/>
      <c r="AO895" s="66"/>
    </row>
    <row r="896">
      <c r="A896" s="93"/>
      <c r="B896" s="85"/>
      <c r="C896" s="86"/>
      <c r="D896" s="93"/>
      <c r="E896" s="85"/>
      <c r="F896" s="85"/>
      <c r="G896" s="86"/>
      <c r="H896" s="78" t="str">
        <f>IFERROR(__xludf.DUMMYFUNCTION("""COMPUTED_VALUE"""),"")</f>
        <v/>
      </c>
      <c r="I896" s="85"/>
      <c r="J896" s="85"/>
      <c r="K896" s="85"/>
      <c r="L896" s="86" t="str">
        <f>IFERROR(__xludf.DUMMYFUNCTION("""COMPUTED_VALUE"""),"REJECT")</f>
        <v>REJECT</v>
      </c>
      <c r="M896" s="78" t="str">
        <f>IFERROR(__xludf.DUMMYFUNCTION("""COMPUTED_VALUE"""),"")</f>
        <v/>
      </c>
      <c r="N896" s="85"/>
      <c r="O896" s="85"/>
      <c r="P896" s="85"/>
      <c r="Q896" s="86" t="str">
        <f>IFERROR(__xludf.DUMMYFUNCTION("""COMPUTED_VALUE"""),"REJECT")</f>
        <v>REJECT</v>
      </c>
      <c r="R896" s="66"/>
      <c r="S896" s="66"/>
      <c r="T896" s="66"/>
      <c r="U896" s="66"/>
      <c r="V896" s="66"/>
      <c r="W896" s="66"/>
      <c r="X896" s="66"/>
      <c r="Y896" s="66"/>
      <c r="Z896" s="66"/>
      <c r="AA896" s="66"/>
      <c r="AB896" s="66"/>
      <c r="AC896" s="66"/>
      <c r="AD896" s="66"/>
      <c r="AE896" s="66"/>
      <c r="AF896" s="66"/>
      <c r="AG896" s="66"/>
      <c r="AH896" s="66"/>
      <c r="AI896" s="66"/>
      <c r="AJ896" s="66"/>
      <c r="AK896" s="66"/>
      <c r="AL896" s="66"/>
      <c r="AM896" s="66"/>
      <c r="AN896" s="66"/>
      <c r="AO896" s="66"/>
    </row>
    <row r="897">
      <c r="A897" s="93"/>
      <c r="B897" s="85"/>
      <c r="C897" s="86"/>
      <c r="D897" s="93"/>
      <c r="E897" s="85"/>
      <c r="F897" s="85"/>
      <c r="G897" s="86"/>
      <c r="H897" s="78" t="str">
        <f>IFERROR(__xludf.DUMMYFUNCTION("""COMPUTED_VALUE"""),"")</f>
        <v/>
      </c>
      <c r="I897" s="85"/>
      <c r="J897" s="85"/>
      <c r="K897" s="85"/>
      <c r="L897" s="86" t="str">
        <f>IFERROR(__xludf.DUMMYFUNCTION("""COMPUTED_VALUE"""),"REJECT")</f>
        <v>REJECT</v>
      </c>
      <c r="M897" s="78" t="str">
        <f>IFERROR(__xludf.DUMMYFUNCTION("""COMPUTED_VALUE"""),"")</f>
        <v/>
      </c>
      <c r="N897" s="85"/>
      <c r="O897" s="85"/>
      <c r="P897" s="85"/>
      <c r="Q897" s="86" t="str">
        <f>IFERROR(__xludf.DUMMYFUNCTION("""COMPUTED_VALUE"""),"REJECT")</f>
        <v>REJECT</v>
      </c>
      <c r="R897" s="66"/>
      <c r="S897" s="66"/>
      <c r="T897" s="66"/>
      <c r="U897" s="66"/>
      <c r="V897" s="66"/>
      <c r="W897" s="66"/>
      <c r="X897" s="66"/>
      <c r="Y897" s="66"/>
      <c r="Z897" s="66"/>
      <c r="AA897" s="66"/>
      <c r="AB897" s="66"/>
      <c r="AC897" s="66"/>
      <c r="AD897" s="66"/>
      <c r="AE897" s="66"/>
      <c r="AF897" s="66"/>
      <c r="AG897" s="66"/>
      <c r="AH897" s="66"/>
      <c r="AI897" s="66"/>
      <c r="AJ897" s="66"/>
      <c r="AK897" s="66"/>
      <c r="AL897" s="66"/>
      <c r="AM897" s="66"/>
      <c r="AN897" s="66"/>
      <c r="AO897" s="66"/>
    </row>
    <row r="898">
      <c r="A898" s="93"/>
      <c r="B898" s="85"/>
      <c r="C898" s="86"/>
      <c r="D898" s="93"/>
      <c r="E898" s="85"/>
      <c r="F898" s="85"/>
      <c r="G898" s="86"/>
      <c r="H898" s="78" t="str">
        <f>IFERROR(__xludf.DUMMYFUNCTION("""COMPUTED_VALUE"""),"")</f>
        <v/>
      </c>
      <c r="I898" s="85"/>
      <c r="J898" s="85"/>
      <c r="K898" s="85"/>
      <c r="L898" s="86" t="str">
        <f>IFERROR(__xludf.DUMMYFUNCTION("""COMPUTED_VALUE"""),"REJECT")</f>
        <v>REJECT</v>
      </c>
      <c r="M898" s="78" t="str">
        <f>IFERROR(__xludf.DUMMYFUNCTION("""COMPUTED_VALUE"""),"")</f>
        <v/>
      </c>
      <c r="N898" s="85"/>
      <c r="O898" s="85"/>
      <c r="P898" s="85"/>
      <c r="Q898" s="86" t="str">
        <f>IFERROR(__xludf.DUMMYFUNCTION("""COMPUTED_VALUE"""),"REJECT")</f>
        <v>REJECT</v>
      </c>
      <c r="R898" s="66"/>
      <c r="S898" s="66"/>
      <c r="T898" s="66"/>
      <c r="U898" s="66"/>
      <c r="V898" s="66"/>
      <c r="W898" s="66"/>
      <c r="X898" s="66"/>
      <c r="Y898" s="66"/>
      <c r="Z898" s="66"/>
      <c r="AA898" s="66"/>
      <c r="AB898" s="66"/>
      <c r="AC898" s="66"/>
      <c r="AD898" s="66"/>
      <c r="AE898" s="66"/>
      <c r="AF898" s="66"/>
      <c r="AG898" s="66"/>
      <c r="AH898" s="66"/>
      <c r="AI898" s="66"/>
      <c r="AJ898" s="66"/>
      <c r="AK898" s="66"/>
      <c r="AL898" s="66"/>
      <c r="AM898" s="66"/>
      <c r="AN898" s="66"/>
      <c r="AO898" s="66"/>
    </row>
    <row r="899">
      <c r="A899" s="93"/>
      <c r="B899" s="85"/>
      <c r="C899" s="86"/>
      <c r="D899" s="93"/>
      <c r="E899" s="85"/>
      <c r="F899" s="85"/>
      <c r="G899" s="86"/>
      <c r="H899" s="78" t="str">
        <f>IFERROR(__xludf.DUMMYFUNCTION("""COMPUTED_VALUE"""),"")</f>
        <v/>
      </c>
      <c r="I899" s="85"/>
      <c r="J899" s="85"/>
      <c r="K899" s="85"/>
      <c r="L899" s="86" t="str">
        <f>IFERROR(__xludf.DUMMYFUNCTION("""COMPUTED_VALUE"""),"REJECT")</f>
        <v>REJECT</v>
      </c>
      <c r="M899" s="78" t="str">
        <f>IFERROR(__xludf.DUMMYFUNCTION("""COMPUTED_VALUE"""),"")</f>
        <v/>
      </c>
      <c r="N899" s="85"/>
      <c r="O899" s="85"/>
      <c r="P899" s="85"/>
      <c r="Q899" s="86" t="str">
        <f>IFERROR(__xludf.DUMMYFUNCTION("""COMPUTED_VALUE"""),"REJECT")</f>
        <v>REJECT</v>
      </c>
      <c r="R899" s="66"/>
      <c r="S899" s="66"/>
      <c r="T899" s="66"/>
      <c r="U899" s="66"/>
      <c r="V899" s="66"/>
      <c r="W899" s="66"/>
      <c r="X899" s="66"/>
      <c r="Y899" s="66"/>
      <c r="Z899" s="66"/>
      <c r="AA899" s="66"/>
      <c r="AB899" s="66"/>
      <c r="AC899" s="66"/>
      <c r="AD899" s="66"/>
      <c r="AE899" s="66"/>
      <c r="AF899" s="66"/>
      <c r="AG899" s="66"/>
      <c r="AH899" s="66"/>
      <c r="AI899" s="66"/>
      <c r="AJ899" s="66"/>
      <c r="AK899" s="66"/>
      <c r="AL899" s="66"/>
      <c r="AM899" s="66"/>
      <c r="AN899" s="66"/>
      <c r="AO899" s="66"/>
    </row>
    <row r="900">
      <c r="A900" s="93"/>
      <c r="B900" s="85"/>
      <c r="C900" s="86"/>
      <c r="D900" s="93"/>
      <c r="E900" s="85"/>
      <c r="F900" s="85"/>
      <c r="G900" s="86"/>
      <c r="H900" s="78" t="str">
        <f>IFERROR(__xludf.DUMMYFUNCTION("""COMPUTED_VALUE"""),"")</f>
        <v/>
      </c>
      <c r="I900" s="85"/>
      <c r="J900" s="85"/>
      <c r="K900" s="85"/>
      <c r="L900" s="86" t="str">
        <f>IFERROR(__xludf.DUMMYFUNCTION("""COMPUTED_VALUE"""),"REJECT")</f>
        <v>REJECT</v>
      </c>
      <c r="M900" s="78" t="str">
        <f>IFERROR(__xludf.DUMMYFUNCTION("""COMPUTED_VALUE"""),"")</f>
        <v/>
      </c>
      <c r="N900" s="85"/>
      <c r="O900" s="85"/>
      <c r="P900" s="85"/>
      <c r="Q900" s="86" t="str">
        <f>IFERROR(__xludf.DUMMYFUNCTION("""COMPUTED_VALUE"""),"REJECT")</f>
        <v>REJECT</v>
      </c>
      <c r="R900" s="66"/>
      <c r="S900" s="66"/>
      <c r="T900" s="66"/>
      <c r="U900" s="66"/>
      <c r="V900" s="66"/>
      <c r="W900" s="66"/>
      <c r="X900" s="66"/>
      <c r="Y900" s="66"/>
      <c r="Z900" s="66"/>
      <c r="AA900" s="66"/>
      <c r="AB900" s="66"/>
      <c r="AC900" s="66"/>
      <c r="AD900" s="66"/>
      <c r="AE900" s="66"/>
      <c r="AF900" s="66"/>
      <c r="AG900" s="66"/>
      <c r="AH900" s="66"/>
      <c r="AI900" s="66"/>
      <c r="AJ900" s="66"/>
      <c r="AK900" s="66"/>
      <c r="AL900" s="66"/>
      <c r="AM900" s="66"/>
      <c r="AN900" s="66"/>
      <c r="AO900" s="66"/>
    </row>
    <row r="901">
      <c r="A901" s="93"/>
      <c r="B901" s="85"/>
      <c r="C901" s="86"/>
      <c r="D901" s="93"/>
      <c r="E901" s="85"/>
      <c r="F901" s="85"/>
      <c r="G901" s="86"/>
      <c r="H901" s="78" t="str">
        <f>IFERROR(__xludf.DUMMYFUNCTION("""COMPUTED_VALUE"""),"")</f>
        <v/>
      </c>
      <c r="I901" s="85"/>
      <c r="J901" s="85"/>
      <c r="K901" s="85"/>
      <c r="L901" s="86" t="str">
        <f>IFERROR(__xludf.DUMMYFUNCTION("""COMPUTED_VALUE"""),"REJECT")</f>
        <v>REJECT</v>
      </c>
      <c r="M901" s="78" t="str">
        <f>IFERROR(__xludf.DUMMYFUNCTION("""COMPUTED_VALUE"""),"")</f>
        <v/>
      </c>
      <c r="N901" s="85"/>
      <c r="O901" s="85"/>
      <c r="P901" s="85"/>
      <c r="Q901" s="86" t="str">
        <f>IFERROR(__xludf.DUMMYFUNCTION("""COMPUTED_VALUE"""),"REJECT")</f>
        <v>REJECT</v>
      </c>
      <c r="R901" s="66"/>
      <c r="S901" s="66"/>
      <c r="T901" s="66"/>
      <c r="U901" s="66"/>
      <c r="V901" s="66"/>
      <c r="W901" s="66"/>
      <c r="X901" s="66"/>
      <c r="Y901" s="66"/>
      <c r="Z901" s="66"/>
      <c r="AA901" s="66"/>
      <c r="AB901" s="66"/>
      <c r="AC901" s="66"/>
      <c r="AD901" s="66"/>
      <c r="AE901" s="66"/>
      <c r="AF901" s="66"/>
      <c r="AG901" s="66"/>
      <c r="AH901" s="66"/>
      <c r="AI901" s="66"/>
      <c r="AJ901" s="66"/>
      <c r="AK901" s="66"/>
      <c r="AL901" s="66"/>
      <c r="AM901" s="66"/>
      <c r="AN901" s="66"/>
      <c r="AO901" s="66"/>
    </row>
    <row r="902">
      <c r="A902" s="93"/>
      <c r="B902" s="85"/>
      <c r="C902" s="86"/>
      <c r="D902" s="93"/>
      <c r="E902" s="85"/>
      <c r="F902" s="85"/>
      <c r="G902" s="86"/>
      <c r="H902" s="78" t="str">
        <f>IFERROR(__xludf.DUMMYFUNCTION("""COMPUTED_VALUE"""),"")</f>
        <v/>
      </c>
      <c r="I902" s="85"/>
      <c r="J902" s="85"/>
      <c r="K902" s="85"/>
      <c r="L902" s="86" t="str">
        <f>IFERROR(__xludf.DUMMYFUNCTION("""COMPUTED_VALUE"""),"REJECT")</f>
        <v>REJECT</v>
      </c>
      <c r="M902" s="78" t="str">
        <f>IFERROR(__xludf.DUMMYFUNCTION("""COMPUTED_VALUE"""),"")</f>
        <v/>
      </c>
      <c r="N902" s="85"/>
      <c r="O902" s="85"/>
      <c r="P902" s="85"/>
      <c r="Q902" s="86" t="str">
        <f>IFERROR(__xludf.DUMMYFUNCTION("""COMPUTED_VALUE"""),"REJECT")</f>
        <v>REJECT</v>
      </c>
      <c r="R902" s="66"/>
      <c r="S902" s="66"/>
      <c r="T902" s="66"/>
      <c r="U902" s="66"/>
      <c r="V902" s="66"/>
      <c r="W902" s="66"/>
      <c r="X902" s="66"/>
      <c r="Y902" s="66"/>
      <c r="Z902" s="66"/>
      <c r="AA902" s="66"/>
      <c r="AB902" s="66"/>
      <c r="AC902" s="66"/>
      <c r="AD902" s="66"/>
      <c r="AE902" s="66"/>
      <c r="AF902" s="66"/>
      <c r="AG902" s="66"/>
      <c r="AH902" s="66"/>
      <c r="AI902" s="66"/>
      <c r="AJ902" s="66"/>
      <c r="AK902" s="66"/>
      <c r="AL902" s="66"/>
      <c r="AM902" s="66"/>
      <c r="AN902" s="66"/>
      <c r="AO902" s="66"/>
    </row>
    <row r="903">
      <c r="A903" s="93"/>
      <c r="B903" s="85"/>
      <c r="C903" s="86"/>
      <c r="D903" s="93"/>
      <c r="E903" s="85"/>
      <c r="F903" s="85"/>
      <c r="G903" s="86"/>
      <c r="H903" s="78" t="str">
        <f>IFERROR(__xludf.DUMMYFUNCTION("""COMPUTED_VALUE"""),"")</f>
        <v/>
      </c>
      <c r="I903" s="85"/>
      <c r="J903" s="85"/>
      <c r="K903" s="85"/>
      <c r="L903" s="86" t="str">
        <f>IFERROR(__xludf.DUMMYFUNCTION("""COMPUTED_VALUE"""),"REJECT")</f>
        <v>REJECT</v>
      </c>
      <c r="M903" s="78" t="str">
        <f>IFERROR(__xludf.DUMMYFUNCTION("""COMPUTED_VALUE"""),"")</f>
        <v/>
      </c>
      <c r="N903" s="85"/>
      <c r="O903" s="85"/>
      <c r="P903" s="85"/>
      <c r="Q903" s="86" t="str">
        <f>IFERROR(__xludf.DUMMYFUNCTION("""COMPUTED_VALUE"""),"REJECT")</f>
        <v>REJECT</v>
      </c>
      <c r="R903" s="66"/>
      <c r="S903" s="66"/>
      <c r="T903" s="66"/>
      <c r="U903" s="66"/>
      <c r="V903" s="66"/>
      <c r="W903" s="66"/>
      <c r="X903" s="66"/>
      <c r="Y903" s="66"/>
      <c r="Z903" s="66"/>
      <c r="AA903" s="66"/>
      <c r="AB903" s="66"/>
      <c r="AC903" s="66"/>
      <c r="AD903" s="66"/>
      <c r="AE903" s="66"/>
      <c r="AF903" s="66"/>
      <c r="AG903" s="66"/>
      <c r="AH903" s="66"/>
      <c r="AI903" s="66"/>
      <c r="AJ903" s="66"/>
      <c r="AK903" s="66"/>
      <c r="AL903" s="66"/>
      <c r="AM903" s="66"/>
      <c r="AN903" s="66"/>
      <c r="AO903" s="66"/>
    </row>
    <row r="904">
      <c r="A904" s="93"/>
      <c r="B904" s="85"/>
      <c r="C904" s="86"/>
      <c r="D904" s="93"/>
      <c r="E904" s="85"/>
      <c r="F904" s="85"/>
      <c r="G904" s="86"/>
      <c r="H904" s="78" t="str">
        <f>IFERROR(__xludf.DUMMYFUNCTION("""COMPUTED_VALUE"""),"")</f>
        <v/>
      </c>
      <c r="I904" s="85"/>
      <c r="J904" s="85"/>
      <c r="K904" s="85"/>
      <c r="L904" s="86" t="str">
        <f>IFERROR(__xludf.DUMMYFUNCTION("""COMPUTED_VALUE"""),"REJECT")</f>
        <v>REJECT</v>
      </c>
      <c r="M904" s="78" t="str">
        <f>IFERROR(__xludf.DUMMYFUNCTION("""COMPUTED_VALUE"""),"")</f>
        <v/>
      </c>
      <c r="N904" s="85"/>
      <c r="O904" s="85"/>
      <c r="P904" s="85"/>
      <c r="Q904" s="86" t="str">
        <f>IFERROR(__xludf.DUMMYFUNCTION("""COMPUTED_VALUE"""),"REJECT")</f>
        <v>REJECT</v>
      </c>
      <c r="R904" s="66"/>
      <c r="S904" s="66"/>
      <c r="T904" s="66"/>
      <c r="U904" s="66"/>
      <c r="V904" s="66"/>
      <c r="W904" s="66"/>
      <c r="X904" s="66"/>
      <c r="Y904" s="66"/>
      <c r="Z904" s="66"/>
      <c r="AA904" s="66"/>
      <c r="AB904" s="66"/>
      <c r="AC904" s="66"/>
      <c r="AD904" s="66"/>
      <c r="AE904" s="66"/>
      <c r="AF904" s="66"/>
      <c r="AG904" s="66"/>
      <c r="AH904" s="66"/>
      <c r="AI904" s="66"/>
      <c r="AJ904" s="66"/>
      <c r="AK904" s="66"/>
      <c r="AL904" s="66"/>
      <c r="AM904" s="66"/>
      <c r="AN904" s="66"/>
      <c r="AO904" s="66"/>
    </row>
    <row r="905">
      <c r="A905" s="93"/>
      <c r="B905" s="85"/>
      <c r="C905" s="86"/>
      <c r="D905" s="93"/>
      <c r="E905" s="85"/>
      <c r="F905" s="85"/>
      <c r="G905" s="86"/>
      <c r="H905" s="78" t="str">
        <f>IFERROR(__xludf.DUMMYFUNCTION("""COMPUTED_VALUE"""),"")</f>
        <v/>
      </c>
      <c r="I905" s="85"/>
      <c r="J905" s="85"/>
      <c r="K905" s="85"/>
      <c r="L905" s="86" t="str">
        <f>IFERROR(__xludf.DUMMYFUNCTION("""COMPUTED_VALUE"""),"REJECT")</f>
        <v>REJECT</v>
      </c>
      <c r="M905" s="78" t="str">
        <f>IFERROR(__xludf.DUMMYFUNCTION("""COMPUTED_VALUE"""),"")</f>
        <v/>
      </c>
      <c r="N905" s="85"/>
      <c r="O905" s="85"/>
      <c r="P905" s="85"/>
      <c r="Q905" s="86" t="str">
        <f>IFERROR(__xludf.DUMMYFUNCTION("""COMPUTED_VALUE"""),"REJECT")</f>
        <v>REJECT</v>
      </c>
      <c r="R905" s="66"/>
      <c r="S905" s="66"/>
      <c r="T905" s="66"/>
      <c r="U905" s="66"/>
      <c r="V905" s="66"/>
      <c r="W905" s="66"/>
      <c r="X905" s="66"/>
      <c r="Y905" s="66"/>
      <c r="Z905" s="66"/>
      <c r="AA905" s="66"/>
      <c r="AB905" s="66"/>
      <c r="AC905" s="66"/>
      <c r="AD905" s="66"/>
      <c r="AE905" s="66"/>
      <c r="AF905" s="66"/>
      <c r="AG905" s="66"/>
      <c r="AH905" s="66"/>
      <c r="AI905" s="66"/>
      <c r="AJ905" s="66"/>
      <c r="AK905" s="66"/>
      <c r="AL905" s="66"/>
      <c r="AM905" s="66"/>
      <c r="AN905" s="66"/>
      <c r="AO905" s="66"/>
    </row>
    <row r="906">
      <c r="A906" s="93"/>
      <c r="B906" s="85"/>
      <c r="C906" s="86"/>
      <c r="D906" s="93"/>
      <c r="E906" s="85"/>
      <c r="F906" s="85"/>
      <c r="G906" s="86"/>
      <c r="H906" s="78" t="str">
        <f>IFERROR(__xludf.DUMMYFUNCTION("""COMPUTED_VALUE"""),"")</f>
        <v/>
      </c>
      <c r="I906" s="85"/>
      <c r="J906" s="85"/>
      <c r="K906" s="85"/>
      <c r="L906" s="86" t="str">
        <f>IFERROR(__xludf.DUMMYFUNCTION("""COMPUTED_VALUE"""),"REJECT")</f>
        <v>REJECT</v>
      </c>
      <c r="M906" s="78" t="str">
        <f>IFERROR(__xludf.DUMMYFUNCTION("""COMPUTED_VALUE"""),"")</f>
        <v/>
      </c>
      <c r="N906" s="85"/>
      <c r="O906" s="85"/>
      <c r="P906" s="85"/>
      <c r="Q906" s="86" t="str">
        <f>IFERROR(__xludf.DUMMYFUNCTION("""COMPUTED_VALUE"""),"REJECT")</f>
        <v>REJECT</v>
      </c>
      <c r="R906" s="66"/>
      <c r="S906" s="66"/>
      <c r="T906" s="66"/>
      <c r="U906" s="66"/>
      <c r="V906" s="66"/>
      <c r="W906" s="66"/>
      <c r="X906" s="66"/>
      <c r="Y906" s="66"/>
      <c r="Z906" s="66"/>
      <c r="AA906" s="66"/>
      <c r="AB906" s="66"/>
      <c r="AC906" s="66"/>
      <c r="AD906" s="66"/>
      <c r="AE906" s="66"/>
      <c r="AF906" s="66"/>
      <c r="AG906" s="66"/>
      <c r="AH906" s="66"/>
      <c r="AI906" s="66"/>
      <c r="AJ906" s="66"/>
      <c r="AK906" s="66"/>
      <c r="AL906" s="66"/>
      <c r="AM906" s="66"/>
      <c r="AN906" s="66"/>
      <c r="AO906" s="66"/>
    </row>
    <row r="907">
      <c r="A907" s="93"/>
      <c r="B907" s="85"/>
      <c r="C907" s="86"/>
      <c r="D907" s="93"/>
      <c r="E907" s="85"/>
      <c r="F907" s="85"/>
      <c r="G907" s="86"/>
      <c r="H907" s="78" t="str">
        <f>IFERROR(__xludf.DUMMYFUNCTION("""COMPUTED_VALUE"""),"")</f>
        <v/>
      </c>
      <c r="I907" s="85"/>
      <c r="J907" s="85"/>
      <c r="K907" s="85"/>
      <c r="L907" s="86" t="str">
        <f>IFERROR(__xludf.DUMMYFUNCTION("""COMPUTED_VALUE"""),"REJECT")</f>
        <v>REJECT</v>
      </c>
      <c r="M907" s="78" t="str">
        <f>IFERROR(__xludf.DUMMYFUNCTION("""COMPUTED_VALUE"""),"")</f>
        <v/>
      </c>
      <c r="N907" s="85"/>
      <c r="O907" s="85"/>
      <c r="P907" s="85"/>
      <c r="Q907" s="86" t="str">
        <f>IFERROR(__xludf.DUMMYFUNCTION("""COMPUTED_VALUE"""),"REJECT")</f>
        <v>REJECT</v>
      </c>
      <c r="R907" s="66"/>
      <c r="S907" s="66"/>
      <c r="T907" s="66"/>
      <c r="U907" s="66"/>
      <c r="V907" s="66"/>
      <c r="W907" s="66"/>
      <c r="X907" s="66"/>
      <c r="Y907" s="66"/>
      <c r="Z907" s="66"/>
      <c r="AA907" s="66"/>
      <c r="AB907" s="66"/>
      <c r="AC907" s="66"/>
      <c r="AD907" s="66"/>
      <c r="AE907" s="66"/>
      <c r="AF907" s="66"/>
      <c r="AG907" s="66"/>
      <c r="AH907" s="66"/>
      <c r="AI907" s="66"/>
      <c r="AJ907" s="66"/>
      <c r="AK907" s="66"/>
      <c r="AL907" s="66"/>
      <c r="AM907" s="66"/>
      <c r="AN907" s="66"/>
      <c r="AO907" s="66"/>
    </row>
    <row r="908">
      <c r="A908" s="93"/>
      <c r="B908" s="85"/>
      <c r="C908" s="86"/>
      <c r="D908" s="93"/>
      <c r="E908" s="85"/>
      <c r="F908" s="85"/>
      <c r="G908" s="86"/>
      <c r="H908" s="78" t="str">
        <f>IFERROR(__xludf.DUMMYFUNCTION("""COMPUTED_VALUE"""),"")</f>
        <v/>
      </c>
      <c r="I908" s="85"/>
      <c r="J908" s="85"/>
      <c r="K908" s="85"/>
      <c r="L908" s="86" t="str">
        <f>IFERROR(__xludf.DUMMYFUNCTION("""COMPUTED_VALUE"""),"REJECT")</f>
        <v>REJECT</v>
      </c>
      <c r="M908" s="78" t="str">
        <f>IFERROR(__xludf.DUMMYFUNCTION("""COMPUTED_VALUE"""),"")</f>
        <v/>
      </c>
      <c r="N908" s="85"/>
      <c r="O908" s="85"/>
      <c r="P908" s="85"/>
      <c r="Q908" s="86" t="str">
        <f>IFERROR(__xludf.DUMMYFUNCTION("""COMPUTED_VALUE"""),"REJECT")</f>
        <v>REJECT</v>
      </c>
      <c r="R908" s="66"/>
      <c r="S908" s="66"/>
      <c r="T908" s="66"/>
      <c r="U908" s="66"/>
      <c r="V908" s="66"/>
      <c r="W908" s="66"/>
      <c r="X908" s="66"/>
      <c r="Y908" s="66"/>
      <c r="Z908" s="66"/>
      <c r="AA908" s="66"/>
      <c r="AB908" s="66"/>
      <c r="AC908" s="66"/>
      <c r="AD908" s="66"/>
      <c r="AE908" s="66"/>
      <c r="AF908" s="66"/>
      <c r="AG908" s="66"/>
      <c r="AH908" s="66"/>
      <c r="AI908" s="66"/>
      <c r="AJ908" s="66"/>
      <c r="AK908" s="66"/>
      <c r="AL908" s="66"/>
      <c r="AM908" s="66"/>
      <c r="AN908" s="66"/>
      <c r="AO908" s="66"/>
    </row>
    <row r="909">
      <c r="A909" s="93"/>
      <c r="B909" s="85"/>
      <c r="C909" s="86"/>
      <c r="D909" s="93"/>
      <c r="E909" s="85"/>
      <c r="F909" s="85"/>
      <c r="G909" s="86"/>
      <c r="H909" s="78" t="str">
        <f>IFERROR(__xludf.DUMMYFUNCTION("""COMPUTED_VALUE"""),"")</f>
        <v/>
      </c>
      <c r="I909" s="85"/>
      <c r="J909" s="85"/>
      <c r="K909" s="85"/>
      <c r="L909" s="86" t="str">
        <f>IFERROR(__xludf.DUMMYFUNCTION("""COMPUTED_VALUE"""),"REJECT")</f>
        <v>REJECT</v>
      </c>
      <c r="M909" s="78" t="str">
        <f>IFERROR(__xludf.DUMMYFUNCTION("""COMPUTED_VALUE"""),"")</f>
        <v/>
      </c>
      <c r="N909" s="85"/>
      <c r="O909" s="85"/>
      <c r="P909" s="85"/>
      <c r="Q909" s="86" t="str">
        <f>IFERROR(__xludf.DUMMYFUNCTION("""COMPUTED_VALUE"""),"REJECT")</f>
        <v>REJECT</v>
      </c>
      <c r="R909" s="66"/>
      <c r="S909" s="66"/>
      <c r="T909" s="66"/>
      <c r="U909" s="66"/>
      <c r="V909" s="66"/>
      <c r="W909" s="66"/>
      <c r="X909" s="66"/>
      <c r="Y909" s="66"/>
      <c r="Z909" s="66"/>
      <c r="AA909" s="66"/>
      <c r="AB909" s="66"/>
      <c r="AC909" s="66"/>
      <c r="AD909" s="66"/>
      <c r="AE909" s="66"/>
      <c r="AF909" s="66"/>
      <c r="AG909" s="66"/>
      <c r="AH909" s="66"/>
      <c r="AI909" s="66"/>
      <c r="AJ909" s="66"/>
      <c r="AK909" s="66"/>
      <c r="AL909" s="66"/>
      <c r="AM909" s="66"/>
      <c r="AN909" s="66"/>
      <c r="AO909" s="66"/>
    </row>
    <row r="910">
      <c r="A910" s="93"/>
      <c r="B910" s="85"/>
      <c r="C910" s="86"/>
      <c r="D910" s="93"/>
      <c r="E910" s="85"/>
      <c r="F910" s="85"/>
      <c r="G910" s="86"/>
      <c r="H910" s="78" t="str">
        <f>IFERROR(__xludf.DUMMYFUNCTION("""COMPUTED_VALUE"""),"")</f>
        <v/>
      </c>
      <c r="I910" s="85"/>
      <c r="J910" s="85"/>
      <c r="K910" s="85"/>
      <c r="L910" s="86" t="str">
        <f>IFERROR(__xludf.DUMMYFUNCTION("""COMPUTED_VALUE"""),"REJECT")</f>
        <v>REJECT</v>
      </c>
      <c r="M910" s="78" t="str">
        <f>IFERROR(__xludf.DUMMYFUNCTION("""COMPUTED_VALUE"""),"")</f>
        <v/>
      </c>
      <c r="N910" s="85"/>
      <c r="O910" s="85"/>
      <c r="P910" s="85"/>
      <c r="Q910" s="86" t="str">
        <f>IFERROR(__xludf.DUMMYFUNCTION("""COMPUTED_VALUE"""),"REJECT")</f>
        <v>REJECT</v>
      </c>
      <c r="R910" s="66"/>
      <c r="S910" s="66"/>
      <c r="T910" s="66"/>
      <c r="U910" s="66"/>
      <c r="V910" s="66"/>
      <c r="W910" s="66"/>
      <c r="X910" s="66"/>
      <c r="Y910" s="66"/>
      <c r="Z910" s="66"/>
      <c r="AA910" s="66"/>
      <c r="AB910" s="66"/>
      <c r="AC910" s="66"/>
      <c r="AD910" s="66"/>
      <c r="AE910" s="66"/>
      <c r="AF910" s="66"/>
      <c r="AG910" s="66"/>
      <c r="AH910" s="66"/>
      <c r="AI910" s="66"/>
      <c r="AJ910" s="66"/>
      <c r="AK910" s="66"/>
      <c r="AL910" s="66"/>
      <c r="AM910" s="66"/>
      <c r="AN910" s="66"/>
      <c r="AO910" s="66"/>
    </row>
    <row r="911">
      <c r="A911" s="93"/>
      <c r="B911" s="85"/>
      <c r="C911" s="86"/>
      <c r="D911" s="93"/>
      <c r="E911" s="85"/>
      <c r="F911" s="85"/>
      <c r="G911" s="86"/>
      <c r="H911" s="102"/>
      <c r="I911" s="85"/>
      <c r="J911" s="85"/>
      <c r="K911" s="85"/>
      <c r="L911" s="86"/>
      <c r="M911" s="102"/>
      <c r="N911" s="85"/>
      <c r="O911" s="85"/>
      <c r="P911" s="85"/>
      <c r="Q911" s="86"/>
      <c r="R911" s="66"/>
      <c r="S911" s="66"/>
      <c r="T911" s="66"/>
      <c r="U911" s="66"/>
      <c r="V911" s="66"/>
      <c r="W911" s="66"/>
      <c r="X911" s="66"/>
      <c r="Y911" s="66"/>
      <c r="Z911" s="66"/>
      <c r="AA911" s="66"/>
      <c r="AB911" s="66"/>
      <c r="AC911" s="66"/>
      <c r="AD911" s="66"/>
      <c r="AE911" s="66"/>
      <c r="AF911" s="66"/>
      <c r="AG911" s="66"/>
      <c r="AH911" s="66"/>
      <c r="AI911" s="66"/>
      <c r="AJ911" s="66"/>
      <c r="AK911" s="66"/>
      <c r="AL911" s="66"/>
      <c r="AM911" s="66"/>
      <c r="AN911" s="66"/>
      <c r="AO911" s="66"/>
    </row>
    <row r="912">
      <c r="A912" s="93"/>
      <c r="B912" s="85"/>
      <c r="C912" s="86"/>
      <c r="D912" s="93"/>
      <c r="E912" s="85"/>
      <c r="F912" s="85"/>
      <c r="G912" s="86"/>
      <c r="H912" s="102"/>
      <c r="I912" s="85"/>
      <c r="J912" s="85"/>
      <c r="K912" s="85"/>
      <c r="L912" s="86"/>
      <c r="M912" s="102"/>
      <c r="N912" s="85"/>
      <c r="O912" s="85"/>
      <c r="P912" s="85"/>
      <c r="Q912" s="86"/>
      <c r="R912" s="66"/>
      <c r="S912" s="66"/>
      <c r="T912" s="66"/>
      <c r="U912" s="66"/>
      <c r="V912" s="66"/>
      <c r="W912" s="66"/>
      <c r="X912" s="66"/>
      <c r="Y912" s="66"/>
      <c r="Z912" s="66"/>
      <c r="AA912" s="66"/>
      <c r="AB912" s="66"/>
      <c r="AC912" s="66"/>
      <c r="AD912" s="66"/>
      <c r="AE912" s="66"/>
      <c r="AF912" s="66"/>
      <c r="AG912" s="66"/>
      <c r="AH912" s="66"/>
      <c r="AI912" s="66"/>
      <c r="AJ912" s="66"/>
      <c r="AK912" s="66"/>
      <c r="AL912" s="66"/>
      <c r="AM912" s="66"/>
      <c r="AN912" s="66"/>
      <c r="AO912" s="66"/>
    </row>
    <row r="913">
      <c r="A913" s="93"/>
      <c r="B913" s="85"/>
      <c r="C913" s="86"/>
      <c r="D913" s="93"/>
      <c r="E913" s="85"/>
      <c r="F913" s="85"/>
      <c r="G913" s="86"/>
      <c r="H913" s="102"/>
      <c r="I913" s="85"/>
      <c r="J913" s="85"/>
      <c r="K913" s="85"/>
      <c r="L913" s="86"/>
      <c r="M913" s="102"/>
      <c r="N913" s="85"/>
      <c r="O913" s="85"/>
      <c r="P913" s="85"/>
      <c r="Q913" s="86"/>
      <c r="R913" s="66"/>
      <c r="S913" s="66"/>
      <c r="T913" s="66"/>
      <c r="U913" s="66"/>
      <c r="V913" s="66"/>
      <c r="W913" s="66"/>
      <c r="X913" s="66"/>
      <c r="Y913" s="66"/>
      <c r="Z913" s="66"/>
      <c r="AA913" s="66"/>
      <c r="AB913" s="66"/>
      <c r="AC913" s="66"/>
      <c r="AD913" s="66"/>
      <c r="AE913" s="66"/>
      <c r="AF913" s="66"/>
      <c r="AG913" s="66"/>
      <c r="AH913" s="66"/>
      <c r="AI913" s="66"/>
      <c r="AJ913" s="66"/>
      <c r="AK913" s="66"/>
      <c r="AL913" s="66"/>
      <c r="AM913" s="66"/>
      <c r="AN913" s="66"/>
      <c r="AO913" s="66"/>
    </row>
    <row r="914">
      <c r="A914" s="93"/>
      <c r="B914" s="85"/>
      <c r="C914" s="86"/>
      <c r="D914" s="93"/>
      <c r="E914" s="85"/>
      <c r="F914" s="85"/>
      <c r="G914" s="86"/>
      <c r="H914" s="102"/>
      <c r="I914" s="85"/>
      <c r="J914" s="85"/>
      <c r="K914" s="85"/>
      <c r="L914" s="86"/>
      <c r="M914" s="102"/>
      <c r="N914" s="85"/>
      <c r="O914" s="85"/>
      <c r="P914" s="85"/>
      <c r="Q914" s="86"/>
      <c r="R914" s="66"/>
      <c r="S914" s="66"/>
      <c r="T914" s="66"/>
      <c r="U914" s="66"/>
      <c r="V914" s="66"/>
      <c r="W914" s="66"/>
      <c r="X914" s="66"/>
      <c r="Y914" s="66"/>
      <c r="Z914" s="66"/>
      <c r="AA914" s="66"/>
      <c r="AB914" s="66"/>
      <c r="AC914" s="66"/>
      <c r="AD914" s="66"/>
      <c r="AE914" s="66"/>
      <c r="AF914" s="66"/>
      <c r="AG914" s="66"/>
      <c r="AH914" s="66"/>
      <c r="AI914" s="66"/>
      <c r="AJ914" s="66"/>
      <c r="AK914" s="66"/>
      <c r="AL914" s="66"/>
      <c r="AM914" s="66"/>
      <c r="AN914" s="66"/>
      <c r="AO914" s="66"/>
    </row>
    <row r="915">
      <c r="A915" s="93"/>
      <c r="B915" s="85"/>
      <c r="C915" s="86"/>
      <c r="D915" s="93"/>
      <c r="E915" s="85"/>
      <c r="F915" s="85"/>
      <c r="G915" s="86"/>
      <c r="H915" s="102"/>
      <c r="I915" s="85"/>
      <c r="J915" s="85"/>
      <c r="K915" s="85"/>
      <c r="L915" s="86"/>
      <c r="M915" s="102"/>
      <c r="N915" s="85"/>
      <c r="O915" s="85"/>
      <c r="P915" s="85"/>
      <c r="Q915" s="86"/>
      <c r="R915" s="66"/>
      <c r="S915" s="66"/>
      <c r="T915" s="66"/>
      <c r="U915" s="66"/>
      <c r="V915" s="66"/>
      <c r="W915" s="66"/>
      <c r="X915" s="66"/>
      <c r="Y915" s="66"/>
      <c r="Z915" s="66"/>
      <c r="AA915" s="66"/>
      <c r="AB915" s="66"/>
      <c r="AC915" s="66"/>
      <c r="AD915" s="66"/>
      <c r="AE915" s="66"/>
      <c r="AF915" s="66"/>
      <c r="AG915" s="66"/>
      <c r="AH915" s="66"/>
      <c r="AI915" s="66"/>
      <c r="AJ915" s="66"/>
      <c r="AK915" s="66"/>
      <c r="AL915" s="66"/>
      <c r="AM915" s="66"/>
      <c r="AN915" s="66"/>
      <c r="AO915" s="66"/>
    </row>
    <row r="916">
      <c r="A916" s="93"/>
      <c r="B916" s="85"/>
      <c r="C916" s="86"/>
      <c r="D916" s="93"/>
      <c r="E916" s="85"/>
      <c r="F916" s="85"/>
      <c r="G916" s="86"/>
      <c r="H916" s="102"/>
      <c r="I916" s="85"/>
      <c r="J916" s="85"/>
      <c r="K916" s="85"/>
      <c r="L916" s="86"/>
      <c r="M916" s="102"/>
      <c r="N916" s="85"/>
      <c r="O916" s="85"/>
      <c r="P916" s="85"/>
      <c r="Q916" s="86"/>
      <c r="R916" s="66"/>
      <c r="S916" s="66"/>
      <c r="T916" s="66"/>
      <c r="U916" s="66"/>
      <c r="V916" s="66"/>
      <c r="W916" s="66"/>
      <c r="X916" s="66"/>
      <c r="Y916" s="66"/>
      <c r="Z916" s="66"/>
      <c r="AA916" s="66"/>
      <c r="AB916" s="66"/>
      <c r="AC916" s="66"/>
      <c r="AD916" s="66"/>
      <c r="AE916" s="66"/>
      <c r="AF916" s="66"/>
      <c r="AG916" s="66"/>
      <c r="AH916" s="66"/>
      <c r="AI916" s="66"/>
      <c r="AJ916" s="66"/>
      <c r="AK916" s="66"/>
      <c r="AL916" s="66"/>
      <c r="AM916" s="66"/>
      <c r="AN916" s="66"/>
      <c r="AO916" s="66"/>
    </row>
    <row r="917">
      <c r="A917" s="93"/>
      <c r="B917" s="85"/>
      <c r="C917" s="86"/>
      <c r="D917" s="93"/>
      <c r="E917" s="85"/>
      <c r="F917" s="85"/>
      <c r="G917" s="86"/>
      <c r="H917" s="102"/>
      <c r="I917" s="85"/>
      <c r="J917" s="85"/>
      <c r="K917" s="85"/>
      <c r="L917" s="86"/>
      <c r="M917" s="102"/>
      <c r="N917" s="85"/>
      <c r="O917" s="85"/>
      <c r="P917" s="85"/>
      <c r="Q917" s="86"/>
      <c r="R917" s="66"/>
      <c r="S917" s="66"/>
      <c r="T917" s="66"/>
      <c r="U917" s="66"/>
      <c r="V917" s="66"/>
      <c r="W917" s="66"/>
      <c r="X917" s="66"/>
      <c r="Y917" s="66"/>
      <c r="Z917" s="66"/>
      <c r="AA917" s="66"/>
      <c r="AB917" s="66"/>
      <c r="AC917" s="66"/>
      <c r="AD917" s="66"/>
      <c r="AE917" s="66"/>
      <c r="AF917" s="66"/>
      <c r="AG917" s="66"/>
      <c r="AH917" s="66"/>
      <c r="AI917" s="66"/>
      <c r="AJ917" s="66"/>
      <c r="AK917" s="66"/>
      <c r="AL917" s="66"/>
      <c r="AM917" s="66"/>
      <c r="AN917" s="66"/>
      <c r="AO917" s="66"/>
    </row>
    <row r="918">
      <c r="A918" s="93"/>
      <c r="B918" s="85"/>
      <c r="C918" s="86"/>
      <c r="D918" s="93"/>
      <c r="E918" s="85"/>
      <c r="F918" s="85"/>
      <c r="G918" s="86"/>
      <c r="H918" s="102"/>
      <c r="I918" s="85"/>
      <c r="J918" s="85"/>
      <c r="K918" s="85"/>
      <c r="L918" s="86"/>
      <c r="M918" s="102"/>
      <c r="N918" s="85"/>
      <c r="O918" s="85"/>
      <c r="P918" s="85"/>
      <c r="Q918" s="86"/>
      <c r="R918" s="66"/>
      <c r="S918" s="66"/>
      <c r="T918" s="66"/>
      <c r="U918" s="66"/>
      <c r="V918" s="66"/>
      <c r="W918" s="66"/>
      <c r="X918" s="66"/>
      <c r="Y918" s="66"/>
      <c r="Z918" s="66"/>
      <c r="AA918" s="66"/>
      <c r="AB918" s="66"/>
      <c r="AC918" s="66"/>
      <c r="AD918" s="66"/>
      <c r="AE918" s="66"/>
      <c r="AF918" s="66"/>
      <c r="AG918" s="66"/>
      <c r="AH918" s="66"/>
      <c r="AI918" s="66"/>
      <c r="AJ918" s="66"/>
      <c r="AK918" s="66"/>
      <c r="AL918" s="66"/>
      <c r="AM918" s="66"/>
      <c r="AN918" s="66"/>
      <c r="AO918" s="66"/>
    </row>
    <row r="919">
      <c r="A919" s="93"/>
      <c r="B919" s="85"/>
      <c r="C919" s="86"/>
      <c r="D919" s="93"/>
      <c r="E919" s="85"/>
      <c r="F919" s="85"/>
      <c r="G919" s="86"/>
      <c r="H919" s="102"/>
      <c r="I919" s="85"/>
      <c r="J919" s="85"/>
      <c r="K919" s="85"/>
      <c r="L919" s="86"/>
      <c r="M919" s="102"/>
      <c r="N919" s="85"/>
      <c r="O919" s="85"/>
      <c r="P919" s="85"/>
      <c r="Q919" s="86"/>
      <c r="R919" s="66"/>
      <c r="S919" s="66"/>
      <c r="T919" s="66"/>
      <c r="U919" s="66"/>
      <c r="V919" s="66"/>
      <c r="W919" s="66"/>
      <c r="X919" s="66"/>
      <c r="Y919" s="66"/>
      <c r="Z919" s="66"/>
      <c r="AA919" s="66"/>
      <c r="AB919" s="66"/>
      <c r="AC919" s="66"/>
      <c r="AD919" s="66"/>
      <c r="AE919" s="66"/>
      <c r="AF919" s="66"/>
      <c r="AG919" s="66"/>
      <c r="AH919" s="66"/>
      <c r="AI919" s="66"/>
      <c r="AJ919" s="66"/>
      <c r="AK919" s="66"/>
      <c r="AL919" s="66"/>
      <c r="AM919" s="66"/>
      <c r="AN919" s="66"/>
      <c r="AO919" s="66"/>
    </row>
    <row r="920">
      <c r="A920" s="93"/>
      <c r="B920" s="85"/>
      <c r="C920" s="86"/>
      <c r="D920" s="93"/>
      <c r="E920" s="85"/>
      <c r="F920" s="85"/>
      <c r="G920" s="86"/>
      <c r="H920" s="102"/>
      <c r="I920" s="85"/>
      <c r="J920" s="85"/>
      <c r="K920" s="85"/>
      <c r="L920" s="86"/>
      <c r="M920" s="102"/>
      <c r="N920" s="85"/>
      <c r="O920" s="85"/>
      <c r="P920" s="85"/>
      <c r="Q920" s="86"/>
      <c r="R920" s="66"/>
      <c r="S920" s="66"/>
      <c r="T920" s="66"/>
      <c r="U920" s="66"/>
      <c r="V920" s="66"/>
      <c r="W920" s="66"/>
      <c r="X920" s="66"/>
      <c r="Y920" s="66"/>
      <c r="Z920" s="66"/>
      <c r="AA920" s="66"/>
      <c r="AB920" s="66"/>
      <c r="AC920" s="66"/>
      <c r="AD920" s="66"/>
      <c r="AE920" s="66"/>
      <c r="AF920" s="66"/>
      <c r="AG920" s="66"/>
      <c r="AH920" s="66"/>
      <c r="AI920" s="66"/>
      <c r="AJ920" s="66"/>
      <c r="AK920" s="66"/>
      <c r="AL920" s="66"/>
      <c r="AM920" s="66"/>
      <c r="AN920" s="66"/>
      <c r="AO920" s="66"/>
    </row>
    <row r="921">
      <c r="A921" s="93"/>
      <c r="B921" s="85"/>
      <c r="C921" s="86"/>
      <c r="D921" s="93"/>
      <c r="E921" s="85"/>
      <c r="F921" s="85"/>
      <c r="G921" s="86"/>
      <c r="H921" s="102"/>
      <c r="I921" s="85"/>
      <c r="J921" s="85"/>
      <c r="K921" s="85"/>
      <c r="L921" s="86"/>
      <c r="M921" s="102"/>
      <c r="N921" s="85"/>
      <c r="O921" s="85"/>
      <c r="P921" s="85"/>
      <c r="Q921" s="86"/>
      <c r="R921" s="66"/>
      <c r="S921" s="66"/>
      <c r="T921" s="66"/>
      <c r="U921" s="66"/>
      <c r="V921" s="66"/>
      <c r="W921" s="66"/>
      <c r="X921" s="66"/>
      <c r="Y921" s="66"/>
      <c r="Z921" s="66"/>
      <c r="AA921" s="66"/>
      <c r="AB921" s="66"/>
      <c r="AC921" s="66"/>
      <c r="AD921" s="66"/>
      <c r="AE921" s="66"/>
      <c r="AF921" s="66"/>
      <c r="AG921" s="66"/>
      <c r="AH921" s="66"/>
      <c r="AI921" s="66"/>
      <c r="AJ921" s="66"/>
      <c r="AK921" s="66"/>
      <c r="AL921" s="66"/>
      <c r="AM921" s="66"/>
      <c r="AN921" s="66"/>
      <c r="AO921" s="66"/>
    </row>
    <row r="922">
      <c r="A922" s="93"/>
      <c r="B922" s="85"/>
      <c r="C922" s="86"/>
      <c r="D922" s="93"/>
      <c r="E922" s="85"/>
      <c r="F922" s="85"/>
      <c r="G922" s="86"/>
      <c r="H922" s="102"/>
      <c r="I922" s="85"/>
      <c r="J922" s="85"/>
      <c r="K922" s="85"/>
      <c r="L922" s="86"/>
      <c r="M922" s="102"/>
      <c r="N922" s="85"/>
      <c r="O922" s="85"/>
      <c r="P922" s="85"/>
      <c r="Q922" s="86"/>
      <c r="R922" s="66"/>
      <c r="S922" s="66"/>
      <c r="T922" s="66"/>
      <c r="U922" s="66"/>
      <c r="V922" s="66"/>
      <c r="W922" s="66"/>
      <c r="X922" s="66"/>
      <c r="Y922" s="66"/>
      <c r="Z922" s="66"/>
      <c r="AA922" s="66"/>
      <c r="AB922" s="66"/>
      <c r="AC922" s="66"/>
      <c r="AD922" s="66"/>
      <c r="AE922" s="66"/>
      <c r="AF922" s="66"/>
      <c r="AG922" s="66"/>
      <c r="AH922" s="66"/>
      <c r="AI922" s="66"/>
      <c r="AJ922" s="66"/>
      <c r="AK922" s="66"/>
      <c r="AL922" s="66"/>
      <c r="AM922" s="66"/>
      <c r="AN922" s="66"/>
      <c r="AO922" s="66"/>
    </row>
    <row r="923">
      <c r="A923" s="93"/>
      <c r="B923" s="85"/>
      <c r="C923" s="86"/>
      <c r="D923" s="93"/>
      <c r="E923" s="85"/>
      <c r="F923" s="85"/>
      <c r="G923" s="86"/>
      <c r="H923" s="102"/>
      <c r="I923" s="85"/>
      <c r="J923" s="85"/>
      <c r="K923" s="85"/>
      <c r="L923" s="86"/>
      <c r="M923" s="102"/>
      <c r="N923" s="85"/>
      <c r="O923" s="85"/>
      <c r="P923" s="85"/>
      <c r="Q923" s="86"/>
      <c r="R923" s="66"/>
      <c r="S923" s="66"/>
      <c r="T923" s="66"/>
      <c r="U923" s="66"/>
      <c r="V923" s="66"/>
      <c r="W923" s="66"/>
      <c r="X923" s="66"/>
      <c r="Y923" s="66"/>
      <c r="Z923" s="66"/>
      <c r="AA923" s="66"/>
      <c r="AB923" s="66"/>
      <c r="AC923" s="66"/>
      <c r="AD923" s="66"/>
      <c r="AE923" s="66"/>
      <c r="AF923" s="66"/>
      <c r="AG923" s="66"/>
      <c r="AH923" s="66"/>
      <c r="AI923" s="66"/>
      <c r="AJ923" s="66"/>
      <c r="AK923" s="66"/>
      <c r="AL923" s="66"/>
      <c r="AM923" s="66"/>
      <c r="AN923" s="66"/>
      <c r="AO923" s="66"/>
    </row>
    <row r="924">
      <c r="A924" s="93"/>
      <c r="B924" s="85"/>
      <c r="C924" s="86"/>
      <c r="D924" s="93"/>
      <c r="E924" s="85"/>
      <c r="F924" s="85"/>
      <c r="G924" s="86"/>
      <c r="H924" s="102"/>
      <c r="I924" s="85"/>
      <c r="J924" s="85"/>
      <c r="K924" s="85"/>
      <c r="L924" s="86"/>
      <c r="M924" s="102"/>
      <c r="N924" s="85"/>
      <c r="O924" s="85"/>
      <c r="P924" s="85"/>
      <c r="Q924" s="86"/>
      <c r="R924" s="66"/>
      <c r="S924" s="66"/>
      <c r="T924" s="66"/>
      <c r="U924" s="66"/>
      <c r="V924" s="66"/>
      <c r="W924" s="66"/>
      <c r="X924" s="66"/>
      <c r="Y924" s="66"/>
      <c r="Z924" s="66"/>
      <c r="AA924" s="66"/>
      <c r="AB924" s="66"/>
      <c r="AC924" s="66"/>
      <c r="AD924" s="66"/>
      <c r="AE924" s="66"/>
      <c r="AF924" s="66"/>
      <c r="AG924" s="66"/>
      <c r="AH924" s="66"/>
      <c r="AI924" s="66"/>
      <c r="AJ924" s="66"/>
      <c r="AK924" s="66"/>
      <c r="AL924" s="66"/>
      <c r="AM924" s="66"/>
      <c r="AN924" s="66"/>
      <c r="AO924" s="66"/>
    </row>
    <row r="925">
      <c r="A925" s="93"/>
      <c r="B925" s="85"/>
      <c r="C925" s="86"/>
      <c r="D925" s="93"/>
      <c r="E925" s="85"/>
      <c r="F925" s="85"/>
      <c r="G925" s="86"/>
      <c r="H925" s="102"/>
      <c r="I925" s="85"/>
      <c r="J925" s="85"/>
      <c r="K925" s="85"/>
      <c r="L925" s="86"/>
      <c r="M925" s="102"/>
      <c r="N925" s="85"/>
      <c r="O925" s="85"/>
      <c r="P925" s="85"/>
      <c r="Q925" s="86"/>
      <c r="R925" s="66"/>
      <c r="S925" s="66"/>
      <c r="T925" s="66"/>
      <c r="U925" s="66"/>
      <c r="V925" s="66"/>
      <c r="W925" s="66"/>
      <c r="X925" s="66"/>
      <c r="Y925" s="66"/>
      <c r="Z925" s="66"/>
      <c r="AA925" s="66"/>
      <c r="AB925" s="66"/>
      <c r="AC925" s="66"/>
      <c r="AD925" s="66"/>
      <c r="AE925" s="66"/>
      <c r="AF925" s="66"/>
      <c r="AG925" s="66"/>
      <c r="AH925" s="66"/>
      <c r="AI925" s="66"/>
      <c r="AJ925" s="66"/>
      <c r="AK925" s="66"/>
      <c r="AL925" s="66"/>
      <c r="AM925" s="66"/>
      <c r="AN925" s="66"/>
      <c r="AO925" s="66"/>
    </row>
    <row r="926">
      <c r="A926" s="93"/>
      <c r="B926" s="85"/>
      <c r="C926" s="86"/>
      <c r="D926" s="93"/>
      <c r="E926" s="85"/>
      <c r="F926" s="85"/>
      <c r="G926" s="86"/>
      <c r="H926" s="102"/>
      <c r="I926" s="85"/>
      <c r="J926" s="85"/>
      <c r="K926" s="85"/>
      <c r="L926" s="86"/>
      <c r="M926" s="102"/>
      <c r="N926" s="85"/>
      <c r="O926" s="85"/>
      <c r="P926" s="85"/>
      <c r="Q926" s="86"/>
      <c r="R926" s="66"/>
      <c r="S926" s="66"/>
      <c r="T926" s="66"/>
      <c r="U926" s="66"/>
      <c r="V926" s="66"/>
      <c r="W926" s="66"/>
      <c r="X926" s="66"/>
      <c r="Y926" s="66"/>
      <c r="Z926" s="66"/>
      <c r="AA926" s="66"/>
      <c r="AB926" s="66"/>
      <c r="AC926" s="66"/>
      <c r="AD926" s="66"/>
      <c r="AE926" s="66"/>
      <c r="AF926" s="66"/>
      <c r="AG926" s="66"/>
      <c r="AH926" s="66"/>
      <c r="AI926" s="66"/>
      <c r="AJ926" s="66"/>
      <c r="AK926" s="66"/>
      <c r="AL926" s="66"/>
      <c r="AM926" s="66"/>
      <c r="AN926" s="66"/>
      <c r="AO926" s="66"/>
    </row>
    <row r="927">
      <c r="A927" s="93"/>
      <c r="B927" s="85"/>
      <c r="C927" s="86"/>
      <c r="D927" s="93"/>
      <c r="E927" s="85"/>
      <c r="F927" s="85"/>
      <c r="G927" s="86"/>
      <c r="H927" s="102"/>
      <c r="I927" s="85"/>
      <c r="J927" s="85"/>
      <c r="K927" s="85"/>
      <c r="L927" s="86"/>
      <c r="M927" s="102"/>
      <c r="N927" s="85"/>
      <c r="O927" s="85"/>
      <c r="P927" s="85"/>
      <c r="Q927" s="86"/>
      <c r="R927" s="66"/>
      <c r="S927" s="66"/>
      <c r="T927" s="66"/>
      <c r="U927" s="66"/>
      <c r="V927" s="66"/>
      <c r="W927" s="66"/>
      <c r="X927" s="66"/>
      <c r="Y927" s="66"/>
      <c r="Z927" s="66"/>
      <c r="AA927" s="66"/>
      <c r="AB927" s="66"/>
      <c r="AC927" s="66"/>
      <c r="AD927" s="66"/>
      <c r="AE927" s="66"/>
      <c r="AF927" s="66"/>
      <c r="AG927" s="66"/>
      <c r="AH927" s="66"/>
      <c r="AI927" s="66"/>
      <c r="AJ927" s="66"/>
      <c r="AK927" s="66"/>
      <c r="AL927" s="66"/>
      <c r="AM927" s="66"/>
      <c r="AN927" s="66"/>
      <c r="AO927" s="66"/>
    </row>
    <row r="928">
      <c r="A928" s="93"/>
      <c r="B928" s="85"/>
      <c r="C928" s="86"/>
      <c r="D928" s="93"/>
      <c r="E928" s="85"/>
      <c r="F928" s="85"/>
      <c r="G928" s="86"/>
      <c r="H928" s="102"/>
      <c r="I928" s="85"/>
      <c r="J928" s="85"/>
      <c r="K928" s="85"/>
      <c r="L928" s="86"/>
      <c r="M928" s="102"/>
      <c r="N928" s="85"/>
      <c r="O928" s="85"/>
      <c r="P928" s="85"/>
      <c r="Q928" s="86"/>
      <c r="R928" s="66"/>
      <c r="S928" s="66"/>
      <c r="T928" s="66"/>
      <c r="U928" s="66"/>
      <c r="V928" s="66"/>
      <c r="W928" s="66"/>
      <c r="X928" s="66"/>
      <c r="Y928" s="66"/>
      <c r="Z928" s="66"/>
      <c r="AA928" s="66"/>
      <c r="AB928" s="66"/>
      <c r="AC928" s="66"/>
      <c r="AD928" s="66"/>
      <c r="AE928" s="66"/>
      <c r="AF928" s="66"/>
      <c r="AG928" s="66"/>
      <c r="AH928" s="66"/>
      <c r="AI928" s="66"/>
      <c r="AJ928" s="66"/>
      <c r="AK928" s="66"/>
      <c r="AL928" s="66"/>
      <c r="AM928" s="66"/>
      <c r="AN928" s="66"/>
      <c r="AO928" s="66"/>
    </row>
    <row r="929">
      <c r="A929" s="93"/>
      <c r="B929" s="85"/>
      <c r="C929" s="86"/>
      <c r="D929" s="93"/>
      <c r="E929" s="85"/>
      <c r="F929" s="85"/>
      <c r="G929" s="86"/>
      <c r="H929" s="102"/>
      <c r="I929" s="85"/>
      <c r="J929" s="85"/>
      <c r="K929" s="85"/>
      <c r="L929" s="86"/>
      <c r="M929" s="102"/>
      <c r="N929" s="85"/>
      <c r="O929" s="85"/>
      <c r="P929" s="85"/>
      <c r="Q929" s="86"/>
      <c r="R929" s="66"/>
      <c r="S929" s="66"/>
      <c r="T929" s="66"/>
      <c r="U929" s="66"/>
      <c r="V929" s="66"/>
      <c r="W929" s="66"/>
      <c r="X929" s="66"/>
      <c r="Y929" s="66"/>
      <c r="Z929" s="66"/>
      <c r="AA929" s="66"/>
      <c r="AB929" s="66"/>
      <c r="AC929" s="66"/>
      <c r="AD929" s="66"/>
      <c r="AE929" s="66"/>
      <c r="AF929" s="66"/>
      <c r="AG929" s="66"/>
      <c r="AH929" s="66"/>
      <c r="AI929" s="66"/>
      <c r="AJ929" s="66"/>
      <c r="AK929" s="66"/>
      <c r="AL929" s="66"/>
      <c r="AM929" s="66"/>
      <c r="AN929" s="66"/>
      <c r="AO929" s="66"/>
    </row>
    <row r="930">
      <c r="A930" s="93"/>
      <c r="B930" s="85"/>
      <c r="C930" s="86"/>
      <c r="D930" s="93"/>
      <c r="E930" s="85"/>
      <c r="F930" s="85"/>
      <c r="G930" s="86"/>
      <c r="H930" s="102"/>
      <c r="I930" s="85"/>
      <c r="J930" s="85"/>
      <c r="K930" s="85"/>
      <c r="L930" s="86"/>
      <c r="M930" s="102"/>
      <c r="N930" s="85"/>
      <c r="O930" s="85"/>
      <c r="P930" s="85"/>
      <c r="Q930" s="86"/>
      <c r="R930" s="66"/>
      <c r="S930" s="66"/>
      <c r="T930" s="66"/>
      <c r="U930" s="66"/>
      <c r="V930" s="66"/>
      <c r="W930" s="66"/>
      <c r="X930" s="66"/>
      <c r="Y930" s="66"/>
      <c r="Z930" s="66"/>
      <c r="AA930" s="66"/>
      <c r="AB930" s="66"/>
      <c r="AC930" s="66"/>
      <c r="AD930" s="66"/>
      <c r="AE930" s="66"/>
      <c r="AF930" s="66"/>
      <c r="AG930" s="66"/>
      <c r="AH930" s="66"/>
      <c r="AI930" s="66"/>
      <c r="AJ930" s="66"/>
      <c r="AK930" s="66"/>
      <c r="AL930" s="66"/>
      <c r="AM930" s="66"/>
      <c r="AN930" s="66"/>
      <c r="AO930" s="66"/>
    </row>
    <row r="931">
      <c r="A931" s="93"/>
      <c r="B931" s="85"/>
      <c r="C931" s="86"/>
      <c r="D931" s="93"/>
      <c r="E931" s="85"/>
      <c r="F931" s="85"/>
      <c r="G931" s="86"/>
      <c r="H931" s="102"/>
      <c r="I931" s="85"/>
      <c r="J931" s="85"/>
      <c r="K931" s="85"/>
      <c r="L931" s="86"/>
      <c r="M931" s="102"/>
      <c r="N931" s="85"/>
      <c r="O931" s="85"/>
      <c r="P931" s="85"/>
      <c r="Q931" s="86"/>
      <c r="R931" s="66"/>
      <c r="S931" s="66"/>
      <c r="T931" s="66"/>
      <c r="U931" s="66"/>
      <c r="V931" s="66"/>
      <c r="W931" s="66"/>
      <c r="X931" s="66"/>
      <c r="Y931" s="66"/>
      <c r="Z931" s="66"/>
      <c r="AA931" s="66"/>
      <c r="AB931" s="66"/>
      <c r="AC931" s="66"/>
      <c r="AD931" s="66"/>
      <c r="AE931" s="66"/>
      <c r="AF931" s="66"/>
      <c r="AG931" s="66"/>
      <c r="AH931" s="66"/>
      <c r="AI931" s="66"/>
      <c r="AJ931" s="66"/>
      <c r="AK931" s="66"/>
      <c r="AL931" s="66"/>
      <c r="AM931" s="66"/>
      <c r="AN931" s="66"/>
      <c r="AO931" s="66"/>
    </row>
    <row r="932">
      <c r="A932" s="93"/>
      <c r="B932" s="85"/>
      <c r="C932" s="86"/>
      <c r="D932" s="93"/>
      <c r="E932" s="85"/>
      <c r="F932" s="85"/>
      <c r="G932" s="86"/>
      <c r="H932" s="102"/>
      <c r="I932" s="85"/>
      <c r="J932" s="85"/>
      <c r="K932" s="85"/>
      <c r="L932" s="86"/>
      <c r="M932" s="102"/>
      <c r="N932" s="85"/>
      <c r="O932" s="85"/>
      <c r="P932" s="85"/>
      <c r="Q932" s="86"/>
      <c r="R932" s="66"/>
      <c r="S932" s="66"/>
      <c r="T932" s="66"/>
      <c r="U932" s="66"/>
      <c r="V932" s="66"/>
      <c r="W932" s="66"/>
      <c r="X932" s="66"/>
      <c r="Y932" s="66"/>
      <c r="Z932" s="66"/>
      <c r="AA932" s="66"/>
      <c r="AB932" s="66"/>
      <c r="AC932" s="66"/>
      <c r="AD932" s="66"/>
      <c r="AE932" s="66"/>
      <c r="AF932" s="66"/>
      <c r="AG932" s="66"/>
      <c r="AH932" s="66"/>
      <c r="AI932" s="66"/>
      <c r="AJ932" s="66"/>
      <c r="AK932" s="66"/>
      <c r="AL932" s="66"/>
      <c r="AM932" s="66"/>
      <c r="AN932" s="66"/>
      <c r="AO932" s="66"/>
    </row>
    <row r="933">
      <c r="A933" s="93"/>
      <c r="B933" s="85"/>
      <c r="C933" s="86"/>
      <c r="D933" s="93"/>
      <c r="E933" s="85"/>
      <c r="F933" s="85"/>
      <c r="G933" s="86"/>
      <c r="H933" s="102"/>
      <c r="I933" s="85"/>
      <c r="J933" s="85"/>
      <c r="K933" s="85"/>
      <c r="L933" s="86"/>
      <c r="M933" s="102"/>
      <c r="N933" s="85"/>
      <c r="O933" s="85"/>
      <c r="P933" s="85"/>
      <c r="Q933" s="86"/>
      <c r="R933" s="66"/>
      <c r="S933" s="66"/>
      <c r="T933" s="66"/>
      <c r="U933" s="66"/>
      <c r="V933" s="66"/>
      <c r="W933" s="66"/>
      <c r="X933" s="66"/>
      <c r="Y933" s="66"/>
      <c r="Z933" s="66"/>
      <c r="AA933" s="66"/>
      <c r="AB933" s="66"/>
      <c r="AC933" s="66"/>
      <c r="AD933" s="66"/>
      <c r="AE933" s="66"/>
      <c r="AF933" s="66"/>
      <c r="AG933" s="66"/>
      <c r="AH933" s="66"/>
      <c r="AI933" s="66"/>
      <c r="AJ933" s="66"/>
      <c r="AK933" s="66"/>
      <c r="AL933" s="66"/>
      <c r="AM933" s="66"/>
      <c r="AN933" s="66"/>
      <c r="AO933" s="66"/>
    </row>
    <row r="934">
      <c r="A934" s="93"/>
      <c r="B934" s="85"/>
      <c r="C934" s="86"/>
      <c r="D934" s="93"/>
      <c r="E934" s="85"/>
      <c r="F934" s="85"/>
      <c r="G934" s="86"/>
      <c r="H934" s="102"/>
      <c r="I934" s="85"/>
      <c r="J934" s="85"/>
      <c r="K934" s="85"/>
      <c r="L934" s="86"/>
      <c r="M934" s="102"/>
      <c r="N934" s="85"/>
      <c r="O934" s="85"/>
      <c r="P934" s="85"/>
      <c r="Q934" s="86"/>
      <c r="R934" s="66"/>
      <c r="S934" s="66"/>
      <c r="T934" s="66"/>
      <c r="U934" s="66"/>
      <c r="V934" s="66"/>
      <c r="W934" s="66"/>
      <c r="X934" s="66"/>
      <c r="Y934" s="66"/>
      <c r="Z934" s="66"/>
      <c r="AA934" s="66"/>
      <c r="AB934" s="66"/>
      <c r="AC934" s="66"/>
      <c r="AD934" s="66"/>
      <c r="AE934" s="66"/>
      <c r="AF934" s="66"/>
      <c r="AG934" s="66"/>
      <c r="AH934" s="66"/>
      <c r="AI934" s="66"/>
      <c r="AJ934" s="66"/>
      <c r="AK934" s="66"/>
      <c r="AL934" s="66"/>
      <c r="AM934" s="66"/>
      <c r="AN934" s="66"/>
      <c r="AO934" s="66"/>
    </row>
    <row r="935">
      <c r="A935" s="93"/>
      <c r="B935" s="85"/>
      <c r="C935" s="86"/>
      <c r="D935" s="93"/>
      <c r="E935" s="85"/>
      <c r="F935" s="85"/>
      <c r="G935" s="86"/>
      <c r="H935" s="102"/>
      <c r="I935" s="85"/>
      <c r="J935" s="85"/>
      <c r="K935" s="85"/>
      <c r="L935" s="86"/>
      <c r="M935" s="102"/>
      <c r="N935" s="85"/>
      <c r="O935" s="85"/>
      <c r="P935" s="85"/>
      <c r="Q935" s="86"/>
      <c r="R935" s="66"/>
      <c r="S935" s="66"/>
      <c r="T935" s="66"/>
      <c r="U935" s="66"/>
      <c r="V935" s="66"/>
      <c r="W935" s="66"/>
      <c r="X935" s="66"/>
      <c r="Y935" s="66"/>
      <c r="Z935" s="66"/>
      <c r="AA935" s="66"/>
      <c r="AB935" s="66"/>
      <c r="AC935" s="66"/>
      <c r="AD935" s="66"/>
      <c r="AE935" s="66"/>
      <c r="AF935" s="66"/>
      <c r="AG935" s="66"/>
      <c r="AH935" s="66"/>
      <c r="AI935" s="66"/>
      <c r="AJ935" s="66"/>
      <c r="AK935" s="66"/>
      <c r="AL935" s="66"/>
      <c r="AM935" s="66"/>
      <c r="AN935" s="66"/>
      <c r="AO935" s="66"/>
    </row>
    <row r="936">
      <c r="A936" s="93"/>
      <c r="B936" s="85"/>
      <c r="C936" s="86"/>
      <c r="D936" s="93"/>
      <c r="E936" s="85"/>
      <c r="F936" s="85"/>
      <c r="G936" s="86"/>
      <c r="H936" s="102"/>
      <c r="I936" s="85"/>
      <c r="J936" s="85"/>
      <c r="K936" s="85"/>
      <c r="L936" s="86"/>
      <c r="M936" s="102"/>
      <c r="N936" s="85"/>
      <c r="O936" s="85"/>
      <c r="P936" s="85"/>
      <c r="Q936" s="86"/>
      <c r="R936" s="66"/>
      <c r="S936" s="66"/>
      <c r="T936" s="66"/>
      <c r="U936" s="66"/>
      <c r="V936" s="66"/>
      <c r="W936" s="66"/>
      <c r="X936" s="66"/>
      <c r="Y936" s="66"/>
      <c r="Z936" s="66"/>
      <c r="AA936" s="66"/>
      <c r="AB936" s="66"/>
      <c r="AC936" s="66"/>
      <c r="AD936" s="66"/>
      <c r="AE936" s="66"/>
      <c r="AF936" s="66"/>
      <c r="AG936" s="66"/>
      <c r="AH936" s="66"/>
      <c r="AI936" s="66"/>
      <c r="AJ936" s="66"/>
      <c r="AK936" s="66"/>
      <c r="AL936" s="66"/>
      <c r="AM936" s="66"/>
      <c r="AN936" s="66"/>
      <c r="AO936" s="66"/>
    </row>
    <row r="937">
      <c r="A937" s="93"/>
      <c r="B937" s="85"/>
      <c r="C937" s="86"/>
      <c r="D937" s="93"/>
      <c r="E937" s="85"/>
      <c r="F937" s="85"/>
      <c r="G937" s="86"/>
      <c r="H937" s="102"/>
      <c r="I937" s="85"/>
      <c r="J937" s="85"/>
      <c r="K937" s="85"/>
      <c r="L937" s="86"/>
      <c r="M937" s="102"/>
      <c r="N937" s="85"/>
      <c r="O937" s="85"/>
      <c r="P937" s="85"/>
      <c r="Q937" s="86"/>
      <c r="R937" s="66"/>
      <c r="S937" s="66"/>
      <c r="T937" s="66"/>
      <c r="U937" s="66"/>
      <c r="V937" s="66"/>
      <c r="W937" s="66"/>
      <c r="X937" s="66"/>
      <c r="Y937" s="66"/>
      <c r="Z937" s="66"/>
      <c r="AA937" s="66"/>
      <c r="AB937" s="66"/>
      <c r="AC937" s="66"/>
      <c r="AD937" s="66"/>
      <c r="AE937" s="66"/>
      <c r="AF937" s="66"/>
      <c r="AG937" s="66"/>
      <c r="AH937" s="66"/>
      <c r="AI937" s="66"/>
      <c r="AJ937" s="66"/>
      <c r="AK937" s="66"/>
      <c r="AL937" s="66"/>
      <c r="AM937" s="66"/>
      <c r="AN937" s="66"/>
      <c r="AO937" s="66"/>
    </row>
    <row r="938">
      <c r="A938" s="93"/>
      <c r="B938" s="85"/>
      <c r="C938" s="86"/>
      <c r="D938" s="93"/>
      <c r="E938" s="85"/>
      <c r="F938" s="85"/>
      <c r="G938" s="86"/>
      <c r="H938" s="102"/>
      <c r="I938" s="85"/>
      <c r="J938" s="85"/>
      <c r="K938" s="85"/>
      <c r="L938" s="86"/>
      <c r="M938" s="102"/>
      <c r="N938" s="85"/>
      <c r="O938" s="85"/>
      <c r="P938" s="85"/>
      <c r="Q938" s="86"/>
      <c r="R938" s="66"/>
      <c r="S938" s="66"/>
      <c r="T938" s="66"/>
      <c r="U938" s="66"/>
      <c r="V938" s="66"/>
      <c r="W938" s="66"/>
      <c r="X938" s="66"/>
      <c r="Y938" s="66"/>
      <c r="Z938" s="66"/>
      <c r="AA938" s="66"/>
      <c r="AB938" s="66"/>
      <c r="AC938" s="66"/>
      <c r="AD938" s="66"/>
      <c r="AE938" s="66"/>
      <c r="AF938" s="66"/>
      <c r="AG938" s="66"/>
      <c r="AH938" s="66"/>
      <c r="AI938" s="66"/>
      <c r="AJ938" s="66"/>
      <c r="AK938" s="66"/>
      <c r="AL938" s="66"/>
      <c r="AM938" s="66"/>
      <c r="AN938" s="66"/>
      <c r="AO938" s="66"/>
    </row>
    <row r="939">
      <c r="A939" s="93"/>
      <c r="B939" s="85"/>
      <c r="C939" s="86"/>
      <c r="D939" s="93"/>
      <c r="E939" s="85"/>
      <c r="F939" s="85"/>
      <c r="G939" s="86"/>
      <c r="H939" s="102"/>
      <c r="I939" s="85"/>
      <c r="J939" s="85"/>
      <c r="K939" s="85"/>
      <c r="L939" s="86"/>
      <c r="M939" s="102"/>
      <c r="N939" s="85"/>
      <c r="O939" s="85"/>
      <c r="P939" s="85"/>
      <c r="Q939" s="86"/>
      <c r="R939" s="66"/>
      <c r="S939" s="66"/>
      <c r="T939" s="66"/>
      <c r="U939" s="66"/>
      <c r="V939" s="66"/>
      <c r="W939" s="66"/>
      <c r="X939" s="66"/>
      <c r="Y939" s="66"/>
      <c r="Z939" s="66"/>
      <c r="AA939" s="66"/>
      <c r="AB939" s="66"/>
      <c r="AC939" s="66"/>
      <c r="AD939" s="66"/>
      <c r="AE939" s="66"/>
      <c r="AF939" s="66"/>
      <c r="AG939" s="66"/>
      <c r="AH939" s="66"/>
      <c r="AI939" s="66"/>
      <c r="AJ939" s="66"/>
      <c r="AK939" s="66"/>
      <c r="AL939" s="66"/>
      <c r="AM939" s="66"/>
      <c r="AN939" s="66"/>
      <c r="AO939" s="66"/>
    </row>
    <row r="940">
      <c r="A940" s="93"/>
      <c r="B940" s="85"/>
      <c r="C940" s="86"/>
      <c r="D940" s="93"/>
      <c r="E940" s="85"/>
      <c r="F940" s="85"/>
      <c r="G940" s="86"/>
      <c r="H940" s="102"/>
      <c r="I940" s="85"/>
      <c r="J940" s="85"/>
      <c r="K940" s="85"/>
      <c r="L940" s="86"/>
      <c r="M940" s="102"/>
      <c r="N940" s="85"/>
      <c r="O940" s="85"/>
      <c r="P940" s="85"/>
      <c r="Q940" s="86"/>
      <c r="R940" s="66"/>
      <c r="S940" s="66"/>
      <c r="T940" s="66"/>
      <c r="U940" s="66"/>
      <c r="V940" s="66"/>
      <c r="W940" s="66"/>
      <c r="X940" s="66"/>
      <c r="Y940" s="66"/>
      <c r="Z940" s="66"/>
      <c r="AA940" s="66"/>
      <c r="AB940" s="66"/>
      <c r="AC940" s="66"/>
      <c r="AD940" s="66"/>
      <c r="AE940" s="66"/>
      <c r="AF940" s="66"/>
      <c r="AG940" s="66"/>
      <c r="AH940" s="66"/>
      <c r="AI940" s="66"/>
      <c r="AJ940" s="66"/>
      <c r="AK940" s="66"/>
      <c r="AL940" s="66"/>
      <c r="AM940" s="66"/>
      <c r="AN940" s="66"/>
      <c r="AO940" s="66"/>
    </row>
    <row r="941">
      <c r="A941" s="93"/>
      <c r="B941" s="85"/>
      <c r="C941" s="86"/>
      <c r="D941" s="93"/>
      <c r="E941" s="85"/>
      <c r="F941" s="85"/>
      <c r="G941" s="86"/>
      <c r="H941" s="102"/>
      <c r="I941" s="85"/>
      <c r="J941" s="85"/>
      <c r="K941" s="85"/>
      <c r="L941" s="86"/>
      <c r="M941" s="102"/>
      <c r="N941" s="85"/>
      <c r="O941" s="85"/>
      <c r="P941" s="85"/>
      <c r="Q941" s="86"/>
      <c r="R941" s="66"/>
      <c r="S941" s="66"/>
      <c r="T941" s="66"/>
      <c r="U941" s="66"/>
      <c r="V941" s="66"/>
      <c r="W941" s="66"/>
      <c r="X941" s="66"/>
      <c r="Y941" s="66"/>
      <c r="Z941" s="66"/>
      <c r="AA941" s="66"/>
      <c r="AB941" s="66"/>
      <c r="AC941" s="66"/>
      <c r="AD941" s="66"/>
      <c r="AE941" s="66"/>
      <c r="AF941" s="66"/>
      <c r="AG941" s="66"/>
      <c r="AH941" s="66"/>
      <c r="AI941" s="66"/>
      <c r="AJ941" s="66"/>
      <c r="AK941" s="66"/>
      <c r="AL941" s="66"/>
      <c r="AM941" s="66"/>
      <c r="AN941" s="66"/>
      <c r="AO941" s="66"/>
    </row>
    <row r="942">
      <c r="A942" s="93"/>
      <c r="B942" s="85"/>
      <c r="C942" s="86"/>
      <c r="D942" s="93"/>
      <c r="E942" s="85"/>
      <c r="F942" s="85"/>
      <c r="G942" s="86"/>
      <c r="H942" s="102"/>
      <c r="I942" s="85"/>
      <c r="J942" s="85"/>
      <c r="K942" s="85"/>
      <c r="L942" s="86"/>
      <c r="M942" s="102"/>
      <c r="N942" s="85"/>
      <c r="O942" s="85"/>
      <c r="P942" s="85"/>
      <c r="Q942" s="86"/>
      <c r="R942" s="66"/>
      <c r="S942" s="66"/>
      <c r="T942" s="66"/>
      <c r="U942" s="66"/>
      <c r="V942" s="66"/>
      <c r="W942" s="66"/>
      <c r="X942" s="66"/>
      <c r="Y942" s="66"/>
      <c r="Z942" s="66"/>
      <c r="AA942" s="66"/>
      <c r="AB942" s="66"/>
      <c r="AC942" s="66"/>
      <c r="AD942" s="66"/>
      <c r="AE942" s="66"/>
      <c r="AF942" s="66"/>
      <c r="AG942" s="66"/>
      <c r="AH942" s="66"/>
      <c r="AI942" s="66"/>
      <c r="AJ942" s="66"/>
      <c r="AK942" s="66"/>
      <c r="AL942" s="66"/>
      <c r="AM942" s="66"/>
      <c r="AN942" s="66"/>
      <c r="AO942" s="66"/>
    </row>
    <row r="943">
      <c r="A943" s="93"/>
      <c r="B943" s="85"/>
      <c r="C943" s="86"/>
      <c r="D943" s="93"/>
      <c r="E943" s="85"/>
      <c r="F943" s="85"/>
      <c r="G943" s="86"/>
      <c r="H943" s="102"/>
      <c r="I943" s="85"/>
      <c r="J943" s="85"/>
      <c r="K943" s="85"/>
      <c r="L943" s="86"/>
      <c r="M943" s="102"/>
      <c r="N943" s="85"/>
      <c r="O943" s="85"/>
      <c r="P943" s="85"/>
      <c r="Q943" s="86"/>
      <c r="R943" s="66"/>
      <c r="S943" s="66"/>
      <c r="T943" s="66"/>
      <c r="U943" s="66"/>
      <c r="V943" s="66"/>
      <c r="W943" s="66"/>
      <c r="X943" s="66"/>
      <c r="Y943" s="66"/>
      <c r="Z943" s="66"/>
      <c r="AA943" s="66"/>
      <c r="AB943" s="66"/>
      <c r="AC943" s="66"/>
      <c r="AD943" s="66"/>
      <c r="AE943" s="66"/>
      <c r="AF943" s="66"/>
      <c r="AG943" s="66"/>
      <c r="AH943" s="66"/>
      <c r="AI943" s="66"/>
      <c r="AJ943" s="66"/>
      <c r="AK943" s="66"/>
      <c r="AL943" s="66"/>
      <c r="AM943" s="66"/>
      <c r="AN943" s="66"/>
      <c r="AO943" s="66"/>
    </row>
    <row r="944">
      <c r="A944" s="93"/>
      <c r="B944" s="85"/>
      <c r="C944" s="86"/>
      <c r="D944" s="93"/>
      <c r="E944" s="85"/>
      <c r="F944" s="85"/>
      <c r="G944" s="86"/>
      <c r="H944" s="102"/>
      <c r="I944" s="85"/>
      <c r="J944" s="85"/>
      <c r="K944" s="85"/>
      <c r="L944" s="86"/>
      <c r="M944" s="102"/>
      <c r="N944" s="85"/>
      <c r="O944" s="85"/>
      <c r="P944" s="85"/>
      <c r="Q944" s="86"/>
      <c r="R944" s="66"/>
      <c r="S944" s="66"/>
      <c r="T944" s="66"/>
      <c r="U944" s="66"/>
      <c r="V944" s="66"/>
      <c r="W944" s="66"/>
      <c r="X944" s="66"/>
      <c r="Y944" s="66"/>
      <c r="Z944" s="66"/>
      <c r="AA944" s="66"/>
      <c r="AB944" s="66"/>
      <c r="AC944" s="66"/>
      <c r="AD944" s="66"/>
      <c r="AE944" s="66"/>
      <c r="AF944" s="66"/>
      <c r="AG944" s="66"/>
      <c r="AH944" s="66"/>
      <c r="AI944" s="66"/>
      <c r="AJ944" s="66"/>
      <c r="AK944" s="66"/>
      <c r="AL944" s="66"/>
      <c r="AM944" s="66"/>
      <c r="AN944" s="66"/>
      <c r="AO944" s="66"/>
    </row>
    <row r="945">
      <c r="A945" s="93"/>
      <c r="B945" s="85"/>
      <c r="C945" s="86"/>
      <c r="D945" s="93"/>
      <c r="E945" s="85"/>
      <c r="F945" s="85"/>
      <c r="G945" s="86"/>
      <c r="H945" s="102"/>
      <c r="I945" s="85"/>
      <c r="J945" s="85"/>
      <c r="K945" s="85"/>
      <c r="L945" s="86"/>
      <c r="M945" s="102"/>
      <c r="N945" s="85"/>
      <c r="O945" s="85"/>
      <c r="P945" s="85"/>
      <c r="Q945" s="86"/>
      <c r="R945" s="66"/>
      <c r="S945" s="66"/>
      <c r="T945" s="66"/>
      <c r="U945" s="66"/>
      <c r="V945" s="66"/>
      <c r="W945" s="66"/>
      <c r="X945" s="66"/>
      <c r="Y945" s="66"/>
      <c r="Z945" s="66"/>
      <c r="AA945" s="66"/>
      <c r="AB945" s="66"/>
      <c r="AC945" s="66"/>
      <c r="AD945" s="66"/>
      <c r="AE945" s="66"/>
      <c r="AF945" s="66"/>
      <c r="AG945" s="66"/>
      <c r="AH945" s="66"/>
      <c r="AI945" s="66"/>
      <c r="AJ945" s="66"/>
      <c r="AK945" s="66"/>
      <c r="AL945" s="66"/>
      <c r="AM945" s="66"/>
      <c r="AN945" s="66"/>
      <c r="AO945" s="66"/>
    </row>
    <row r="946">
      <c r="A946" s="93"/>
      <c r="B946" s="85"/>
      <c r="C946" s="86"/>
      <c r="D946" s="93"/>
      <c r="E946" s="85"/>
      <c r="F946" s="85"/>
      <c r="G946" s="86"/>
      <c r="H946" s="102"/>
      <c r="I946" s="85"/>
      <c r="J946" s="85"/>
      <c r="K946" s="85"/>
      <c r="L946" s="86"/>
      <c r="M946" s="102"/>
      <c r="N946" s="85"/>
      <c r="O946" s="85"/>
      <c r="P946" s="85"/>
      <c r="Q946" s="86"/>
      <c r="R946" s="66"/>
      <c r="S946" s="66"/>
      <c r="T946" s="66"/>
      <c r="U946" s="66"/>
      <c r="V946" s="66"/>
      <c r="W946" s="66"/>
      <c r="X946" s="66"/>
      <c r="Y946" s="66"/>
      <c r="Z946" s="66"/>
      <c r="AA946" s="66"/>
      <c r="AB946" s="66"/>
      <c r="AC946" s="66"/>
      <c r="AD946" s="66"/>
      <c r="AE946" s="66"/>
      <c r="AF946" s="66"/>
      <c r="AG946" s="66"/>
      <c r="AH946" s="66"/>
      <c r="AI946" s="66"/>
      <c r="AJ946" s="66"/>
      <c r="AK946" s="66"/>
      <c r="AL946" s="66"/>
      <c r="AM946" s="66"/>
      <c r="AN946" s="66"/>
      <c r="AO946" s="66"/>
    </row>
    <row r="947">
      <c r="A947" s="93"/>
      <c r="B947" s="85"/>
      <c r="C947" s="86"/>
      <c r="D947" s="93"/>
      <c r="E947" s="85"/>
      <c r="F947" s="85"/>
      <c r="G947" s="86"/>
      <c r="H947" s="102"/>
      <c r="I947" s="85"/>
      <c r="J947" s="85"/>
      <c r="K947" s="85"/>
      <c r="L947" s="86"/>
      <c r="M947" s="102"/>
      <c r="N947" s="85"/>
      <c r="O947" s="85"/>
      <c r="P947" s="85"/>
      <c r="Q947" s="86"/>
      <c r="R947" s="66"/>
      <c r="S947" s="66"/>
      <c r="T947" s="66"/>
      <c r="U947" s="66"/>
      <c r="V947" s="66"/>
      <c r="W947" s="66"/>
      <c r="X947" s="66"/>
      <c r="Y947" s="66"/>
      <c r="Z947" s="66"/>
      <c r="AA947" s="66"/>
      <c r="AB947" s="66"/>
      <c r="AC947" s="66"/>
      <c r="AD947" s="66"/>
      <c r="AE947" s="66"/>
      <c r="AF947" s="66"/>
      <c r="AG947" s="66"/>
      <c r="AH947" s="66"/>
      <c r="AI947" s="66"/>
      <c r="AJ947" s="66"/>
      <c r="AK947" s="66"/>
      <c r="AL947" s="66"/>
      <c r="AM947" s="66"/>
      <c r="AN947" s="66"/>
      <c r="AO947" s="66"/>
    </row>
    <row r="948">
      <c r="A948" s="93"/>
      <c r="B948" s="85"/>
      <c r="C948" s="86"/>
      <c r="D948" s="93"/>
      <c r="E948" s="85"/>
      <c r="F948" s="85"/>
      <c r="G948" s="86"/>
      <c r="H948" s="102"/>
      <c r="I948" s="85"/>
      <c r="J948" s="85"/>
      <c r="K948" s="85"/>
      <c r="L948" s="86"/>
      <c r="M948" s="102"/>
      <c r="N948" s="85"/>
      <c r="O948" s="85"/>
      <c r="P948" s="85"/>
      <c r="Q948" s="86"/>
      <c r="R948" s="66"/>
      <c r="S948" s="66"/>
      <c r="T948" s="66"/>
      <c r="U948" s="66"/>
      <c r="V948" s="66"/>
      <c r="W948" s="66"/>
      <c r="X948" s="66"/>
      <c r="Y948" s="66"/>
      <c r="Z948" s="66"/>
      <c r="AA948" s="66"/>
      <c r="AB948" s="66"/>
      <c r="AC948" s="66"/>
      <c r="AD948" s="66"/>
      <c r="AE948" s="66"/>
      <c r="AF948" s="66"/>
      <c r="AG948" s="66"/>
      <c r="AH948" s="66"/>
      <c r="AI948" s="66"/>
      <c r="AJ948" s="66"/>
      <c r="AK948" s="66"/>
      <c r="AL948" s="66"/>
      <c r="AM948" s="66"/>
      <c r="AN948" s="66"/>
      <c r="AO948" s="66"/>
    </row>
    <row r="949">
      <c r="A949" s="93"/>
      <c r="B949" s="85"/>
      <c r="C949" s="86"/>
      <c r="D949" s="93"/>
      <c r="E949" s="85"/>
      <c r="F949" s="85"/>
      <c r="G949" s="86"/>
      <c r="H949" s="102"/>
      <c r="I949" s="85"/>
      <c r="J949" s="85"/>
      <c r="K949" s="85"/>
      <c r="L949" s="86"/>
      <c r="M949" s="102"/>
      <c r="N949" s="85"/>
      <c r="O949" s="85"/>
      <c r="P949" s="85"/>
      <c r="Q949" s="86"/>
      <c r="R949" s="66"/>
      <c r="S949" s="66"/>
      <c r="T949" s="66"/>
      <c r="U949" s="66"/>
      <c r="V949" s="66"/>
      <c r="W949" s="66"/>
      <c r="X949" s="66"/>
      <c r="Y949" s="66"/>
      <c r="Z949" s="66"/>
      <c r="AA949" s="66"/>
      <c r="AB949" s="66"/>
      <c r="AC949" s="66"/>
      <c r="AD949" s="66"/>
      <c r="AE949" s="66"/>
      <c r="AF949" s="66"/>
      <c r="AG949" s="66"/>
      <c r="AH949" s="66"/>
      <c r="AI949" s="66"/>
      <c r="AJ949" s="66"/>
      <c r="AK949" s="66"/>
      <c r="AL949" s="66"/>
      <c r="AM949" s="66"/>
      <c r="AN949" s="66"/>
      <c r="AO949" s="66"/>
    </row>
    <row r="950">
      <c r="A950" s="93"/>
      <c r="B950" s="85"/>
      <c r="C950" s="86"/>
      <c r="D950" s="93"/>
      <c r="E950" s="85"/>
      <c r="F950" s="85"/>
      <c r="G950" s="86"/>
      <c r="H950" s="102"/>
      <c r="I950" s="85"/>
      <c r="J950" s="85"/>
      <c r="K950" s="85"/>
      <c r="L950" s="86"/>
      <c r="M950" s="102"/>
      <c r="N950" s="85"/>
      <c r="O950" s="85"/>
      <c r="P950" s="85"/>
      <c r="Q950" s="86"/>
      <c r="R950" s="66"/>
      <c r="S950" s="66"/>
      <c r="T950" s="66"/>
      <c r="U950" s="66"/>
      <c r="V950" s="66"/>
      <c r="W950" s="66"/>
      <c r="X950" s="66"/>
      <c r="Y950" s="66"/>
      <c r="Z950" s="66"/>
      <c r="AA950" s="66"/>
      <c r="AB950" s="66"/>
      <c r="AC950" s="66"/>
      <c r="AD950" s="66"/>
      <c r="AE950" s="66"/>
      <c r="AF950" s="66"/>
      <c r="AG950" s="66"/>
      <c r="AH950" s="66"/>
      <c r="AI950" s="66"/>
      <c r="AJ950" s="66"/>
      <c r="AK950" s="66"/>
      <c r="AL950" s="66"/>
      <c r="AM950" s="66"/>
      <c r="AN950" s="66"/>
      <c r="AO950" s="66"/>
    </row>
    <row r="951">
      <c r="A951" s="93"/>
      <c r="B951" s="85"/>
      <c r="C951" s="86"/>
      <c r="D951" s="93"/>
      <c r="E951" s="85"/>
      <c r="F951" s="85"/>
      <c r="G951" s="86"/>
      <c r="H951" s="102"/>
      <c r="I951" s="85"/>
      <c r="J951" s="85"/>
      <c r="K951" s="85"/>
      <c r="L951" s="86"/>
      <c r="M951" s="102"/>
      <c r="N951" s="85"/>
      <c r="O951" s="85"/>
      <c r="P951" s="85"/>
      <c r="Q951" s="86"/>
      <c r="R951" s="66"/>
      <c r="S951" s="66"/>
      <c r="T951" s="66"/>
      <c r="U951" s="66"/>
      <c r="V951" s="66"/>
      <c r="W951" s="66"/>
      <c r="X951" s="66"/>
      <c r="Y951" s="66"/>
      <c r="Z951" s="66"/>
      <c r="AA951" s="66"/>
      <c r="AB951" s="66"/>
      <c r="AC951" s="66"/>
      <c r="AD951" s="66"/>
      <c r="AE951" s="66"/>
      <c r="AF951" s="66"/>
      <c r="AG951" s="66"/>
      <c r="AH951" s="66"/>
      <c r="AI951" s="66"/>
      <c r="AJ951" s="66"/>
      <c r="AK951" s="66"/>
      <c r="AL951" s="66"/>
      <c r="AM951" s="66"/>
      <c r="AN951" s="66"/>
      <c r="AO951" s="66"/>
    </row>
    <row r="952">
      <c r="A952" s="93"/>
      <c r="B952" s="85"/>
      <c r="C952" s="86"/>
      <c r="D952" s="93"/>
      <c r="E952" s="85"/>
      <c r="F952" s="85"/>
      <c r="G952" s="86"/>
      <c r="H952" s="102"/>
      <c r="I952" s="85"/>
      <c r="J952" s="85"/>
      <c r="K952" s="85"/>
      <c r="L952" s="86"/>
      <c r="M952" s="102"/>
      <c r="N952" s="85"/>
      <c r="O952" s="85"/>
      <c r="P952" s="85"/>
      <c r="Q952" s="86"/>
      <c r="R952" s="66"/>
      <c r="S952" s="66"/>
      <c r="T952" s="66"/>
      <c r="U952" s="66"/>
      <c r="V952" s="66"/>
      <c r="W952" s="66"/>
      <c r="X952" s="66"/>
      <c r="Y952" s="66"/>
      <c r="Z952" s="66"/>
      <c r="AA952" s="66"/>
      <c r="AB952" s="66"/>
      <c r="AC952" s="66"/>
      <c r="AD952" s="66"/>
      <c r="AE952" s="66"/>
      <c r="AF952" s="66"/>
      <c r="AG952" s="66"/>
      <c r="AH952" s="66"/>
      <c r="AI952" s="66"/>
      <c r="AJ952" s="66"/>
      <c r="AK952" s="66"/>
      <c r="AL952" s="66"/>
      <c r="AM952" s="66"/>
      <c r="AN952" s="66"/>
      <c r="AO952" s="66"/>
    </row>
    <row r="953">
      <c r="A953" s="93"/>
      <c r="B953" s="85"/>
      <c r="C953" s="86"/>
      <c r="D953" s="93"/>
      <c r="E953" s="85"/>
      <c r="F953" s="85"/>
      <c r="G953" s="86"/>
      <c r="H953" s="102"/>
      <c r="I953" s="85"/>
      <c r="J953" s="85"/>
      <c r="K953" s="85"/>
      <c r="L953" s="86"/>
      <c r="M953" s="102"/>
      <c r="N953" s="85"/>
      <c r="O953" s="85"/>
      <c r="P953" s="85"/>
      <c r="Q953" s="86"/>
      <c r="R953" s="66"/>
      <c r="S953" s="66"/>
      <c r="T953" s="66"/>
      <c r="U953" s="66"/>
      <c r="V953" s="66"/>
      <c r="W953" s="66"/>
      <c r="X953" s="66"/>
      <c r="Y953" s="66"/>
      <c r="Z953" s="66"/>
      <c r="AA953" s="66"/>
      <c r="AB953" s="66"/>
      <c r="AC953" s="66"/>
      <c r="AD953" s="66"/>
      <c r="AE953" s="66"/>
      <c r="AF953" s="66"/>
      <c r="AG953" s="66"/>
      <c r="AH953" s="66"/>
      <c r="AI953" s="66"/>
      <c r="AJ953" s="66"/>
      <c r="AK953" s="66"/>
      <c r="AL953" s="66"/>
      <c r="AM953" s="66"/>
      <c r="AN953" s="66"/>
      <c r="AO953" s="66"/>
    </row>
    <row r="954">
      <c r="A954" s="93"/>
      <c r="B954" s="85"/>
      <c r="C954" s="86"/>
      <c r="D954" s="93"/>
      <c r="E954" s="85"/>
      <c r="F954" s="85"/>
      <c r="G954" s="86"/>
      <c r="H954" s="102"/>
      <c r="I954" s="85"/>
      <c r="J954" s="85"/>
      <c r="K954" s="85"/>
      <c r="L954" s="86"/>
      <c r="M954" s="102"/>
      <c r="N954" s="85"/>
      <c r="O954" s="85"/>
      <c r="P954" s="85"/>
      <c r="Q954" s="86"/>
      <c r="R954" s="66"/>
      <c r="S954" s="66"/>
      <c r="T954" s="66"/>
      <c r="U954" s="66"/>
      <c r="V954" s="66"/>
      <c r="W954" s="66"/>
      <c r="X954" s="66"/>
      <c r="Y954" s="66"/>
      <c r="Z954" s="66"/>
      <c r="AA954" s="66"/>
      <c r="AB954" s="66"/>
      <c r="AC954" s="66"/>
      <c r="AD954" s="66"/>
      <c r="AE954" s="66"/>
      <c r="AF954" s="66"/>
      <c r="AG954" s="66"/>
      <c r="AH954" s="66"/>
      <c r="AI954" s="66"/>
      <c r="AJ954" s="66"/>
      <c r="AK954" s="66"/>
      <c r="AL954" s="66"/>
      <c r="AM954" s="66"/>
      <c r="AN954" s="66"/>
      <c r="AO954" s="66"/>
    </row>
    <row r="955">
      <c r="A955" s="93"/>
      <c r="B955" s="85"/>
      <c r="C955" s="86"/>
      <c r="D955" s="93"/>
      <c r="E955" s="85"/>
      <c r="F955" s="85"/>
      <c r="G955" s="86"/>
      <c r="H955" s="102"/>
      <c r="I955" s="85"/>
      <c r="J955" s="85"/>
      <c r="K955" s="85"/>
      <c r="L955" s="86"/>
      <c r="M955" s="102"/>
      <c r="N955" s="85"/>
      <c r="O955" s="85"/>
      <c r="P955" s="85"/>
      <c r="Q955" s="86"/>
      <c r="R955" s="66"/>
      <c r="S955" s="66"/>
      <c r="T955" s="66"/>
      <c r="U955" s="66"/>
      <c r="V955" s="66"/>
      <c r="W955" s="66"/>
      <c r="X955" s="66"/>
      <c r="Y955" s="66"/>
      <c r="Z955" s="66"/>
      <c r="AA955" s="66"/>
      <c r="AB955" s="66"/>
      <c r="AC955" s="66"/>
      <c r="AD955" s="66"/>
      <c r="AE955" s="66"/>
      <c r="AF955" s="66"/>
      <c r="AG955" s="66"/>
      <c r="AH955" s="66"/>
      <c r="AI955" s="66"/>
      <c r="AJ955" s="66"/>
      <c r="AK955" s="66"/>
      <c r="AL955" s="66"/>
      <c r="AM955" s="66"/>
      <c r="AN955" s="66"/>
      <c r="AO955" s="66"/>
    </row>
    <row r="956">
      <c r="A956" s="93"/>
      <c r="B956" s="85"/>
      <c r="C956" s="86"/>
      <c r="D956" s="93"/>
      <c r="E956" s="85"/>
      <c r="F956" s="85"/>
      <c r="G956" s="86"/>
      <c r="H956" s="102"/>
      <c r="I956" s="85"/>
      <c r="J956" s="85"/>
      <c r="K956" s="85"/>
      <c r="L956" s="86"/>
      <c r="M956" s="102"/>
      <c r="N956" s="85"/>
      <c r="O956" s="85"/>
      <c r="P956" s="85"/>
      <c r="Q956" s="86"/>
      <c r="R956" s="66"/>
      <c r="S956" s="66"/>
      <c r="T956" s="66"/>
      <c r="U956" s="66"/>
      <c r="V956" s="66"/>
      <c r="W956" s="66"/>
      <c r="X956" s="66"/>
      <c r="Y956" s="66"/>
      <c r="Z956" s="66"/>
      <c r="AA956" s="66"/>
      <c r="AB956" s="66"/>
      <c r="AC956" s="66"/>
      <c r="AD956" s="66"/>
      <c r="AE956" s="66"/>
      <c r="AF956" s="66"/>
      <c r="AG956" s="66"/>
      <c r="AH956" s="66"/>
      <c r="AI956" s="66"/>
      <c r="AJ956" s="66"/>
      <c r="AK956" s="66"/>
      <c r="AL956" s="66"/>
      <c r="AM956" s="66"/>
      <c r="AN956" s="66"/>
      <c r="AO956" s="66"/>
    </row>
    <row r="957">
      <c r="A957" s="93"/>
      <c r="B957" s="85"/>
      <c r="C957" s="86"/>
      <c r="D957" s="93"/>
      <c r="E957" s="85"/>
      <c r="F957" s="85"/>
      <c r="G957" s="86"/>
      <c r="H957" s="102"/>
      <c r="I957" s="85"/>
      <c r="J957" s="85"/>
      <c r="K957" s="85"/>
      <c r="L957" s="86"/>
      <c r="M957" s="102"/>
      <c r="N957" s="85"/>
      <c r="O957" s="85"/>
      <c r="P957" s="85"/>
      <c r="Q957" s="86"/>
      <c r="R957" s="66"/>
      <c r="S957" s="66"/>
      <c r="T957" s="66"/>
      <c r="U957" s="66"/>
      <c r="V957" s="66"/>
      <c r="W957" s="66"/>
      <c r="X957" s="66"/>
      <c r="Y957" s="66"/>
      <c r="Z957" s="66"/>
      <c r="AA957" s="66"/>
      <c r="AB957" s="66"/>
      <c r="AC957" s="66"/>
      <c r="AD957" s="66"/>
      <c r="AE957" s="66"/>
      <c r="AF957" s="66"/>
      <c r="AG957" s="66"/>
      <c r="AH957" s="66"/>
      <c r="AI957" s="66"/>
      <c r="AJ957" s="66"/>
      <c r="AK957" s="66"/>
      <c r="AL957" s="66"/>
      <c r="AM957" s="66"/>
      <c r="AN957" s="66"/>
      <c r="AO957" s="66"/>
    </row>
    <row r="958">
      <c r="A958" s="93"/>
      <c r="B958" s="85"/>
      <c r="C958" s="86"/>
      <c r="D958" s="93"/>
      <c r="E958" s="85"/>
      <c r="F958" s="85"/>
      <c r="G958" s="86"/>
      <c r="H958" s="102"/>
      <c r="I958" s="85"/>
      <c r="J958" s="85"/>
      <c r="K958" s="85"/>
      <c r="L958" s="86"/>
      <c r="M958" s="102"/>
      <c r="N958" s="85"/>
      <c r="O958" s="85"/>
      <c r="P958" s="85"/>
      <c r="Q958" s="86"/>
      <c r="R958" s="66"/>
      <c r="S958" s="66"/>
      <c r="T958" s="66"/>
      <c r="U958" s="66"/>
      <c r="V958" s="66"/>
      <c r="W958" s="66"/>
      <c r="X958" s="66"/>
      <c r="Y958" s="66"/>
      <c r="Z958" s="66"/>
      <c r="AA958" s="66"/>
      <c r="AB958" s="66"/>
      <c r="AC958" s="66"/>
      <c r="AD958" s="66"/>
      <c r="AE958" s="66"/>
      <c r="AF958" s="66"/>
      <c r="AG958" s="66"/>
      <c r="AH958" s="66"/>
      <c r="AI958" s="66"/>
      <c r="AJ958" s="66"/>
      <c r="AK958" s="66"/>
      <c r="AL958" s="66"/>
      <c r="AM958" s="66"/>
      <c r="AN958" s="66"/>
      <c r="AO958" s="66"/>
    </row>
    <row r="959">
      <c r="A959" s="93"/>
      <c r="B959" s="85"/>
      <c r="C959" s="86"/>
      <c r="D959" s="93"/>
      <c r="E959" s="85"/>
      <c r="F959" s="85"/>
      <c r="G959" s="86"/>
      <c r="H959" s="102"/>
      <c r="I959" s="85"/>
      <c r="J959" s="85"/>
      <c r="K959" s="85"/>
      <c r="L959" s="86"/>
      <c r="M959" s="102"/>
      <c r="N959" s="85"/>
      <c r="O959" s="85"/>
      <c r="P959" s="85"/>
      <c r="Q959" s="86"/>
      <c r="R959" s="66"/>
      <c r="S959" s="66"/>
      <c r="T959" s="66"/>
      <c r="U959" s="66"/>
      <c r="V959" s="66"/>
      <c r="W959" s="66"/>
      <c r="X959" s="66"/>
      <c r="Y959" s="66"/>
      <c r="Z959" s="66"/>
      <c r="AA959" s="66"/>
      <c r="AB959" s="66"/>
      <c r="AC959" s="66"/>
      <c r="AD959" s="66"/>
      <c r="AE959" s="66"/>
      <c r="AF959" s="66"/>
      <c r="AG959" s="66"/>
      <c r="AH959" s="66"/>
      <c r="AI959" s="66"/>
      <c r="AJ959" s="66"/>
      <c r="AK959" s="66"/>
      <c r="AL959" s="66"/>
      <c r="AM959" s="66"/>
      <c r="AN959" s="66"/>
      <c r="AO959" s="66"/>
    </row>
    <row r="960">
      <c r="A960" s="93"/>
      <c r="B960" s="85"/>
      <c r="C960" s="86"/>
      <c r="D960" s="93"/>
      <c r="E960" s="85"/>
      <c r="F960" s="85"/>
      <c r="G960" s="86"/>
      <c r="H960" s="102"/>
      <c r="I960" s="85"/>
      <c r="J960" s="85"/>
      <c r="K960" s="85"/>
      <c r="L960" s="86"/>
      <c r="M960" s="102"/>
      <c r="N960" s="85"/>
      <c r="O960" s="85"/>
      <c r="P960" s="85"/>
      <c r="Q960" s="86"/>
      <c r="R960" s="66"/>
      <c r="S960" s="66"/>
      <c r="T960" s="66"/>
      <c r="U960" s="66"/>
      <c r="V960" s="66"/>
      <c r="W960" s="66"/>
      <c r="X960" s="66"/>
      <c r="Y960" s="66"/>
      <c r="Z960" s="66"/>
      <c r="AA960" s="66"/>
      <c r="AB960" s="66"/>
      <c r="AC960" s="66"/>
      <c r="AD960" s="66"/>
      <c r="AE960" s="66"/>
      <c r="AF960" s="66"/>
      <c r="AG960" s="66"/>
      <c r="AH960" s="66"/>
      <c r="AI960" s="66"/>
      <c r="AJ960" s="66"/>
      <c r="AK960" s="66"/>
      <c r="AL960" s="66"/>
      <c r="AM960" s="66"/>
      <c r="AN960" s="66"/>
      <c r="AO960" s="66"/>
    </row>
    <row r="961">
      <c r="A961" s="93"/>
      <c r="B961" s="85"/>
      <c r="C961" s="86"/>
      <c r="D961" s="93"/>
      <c r="E961" s="85"/>
      <c r="F961" s="85"/>
      <c r="G961" s="86"/>
      <c r="H961" s="102"/>
      <c r="I961" s="85"/>
      <c r="J961" s="85"/>
      <c r="K961" s="85"/>
      <c r="L961" s="86"/>
      <c r="M961" s="102"/>
      <c r="N961" s="85"/>
      <c r="O961" s="85"/>
      <c r="P961" s="85"/>
      <c r="Q961" s="86"/>
      <c r="R961" s="66"/>
      <c r="S961" s="66"/>
      <c r="T961" s="66"/>
      <c r="U961" s="66"/>
      <c r="V961" s="66"/>
      <c r="W961" s="66"/>
      <c r="X961" s="66"/>
      <c r="Y961" s="66"/>
      <c r="Z961" s="66"/>
      <c r="AA961" s="66"/>
      <c r="AB961" s="66"/>
      <c r="AC961" s="66"/>
      <c r="AD961" s="66"/>
      <c r="AE961" s="66"/>
      <c r="AF961" s="66"/>
      <c r="AG961" s="66"/>
      <c r="AH961" s="66"/>
      <c r="AI961" s="66"/>
      <c r="AJ961" s="66"/>
      <c r="AK961" s="66"/>
      <c r="AL961" s="66"/>
      <c r="AM961" s="66"/>
      <c r="AN961" s="66"/>
      <c r="AO961" s="66"/>
    </row>
    <row r="962">
      <c r="A962" s="93"/>
      <c r="B962" s="85"/>
      <c r="C962" s="86"/>
      <c r="D962" s="93"/>
      <c r="E962" s="85"/>
      <c r="F962" s="85"/>
      <c r="G962" s="86"/>
      <c r="H962" s="102"/>
      <c r="I962" s="85"/>
      <c r="J962" s="85"/>
      <c r="K962" s="85"/>
      <c r="L962" s="86"/>
      <c r="M962" s="102"/>
      <c r="N962" s="85"/>
      <c r="O962" s="85"/>
      <c r="P962" s="85"/>
      <c r="Q962" s="86"/>
      <c r="R962" s="66"/>
      <c r="S962" s="66"/>
      <c r="T962" s="66"/>
      <c r="U962" s="66"/>
      <c r="V962" s="66"/>
      <c r="W962" s="66"/>
      <c r="X962" s="66"/>
      <c r="Y962" s="66"/>
      <c r="Z962" s="66"/>
      <c r="AA962" s="66"/>
      <c r="AB962" s="66"/>
      <c r="AC962" s="66"/>
      <c r="AD962" s="66"/>
      <c r="AE962" s="66"/>
      <c r="AF962" s="66"/>
      <c r="AG962" s="66"/>
      <c r="AH962" s="66"/>
      <c r="AI962" s="66"/>
      <c r="AJ962" s="66"/>
      <c r="AK962" s="66"/>
      <c r="AL962" s="66"/>
      <c r="AM962" s="66"/>
      <c r="AN962" s="66"/>
      <c r="AO962" s="66"/>
    </row>
    <row r="963">
      <c r="A963" s="93"/>
      <c r="B963" s="85"/>
      <c r="C963" s="86"/>
      <c r="D963" s="93"/>
      <c r="E963" s="85"/>
      <c r="F963" s="85"/>
      <c r="G963" s="86"/>
      <c r="H963" s="102"/>
      <c r="I963" s="85"/>
      <c r="J963" s="85"/>
      <c r="K963" s="85"/>
      <c r="L963" s="86"/>
      <c r="M963" s="102"/>
      <c r="N963" s="85"/>
      <c r="O963" s="85"/>
      <c r="P963" s="85"/>
      <c r="Q963" s="86"/>
      <c r="R963" s="66"/>
      <c r="S963" s="66"/>
      <c r="T963" s="66"/>
      <c r="U963" s="66"/>
      <c r="V963" s="66"/>
      <c r="W963" s="66"/>
      <c r="X963" s="66"/>
      <c r="Y963" s="66"/>
      <c r="Z963" s="66"/>
      <c r="AA963" s="66"/>
      <c r="AB963" s="66"/>
      <c r="AC963" s="66"/>
      <c r="AD963" s="66"/>
      <c r="AE963" s="66"/>
      <c r="AF963" s="66"/>
      <c r="AG963" s="66"/>
      <c r="AH963" s="66"/>
      <c r="AI963" s="66"/>
      <c r="AJ963" s="66"/>
      <c r="AK963" s="66"/>
      <c r="AL963" s="66"/>
      <c r="AM963" s="66"/>
      <c r="AN963" s="66"/>
      <c r="AO963" s="66"/>
    </row>
    <row r="964">
      <c r="A964" s="93"/>
      <c r="B964" s="85"/>
      <c r="C964" s="86"/>
      <c r="D964" s="93"/>
      <c r="E964" s="85"/>
      <c r="F964" s="85"/>
      <c r="G964" s="86"/>
      <c r="H964" s="102"/>
      <c r="I964" s="85"/>
      <c r="J964" s="85"/>
      <c r="K964" s="85"/>
      <c r="L964" s="86"/>
      <c r="M964" s="102"/>
      <c r="N964" s="85"/>
      <c r="O964" s="85"/>
      <c r="P964" s="85"/>
      <c r="Q964" s="86"/>
      <c r="R964" s="66"/>
      <c r="S964" s="66"/>
      <c r="T964" s="66"/>
      <c r="U964" s="66"/>
      <c r="V964" s="66"/>
      <c r="W964" s="66"/>
      <c r="X964" s="66"/>
      <c r="Y964" s="66"/>
      <c r="Z964" s="66"/>
      <c r="AA964" s="66"/>
      <c r="AB964" s="66"/>
      <c r="AC964" s="66"/>
      <c r="AD964" s="66"/>
      <c r="AE964" s="66"/>
      <c r="AF964" s="66"/>
      <c r="AG964" s="66"/>
      <c r="AH964" s="66"/>
      <c r="AI964" s="66"/>
      <c r="AJ964" s="66"/>
      <c r="AK964" s="66"/>
      <c r="AL964" s="66"/>
      <c r="AM964" s="66"/>
      <c r="AN964" s="66"/>
      <c r="AO964" s="66"/>
    </row>
    <row r="965">
      <c r="A965" s="93"/>
      <c r="B965" s="85"/>
      <c r="C965" s="86"/>
      <c r="D965" s="93"/>
      <c r="E965" s="85"/>
      <c r="F965" s="85"/>
      <c r="G965" s="86"/>
      <c r="H965" s="102"/>
      <c r="I965" s="85"/>
      <c r="J965" s="85"/>
      <c r="K965" s="85"/>
      <c r="L965" s="86"/>
      <c r="M965" s="102"/>
      <c r="N965" s="85"/>
      <c r="O965" s="85"/>
      <c r="P965" s="85"/>
      <c r="Q965" s="86"/>
      <c r="R965" s="66"/>
      <c r="S965" s="66"/>
      <c r="T965" s="66"/>
      <c r="U965" s="66"/>
      <c r="V965" s="66"/>
      <c r="W965" s="66"/>
      <c r="X965" s="66"/>
      <c r="Y965" s="66"/>
      <c r="Z965" s="66"/>
      <c r="AA965" s="66"/>
      <c r="AB965" s="66"/>
      <c r="AC965" s="66"/>
      <c r="AD965" s="66"/>
      <c r="AE965" s="66"/>
      <c r="AF965" s="66"/>
      <c r="AG965" s="66"/>
      <c r="AH965" s="66"/>
      <c r="AI965" s="66"/>
      <c r="AJ965" s="66"/>
      <c r="AK965" s="66"/>
      <c r="AL965" s="66"/>
      <c r="AM965" s="66"/>
      <c r="AN965" s="66"/>
      <c r="AO965" s="66"/>
    </row>
    <row r="966">
      <c r="A966" s="93"/>
      <c r="B966" s="85"/>
      <c r="C966" s="86"/>
      <c r="D966" s="93"/>
      <c r="E966" s="85"/>
      <c r="F966" s="85"/>
      <c r="G966" s="86"/>
      <c r="H966" s="102"/>
      <c r="I966" s="85"/>
      <c r="J966" s="85"/>
      <c r="K966" s="85"/>
      <c r="L966" s="86"/>
      <c r="M966" s="102"/>
      <c r="N966" s="85"/>
      <c r="O966" s="85"/>
      <c r="P966" s="85"/>
      <c r="Q966" s="86"/>
      <c r="R966" s="66"/>
      <c r="S966" s="66"/>
      <c r="T966" s="66"/>
      <c r="U966" s="66"/>
      <c r="V966" s="66"/>
      <c r="W966" s="66"/>
      <c r="X966" s="66"/>
      <c r="Y966" s="66"/>
      <c r="Z966" s="66"/>
      <c r="AA966" s="66"/>
      <c r="AB966" s="66"/>
      <c r="AC966" s="66"/>
      <c r="AD966" s="66"/>
      <c r="AE966" s="66"/>
      <c r="AF966" s="66"/>
      <c r="AG966" s="66"/>
      <c r="AH966" s="66"/>
      <c r="AI966" s="66"/>
      <c r="AJ966" s="66"/>
      <c r="AK966" s="66"/>
      <c r="AL966" s="66"/>
      <c r="AM966" s="66"/>
      <c r="AN966" s="66"/>
      <c r="AO966" s="66"/>
    </row>
    <row r="967">
      <c r="A967" s="93"/>
      <c r="B967" s="85"/>
      <c r="C967" s="86"/>
      <c r="D967" s="93"/>
      <c r="E967" s="85"/>
      <c r="F967" s="85"/>
      <c r="G967" s="86"/>
      <c r="H967" s="102"/>
      <c r="I967" s="85"/>
      <c r="J967" s="85"/>
      <c r="K967" s="85"/>
      <c r="L967" s="86"/>
      <c r="M967" s="102"/>
      <c r="N967" s="85"/>
      <c r="O967" s="85"/>
      <c r="P967" s="85"/>
      <c r="Q967" s="86"/>
      <c r="R967" s="66"/>
      <c r="S967" s="66"/>
      <c r="T967" s="66"/>
      <c r="U967" s="66"/>
      <c r="V967" s="66"/>
      <c r="W967" s="66"/>
      <c r="X967" s="66"/>
      <c r="Y967" s="66"/>
      <c r="Z967" s="66"/>
      <c r="AA967" s="66"/>
      <c r="AB967" s="66"/>
      <c r="AC967" s="66"/>
      <c r="AD967" s="66"/>
      <c r="AE967" s="66"/>
      <c r="AF967" s="66"/>
      <c r="AG967" s="66"/>
      <c r="AH967" s="66"/>
      <c r="AI967" s="66"/>
      <c r="AJ967" s="66"/>
      <c r="AK967" s="66"/>
      <c r="AL967" s="66"/>
      <c r="AM967" s="66"/>
      <c r="AN967" s="66"/>
      <c r="AO967" s="66"/>
    </row>
    <row r="968">
      <c r="A968" s="93"/>
      <c r="B968" s="85"/>
      <c r="C968" s="86"/>
      <c r="D968" s="93"/>
      <c r="E968" s="85"/>
      <c r="F968" s="85"/>
      <c r="G968" s="86"/>
      <c r="H968" s="102"/>
      <c r="I968" s="85"/>
      <c r="J968" s="85"/>
      <c r="K968" s="85"/>
      <c r="L968" s="86"/>
      <c r="M968" s="102"/>
      <c r="N968" s="85"/>
      <c r="O968" s="85"/>
      <c r="P968" s="85"/>
      <c r="Q968" s="86"/>
      <c r="R968" s="66"/>
      <c r="S968" s="66"/>
      <c r="T968" s="66"/>
      <c r="U968" s="66"/>
      <c r="V968" s="66"/>
      <c r="W968" s="66"/>
      <c r="X968" s="66"/>
      <c r="Y968" s="66"/>
      <c r="Z968" s="66"/>
      <c r="AA968" s="66"/>
      <c r="AB968" s="66"/>
      <c r="AC968" s="66"/>
      <c r="AD968" s="66"/>
      <c r="AE968" s="66"/>
      <c r="AF968" s="66"/>
      <c r="AG968" s="66"/>
      <c r="AH968" s="66"/>
      <c r="AI968" s="66"/>
      <c r="AJ968" s="66"/>
      <c r="AK968" s="66"/>
      <c r="AL968" s="66"/>
      <c r="AM968" s="66"/>
      <c r="AN968" s="66"/>
      <c r="AO968" s="66"/>
    </row>
    <row r="969">
      <c r="A969" s="93"/>
      <c r="B969" s="85"/>
      <c r="C969" s="86"/>
      <c r="D969" s="93"/>
      <c r="E969" s="85"/>
      <c r="F969" s="85"/>
      <c r="G969" s="86"/>
      <c r="H969" s="102"/>
      <c r="I969" s="85"/>
      <c r="J969" s="85"/>
      <c r="K969" s="85"/>
      <c r="L969" s="86"/>
      <c r="M969" s="102"/>
      <c r="N969" s="85"/>
      <c r="O969" s="85"/>
      <c r="P969" s="85"/>
      <c r="Q969" s="86"/>
      <c r="R969" s="66"/>
      <c r="S969" s="66"/>
      <c r="T969" s="66"/>
      <c r="U969" s="66"/>
      <c r="V969" s="66"/>
      <c r="W969" s="66"/>
      <c r="X969" s="66"/>
      <c r="Y969" s="66"/>
      <c r="Z969" s="66"/>
      <c r="AA969" s="66"/>
      <c r="AB969" s="66"/>
      <c r="AC969" s="66"/>
      <c r="AD969" s="66"/>
      <c r="AE969" s="66"/>
      <c r="AF969" s="66"/>
      <c r="AG969" s="66"/>
      <c r="AH969" s="66"/>
      <c r="AI969" s="66"/>
      <c r="AJ969" s="66"/>
      <c r="AK969" s="66"/>
      <c r="AL969" s="66"/>
      <c r="AM969" s="66"/>
      <c r="AN969" s="66"/>
      <c r="AO969" s="66"/>
    </row>
    <row r="970">
      <c r="A970" s="93"/>
      <c r="B970" s="85"/>
      <c r="C970" s="86"/>
      <c r="D970" s="93"/>
      <c r="E970" s="85"/>
      <c r="F970" s="85"/>
      <c r="G970" s="86"/>
      <c r="H970" s="102"/>
      <c r="I970" s="85"/>
      <c r="J970" s="85"/>
      <c r="K970" s="85"/>
      <c r="L970" s="86"/>
      <c r="M970" s="102"/>
      <c r="N970" s="85"/>
      <c r="O970" s="85"/>
      <c r="P970" s="85"/>
      <c r="Q970" s="86"/>
      <c r="R970" s="66"/>
      <c r="S970" s="66"/>
      <c r="T970" s="66"/>
      <c r="U970" s="66"/>
      <c r="V970" s="66"/>
      <c r="W970" s="66"/>
      <c r="X970" s="66"/>
      <c r="Y970" s="66"/>
      <c r="Z970" s="66"/>
      <c r="AA970" s="66"/>
      <c r="AB970" s="66"/>
      <c r="AC970" s="66"/>
      <c r="AD970" s="66"/>
      <c r="AE970" s="66"/>
      <c r="AF970" s="66"/>
      <c r="AG970" s="66"/>
      <c r="AH970" s="66"/>
      <c r="AI970" s="66"/>
      <c r="AJ970" s="66"/>
      <c r="AK970" s="66"/>
      <c r="AL970" s="66"/>
      <c r="AM970" s="66"/>
      <c r="AN970" s="66"/>
      <c r="AO970" s="66"/>
    </row>
    <row r="971">
      <c r="A971" s="93"/>
      <c r="B971" s="85"/>
      <c r="C971" s="86"/>
      <c r="D971" s="93"/>
      <c r="E971" s="85"/>
      <c r="F971" s="85"/>
      <c r="G971" s="86"/>
      <c r="H971" s="102"/>
      <c r="I971" s="85"/>
      <c r="J971" s="85"/>
      <c r="K971" s="85"/>
      <c r="L971" s="86"/>
      <c r="M971" s="102"/>
      <c r="N971" s="85"/>
      <c r="O971" s="85"/>
      <c r="P971" s="85"/>
      <c r="Q971" s="86"/>
      <c r="R971" s="66"/>
      <c r="S971" s="66"/>
      <c r="T971" s="66"/>
      <c r="U971" s="66"/>
      <c r="V971" s="66"/>
      <c r="W971" s="66"/>
      <c r="X971" s="66"/>
      <c r="Y971" s="66"/>
      <c r="Z971" s="66"/>
      <c r="AA971" s="66"/>
      <c r="AB971" s="66"/>
      <c r="AC971" s="66"/>
      <c r="AD971" s="66"/>
      <c r="AE971" s="66"/>
      <c r="AF971" s="66"/>
      <c r="AG971" s="66"/>
      <c r="AH971" s="66"/>
      <c r="AI971" s="66"/>
      <c r="AJ971" s="66"/>
      <c r="AK971" s="66"/>
      <c r="AL971" s="66"/>
      <c r="AM971" s="66"/>
      <c r="AN971" s="66"/>
      <c r="AO971" s="66"/>
    </row>
    <row r="972">
      <c r="A972" s="93"/>
      <c r="B972" s="85"/>
      <c r="C972" s="86"/>
      <c r="D972" s="93"/>
      <c r="E972" s="85"/>
      <c r="F972" s="85"/>
      <c r="G972" s="86"/>
      <c r="H972" s="102"/>
      <c r="I972" s="85"/>
      <c r="J972" s="85"/>
      <c r="K972" s="85"/>
      <c r="L972" s="86"/>
      <c r="M972" s="102"/>
      <c r="N972" s="85"/>
      <c r="O972" s="85"/>
      <c r="P972" s="85"/>
      <c r="Q972" s="86"/>
      <c r="R972" s="66"/>
      <c r="S972" s="66"/>
      <c r="T972" s="66"/>
      <c r="U972" s="66"/>
      <c r="V972" s="66"/>
      <c r="W972" s="66"/>
      <c r="X972" s="66"/>
      <c r="Y972" s="66"/>
      <c r="Z972" s="66"/>
      <c r="AA972" s="66"/>
      <c r="AB972" s="66"/>
      <c r="AC972" s="66"/>
      <c r="AD972" s="66"/>
      <c r="AE972" s="66"/>
      <c r="AF972" s="66"/>
      <c r="AG972" s="66"/>
      <c r="AH972" s="66"/>
      <c r="AI972" s="66"/>
      <c r="AJ972" s="66"/>
      <c r="AK972" s="66"/>
      <c r="AL972" s="66"/>
      <c r="AM972" s="66"/>
      <c r="AN972" s="66"/>
      <c r="AO972" s="66"/>
    </row>
    <row r="973">
      <c r="A973" s="93"/>
      <c r="B973" s="85"/>
      <c r="C973" s="86"/>
      <c r="D973" s="93"/>
      <c r="E973" s="85"/>
      <c r="F973" s="85"/>
      <c r="G973" s="86"/>
      <c r="H973" s="102"/>
      <c r="I973" s="85"/>
      <c r="J973" s="85"/>
      <c r="K973" s="85"/>
      <c r="L973" s="86"/>
      <c r="M973" s="102"/>
      <c r="N973" s="85"/>
      <c r="O973" s="85"/>
      <c r="P973" s="85"/>
      <c r="Q973" s="86"/>
      <c r="R973" s="66"/>
      <c r="S973" s="66"/>
      <c r="T973" s="66"/>
      <c r="U973" s="66"/>
      <c r="V973" s="66"/>
      <c r="W973" s="66"/>
      <c r="X973" s="66"/>
      <c r="Y973" s="66"/>
      <c r="Z973" s="66"/>
      <c r="AA973" s="66"/>
      <c r="AB973" s="66"/>
      <c r="AC973" s="66"/>
      <c r="AD973" s="66"/>
      <c r="AE973" s="66"/>
      <c r="AF973" s="66"/>
      <c r="AG973" s="66"/>
      <c r="AH973" s="66"/>
      <c r="AI973" s="66"/>
      <c r="AJ973" s="66"/>
      <c r="AK973" s="66"/>
      <c r="AL973" s="66"/>
      <c r="AM973" s="66"/>
      <c r="AN973" s="66"/>
      <c r="AO973" s="66"/>
    </row>
    <row r="974">
      <c r="A974" s="93"/>
      <c r="B974" s="85"/>
      <c r="C974" s="86"/>
      <c r="D974" s="93"/>
      <c r="E974" s="85"/>
      <c r="F974" s="85"/>
      <c r="G974" s="86"/>
      <c r="H974" s="102"/>
      <c r="I974" s="85"/>
      <c r="J974" s="85"/>
      <c r="K974" s="85"/>
      <c r="L974" s="86"/>
      <c r="M974" s="102"/>
      <c r="N974" s="85"/>
      <c r="O974" s="85"/>
      <c r="P974" s="85"/>
      <c r="Q974" s="86"/>
      <c r="R974" s="66"/>
      <c r="S974" s="66"/>
      <c r="T974" s="66"/>
      <c r="U974" s="66"/>
      <c r="V974" s="66"/>
      <c r="W974" s="66"/>
      <c r="X974" s="66"/>
      <c r="Y974" s="66"/>
      <c r="Z974" s="66"/>
      <c r="AA974" s="66"/>
      <c r="AB974" s="66"/>
      <c r="AC974" s="66"/>
      <c r="AD974" s="66"/>
      <c r="AE974" s="66"/>
      <c r="AF974" s="66"/>
      <c r="AG974" s="66"/>
      <c r="AH974" s="66"/>
      <c r="AI974" s="66"/>
      <c r="AJ974" s="66"/>
      <c r="AK974" s="66"/>
      <c r="AL974" s="66"/>
      <c r="AM974" s="66"/>
      <c r="AN974" s="66"/>
      <c r="AO974" s="66"/>
    </row>
    <row r="975">
      <c r="A975" s="93"/>
      <c r="B975" s="85"/>
      <c r="C975" s="86"/>
      <c r="D975" s="93"/>
      <c r="E975" s="85"/>
      <c r="F975" s="85"/>
      <c r="G975" s="86"/>
      <c r="H975" s="102"/>
      <c r="I975" s="85"/>
      <c r="J975" s="85"/>
      <c r="K975" s="85"/>
      <c r="L975" s="86"/>
      <c r="M975" s="102"/>
      <c r="N975" s="85"/>
      <c r="O975" s="85"/>
      <c r="P975" s="85"/>
      <c r="Q975" s="86"/>
      <c r="R975" s="66"/>
      <c r="S975" s="66"/>
      <c r="T975" s="66"/>
      <c r="U975" s="66"/>
      <c r="V975" s="66"/>
      <c r="W975" s="66"/>
      <c r="X975" s="66"/>
      <c r="Y975" s="66"/>
      <c r="Z975" s="66"/>
      <c r="AA975" s="66"/>
      <c r="AB975" s="66"/>
      <c r="AC975" s="66"/>
      <c r="AD975" s="66"/>
      <c r="AE975" s="66"/>
      <c r="AF975" s="66"/>
      <c r="AG975" s="66"/>
      <c r="AH975" s="66"/>
      <c r="AI975" s="66"/>
      <c r="AJ975" s="66"/>
      <c r="AK975" s="66"/>
      <c r="AL975" s="66"/>
      <c r="AM975" s="66"/>
      <c r="AN975" s="66"/>
      <c r="AO975" s="66"/>
    </row>
    <row r="976">
      <c r="A976" s="93"/>
      <c r="B976" s="85"/>
      <c r="C976" s="86"/>
      <c r="D976" s="93"/>
      <c r="E976" s="85"/>
      <c r="F976" s="85"/>
      <c r="G976" s="86"/>
      <c r="H976" s="102"/>
      <c r="I976" s="85"/>
      <c r="J976" s="85"/>
      <c r="K976" s="85"/>
      <c r="L976" s="86"/>
      <c r="M976" s="102"/>
      <c r="N976" s="85"/>
      <c r="O976" s="85"/>
      <c r="P976" s="85"/>
      <c r="Q976" s="86"/>
      <c r="R976" s="66"/>
      <c r="S976" s="66"/>
      <c r="T976" s="66"/>
      <c r="U976" s="66"/>
      <c r="V976" s="66"/>
      <c r="W976" s="66"/>
      <c r="X976" s="66"/>
      <c r="Y976" s="66"/>
      <c r="Z976" s="66"/>
      <c r="AA976" s="66"/>
      <c r="AB976" s="66"/>
      <c r="AC976" s="66"/>
      <c r="AD976" s="66"/>
      <c r="AE976" s="66"/>
      <c r="AF976" s="66"/>
      <c r="AG976" s="66"/>
      <c r="AH976" s="66"/>
      <c r="AI976" s="66"/>
      <c r="AJ976" s="66"/>
      <c r="AK976" s="66"/>
      <c r="AL976" s="66"/>
      <c r="AM976" s="66"/>
      <c r="AN976" s="66"/>
      <c r="AO976" s="66"/>
    </row>
    <row r="977">
      <c r="A977" s="93"/>
      <c r="B977" s="85"/>
      <c r="C977" s="86"/>
      <c r="D977" s="93"/>
      <c r="E977" s="85"/>
      <c r="F977" s="85"/>
      <c r="G977" s="86"/>
      <c r="H977" s="102"/>
      <c r="I977" s="85"/>
      <c r="J977" s="85"/>
      <c r="K977" s="85"/>
      <c r="L977" s="86"/>
      <c r="M977" s="102"/>
      <c r="N977" s="85"/>
      <c r="O977" s="85"/>
      <c r="P977" s="85"/>
      <c r="Q977" s="86"/>
      <c r="R977" s="66"/>
      <c r="S977" s="66"/>
      <c r="T977" s="66"/>
      <c r="U977" s="66"/>
      <c r="V977" s="66"/>
      <c r="W977" s="66"/>
      <c r="X977" s="66"/>
      <c r="Y977" s="66"/>
      <c r="Z977" s="66"/>
      <c r="AA977" s="66"/>
      <c r="AB977" s="66"/>
      <c r="AC977" s="66"/>
      <c r="AD977" s="66"/>
      <c r="AE977" s="66"/>
      <c r="AF977" s="66"/>
      <c r="AG977" s="66"/>
      <c r="AH977" s="66"/>
      <c r="AI977" s="66"/>
      <c r="AJ977" s="66"/>
      <c r="AK977" s="66"/>
      <c r="AL977" s="66"/>
      <c r="AM977" s="66"/>
      <c r="AN977" s="66"/>
      <c r="AO977" s="66"/>
    </row>
    <row r="978">
      <c r="A978" s="93"/>
      <c r="B978" s="85"/>
      <c r="C978" s="86"/>
      <c r="D978" s="93"/>
      <c r="E978" s="85"/>
      <c r="F978" s="85"/>
      <c r="G978" s="86"/>
      <c r="H978" s="102"/>
      <c r="I978" s="85"/>
      <c r="J978" s="85"/>
      <c r="K978" s="85"/>
      <c r="L978" s="86"/>
      <c r="M978" s="102"/>
      <c r="N978" s="85"/>
      <c r="O978" s="85"/>
      <c r="P978" s="85"/>
      <c r="Q978" s="86"/>
      <c r="R978" s="66"/>
      <c r="S978" s="66"/>
      <c r="T978" s="66"/>
      <c r="U978" s="66"/>
      <c r="V978" s="66"/>
      <c r="W978" s="66"/>
      <c r="X978" s="66"/>
      <c r="Y978" s="66"/>
      <c r="Z978" s="66"/>
      <c r="AA978" s="66"/>
      <c r="AB978" s="66"/>
      <c r="AC978" s="66"/>
      <c r="AD978" s="66"/>
      <c r="AE978" s="66"/>
      <c r="AF978" s="66"/>
      <c r="AG978" s="66"/>
      <c r="AH978" s="66"/>
      <c r="AI978" s="66"/>
      <c r="AJ978" s="66"/>
      <c r="AK978" s="66"/>
      <c r="AL978" s="66"/>
      <c r="AM978" s="66"/>
      <c r="AN978" s="66"/>
      <c r="AO978" s="66"/>
    </row>
    <row r="979">
      <c r="A979" s="93"/>
      <c r="B979" s="85"/>
      <c r="C979" s="86"/>
      <c r="D979" s="93"/>
      <c r="E979" s="85"/>
      <c r="F979" s="85"/>
      <c r="G979" s="86"/>
      <c r="H979" s="102"/>
      <c r="I979" s="85"/>
      <c r="J979" s="85"/>
      <c r="K979" s="85"/>
      <c r="L979" s="86"/>
      <c r="M979" s="102"/>
      <c r="N979" s="85"/>
      <c r="O979" s="85"/>
      <c r="P979" s="85"/>
      <c r="Q979" s="86"/>
      <c r="R979" s="66"/>
      <c r="S979" s="66"/>
      <c r="T979" s="66"/>
      <c r="U979" s="66"/>
      <c r="V979" s="66"/>
      <c r="W979" s="66"/>
      <c r="X979" s="66"/>
      <c r="Y979" s="66"/>
      <c r="Z979" s="66"/>
      <c r="AA979" s="66"/>
      <c r="AB979" s="66"/>
      <c r="AC979" s="66"/>
      <c r="AD979" s="66"/>
      <c r="AE979" s="66"/>
      <c r="AF979" s="66"/>
      <c r="AG979" s="66"/>
      <c r="AH979" s="66"/>
      <c r="AI979" s="66"/>
      <c r="AJ979" s="66"/>
      <c r="AK979" s="66"/>
      <c r="AL979" s="66"/>
      <c r="AM979" s="66"/>
      <c r="AN979" s="66"/>
      <c r="AO979" s="66"/>
    </row>
    <row r="980">
      <c r="A980" s="93"/>
      <c r="B980" s="85"/>
      <c r="C980" s="86"/>
      <c r="D980" s="93"/>
      <c r="E980" s="85"/>
      <c r="F980" s="85"/>
      <c r="G980" s="86"/>
      <c r="H980" s="102"/>
      <c r="I980" s="85"/>
      <c r="J980" s="85"/>
      <c r="K980" s="85"/>
      <c r="L980" s="86"/>
      <c r="M980" s="102"/>
      <c r="N980" s="85"/>
      <c r="O980" s="85"/>
      <c r="P980" s="85"/>
      <c r="Q980" s="86"/>
      <c r="R980" s="66"/>
      <c r="S980" s="66"/>
      <c r="T980" s="66"/>
      <c r="U980" s="66"/>
      <c r="V980" s="66"/>
      <c r="W980" s="66"/>
      <c r="X980" s="66"/>
      <c r="Y980" s="66"/>
      <c r="Z980" s="66"/>
      <c r="AA980" s="66"/>
      <c r="AB980" s="66"/>
      <c r="AC980" s="66"/>
      <c r="AD980" s="66"/>
      <c r="AE980" s="66"/>
      <c r="AF980" s="66"/>
      <c r="AG980" s="66"/>
      <c r="AH980" s="66"/>
      <c r="AI980" s="66"/>
      <c r="AJ980" s="66"/>
      <c r="AK980" s="66"/>
      <c r="AL980" s="66"/>
      <c r="AM980" s="66"/>
      <c r="AN980" s="66"/>
      <c r="AO980" s="66"/>
    </row>
    <row r="981">
      <c r="A981" s="93"/>
      <c r="B981" s="85"/>
      <c r="C981" s="86"/>
      <c r="D981" s="93"/>
      <c r="E981" s="85"/>
      <c r="F981" s="85"/>
      <c r="G981" s="86"/>
      <c r="H981" s="102"/>
      <c r="I981" s="85"/>
      <c r="J981" s="85"/>
      <c r="K981" s="85"/>
      <c r="L981" s="86"/>
      <c r="M981" s="102"/>
      <c r="N981" s="85"/>
      <c r="O981" s="85"/>
      <c r="P981" s="85"/>
      <c r="Q981" s="86"/>
      <c r="R981" s="66"/>
      <c r="S981" s="66"/>
      <c r="T981" s="66"/>
      <c r="U981" s="66"/>
      <c r="V981" s="66"/>
      <c r="W981" s="66"/>
      <c r="X981" s="66"/>
      <c r="Y981" s="66"/>
      <c r="Z981" s="66"/>
      <c r="AA981" s="66"/>
      <c r="AB981" s="66"/>
      <c r="AC981" s="66"/>
      <c r="AD981" s="66"/>
      <c r="AE981" s="66"/>
      <c r="AF981" s="66"/>
      <c r="AG981" s="66"/>
      <c r="AH981" s="66"/>
      <c r="AI981" s="66"/>
      <c r="AJ981" s="66"/>
      <c r="AK981" s="66"/>
      <c r="AL981" s="66"/>
      <c r="AM981" s="66"/>
      <c r="AN981" s="66"/>
      <c r="AO981" s="66"/>
    </row>
    <row r="982">
      <c r="A982" s="93"/>
      <c r="B982" s="85"/>
      <c r="C982" s="86"/>
      <c r="D982" s="93"/>
      <c r="E982" s="85"/>
      <c r="F982" s="85"/>
      <c r="G982" s="86"/>
      <c r="H982" s="102"/>
      <c r="I982" s="85"/>
      <c r="J982" s="85"/>
      <c r="K982" s="85"/>
      <c r="L982" s="86"/>
      <c r="M982" s="102"/>
      <c r="N982" s="85"/>
      <c r="O982" s="85"/>
      <c r="P982" s="85"/>
      <c r="Q982" s="86"/>
      <c r="R982" s="66"/>
      <c r="S982" s="66"/>
      <c r="T982" s="66"/>
      <c r="U982" s="66"/>
      <c r="V982" s="66"/>
      <c r="W982" s="66"/>
      <c r="X982" s="66"/>
      <c r="Y982" s="66"/>
      <c r="Z982" s="66"/>
      <c r="AA982" s="66"/>
      <c r="AB982" s="66"/>
      <c r="AC982" s="66"/>
      <c r="AD982" s="66"/>
      <c r="AE982" s="66"/>
      <c r="AF982" s="66"/>
      <c r="AG982" s="66"/>
      <c r="AH982" s="66"/>
      <c r="AI982" s="66"/>
      <c r="AJ982" s="66"/>
      <c r="AK982" s="66"/>
      <c r="AL982" s="66"/>
      <c r="AM982" s="66"/>
      <c r="AN982" s="66"/>
      <c r="AO982" s="66"/>
    </row>
    <row r="983">
      <c r="A983" s="93"/>
      <c r="B983" s="85"/>
      <c r="C983" s="86"/>
      <c r="D983" s="93"/>
      <c r="E983" s="85"/>
      <c r="F983" s="85"/>
      <c r="G983" s="86"/>
      <c r="H983" s="102"/>
      <c r="I983" s="85"/>
      <c r="J983" s="85"/>
      <c r="K983" s="85"/>
      <c r="L983" s="86"/>
      <c r="M983" s="102"/>
      <c r="N983" s="85"/>
      <c r="O983" s="85"/>
      <c r="P983" s="85"/>
      <c r="Q983" s="86"/>
      <c r="R983" s="66"/>
      <c r="S983" s="66"/>
      <c r="T983" s="66"/>
      <c r="U983" s="66"/>
      <c r="V983" s="66"/>
      <c r="W983" s="66"/>
      <c r="X983" s="66"/>
      <c r="Y983" s="66"/>
      <c r="Z983" s="66"/>
      <c r="AA983" s="66"/>
      <c r="AB983" s="66"/>
      <c r="AC983" s="66"/>
      <c r="AD983" s="66"/>
      <c r="AE983" s="66"/>
      <c r="AF983" s="66"/>
      <c r="AG983" s="66"/>
      <c r="AH983" s="66"/>
      <c r="AI983" s="66"/>
      <c r="AJ983" s="66"/>
      <c r="AK983" s="66"/>
      <c r="AL983" s="66"/>
      <c r="AM983" s="66"/>
      <c r="AN983" s="66"/>
      <c r="AO983" s="66"/>
    </row>
    <row r="984">
      <c r="A984" s="93"/>
      <c r="B984" s="85"/>
      <c r="C984" s="86"/>
      <c r="D984" s="93"/>
      <c r="E984" s="85"/>
      <c r="F984" s="85"/>
      <c r="G984" s="86"/>
      <c r="H984" s="102"/>
      <c r="I984" s="85"/>
      <c r="J984" s="85"/>
      <c r="K984" s="85"/>
      <c r="L984" s="86"/>
      <c r="M984" s="102"/>
      <c r="N984" s="85"/>
      <c r="O984" s="85"/>
      <c r="P984" s="85"/>
      <c r="Q984" s="86"/>
      <c r="R984" s="66"/>
      <c r="S984" s="66"/>
      <c r="T984" s="66"/>
      <c r="U984" s="66"/>
      <c r="V984" s="66"/>
      <c r="W984" s="66"/>
      <c r="X984" s="66"/>
      <c r="Y984" s="66"/>
      <c r="Z984" s="66"/>
      <c r="AA984" s="66"/>
      <c r="AB984" s="66"/>
      <c r="AC984" s="66"/>
      <c r="AD984" s="66"/>
      <c r="AE984" s="66"/>
      <c r="AF984" s="66"/>
      <c r="AG984" s="66"/>
      <c r="AH984" s="66"/>
      <c r="AI984" s="66"/>
      <c r="AJ984" s="66"/>
      <c r="AK984" s="66"/>
      <c r="AL984" s="66"/>
      <c r="AM984" s="66"/>
      <c r="AN984" s="66"/>
      <c r="AO984" s="66"/>
    </row>
    <row r="985">
      <c r="A985" s="93"/>
      <c r="B985" s="85"/>
      <c r="C985" s="86"/>
      <c r="D985" s="93"/>
      <c r="E985" s="85"/>
      <c r="F985" s="85"/>
      <c r="G985" s="86"/>
      <c r="H985" s="102"/>
      <c r="I985" s="85"/>
      <c r="J985" s="85"/>
      <c r="K985" s="85"/>
      <c r="L985" s="86"/>
      <c r="M985" s="102"/>
      <c r="N985" s="85"/>
      <c r="O985" s="85"/>
      <c r="P985" s="85"/>
      <c r="Q985" s="86"/>
      <c r="R985" s="66"/>
      <c r="S985" s="66"/>
      <c r="T985" s="66"/>
      <c r="U985" s="66"/>
      <c r="V985" s="66"/>
      <c r="W985" s="66"/>
      <c r="X985" s="66"/>
      <c r="Y985" s="66"/>
      <c r="Z985" s="66"/>
      <c r="AA985" s="66"/>
      <c r="AB985" s="66"/>
      <c r="AC985" s="66"/>
      <c r="AD985" s="66"/>
      <c r="AE985" s="66"/>
      <c r="AF985" s="66"/>
      <c r="AG985" s="66"/>
      <c r="AH985" s="66"/>
      <c r="AI985" s="66"/>
      <c r="AJ985" s="66"/>
      <c r="AK985" s="66"/>
      <c r="AL985" s="66"/>
      <c r="AM985" s="66"/>
      <c r="AN985" s="66"/>
      <c r="AO985" s="66"/>
    </row>
    <row r="986">
      <c r="A986" s="93"/>
      <c r="B986" s="85"/>
      <c r="C986" s="86"/>
      <c r="D986" s="93"/>
      <c r="E986" s="85"/>
      <c r="F986" s="85"/>
      <c r="G986" s="86"/>
      <c r="H986" s="102"/>
      <c r="I986" s="85"/>
      <c r="J986" s="85"/>
      <c r="K986" s="85"/>
      <c r="L986" s="86"/>
      <c r="M986" s="102"/>
      <c r="N986" s="85"/>
      <c r="O986" s="85"/>
      <c r="P986" s="85"/>
      <c r="Q986" s="86"/>
      <c r="R986" s="66"/>
      <c r="S986" s="66"/>
      <c r="T986" s="66"/>
      <c r="U986" s="66"/>
      <c r="V986" s="66"/>
      <c r="W986" s="66"/>
      <c r="X986" s="66"/>
      <c r="Y986" s="66"/>
      <c r="Z986" s="66"/>
      <c r="AA986" s="66"/>
      <c r="AB986" s="66"/>
      <c r="AC986" s="66"/>
      <c r="AD986" s="66"/>
      <c r="AE986" s="66"/>
      <c r="AF986" s="66"/>
      <c r="AG986" s="66"/>
      <c r="AH986" s="66"/>
      <c r="AI986" s="66"/>
      <c r="AJ986" s="66"/>
      <c r="AK986" s="66"/>
      <c r="AL986" s="66"/>
      <c r="AM986" s="66"/>
      <c r="AN986" s="66"/>
      <c r="AO986" s="66"/>
    </row>
    <row r="987">
      <c r="A987" s="93"/>
      <c r="B987" s="85"/>
      <c r="C987" s="86"/>
      <c r="D987" s="93"/>
      <c r="E987" s="85"/>
      <c r="F987" s="85"/>
      <c r="G987" s="86"/>
      <c r="H987" s="102"/>
      <c r="I987" s="85"/>
      <c r="J987" s="85"/>
      <c r="K987" s="85"/>
      <c r="L987" s="86"/>
      <c r="M987" s="102"/>
      <c r="N987" s="85"/>
      <c r="O987" s="85"/>
      <c r="P987" s="85"/>
      <c r="Q987" s="86"/>
      <c r="R987" s="66"/>
      <c r="S987" s="66"/>
      <c r="T987" s="66"/>
      <c r="U987" s="66"/>
      <c r="V987" s="66"/>
      <c r="W987" s="66"/>
      <c r="X987" s="66"/>
      <c r="Y987" s="66"/>
      <c r="Z987" s="66"/>
      <c r="AA987" s="66"/>
      <c r="AB987" s="66"/>
      <c r="AC987" s="66"/>
      <c r="AD987" s="66"/>
      <c r="AE987" s="66"/>
      <c r="AF987" s="66"/>
      <c r="AG987" s="66"/>
      <c r="AH987" s="66"/>
      <c r="AI987" s="66"/>
      <c r="AJ987" s="66"/>
      <c r="AK987" s="66"/>
      <c r="AL987" s="66"/>
      <c r="AM987" s="66"/>
      <c r="AN987" s="66"/>
      <c r="AO987" s="66"/>
    </row>
    <row r="988">
      <c r="A988" s="93"/>
      <c r="B988" s="85"/>
      <c r="C988" s="86"/>
      <c r="D988" s="93"/>
      <c r="E988" s="85"/>
      <c r="F988" s="85"/>
      <c r="G988" s="86"/>
      <c r="H988" s="102"/>
      <c r="I988" s="85"/>
      <c r="J988" s="85"/>
      <c r="K988" s="85"/>
      <c r="L988" s="86"/>
      <c r="M988" s="102"/>
      <c r="N988" s="85"/>
      <c r="O988" s="85"/>
      <c r="P988" s="85"/>
      <c r="Q988" s="86"/>
      <c r="R988" s="66"/>
      <c r="S988" s="66"/>
      <c r="T988" s="66"/>
      <c r="U988" s="66"/>
      <c r="V988" s="66"/>
      <c r="W988" s="66"/>
      <c r="X988" s="66"/>
      <c r="Y988" s="66"/>
      <c r="Z988" s="66"/>
      <c r="AA988" s="66"/>
      <c r="AB988" s="66"/>
      <c r="AC988" s="66"/>
      <c r="AD988" s="66"/>
      <c r="AE988" s="66"/>
      <c r="AF988" s="66"/>
      <c r="AG988" s="66"/>
      <c r="AH988" s="66"/>
      <c r="AI988" s="66"/>
      <c r="AJ988" s="66"/>
      <c r="AK988" s="66"/>
      <c r="AL988" s="66"/>
      <c r="AM988" s="66"/>
      <c r="AN988" s="66"/>
      <c r="AO988" s="66"/>
    </row>
    <row r="989">
      <c r="A989" s="93"/>
      <c r="B989" s="85"/>
      <c r="C989" s="86"/>
      <c r="D989" s="93"/>
      <c r="E989" s="85"/>
      <c r="F989" s="85"/>
      <c r="G989" s="86"/>
      <c r="H989" s="102"/>
      <c r="I989" s="85"/>
      <c r="J989" s="85"/>
      <c r="K989" s="85"/>
      <c r="L989" s="86"/>
      <c r="M989" s="102"/>
      <c r="N989" s="85"/>
      <c r="O989" s="85"/>
      <c r="P989" s="85"/>
      <c r="Q989" s="86"/>
      <c r="R989" s="66"/>
      <c r="S989" s="66"/>
      <c r="T989" s="66"/>
      <c r="U989" s="66"/>
      <c r="V989" s="66"/>
      <c r="W989" s="66"/>
      <c r="X989" s="66"/>
      <c r="Y989" s="66"/>
      <c r="Z989" s="66"/>
      <c r="AA989" s="66"/>
      <c r="AB989" s="66"/>
      <c r="AC989" s="66"/>
      <c r="AD989" s="66"/>
      <c r="AE989" s="66"/>
      <c r="AF989" s="66"/>
      <c r="AG989" s="66"/>
      <c r="AH989" s="66"/>
      <c r="AI989" s="66"/>
      <c r="AJ989" s="66"/>
      <c r="AK989" s="66"/>
      <c r="AL989" s="66"/>
      <c r="AM989" s="66"/>
      <c r="AN989" s="66"/>
      <c r="AO989" s="66"/>
    </row>
    <row r="990">
      <c r="A990" s="93"/>
      <c r="B990" s="85"/>
      <c r="C990" s="86"/>
      <c r="D990" s="93"/>
      <c r="E990" s="85"/>
      <c r="F990" s="85"/>
      <c r="G990" s="86"/>
      <c r="H990" s="102"/>
      <c r="I990" s="85"/>
      <c r="J990" s="85"/>
      <c r="K990" s="85"/>
      <c r="L990" s="86"/>
      <c r="M990" s="102"/>
      <c r="N990" s="85"/>
      <c r="O990" s="85"/>
      <c r="P990" s="85"/>
      <c r="Q990" s="86"/>
      <c r="R990" s="66"/>
      <c r="S990" s="66"/>
      <c r="T990" s="66"/>
      <c r="U990" s="66"/>
      <c r="V990" s="66"/>
      <c r="W990" s="66"/>
      <c r="X990" s="66"/>
      <c r="Y990" s="66"/>
      <c r="Z990" s="66"/>
      <c r="AA990" s="66"/>
      <c r="AB990" s="66"/>
      <c r="AC990" s="66"/>
      <c r="AD990" s="66"/>
      <c r="AE990" s="66"/>
      <c r="AF990" s="66"/>
      <c r="AG990" s="66"/>
      <c r="AH990" s="66"/>
      <c r="AI990" s="66"/>
      <c r="AJ990" s="66"/>
      <c r="AK990" s="66"/>
      <c r="AL990" s="66"/>
      <c r="AM990" s="66"/>
      <c r="AN990" s="66"/>
      <c r="AO990" s="66"/>
    </row>
    <row r="991">
      <c r="A991" s="93"/>
      <c r="B991" s="85"/>
      <c r="C991" s="86"/>
      <c r="D991" s="93"/>
      <c r="E991" s="85"/>
      <c r="F991" s="85"/>
      <c r="G991" s="86"/>
      <c r="H991" s="102"/>
      <c r="I991" s="85"/>
      <c r="J991" s="85"/>
      <c r="K991" s="85"/>
      <c r="L991" s="86"/>
      <c r="M991" s="102"/>
      <c r="N991" s="85"/>
      <c r="O991" s="85"/>
      <c r="P991" s="85"/>
      <c r="Q991" s="86"/>
      <c r="R991" s="66"/>
      <c r="S991" s="66"/>
      <c r="T991" s="66"/>
      <c r="U991" s="66"/>
      <c r="V991" s="66"/>
      <c r="W991" s="66"/>
      <c r="X991" s="66"/>
      <c r="Y991" s="66"/>
      <c r="Z991" s="66"/>
      <c r="AA991" s="66"/>
      <c r="AB991" s="66"/>
      <c r="AC991" s="66"/>
      <c r="AD991" s="66"/>
      <c r="AE991" s="66"/>
      <c r="AF991" s="66"/>
      <c r="AG991" s="66"/>
      <c r="AH991" s="66"/>
      <c r="AI991" s="66"/>
      <c r="AJ991" s="66"/>
      <c r="AK991" s="66"/>
      <c r="AL991" s="66"/>
      <c r="AM991" s="66"/>
      <c r="AN991" s="66"/>
      <c r="AO991" s="66"/>
    </row>
    <row r="992">
      <c r="A992" s="93"/>
      <c r="B992" s="85"/>
      <c r="C992" s="86"/>
      <c r="D992" s="93"/>
      <c r="E992" s="85"/>
      <c r="F992" s="85"/>
      <c r="G992" s="86"/>
      <c r="H992" s="102"/>
      <c r="I992" s="85"/>
      <c r="J992" s="85"/>
      <c r="K992" s="85"/>
      <c r="L992" s="86"/>
      <c r="M992" s="102"/>
      <c r="N992" s="85"/>
      <c r="O992" s="85"/>
      <c r="P992" s="85"/>
      <c r="Q992" s="86"/>
      <c r="R992" s="66"/>
      <c r="S992" s="66"/>
      <c r="T992" s="66"/>
      <c r="U992" s="66"/>
      <c r="V992" s="66"/>
      <c r="W992" s="66"/>
      <c r="X992" s="66"/>
      <c r="Y992" s="66"/>
      <c r="Z992" s="66"/>
      <c r="AA992" s="66"/>
      <c r="AB992" s="66"/>
      <c r="AC992" s="66"/>
      <c r="AD992" s="66"/>
      <c r="AE992" s="66"/>
      <c r="AF992" s="66"/>
      <c r="AG992" s="66"/>
      <c r="AH992" s="66"/>
      <c r="AI992" s="66"/>
      <c r="AJ992" s="66"/>
      <c r="AK992" s="66"/>
      <c r="AL992" s="66"/>
      <c r="AM992" s="66"/>
      <c r="AN992" s="66"/>
      <c r="AO992" s="66"/>
    </row>
    <row r="993">
      <c r="A993" s="93"/>
      <c r="B993" s="85"/>
      <c r="C993" s="86"/>
      <c r="D993" s="93"/>
      <c r="E993" s="85"/>
      <c r="F993" s="85"/>
      <c r="G993" s="86"/>
      <c r="H993" s="102"/>
      <c r="I993" s="85"/>
      <c r="J993" s="85"/>
      <c r="K993" s="85"/>
      <c r="L993" s="86"/>
      <c r="M993" s="102"/>
      <c r="N993" s="85"/>
      <c r="O993" s="85"/>
      <c r="P993" s="85"/>
      <c r="Q993" s="86"/>
      <c r="R993" s="66"/>
      <c r="S993" s="66"/>
      <c r="T993" s="66"/>
      <c r="U993" s="66"/>
      <c r="V993" s="66"/>
      <c r="W993" s="66"/>
      <c r="X993" s="66"/>
      <c r="Y993" s="66"/>
      <c r="Z993" s="66"/>
      <c r="AA993" s="66"/>
      <c r="AB993" s="66"/>
      <c r="AC993" s="66"/>
      <c r="AD993" s="66"/>
      <c r="AE993" s="66"/>
      <c r="AF993" s="66"/>
      <c r="AG993" s="66"/>
      <c r="AH993" s="66"/>
      <c r="AI993" s="66"/>
      <c r="AJ993" s="66"/>
      <c r="AK993" s="66"/>
      <c r="AL993" s="66"/>
      <c r="AM993" s="66"/>
      <c r="AN993" s="66"/>
      <c r="AO993" s="66"/>
    </row>
    <row r="994">
      <c r="A994" s="93"/>
      <c r="B994" s="85"/>
      <c r="C994" s="86"/>
      <c r="D994" s="93"/>
      <c r="E994" s="85"/>
      <c r="F994" s="85"/>
      <c r="G994" s="86"/>
      <c r="H994" s="102"/>
      <c r="I994" s="85"/>
      <c r="J994" s="85"/>
      <c r="K994" s="85"/>
      <c r="L994" s="86"/>
      <c r="M994" s="102"/>
      <c r="N994" s="85"/>
      <c r="O994" s="85"/>
      <c r="P994" s="85"/>
      <c r="Q994" s="86"/>
      <c r="R994" s="66"/>
      <c r="S994" s="66"/>
      <c r="T994" s="66"/>
      <c r="U994" s="66"/>
      <c r="V994" s="66"/>
      <c r="W994" s="66"/>
      <c r="X994" s="66"/>
      <c r="Y994" s="66"/>
      <c r="Z994" s="66"/>
      <c r="AA994" s="66"/>
      <c r="AB994" s="66"/>
      <c r="AC994" s="66"/>
      <c r="AD994" s="66"/>
      <c r="AE994" s="66"/>
      <c r="AF994" s="66"/>
      <c r="AG994" s="66"/>
      <c r="AH994" s="66"/>
      <c r="AI994" s="66"/>
      <c r="AJ994" s="66"/>
      <c r="AK994" s="66"/>
      <c r="AL994" s="66"/>
      <c r="AM994" s="66"/>
      <c r="AN994" s="66"/>
      <c r="AO994" s="66"/>
    </row>
    <row r="995">
      <c r="A995" s="93"/>
      <c r="B995" s="85"/>
      <c r="C995" s="86"/>
      <c r="D995" s="93"/>
      <c r="E995" s="85"/>
      <c r="F995" s="85"/>
      <c r="G995" s="86"/>
      <c r="H995" s="102"/>
      <c r="I995" s="85"/>
      <c r="J995" s="85"/>
      <c r="K995" s="85"/>
      <c r="L995" s="86"/>
      <c r="M995" s="102"/>
      <c r="N995" s="85"/>
      <c r="O995" s="85"/>
      <c r="P995" s="85"/>
      <c r="Q995" s="86"/>
      <c r="R995" s="66"/>
      <c r="S995" s="66"/>
      <c r="T995" s="66"/>
      <c r="U995" s="66"/>
      <c r="V995" s="66"/>
      <c r="W995" s="66"/>
      <c r="X995" s="66"/>
      <c r="Y995" s="66"/>
      <c r="Z995" s="66"/>
      <c r="AA995" s="66"/>
      <c r="AB995" s="66"/>
      <c r="AC995" s="66"/>
      <c r="AD995" s="66"/>
      <c r="AE995" s="66"/>
      <c r="AF995" s="66"/>
      <c r="AG995" s="66"/>
      <c r="AH995" s="66"/>
      <c r="AI995" s="66"/>
      <c r="AJ995" s="66"/>
      <c r="AK995" s="66"/>
      <c r="AL995" s="66"/>
      <c r="AM995" s="66"/>
      <c r="AN995" s="66"/>
      <c r="AO995" s="66"/>
    </row>
    <row r="996">
      <c r="A996" s="93"/>
      <c r="B996" s="85"/>
      <c r="C996" s="86"/>
      <c r="D996" s="93"/>
      <c r="E996" s="85"/>
      <c r="F996" s="85"/>
      <c r="G996" s="86"/>
      <c r="H996" s="102"/>
      <c r="I996" s="85"/>
      <c r="J996" s="85"/>
      <c r="K996" s="85"/>
      <c r="L996" s="86"/>
      <c r="M996" s="102"/>
      <c r="N996" s="85"/>
      <c r="O996" s="85"/>
      <c r="P996" s="85"/>
      <c r="Q996" s="86"/>
      <c r="R996" s="66"/>
      <c r="S996" s="66"/>
      <c r="T996" s="66"/>
      <c r="U996" s="66"/>
      <c r="V996" s="66"/>
      <c r="W996" s="66"/>
      <c r="X996" s="66"/>
      <c r="Y996" s="66"/>
      <c r="Z996" s="66"/>
      <c r="AA996" s="66"/>
      <c r="AB996" s="66"/>
      <c r="AC996" s="66"/>
      <c r="AD996" s="66"/>
      <c r="AE996" s="66"/>
      <c r="AF996" s="66"/>
      <c r="AG996" s="66"/>
      <c r="AH996" s="66"/>
      <c r="AI996" s="66"/>
      <c r="AJ996" s="66"/>
      <c r="AK996" s="66"/>
      <c r="AL996" s="66"/>
      <c r="AM996" s="66"/>
      <c r="AN996" s="66"/>
      <c r="AO996" s="66"/>
    </row>
    <row r="997">
      <c r="A997" s="93"/>
      <c r="B997" s="85"/>
      <c r="C997" s="86"/>
      <c r="D997" s="93"/>
      <c r="E997" s="85"/>
      <c r="F997" s="85"/>
      <c r="G997" s="86"/>
      <c r="H997" s="102"/>
      <c r="I997" s="85"/>
      <c r="J997" s="85"/>
      <c r="K997" s="85"/>
      <c r="L997" s="86"/>
      <c r="M997" s="102"/>
      <c r="N997" s="85"/>
      <c r="O997" s="85"/>
      <c r="P997" s="85"/>
      <c r="Q997" s="86"/>
      <c r="R997" s="66"/>
      <c r="S997" s="66"/>
      <c r="T997" s="66"/>
      <c r="U997" s="66"/>
      <c r="V997" s="66"/>
      <c r="W997" s="66"/>
      <c r="X997" s="66"/>
      <c r="Y997" s="66"/>
      <c r="Z997" s="66"/>
      <c r="AA997" s="66"/>
      <c r="AB997" s="66"/>
      <c r="AC997" s="66"/>
      <c r="AD997" s="66"/>
      <c r="AE997" s="66"/>
      <c r="AF997" s="66"/>
      <c r="AG997" s="66"/>
      <c r="AH997" s="66"/>
      <c r="AI997" s="66"/>
      <c r="AJ997" s="66"/>
      <c r="AK997" s="66"/>
      <c r="AL997" s="66"/>
      <c r="AM997" s="66"/>
      <c r="AN997" s="66"/>
      <c r="AO997" s="66"/>
    </row>
    <row r="998">
      <c r="A998" s="93"/>
      <c r="B998" s="85"/>
      <c r="C998" s="86"/>
      <c r="D998" s="93"/>
      <c r="E998" s="85"/>
      <c r="F998" s="85"/>
      <c r="G998" s="86"/>
      <c r="H998" s="102"/>
      <c r="I998" s="85"/>
      <c r="J998" s="85"/>
      <c r="K998" s="85"/>
      <c r="L998" s="86"/>
      <c r="M998" s="102"/>
      <c r="N998" s="85"/>
      <c r="O998" s="85"/>
      <c r="P998" s="85"/>
      <c r="Q998" s="86"/>
      <c r="R998" s="66"/>
      <c r="S998" s="66"/>
      <c r="T998" s="66"/>
      <c r="U998" s="66"/>
      <c r="V998" s="66"/>
      <c r="W998" s="66"/>
      <c r="X998" s="66"/>
      <c r="Y998" s="66"/>
      <c r="Z998" s="66"/>
      <c r="AA998" s="66"/>
      <c r="AB998" s="66"/>
      <c r="AC998" s="66"/>
      <c r="AD998" s="66"/>
      <c r="AE998" s="66"/>
      <c r="AF998" s="66"/>
      <c r="AG998" s="66"/>
      <c r="AH998" s="66"/>
      <c r="AI998" s="66"/>
      <c r="AJ998" s="66"/>
      <c r="AK998" s="66"/>
      <c r="AL998" s="66"/>
      <c r="AM998" s="66"/>
      <c r="AN998" s="66"/>
      <c r="AO998" s="66"/>
    </row>
    <row r="999">
      <c r="A999" s="93"/>
      <c r="B999" s="85"/>
      <c r="C999" s="86"/>
      <c r="D999" s="93"/>
      <c r="E999" s="85"/>
      <c r="F999" s="85"/>
      <c r="G999" s="86"/>
      <c r="H999" s="102"/>
      <c r="I999" s="85"/>
      <c r="J999" s="85"/>
      <c r="K999" s="85"/>
      <c r="L999" s="86"/>
      <c r="M999" s="102"/>
      <c r="N999" s="85"/>
      <c r="O999" s="85"/>
      <c r="P999" s="85"/>
      <c r="Q999" s="86"/>
      <c r="R999" s="66"/>
      <c r="S999" s="66"/>
      <c r="T999" s="66"/>
      <c r="U999" s="66"/>
      <c r="V999" s="66"/>
      <c r="W999" s="66"/>
      <c r="X999" s="66"/>
      <c r="Y999" s="66"/>
      <c r="Z999" s="66"/>
      <c r="AA999" s="66"/>
      <c r="AB999" s="66"/>
      <c r="AC999" s="66"/>
      <c r="AD999" s="66"/>
      <c r="AE999" s="66"/>
      <c r="AF999" s="66"/>
      <c r="AG999" s="66"/>
      <c r="AH999" s="66"/>
      <c r="AI999" s="66"/>
      <c r="AJ999" s="66"/>
      <c r="AK999" s="66"/>
      <c r="AL999" s="66"/>
      <c r="AM999" s="66"/>
      <c r="AN999" s="66"/>
      <c r="AO999" s="66"/>
    </row>
    <row r="1000">
      <c r="A1000" s="93"/>
      <c r="B1000" s="85"/>
      <c r="C1000" s="86"/>
      <c r="D1000" s="93"/>
      <c r="E1000" s="85"/>
      <c r="F1000" s="85"/>
      <c r="G1000" s="86"/>
      <c r="H1000" s="102"/>
      <c r="I1000" s="85"/>
      <c r="J1000" s="85"/>
      <c r="K1000" s="85"/>
      <c r="L1000" s="86"/>
      <c r="M1000" s="102"/>
      <c r="N1000" s="85"/>
      <c r="O1000" s="85"/>
      <c r="P1000" s="85"/>
      <c r="Q1000" s="86"/>
      <c r="R1000" s="66"/>
      <c r="S1000" s="66"/>
      <c r="T1000" s="66"/>
      <c r="U1000" s="66"/>
      <c r="V1000" s="66"/>
      <c r="W1000" s="66"/>
      <c r="X1000" s="66"/>
      <c r="Y1000" s="66"/>
      <c r="Z1000" s="66"/>
      <c r="AA1000" s="66"/>
      <c r="AB1000" s="66"/>
      <c r="AC1000" s="66"/>
      <c r="AD1000" s="66"/>
      <c r="AE1000" s="66"/>
      <c r="AF1000" s="66"/>
      <c r="AG1000" s="66"/>
      <c r="AH1000" s="66"/>
      <c r="AI1000" s="66"/>
      <c r="AJ1000" s="66"/>
      <c r="AK1000" s="66"/>
      <c r="AL1000" s="66"/>
      <c r="AM1000" s="66"/>
      <c r="AN1000" s="66"/>
      <c r="AO1000" s="66"/>
    </row>
    <row r="1001">
      <c r="A1001" s="93"/>
      <c r="B1001" s="85"/>
      <c r="C1001" s="86"/>
      <c r="D1001" s="93"/>
      <c r="E1001" s="85"/>
      <c r="F1001" s="85"/>
      <c r="G1001" s="86"/>
      <c r="H1001" s="102"/>
      <c r="I1001" s="85"/>
      <c r="J1001" s="85"/>
      <c r="K1001" s="85"/>
      <c r="L1001" s="86"/>
      <c r="M1001" s="102"/>
      <c r="N1001" s="85"/>
      <c r="O1001" s="85"/>
      <c r="P1001" s="85"/>
      <c r="Q1001" s="86"/>
      <c r="R1001" s="66"/>
      <c r="S1001" s="66"/>
      <c r="T1001" s="66"/>
      <c r="U1001" s="66"/>
      <c r="V1001" s="66"/>
      <c r="W1001" s="66"/>
      <c r="X1001" s="66"/>
      <c r="Y1001" s="66"/>
      <c r="Z1001" s="66"/>
      <c r="AA1001" s="66"/>
      <c r="AB1001" s="66"/>
      <c r="AC1001" s="66"/>
      <c r="AD1001" s="66"/>
      <c r="AE1001" s="66"/>
      <c r="AF1001" s="66"/>
      <c r="AG1001" s="66"/>
      <c r="AH1001" s="66"/>
      <c r="AI1001" s="66"/>
      <c r="AJ1001" s="66"/>
      <c r="AK1001" s="66"/>
      <c r="AL1001" s="66"/>
      <c r="AM1001" s="66"/>
      <c r="AN1001" s="66"/>
      <c r="AO1001" s="66"/>
    </row>
    <row r="1002">
      <c r="A1002" s="93"/>
      <c r="B1002" s="85"/>
      <c r="C1002" s="86"/>
      <c r="D1002" s="93"/>
      <c r="E1002" s="85"/>
      <c r="F1002" s="85"/>
      <c r="G1002" s="86"/>
      <c r="H1002" s="102"/>
      <c r="I1002" s="85"/>
      <c r="J1002" s="85"/>
      <c r="K1002" s="85"/>
      <c r="L1002" s="86"/>
      <c r="M1002" s="102"/>
      <c r="N1002" s="85"/>
      <c r="O1002" s="85"/>
      <c r="P1002" s="85"/>
      <c r="Q1002" s="86"/>
      <c r="R1002" s="66"/>
      <c r="S1002" s="66"/>
      <c r="T1002" s="66"/>
      <c r="U1002" s="66"/>
      <c r="V1002" s="66"/>
      <c r="W1002" s="66"/>
      <c r="X1002" s="66"/>
      <c r="Y1002" s="66"/>
      <c r="Z1002" s="66"/>
      <c r="AA1002" s="66"/>
      <c r="AB1002" s="66"/>
      <c r="AC1002" s="66"/>
      <c r="AD1002" s="66"/>
      <c r="AE1002" s="66"/>
      <c r="AF1002" s="66"/>
      <c r="AG1002" s="66"/>
      <c r="AH1002" s="66"/>
      <c r="AI1002" s="66"/>
      <c r="AJ1002" s="66"/>
      <c r="AK1002" s="66"/>
      <c r="AL1002" s="66"/>
      <c r="AM1002" s="66"/>
      <c r="AN1002" s="66"/>
      <c r="AO1002" s="66"/>
    </row>
    <row r="1003">
      <c r="A1003" s="93"/>
      <c r="B1003" s="85"/>
      <c r="C1003" s="86"/>
      <c r="D1003" s="93"/>
      <c r="E1003" s="85"/>
      <c r="F1003" s="85"/>
      <c r="G1003" s="86"/>
      <c r="H1003" s="102"/>
      <c r="I1003" s="85"/>
      <c r="J1003" s="85"/>
      <c r="K1003" s="85"/>
      <c r="L1003" s="86"/>
      <c r="M1003" s="102"/>
      <c r="N1003" s="85"/>
      <c r="O1003" s="85"/>
      <c r="P1003" s="85"/>
      <c r="Q1003" s="86"/>
      <c r="R1003" s="66"/>
      <c r="S1003" s="66"/>
      <c r="T1003" s="66"/>
      <c r="U1003" s="66"/>
      <c r="V1003" s="66"/>
      <c r="W1003" s="66"/>
      <c r="X1003" s="66"/>
      <c r="Y1003" s="66"/>
      <c r="Z1003" s="66"/>
      <c r="AA1003" s="66"/>
      <c r="AB1003" s="66"/>
      <c r="AC1003" s="66"/>
      <c r="AD1003" s="66"/>
      <c r="AE1003" s="66"/>
      <c r="AF1003" s="66"/>
      <c r="AG1003" s="66"/>
      <c r="AH1003" s="66"/>
      <c r="AI1003" s="66"/>
      <c r="AJ1003" s="66"/>
      <c r="AK1003" s="66"/>
      <c r="AL1003" s="66"/>
      <c r="AM1003" s="66"/>
      <c r="AN1003" s="66"/>
      <c r="AO1003" s="66"/>
    </row>
    <row r="1004">
      <c r="A1004" s="93"/>
      <c r="B1004" s="85"/>
      <c r="C1004" s="86"/>
      <c r="D1004" s="93"/>
      <c r="E1004" s="85"/>
      <c r="F1004" s="85"/>
      <c r="G1004" s="86"/>
      <c r="H1004" s="102"/>
      <c r="I1004" s="85"/>
      <c r="J1004" s="85"/>
      <c r="K1004" s="85"/>
      <c r="L1004" s="86"/>
      <c r="M1004" s="102"/>
      <c r="N1004" s="85"/>
      <c r="O1004" s="85"/>
      <c r="P1004" s="85"/>
      <c r="Q1004" s="86"/>
      <c r="R1004" s="66"/>
      <c r="S1004" s="66"/>
      <c r="T1004" s="66"/>
      <c r="U1004" s="66"/>
      <c r="V1004" s="66"/>
      <c r="W1004" s="66"/>
      <c r="X1004" s="66"/>
      <c r="Y1004" s="66"/>
      <c r="Z1004" s="66"/>
      <c r="AA1004" s="66"/>
      <c r="AB1004" s="66"/>
      <c r="AC1004" s="66"/>
      <c r="AD1004" s="66"/>
      <c r="AE1004" s="66"/>
      <c r="AF1004" s="66"/>
      <c r="AG1004" s="66"/>
      <c r="AH1004" s="66"/>
      <c r="AI1004" s="66"/>
      <c r="AJ1004" s="66"/>
      <c r="AK1004" s="66"/>
      <c r="AL1004" s="66"/>
      <c r="AM1004" s="66"/>
      <c r="AN1004" s="66"/>
      <c r="AO1004" s="66"/>
    </row>
    <row r="1005">
      <c r="A1005" s="93"/>
      <c r="B1005" s="85"/>
      <c r="C1005" s="86"/>
      <c r="D1005" s="93"/>
      <c r="E1005" s="85"/>
      <c r="F1005" s="85"/>
      <c r="G1005" s="86"/>
      <c r="H1005" s="102"/>
      <c r="I1005" s="85"/>
      <c r="J1005" s="85"/>
      <c r="K1005" s="85"/>
      <c r="L1005" s="86"/>
      <c r="M1005" s="102"/>
      <c r="N1005" s="85"/>
      <c r="O1005" s="85"/>
      <c r="P1005" s="85"/>
      <c r="Q1005" s="86"/>
      <c r="R1005" s="66"/>
      <c r="S1005" s="66"/>
      <c r="T1005" s="66"/>
      <c r="U1005" s="66"/>
      <c r="V1005" s="66"/>
      <c r="W1005" s="66"/>
      <c r="X1005" s="66"/>
      <c r="Y1005" s="66"/>
      <c r="Z1005" s="66"/>
      <c r="AA1005" s="66"/>
      <c r="AB1005" s="66"/>
      <c r="AC1005" s="66"/>
      <c r="AD1005" s="66"/>
      <c r="AE1005" s="66"/>
      <c r="AF1005" s="66"/>
      <c r="AG1005" s="66"/>
      <c r="AH1005" s="66"/>
      <c r="AI1005" s="66"/>
      <c r="AJ1005" s="66"/>
      <c r="AK1005" s="66"/>
      <c r="AL1005" s="66"/>
      <c r="AM1005" s="66"/>
      <c r="AN1005" s="66"/>
      <c r="AO1005" s="66"/>
    </row>
    <row r="1006">
      <c r="A1006" s="93"/>
      <c r="B1006" s="85"/>
      <c r="C1006" s="86"/>
      <c r="D1006" s="93"/>
      <c r="E1006" s="85"/>
      <c r="F1006" s="85"/>
      <c r="G1006" s="86"/>
      <c r="H1006" s="102"/>
      <c r="I1006" s="85"/>
      <c r="J1006" s="85"/>
      <c r="K1006" s="85"/>
      <c r="L1006" s="86"/>
      <c r="M1006" s="102"/>
      <c r="N1006" s="85"/>
      <c r="O1006" s="85"/>
      <c r="P1006" s="85"/>
      <c r="Q1006" s="86"/>
      <c r="R1006" s="66"/>
      <c r="S1006" s="66"/>
      <c r="T1006" s="66"/>
      <c r="U1006" s="66"/>
      <c r="V1006" s="66"/>
      <c r="W1006" s="66"/>
      <c r="X1006" s="66"/>
      <c r="Y1006" s="66"/>
      <c r="Z1006" s="66"/>
      <c r="AA1006" s="66"/>
      <c r="AB1006" s="66"/>
      <c r="AC1006" s="66"/>
      <c r="AD1006" s="66"/>
      <c r="AE1006" s="66"/>
      <c r="AF1006" s="66"/>
      <c r="AG1006" s="66"/>
      <c r="AH1006" s="66"/>
      <c r="AI1006" s="66"/>
      <c r="AJ1006" s="66"/>
      <c r="AK1006" s="66"/>
      <c r="AL1006" s="66"/>
      <c r="AM1006" s="66"/>
      <c r="AN1006" s="66"/>
      <c r="AO1006" s="66"/>
    </row>
    <row r="1007">
      <c r="A1007" s="93"/>
      <c r="B1007" s="85"/>
      <c r="C1007" s="86"/>
      <c r="D1007" s="93"/>
      <c r="E1007" s="85"/>
      <c r="F1007" s="85"/>
      <c r="G1007" s="86"/>
      <c r="H1007" s="102"/>
      <c r="I1007" s="85"/>
      <c r="J1007" s="85"/>
      <c r="K1007" s="85"/>
      <c r="L1007" s="86"/>
      <c r="M1007" s="102"/>
      <c r="N1007" s="85"/>
      <c r="O1007" s="85"/>
      <c r="P1007" s="85"/>
      <c r="Q1007" s="86"/>
      <c r="R1007" s="66"/>
      <c r="S1007" s="66"/>
      <c r="T1007" s="66"/>
      <c r="U1007" s="66"/>
      <c r="V1007" s="66"/>
      <c r="W1007" s="66"/>
      <c r="X1007" s="66"/>
      <c r="Y1007" s="66"/>
      <c r="Z1007" s="66"/>
      <c r="AA1007" s="66"/>
      <c r="AB1007" s="66"/>
      <c r="AC1007" s="66"/>
      <c r="AD1007" s="66"/>
      <c r="AE1007" s="66"/>
      <c r="AF1007" s="66"/>
      <c r="AG1007" s="66"/>
      <c r="AH1007" s="66"/>
      <c r="AI1007" s="66"/>
      <c r="AJ1007" s="66"/>
      <c r="AK1007" s="66"/>
      <c r="AL1007" s="66"/>
      <c r="AM1007" s="66"/>
      <c r="AN1007" s="66"/>
      <c r="AO1007" s="66"/>
    </row>
    <row r="1008">
      <c r="A1008" s="93"/>
      <c r="B1008" s="85"/>
      <c r="C1008" s="86"/>
      <c r="D1008" s="93"/>
      <c r="E1008" s="85"/>
      <c r="F1008" s="85"/>
      <c r="G1008" s="86"/>
      <c r="H1008" s="102"/>
      <c r="I1008" s="85"/>
      <c r="J1008" s="85"/>
      <c r="K1008" s="85"/>
      <c r="L1008" s="86"/>
      <c r="M1008" s="102"/>
      <c r="N1008" s="85"/>
      <c r="O1008" s="85"/>
      <c r="P1008" s="85"/>
      <c r="Q1008" s="86"/>
      <c r="R1008" s="66"/>
      <c r="S1008" s="66"/>
      <c r="T1008" s="66"/>
      <c r="U1008" s="66"/>
      <c r="V1008" s="66"/>
      <c r="W1008" s="66"/>
      <c r="X1008" s="66"/>
      <c r="Y1008" s="66"/>
      <c r="Z1008" s="66"/>
      <c r="AA1008" s="66"/>
      <c r="AB1008" s="66"/>
      <c r="AC1008" s="66"/>
      <c r="AD1008" s="66"/>
      <c r="AE1008" s="66"/>
      <c r="AF1008" s="66"/>
      <c r="AG1008" s="66"/>
      <c r="AH1008" s="66"/>
      <c r="AI1008" s="66"/>
      <c r="AJ1008" s="66"/>
      <c r="AK1008" s="66"/>
      <c r="AL1008" s="66"/>
      <c r="AM1008" s="66"/>
      <c r="AN1008" s="66"/>
      <c r="AO1008" s="66"/>
    </row>
    <row r="1009">
      <c r="A1009" s="93"/>
      <c r="B1009" s="85"/>
      <c r="C1009" s="86"/>
      <c r="D1009" s="93"/>
      <c r="E1009" s="85"/>
      <c r="F1009" s="85"/>
      <c r="G1009" s="86"/>
      <c r="H1009" s="102"/>
      <c r="I1009" s="85"/>
      <c r="J1009" s="85"/>
      <c r="K1009" s="85"/>
      <c r="L1009" s="86"/>
      <c r="M1009" s="102"/>
      <c r="N1009" s="111"/>
      <c r="O1009" s="111"/>
      <c r="P1009" s="111"/>
      <c r="Q1009" s="112"/>
      <c r="R1009" s="66"/>
      <c r="S1009" s="66"/>
      <c r="T1009" s="66"/>
      <c r="U1009" s="66"/>
      <c r="V1009" s="66"/>
      <c r="W1009" s="66"/>
      <c r="X1009" s="66"/>
      <c r="Y1009" s="66"/>
      <c r="Z1009" s="66"/>
      <c r="AA1009" s="66"/>
      <c r="AB1009" s="66"/>
      <c r="AC1009" s="66"/>
      <c r="AD1009" s="66"/>
      <c r="AE1009" s="66"/>
      <c r="AF1009" s="66"/>
      <c r="AG1009" s="66"/>
      <c r="AH1009" s="66"/>
      <c r="AI1009" s="66"/>
      <c r="AJ1009" s="66"/>
      <c r="AK1009" s="66"/>
      <c r="AL1009" s="66"/>
      <c r="AM1009" s="66"/>
      <c r="AN1009" s="66"/>
      <c r="AO1009" s="66"/>
    </row>
    <row r="1010">
      <c r="A1010" s="93"/>
      <c r="B1010" s="85"/>
      <c r="C1010" s="86"/>
      <c r="D1010" s="93"/>
      <c r="E1010" s="85"/>
      <c r="F1010" s="85"/>
      <c r="G1010" s="86"/>
      <c r="H1010" s="102"/>
      <c r="I1010" s="85"/>
      <c r="J1010" s="85"/>
      <c r="K1010" s="85"/>
      <c r="L1010" s="86"/>
      <c r="R1010" s="66"/>
      <c r="S1010" s="66"/>
      <c r="T1010" s="66"/>
      <c r="U1010" s="66"/>
      <c r="V1010" s="66"/>
      <c r="W1010" s="66"/>
      <c r="X1010" s="66"/>
      <c r="Y1010" s="66"/>
      <c r="Z1010" s="66"/>
      <c r="AA1010" s="66"/>
      <c r="AB1010" s="66"/>
      <c r="AC1010" s="66"/>
      <c r="AD1010" s="66"/>
      <c r="AE1010" s="66"/>
      <c r="AF1010" s="66"/>
      <c r="AG1010" s="66"/>
      <c r="AH1010" s="66"/>
      <c r="AI1010" s="66"/>
      <c r="AJ1010" s="66"/>
      <c r="AK1010" s="66"/>
      <c r="AL1010" s="66"/>
      <c r="AM1010" s="66"/>
      <c r="AN1010" s="66"/>
      <c r="AO1010" s="66"/>
    </row>
    <row r="1011">
      <c r="A1011" s="93"/>
      <c r="B1011" s="85"/>
      <c r="C1011" s="86"/>
      <c r="D1011" s="93"/>
      <c r="E1011" s="85"/>
      <c r="F1011" s="85"/>
      <c r="G1011" s="86"/>
      <c r="H1011" s="102"/>
      <c r="I1011" s="85"/>
      <c r="J1011" s="85"/>
      <c r="K1011" s="85"/>
      <c r="L1011" s="86"/>
      <c r="R1011" s="66"/>
      <c r="S1011" s="66"/>
      <c r="T1011" s="66"/>
      <c r="U1011" s="66"/>
      <c r="V1011" s="66"/>
      <c r="W1011" s="66"/>
      <c r="X1011" s="66"/>
      <c r="Y1011" s="66"/>
      <c r="Z1011" s="66"/>
      <c r="AA1011" s="66"/>
      <c r="AB1011" s="66"/>
      <c r="AC1011" s="66"/>
      <c r="AD1011" s="66"/>
      <c r="AE1011" s="66"/>
      <c r="AF1011" s="66"/>
      <c r="AG1011" s="66"/>
      <c r="AH1011" s="66"/>
      <c r="AI1011" s="66"/>
      <c r="AJ1011" s="66"/>
      <c r="AK1011" s="66"/>
      <c r="AL1011" s="66"/>
      <c r="AM1011" s="66"/>
      <c r="AN1011" s="66"/>
      <c r="AO1011" s="66"/>
    </row>
    <row r="1012">
      <c r="A1012" s="113"/>
      <c r="B1012" s="111"/>
      <c r="C1012" s="112"/>
      <c r="D1012" s="113"/>
      <c r="E1012" s="111"/>
      <c r="F1012" s="111"/>
      <c r="G1012" s="112"/>
      <c r="H1012" s="102"/>
      <c r="I1012" s="111"/>
      <c r="J1012" s="111"/>
      <c r="K1012" s="111"/>
      <c r="L1012" s="112"/>
      <c r="R1012" s="66"/>
      <c r="S1012" s="66"/>
      <c r="T1012" s="66"/>
      <c r="U1012" s="66"/>
      <c r="V1012" s="66"/>
      <c r="W1012" s="66"/>
      <c r="X1012" s="66"/>
      <c r="Y1012" s="66"/>
      <c r="Z1012" s="66"/>
      <c r="AA1012" s="66"/>
      <c r="AB1012" s="66"/>
      <c r="AC1012" s="66"/>
      <c r="AD1012" s="66"/>
      <c r="AE1012" s="66"/>
      <c r="AF1012" s="66"/>
      <c r="AG1012" s="66"/>
      <c r="AH1012" s="66"/>
      <c r="AI1012" s="66"/>
      <c r="AJ1012" s="66"/>
      <c r="AK1012" s="66"/>
      <c r="AL1012" s="66"/>
      <c r="AM1012" s="66"/>
      <c r="AN1012" s="66"/>
      <c r="AO1012" s="66"/>
    </row>
    <row r="1013">
      <c r="A1013" s="66"/>
      <c r="B1013" s="66"/>
      <c r="C1013" s="66"/>
      <c r="D1013" s="66"/>
      <c r="E1013" s="66"/>
      <c r="F1013" s="66"/>
      <c r="G1013" s="66"/>
      <c r="H1013" s="66"/>
      <c r="I1013" s="66"/>
      <c r="J1013" s="66"/>
      <c r="K1013" s="66"/>
      <c r="L1013" s="66"/>
      <c r="M1013" s="66"/>
      <c r="N1013" s="66"/>
      <c r="O1013" s="66"/>
      <c r="P1013" s="66"/>
      <c r="Q1013" s="66"/>
      <c r="R1013" s="66"/>
      <c r="S1013" s="66"/>
      <c r="T1013" s="66"/>
      <c r="U1013" s="66"/>
      <c r="V1013" s="66"/>
      <c r="W1013" s="66"/>
      <c r="X1013" s="66"/>
      <c r="Y1013" s="66"/>
      <c r="Z1013" s="66"/>
      <c r="AA1013" s="66"/>
      <c r="AB1013" s="66"/>
      <c r="AC1013" s="66"/>
      <c r="AD1013" s="66"/>
      <c r="AE1013" s="66"/>
      <c r="AF1013" s="66"/>
      <c r="AG1013" s="66"/>
      <c r="AH1013" s="66"/>
      <c r="AI1013" s="66"/>
      <c r="AJ1013" s="66"/>
      <c r="AK1013" s="66"/>
      <c r="AL1013" s="66"/>
      <c r="AM1013" s="66"/>
      <c r="AN1013" s="66"/>
      <c r="AO1013" s="66"/>
    </row>
  </sheetData>
  <mergeCells count="4">
    <mergeCell ref="A1:C1"/>
    <mergeCell ref="D1:G1"/>
    <mergeCell ref="H1:L1"/>
    <mergeCell ref="M1:Q1"/>
  </mergeCells>
  <hyperlinks>
    <hyperlink r:id="rId1" ref="K3"/>
    <hyperlink r:id="rId2" ref="P3"/>
    <hyperlink r:id="rId3" ref="K4"/>
    <hyperlink r:id="rId4" ref="P4"/>
    <hyperlink r:id="rId5" ref="K5"/>
    <hyperlink r:id="rId6" ref="P5"/>
    <hyperlink r:id="rId7" ref="K6"/>
    <hyperlink r:id="rId8" ref="P6"/>
    <hyperlink r:id="rId9" location=":~:text=Multiple%20air%20transport%20sector%20trade,for%20June%203%20and%204." ref="K7"/>
    <hyperlink r:id="rId10" ref="P7"/>
    <hyperlink r:id="rId11" ref="K8"/>
    <hyperlink r:id="rId12" ref="P8"/>
    <hyperlink r:id="rId13" location=":~:text=Rome%2C%2010%20July%202023%20%2D%20ENAV,compliance%20with%20the%20current%20regulation." ref="K9"/>
    <hyperlink r:id="rId14" ref="P9"/>
    <hyperlink r:id="rId15" ref="K10"/>
    <hyperlink r:id="rId16" ref="P10"/>
    <hyperlink r:id="rId17" ref="K11"/>
    <hyperlink r:id="rId18" ref="P11"/>
    <hyperlink r:id="rId19" ref="K12"/>
    <hyperlink r:id="rId20" ref="P12"/>
    <hyperlink r:id="rId21" ref="K13"/>
    <hyperlink r:id="rId22" ref="P13"/>
    <hyperlink r:id="rId23" ref="K14"/>
    <hyperlink r:id="rId24" ref="P14"/>
    <hyperlink r:id="rId25" ref="K15"/>
    <hyperlink r:id="rId26" ref="P15"/>
    <hyperlink r:id="rId27" ref="K16"/>
    <hyperlink r:id="rId28" ref="P16"/>
    <hyperlink r:id="rId29" ref="K17"/>
    <hyperlink r:id="rId30" ref="P17"/>
    <hyperlink r:id="rId31" ref="K18"/>
    <hyperlink r:id="rId32" ref="P18"/>
    <hyperlink r:id="rId33" ref="P19"/>
    <hyperlink r:id="rId34" ref="P20"/>
    <hyperlink r:id="rId35" ref="P21"/>
    <hyperlink r:id="rId36" ref="P22"/>
    <hyperlink r:id="rId37" ref="P23"/>
    <hyperlink r:id="rId38" ref="P24"/>
    <hyperlink r:id="rId39" ref="P25"/>
    <hyperlink r:id="rId40" ref="P26"/>
    <hyperlink r:id="rId41" ref="P27"/>
    <hyperlink r:id="rId42" ref="P28"/>
    <hyperlink r:id="rId43" ref="P29"/>
    <hyperlink r:id="rId44" ref="P30"/>
    <hyperlink r:id="rId45" location=":~:text=BERLIN%2C%20Jan%203%20(Reuters),European%20Union's%20Schengen%20travel%20zone." ref="P31"/>
    <hyperlink r:id="rId46" location=":~:text=BERLIN%2C%20Jan%203%20(Reuters),European%20Union's%20Schengen%20travel%20zone." ref="P32"/>
    <hyperlink r:id="rId47" location=":~:text=BERLIN%2C%20Jan%203%20(Reuters),European%20Union's%20Schengen%20travel%20zone." ref="P33"/>
    <hyperlink r:id="rId48" location=":~:text=BERLIN%2C%20Jan%203%20(Reuters),European%20Union's%20Schengen%20travel%20zone." ref="P34"/>
    <hyperlink r:id="rId49" location=":~:text=BERLIN%2C%20Jan%203%20(Reuters),European%20Union's%20Schengen%20travel%20zone." ref="P35"/>
    <hyperlink r:id="rId50" location=":~:text=BERLIN%2C%20Jan%203%20(Reuters),European%20Union's%20Schengen%20travel%20zone." ref="P36"/>
    <hyperlink r:id="rId51" ref="P37"/>
    <hyperlink r:id="rId52" ref="P38"/>
    <hyperlink r:id="rId53" ref="P39"/>
    <hyperlink r:id="rId54" ref="P40"/>
    <hyperlink r:id="rId55" ref="P41"/>
    <hyperlink r:id="rId56" ref="P42"/>
    <hyperlink r:id="rId57" ref="P43"/>
    <hyperlink r:id="rId58" ref="P44"/>
    <hyperlink r:id="rId59" ref="P45"/>
    <hyperlink r:id="rId60" ref="P46"/>
    <hyperlink r:id="rId61" ref="K47"/>
    <hyperlink r:id="rId62" ref="P47"/>
    <hyperlink r:id="rId63" ref="K48"/>
    <hyperlink r:id="rId64" ref="P48"/>
    <hyperlink r:id="rId65" ref="K49"/>
    <hyperlink r:id="rId66" ref="P49"/>
    <hyperlink r:id="rId67" ref="K50"/>
    <hyperlink r:id="rId68" ref="P50"/>
    <hyperlink r:id="rId69" ref="K51"/>
    <hyperlink r:id="rId70" ref="P51"/>
    <hyperlink r:id="rId71" ref="K52"/>
    <hyperlink r:id="rId72" ref="P52"/>
    <hyperlink r:id="rId73" ref="K53"/>
    <hyperlink r:id="rId74" ref="P53"/>
    <hyperlink r:id="rId75" ref="K54"/>
    <hyperlink r:id="rId76" ref="P54"/>
    <hyperlink r:id="rId77" ref="K55"/>
    <hyperlink r:id="rId78" ref="P55"/>
    <hyperlink r:id="rId79" ref="K56"/>
    <hyperlink r:id="rId80" ref="P56"/>
    <hyperlink r:id="rId81" location=":~:text=LISBON%2C%20Dec%2011%20(Reuters),protest%20against%20proposed%20labour%20reforms" ref="K57"/>
    <hyperlink r:id="rId82" ref="P57"/>
    <hyperlink r:id="rId83" ref="K58"/>
    <hyperlink r:id="rId84" ref="P58"/>
    <hyperlink r:id="rId85" ref="K59"/>
    <hyperlink r:id="rId86" ref="P59"/>
    <hyperlink r:id="rId87" ref="K60"/>
    <hyperlink r:id="rId88" ref="P60"/>
    <hyperlink r:id="rId89" ref="K61"/>
    <hyperlink r:id="rId90" ref="P61"/>
    <hyperlink r:id="rId91" ref="K62"/>
    <hyperlink r:id="rId92" ref="P62"/>
    <hyperlink r:id="rId93" ref="K63"/>
    <hyperlink r:id="rId94" ref="P63"/>
    <hyperlink r:id="rId95" ref="K64"/>
    <hyperlink r:id="rId96" ref="P64"/>
    <hyperlink r:id="rId97" ref="K65"/>
    <hyperlink r:id="rId98" ref="P65"/>
    <hyperlink r:id="rId99" ref="P66"/>
    <hyperlink r:id="rId100" ref="P67"/>
    <hyperlink r:id="rId101" ref="P68"/>
    <hyperlink r:id="rId102" ref="P69"/>
    <hyperlink r:id="rId103" ref="P70"/>
    <hyperlink r:id="rId104" ref="P71"/>
    <hyperlink r:id="rId105" ref="P72"/>
    <hyperlink r:id="rId106" ref="P73"/>
    <hyperlink r:id="rId107" ref="P74"/>
    <hyperlink r:id="rId108" ref="P75"/>
    <hyperlink r:id="rId109" ref="P76"/>
    <hyperlink r:id="rId110" ref="P77"/>
    <hyperlink r:id="rId111" ref="P78"/>
    <hyperlink r:id="rId112" ref="P79"/>
    <hyperlink r:id="rId113" ref="P80"/>
    <hyperlink r:id="rId114" ref="P81"/>
    <hyperlink r:id="rId115" ref="P82"/>
    <hyperlink r:id="rId116" ref="P83"/>
    <hyperlink r:id="rId117" ref="P84"/>
    <hyperlink r:id="rId118" ref="P85"/>
    <hyperlink r:id="rId119" ref="P86"/>
    <hyperlink r:id="rId120" ref="P87"/>
    <hyperlink r:id="rId121" ref="P88"/>
    <hyperlink r:id="rId122" ref="P89"/>
    <hyperlink r:id="rId123" ref="P90"/>
    <hyperlink r:id="rId124" ref="P91"/>
    <hyperlink r:id="rId125" ref="P92"/>
    <hyperlink r:id="rId126" ref="P93"/>
    <hyperlink r:id="rId127" ref="P94"/>
    <hyperlink r:id="rId128" ref="P95"/>
    <hyperlink r:id="rId129" ref="P96"/>
    <hyperlink r:id="rId130" ref="P97"/>
    <hyperlink r:id="rId131" ref="P98"/>
    <hyperlink r:id="rId132" ref="P99"/>
    <hyperlink r:id="rId133" ref="P100"/>
    <hyperlink r:id="rId134" ref="P101"/>
    <hyperlink r:id="rId135" ref="P102"/>
    <hyperlink r:id="rId136" ref="P103"/>
    <hyperlink r:id="rId137" ref="P104"/>
    <hyperlink r:id="rId138" ref="P105"/>
    <hyperlink r:id="rId139" ref="P106"/>
    <hyperlink r:id="rId140" ref="P107"/>
    <hyperlink r:id="rId141" ref="P108"/>
    <hyperlink r:id="rId142" ref="P109"/>
    <hyperlink r:id="rId143" ref="P110"/>
    <hyperlink r:id="rId144" ref="P111"/>
    <hyperlink r:id="rId145" ref="P112"/>
    <hyperlink r:id="rId146" ref="P113"/>
    <hyperlink r:id="rId147" ref="P114"/>
    <hyperlink r:id="rId148" ref="P115"/>
    <hyperlink r:id="rId149" ref="P116"/>
    <hyperlink r:id="rId150" ref="P117"/>
    <hyperlink r:id="rId151" ref="P118"/>
    <hyperlink r:id="rId152" ref="P119"/>
    <hyperlink r:id="rId153" location=":~:text=25%20October%202024-,The%20trade%20union%20ver.,are%20expected%20to%20be%20cancelled" ref="P120"/>
    <hyperlink r:id="rId154" location=":~:text=25%20October%202024-,The%20trade%20union%20ver.,are%20expected%20to%20be%20cancelled" ref="P121"/>
    <hyperlink r:id="rId155" ref="P122"/>
    <hyperlink r:id="rId156" ref="P123"/>
    <hyperlink r:id="rId157" ref="P124"/>
    <hyperlink r:id="rId158" ref="P125"/>
    <hyperlink r:id="rId159" ref="P126"/>
    <hyperlink r:id="rId160" ref="P127"/>
    <hyperlink r:id="rId161" ref="P128"/>
    <hyperlink r:id="rId162" ref="P129"/>
    <hyperlink r:id="rId163" ref="P130"/>
    <hyperlink r:id="rId164" ref="P131"/>
    <hyperlink r:id="rId165" ref="P132"/>
    <hyperlink r:id="rId166" ref="P133"/>
    <hyperlink r:id="rId167" ref="P134"/>
    <hyperlink r:id="rId168" ref="P135"/>
    <hyperlink r:id="rId169" ref="P136"/>
    <hyperlink r:id="rId170" ref="P137"/>
    <hyperlink r:id="rId171" ref="P138"/>
    <hyperlink r:id="rId172" ref="P139"/>
    <hyperlink r:id="rId173" ref="P140"/>
    <hyperlink r:id="rId174" ref="P141"/>
    <hyperlink r:id="rId175" ref="P142"/>
    <hyperlink r:id="rId176" ref="P143"/>
    <hyperlink r:id="rId177" ref="P144"/>
    <hyperlink r:id="rId178" ref="P145"/>
    <hyperlink r:id="rId179" ref="P146"/>
    <hyperlink r:id="rId180" ref="P147"/>
    <hyperlink r:id="rId181" ref="P148"/>
    <hyperlink r:id="rId182" ref="P149"/>
    <hyperlink r:id="rId183" ref="P150"/>
    <hyperlink r:id="rId184" ref="P151"/>
    <hyperlink r:id="rId185" ref="P152"/>
    <hyperlink r:id="rId186" ref="P153"/>
    <hyperlink r:id="rId187" ref="P154"/>
    <hyperlink r:id="rId188" ref="P155"/>
    <hyperlink r:id="rId189" ref="P156"/>
    <hyperlink r:id="rId190" ref="P157"/>
    <hyperlink r:id="rId191" ref="P158"/>
    <hyperlink r:id="rId192" ref="P159"/>
    <hyperlink r:id="rId193" ref="P160"/>
    <hyperlink r:id="rId194" ref="P161"/>
    <hyperlink r:id="rId195" ref="P162"/>
    <hyperlink r:id="rId196" ref="P163"/>
    <hyperlink r:id="rId197" ref="P164"/>
    <hyperlink r:id="rId198" ref="P165"/>
    <hyperlink r:id="rId199" ref="P166"/>
    <hyperlink r:id="rId200" ref="P167"/>
    <hyperlink r:id="rId201" ref="P168"/>
    <hyperlink r:id="rId202" ref="P169"/>
    <hyperlink r:id="rId203" ref="P170"/>
    <hyperlink r:id="rId204" ref="P171"/>
    <hyperlink r:id="rId205" ref="P172"/>
    <hyperlink r:id="rId206" ref="P173"/>
    <hyperlink r:id="rId207" ref="P174"/>
    <hyperlink r:id="rId208" ref="P175"/>
    <hyperlink r:id="rId209" ref="P176"/>
    <hyperlink r:id="rId210" ref="P177"/>
    <hyperlink r:id="rId211" ref="P178"/>
    <hyperlink r:id="rId212" ref="P179"/>
    <hyperlink r:id="rId213" ref="P180"/>
    <hyperlink r:id="rId214" ref="P181"/>
    <hyperlink r:id="rId215" ref="P182"/>
    <hyperlink r:id="rId216" ref="P183"/>
    <hyperlink r:id="rId217" ref="P184"/>
    <hyperlink r:id="rId218" ref="P185"/>
    <hyperlink r:id="rId219" ref="P186"/>
    <hyperlink r:id="rId220" ref="P187"/>
    <hyperlink r:id="rId221" ref="P188"/>
    <hyperlink r:id="rId222" ref="P189"/>
    <hyperlink r:id="rId223" ref="P190"/>
    <hyperlink r:id="rId224" ref="P191"/>
    <hyperlink r:id="rId225" ref="P192"/>
    <hyperlink r:id="rId226" ref="P193"/>
    <hyperlink r:id="rId227" ref="P196"/>
    <hyperlink r:id="rId228" ref="P200"/>
    <hyperlink r:id="rId229" ref="P201"/>
    <hyperlink r:id="rId230" ref="P202"/>
    <hyperlink r:id="rId231" ref="P203"/>
    <hyperlink r:id="rId232" ref="P204"/>
    <hyperlink r:id="rId233" ref="P205"/>
    <hyperlink r:id="rId234" ref="P206"/>
    <hyperlink r:id="rId235" ref="P207"/>
    <hyperlink r:id="rId236" ref="P213"/>
    <hyperlink r:id="rId237" ref="P243"/>
    <hyperlink r:id="rId238" ref="P245"/>
    <hyperlink r:id="rId239" ref="P246"/>
    <hyperlink r:id="rId240" ref="P248"/>
    <hyperlink r:id="rId241" ref="P250"/>
    <hyperlink r:id="rId242" ref="P251"/>
    <hyperlink r:id="rId243" ref="P252"/>
    <hyperlink r:id="rId244" ref="P253"/>
    <hyperlink r:id="rId245" ref="P254"/>
    <hyperlink r:id="rId246" ref="P255"/>
    <hyperlink r:id="rId247" ref="P256"/>
    <hyperlink r:id="rId248" ref="P257"/>
    <hyperlink r:id="rId249" ref="P258"/>
    <hyperlink r:id="rId250" ref="P259"/>
    <hyperlink r:id="rId251" ref="P263"/>
    <hyperlink r:id="rId252" ref="P264"/>
    <hyperlink r:id="rId253" ref="P265"/>
    <hyperlink r:id="rId254" ref="P266"/>
    <hyperlink r:id="rId255" ref="P267"/>
    <hyperlink r:id="rId256" ref="P269"/>
    <hyperlink r:id="rId257" ref="P270"/>
    <hyperlink r:id="rId258" ref="P271"/>
    <hyperlink r:id="rId259" ref="P272"/>
    <hyperlink r:id="rId260" ref="P273"/>
    <hyperlink r:id="rId261" ref="P274"/>
    <hyperlink r:id="rId262" ref="P276"/>
    <hyperlink r:id="rId263" ref="P277"/>
    <hyperlink r:id="rId264" ref="P278"/>
    <hyperlink r:id="rId265" ref="P279"/>
    <hyperlink r:id="rId266" ref="P280"/>
    <hyperlink r:id="rId267" ref="P281"/>
    <hyperlink r:id="rId268" ref="P282"/>
    <hyperlink r:id="rId269" ref="P283"/>
    <hyperlink r:id="rId270" ref="P284"/>
    <hyperlink r:id="rId271" ref="P285"/>
    <hyperlink r:id="rId272" ref="P286"/>
    <hyperlink r:id="rId273" ref="P287"/>
    <hyperlink r:id="rId274" ref="P288"/>
    <hyperlink r:id="rId275" ref="P289"/>
    <hyperlink r:id="rId276" ref="P290"/>
    <hyperlink r:id="rId277" ref="P291"/>
    <hyperlink r:id="rId278" ref="P292"/>
    <hyperlink r:id="rId279" ref="P293"/>
    <hyperlink r:id="rId280" ref="P294"/>
    <hyperlink r:id="rId281" ref="P295"/>
    <hyperlink r:id="rId282" ref="P296"/>
    <hyperlink r:id="rId283" ref="P297"/>
    <hyperlink r:id="rId284" ref="P298"/>
    <hyperlink r:id="rId285" ref="P299"/>
    <hyperlink r:id="rId286" ref="P300"/>
    <hyperlink r:id="rId287" ref="P301"/>
    <hyperlink r:id="rId288" ref="P302"/>
    <hyperlink r:id="rId289" ref="P303"/>
    <hyperlink r:id="rId290" ref="P304"/>
    <hyperlink r:id="rId291" ref="P305"/>
    <hyperlink r:id="rId292" ref="P306"/>
    <hyperlink r:id="rId293" ref="P307"/>
    <hyperlink r:id="rId294" ref="P308"/>
    <hyperlink r:id="rId295" ref="P309"/>
    <hyperlink r:id="rId296" ref="P310"/>
    <hyperlink r:id="rId297" ref="P313"/>
    <hyperlink r:id="rId298" ref="P314"/>
    <hyperlink r:id="rId299" ref="P315"/>
    <hyperlink r:id="rId300" ref="P316"/>
    <hyperlink r:id="rId301" ref="P317"/>
    <hyperlink r:id="rId302" ref="P328"/>
    <hyperlink r:id="rId303" ref="P329"/>
    <hyperlink r:id="rId304" ref="P330"/>
    <hyperlink r:id="rId305" ref="P331"/>
    <hyperlink r:id="rId306" ref="P332"/>
    <hyperlink r:id="rId307" ref="P333"/>
    <hyperlink r:id="rId308" ref="P338"/>
    <hyperlink r:id="rId309" ref="P339"/>
    <hyperlink r:id="rId310" ref="P340"/>
    <hyperlink r:id="rId311" ref="P341"/>
    <hyperlink r:id="rId312" ref="P342"/>
    <hyperlink r:id="rId313" ref="P343"/>
    <hyperlink r:id="rId314" ref="P344"/>
    <hyperlink r:id="rId315" ref="P345"/>
    <hyperlink r:id="rId316" ref="P346"/>
    <hyperlink r:id="rId317" ref="P347"/>
    <hyperlink r:id="rId318" ref="P348"/>
    <hyperlink r:id="rId319" ref="P349"/>
    <hyperlink r:id="rId320" ref="P350"/>
    <hyperlink r:id="rId321" ref="P351"/>
    <hyperlink r:id="rId322" ref="P352"/>
    <hyperlink r:id="rId323" ref="P353"/>
    <hyperlink r:id="rId324" ref="P354"/>
    <hyperlink r:id="rId325" ref="P355"/>
    <hyperlink r:id="rId326" ref="P356"/>
    <hyperlink r:id="rId327" ref="P357"/>
    <hyperlink r:id="rId328" ref="P358"/>
    <hyperlink r:id="rId329" ref="P359"/>
    <hyperlink r:id="rId330" ref="P360"/>
    <hyperlink r:id="rId331" ref="P361"/>
    <hyperlink r:id="rId332" ref="P362"/>
    <hyperlink r:id="rId333" ref="P363"/>
    <hyperlink r:id="rId334" ref="P364"/>
    <hyperlink r:id="rId335" ref="P365"/>
    <hyperlink r:id="rId336" ref="P366"/>
    <hyperlink r:id="rId337" ref="P367"/>
    <hyperlink r:id="rId338" ref="P368"/>
    <hyperlink r:id="rId339" ref="P369"/>
    <hyperlink r:id="rId340" ref="P370"/>
    <hyperlink r:id="rId341" ref="P371"/>
    <hyperlink r:id="rId342" ref="P372"/>
    <hyperlink r:id="rId343" ref="P373"/>
    <hyperlink r:id="rId344" ref="P374"/>
    <hyperlink r:id="rId345" ref="P375"/>
    <hyperlink r:id="rId346" ref="P376"/>
    <hyperlink r:id="rId347" ref="P377"/>
    <hyperlink r:id="rId348" ref="P378"/>
    <hyperlink r:id="rId349" ref="P379"/>
    <hyperlink r:id="rId350" ref="P380"/>
    <hyperlink r:id="rId351" ref="P381"/>
    <hyperlink r:id="rId352" ref="P382"/>
    <hyperlink r:id="rId353" ref="P383"/>
    <hyperlink r:id="rId354" ref="P384"/>
    <hyperlink r:id="rId355" ref="P385"/>
    <hyperlink r:id="rId356" ref="P386"/>
    <hyperlink r:id="rId357" ref="P387"/>
    <hyperlink r:id="rId358" ref="P388"/>
    <hyperlink r:id="rId359" ref="P389"/>
    <hyperlink r:id="rId360" ref="P390"/>
    <hyperlink r:id="rId361" ref="P391"/>
    <hyperlink r:id="rId362" ref="P392"/>
    <hyperlink r:id="rId363" ref="P393"/>
    <hyperlink r:id="rId364" ref="P394"/>
    <hyperlink r:id="rId365" ref="P395"/>
    <hyperlink r:id="rId366" ref="P396"/>
    <hyperlink r:id="rId367" ref="P397"/>
    <hyperlink r:id="rId368" ref="P398"/>
    <hyperlink r:id="rId369" ref="P399"/>
    <hyperlink r:id="rId370" ref="P400"/>
    <hyperlink r:id="rId371" ref="P401"/>
    <hyperlink r:id="rId372" ref="P402"/>
    <hyperlink r:id="rId373" ref="P403"/>
    <hyperlink r:id="rId374" ref="P404"/>
    <hyperlink r:id="rId375" ref="P405"/>
    <hyperlink r:id="rId376" ref="P406"/>
    <hyperlink r:id="rId377" ref="P407"/>
    <hyperlink r:id="rId378" ref="P408"/>
    <hyperlink r:id="rId379" ref="P409"/>
    <hyperlink r:id="rId380" ref="P410"/>
    <hyperlink r:id="rId381" ref="P411"/>
    <hyperlink r:id="rId382" ref="P412"/>
    <hyperlink r:id="rId383" ref="P413"/>
    <hyperlink r:id="rId384" ref="P414"/>
    <hyperlink r:id="rId385" ref="P415"/>
    <hyperlink r:id="rId386" ref="P416"/>
    <hyperlink r:id="rId387" ref="P417"/>
    <hyperlink r:id="rId388" ref="P418"/>
    <hyperlink r:id="rId389" ref="P419"/>
    <hyperlink r:id="rId390" ref="P420"/>
    <hyperlink r:id="rId391" ref="P421"/>
    <hyperlink r:id="rId392" ref="P422"/>
    <hyperlink r:id="rId393" ref="P423"/>
    <hyperlink r:id="rId394" ref="P424"/>
    <hyperlink r:id="rId395" ref="P425"/>
    <hyperlink r:id="rId396" ref="P426"/>
    <hyperlink r:id="rId397" ref="P427"/>
    <hyperlink r:id="rId398" ref="P428"/>
    <hyperlink r:id="rId399" ref="P429"/>
    <hyperlink r:id="rId400" ref="P430"/>
    <hyperlink r:id="rId401" ref="P431"/>
    <hyperlink r:id="rId402" ref="P432"/>
    <hyperlink r:id="rId403" ref="P433"/>
    <hyperlink r:id="rId404" ref="P434"/>
    <hyperlink r:id="rId405" ref="P435"/>
    <hyperlink r:id="rId406" ref="P436"/>
    <hyperlink r:id="rId407" ref="P437"/>
    <hyperlink r:id="rId408" ref="P438"/>
    <hyperlink r:id="rId409" ref="P439"/>
    <hyperlink r:id="rId410" ref="P440"/>
    <hyperlink r:id="rId411" ref="P441"/>
    <hyperlink r:id="rId412" ref="P442"/>
    <hyperlink r:id="rId413" ref="P443"/>
    <hyperlink r:id="rId414" ref="P444"/>
    <hyperlink r:id="rId415" ref="P445"/>
    <hyperlink r:id="rId416" ref="P446"/>
    <hyperlink r:id="rId417" ref="P447"/>
    <hyperlink r:id="rId418" ref="P448"/>
    <hyperlink r:id="rId419" ref="P449"/>
    <hyperlink r:id="rId420" location=":~:text=%22I'm%20going%20to%20Houston,granddaughter's%20birth%2C%22%20said%20Morrison.&amp;text=%22We%20actually%20came%20three%20hours,dangerous%20with%20the%20expected%20weather" ref="P450"/>
    <hyperlink r:id="rId421" ref="P451"/>
    <hyperlink r:id="rId422" ref="P452"/>
    <hyperlink r:id="rId423" ref="P453"/>
    <hyperlink r:id="rId424" ref="P454"/>
    <hyperlink r:id="rId425" ref="P455"/>
    <hyperlink r:id="rId426" ref="P456"/>
    <hyperlink r:id="rId427" ref="P457"/>
    <hyperlink r:id="rId428" ref="P460"/>
    <hyperlink r:id="rId429" ref="P461"/>
    <hyperlink r:id="rId430" ref="P462"/>
    <hyperlink r:id="rId431" ref="P463"/>
    <hyperlink r:id="rId432" ref="P464"/>
    <hyperlink r:id="rId433" ref="P465"/>
    <hyperlink r:id="rId434" ref="P466"/>
    <hyperlink r:id="rId435" ref="P467"/>
    <hyperlink r:id="rId436" ref="P468"/>
    <hyperlink r:id="rId437" ref="P469"/>
    <hyperlink r:id="rId438" ref="P470"/>
    <hyperlink r:id="rId439" ref="P473"/>
    <hyperlink r:id="rId440" ref="P474"/>
    <hyperlink r:id="rId441" ref="P475"/>
    <hyperlink r:id="rId442" ref="P476"/>
    <hyperlink r:id="rId443" ref="P477"/>
    <hyperlink r:id="rId444" ref="P478"/>
    <hyperlink r:id="rId445" ref="P479"/>
    <hyperlink r:id="rId446" ref="P480"/>
    <hyperlink r:id="rId447" ref="P481"/>
    <hyperlink r:id="rId448" ref="P482"/>
    <hyperlink r:id="rId449" ref="P483"/>
    <hyperlink r:id="rId450" ref="P485"/>
  </hyperlinks>
  <drawing r:id="rId45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5"/>
    <col customWidth="1" min="2" max="2" width="29.25"/>
    <col customWidth="1" min="3" max="3" width="26.13"/>
    <col customWidth="1" min="4" max="4" width="39.88"/>
    <col customWidth="1" min="5" max="26" width="21.13"/>
  </cols>
  <sheetData>
    <row r="1" ht="33.0" customHeight="1">
      <c r="A1" s="114" t="str">
        <f>IFERROR(__xludf.DUMMYFUNCTION("IMPORTRANGE(""https://docs.google.com/spreadsheets/d/1v24u0ycDMAN6KyPmcvGCkhszdC0i8StNaYU-fRzJxvM/edit?gid=818865393#gid=818865393"",""Countries DB!A:G"")"),"EU Countries")</f>
        <v>EU Countries</v>
      </c>
      <c r="B1" s="115"/>
      <c r="C1" s="115"/>
      <c r="D1" s="116"/>
      <c r="E1" s="31"/>
      <c r="F1" s="117"/>
      <c r="G1" s="118" t="str">
        <f>IFERROR(__xludf.DUMMYFUNCTION("""COMPUTED_VALUE"""),"EU Countries")</f>
        <v>EU Countries</v>
      </c>
      <c r="H1" s="117"/>
      <c r="I1" s="117"/>
      <c r="J1" s="117"/>
      <c r="K1" s="117"/>
      <c r="L1" s="117"/>
      <c r="M1" s="117"/>
      <c r="N1" s="117"/>
      <c r="O1" s="117"/>
      <c r="P1" s="117"/>
      <c r="Q1" s="117"/>
      <c r="R1" s="117"/>
      <c r="S1" s="117"/>
      <c r="T1" s="117"/>
      <c r="U1" s="117"/>
      <c r="V1" s="117"/>
      <c r="W1" s="117"/>
      <c r="X1" s="117"/>
      <c r="Y1" s="117"/>
      <c r="Z1" s="117"/>
    </row>
    <row r="2" ht="33.0" customHeight="1">
      <c r="A2" s="119" t="str">
        <f>IFERROR(__xludf.DUMMYFUNCTION("""COMPUTED_VALUE"""),"Austria")</f>
        <v>Austria</v>
      </c>
      <c r="B2" s="119" t="str">
        <f>IFERROR(__xludf.DUMMYFUNCTION("""COMPUTED_VALUE"""),"Hungary")</f>
        <v>Hungary</v>
      </c>
      <c r="C2" s="119" t="str">
        <f>IFERROR(__xludf.DUMMYFUNCTION("""COMPUTED_VALUE"""),"Poland")</f>
        <v>Poland</v>
      </c>
      <c r="D2" s="116"/>
      <c r="E2" s="31"/>
      <c r="F2" s="117"/>
      <c r="G2" s="120" t="str">
        <f>IFERROR(__xludf.DUMMYFUNCTION("""COMPUTED_VALUE"""),"Croatia")</f>
        <v>Croatia</v>
      </c>
      <c r="H2" s="117"/>
      <c r="I2" s="117"/>
      <c r="J2" s="117"/>
      <c r="K2" s="117"/>
      <c r="L2" s="117"/>
      <c r="M2" s="117"/>
      <c r="N2" s="117"/>
      <c r="O2" s="117"/>
      <c r="P2" s="117"/>
      <c r="Q2" s="117"/>
      <c r="R2" s="117"/>
      <c r="S2" s="117"/>
      <c r="T2" s="117"/>
      <c r="U2" s="117"/>
      <c r="V2" s="117"/>
      <c r="W2" s="117"/>
      <c r="X2" s="117"/>
      <c r="Y2" s="117"/>
      <c r="Z2" s="117"/>
    </row>
    <row r="3" ht="33.0" customHeight="1">
      <c r="A3" s="119" t="str">
        <f>IFERROR(__xludf.DUMMYFUNCTION("""COMPUTED_VALUE"""),"Belgium")</f>
        <v>Belgium</v>
      </c>
      <c r="B3" s="119" t="str">
        <f>IFERROR(__xludf.DUMMYFUNCTION("""COMPUTED_VALUE"""),"Iceland")</f>
        <v>Iceland</v>
      </c>
      <c r="C3" s="119" t="str">
        <f>IFERROR(__xludf.DUMMYFUNCTION("""COMPUTED_VALUE"""),"Portugal")</f>
        <v>Portugal</v>
      </c>
      <c r="D3" s="121"/>
      <c r="E3" s="117"/>
      <c r="F3" s="117"/>
      <c r="G3" s="121" t="str">
        <f>IFERROR(__xludf.DUMMYFUNCTION("""COMPUTED_VALUE"""),"Austria")</f>
        <v>Austria</v>
      </c>
      <c r="H3" s="117"/>
      <c r="I3" s="117"/>
      <c r="J3" s="117"/>
      <c r="K3" s="117"/>
      <c r="L3" s="117"/>
      <c r="M3" s="117"/>
      <c r="N3" s="117"/>
      <c r="O3" s="117"/>
      <c r="P3" s="117"/>
      <c r="Q3" s="117"/>
      <c r="R3" s="117"/>
      <c r="S3" s="117"/>
      <c r="T3" s="117"/>
      <c r="U3" s="117"/>
      <c r="V3" s="117"/>
      <c r="W3" s="117"/>
      <c r="X3" s="117"/>
      <c r="Y3" s="117"/>
      <c r="Z3" s="117"/>
    </row>
    <row r="4" ht="33.0" customHeight="1">
      <c r="A4" s="119" t="str">
        <f>IFERROR(__xludf.DUMMYFUNCTION("""COMPUTED_VALUE"""),"Bulgaria")</f>
        <v>Bulgaria</v>
      </c>
      <c r="B4" s="119" t="str">
        <f>IFERROR(__xludf.DUMMYFUNCTION("""COMPUTED_VALUE"""),"Ireland")</f>
        <v>Ireland</v>
      </c>
      <c r="C4" s="119" t="str">
        <f>IFERROR(__xludf.DUMMYFUNCTION("""COMPUTED_VALUE"""),"Cyprus")</f>
        <v>Cyprus</v>
      </c>
      <c r="D4" s="121"/>
      <c r="E4" s="117"/>
      <c r="F4" s="117"/>
      <c r="G4" s="121" t="str">
        <f>IFERROR(__xludf.DUMMYFUNCTION("""COMPUTED_VALUE"""),"Belgium")</f>
        <v>Belgium</v>
      </c>
      <c r="H4" s="117"/>
      <c r="I4" s="117"/>
      <c r="J4" s="117"/>
      <c r="K4" s="117"/>
      <c r="L4" s="117"/>
      <c r="M4" s="117"/>
      <c r="N4" s="117"/>
      <c r="O4" s="117"/>
      <c r="P4" s="117"/>
      <c r="Q4" s="117"/>
      <c r="R4" s="117"/>
      <c r="S4" s="117"/>
      <c r="T4" s="117"/>
      <c r="U4" s="117"/>
      <c r="V4" s="117"/>
      <c r="W4" s="117"/>
      <c r="X4" s="117"/>
      <c r="Y4" s="117"/>
      <c r="Z4" s="117"/>
    </row>
    <row r="5" ht="33.0" customHeight="1">
      <c r="A5" s="119" t="str">
        <f>IFERROR(__xludf.DUMMYFUNCTION("""COMPUTED_VALUE"""),"Croatia")</f>
        <v>Croatia</v>
      </c>
      <c r="B5" s="119" t="str">
        <f>IFERROR(__xludf.DUMMYFUNCTION("""COMPUTED_VALUE"""),"Italy")</f>
        <v>Italy</v>
      </c>
      <c r="C5" s="119" t="str">
        <f>IFERROR(__xludf.DUMMYFUNCTION("""COMPUTED_VALUE"""),"Romania")</f>
        <v>Romania</v>
      </c>
      <c r="D5" s="121"/>
      <c r="E5" s="117"/>
      <c r="F5" s="117"/>
      <c r="G5" s="121" t="str">
        <f>IFERROR(__xludf.DUMMYFUNCTION("""COMPUTED_VALUE"""),"Bulgaria")</f>
        <v>Bulgaria</v>
      </c>
      <c r="H5" s="117"/>
      <c r="I5" s="117"/>
      <c r="J5" s="117"/>
      <c r="K5" s="117"/>
      <c r="L5" s="117"/>
      <c r="M5" s="117"/>
      <c r="N5" s="117"/>
      <c r="O5" s="117"/>
      <c r="P5" s="117"/>
      <c r="Q5" s="117"/>
      <c r="R5" s="117"/>
      <c r="S5" s="117"/>
      <c r="T5" s="117"/>
      <c r="U5" s="117"/>
      <c r="V5" s="117"/>
      <c r="W5" s="117"/>
      <c r="X5" s="117"/>
      <c r="Y5" s="117"/>
      <c r="Z5" s="117"/>
    </row>
    <row r="6" ht="33.0" customHeight="1">
      <c r="A6" s="119" t="str">
        <f>IFERROR(__xludf.DUMMYFUNCTION("""COMPUTED_VALUE"""),"Czech Republic")</f>
        <v>Czech Republic</v>
      </c>
      <c r="B6" s="119" t="str">
        <f>IFERROR(__xludf.DUMMYFUNCTION("""COMPUTED_VALUE"""),"Latvia")</f>
        <v>Latvia</v>
      </c>
      <c r="C6" s="119" t="str">
        <f>IFERROR(__xludf.DUMMYFUNCTION("""COMPUTED_VALUE"""),"Slovakia")</f>
        <v>Slovakia</v>
      </c>
      <c r="D6" s="121"/>
      <c r="E6" s="117"/>
      <c r="F6" s="117"/>
      <c r="G6" s="121" t="str">
        <f>IFERROR(__xludf.DUMMYFUNCTION("""COMPUTED_VALUE"""),"Croatia")</f>
        <v>Croatia</v>
      </c>
      <c r="H6" s="117"/>
      <c r="I6" s="117"/>
      <c r="J6" s="117"/>
      <c r="K6" s="117"/>
      <c r="L6" s="117"/>
      <c r="M6" s="117"/>
      <c r="N6" s="117"/>
      <c r="O6" s="117"/>
      <c r="P6" s="117"/>
      <c r="Q6" s="117"/>
      <c r="R6" s="117"/>
      <c r="S6" s="117"/>
      <c r="T6" s="117"/>
      <c r="U6" s="117"/>
      <c r="V6" s="117"/>
      <c r="W6" s="117"/>
      <c r="X6" s="117"/>
      <c r="Y6" s="117"/>
      <c r="Z6" s="117"/>
    </row>
    <row r="7" ht="33.0" customHeight="1">
      <c r="A7" s="119" t="str">
        <f>IFERROR(__xludf.DUMMYFUNCTION("""COMPUTED_VALUE"""),"Denmark")</f>
        <v>Denmark</v>
      </c>
      <c r="B7" s="119" t="str">
        <f>IFERROR(__xludf.DUMMYFUNCTION("""COMPUTED_VALUE"""),"Liechtenstein")</f>
        <v>Liechtenstein</v>
      </c>
      <c r="C7" s="119" t="str">
        <f>IFERROR(__xludf.DUMMYFUNCTION("""COMPUTED_VALUE"""),"Slovenia")</f>
        <v>Slovenia</v>
      </c>
      <c r="D7" s="121"/>
      <c r="E7" s="117"/>
      <c r="F7" s="117"/>
      <c r="G7" s="121" t="str">
        <f>IFERROR(__xludf.DUMMYFUNCTION("""COMPUTED_VALUE"""),"Denmark")</f>
        <v>Denmark</v>
      </c>
      <c r="H7" s="117"/>
      <c r="I7" s="117"/>
      <c r="J7" s="117"/>
      <c r="K7" s="117"/>
      <c r="L7" s="117"/>
      <c r="M7" s="117"/>
      <c r="N7" s="117"/>
      <c r="O7" s="117"/>
      <c r="P7" s="117"/>
      <c r="Q7" s="117"/>
      <c r="R7" s="117"/>
      <c r="S7" s="117"/>
      <c r="T7" s="117"/>
      <c r="U7" s="117"/>
      <c r="V7" s="117"/>
      <c r="W7" s="117"/>
      <c r="X7" s="117"/>
      <c r="Y7" s="117"/>
      <c r="Z7" s="117"/>
    </row>
    <row r="8" ht="33.0" customHeight="1">
      <c r="A8" s="119" t="str">
        <f>IFERROR(__xludf.DUMMYFUNCTION("""COMPUTED_VALUE"""),"Estonia")</f>
        <v>Estonia</v>
      </c>
      <c r="B8" s="119" t="str">
        <f>IFERROR(__xludf.DUMMYFUNCTION("""COMPUTED_VALUE"""),"Lithuania")</f>
        <v>Lithuania</v>
      </c>
      <c r="C8" s="119" t="str">
        <f>IFERROR(__xludf.DUMMYFUNCTION("""COMPUTED_VALUE"""),"Spain")</f>
        <v>Spain</v>
      </c>
      <c r="D8" s="121"/>
      <c r="E8" s="117"/>
      <c r="F8" s="117"/>
      <c r="G8" s="121" t="str">
        <f>IFERROR(__xludf.DUMMYFUNCTION("""COMPUTED_VALUE"""),"Estonia")</f>
        <v>Estonia</v>
      </c>
      <c r="H8" s="117"/>
      <c r="I8" s="117"/>
      <c r="J8" s="117"/>
      <c r="K8" s="117"/>
      <c r="L8" s="117"/>
      <c r="M8" s="117"/>
      <c r="N8" s="117"/>
      <c r="O8" s="117"/>
      <c r="P8" s="117"/>
      <c r="Q8" s="117"/>
      <c r="R8" s="117"/>
      <c r="S8" s="117"/>
      <c r="T8" s="117"/>
      <c r="U8" s="117"/>
      <c r="V8" s="117"/>
      <c r="W8" s="117"/>
      <c r="X8" s="117"/>
      <c r="Y8" s="117"/>
      <c r="Z8" s="117"/>
    </row>
    <row r="9" ht="33.0" customHeight="1">
      <c r="A9" s="119" t="str">
        <f>IFERROR(__xludf.DUMMYFUNCTION("""COMPUTED_VALUE"""),"Finland")</f>
        <v>Finland</v>
      </c>
      <c r="B9" s="119" t="str">
        <f>IFERROR(__xludf.DUMMYFUNCTION("""COMPUTED_VALUE"""),"Luxembourg")</f>
        <v>Luxembourg</v>
      </c>
      <c r="C9" s="119" t="str">
        <f>IFERROR(__xludf.DUMMYFUNCTION("""COMPUTED_VALUE"""),"Sweden")</f>
        <v>Sweden</v>
      </c>
      <c r="D9" s="121"/>
      <c r="E9" s="117"/>
      <c r="F9" s="117"/>
      <c r="G9" s="121" t="str">
        <f>IFERROR(__xludf.DUMMYFUNCTION("""COMPUTED_VALUE"""),"Finland")</f>
        <v>Finland</v>
      </c>
      <c r="H9" s="117"/>
      <c r="I9" s="117"/>
      <c r="J9" s="117"/>
      <c r="K9" s="117"/>
      <c r="L9" s="117"/>
      <c r="M9" s="117"/>
      <c r="N9" s="117"/>
      <c r="O9" s="117"/>
      <c r="P9" s="117"/>
      <c r="Q9" s="117"/>
      <c r="R9" s="117"/>
      <c r="S9" s="117"/>
      <c r="T9" s="117"/>
      <c r="U9" s="117"/>
      <c r="V9" s="117"/>
      <c r="W9" s="117"/>
      <c r="X9" s="117"/>
      <c r="Y9" s="117"/>
      <c r="Z9" s="117"/>
    </row>
    <row r="10" ht="33.0" customHeight="1">
      <c r="A10" s="119" t="str">
        <f>IFERROR(__xludf.DUMMYFUNCTION("""COMPUTED_VALUE"""),"France")</f>
        <v>France</v>
      </c>
      <c r="B10" s="119" t="str">
        <f>IFERROR(__xludf.DUMMYFUNCTION("""COMPUTED_VALUE"""),"Malta")</f>
        <v>Malta</v>
      </c>
      <c r="C10" s="119" t="str">
        <f>IFERROR(__xludf.DUMMYFUNCTION("""COMPUTED_VALUE"""),"Switzerland")</f>
        <v>Switzerland</v>
      </c>
      <c r="D10" s="56"/>
      <c r="E10" s="117"/>
      <c r="F10" s="117"/>
      <c r="G10" s="121" t="str">
        <f>IFERROR(__xludf.DUMMYFUNCTION("""COMPUTED_VALUE"""),"France")</f>
        <v>France</v>
      </c>
      <c r="H10" s="117"/>
      <c r="I10" s="117"/>
      <c r="J10" s="117"/>
      <c r="K10" s="117"/>
      <c r="L10" s="117"/>
      <c r="M10" s="117"/>
      <c r="N10" s="117"/>
      <c r="O10" s="117"/>
      <c r="P10" s="117"/>
      <c r="Q10" s="117"/>
      <c r="R10" s="117"/>
      <c r="S10" s="117"/>
      <c r="T10" s="117"/>
      <c r="U10" s="117"/>
      <c r="V10" s="117"/>
      <c r="W10" s="117"/>
      <c r="X10" s="117"/>
      <c r="Y10" s="117"/>
      <c r="Z10" s="117"/>
    </row>
    <row r="11" ht="33.0" customHeight="1">
      <c r="A11" s="119" t="str">
        <f>IFERROR(__xludf.DUMMYFUNCTION("""COMPUTED_VALUE"""),"Germany")</f>
        <v>Germany</v>
      </c>
      <c r="B11" s="119" t="str">
        <f>IFERROR(__xludf.DUMMYFUNCTION("""COMPUTED_VALUE"""),"Netherlands")</f>
        <v>Netherlands</v>
      </c>
      <c r="C11" s="119" t="str">
        <f>IFERROR(__xludf.DUMMYFUNCTION("""COMPUTED_VALUE"""),"United Kingdom")</f>
        <v>United Kingdom</v>
      </c>
      <c r="D11" s="122"/>
      <c r="E11" s="117"/>
      <c r="F11" s="117"/>
      <c r="G11" s="121" t="str">
        <f>IFERROR(__xludf.DUMMYFUNCTION("""COMPUTED_VALUE"""),"Germany")</f>
        <v>Germany</v>
      </c>
      <c r="H11" s="117"/>
      <c r="I11" s="117"/>
      <c r="J11" s="117"/>
      <c r="K11" s="117"/>
      <c r="L11" s="117"/>
      <c r="M11" s="117"/>
      <c r="N11" s="117"/>
      <c r="O11" s="117"/>
      <c r="P11" s="117"/>
      <c r="Q11" s="117"/>
      <c r="R11" s="117"/>
      <c r="S11" s="117"/>
      <c r="T11" s="117"/>
      <c r="U11" s="117"/>
      <c r="V11" s="117"/>
      <c r="W11" s="117"/>
      <c r="X11" s="117"/>
      <c r="Y11" s="117"/>
      <c r="Z11" s="117"/>
    </row>
    <row r="12" ht="33.0" customHeight="1">
      <c r="A12" s="119" t="str">
        <f>IFERROR(__xludf.DUMMYFUNCTION("""COMPUTED_VALUE"""),"Greece")</f>
        <v>Greece</v>
      </c>
      <c r="B12" s="119" t="str">
        <f>IFERROR(__xludf.DUMMYFUNCTION("""COMPUTED_VALUE"""),"Norway")</f>
        <v>Norway</v>
      </c>
      <c r="C12" s="123"/>
      <c r="D12" s="122"/>
      <c r="E12" s="117"/>
      <c r="F12" s="117"/>
      <c r="G12" s="121" t="str">
        <f>IFERROR(__xludf.DUMMYFUNCTION("""COMPUTED_VALUE"""),"Greece")</f>
        <v>Greece</v>
      </c>
      <c r="H12" s="117"/>
      <c r="I12" s="117"/>
      <c r="J12" s="117"/>
      <c r="K12" s="117"/>
      <c r="L12" s="117"/>
      <c r="M12" s="117"/>
      <c r="N12" s="117"/>
      <c r="O12" s="117"/>
      <c r="P12" s="117"/>
      <c r="Q12" s="117"/>
      <c r="R12" s="117"/>
      <c r="S12" s="117"/>
      <c r="T12" s="117"/>
      <c r="U12" s="117"/>
      <c r="V12" s="117"/>
      <c r="W12" s="117"/>
      <c r="X12" s="117"/>
      <c r="Y12" s="117"/>
      <c r="Z12" s="117"/>
    </row>
    <row r="13" ht="33.0" customHeight="1">
      <c r="A13" s="119" t="str">
        <f>IFERROR(__xludf.DUMMYFUNCTION("""COMPUTED_VALUE"""),"Turkey")</f>
        <v>Turkey</v>
      </c>
      <c r="B13" s="124" t="str">
        <f>IFERROR(__xludf.DUMMYFUNCTION("""COMPUTED_VALUE"""),"Departures from Turkish country are eligible (cancelled, denied boarding or delayed more than 5hrs) before 2025.")</f>
        <v>Departures from Turkish country are eligible (cancelled, denied boarding or delayed more than 5hrs) before 2025.</v>
      </c>
      <c r="C13" s="123"/>
      <c r="D13" s="122"/>
      <c r="E13" s="117"/>
      <c r="F13" s="117"/>
      <c r="G13" s="121" t="str">
        <f>IFERROR(__xludf.DUMMYFUNCTION("""COMPUTED_VALUE"""),"Hungary")</f>
        <v>Hungary</v>
      </c>
      <c r="H13" s="117"/>
      <c r="I13" s="117"/>
      <c r="J13" s="117"/>
      <c r="K13" s="117"/>
      <c r="L13" s="117"/>
      <c r="M13" s="117"/>
      <c r="N13" s="117"/>
      <c r="O13" s="117"/>
      <c r="P13" s="117"/>
      <c r="Q13" s="117"/>
      <c r="R13" s="117"/>
      <c r="S13" s="117"/>
      <c r="T13" s="117"/>
      <c r="U13" s="117"/>
      <c r="V13" s="117"/>
      <c r="W13" s="117"/>
      <c r="X13" s="117"/>
      <c r="Y13" s="117"/>
      <c r="Z13" s="117"/>
    </row>
    <row r="14" ht="33.0" customHeight="1">
      <c r="A14" s="31"/>
      <c r="B14" s="31"/>
      <c r="C14" s="117"/>
      <c r="D14" s="117"/>
      <c r="E14" s="117"/>
      <c r="F14" s="117"/>
      <c r="G14" s="121" t="str">
        <f>IFERROR(__xludf.DUMMYFUNCTION("""COMPUTED_VALUE"""),"Iceland")</f>
        <v>Iceland</v>
      </c>
      <c r="H14" s="117"/>
      <c r="I14" s="117"/>
      <c r="J14" s="117"/>
      <c r="K14" s="117"/>
      <c r="L14" s="117"/>
      <c r="M14" s="117"/>
      <c r="N14" s="117"/>
      <c r="O14" s="117"/>
      <c r="P14" s="117"/>
      <c r="Q14" s="117"/>
      <c r="R14" s="117"/>
      <c r="S14" s="117"/>
      <c r="T14" s="117"/>
      <c r="U14" s="117"/>
      <c r="V14" s="117"/>
      <c r="W14" s="117"/>
      <c r="X14" s="117"/>
      <c r="Y14" s="117"/>
      <c r="Z14" s="117"/>
    </row>
    <row r="15" ht="33.0" customHeight="1">
      <c r="A15" s="31"/>
      <c r="B15" s="31"/>
      <c r="C15" s="117"/>
      <c r="D15" s="117"/>
      <c r="E15" s="117"/>
      <c r="F15" s="117"/>
      <c r="G15" s="121" t="str">
        <f>IFERROR(__xludf.DUMMYFUNCTION("""COMPUTED_VALUE"""),"Ireland")</f>
        <v>Ireland</v>
      </c>
      <c r="H15" s="117"/>
      <c r="I15" s="117"/>
      <c r="J15" s="117"/>
      <c r="K15" s="117"/>
      <c r="L15" s="117"/>
      <c r="M15" s="117"/>
      <c r="N15" s="117"/>
      <c r="O15" s="117"/>
      <c r="P15" s="117"/>
      <c r="Q15" s="117"/>
      <c r="R15" s="117"/>
      <c r="S15" s="117"/>
      <c r="T15" s="117"/>
      <c r="U15" s="117"/>
      <c r="V15" s="117"/>
      <c r="W15" s="117"/>
      <c r="X15" s="117"/>
      <c r="Y15" s="117"/>
      <c r="Z15" s="117"/>
    </row>
    <row r="16" ht="33.0" customHeight="1">
      <c r="A16" s="31"/>
      <c r="B16" s="31"/>
      <c r="C16" s="117"/>
      <c r="D16" s="117"/>
      <c r="E16" s="117"/>
      <c r="F16" s="117"/>
      <c r="G16" s="121" t="str">
        <f>IFERROR(__xludf.DUMMYFUNCTION("""COMPUTED_VALUE"""),"Italy")</f>
        <v>Italy</v>
      </c>
      <c r="H16" s="117"/>
      <c r="I16" s="117"/>
      <c r="J16" s="117"/>
      <c r="K16" s="117"/>
      <c r="L16" s="117"/>
      <c r="M16" s="117"/>
      <c r="N16" s="117"/>
      <c r="O16" s="117"/>
      <c r="P16" s="117"/>
      <c r="Q16" s="117"/>
      <c r="R16" s="117"/>
      <c r="S16" s="117"/>
      <c r="T16" s="117"/>
      <c r="U16" s="117"/>
      <c r="V16" s="117"/>
      <c r="W16" s="117"/>
      <c r="X16" s="117"/>
      <c r="Y16" s="117"/>
      <c r="Z16" s="117"/>
    </row>
    <row r="17" ht="33.0" customHeight="1">
      <c r="A17" s="31"/>
      <c r="B17" s="31"/>
      <c r="C17" s="117"/>
      <c r="D17" s="117"/>
      <c r="E17" s="117"/>
      <c r="F17" s="117"/>
      <c r="G17" s="121" t="str">
        <f>IFERROR(__xludf.DUMMYFUNCTION("""COMPUTED_VALUE"""),"Latvia")</f>
        <v>Latvia</v>
      </c>
      <c r="H17" s="117"/>
      <c r="I17" s="117"/>
      <c r="J17" s="117"/>
      <c r="K17" s="117"/>
      <c r="L17" s="117"/>
      <c r="M17" s="117"/>
      <c r="N17" s="117"/>
      <c r="O17" s="117"/>
      <c r="P17" s="117"/>
      <c r="Q17" s="117"/>
      <c r="R17" s="117"/>
      <c r="S17" s="117"/>
      <c r="T17" s="117"/>
      <c r="U17" s="117"/>
      <c r="V17" s="117"/>
      <c r="W17" s="117"/>
      <c r="X17" s="117"/>
      <c r="Y17" s="117"/>
      <c r="Z17" s="117"/>
    </row>
    <row r="18" ht="33.0" customHeight="1">
      <c r="A18" s="31"/>
      <c r="B18" s="121"/>
      <c r="C18" s="117"/>
      <c r="D18" s="117"/>
      <c r="E18" s="117"/>
      <c r="F18" s="117"/>
      <c r="G18" s="121" t="str">
        <f>IFERROR(__xludf.DUMMYFUNCTION("""COMPUTED_VALUE"""),"Lithuania")</f>
        <v>Lithuania</v>
      </c>
      <c r="H18" s="117"/>
      <c r="I18" s="117"/>
      <c r="J18" s="117"/>
      <c r="K18" s="117"/>
      <c r="L18" s="117"/>
      <c r="M18" s="117"/>
      <c r="N18" s="117"/>
      <c r="O18" s="117"/>
      <c r="P18" s="117"/>
      <c r="Q18" s="117"/>
      <c r="R18" s="117"/>
      <c r="S18" s="117"/>
      <c r="T18" s="117"/>
      <c r="U18" s="117"/>
      <c r="V18" s="117"/>
      <c r="W18" s="117"/>
      <c r="X18" s="117"/>
      <c r="Y18" s="117"/>
      <c r="Z18" s="117"/>
    </row>
    <row r="19" ht="33.0" customHeight="1">
      <c r="A19" s="31"/>
      <c r="B19" s="31"/>
      <c r="C19" s="117"/>
      <c r="D19" s="117"/>
      <c r="E19" s="117"/>
      <c r="F19" s="117"/>
      <c r="G19" s="121" t="str">
        <f>IFERROR(__xludf.DUMMYFUNCTION("""COMPUTED_VALUE"""),"Luxembourg")</f>
        <v>Luxembourg</v>
      </c>
      <c r="H19" s="117"/>
      <c r="I19" s="117"/>
      <c r="J19" s="117"/>
      <c r="K19" s="117"/>
      <c r="L19" s="117"/>
      <c r="M19" s="117"/>
      <c r="N19" s="117"/>
      <c r="O19" s="117"/>
      <c r="P19" s="117"/>
      <c r="Q19" s="117"/>
      <c r="R19" s="117"/>
      <c r="S19" s="117"/>
      <c r="T19" s="117"/>
      <c r="U19" s="117"/>
      <c r="V19" s="117"/>
      <c r="W19" s="117"/>
      <c r="X19" s="117"/>
      <c r="Y19" s="117"/>
      <c r="Z19" s="117"/>
    </row>
    <row r="20" ht="33.0" customHeight="1">
      <c r="A20" s="31"/>
      <c r="B20" s="31"/>
      <c r="C20" s="117"/>
      <c r="D20" s="117"/>
      <c r="E20" s="117"/>
      <c r="F20" s="117"/>
      <c r="G20" s="121" t="str">
        <f>IFERROR(__xludf.DUMMYFUNCTION("""COMPUTED_VALUE"""),"Malta")</f>
        <v>Malta</v>
      </c>
      <c r="H20" s="117"/>
      <c r="I20" s="117"/>
      <c r="J20" s="117"/>
      <c r="K20" s="117"/>
      <c r="L20" s="117"/>
      <c r="M20" s="117"/>
      <c r="N20" s="117"/>
      <c r="O20" s="117"/>
      <c r="P20" s="117"/>
      <c r="Q20" s="117"/>
      <c r="R20" s="117"/>
      <c r="S20" s="117"/>
      <c r="T20" s="117"/>
      <c r="U20" s="117"/>
      <c r="V20" s="117"/>
      <c r="W20" s="117"/>
      <c r="X20" s="117"/>
      <c r="Y20" s="117"/>
      <c r="Z20" s="117"/>
    </row>
    <row r="21" ht="33.0" customHeight="1">
      <c r="A21" s="31"/>
      <c r="B21" s="31"/>
      <c r="C21" s="117"/>
      <c r="D21" s="117"/>
      <c r="E21" s="117"/>
      <c r="F21" s="117"/>
      <c r="G21" s="121" t="str">
        <f>IFERROR(__xludf.DUMMYFUNCTION("""COMPUTED_VALUE"""),"Netherlands")</f>
        <v>Netherlands</v>
      </c>
      <c r="H21" s="117"/>
      <c r="I21" s="117"/>
      <c r="J21" s="117"/>
      <c r="K21" s="117"/>
      <c r="L21" s="117"/>
      <c r="M21" s="117"/>
      <c r="N21" s="117"/>
      <c r="O21" s="117"/>
      <c r="P21" s="117"/>
      <c r="Q21" s="117"/>
      <c r="R21" s="117"/>
      <c r="S21" s="117"/>
      <c r="T21" s="117"/>
      <c r="U21" s="117"/>
      <c r="V21" s="117"/>
      <c r="W21" s="117"/>
      <c r="X21" s="117"/>
      <c r="Y21" s="117"/>
      <c r="Z21" s="117"/>
    </row>
    <row r="22" ht="33.0" customHeight="1">
      <c r="A22" s="31"/>
      <c r="B22" s="31"/>
      <c r="C22" s="117"/>
      <c r="D22" s="117"/>
      <c r="E22" s="117"/>
      <c r="F22" s="117"/>
      <c r="G22" s="121" t="str">
        <f>IFERROR(__xludf.DUMMYFUNCTION("""COMPUTED_VALUE"""),"Norway")</f>
        <v>Norway</v>
      </c>
      <c r="H22" s="117"/>
      <c r="I22" s="117"/>
      <c r="J22" s="117"/>
      <c r="K22" s="117"/>
      <c r="L22" s="117"/>
      <c r="M22" s="117"/>
      <c r="N22" s="117"/>
      <c r="O22" s="117"/>
      <c r="P22" s="117"/>
      <c r="Q22" s="117"/>
      <c r="R22" s="117"/>
      <c r="S22" s="117"/>
      <c r="T22" s="117"/>
      <c r="U22" s="117"/>
      <c r="V22" s="117"/>
      <c r="W22" s="117"/>
      <c r="X22" s="117"/>
      <c r="Y22" s="117"/>
      <c r="Z22" s="117"/>
    </row>
    <row r="23" ht="33.0" customHeight="1">
      <c r="A23" s="31"/>
      <c r="B23" s="31"/>
      <c r="C23" s="117"/>
      <c r="D23" s="117"/>
      <c r="E23" s="117"/>
      <c r="F23" s="117"/>
      <c r="G23" s="121" t="str">
        <f>IFERROR(__xludf.DUMMYFUNCTION("""COMPUTED_VALUE"""),"Poland")</f>
        <v>Poland</v>
      </c>
      <c r="H23" s="117"/>
      <c r="I23" s="117"/>
      <c r="J23" s="117"/>
      <c r="K23" s="117"/>
      <c r="L23" s="117"/>
      <c r="M23" s="117"/>
      <c r="N23" s="117"/>
      <c r="O23" s="117"/>
      <c r="P23" s="117"/>
      <c r="Q23" s="117"/>
      <c r="R23" s="117"/>
      <c r="S23" s="117"/>
      <c r="T23" s="117"/>
      <c r="U23" s="117"/>
      <c r="V23" s="117"/>
      <c r="W23" s="117"/>
      <c r="X23" s="117"/>
      <c r="Y23" s="117"/>
      <c r="Z23" s="117"/>
    </row>
    <row r="24" ht="33.0" customHeight="1">
      <c r="A24" s="31"/>
      <c r="B24" s="31"/>
      <c r="C24" s="117"/>
      <c r="D24" s="117"/>
      <c r="E24" s="117"/>
      <c r="F24" s="117"/>
      <c r="G24" s="121" t="str">
        <f>IFERROR(__xludf.DUMMYFUNCTION("""COMPUTED_VALUE"""),"Portugal")</f>
        <v>Portugal</v>
      </c>
      <c r="H24" s="117"/>
      <c r="I24" s="117"/>
      <c r="J24" s="117"/>
      <c r="K24" s="117"/>
      <c r="L24" s="117"/>
      <c r="M24" s="117"/>
      <c r="N24" s="117"/>
      <c r="O24" s="117"/>
      <c r="P24" s="117"/>
      <c r="Q24" s="117"/>
      <c r="R24" s="117"/>
      <c r="S24" s="117"/>
      <c r="T24" s="117"/>
      <c r="U24" s="117"/>
      <c r="V24" s="117"/>
      <c r="W24" s="117"/>
      <c r="X24" s="117"/>
      <c r="Y24" s="117"/>
      <c r="Z24" s="117"/>
    </row>
    <row r="25" ht="33.0" customHeight="1">
      <c r="A25" s="31"/>
      <c r="B25" s="31"/>
      <c r="C25" s="117"/>
      <c r="D25" s="117"/>
      <c r="E25" s="117"/>
      <c r="F25" s="117"/>
      <c r="G25" s="121" t="str">
        <f>IFERROR(__xludf.DUMMYFUNCTION("""COMPUTED_VALUE"""),"Cyprus")</f>
        <v>Cyprus</v>
      </c>
      <c r="H25" s="117"/>
      <c r="I25" s="117"/>
      <c r="J25" s="117"/>
      <c r="K25" s="117"/>
      <c r="L25" s="117"/>
      <c r="M25" s="117"/>
      <c r="N25" s="117"/>
      <c r="O25" s="117"/>
      <c r="P25" s="117"/>
      <c r="Q25" s="117"/>
      <c r="R25" s="117"/>
      <c r="S25" s="117"/>
      <c r="T25" s="117"/>
      <c r="U25" s="117"/>
      <c r="V25" s="117"/>
      <c r="W25" s="117"/>
      <c r="X25" s="117"/>
      <c r="Y25" s="117"/>
      <c r="Z25" s="117"/>
    </row>
    <row r="26" ht="33.0" customHeight="1">
      <c r="A26" s="31"/>
      <c r="B26" s="31"/>
      <c r="C26" s="117"/>
      <c r="D26" s="117"/>
      <c r="E26" s="117"/>
      <c r="F26" s="117"/>
      <c r="G26" s="121" t="str">
        <f>IFERROR(__xludf.DUMMYFUNCTION("""COMPUTED_VALUE"""),"Romania")</f>
        <v>Romania</v>
      </c>
      <c r="H26" s="117"/>
      <c r="I26" s="117"/>
      <c r="J26" s="117"/>
      <c r="K26" s="117"/>
      <c r="L26" s="117"/>
      <c r="M26" s="117"/>
      <c r="N26" s="117"/>
      <c r="O26" s="117"/>
      <c r="P26" s="117"/>
      <c r="Q26" s="117"/>
      <c r="R26" s="117"/>
      <c r="S26" s="117"/>
      <c r="T26" s="117"/>
      <c r="U26" s="117"/>
      <c r="V26" s="117"/>
      <c r="W26" s="117"/>
      <c r="X26" s="117"/>
      <c r="Y26" s="117"/>
      <c r="Z26" s="117"/>
    </row>
    <row r="27" ht="33.0" customHeight="1">
      <c r="A27" s="31"/>
      <c r="B27" s="31"/>
      <c r="C27" s="117"/>
      <c r="D27" s="117"/>
      <c r="E27" s="117"/>
      <c r="F27" s="117"/>
      <c r="G27" s="121" t="str">
        <f>IFERROR(__xludf.DUMMYFUNCTION("""COMPUTED_VALUE"""),"Slovenia")</f>
        <v>Slovenia</v>
      </c>
      <c r="H27" s="117"/>
      <c r="I27" s="117"/>
      <c r="J27" s="117"/>
      <c r="K27" s="117"/>
      <c r="L27" s="117"/>
      <c r="M27" s="117"/>
      <c r="N27" s="117"/>
      <c r="O27" s="117"/>
      <c r="P27" s="117"/>
      <c r="Q27" s="117"/>
      <c r="R27" s="117"/>
      <c r="S27" s="117"/>
      <c r="T27" s="117"/>
      <c r="U27" s="117"/>
      <c r="V27" s="117"/>
      <c r="W27" s="117"/>
      <c r="X27" s="117"/>
      <c r="Y27" s="117"/>
      <c r="Z27" s="117"/>
    </row>
    <row r="28" ht="33.0" customHeight="1">
      <c r="A28" s="31"/>
      <c r="B28" s="121"/>
      <c r="C28" s="117"/>
      <c r="D28" s="117"/>
      <c r="E28" s="117"/>
      <c r="F28" s="117"/>
      <c r="G28" s="121" t="str">
        <f>IFERROR(__xludf.DUMMYFUNCTION("""COMPUTED_VALUE"""),"Spain")</f>
        <v>Spain</v>
      </c>
      <c r="H28" s="117"/>
      <c r="I28" s="117"/>
      <c r="J28" s="117"/>
      <c r="K28" s="117"/>
      <c r="L28" s="117"/>
      <c r="M28" s="117"/>
      <c r="N28" s="117"/>
      <c r="O28" s="117"/>
      <c r="P28" s="117"/>
      <c r="Q28" s="117"/>
      <c r="R28" s="117"/>
      <c r="S28" s="117"/>
      <c r="T28" s="117"/>
      <c r="U28" s="117"/>
      <c r="V28" s="117"/>
      <c r="W28" s="117"/>
      <c r="X28" s="117"/>
      <c r="Y28" s="117"/>
      <c r="Z28" s="117"/>
    </row>
    <row r="29" ht="33.0" customHeight="1">
      <c r="A29" s="31"/>
      <c r="B29" s="31"/>
      <c r="C29" s="117"/>
      <c r="D29" s="117"/>
      <c r="E29" s="117"/>
      <c r="F29" s="117"/>
      <c r="G29" s="121" t="str">
        <f>IFERROR(__xludf.DUMMYFUNCTION("""COMPUTED_VALUE"""),"Sweden")</f>
        <v>Sweden</v>
      </c>
      <c r="H29" s="117"/>
      <c r="I29" s="117"/>
      <c r="J29" s="117"/>
      <c r="K29" s="117"/>
      <c r="L29" s="117"/>
      <c r="M29" s="117"/>
      <c r="N29" s="117"/>
      <c r="O29" s="117"/>
      <c r="P29" s="117"/>
      <c r="Q29" s="117"/>
      <c r="R29" s="117"/>
      <c r="S29" s="117"/>
      <c r="T29" s="117"/>
      <c r="U29" s="117"/>
      <c r="V29" s="117"/>
      <c r="W29" s="117"/>
      <c r="X29" s="117"/>
      <c r="Y29" s="117"/>
      <c r="Z29" s="117"/>
    </row>
    <row r="30" ht="33.0" customHeight="1">
      <c r="A30" s="31"/>
      <c r="B30" s="31"/>
      <c r="C30" s="117"/>
      <c r="D30" s="117"/>
      <c r="E30" s="117"/>
      <c r="F30" s="117"/>
      <c r="G30" s="121" t="str">
        <f>IFERROR(__xludf.DUMMYFUNCTION("""COMPUTED_VALUE"""),"Switzerland")</f>
        <v>Switzerland</v>
      </c>
      <c r="H30" s="117"/>
      <c r="I30" s="117"/>
      <c r="J30" s="117"/>
      <c r="K30" s="117"/>
      <c r="L30" s="117"/>
      <c r="M30" s="117"/>
      <c r="N30" s="117"/>
      <c r="O30" s="117"/>
      <c r="P30" s="117"/>
      <c r="Q30" s="117"/>
      <c r="R30" s="117"/>
      <c r="S30" s="117"/>
      <c r="T30" s="117"/>
      <c r="U30" s="117"/>
      <c r="V30" s="117"/>
      <c r="W30" s="117"/>
      <c r="X30" s="117"/>
      <c r="Y30" s="117"/>
      <c r="Z30" s="117"/>
    </row>
    <row r="31" ht="33.0" customHeight="1">
      <c r="A31" s="31"/>
      <c r="B31" s="31"/>
      <c r="C31" s="117"/>
      <c r="D31" s="117"/>
      <c r="E31" s="117"/>
      <c r="F31" s="117"/>
      <c r="G31" s="121" t="str">
        <f>IFERROR(__xludf.DUMMYFUNCTION("""COMPUTED_VALUE"""),"United Kingdom")</f>
        <v>United Kingdom</v>
      </c>
      <c r="H31" s="117"/>
      <c r="I31" s="117"/>
      <c r="J31" s="117"/>
      <c r="K31" s="117"/>
      <c r="L31" s="117"/>
      <c r="M31" s="117"/>
      <c r="N31" s="117"/>
      <c r="O31" s="117"/>
      <c r="P31" s="117"/>
      <c r="Q31" s="117"/>
      <c r="R31" s="117"/>
      <c r="S31" s="117"/>
      <c r="T31" s="117"/>
      <c r="U31" s="117"/>
      <c r="V31" s="117"/>
      <c r="W31" s="117"/>
      <c r="X31" s="117"/>
      <c r="Y31" s="117"/>
      <c r="Z31" s="117"/>
    </row>
    <row r="32" ht="33.0" customHeight="1">
      <c r="A32" s="31"/>
      <c r="B32" s="31"/>
      <c r="C32" s="117"/>
      <c r="D32" s="117"/>
      <c r="E32" s="117"/>
      <c r="F32" s="117" t="str">
        <f>IFERROR(__xludf.DUMMYFUNCTION("""COMPUTED_VALUE"""),"Turkey")</f>
        <v>Turkey</v>
      </c>
      <c r="G32" s="121"/>
      <c r="H32" s="121"/>
      <c r="I32" s="117"/>
      <c r="J32" s="117"/>
      <c r="K32" s="117"/>
      <c r="L32" s="117"/>
      <c r="M32" s="117"/>
      <c r="N32" s="117"/>
      <c r="O32" s="117"/>
      <c r="P32" s="117"/>
      <c r="Q32" s="117"/>
      <c r="R32" s="117"/>
      <c r="S32" s="117"/>
      <c r="T32" s="117"/>
      <c r="U32" s="117"/>
      <c r="V32" s="117"/>
      <c r="W32" s="117"/>
      <c r="X32" s="117"/>
      <c r="Y32" s="117"/>
      <c r="Z32" s="117"/>
    </row>
    <row r="33" ht="33.0" customHeight="1">
      <c r="A33" s="31"/>
      <c r="B33" s="31"/>
      <c r="C33" s="117"/>
      <c r="D33" s="117"/>
      <c r="E33" s="117"/>
      <c r="F33" s="117"/>
      <c r="G33" s="125" t="str">
        <f>IFERROR(__xludf.DUMMYFUNCTION("""COMPUTED_VALUE"""),"The Netherlands")</f>
        <v>The Netherlands</v>
      </c>
      <c r="H33" s="117"/>
      <c r="I33" s="117"/>
      <c r="J33" s="117"/>
      <c r="K33" s="117"/>
      <c r="L33" s="117"/>
      <c r="M33" s="117"/>
      <c r="N33" s="117"/>
      <c r="O33" s="117"/>
      <c r="P33" s="117"/>
      <c r="Q33" s="117"/>
      <c r="R33" s="117"/>
      <c r="S33" s="117"/>
      <c r="T33" s="117"/>
      <c r="U33" s="117"/>
      <c r="V33" s="117"/>
      <c r="W33" s="117"/>
      <c r="X33" s="117"/>
      <c r="Y33" s="117"/>
      <c r="Z33" s="117"/>
    </row>
    <row r="34" ht="33.0" customHeight="1">
      <c r="A34" s="31"/>
      <c r="B34" s="31"/>
      <c r="C34" s="117"/>
      <c r="D34" s="117"/>
      <c r="E34" s="117"/>
      <c r="F34" s="117"/>
      <c r="G34" s="117" t="str">
        <f>IFERROR(__xludf.DUMMYFUNCTION("""COMPUTED_VALUE"""),"Czech")</f>
        <v>Czech</v>
      </c>
      <c r="H34" s="117"/>
      <c r="I34" s="117"/>
      <c r="J34" s="117"/>
      <c r="K34" s="117"/>
      <c r="L34" s="117"/>
      <c r="M34" s="117"/>
      <c r="N34" s="117"/>
      <c r="O34" s="117"/>
      <c r="P34" s="117"/>
      <c r="Q34" s="117"/>
      <c r="R34" s="117"/>
      <c r="S34" s="117"/>
      <c r="T34" s="117"/>
      <c r="U34" s="117"/>
      <c r="V34" s="117"/>
      <c r="W34" s="117"/>
      <c r="X34" s="117"/>
      <c r="Y34" s="117"/>
      <c r="Z34" s="117"/>
    </row>
    <row r="35" ht="33.0" customHeight="1">
      <c r="A35" s="117"/>
      <c r="B35" s="117"/>
      <c r="C35" s="117"/>
      <c r="D35" s="117"/>
      <c r="E35" s="117"/>
      <c r="F35" s="117"/>
      <c r="G35" s="117" t="str">
        <f>IFERROR(__xludf.DUMMYFUNCTION("""COMPUTED_VALUE"""),"Slovakia")</f>
        <v>Slovakia</v>
      </c>
      <c r="H35" s="117"/>
      <c r="I35" s="117"/>
      <c r="J35" s="117"/>
      <c r="K35" s="117"/>
      <c r="L35" s="117"/>
      <c r="M35" s="117"/>
      <c r="N35" s="117"/>
      <c r="O35" s="117"/>
      <c r="P35" s="117"/>
      <c r="Q35" s="117"/>
      <c r="R35" s="117"/>
      <c r="S35" s="117"/>
      <c r="T35" s="117"/>
      <c r="U35" s="117"/>
      <c r="V35" s="117"/>
      <c r="W35" s="117"/>
      <c r="X35" s="117"/>
      <c r="Y35" s="117"/>
      <c r="Z35" s="117"/>
    </row>
    <row r="36" ht="33.0" customHeight="1">
      <c r="A36" s="117"/>
      <c r="B36" s="117"/>
      <c r="C36" s="117"/>
      <c r="D36" s="117"/>
      <c r="E36" s="117"/>
      <c r="F36" s="117"/>
      <c r="G36" s="117" t="str">
        <f>IFERROR(__xludf.DUMMYFUNCTION("""COMPUTED_VALUE"""),"Guadeloupe")</f>
        <v>Guadeloupe</v>
      </c>
      <c r="H36" s="117"/>
      <c r="I36" s="117"/>
      <c r="J36" s="117"/>
      <c r="K36" s="117"/>
      <c r="L36" s="117"/>
      <c r="M36" s="117"/>
      <c r="N36" s="117"/>
      <c r="O36" s="117"/>
      <c r="P36" s="117"/>
      <c r="Q36" s="117"/>
      <c r="R36" s="117"/>
      <c r="S36" s="117"/>
      <c r="T36" s="117"/>
      <c r="U36" s="117"/>
      <c r="V36" s="117"/>
      <c r="W36" s="117"/>
      <c r="X36" s="117"/>
      <c r="Y36" s="117"/>
      <c r="Z36" s="117"/>
    </row>
    <row r="37" ht="33.0" customHeight="1">
      <c r="A37" s="117"/>
      <c r="B37" s="117"/>
      <c r="C37" s="117"/>
      <c r="D37" s="117"/>
      <c r="E37" s="117"/>
      <c r="F37" s="117"/>
      <c r="G37" s="117" t="str">
        <f>IFERROR(__xludf.DUMMYFUNCTION("""COMPUTED_VALUE"""),"Reunion")</f>
        <v>Reunion</v>
      </c>
      <c r="H37" s="117"/>
      <c r="I37" s="117"/>
      <c r="J37" s="117"/>
      <c r="K37" s="117"/>
      <c r="L37" s="117"/>
      <c r="M37" s="117"/>
      <c r="N37" s="117"/>
      <c r="O37" s="117"/>
      <c r="P37" s="117"/>
      <c r="Q37" s="117"/>
      <c r="R37" s="117"/>
      <c r="S37" s="117"/>
      <c r="T37" s="117"/>
      <c r="U37" s="117"/>
      <c r="V37" s="117"/>
      <c r="W37" s="117"/>
      <c r="X37" s="117"/>
      <c r="Y37" s="117"/>
      <c r="Z37" s="117"/>
    </row>
    <row r="38" ht="33.0" customHeight="1">
      <c r="A38" s="117"/>
      <c r="B38" s="117"/>
      <c r="C38" s="117"/>
      <c r="D38" s="117"/>
      <c r="E38" s="117"/>
      <c r="F38" s="117"/>
      <c r="G38" s="117" t="str">
        <f>IFERROR(__xludf.DUMMYFUNCTION("""COMPUTED_VALUE"""),"Guadeloupe")</f>
        <v>Guadeloupe</v>
      </c>
      <c r="H38" s="117"/>
      <c r="I38" s="117"/>
      <c r="J38" s="117"/>
      <c r="K38" s="117"/>
      <c r="L38" s="117"/>
      <c r="M38" s="117"/>
      <c r="N38" s="117"/>
      <c r="O38" s="117"/>
      <c r="P38" s="117"/>
      <c r="Q38" s="117"/>
      <c r="R38" s="117"/>
      <c r="S38" s="117"/>
      <c r="T38" s="117"/>
      <c r="U38" s="117"/>
      <c r="V38" s="117"/>
      <c r="W38" s="117"/>
      <c r="X38" s="117"/>
      <c r="Y38" s="117"/>
      <c r="Z38" s="117"/>
    </row>
    <row r="39" ht="33.0" customHeight="1">
      <c r="A39" s="117"/>
      <c r="B39" s="117"/>
      <c r="C39" s="117"/>
      <c r="D39" s="117"/>
      <c r="E39" s="117"/>
      <c r="F39" s="117"/>
      <c r="G39" s="117" t="str">
        <f>IFERROR(__xludf.DUMMYFUNCTION("""COMPUTED_VALUE"""),"Martinique")</f>
        <v>Martinique</v>
      </c>
      <c r="H39" s="117"/>
      <c r="I39" s="117"/>
      <c r="J39" s="117"/>
      <c r="K39" s="117"/>
      <c r="L39" s="117"/>
      <c r="M39" s="117"/>
      <c r="N39" s="117"/>
      <c r="O39" s="117"/>
      <c r="P39" s="117"/>
      <c r="Q39" s="117"/>
      <c r="R39" s="117"/>
      <c r="S39" s="117"/>
      <c r="T39" s="117"/>
      <c r="U39" s="117"/>
      <c r="V39" s="117"/>
      <c r="W39" s="117"/>
      <c r="X39" s="117"/>
      <c r="Y39" s="117"/>
      <c r="Z39" s="117"/>
    </row>
    <row r="40" ht="33.0" customHeight="1">
      <c r="A40" s="117"/>
      <c r="B40" s="117"/>
      <c r="C40" s="117"/>
      <c r="D40" s="117"/>
      <c r="E40" s="117"/>
      <c r="F40" s="117"/>
      <c r="G40" s="117" t="str">
        <f>IFERROR(__xludf.DUMMYFUNCTION("""COMPUTED_VALUE"""),"French Guiana")</f>
        <v>French Guiana</v>
      </c>
      <c r="H40" s="117"/>
      <c r="I40" s="117"/>
      <c r="J40" s="117"/>
      <c r="K40" s="117"/>
      <c r="L40" s="117"/>
      <c r="M40" s="117"/>
      <c r="N40" s="117"/>
      <c r="O40" s="117"/>
      <c r="P40" s="117"/>
      <c r="Q40" s="117"/>
      <c r="R40" s="117"/>
      <c r="S40" s="117"/>
      <c r="T40" s="117"/>
      <c r="U40" s="117"/>
      <c r="V40" s="117"/>
      <c r="W40" s="117"/>
      <c r="X40" s="117"/>
      <c r="Y40" s="117"/>
      <c r="Z40" s="117"/>
    </row>
    <row r="41" ht="33.0" customHeight="1">
      <c r="A41" s="117"/>
      <c r="B41" s="117"/>
      <c r="C41" s="117"/>
      <c r="D41" s="117"/>
      <c r="E41" s="117"/>
      <c r="F41" s="117"/>
      <c r="G41" s="117" t="str">
        <f>IFERROR(__xludf.DUMMYFUNCTION("""COMPUTED_VALUE"""),"Mayotte")</f>
        <v>Mayotte</v>
      </c>
      <c r="H41" s="117"/>
      <c r="I41" s="117"/>
      <c r="J41" s="117"/>
      <c r="K41" s="117"/>
      <c r="L41" s="117"/>
      <c r="M41" s="117"/>
      <c r="N41" s="117"/>
      <c r="O41" s="117"/>
      <c r="P41" s="117"/>
      <c r="Q41" s="117"/>
      <c r="R41" s="117"/>
      <c r="S41" s="117"/>
      <c r="T41" s="117"/>
      <c r="U41" s="117"/>
      <c r="V41" s="117"/>
      <c r="W41" s="117"/>
      <c r="X41" s="117"/>
      <c r="Y41" s="117"/>
      <c r="Z41" s="117"/>
    </row>
    <row r="42" ht="33.0" customHeight="1">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ht="33.0" customHeight="1">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ht="33.0" customHeight="1">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ht="33.0" customHeight="1">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ht="33.0"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ht="33.0"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ht="33.0"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ht="33.0"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ht="33.0"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ht="33.0"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ht="33.0"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ht="33.0"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ht="33.0"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ht="33.0"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ht="33.0"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ht="33.0"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ht="33.0"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ht="33.0"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ht="33.0"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ht="33.0"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ht="33.0"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ht="33.0"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ht="33.0"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ht="33.0"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ht="33.0"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ht="33.0"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ht="33.0"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ht="33.0"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ht="33.0"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ht="33.0"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ht="33.0"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ht="33.0"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ht="33.0"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ht="33.0"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ht="33.0"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ht="33.0"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ht="33.0"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ht="33.0"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ht="33.0"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ht="33.0"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ht="33.0"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ht="33.0"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ht="33.0"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ht="33.0"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ht="33.0"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ht="33.0"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ht="33.0"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ht="33.0"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ht="33.0"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ht="33.0"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ht="33.0"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ht="33.0"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ht="33.0"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ht="33.0"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ht="33.0"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ht="33.0"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ht="33.0"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ht="33.0"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33.0"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33.0"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33.0"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33.0"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33.0"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33.0"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33.0"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33.0"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33.0"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33.0"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33.0"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33.0"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33.0"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33.0"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33.0"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33.0"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33.0"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33.0"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33.0"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33.0"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33.0"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33.0"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33.0"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33.0"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33.0"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33.0"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33.0"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33.0"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33.0"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33.0"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33.0"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33.0"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33.0"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33.0"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33.0"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33.0"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33.0"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33.0"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33.0"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33.0"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33.0"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33.0"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33.0"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33.0"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33.0"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33.0"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33.0"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33.0"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33.0"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33.0"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33.0"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33.0"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33.0"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33.0"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33.0"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33.0"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33.0"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33.0"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33.0"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33.0"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33.0"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33.0"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33.0"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33.0"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33.0"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33.0"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33.0"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33.0"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33.0"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33.0"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33.0"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33.0"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33.0"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33.0"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33.0"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33.0"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33.0"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33.0"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33.0"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33.0"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33.0"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33.0"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33.0"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33.0"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33.0"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33.0"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33.0"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33.0"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33.0"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33.0"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33.0"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33.0"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33.0"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33.0"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33.0"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33.0"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33.0"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33.0"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33.0"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33.0"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33.0"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33.0"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33.0"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33.0"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33.0"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33.0"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33.0"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33.0"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33.0"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33.0"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33.0"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33.0"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33.0"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33.0"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33.0"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33.0"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33.0"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33.0"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33.0"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33.0"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33.0"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33.0"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33.0"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33.0"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33.0"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33.0"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33.0"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33.0"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33.0"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33.0"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33.0"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33.0"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33.0"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33.0"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33.0"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33.0"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33.0"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33.0"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33.0"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33.0"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33.0"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33.0"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33.0"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33.0"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33.0" customHeight="1">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ht="33.0" customHeight="1">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ht="33.0" customHeight="1">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ht="33.0" customHeight="1">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ht="33.0" customHeight="1">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ht="33.0" customHeight="1">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ht="33.0" customHeight="1">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ht="33.0" customHeight="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ht="33.0" customHeight="1">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ht="33.0" customHeight="1">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ht="33.0" customHeight="1">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ht="33.0" customHeight="1">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ht="33.0" customHeight="1">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ht="33.0" customHeight="1">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ht="33.0" customHeight="1">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ht="33.0" customHeight="1">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ht="33.0" customHeight="1">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ht="33.0" customHeight="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ht="33.0" customHeight="1">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ht="33.0" customHeight="1">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ht="33.0" customHeight="1">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ht="33.0" customHeight="1">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ht="33.0" customHeight="1">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ht="33.0" customHeight="1">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ht="33.0" customHeight="1">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ht="33.0" customHeight="1">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ht="33.0" customHeight="1">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ht="33.0" customHeight="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ht="33.0" customHeight="1">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ht="33.0" customHeight="1">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ht="33.0" customHeight="1">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ht="33.0" customHeight="1">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ht="33.0" customHeight="1">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ht="33.0" customHeight="1">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ht="33.0" customHeight="1">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ht="33.0" customHeight="1">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ht="33.0" customHeight="1">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ht="33.0" customHeight="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ht="33.0" customHeight="1">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ht="33.0" customHeight="1">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ht="33.0" customHeight="1">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ht="33.0" customHeight="1">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ht="33.0" customHeight="1">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ht="33.0" customHeight="1">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ht="33.0" customHeight="1">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ht="33.0" customHeight="1">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ht="33.0" customHeight="1">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ht="33.0" customHeight="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ht="33.0" customHeight="1">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ht="33.0" customHeight="1">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ht="33.0" customHeight="1">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ht="33.0" customHeight="1">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ht="33.0" customHeight="1">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ht="33.0" customHeight="1">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ht="33.0" customHeight="1">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ht="33.0" customHeight="1">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ht="33.0" customHeight="1">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ht="33.0" customHeight="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ht="33.0" customHeight="1">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ht="33.0" customHeight="1">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ht="33.0" customHeight="1">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ht="33.0" customHeight="1">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ht="33.0" customHeight="1">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ht="33.0" customHeight="1">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ht="33.0" customHeight="1">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ht="33.0" customHeight="1">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ht="33.0" customHeight="1">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ht="33.0" customHeight="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ht="33.0" customHeight="1">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ht="33.0" customHeight="1">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ht="33.0" customHeight="1">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ht="33.0" customHeight="1">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ht="33.0" customHeight="1">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ht="33.0" customHeight="1">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ht="33.0" customHeight="1">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ht="33.0" customHeight="1">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ht="33.0" customHeight="1">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ht="33.0" customHeight="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ht="33.0" customHeight="1">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ht="33.0" customHeight="1">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ht="33.0" customHeight="1">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ht="33.0" customHeight="1">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ht="33.0" customHeight="1">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ht="33.0" customHeight="1">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ht="33.0" customHeight="1">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ht="33.0" customHeight="1">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ht="33.0" customHeight="1">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ht="33.0" customHeight="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ht="33.0" customHeight="1">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ht="33.0" customHeight="1">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ht="33.0" customHeight="1">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ht="33.0" customHeight="1">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ht="33.0" customHeight="1">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ht="33.0" customHeight="1">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ht="33.0" customHeight="1">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ht="33.0" customHeight="1">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ht="33.0" customHeight="1">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ht="33.0" customHeight="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ht="33.0" customHeight="1">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ht="33.0" customHeight="1">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ht="33.0" customHeight="1">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ht="33.0" customHeight="1">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ht="33.0" customHeight="1">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ht="33.0" customHeight="1">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ht="33.0" customHeight="1">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ht="33.0" customHeight="1">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ht="33.0" customHeight="1">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ht="33.0" customHeight="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ht="33.0" customHeight="1">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ht="33.0" customHeight="1">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ht="33.0" customHeight="1">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ht="33.0" customHeight="1">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ht="33.0" customHeight="1">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ht="33.0" customHeight="1">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ht="33.0" customHeight="1">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ht="33.0" customHeight="1">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ht="33.0" customHeight="1">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ht="33.0" customHeight="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ht="33.0" customHeight="1">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ht="33.0" customHeight="1">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ht="33.0" customHeight="1">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ht="33.0" customHeight="1">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ht="33.0" customHeight="1">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ht="33.0" customHeight="1">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ht="33.0" customHeight="1">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ht="33.0" customHeight="1">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ht="33.0" customHeight="1">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ht="33.0" customHeight="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ht="33.0" customHeight="1">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ht="33.0" customHeight="1">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ht="33.0" customHeight="1">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ht="33.0" customHeight="1">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ht="33.0" customHeight="1">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ht="33.0" customHeight="1">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ht="33.0" customHeight="1">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ht="33.0" customHeight="1">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ht="33.0" customHeight="1">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ht="33.0" customHeight="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ht="33.0" customHeight="1">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ht="33.0" customHeight="1">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ht="33.0" customHeight="1">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ht="33.0" customHeight="1">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ht="33.0" customHeight="1">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ht="33.0" customHeight="1">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ht="33.0" customHeight="1">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ht="33.0" customHeight="1">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ht="33.0" customHeight="1">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ht="33.0" customHeight="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ht="33.0" customHeight="1">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ht="33.0" customHeight="1">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ht="33.0" customHeight="1">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ht="33.0" customHeight="1">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ht="33.0" customHeight="1">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ht="33.0" customHeight="1">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ht="33.0" customHeight="1">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ht="33.0" customHeight="1">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ht="33.0" customHeight="1">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ht="33.0" customHeight="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ht="33.0" customHeight="1">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ht="33.0" customHeight="1">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ht="33.0" customHeight="1">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ht="33.0" customHeight="1">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ht="33.0" customHeight="1">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ht="33.0" customHeight="1">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ht="33.0" customHeight="1">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ht="33.0" customHeight="1">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ht="33.0" customHeight="1">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ht="33.0" customHeight="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ht="33.0" customHeight="1">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ht="33.0" customHeight="1">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ht="33.0" customHeight="1">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ht="33.0" customHeight="1">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ht="33.0" customHeight="1">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ht="33.0" customHeight="1">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ht="33.0" customHeight="1">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ht="33.0" customHeight="1">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ht="33.0" customHeight="1">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ht="33.0" customHeight="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ht="33.0" customHeight="1">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ht="33.0" customHeight="1">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ht="33.0" customHeight="1">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ht="33.0" customHeight="1">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ht="33.0" customHeight="1">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ht="33.0" customHeight="1">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ht="33.0" customHeight="1">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ht="33.0" customHeight="1">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ht="33.0" customHeight="1">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ht="33.0" customHeight="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ht="33.0" customHeight="1">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ht="33.0" customHeight="1">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ht="33.0" customHeight="1">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ht="33.0" customHeight="1">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ht="33.0" customHeight="1">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ht="33.0" customHeight="1">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ht="33.0" customHeight="1">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ht="33.0" customHeight="1">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ht="33.0" customHeight="1">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ht="33.0" customHeight="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ht="33.0" customHeight="1">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ht="33.0" customHeight="1">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ht="33.0" customHeight="1">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ht="33.0" customHeight="1">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ht="33.0" customHeight="1">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ht="33.0" customHeight="1">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ht="33.0" customHeight="1">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ht="33.0" customHeight="1">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ht="33.0" customHeight="1">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ht="33.0" customHeight="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ht="33.0" customHeight="1">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ht="33.0" customHeight="1">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ht="33.0" customHeight="1">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ht="33.0" customHeight="1">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ht="33.0" customHeight="1">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ht="33.0" customHeight="1">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ht="33.0" customHeight="1">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ht="33.0" customHeight="1">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ht="33.0" customHeight="1">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ht="33.0" customHeight="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ht="33.0" customHeight="1">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ht="33.0" customHeight="1">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ht="33.0" customHeight="1">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ht="33.0" customHeight="1">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ht="33.0" customHeight="1">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ht="33.0" customHeight="1">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ht="33.0" customHeight="1">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ht="33.0" customHeight="1">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ht="33.0" customHeight="1">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ht="33.0" customHeight="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ht="33.0" customHeight="1">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ht="33.0" customHeight="1">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ht="33.0" customHeight="1">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ht="33.0" customHeight="1">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ht="33.0" customHeight="1">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ht="33.0" customHeight="1">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ht="33.0" customHeight="1">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ht="33.0" customHeight="1">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ht="33.0" customHeight="1">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ht="33.0" customHeight="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ht="33.0" customHeight="1">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ht="33.0" customHeight="1">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ht="33.0" customHeight="1">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ht="33.0" customHeight="1">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ht="33.0" customHeight="1">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ht="33.0" customHeight="1">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ht="33.0" customHeight="1">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ht="33.0" customHeight="1">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ht="33.0" customHeight="1">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ht="33.0" customHeight="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ht="33.0" customHeight="1">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ht="33.0" customHeight="1">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ht="33.0" customHeight="1">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ht="33.0" customHeight="1">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ht="33.0" customHeight="1">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ht="33.0" customHeight="1">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ht="33.0" customHeight="1">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ht="33.0" customHeight="1">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ht="33.0" customHeight="1">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ht="33.0" customHeight="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ht="33.0" customHeight="1">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ht="33.0" customHeight="1">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ht="33.0" customHeight="1">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ht="33.0" customHeight="1">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ht="33.0" customHeight="1">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ht="33.0" customHeight="1">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ht="33.0" customHeight="1">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ht="33.0" customHeight="1">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ht="33.0" customHeight="1">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ht="33.0" customHeight="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ht="33.0" customHeight="1">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ht="33.0" customHeight="1">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ht="33.0" customHeight="1">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ht="33.0" customHeight="1">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ht="33.0" customHeight="1">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ht="33.0" customHeight="1">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ht="33.0" customHeight="1">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ht="33.0" customHeight="1">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ht="33.0" customHeight="1">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ht="33.0" customHeight="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ht="33.0" customHeight="1">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ht="33.0" customHeight="1">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ht="33.0" customHeight="1">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ht="33.0" customHeight="1">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ht="33.0" customHeight="1">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ht="33.0" customHeight="1">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ht="33.0" customHeight="1">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ht="33.0" customHeight="1">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ht="33.0" customHeight="1">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ht="33.0" customHeight="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ht="33.0" customHeight="1">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ht="33.0" customHeight="1">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ht="33.0" customHeight="1">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ht="33.0" customHeight="1">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ht="33.0" customHeight="1">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ht="33.0" customHeight="1">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ht="33.0" customHeight="1">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ht="33.0" customHeight="1">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ht="33.0" customHeight="1">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ht="33.0" customHeight="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ht="33.0" customHeight="1">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ht="33.0" customHeight="1">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ht="33.0" customHeight="1">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ht="33.0" customHeight="1">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ht="33.0" customHeight="1">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ht="33.0" customHeight="1">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ht="33.0" customHeight="1">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ht="33.0" customHeight="1">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ht="33.0" customHeight="1">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ht="33.0" customHeight="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ht="33.0" customHeight="1">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ht="33.0" customHeight="1">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ht="33.0" customHeight="1">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ht="33.0" customHeight="1">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ht="33.0" customHeight="1">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ht="33.0" customHeight="1">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ht="33.0" customHeight="1">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ht="33.0" customHeight="1">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ht="33.0" customHeight="1">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ht="33.0" customHeight="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ht="33.0" customHeight="1">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ht="33.0" customHeight="1">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ht="33.0" customHeight="1">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ht="33.0" customHeight="1">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ht="33.0" customHeight="1">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ht="33.0" customHeight="1">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ht="33.0" customHeight="1">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ht="33.0" customHeight="1">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ht="33.0" customHeight="1">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ht="33.0" customHeight="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ht="33.0" customHeight="1">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ht="33.0" customHeight="1">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ht="33.0" customHeight="1">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ht="33.0" customHeight="1">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ht="33.0" customHeight="1">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ht="33.0" customHeight="1">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ht="33.0" customHeight="1">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ht="33.0" customHeight="1">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ht="33.0" customHeight="1">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ht="33.0" customHeight="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ht="33.0" customHeight="1">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ht="33.0" customHeight="1">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ht="33.0" customHeight="1">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ht="33.0" customHeight="1">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ht="33.0" customHeight="1">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ht="33.0" customHeight="1">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ht="33.0" customHeight="1">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ht="33.0" customHeight="1">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ht="33.0" customHeight="1">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ht="33.0" customHeight="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ht="33.0" customHeight="1">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ht="33.0" customHeight="1">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ht="33.0" customHeight="1">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ht="33.0" customHeight="1">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ht="33.0" customHeight="1">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ht="33.0" customHeight="1">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ht="33.0" customHeight="1">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ht="33.0" customHeight="1">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ht="33.0" customHeight="1">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ht="33.0" customHeight="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ht="33.0" customHeight="1">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ht="33.0" customHeight="1">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ht="33.0" customHeight="1">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ht="33.0" customHeight="1">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ht="33.0" customHeight="1">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ht="33.0" customHeight="1">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ht="33.0" customHeight="1">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ht="33.0" customHeight="1">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ht="33.0" customHeight="1">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ht="33.0" customHeight="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ht="33.0" customHeight="1">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ht="33.0" customHeight="1">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ht="33.0" customHeight="1">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ht="33.0" customHeight="1">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ht="33.0" customHeight="1">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ht="33.0" customHeight="1">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ht="33.0" customHeight="1">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ht="33.0" customHeight="1">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ht="33.0" customHeight="1">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ht="33.0" customHeight="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ht="33.0" customHeight="1">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ht="33.0" customHeight="1">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ht="33.0" customHeight="1">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ht="33.0" customHeight="1">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ht="33.0" customHeight="1">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ht="33.0" customHeight="1">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ht="33.0" customHeight="1">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ht="33.0" customHeight="1">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ht="33.0" customHeight="1">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ht="33.0" customHeight="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ht="33.0" customHeight="1">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ht="33.0" customHeight="1">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ht="33.0" customHeight="1">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ht="33.0" customHeight="1">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ht="33.0" customHeight="1">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ht="33.0" customHeight="1">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ht="33.0" customHeight="1">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ht="33.0" customHeight="1">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ht="33.0" customHeight="1">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ht="33.0" customHeight="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ht="33.0" customHeight="1">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ht="33.0" customHeight="1">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ht="33.0" customHeight="1">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ht="33.0" customHeight="1">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ht="33.0" customHeight="1">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ht="33.0" customHeight="1">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ht="33.0" customHeight="1">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ht="33.0" customHeight="1">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ht="33.0" customHeight="1">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ht="33.0" customHeight="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ht="33.0" customHeight="1">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ht="33.0" customHeight="1">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ht="33.0" customHeight="1">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ht="33.0" customHeight="1">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ht="33.0" customHeight="1">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ht="33.0" customHeight="1">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ht="33.0" customHeight="1">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ht="33.0" customHeight="1">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ht="33.0" customHeight="1">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ht="33.0" customHeight="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ht="33.0" customHeight="1">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ht="33.0" customHeight="1">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ht="33.0" customHeight="1">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ht="33.0" customHeight="1">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ht="33.0" customHeight="1">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ht="33.0" customHeight="1">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ht="33.0" customHeight="1">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ht="33.0" customHeight="1">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ht="33.0" customHeight="1">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ht="33.0" customHeight="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ht="33.0" customHeight="1">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ht="33.0" customHeight="1">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ht="33.0" customHeight="1">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ht="33.0" customHeight="1">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ht="33.0" customHeight="1">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ht="33.0" customHeight="1">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ht="33.0" customHeight="1">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ht="33.0" customHeight="1">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ht="33.0" customHeight="1">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ht="33.0" customHeight="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ht="33.0" customHeight="1">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ht="33.0" customHeight="1">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ht="33.0" customHeight="1">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ht="33.0" customHeight="1">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ht="33.0" customHeight="1">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ht="33.0" customHeight="1">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ht="33.0" customHeight="1">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ht="33.0" customHeight="1">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ht="33.0" customHeight="1">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ht="33.0" customHeight="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ht="33.0" customHeight="1">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ht="33.0" customHeight="1">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ht="33.0" customHeight="1">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ht="33.0" customHeight="1">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ht="33.0" customHeight="1">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ht="33.0" customHeight="1">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ht="33.0" customHeight="1">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ht="33.0" customHeight="1">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ht="33.0" customHeight="1">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ht="33.0" customHeight="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ht="33.0" customHeight="1">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ht="33.0" customHeight="1">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ht="33.0" customHeight="1">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ht="33.0" customHeight="1">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ht="33.0" customHeight="1">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ht="33.0" customHeight="1">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ht="33.0" customHeight="1">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ht="33.0" customHeight="1">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ht="33.0" customHeight="1">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ht="33.0" customHeight="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ht="33.0" customHeight="1">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ht="33.0" customHeight="1">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ht="33.0" customHeight="1">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ht="33.0" customHeight="1">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ht="33.0" customHeight="1">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ht="33.0" customHeight="1">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ht="33.0" customHeight="1">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ht="33.0" customHeight="1">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ht="33.0" customHeight="1">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ht="33.0" customHeight="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ht="33.0" customHeight="1">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ht="33.0" customHeight="1">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ht="33.0" customHeight="1">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ht="33.0" customHeight="1">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ht="33.0" customHeight="1">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ht="33.0" customHeight="1">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ht="33.0" customHeight="1">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ht="33.0" customHeight="1">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ht="33.0" customHeight="1">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ht="33.0" customHeight="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ht="33.0" customHeight="1">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ht="33.0" customHeight="1">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ht="33.0" customHeight="1">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ht="33.0" customHeight="1">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ht="33.0" customHeight="1">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ht="33.0" customHeight="1">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ht="33.0" customHeight="1">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ht="33.0" customHeight="1">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ht="33.0" customHeight="1">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ht="33.0" customHeight="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ht="33.0" customHeight="1">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ht="33.0" customHeight="1">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ht="33.0" customHeight="1">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ht="33.0" customHeight="1">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ht="33.0" customHeight="1">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ht="33.0" customHeight="1">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ht="33.0" customHeight="1">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ht="33.0" customHeight="1">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ht="33.0" customHeight="1">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ht="33.0" customHeight="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ht="33.0" customHeight="1">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ht="33.0" customHeight="1">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ht="33.0" customHeight="1">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ht="33.0" customHeight="1">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ht="33.0" customHeight="1">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ht="33.0" customHeight="1">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ht="33.0" customHeight="1">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ht="33.0" customHeight="1">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ht="33.0" customHeight="1">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ht="33.0" customHeight="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ht="33.0" customHeight="1">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ht="33.0" customHeight="1">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ht="33.0" customHeight="1">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ht="33.0" customHeight="1">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ht="33.0" customHeight="1">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ht="33.0" customHeight="1">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ht="33.0" customHeight="1">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ht="33.0" customHeight="1">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ht="33.0" customHeight="1">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ht="33.0" customHeight="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ht="33.0" customHeight="1">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ht="33.0" customHeight="1">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ht="33.0" customHeight="1">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ht="33.0" customHeight="1">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ht="33.0" customHeight="1">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ht="33.0" customHeight="1">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ht="33.0" customHeight="1">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ht="33.0" customHeight="1">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ht="33.0" customHeight="1">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ht="33.0" customHeight="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ht="33.0" customHeight="1">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ht="33.0" customHeight="1">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ht="33.0" customHeight="1">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ht="33.0" customHeight="1">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ht="33.0" customHeight="1">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ht="33.0" customHeight="1">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ht="33.0" customHeight="1">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ht="33.0" customHeight="1">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ht="33.0" customHeight="1">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ht="33.0" customHeight="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ht="33.0" customHeight="1">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ht="33.0" customHeight="1">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ht="33.0" customHeight="1">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ht="33.0" customHeight="1">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ht="33.0" customHeight="1">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ht="33.0" customHeight="1">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ht="33.0" customHeight="1">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ht="33.0" customHeight="1">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ht="33.0" customHeight="1">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ht="33.0" customHeight="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ht="33.0" customHeight="1">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ht="33.0" customHeight="1">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ht="33.0" customHeight="1">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ht="33.0" customHeight="1">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ht="33.0" customHeight="1">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ht="33.0" customHeight="1">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ht="33.0" customHeight="1">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ht="33.0" customHeight="1">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ht="33.0" customHeight="1">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ht="33.0" customHeight="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ht="33.0" customHeight="1">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ht="33.0" customHeight="1">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ht="33.0" customHeight="1">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ht="33.0" customHeight="1">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ht="33.0" customHeight="1">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ht="33.0" customHeight="1">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ht="33.0" customHeight="1">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ht="33.0" customHeight="1">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ht="33.0" customHeight="1">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ht="33.0" customHeight="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ht="33.0" customHeight="1">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ht="33.0" customHeight="1">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ht="33.0" customHeight="1">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ht="33.0" customHeight="1">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ht="33.0" customHeight="1">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ht="33.0" customHeight="1">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ht="33.0" customHeight="1">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ht="33.0" customHeight="1">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ht="33.0" customHeight="1">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ht="33.0" customHeight="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ht="33.0" customHeight="1">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ht="33.0" customHeight="1">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ht="33.0" customHeight="1">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ht="33.0" customHeight="1">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ht="33.0" customHeight="1">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ht="33.0" customHeight="1">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ht="33.0" customHeight="1">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ht="33.0" customHeight="1">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ht="33.0" customHeight="1">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ht="33.0" customHeight="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ht="33.0" customHeight="1">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ht="33.0" customHeight="1">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ht="33.0" customHeight="1">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ht="33.0" customHeight="1">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ht="33.0" customHeight="1">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ht="33.0" customHeight="1">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ht="33.0" customHeight="1">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ht="33.0" customHeight="1">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ht="33.0" customHeight="1">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ht="33.0" customHeight="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ht="33.0" customHeight="1">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ht="33.0" customHeight="1">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ht="33.0" customHeight="1">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ht="33.0" customHeight="1">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ht="33.0" customHeight="1">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ht="33.0" customHeight="1">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ht="33.0" customHeight="1">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ht="33.0" customHeight="1">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ht="33.0" customHeight="1">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ht="33.0" customHeight="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ht="33.0" customHeight="1">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ht="33.0" customHeight="1">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ht="33.0" customHeight="1">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ht="33.0" customHeight="1">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ht="33.0" customHeight="1">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ht="33.0" customHeight="1">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ht="33.0" customHeight="1">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ht="33.0" customHeight="1">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ht="33.0" customHeight="1">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ht="33.0" customHeight="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ht="33.0" customHeight="1">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ht="33.0" customHeight="1">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ht="33.0" customHeight="1">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ht="33.0" customHeight="1">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ht="33.0" customHeight="1">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ht="33.0" customHeight="1">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ht="33.0" customHeight="1">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ht="33.0" customHeight="1">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ht="33.0" customHeight="1">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ht="33.0" customHeight="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ht="33.0" customHeight="1">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ht="33.0" customHeight="1">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ht="33.0" customHeight="1">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ht="33.0" customHeight="1">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ht="33.0" customHeight="1">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ht="33.0" customHeight="1">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ht="33.0" customHeight="1">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ht="33.0" customHeight="1">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ht="33.0" customHeight="1">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ht="33.0" customHeight="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ht="33.0" customHeight="1">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ht="33.0" customHeight="1">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ht="33.0" customHeight="1">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ht="33.0" customHeight="1">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ht="33.0" customHeight="1">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ht="33.0" customHeight="1">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ht="33.0" customHeight="1">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ht="33.0" customHeight="1">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ht="33.0" customHeight="1">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ht="33.0" customHeight="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ht="33.0" customHeight="1">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ht="33.0" customHeight="1">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ht="33.0" customHeight="1">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ht="33.0" customHeight="1">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ht="33.0" customHeight="1">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ht="33.0" customHeight="1">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ht="33.0" customHeight="1">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ht="33.0" customHeight="1">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ht="33.0" customHeight="1">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ht="33.0" customHeight="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ht="33.0" customHeight="1">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ht="33.0" customHeight="1">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ht="33.0" customHeight="1">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ht="33.0" customHeight="1">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ht="33.0" customHeight="1">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ht="33.0" customHeight="1">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ht="33.0" customHeight="1">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ht="33.0" customHeight="1">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ht="33.0" customHeight="1">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ht="33.0" customHeight="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ht="33.0" customHeight="1">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ht="33.0" customHeight="1">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ht="33.0" customHeight="1">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ht="33.0" customHeight="1">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ht="33.0" customHeight="1">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ht="33.0" customHeight="1">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ht="33.0" customHeight="1">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ht="33.0" customHeight="1">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ht="33.0" customHeight="1">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ht="33.0" customHeight="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ht="33.0" customHeight="1">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ht="33.0" customHeight="1">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ht="33.0" customHeight="1">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ht="33.0" customHeight="1">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ht="33.0" customHeight="1">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ht="33.0" customHeight="1">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ht="33.0" customHeight="1">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ht="33.0" customHeight="1">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ht="33.0" customHeight="1">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ht="33.0" customHeight="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ht="33.0" customHeight="1">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ht="33.0" customHeight="1">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ht="33.0" customHeight="1">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ht="33.0" customHeight="1">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ht="33.0" customHeight="1">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ht="33.0" customHeight="1">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ht="33.0" customHeight="1">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ht="33.0" customHeight="1">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ht="33.0" customHeight="1">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ht="33.0" customHeight="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ht="33.0" customHeight="1">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ht="33.0" customHeight="1">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ht="33.0" customHeight="1">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ht="33.0"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ht="33.0"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ht="33.0" customHeight="1">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ht="33.0" customHeight="1">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ht="33.0" customHeight="1">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ht="33.0" customHeight="1">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ht="33.0" customHeight="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ht="33.0" customHeight="1">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ht="33.0" customHeight="1">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ht="33.0" customHeight="1">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ht="33.0" customHeight="1">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ht="33.0" customHeight="1">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ht="33.0" customHeight="1">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ht="33.0" customHeight="1">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ht="33.0" customHeight="1">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ht="33.0" customHeight="1">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ht="33.0" customHeight="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ht="33.0" customHeight="1">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ht="33.0" customHeight="1">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ht="33.0" customHeight="1">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ht="33.0" customHeight="1">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ht="33.0" customHeight="1">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ht="33.0" customHeight="1">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ht="33.0" customHeight="1">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ht="33.0" customHeight="1">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ht="33.0" customHeight="1">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ht="33.0" customHeight="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ht="33.0" customHeight="1">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ht="33.0" customHeight="1">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ht="33.0" customHeight="1">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ht="33.0" customHeight="1">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ht="33.0" customHeight="1">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ht="33.0" customHeight="1">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ht="33.0" customHeight="1">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ht="33.0" customHeight="1">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ht="33.0" customHeight="1">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ht="33.0" customHeight="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ht="33.0" customHeight="1">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ht="33.0" customHeight="1">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ht="33.0" customHeight="1">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ht="33.0" customHeight="1">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ht="33.0" customHeight="1">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ht="33.0" customHeight="1">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ht="33.0" customHeight="1">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ht="33.0" customHeight="1">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ht="33.0" customHeight="1">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6" t="str">
        <f>IFERROR(__xludf.DUMMYFUNCTION("IMPORTRANGE(""https://docs.google.com/spreadsheets/d/1s3ob8vnG8KqF9VEFQoxZPE0EuFhsc5xpuQcXt7LcWG8/edit?gid=0#gid=0"",""Sheet1!A:j"")"),"Airline Name")</f>
        <v>Airline Name</v>
      </c>
      <c r="B1" s="127"/>
      <c r="C1" s="128" t="str">
        <f>IFERROR(__xludf.DUMMYFUNCTION("""COMPUTED_VALUE"""),"MAIN E-MAIL")</f>
        <v>MAIN E-MAIL</v>
      </c>
      <c r="D1" s="129" t="str">
        <f>IFERROR(__xludf.DUMMYFUNCTION("""COMPUTED_VALUE"""),"WAY OF SUBMISSION")</f>
        <v>WAY OF SUBMISSION</v>
      </c>
      <c r="E1" s="129" t="str">
        <f>IFERROR(__xludf.DUMMYFUNCTION("""COMPUTED_VALUE""")," ( Links/ webform)")</f>
        <v> ( Links/ webform)</v>
      </c>
      <c r="F1" s="127" t="str">
        <f>IFERROR(__xludf.DUMMYFUNCTION("""COMPUTED_VALUE"""),"Mandatory")</f>
        <v>Mandatory</v>
      </c>
      <c r="G1" s="127" t="str">
        <f>IFERROR(__xludf.DUMMYFUNCTION("""COMPUTED_VALUE"""),"Other Links/ Address")</f>
        <v>Other Links/ Address</v>
      </c>
      <c r="H1" s="127" t="str">
        <f>IFERROR(__xludf.DUMMYFUNCTION("""COMPUTED_VALUE"""),"Remarks")</f>
        <v>Remarks</v>
      </c>
      <c r="I1" s="130"/>
      <c r="J1" s="127"/>
      <c r="K1" s="127"/>
      <c r="L1" s="127"/>
      <c r="M1" s="127"/>
      <c r="N1" s="127"/>
      <c r="O1" s="127"/>
      <c r="P1" s="127"/>
      <c r="Q1" s="127"/>
      <c r="R1" s="127"/>
      <c r="S1" s="127"/>
      <c r="T1" s="127"/>
      <c r="U1" s="127"/>
      <c r="V1" s="127"/>
      <c r="W1" s="127"/>
      <c r="X1" s="127"/>
      <c r="Y1" s="127"/>
      <c r="Z1" s="127"/>
      <c r="AA1" s="127"/>
      <c r="AB1" s="127"/>
    </row>
    <row r="2">
      <c r="A2" s="31"/>
      <c r="B2" s="127"/>
      <c r="C2" s="128"/>
      <c r="D2" s="129" t="str">
        <f>IFERROR(__xludf.DUMMYFUNCTION("""COMPUTED_VALUE"""),"(e-mail/webform w/attach./webform w/o attach./post)")</f>
        <v>(e-mail/webform w/attach./webform w/o attach./post)</v>
      </c>
      <c r="F2" s="127"/>
      <c r="G2" s="127"/>
      <c r="H2" s="127"/>
      <c r="I2" s="127"/>
      <c r="J2" s="127"/>
      <c r="K2" s="127"/>
      <c r="L2" s="127"/>
      <c r="M2" s="127"/>
      <c r="N2" s="127"/>
      <c r="O2" s="127"/>
      <c r="P2" s="127"/>
      <c r="Q2" s="127"/>
      <c r="R2" s="127"/>
      <c r="S2" s="127"/>
      <c r="T2" s="127"/>
      <c r="U2" s="127"/>
      <c r="V2" s="127"/>
      <c r="W2" s="127"/>
      <c r="X2" s="127"/>
      <c r="Y2" s="127"/>
      <c r="Z2" s="127"/>
      <c r="AA2" s="127"/>
      <c r="AB2" s="127"/>
    </row>
    <row r="3">
      <c r="A3" s="31" t="str">
        <f>IFERROR(__xludf.DUMMYFUNCTION("""COMPUTED_VALUE"""),"4 Airways")</f>
        <v>4 Airways</v>
      </c>
      <c r="B3" s="127"/>
      <c r="C3" s="128" t="str">
        <f>IFERROR(__xludf.DUMMYFUNCTION("""COMPUTED_VALUE"""),"info@4airways.com")</f>
        <v>info@4airways.com</v>
      </c>
      <c r="D3" s="129" t="str">
        <f>IFERROR(__xludf.DUMMYFUNCTION("""COMPUTED_VALUE"""),"Email")</f>
        <v>Email</v>
      </c>
      <c r="E3" s="129" t="str">
        <f>IFERROR(__xludf.DUMMYFUNCTION("""COMPUTED_VALUE"""),"info@4airways.com")</f>
        <v>info@4airways.com</v>
      </c>
      <c r="F3" s="127"/>
      <c r="G3" s="127"/>
      <c r="H3" s="127"/>
      <c r="I3" s="127"/>
      <c r="J3" s="127"/>
      <c r="K3" s="127"/>
      <c r="L3" s="127"/>
      <c r="M3" s="127"/>
      <c r="N3" s="127"/>
      <c r="O3" s="127"/>
      <c r="P3" s="127"/>
      <c r="Q3" s="127"/>
      <c r="R3" s="127"/>
      <c r="S3" s="127"/>
      <c r="T3" s="127"/>
      <c r="U3" s="127"/>
      <c r="V3" s="127"/>
      <c r="W3" s="127"/>
      <c r="X3" s="127"/>
      <c r="Y3" s="127"/>
      <c r="Z3" s="127"/>
      <c r="AA3" s="127"/>
      <c r="AB3" s="127"/>
    </row>
    <row r="4">
      <c r="A4" s="31" t="str">
        <f>IFERROR(__xludf.DUMMYFUNCTION("""COMPUTED_VALUE"""),"AlbaStar")</f>
        <v>AlbaStar</v>
      </c>
      <c r="B4" s="127"/>
      <c r="C4" s="128" t="str">
        <f>IFERROR(__xludf.DUMMYFUNCTION("""COMPUTED_VALUE"""),"commercial@albastar.es")</f>
        <v>commercial@albastar.es</v>
      </c>
      <c r="D4" s="129" t="str">
        <f>IFERROR(__xludf.DUMMYFUNCTION("""COMPUTED_VALUE"""),"webform w/o attachment")</f>
        <v>webform w/o attachment</v>
      </c>
      <c r="E4" s="131" t="str">
        <f>IFERROR(__xludf.DUMMYFUNCTION("""COMPUTED_VALUE"""),"https://albastar.es/en/complaints/")</f>
        <v>https://albastar.es/en/complaints/</v>
      </c>
      <c r="F4" s="127"/>
      <c r="G4" s="127"/>
      <c r="H4" s="127"/>
      <c r="I4" s="127"/>
      <c r="J4" s="127"/>
      <c r="K4" s="127"/>
      <c r="L4" s="127"/>
      <c r="M4" s="127"/>
      <c r="N4" s="127"/>
      <c r="O4" s="127"/>
      <c r="P4" s="127"/>
      <c r="Q4" s="127"/>
      <c r="R4" s="127"/>
      <c r="S4" s="127"/>
      <c r="T4" s="127"/>
      <c r="U4" s="127"/>
      <c r="V4" s="127"/>
      <c r="W4" s="127"/>
      <c r="X4" s="127"/>
      <c r="Y4" s="127"/>
      <c r="Z4" s="127"/>
      <c r="AA4" s="127"/>
      <c r="AB4" s="127"/>
    </row>
    <row r="5">
      <c r="A5" s="31" t="str">
        <f>IFERROR(__xludf.DUMMYFUNCTION("""COMPUTED_VALUE"""),"AlpAvia")</f>
        <v>AlpAvia</v>
      </c>
      <c r="B5" s="127"/>
      <c r="C5" s="128" t="str">
        <f>IFERROR(__xludf.DUMMYFUNCTION("""COMPUTED_VALUE"""),"customercare@alpavia.si")</f>
        <v>customercare@alpavia.si</v>
      </c>
      <c r="D5" s="129" t="str">
        <f>IFERROR(__xludf.DUMMYFUNCTION("""COMPUTED_VALUE"""),"webform w/o attachment")</f>
        <v>webform w/o attachment</v>
      </c>
      <c r="E5" s="129" t="str">
        <f>IFERROR(__xludf.DUMMYFUNCTION("""COMPUTED_VALUE"""),"customercare@alpavia.si")</f>
        <v>customercare@alpavia.si</v>
      </c>
      <c r="F5" s="127"/>
      <c r="G5" s="127"/>
      <c r="H5" s="127"/>
      <c r="I5" s="127"/>
      <c r="J5" s="127"/>
      <c r="K5" s="127"/>
      <c r="L5" s="127"/>
      <c r="M5" s="127"/>
      <c r="N5" s="127"/>
      <c r="O5" s="127"/>
      <c r="P5" s="127"/>
      <c r="Q5" s="127"/>
      <c r="R5" s="127"/>
      <c r="S5" s="127"/>
      <c r="T5" s="127"/>
      <c r="U5" s="127"/>
      <c r="V5" s="127"/>
      <c r="W5" s="127"/>
      <c r="X5" s="127"/>
      <c r="Y5" s="127"/>
      <c r="Z5" s="127"/>
      <c r="AA5" s="127"/>
      <c r="AB5" s="127"/>
    </row>
    <row r="6">
      <c r="A6" s="31" t="str">
        <f>IFERROR(__xludf.DUMMYFUNCTION("""COMPUTED_VALUE"""),"Aegean Airlines (A3)")</f>
        <v>Aegean Airlines (A3)</v>
      </c>
      <c r="B6" s="127"/>
      <c r="C6" s="128" t="str">
        <f>IFERROR(__xludf.DUMMYFUNCTION("""COMPUTED_VALUE"""),"contact@aegeanair.com")</f>
        <v>contact@aegeanair.com</v>
      </c>
      <c r="D6" s="129" t="str">
        <f>IFERROR(__xludf.DUMMYFUNCTION("""COMPUTED_VALUE"""),"web form")</f>
        <v>web form</v>
      </c>
      <c r="E6" s="131" t="str">
        <f>IFERROR(__xludf.DUMMYFUNCTION("""COMPUTED_VALUE"""),"https://aegeanairlines.custhelp.com/app/email")</f>
        <v>https://aegeanairlines.custhelp.com/app/email</v>
      </c>
      <c r="F6" s="127"/>
      <c r="G6" s="127"/>
      <c r="H6" s="127" t="str">
        <f>IFERROR(__xludf.DUMMYFUNCTION("""COMPUTED_VALUE"""),"Olympic air form")</f>
        <v>Olympic air form</v>
      </c>
      <c r="I6" s="127"/>
      <c r="J6" s="127"/>
      <c r="K6" s="127"/>
      <c r="L6" s="127"/>
      <c r="M6" s="127"/>
      <c r="N6" s="127"/>
      <c r="O6" s="127"/>
      <c r="P6" s="127"/>
      <c r="Q6" s="127"/>
      <c r="R6" s="127"/>
      <c r="S6" s="127"/>
      <c r="T6" s="127"/>
      <c r="U6" s="127"/>
      <c r="V6" s="127"/>
      <c r="W6" s="127"/>
      <c r="X6" s="127"/>
      <c r="Y6" s="127"/>
      <c r="Z6" s="127"/>
      <c r="AA6" s="127"/>
      <c r="AB6" s="127"/>
    </row>
    <row r="7">
      <c r="A7" s="31" t="str">
        <f>IFERROR(__xludf.DUMMYFUNCTION("""COMPUTED_VALUE"""),"Aer Arann (RE)")</f>
        <v>Aer Arann (RE)</v>
      </c>
      <c r="B7" s="127"/>
      <c r="C7" s="128"/>
      <c r="D7" s="129" t="str">
        <f>IFERROR(__xludf.DUMMYFUNCTION("""COMPUTED_VALUE"""),"to be sent to Aer Lingus")</f>
        <v>to be sent to Aer Lingus</v>
      </c>
      <c r="E7" s="129" t="str">
        <f>IFERROR(__xludf.DUMMYFUNCTION("""COMPUTED_VALUE"""),"to be sent to Aer Lingus")</f>
        <v>to be sent to Aer Lingus</v>
      </c>
      <c r="F7" s="127"/>
      <c r="G7" s="127"/>
      <c r="H7" s="127"/>
      <c r="I7" s="127"/>
      <c r="J7" s="127"/>
      <c r="K7" s="127"/>
      <c r="L7" s="127"/>
      <c r="M7" s="127"/>
      <c r="N7" s="127"/>
      <c r="O7" s="127"/>
      <c r="P7" s="127"/>
      <c r="Q7" s="127"/>
      <c r="R7" s="127"/>
      <c r="S7" s="127"/>
      <c r="T7" s="127"/>
      <c r="U7" s="127"/>
      <c r="V7" s="127"/>
      <c r="W7" s="127"/>
      <c r="X7" s="127"/>
      <c r="Y7" s="127"/>
      <c r="Z7" s="127"/>
      <c r="AA7" s="127"/>
      <c r="AB7" s="127"/>
    </row>
    <row r="8">
      <c r="A8" s="31" t="str">
        <f>IFERROR(__xludf.DUMMYFUNCTION("""COMPUTED_VALUE"""),"Aer Lingus (EI)")</f>
        <v>Aer Lingus (EI)</v>
      </c>
      <c r="B8" s="127"/>
      <c r="C8" s="128" t="str">
        <f>IFERROR(__xludf.DUMMYFUNCTION("""COMPUTED_VALUE"""),"FlightCompensationClaims@aerlingus.com")</f>
        <v>FlightCompensationClaims@aerlingus.com</v>
      </c>
      <c r="D8" s="129" t="str">
        <f>IFERROR(__xludf.DUMMYFUNCTION("""COMPUTED_VALUE"""),"webform w/ attachment")</f>
        <v>webform w/ attachment</v>
      </c>
      <c r="E8" s="131" t="str">
        <f>IFERROR(__xludf.DUMMYFUNCTION("""COMPUTED_VALUE"""),"https://www.aerlingus.com/app/support/forms/flight-disruption-compensation-form")</f>
        <v>https://www.aerlingus.com/app/support/forms/flight-disruption-compensation-form</v>
      </c>
      <c r="F8" s="127" t="str">
        <f>IFERROR(__xludf.DUMMYFUNCTION("""COMPUTED_VALUE"""),"Generate Aer Lingus POA   //  If webform does not work then send via email")</f>
        <v>Generate Aer Lingus POA   //  If webform does not work then send via email</v>
      </c>
      <c r="G8" s="127" t="str">
        <f>IFERROR(__xludf.DUMMYFUNCTION("""COMPUTED_VALUE"""),"Case update:https://www.aerlingus.com/support/customer-care/requests-and-enquiries/case-update/")</f>
        <v>Case update:https://www.aerlingus.com/support/customer-care/requests-and-enquiries/case-update/</v>
      </c>
      <c r="H8" s="127"/>
      <c r="I8" s="127"/>
      <c r="J8" s="127"/>
      <c r="K8" s="127"/>
      <c r="L8" s="127"/>
      <c r="M8" s="127"/>
      <c r="N8" s="127"/>
      <c r="O8" s="127"/>
      <c r="P8" s="127"/>
      <c r="Q8" s="127"/>
      <c r="R8" s="127"/>
      <c r="S8" s="127"/>
      <c r="T8" s="127"/>
      <c r="U8" s="127"/>
      <c r="V8" s="127"/>
      <c r="W8" s="127"/>
      <c r="X8" s="127"/>
      <c r="Y8" s="127"/>
      <c r="Z8" s="127"/>
      <c r="AA8" s="127"/>
      <c r="AB8" s="127"/>
    </row>
    <row r="9">
      <c r="A9" s="31" t="str">
        <f>IFERROR(__xludf.DUMMYFUNCTION("""COMPUTED_VALUE"""),"AeroItalia")</f>
        <v>AeroItalia</v>
      </c>
      <c r="B9" s="127" t="str">
        <f>IFERROR(__xludf.DUMMYFUNCTION("""COMPUTED_VALUE"""),"Sends Reference in email after submission")</f>
        <v>Sends Reference in email after submission</v>
      </c>
      <c r="C9" s="128" t="str">
        <f>IFERROR(__xludf.DUMMYFUNCTION("""COMPUTED_VALUE"""),"customersupport@aeroitalia.com")</f>
        <v>customersupport@aeroitalia.com</v>
      </c>
      <c r="D9" s="129" t="str">
        <f>IFERROR(__xludf.DUMMYFUNCTION("""COMPUTED_VALUE"""),"webform w/ attachment")</f>
        <v>webform w/ attachment</v>
      </c>
      <c r="E9" s="131" t="str">
        <f>IFERROR(__xludf.DUMMYFUNCTION("""COMPUTED_VALUE"""),"https://www.aeroitalia.com/en/contact_form")</f>
        <v>https://www.aeroitalia.com/en/contact_form</v>
      </c>
      <c r="F9" s="127" t="str">
        <f>IFERROR(__xludf.DUMMYFUNCTION("""COMPUTED_VALUE"""),"ID")</f>
        <v>ID</v>
      </c>
      <c r="G9" s="127"/>
      <c r="H9" s="127"/>
      <c r="I9" s="127"/>
      <c r="J9" s="127"/>
      <c r="K9" s="127"/>
      <c r="L9" s="127"/>
      <c r="M9" s="127"/>
      <c r="N9" s="127"/>
      <c r="O9" s="127"/>
      <c r="P9" s="127"/>
      <c r="Q9" s="127"/>
      <c r="R9" s="127"/>
      <c r="S9" s="127"/>
      <c r="T9" s="127"/>
      <c r="U9" s="127"/>
      <c r="V9" s="127"/>
      <c r="W9" s="127"/>
      <c r="X9" s="127"/>
      <c r="Y9" s="127"/>
      <c r="Z9" s="127"/>
      <c r="AA9" s="127"/>
      <c r="AB9" s="127"/>
    </row>
    <row r="10">
      <c r="A10" s="31" t="str">
        <f>IFERROR(__xludf.DUMMYFUNCTION("""COMPUTED_VALUE"""),"Aeroflot Russian Airlines (SU)")</f>
        <v>Aeroflot Russian Airlines (SU)</v>
      </c>
      <c r="B10" s="127"/>
      <c r="C10" s="128" t="str">
        <f>IFERROR(__xludf.DUMMYFUNCTION("""COMPUTED_VALUE"""),"openline@aeroflot.ru")</f>
        <v>openline@aeroflot.ru</v>
      </c>
      <c r="D10" s="129" t="str">
        <f>IFERROR(__xludf.DUMMYFUNCTION("""COMPUTED_VALUE"""),"webform w/ attachment")</f>
        <v>webform w/ attachment</v>
      </c>
      <c r="E10" s="131" t="str">
        <f>IFERROR(__xludf.DUMMYFUNCTION("""COMPUTED_VALUE"""),"https://www.aeroflot.ru/us-en/help/questions/claim/delayed_flight")</f>
        <v>https://www.aeroflot.ru/us-en/help/questions/claim/delayed_flight</v>
      </c>
      <c r="F10" s="127"/>
      <c r="G10" s="127"/>
      <c r="H10" s="127"/>
      <c r="I10" s="127"/>
      <c r="J10" s="127"/>
      <c r="K10" s="127"/>
      <c r="L10" s="127"/>
      <c r="M10" s="127"/>
      <c r="N10" s="127"/>
      <c r="O10" s="127"/>
      <c r="P10" s="127"/>
      <c r="Q10" s="127"/>
      <c r="R10" s="127"/>
      <c r="S10" s="127"/>
      <c r="T10" s="127"/>
      <c r="U10" s="127"/>
      <c r="V10" s="127"/>
      <c r="W10" s="127"/>
      <c r="X10" s="127"/>
      <c r="Y10" s="127"/>
      <c r="Z10" s="127"/>
      <c r="AA10" s="127"/>
      <c r="AB10" s="127"/>
    </row>
    <row r="11">
      <c r="A11" s="31" t="str">
        <f>IFERROR(__xludf.DUMMYFUNCTION("""COMPUTED_VALUE"""),"Aerolineas Argentinas (AR)")</f>
        <v>Aerolineas Argentinas (AR)</v>
      </c>
      <c r="B11" s="127"/>
      <c r="C11" s="128" t="str">
        <f>IFERROR(__xludf.DUMMYFUNCTION("""COMPUTED_VALUE"""),"centrodeatencionalcliente@aerolineas.com.ar")</f>
        <v>centrodeatencionalcliente@aerolineas.com.ar</v>
      </c>
      <c r="D11" s="129" t="str">
        <f>IFERROR(__xludf.DUMMYFUNCTION("""COMPUTED_VALUE"""),"webform w/ attachment")</f>
        <v>webform w/ attachment</v>
      </c>
      <c r="E11" s="131" t="str">
        <f>IFERROR(__xludf.DUMMYFUNCTION("""COMPUTED_VALUE"""),"https://www.aerolineas.com.ar/en-eu/reservation-services/customer-service-contact")</f>
        <v>https://www.aerolineas.com.ar/en-eu/reservation-services/customer-service-contact</v>
      </c>
      <c r="F11" s="127" t="str">
        <f>IFERROR(__xludf.DUMMYFUNCTION("""COMPUTED_VALUE"""),"Ticket number, ID number")</f>
        <v>Ticket number, ID number</v>
      </c>
      <c r="G11" s="132" t="str">
        <f>IFERROR(__xludf.DUMMYFUNCTION("""COMPUTED_VALUE"""),"https://ww2.aerolineas.com.ar/en-ar/contacto/contactoatencioncliente")</f>
        <v>https://ww2.aerolineas.com.ar/en-ar/contacto/contactoatencioncliente</v>
      </c>
      <c r="H11" s="127"/>
      <c r="I11" s="127"/>
      <c r="J11" s="127"/>
      <c r="K11" s="127"/>
      <c r="L11" s="127"/>
      <c r="M11" s="127"/>
      <c r="N11" s="127"/>
      <c r="O11" s="127"/>
      <c r="P11" s="127"/>
      <c r="Q11" s="127"/>
      <c r="R11" s="127"/>
      <c r="S11" s="127"/>
      <c r="T11" s="127"/>
      <c r="U11" s="127"/>
      <c r="V11" s="127"/>
      <c r="W11" s="127"/>
      <c r="X11" s="127"/>
      <c r="Y11" s="127"/>
      <c r="Z11" s="127"/>
      <c r="AA11" s="127"/>
      <c r="AB11" s="127"/>
    </row>
    <row r="12">
      <c r="A12" s="31" t="str">
        <f>IFERROR(__xludf.DUMMYFUNCTION("""COMPUTED_VALUE"""),"Aerolíneas Estelar")</f>
        <v>Aerolíneas Estelar</v>
      </c>
      <c r="B12" s="127"/>
      <c r="C12" s="128" t="str">
        <f>IFERROR(__xludf.DUMMYFUNCTION("""COMPUTED_VALUE"""),"atencionalcliente@flyestelar.com")</f>
        <v>atencionalcliente@flyestelar.com</v>
      </c>
      <c r="D12" s="129"/>
      <c r="E12" s="129" t="str">
        <f>IFERROR(__xludf.DUMMYFUNCTION("""COMPUTED_VALUE"""),"atencionalcliente@flyestelar.com")</f>
        <v>atencionalcliente@flyestelar.com</v>
      </c>
      <c r="F12" s="127"/>
      <c r="G12" s="127"/>
      <c r="H12" s="127"/>
      <c r="I12" s="127"/>
      <c r="J12" s="127"/>
      <c r="K12" s="127"/>
      <c r="L12" s="127"/>
      <c r="M12" s="127"/>
      <c r="N12" s="127"/>
      <c r="O12" s="127"/>
      <c r="P12" s="127"/>
      <c r="Q12" s="127"/>
      <c r="R12" s="127"/>
      <c r="S12" s="127"/>
      <c r="T12" s="127"/>
      <c r="U12" s="127"/>
      <c r="V12" s="127"/>
      <c r="W12" s="127"/>
      <c r="X12" s="127"/>
      <c r="Y12" s="127"/>
      <c r="Z12" s="127"/>
      <c r="AA12" s="127"/>
      <c r="AB12" s="127"/>
    </row>
    <row r="13">
      <c r="A13" s="31" t="str">
        <f>IFERROR(__xludf.DUMMYFUNCTION("""COMPUTED_VALUE"""),"Aeromexico (AM)")</f>
        <v>Aeromexico (AM)</v>
      </c>
      <c r="B13" s="127"/>
      <c r="C13" s="128" t="str">
        <f>IFERROR(__xludf.DUMMYFUNCTION("""COMPUTED_VALUE"""),"servicioaclientes@aeromexico.com.mx")</f>
        <v>servicioaclientes@aeromexico.com.mx</v>
      </c>
      <c r="D13" s="129" t="str">
        <f>IFERROR(__xludf.DUMMYFUNCTION("""COMPUTED_VALUE"""),"webform w/o attachment or e-mail")</f>
        <v>webform w/o attachment or e-mail</v>
      </c>
      <c r="E13" s="129" t="str">
        <f>IFERROR(__xludf.DUMMYFUNCTION("""COMPUTED_VALUE"""),"servicioaclientes@aeromexico.com.mx")</f>
        <v>servicioaclientes@aeromexico.com.mx</v>
      </c>
      <c r="F13" s="127"/>
      <c r="G13" s="132" t="str">
        <f>IFERROR(__xludf.DUMMYFUNCTION("""COMPUTED_VALUE"""),"https://aeromexico.com/es-mx/contacto")</f>
        <v>https://aeromexico.com/es-mx/contacto</v>
      </c>
      <c r="H13" s="127"/>
      <c r="I13" s="127"/>
      <c r="J13" s="127"/>
      <c r="K13" s="127"/>
      <c r="L13" s="127"/>
      <c r="M13" s="127"/>
      <c r="N13" s="127"/>
      <c r="O13" s="127"/>
      <c r="P13" s="127"/>
      <c r="Q13" s="127"/>
      <c r="R13" s="127"/>
      <c r="S13" s="127"/>
      <c r="T13" s="127"/>
      <c r="U13" s="127"/>
      <c r="V13" s="127"/>
      <c r="W13" s="127"/>
      <c r="X13" s="127"/>
      <c r="Y13" s="127"/>
      <c r="Z13" s="127"/>
      <c r="AA13" s="127"/>
      <c r="AB13" s="127"/>
    </row>
    <row r="14">
      <c r="A14" s="31" t="str">
        <f>IFERROR(__xludf.DUMMYFUNCTION("""COMPUTED_VALUE"""),"Air Albania")</f>
        <v>Air Albania</v>
      </c>
      <c r="B14" s="127" t="str">
        <f>IFERROR(__xludf.DUMMYFUNCTION("""COMPUTED_VALUE"""),"Ceased operations in December 2025")</f>
        <v>Ceased operations in December 2025</v>
      </c>
      <c r="C14" s="128" t="str">
        <f>IFERROR(__xludf.DUMMYFUNCTION("""COMPUTED_VALUE""")," customer.care@airalbania.com.al")</f>
        <v> customer.care@airalbania.com.al</v>
      </c>
      <c r="D14" s="129" t="str">
        <f>IFERROR(__xludf.DUMMYFUNCTION("""COMPUTED_VALUE"""),"eMail")</f>
        <v>eMail</v>
      </c>
      <c r="E14" s="129" t="str">
        <f>IFERROR(__xludf.DUMMYFUNCTION("""COMPUTED_VALUE""")," customer.care@airalbania.com.al")</f>
        <v> customer.care@airalbania.com.al</v>
      </c>
      <c r="F14" s="127"/>
      <c r="G14" s="127"/>
      <c r="H14" s="127"/>
      <c r="I14" s="127"/>
      <c r="J14" s="127"/>
      <c r="K14" s="127"/>
      <c r="L14" s="127"/>
      <c r="M14" s="127"/>
      <c r="N14" s="127"/>
      <c r="O14" s="127"/>
      <c r="P14" s="127"/>
      <c r="Q14" s="127"/>
      <c r="R14" s="127"/>
      <c r="S14" s="127"/>
      <c r="T14" s="127"/>
      <c r="U14" s="127"/>
      <c r="V14" s="127"/>
      <c r="W14" s="127"/>
      <c r="X14" s="127"/>
      <c r="Y14" s="127"/>
      <c r="Z14" s="127"/>
      <c r="AA14" s="127"/>
      <c r="AB14" s="127"/>
    </row>
    <row r="15">
      <c r="A15" s="31" t="str">
        <f>IFERROR(__xludf.DUMMYFUNCTION("""COMPUTED_VALUE"""),"Air Algerie")</f>
        <v>Air Algerie</v>
      </c>
      <c r="B15" s="127"/>
      <c r="C15" s="128" t="str">
        <f>IFERROR(__xludf.DUMMYFUNCTION("""COMPUTED_VALUE"""),"service-clients@airalgerie.dz")</f>
        <v>service-clients@airalgerie.dz</v>
      </c>
      <c r="D15" s="131" t="str">
        <f>IFERROR(__xludf.DUMMYFUNCTION("""COMPUTED_VALUE"""),"https://doleances.airalgerie.dz/reclamation/forms")</f>
        <v>https://doleances.airalgerie.dz/reclamation/forms</v>
      </c>
      <c r="E15" s="129" t="str">
        <f>IFERROR(__xludf.DUMMYFUNCTION("""COMPUTED_VALUE"""),"service-clients@airalgerie.dz")</f>
        <v>service-clients@airalgerie.dz</v>
      </c>
      <c r="F15" s="127" t="str">
        <f>IFERROR(__xludf.DUMMYFUNCTION("""COMPUTED_VALUE"""),"ID- front and Back or Copy of Passport")</f>
        <v>ID- front and Back or Copy of Passport</v>
      </c>
      <c r="G15" s="127"/>
      <c r="H15" s="127"/>
      <c r="I15" s="127"/>
      <c r="J15" s="127"/>
      <c r="K15" s="127"/>
      <c r="L15" s="127"/>
      <c r="M15" s="127"/>
      <c r="N15" s="127"/>
      <c r="O15" s="127"/>
      <c r="P15" s="127"/>
      <c r="Q15" s="127"/>
      <c r="R15" s="127"/>
      <c r="S15" s="127"/>
      <c r="T15" s="127"/>
      <c r="U15" s="127"/>
      <c r="V15" s="127"/>
      <c r="W15" s="127"/>
      <c r="X15" s="127"/>
      <c r="Y15" s="127"/>
      <c r="Z15" s="127"/>
      <c r="AA15" s="127"/>
      <c r="AB15" s="127"/>
    </row>
    <row r="16">
      <c r="A16" s="31" t="str">
        <f>IFERROR(__xludf.DUMMYFUNCTION("""COMPUTED_VALUE"""),"Air Anka")</f>
        <v>Air Anka</v>
      </c>
      <c r="B16" s="127"/>
      <c r="C16" s="128" t="str">
        <f>IFERROR(__xludf.DUMMYFUNCTION("""COMPUTED_VALUE"""),"info@airanka.com.tr")</f>
        <v>info@airanka.com.tr</v>
      </c>
      <c r="D16" s="129" t="str">
        <f>IFERROR(__xludf.DUMMYFUNCTION("""COMPUTED_VALUE"""),"webform w/o attachment")</f>
        <v>webform w/o attachment</v>
      </c>
      <c r="E16" s="131" t="str">
        <f>IFERROR(__xludf.DUMMYFUNCTION("""COMPUTED_VALUE"""),"https://airanka.com.tr/contact-us/")</f>
        <v>https://airanka.com.tr/contact-us/</v>
      </c>
      <c r="F16" s="127"/>
      <c r="G16" s="127"/>
      <c r="H16" s="127"/>
      <c r="I16" s="127"/>
      <c r="J16" s="127"/>
      <c r="K16" s="127"/>
      <c r="L16" s="127"/>
      <c r="M16" s="127"/>
      <c r="N16" s="127"/>
      <c r="O16" s="127"/>
      <c r="P16" s="127"/>
      <c r="Q16" s="127"/>
      <c r="R16" s="127"/>
      <c r="S16" s="127"/>
      <c r="T16" s="127"/>
      <c r="U16" s="127"/>
      <c r="V16" s="127"/>
      <c r="W16" s="127"/>
      <c r="X16" s="127"/>
      <c r="Y16" s="127"/>
      <c r="Z16" s="127"/>
      <c r="AA16" s="127"/>
      <c r="AB16" s="127"/>
    </row>
    <row r="17">
      <c r="A17" s="31" t="str">
        <f>IFERROR(__xludf.DUMMYFUNCTION("""COMPUTED_VALUE"""),"Air Antilles")</f>
        <v>Air Antilles</v>
      </c>
      <c r="B17" s="127"/>
      <c r="C17" s="128" t="str">
        <f>IFERROR(__xludf.DUMMYFUNCTION("""COMPUTED_VALUE"""),"callcenter@airantilles.com")</f>
        <v>callcenter@airantilles.com</v>
      </c>
      <c r="D17" s="129" t="str">
        <f>IFERROR(__xludf.DUMMYFUNCTION("""COMPUTED_VALUE"""),"eMail")</f>
        <v>eMail</v>
      </c>
      <c r="E17" s="129" t="str">
        <f>IFERROR(__xludf.DUMMYFUNCTION("""COMPUTED_VALUE"""),"callcenter@airantilles.com")</f>
        <v>callcenter@airantilles.com</v>
      </c>
      <c r="F17" s="127"/>
      <c r="G17" s="127"/>
      <c r="H17" s="127"/>
      <c r="I17" s="127"/>
      <c r="J17" s="127"/>
      <c r="K17" s="127"/>
      <c r="L17" s="127"/>
      <c r="M17" s="127"/>
      <c r="N17" s="127"/>
      <c r="O17" s="127"/>
      <c r="P17" s="127"/>
      <c r="Q17" s="127"/>
      <c r="R17" s="127"/>
      <c r="S17" s="127"/>
      <c r="T17" s="127"/>
      <c r="U17" s="127"/>
      <c r="V17" s="127"/>
      <c r="W17" s="127"/>
      <c r="X17" s="127"/>
      <c r="Y17" s="127"/>
      <c r="Z17" s="127"/>
      <c r="AA17" s="127"/>
      <c r="AB17" s="127"/>
    </row>
    <row r="18">
      <c r="A18" s="31" t="str">
        <f>IFERROR(__xludf.DUMMYFUNCTION("""COMPUTED_VALUE"""),"Air Austral")</f>
        <v>Air Austral</v>
      </c>
      <c r="B18" s="127"/>
      <c r="C18" s="128" t="str">
        <f>IFERROR(__xludf.DUMMYFUNCTION("""COMPUTED_VALUE"""),"no-reply@air-austral.reclamation.eu")</f>
        <v>no-reply@air-austral.reclamation.eu</v>
      </c>
      <c r="D18" s="129"/>
      <c r="E18" s="131" t="str">
        <f>IFERROR(__xludf.DUMMYFUNCTION("""COMPUTED_VALUE"""),"https://sav.air-austral.com/en/complaints/new#_ga=2.249539591.182630977.1708601110-785941630.1708601109")</f>
        <v>https://sav.air-austral.com/en/complaints/new#_ga=2.249539591.182630977.1708601110-785941630.1708601109</v>
      </c>
      <c r="F18" s="127"/>
      <c r="G18" s="127"/>
      <c r="H18" s="127"/>
      <c r="I18" s="127"/>
      <c r="J18" s="127"/>
      <c r="K18" s="127"/>
      <c r="L18" s="127"/>
      <c r="M18" s="127"/>
      <c r="N18" s="127"/>
      <c r="O18" s="127"/>
      <c r="P18" s="127"/>
      <c r="Q18" s="127"/>
      <c r="R18" s="127"/>
      <c r="S18" s="127"/>
      <c r="T18" s="127"/>
      <c r="U18" s="127"/>
      <c r="V18" s="127"/>
      <c r="W18" s="127"/>
      <c r="X18" s="127"/>
      <c r="Y18" s="127"/>
      <c r="Z18" s="127"/>
      <c r="AA18" s="127"/>
      <c r="AB18" s="127"/>
    </row>
    <row r="19">
      <c r="A19" s="31" t="str">
        <f>IFERROR(__xludf.DUMMYFUNCTION("""COMPUTED_VALUE"""),"Air Senegal")</f>
        <v>Air Senegal</v>
      </c>
      <c r="B19" s="127"/>
      <c r="C19" s="133" t="str">
        <f>IFERROR(__xludf.DUMMYFUNCTION("""COMPUTED_VALUE"""),"serviceclient@airsenegalsa.sn")</f>
        <v>serviceclient@airsenegalsa.sn</v>
      </c>
      <c r="D19" s="129" t="str">
        <f>IFERROR(__xludf.DUMMYFUNCTION("""COMPUTED_VALUE"""),"webform w/o attachment")</f>
        <v>webform w/o attachment</v>
      </c>
      <c r="E19" s="131" t="str">
        <f>IFERROR(__xludf.DUMMYFUNCTION("""COMPUTED_VALUE"""),"https://flyairsenegal.com/en/contact/")</f>
        <v>https://flyairsenegal.com/en/contact/</v>
      </c>
      <c r="F19" s="127"/>
      <c r="G19" s="127"/>
      <c r="H19" s="127"/>
      <c r="I19" s="127"/>
      <c r="J19" s="127"/>
      <c r="K19" s="127"/>
      <c r="L19" s="127"/>
      <c r="M19" s="127"/>
      <c r="N19" s="127"/>
      <c r="O19" s="127"/>
      <c r="P19" s="127"/>
      <c r="Q19" s="127"/>
      <c r="R19" s="127"/>
      <c r="S19" s="127"/>
      <c r="T19" s="127"/>
      <c r="U19" s="127"/>
      <c r="V19" s="127"/>
      <c r="W19" s="127"/>
      <c r="X19" s="127"/>
      <c r="Y19" s="127"/>
      <c r="Z19" s="127"/>
      <c r="AA19" s="127"/>
      <c r="AB19" s="127"/>
    </row>
    <row r="20">
      <c r="A20" s="31" t="str">
        <f>IFERROR(__xludf.DUMMYFUNCTION("""COMPUTED_VALUE"""),"Afriqiyah Airways (8U)")</f>
        <v>Afriqiyah Airways (8U)</v>
      </c>
      <c r="B20" s="127"/>
      <c r="C20" s="128" t="str">
        <f>IFERROR(__xludf.DUMMYFUNCTION("""COMPUTED_VALUE"""),"customerservice@afriqiyah.aero")</f>
        <v>customerservice@afriqiyah.aero</v>
      </c>
      <c r="D20" s="129" t="str">
        <f>IFERROR(__xludf.DUMMYFUNCTION("""COMPUTED_VALUE"""),"webform w/o attachment")</f>
        <v>webform w/o attachment</v>
      </c>
      <c r="E20" s="131" t="str">
        <f>IFERROR(__xludf.DUMMYFUNCTION("""COMPUTED_VALUE"""),"http://www.webcheckin.info/contact")</f>
        <v>http://www.webcheckin.info/contact</v>
      </c>
      <c r="F20" s="127"/>
      <c r="G20" s="127"/>
      <c r="H20" s="127"/>
      <c r="I20" s="127"/>
      <c r="J20" s="127"/>
      <c r="K20" s="127"/>
      <c r="L20" s="127"/>
      <c r="M20" s="127"/>
      <c r="N20" s="127"/>
      <c r="O20" s="127"/>
      <c r="P20" s="127"/>
      <c r="Q20" s="127"/>
      <c r="R20" s="127"/>
      <c r="S20" s="127"/>
      <c r="T20" s="127"/>
      <c r="U20" s="127"/>
      <c r="V20" s="127"/>
      <c r="W20" s="127"/>
      <c r="X20" s="127"/>
      <c r="Y20" s="127"/>
      <c r="Z20" s="127"/>
      <c r="AA20" s="127"/>
      <c r="AB20" s="127"/>
    </row>
    <row r="21">
      <c r="A21" s="31" t="str">
        <f>IFERROR(__xludf.DUMMYFUNCTION("""COMPUTED_VALUE"""),"Air Arabia")</f>
        <v>Air Arabia</v>
      </c>
      <c r="B21" s="127"/>
      <c r="C21" s="128" t="str">
        <f>IFERROR(__xludf.DUMMYFUNCTION("""COMPUTED_VALUE"""),"contactus@airarabia.com")</f>
        <v>contactus@airarabia.com</v>
      </c>
      <c r="D21" s="129" t="str">
        <f>IFERROR(__xludf.DUMMYFUNCTION("""COMPUTED_VALUE"""),"webform w/ attachment")</f>
        <v>webform w/ attachment</v>
      </c>
      <c r="E21" s="131" t="str">
        <f>IFERROR(__xludf.DUMMYFUNCTION("""COMPUTED_VALUE"""),"https://claims.airarabia.com/homepage?_gl=1*1mn4dow*_gcl_au*MTI5MjgzODA2OS4xNzU2MTgzOTIy*_ga*MjE2ODkwMzE0LjE3NTYxODM5MjI.*_ga_JC9GXQB3J9*czE3NTc5MzM5NjgkbzE3JGcxJHQxNzU3OTM1NjI4JGo1NyRsMCRoMjAxODk1MDg3MA..*_ga_MSWB891955*czE3NTc5MzM5NjgkbzE3JGcxJHQxNzU3OT"&amp;"M1NjI4JGo1NyRsMCRoMA..")</f>
        <v>https://claims.airarabia.com/homepage?_gl=1*1mn4dow*_gcl_au*MTI5MjgzODA2OS4xNzU2MTgzOTIy*_ga*MjE2ODkwMzE0LjE3NTYxODM5MjI.*_ga_JC9GXQB3J9*czE3NTc5MzM5NjgkbzE3JGcxJHQxNzU3OTM1NjI4JGo1NyRsMCRoMjAxODk1MDg3MA..*_ga_MSWB891955*czE3NTc5MzM5NjgkbzE3JGcxJHQxNzU3OTM1NjI4JGo1NyRsMCRoMA..</v>
      </c>
      <c r="F21" s="127" t="str">
        <f>IFERROR(__xludf.DUMMYFUNCTION("""COMPUTED_VALUE"""),"Ticket number,Boarding pass, ID. If delayed then need to know rescheduled time")</f>
        <v>Ticket number,Boarding pass, ID. If delayed then need to know rescheduled time</v>
      </c>
      <c r="G21" s="127"/>
      <c r="H21" s="127"/>
      <c r="I21" s="127"/>
      <c r="J21" s="127"/>
      <c r="K21" s="127"/>
      <c r="L21" s="127"/>
      <c r="M21" s="127"/>
      <c r="N21" s="127"/>
      <c r="O21" s="127"/>
      <c r="P21" s="127"/>
      <c r="Q21" s="127"/>
      <c r="R21" s="127"/>
      <c r="S21" s="127"/>
      <c r="T21" s="127"/>
      <c r="U21" s="127"/>
      <c r="V21" s="127"/>
      <c r="W21" s="127"/>
      <c r="X21" s="127"/>
      <c r="Y21" s="127"/>
      <c r="Z21" s="127"/>
      <c r="AA21" s="127"/>
      <c r="AB21" s="127"/>
    </row>
    <row r="22">
      <c r="A22" s="31" t="str">
        <f>IFERROR(__xludf.DUMMYFUNCTION("""COMPUTED_VALUE"""),"Air Cairo (MSC)")</f>
        <v>Air Cairo (MSC)</v>
      </c>
      <c r="B22" s="127"/>
      <c r="C22" s="128" t="str">
        <f>IFERROR(__xludf.DUMMYFUNCTION("""COMPUTED_VALUE"""),"wecare@aircairo.com")</f>
        <v>wecare@aircairo.com</v>
      </c>
      <c r="D22" s="129" t="str">
        <f>IFERROR(__xludf.DUMMYFUNCTION("""COMPUTED_VALUE"""),"email")</f>
        <v>email</v>
      </c>
      <c r="E22" s="129" t="str">
        <f>IFERROR(__xludf.DUMMYFUNCTION("""COMPUTED_VALUE"""),"wecare@aircairo.com")</f>
        <v>wecare@aircairo.com</v>
      </c>
      <c r="F22" s="127" t="str">
        <f>IFERROR(__xludf.DUMMYFUNCTION("""COMPUTED_VALUE"""),"ID,Boarding")</f>
        <v>ID,Boarding</v>
      </c>
      <c r="G22" s="127" t="str">
        <f>IFERROR(__xludf.DUMMYFUNCTION("""COMPUTED_VALUE"""),"wecare@aircairo.com")</f>
        <v>wecare@aircairo.com</v>
      </c>
      <c r="H22" s="127"/>
      <c r="I22" s="127"/>
      <c r="J22" s="127"/>
      <c r="K22" s="127"/>
      <c r="L22" s="127"/>
      <c r="M22" s="127"/>
      <c r="N22" s="127"/>
      <c r="O22" s="127"/>
      <c r="P22" s="127"/>
      <c r="Q22" s="127"/>
      <c r="R22" s="127"/>
      <c r="S22" s="127"/>
      <c r="T22" s="127"/>
      <c r="U22" s="127"/>
      <c r="V22" s="127"/>
      <c r="W22" s="127"/>
      <c r="X22" s="127"/>
      <c r="Y22" s="127"/>
      <c r="Z22" s="127"/>
      <c r="AA22" s="127"/>
      <c r="AB22" s="127"/>
    </row>
    <row r="23">
      <c r="A23" s="31" t="str">
        <f>IFERROR(__xludf.DUMMYFUNCTION("""COMPUTED_VALUE"""),"Air Canada (AC)")</f>
        <v>Air Canada (AC)</v>
      </c>
      <c r="B23" s="127"/>
      <c r="C23" s="128" t="str">
        <f>IFERROR(__xludf.DUMMYFUNCTION("""COMPUTED_VALUE"""),"support@help-aircanada.com")</f>
        <v>support@help-aircanada.com</v>
      </c>
      <c r="D23" s="129" t="str">
        <f>IFERROR(__xludf.DUMMYFUNCTION("""COMPUTED_VALUE"""),"webform w/ attachment")</f>
        <v>webform w/ attachment</v>
      </c>
      <c r="E23" s="131" t="str">
        <f>IFERROR(__xludf.DUMMYFUNCTION("""COMPUTED_VALUE"""),"https://accc-prod.microsoftcrmportals.com/en-CA/air-canada-contact-us/")</f>
        <v>https://accc-prod.microsoftcrmportals.com/en-CA/air-canada-contact-us/</v>
      </c>
      <c r="F23" s="127" t="str">
        <f>IFERROR(__xludf.DUMMYFUNCTION("""COMPUTED_VALUE"""),"Ticket number")</f>
        <v>Ticket number</v>
      </c>
      <c r="G23" s="127"/>
      <c r="H23" s="127"/>
      <c r="I23" s="127"/>
      <c r="J23" s="127"/>
      <c r="K23" s="127"/>
      <c r="L23" s="127"/>
      <c r="M23" s="127"/>
      <c r="N23" s="127"/>
      <c r="O23" s="127"/>
      <c r="P23" s="127"/>
      <c r="Q23" s="127"/>
      <c r="R23" s="127"/>
      <c r="S23" s="127"/>
      <c r="T23" s="127"/>
      <c r="U23" s="127"/>
      <c r="V23" s="127"/>
      <c r="W23" s="127"/>
      <c r="X23" s="127"/>
      <c r="Y23" s="127"/>
      <c r="Z23" s="127"/>
      <c r="AA23" s="127"/>
      <c r="AB23" s="127"/>
    </row>
    <row r="24">
      <c r="A24" s="31" t="str">
        <f>IFERROR(__xludf.DUMMYFUNCTION("""COMPUTED_VALUE"""),"Aircalin/ Air Caledonie International (Route related to Italy)")</f>
        <v>Aircalin/ Air Caledonie International (Route related to Italy)</v>
      </c>
      <c r="B24" s="127"/>
      <c r="C24" s="128" t="str">
        <f>IFERROR(__xludf.DUMMYFUNCTION("""COMPUTED_VALUE"""),"aircalin@global-gsa.com")</f>
        <v>aircalin@global-gsa.com</v>
      </c>
      <c r="D24" s="129" t="str">
        <f>IFERROR(__xludf.DUMMYFUNCTION("""COMPUTED_VALUE"""),"e-mail")</f>
        <v>e-mail</v>
      </c>
      <c r="E24" s="129" t="str">
        <f>IFERROR(__xludf.DUMMYFUNCTION("""COMPUTED_VALUE"""),"aircalin@global-gsa.com")</f>
        <v>aircalin@global-gsa.com</v>
      </c>
      <c r="F24" s="127"/>
      <c r="G24" s="127"/>
      <c r="H24" s="127"/>
      <c r="I24" s="127"/>
      <c r="J24" s="127"/>
      <c r="K24" s="127"/>
      <c r="L24" s="127"/>
      <c r="M24" s="127"/>
      <c r="N24" s="127"/>
      <c r="O24" s="127"/>
      <c r="P24" s="127"/>
      <c r="Q24" s="127"/>
      <c r="R24" s="127"/>
      <c r="S24" s="127"/>
      <c r="T24" s="127"/>
      <c r="U24" s="127"/>
      <c r="V24" s="127"/>
      <c r="W24" s="127"/>
      <c r="X24" s="127"/>
      <c r="Y24" s="127"/>
      <c r="Z24" s="127"/>
      <c r="AA24" s="127"/>
      <c r="AB24" s="127"/>
    </row>
    <row r="25">
      <c r="A25" s="31" t="str">
        <f>IFERROR(__xludf.DUMMYFUNCTION("""COMPUTED_VALUE"""),"Aircalin/ Air Caledonie International (Route related to France)")</f>
        <v>Aircalin/ Air Caledonie International (Route related to France)</v>
      </c>
      <c r="B25" s="127"/>
      <c r="C25" s="128" t="str">
        <f>IFERROR(__xludf.DUMMYFUNCTION("""COMPUTED_VALUE"""),"resa@aircalin.fr")</f>
        <v>resa@aircalin.fr</v>
      </c>
      <c r="D25" s="129" t="str">
        <f>IFERROR(__xludf.DUMMYFUNCTION("""COMPUTED_VALUE"""),"webform w/ attachment")</f>
        <v>webform w/ attachment</v>
      </c>
      <c r="E25" s="131" t="str">
        <f>IFERROR(__xludf.DUMMYFUNCTION("""COMPUTED_VALUE"""),"http://www.aircalin.fr/fr/contact/reclamation-suggestion")</f>
        <v>http://www.aircalin.fr/fr/contact/reclamation-suggestion</v>
      </c>
      <c r="F25" s="127"/>
      <c r="G25" s="127"/>
      <c r="H25" s="127"/>
      <c r="I25" s="127"/>
      <c r="J25" s="127"/>
      <c r="K25" s="127"/>
      <c r="L25" s="127"/>
      <c r="M25" s="127"/>
      <c r="N25" s="127"/>
      <c r="O25" s="127"/>
      <c r="P25" s="127"/>
      <c r="Q25" s="127"/>
      <c r="R25" s="127"/>
      <c r="S25" s="127"/>
      <c r="T25" s="127"/>
      <c r="U25" s="127"/>
      <c r="V25" s="127"/>
      <c r="W25" s="127"/>
      <c r="X25" s="127"/>
      <c r="Y25" s="127"/>
      <c r="Z25" s="127"/>
      <c r="AA25" s="127"/>
      <c r="AB25" s="127"/>
    </row>
    <row r="26">
      <c r="A26" s="31" t="str">
        <f>IFERROR(__xludf.DUMMYFUNCTION("""COMPUTED_VALUE"""),"Air Caraibes (TX)")</f>
        <v>Air Caraibes (TX)</v>
      </c>
      <c r="B26" s="127"/>
      <c r="C26" s="128" t="str">
        <f>IFERROR(__xludf.DUMMYFUNCTION("""COMPUTED_VALUE"""),"fraisannulation@aircaraibes.com")</f>
        <v>fraisannulation@aircaraibes.com</v>
      </c>
      <c r="D26" s="129" t="str">
        <f>IFERROR(__xludf.DUMMYFUNCTION("""COMPUTED_VALUE"""),"webform w/ attachment")</f>
        <v>webform w/ attachment</v>
      </c>
      <c r="E26" s="131" t="str">
        <f>IFERROR(__xludf.DUMMYFUNCTION("""COMPUTED_VALUE"""),"https://sav.cloud.aircaraibes.com/en/formulaire-reclamation?_gl=1*1d2249r*_ga*MTE1NjI2MDk2Ni4xNzAyOTIxMjY5*_ga_4NB3LGYGFQ*MTcwMjkyMTI3Mi4xLjEuMTcwMjkyMTU3Mi4wLjAuMA..")</f>
        <v>https://sav.cloud.aircaraibes.com/en/formulaire-reclamation?_gl=1*1d2249r*_ga*MTE1NjI2MDk2Ni4xNzAyOTIxMjY5*_ga_4NB3LGYGFQ*MTcwMjkyMTI3Mi4xLjEuMTcwMjkyMTU3Mi4wLjAuMA..</v>
      </c>
      <c r="F26" s="127"/>
      <c r="G26" s="127"/>
      <c r="H26" s="127"/>
      <c r="I26" s="127"/>
      <c r="J26" s="127"/>
      <c r="K26" s="127"/>
      <c r="L26" s="127"/>
      <c r="M26" s="127"/>
      <c r="N26" s="127"/>
      <c r="O26" s="127"/>
      <c r="P26" s="127"/>
      <c r="Q26" s="127"/>
      <c r="R26" s="127"/>
      <c r="S26" s="127"/>
      <c r="T26" s="127"/>
      <c r="U26" s="127"/>
      <c r="V26" s="127"/>
      <c r="W26" s="127"/>
      <c r="X26" s="127"/>
      <c r="Y26" s="127"/>
      <c r="Z26" s="127"/>
      <c r="AA26" s="127"/>
      <c r="AB26" s="127"/>
    </row>
    <row r="27">
      <c r="A27" s="31" t="str">
        <f>IFERROR(__xludf.DUMMYFUNCTION("""COMPUTED_VALUE"""),"Air China")</f>
        <v>Air China</v>
      </c>
      <c r="B27" s="127"/>
      <c r="C27" s="128" t="str">
        <f>IFERROR(__xludf.DUMMYFUNCTION("""COMPUTED_VALUE"""),"customer_relations@airchina.com")</f>
        <v>customer_relations@airchina.com</v>
      </c>
      <c r="D27" s="129" t="str">
        <f>IFERROR(__xludf.DUMMYFUNCTION("""COMPUTED_VALUE"""),"e-mail")</f>
        <v>e-mail</v>
      </c>
      <c r="E27" s="129" t="str">
        <f>IFERROR(__xludf.DUMMYFUNCTION("""COMPUTED_VALUE"""),"customer_relations@airchina.com")</f>
        <v>customer_relations@airchina.com</v>
      </c>
      <c r="F27" s="127" t="str">
        <f>IFERROR(__xludf.DUMMYFUNCTION("""COMPUTED_VALUE"""),"CC: ca-europe@airchina.com")</f>
        <v>CC: ca-europe@airchina.com</v>
      </c>
      <c r="G27" s="127"/>
      <c r="H27" s="127"/>
      <c r="I27" s="127"/>
      <c r="J27" s="127"/>
      <c r="K27" s="127"/>
      <c r="L27" s="127"/>
      <c r="M27" s="127"/>
      <c r="N27" s="127"/>
      <c r="O27" s="127"/>
      <c r="P27" s="127"/>
      <c r="Q27" s="127"/>
      <c r="R27" s="127"/>
      <c r="S27" s="127"/>
      <c r="T27" s="127"/>
      <c r="U27" s="127"/>
      <c r="V27" s="127"/>
      <c r="W27" s="127"/>
      <c r="X27" s="127"/>
      <c r="Y27" s="127"/>
      <c r="Z27" s="127"/>
      <c r="AA27" s="127"/>
      <c r="AB27" s="127"/>
    </row>
    <row r="28">
      <c r="A28" s="31" t="str">
        <f>IFERROR(__xludf.DUMMYFUNCTION("""COMPUTED_VALUE"""),"Air Corsica / Corse-Mediterranee (XK)")</f>
        <v>Air Corsica / Corse-Mediterranee (XK)</v>
      </c>
      <c r="B28" s="127"/>
      <c r="C28" s="128" t="str">
        <f>IFERROR(__xludf.DUMMYFUNCTION("""COMPUTED_VALUE"""),"serviceclientele@aircorsica.com")</f>
        <v>serviceclientele@aircorsica.com</v>
      </c>
      <c r="D28" s="129" t="str">
        <f>IFERROR(__xludf.DUMMYFUNCTION("""COMPUTED_VALUE"""),"e-mail")</f>
        <v>e-mail</v>
      </c>
      <c r="E28" s="131" t="str">
        <f>IFERROR(__xludf.DUMMYFUNCTION("""COMPUTED_VALUE"""),"https://serviceclient.aircorsica.com/s/")</f>
        <v>https://serviceclient.aircorsica.com/s/</v>
      </c>
      <c r="F28" s="127" t="str">
        <f>IFERROR(__xludf.DUMMYFUNCTION("""COMPUTED_VALUE"""),"ID, Boarding  ( Log in: legal@refly.org, Password: Fkk4erdF!!)")</f>
        <v>ID, Boarding  ( Log in: legal@refly.org, Password: Fkk4erdF!!)</v>
      </c>
      <c r="G28" s="127"/>
      <c r="H28" s="127" t="str">
        <f>IFERROR(__xludf.DUMMYFUNCTION("""COMPUTED_VALUE"""),"by post: AIR CORSICA-NAPOLEON BONAPARTE AIRPORT-BP505 -20186 AJACCIO CEDEX 2")</f>
        <v>by post: AIR CORSICA-NAPOLEON BONAPARTE AIRPORT-BP505 -20186 AJACCIO CEDEX 2</v>
      </c>
      <c r="I28" s="127"/>
      <c r="J28" s="127"/>
      <c r="K28" s="127"/>
      <c r="L28" s="127"/>
      <c r="M28" s="127"/>
      <c r="N28" s="127"/>
      <c r="O28" s="127"/>
      <c r="P28" s="127"/>
      <c r="Q28" s="127"/>
      <c r="R28" s="127"/>
      <c r="S28" s="127"/>
      <c r="T28" s="127"/>
      <c r="U28" s="127"/>
      <c r="V28" s="127"/>
      <c r="W28" s="127"/>
      <c r="X28" s="127"/>
      <c r="Y28" s="127"/>
      <c r="Z28" s="127"/>
      <c r="AA28" s="127"/>
      <c r="AB28" s="127"/>
    </row>
    <row r="29">
      <c r="A29" s="31" t="str">
        <f>IFERROR(__xludf.DUMMYFUNCTION("""COMPUTED_VALUE"""),"AIR CONNECT")</f>
        <v>AIR CONNECT</v>
      </c>
      <c r="B29" s="127"/>
      <c r="C29" s="128" t="str">
        <f>IFERROR(__xludf.DUMMYFUNCTION("""COMPUTED_VALUE"""),"customercare@air-connect.com")</f>
        <v>customercare@air-connect.com</v>
      </c>
      <c r="D29" s="129" t="str">
        <f>IFERROR(__xludf.DUMMYFUNCTION("""COMPUTED_VALUE"""),"e-mail")</f>
        <v>e-mail</v>
      </c>
      <c r="E29" s="129" t="str">
        <f>IFERROR(__xludf.DUMMYFUNCTION("""COMPUTED_VALUE"""),"customercare@air-connect.com")</f>
        <v>customercare@air-connect.com</v>
      </c>
      <c r="F29" s="127"/>
      <c r="G29" s="127"/>
      <c r="H29" s="127"/>
      <c r="I29" s="127"/>
      <c r="J29" s="127"/>
      <c r="K29" s="127"/>
      <c r="L29" s="127"/>
      <c r="M29" s="127"/>
      <c r="N29" s="127"/>
      <c r="O29" s="127"/>
      <c r="P29" s="127"/>
      <c r="Q29" s="127"/>
      <c r="R29" s="127"/>
      <c r="S29" s="127"/>
      <c r="T29" s="127"/>
      <c r="U29" s="127"/>
      <c r="V29" s="127"/>
      <c r="W29" s="127"/>
      <c r="X29" s="127"/>
      <c r="Y29" s="127"/>
      <c r="Z29" s="127"/>
      <c r="AA29" s="127"/>
      <c r="AB29" s="127"/>
    </row>
    <row r="30">
      <c r="A30" s="31" t="str">
        <f>IFERROR(__xludf.DUMMYFUNCTION("""COMPUTED_VALUE"""),"Air Dolomiti (EN)")</f>
        <v>Air Dolomiti (EN)</v>
      </c>
      <c r="B30" s="127"/>
      <c r="C30" s="128" t="str">
        <f>IFERROR(__xludf.DUMMYFUNCTION("""COMPUTED_VALUE"""),"customer-relations@airdolomiti.it")</f>
        <v>customer-relations@airdolomiti.it</v>
      </c>
      <c r="D30" s="129" t="str">
        <f>IFERROR(__xludf.DUMMYFUNCTION("""COMPUTED_VALUE"""),"webform w/ attachment")</f>
        <v>webform w/ attachment</v>
      </c>
      <c r="E30" s="131" t="str">
        <f>IFERROR(__xludf.DUMMYFUNCTION("""COMPUTED_VALUE"""),"https://hda_s_form.airdolomiti.it/CustomerPortal_Forms/#/Page/SVC_CATALOG@item-4--2")</f>
        <v>https://hda_s_form.airdolomiti.it/CustomerPortal_Forms/#/Page/SVC_CATALOG@item-4--2</v>
      </c>
      <c r="F30" s="127" t="str">
        <f>IFERROR(__xludf.DUMMYFUNCTION("""COMPUTED_VALUE"""),"Ticket number")</f>
        <v>Ticket number</v>
      </c>
      <c r="G30" s="127"/>
      <c r="H30" s="127"/>
      <c r="I30" s="127"/>
      <c r="J30" s="127"/>
      <c r="K30" s="127"/>
      <c r="L30" s="127"/>
      <c r="M30" s="127"/>
      <c r="N30" s="127"/>
      <c r="O30" s="127"/>
      <c r="P30" s="127"/>
      <c r="Q30" s="127"/>
      <c r="R30" s="127"/>
      <c r="S30" s="127"/>
      <c r="T30" s="127"/>
      <c r="U30" s="127"/>
      <c r="V30" s="127"/>
      <c r="W30" s="127"/>
      <c r="X30" s="127"/>
      <c r="Y30" s="127"/>
      <c r="Z30" s="127"/>
      <c r="AA30" s="127"/>
      <c r="AB30" s="127"/>
    </row>
    <row r="31">
      <c r="A31" s="31" t="str">
        <f>IFERROR(__xludf.DUMMYFUNCTION("""COMPUTED_VALUE"""),"Air Europa (UX)")</f>
        <v>Air Europa (UX)</v>
      </c>
      <c r="B31" s="127"/>
      <c r="C31" s="128" t="str">
        <f>IFERROR(__xludf.DUMMYFUNCTION("""COMPUTED_VALUE"""),"customer.service@crm.aireuropa.com")</f>
        <v>customer.service@crm.aireuropa.com</v>
      </c>
      <c r="D31" s="129" t="str">
        <f>IFERROR(__xludf.DUMMYFUNCTION("""COMPUTED_VALUE"""),"webform w/o attachment")</f>
        <v>webform w/o attachment</v>
      </c>
      <c r="E31" s="131" t="str">
        <f>IFERROR(__xludf.DUMMYFUNCTION("""COMPUTED_VALUE"""),"https://www.aireuropa.com/ot/en/complaints-compliments")</f>
        <v>https://www.aireuropa.com/ot/en/complaints-compliments</v>
      </c>
      <c r="F31" s="127" t="str">
        <f>IFERROR(__xludf.DUMMYFUNCTION("""COMPUTED_VALUE"""),"POA-ID-Boarding")</f>
        <v>POA-ID-Boarding</v>
      </c>
      <c r="G31" s="127"/>
      <c r="H31" s="127"/>
      <c r="I31" s="127"/>
      <c r="J31" s="127"/>
      <c r="K31" s="127"/>
      <c r="L31" s="127"/>
      <c r="M31" s="127"/>
      <c r="N31" s="127"/>
      <c r="O31" s="127"/>
      <c r="P31" s="127"/>
      <c r="Q31" s="127"/>
      <c r="R31" s="127"/>
      <c r="S31" s="127"/>
      <c r="T31" s="127"/>
      <c r="U31" s="127"/>
      <c r="V31" s="127"/>
      <c r="W31" s="127"/>
      <c r="X31" s="127"/>
      <c r="Y31" s="127"/>
      <c r="Z31" s="127"/>
      <c r="AA31" s="127"/>
      <c r="AB31" s="127"/>
    </row>
    <row r="32">
      <c r="A32" s="31" t="str">
        <f>IFERROR(__xludf.DUMMYFUNCTION("""COMPUTED_VALUE"""),"Air France (AF)")</f>
        <v>Air France (AF)</v>
      </c>
      <c r="B32" s="127"/>
      <c r="C32" s="128" t="str">
        <f>IFERROR(__xludf.DUMMYFUNCTION("""COMPUTED_VALUE"""),"customer-care@airfrance.fr")</f>
        <v>customer-care@airfrance.fr</v>
      </c>
      <c r="D32" s="129" t="str">
        <f>IFERROR(__xludf.DUMMYFUNCTION("""COMPUTED_VALUE"""),"webform w/ attachment")</f>
        <v>webform w/ attachment</v>
      </c>
      <c r="E32" s="131" t="str">
        <f>IFERROR(__xludf.DUMMYFUNCTION("""COMPUTED_VALUE"""),"https://wwws.airfrance.co.uk/claim")</f>
        <v>https://wwws.airfrance.co.uk/claim</v>
      </c>
      <c r="F32" s="127" t="str">
        <f>IFERROR(__xludf.DUMMYFUNCTION("""COMPUTED_VALUE"""),"ID")</f>
        <v>ID</v>
      </c>
      <c r="G32" s="132" t="str">
        <f>IFERROR(__xludf.DUMMYFUNCTION("""COMPUTED_VALUE"""),"https://refunds.klm.com/AirfranceRPS/Forms/frmMain.aspx")</f>
        <v>https://refunds.klm.com/AirfranceRPS/Forms/frmMain.aspx</v>
      </c>
      <c r="H32" s="132" t="str">
        <f>IFERROR(__xludf.DUMMYFUNCTION("""COMPUTED_VALUE"""),"https://wwws.airfrance.us/refund")</f>
        <v>https://wwws.airfrance.us/refund</v>
      </c>
      <c r="I32" s="132" t="str">
        <f>IFERROR(__xludf.DUMMYFUNCTION("""COMPUTED_VALUE"""),"Tracking link: https://wwws.airfrance.us/claim/track-a-claim")</f>
        <v>Tracking link: https://wwws.airfrance.us/claim/track-a-claim</v>
      </c>
      <c r="J32" s="127"/>
      <c r="K32" s="127"/>
      <c r="L32" s="127"/>
      <c r="M32" s="127"/>
      <c r="N32" s="127"/>
      <c r="O32" s="127"/>
      <c r="P32" s="127"/>
      <c r="Q32" s="127"/>
      <c r="R32" s="127"/>
      <c r="S32" s="127"/>
      <c r="T32" s="127"/>
      <c r="U32" s="127"/>
      <c r="V32" s="127"/>
      <c r="W32" s="127"/>
      <c r="X32" s="127"/>
      <c r="Y32" s="127"/>
      <c r="Z32" s="127"/>
      <c r="AA32" s="127"/>
      <c r="AB32" s="127"/>
    </row>
    <row r="33">
      <c r="A33" s="31" t="str">
        <f>IFERROR(__xludf.DUMMYFUNCTION("""COMPUTED_VALUE"""),"Air Greenland (GL)")</f>
        <v>Air Greenland (GL)</v>
      </c>
      <c r="B33" s="127"/>
      <c r="C33" s="128" t="str">
        <f>IFERROR(__xludf.DUMMYFUNCTION("""COMPUTED_VALUE"""),"info@airgreenland.gl")</f>
        <v>info@airgreenland.gl</v>
      </c>
      <c r="D33" s="129" t="str">
        <f>IFERROR(__xludf.DUMMYFUNCTION("""COMPUTED_VALUE"""),"webform w/ attachment")</f>
        <v>webform w/ attachment</v>
      </c>
      <c r="E33" s="131" t="str">
        <f>IFERROR(__xludf.DUMMYFUNCTION("""COMPUTED_VALUE"""),"https://kundeservice.airgreenland.gl/hc/en-us/requests/new")</f>
        <v>https://kundeservice.airgreenland.gl/hc/en-us/requests/new</v>
      </c>
      <c r="F33" s="127"/>
      <c r="G33" s="127"/>
      <c r="H33" s="132" t="str">
        <f>IFERROR(__xludf.DUMMYFUNCTION("""COMPUTED_VALUE"""),"https://kundeservice.airgreenland.gl/hc/en-us/requests/new")</f>
        <v>https://kundeservice.airgreenland.gl/hc/en-us/requests/new</v>
      </c>
      <c r="I33" s="127"/>
      <c r="J33" s="127"/>
      <c r="K33" s="127"/>
      <c r="L33" s="127"/>
      <c r="M33" s="127"/>
      <c r="N33" s="127"/>
      <c r="O33" s="127"/>
      <c r="P33" s="127"/>
      <c r="Q33" s="127"/>
      <c r="R33" s="127"/>
      <c r="S33" s="127"/>
      <c r="T33" s="127"/>
      <c r="U33" s="127"/>
      <c r="V33" s="127"/>
      <c r="W33" s="127"/>
      <c r="X33" s="127"/>
      <c r="Y33" s="127"/>
      <c r="Z33" s="127"/>
      <c r="AA33" s="127"/>
      <c r="AB33" s="127"/>
    </row>
    <row r="34">
      <c r="A34" s="31" t="str">
        <f>IFERROR(__xludf.DUMMYFUNCTION("""COMPUTED_VALUE"""),"Air Horizont")</f>
        <v>Air Horizont</v>
      </c>
      <c r="B34" s="127"/>
      <c r="C34" s="128" t="str">
        <f>IFERROR(__xludf.DUMMYFUNCTION("""COMPUTED_VALUE"""),"info@airhorizont.com")</f>
        <v>info@airhorizont.com</v>
      </c>
      <c r="D34" s="129" t="str">
        <f>IFERROR(__xludf.DUMMYFUNCTION("""COMPUTED_VALUE"""),"webform w/o attachment")</f>
        <v>webform w/o attachment</v>
      </c>
      <c r="E34" s="131" t="str">
        <f>IFERROR(__xludf.DUMMYFUNCTION("""COMPUTED_VALUE"""),"https://airhorizont.com/en/contact-us/")</f>
        <v>https://airhorizont.com/en/contact-us/</v>
      </c>
      <c r="F34" s="127"/>
      <c r="G34" s="127"/>
      <c r="H34" s="127"/>
      <c r="I34" s="127"/>
      <c r="J34" s="127"/>
      <c r="K34" s="127"/>
      <c r="L34" s="127"/>
      <c r="M34" s="127"/>
      <c r="N34" s="127"/>
      <c r="O34" s="127"/>
      <c r="P34" s="127"/>
      <c r="Q34" s="127"/>
      <c r="R34" s="127"/>
      <c r="S34" s="127"/>
      <c r="T34" s="127"/>
      <c r="U34" s="127"/>
      <c r="V34" s="127"/>
      <c r="W34" s="127"/>
      <c r="X34" s="127"/>
      <c r="Y34" s="127"/>
      <c r="Z34" s="127"/>
      <c r="AA34" s="127"/>
      <c r="AB34" s="127"/>
    </row>
    <row r="35">
      <c r="A35" s="31" t="str">
        <f>IFERROR(__xludf.DUMMYFUNCTION("""COMPUTED_VALUE"""),"Air India (AI)")</f>
        <v>Air India (AI)</v>
      </c>
      <c r="B35" s="127"/>
      <c r="C35" s="128" t="str">
        <f>IFERROR(__xludf.DUMMYFUNCTION("""COMPUTED_VALUE"""),"manager.customersupport@tataaig.com")</f>
        <v>manager.customersupport@tataaig.com</v>
      </c>
      <c r="D35" s="129" t="str">
        <f>IFERROR(__xludf.DUMMYFUNCTION("""COMPUTED_VALUE"""),"webform w/ attachment")</f>
        <v>webform w/ attachment</v>
      </c>
      <c r="E35" s="129" t="str">
        <f>IFERROR(__xludf.DUMMYFUNCTION("""COMPUTED_VALUE"""),"Cancelld, Denied boarding: https://www.airindia.com/in/en/contact-us/customer-support-portal/feedback/flight-disruptions.html    Delayed: https://www.airindia.com/in/en/eu-claim-form.html")</f>
        <v>Cancelld, Denied boarding: https://www.airindia.com/in/en/contact-us/customer-support-portal/feedback/flight-disruptions.html    Delayed: https://www.airindia.com/in/en/eu-claim-form.html</v>
      </c>
      <c r="F35" s="127" t="str">
        <f>IFERROR(__xludf.DUMMYFUNCTION("""COMPUTED_VALUE"""),"Ticket number / Passport (Both are mandatory we are unable to proceed without it) ")</f>
        <v>Ticket number / Passport (Both are mandatory we are unable to proceed without it) </v>
      </c>
      <c r="G35" s="127"/>
      <c r="H35" s="132" t="str">
        <f>IFERROR(__xludf.DUMMYFUNCTION("""COMPUTED_VALUE"""),"Portal: https://www.airindia.com/in/en/contact-us/customer-support-portal/queries.html")</f>
        <v>Portal: https://www.airindia.com/in/en/contact-us/customer-support-portal/queries.html</v>
      </c>
      <c r="I35" s="127"/>
      <c r="J35" s="127"/>
      <c r="K35" s="127"/>
      <c r="L35" s="127"/>
      <c r="M35" s="127"/>
      <c r="N35" s="127"/>
      <c r="O35" s="127"/>
      <c r="P35" s="127"/>
      <c r="Q35" s="127"/>
      <c r="R35" s="127"/>
      <c r="S35" s="127"/>
      <c r="T35" s="127"/>
      <c r="U35" s="127"/>
      <c r="V35" s="127"/>
      <c r="W35" s="127"/>
      <c r="X35" s="127"/>
      <c r="Y35" s="127"/>
      <c r="Z35" s="127"/>
      <c r="AA35" s="127"/>
      <c r="AB35" s="127"/>
    </row>
    <row r="36">
      <c r="A36" s="31" t="str">
        <f>IFERROR(__xludf.DUMMYFUNCTION("""COMPUTED_VALUE"""),"Airlink")</f>
        <v>Airlink</v>
      </c>
      <c r="B36" s="127"/>
      <c r="C36" s="128" t="str">
        <f>IFERROR(__xludf.DUMMYFUNCTION("""COMPUTED_VALUE"""),"info@flyairlink.com")</f>
        <v>info@flyairlink.com</v>
      </c>
      <c r="D36" s="129" t="str">
        <f>IFERROR(__xludf.DUMMYFUNCTION("""COMPUTED_VALUE"""),"webform w/o attachment")</f>
        <v>webform w/o attachment</v>
      </c>
      <c r="E36" s="131" t="str">
        <f>IFERROR(__xludf.DUMMYFUNCTION("""COMPUTED_VALUE"""),"https://www.flyairlink.com/en/za/need-help")</f>
        <v>https://www.flyairlink.com/en/za/need-help</v>
      </c>
      <c r="F36" s="127"/>
      <c r="G36" s="127"/>
      <c r="H36" s="127"/>
      <c r="I36" s="127"/>
      <c r="J36" s="127"/>
      <c r="K36" s="127"/>
      <c r="L36" s="127"/>
      <c r="M36" s="127"/>
      <c r="N36" s="127"/>
      <c r="O36" s="127"/>
      <c r="P36" s="127"/>
      <c r="Q36" s="127"/>
      <c r="R36" s="127"/>
      <c r="S36" s="127"/>
      <c r="T36" s="127"/>
      <c r="U36" s="127"/>
      <c r="V36" s="127"/>
      <c r="W36" s="127"/>
      <c r="X36" s="127"/>
      <c r="Y36" s="127"/>
      <c r="Z36" s="127"/>
      <c r="AA36" s="127"/>
      <c r="AB36" s="127"/>
    </row>
    <row r="37">
      <c r="A37" s="31" t="str">
        <f>IFERROR(__xludf.DUMMYFUNCTION("""COMPUTED_VALUE"""),"Air Mediterranean")</f>
        <v>Air Mediterranean</v>
      </c>
      <c r="B37" s="127"/>
      <c r="C37" s="128" t="str">
        <f>IFERROR(__xludf.DUMMYFUNCTION("""COMPUTED_VALUE"""),"customerservice@air-mediterranean.com")</f>
        <v>customerservice@air-mediterranean.com</v>
      </c>
      <c r="D37" s="129" t="str">
        <f>IFERROR(__xludf.DUMMYFUNCTION("""COMPUTED_VALUE"""),"e-mail")</f>
        <v>e-mail</v>
      </c>
      <c r="E37" s="129" t="str">
        <f>IFERROR(__xludf.DUMMYFUNCTION("""COMPUTED_VALUE"""),"customerservice@air-mediterranean.com")</f>
        <v>customerservice@air-mediterranean.com</v>
      </c>
      <c r="F37" s="127"/>
      <c r="G37" s="127"/>
      <c r="H37" s="127"/>
      <c r="I37" s="127"/>
      <c r="J37" s="127"/>
      <c r="K37" s="127"/>
      <c r="L37" s="127"/>
      <c r="M37" s="127"/>
      <c r="N37" s="127"/>
      <c r="O37" s="127"/>
      <c r="P37" s="127"/>
      <c r="Q37" s="127"/>
      <c r="R37" s="127"/>
      <c r="S37" s="127"/>
      <c r="T37" s="127"/>
      <c r="U37" s="127"/>
      <c r="V37" s="127"/>
      <c r="W37" s="127"/>
      <c r="X37" s="127"/>
      <c r="Y37" s="127"/>
      <c r="Z37" s="127"/>
      <c r="AA37" s="127"/>
      <c r="AB37" s="127"/>
    </row>
    <row r="38">
      <c r="A38" s="31" t="str">
        <f>IFERROR(__xludf.DUMMYFUNCTION("""COMPUTED_VALUE"""),"Air Moana (NM)")</f>
        <v>Air Moana (NM)</v>
      </c>
      <c r="B38" s="127"/>
      <c r="C38" s="128" t="str">
        <f>IFERROR(__xludf.DUMMYFUNCTION("""COMPUTED_VALUE"""),"reservation@airmoana.pf")</f>
        <v>reservation@airmoana.pf</v>
      </c>
      <c r="D38" s="129"/>
      <c r="E38" s="131" t="str">
        <f>IFERROR(__xludf.DUMMYFUNCTION("""COMPUTED_VALUE"""),"https://en.airmoana.com/en/help-center/contact-us/customer-service")</f>
        <v>https://en.airmoana.com/en/help-center/contact-us/customer-service</v>
      </c>
      <c r="F38" s="127"/>
      <c r="G38" s="127"/>
      <c r="H38" s="127"/>
      <c r="I38" s="127"/>
      <c r="J38" s="127"/>
      <c r="K38" s="127"/>
      <c r="L38" s="127"/>
      <c r="M38" s="127"/>
      <c r="N38" s="127"/>
      <c r="O38" s="127"/>
      <c r="P38" s="127"/>
      <c r="Q38" s="127"/>
      <c r="R38" s="127"/>
      <c r="S38" s="127"/>
      <c r="T38" s="127"/>
      <c r="U38" s="127"/>
      <c r="V38" s="127"/>
      <c r="W38" s="127"/>
      <c r="X38" s="127"/>
      <c r="Y38" s="127"/>
      <c r="Z38" s="127"/>
      <c r="AA38" s="127"/>
      <c r="AB38" s="127"/>
    </row>
    <row r="39">
      <c r="A39" s="31" t="str">
        <f>IFERROR(__xludf.DUMMYFUNCTION("""COMPUTED_VALUE"""),"Air Montenegro")</f>
        <v>Air Montenegro</v>
      </c>
      <c r="B39" s="127"/>
      <c r="C39" s="128" t="str">
        <f>IFERROR(__xludf.DUMMYFUNCTION("""COMPUTED_VALUE"""),"claims@airmontenegro.com")</f>
        <v>claims@airmontenegro.com</v>
      </c>
      <c r="D39" s="131" t="str">
        <f>IFERROR(__xludf.DUMMYFUNCTION("""COMPUTED_VALUE"""),"https://dbc.airmontenegro.com/")</f>
        <v>https://dbc.airmontenegro.com/</v>
      </c>
      <c r="E39" s="131" t="str">
        <f>IFERROR(__xludf.DUMMYFUNCTION("""COMPUTED_VALUE"""),"https://airmontenegro.com/en/contact/claims-form")</f>
        <v>https://airmontenegro.com/en/contact/claims-form</v>
      </c>
      <c r="F39" s="127"/>
      <c r="G39" s="127"/>
      <c r="H39" s="127"/>
      <c r="I39" s="127"/>
      <c r="J39" s="127"/>
      <c r="K39" s="127"/>
      <c r="L39" s="127"/>
      <c r="M39" s="127"/>
      <c r="N39" s="127"/>
      <c r="O39" s="127"/>
      <c r="P39" s="127"/>
      <c r="Q39" s="127"/>
      <c r="R39" s="127"/>
      <c r="S39" s="127"/>
      <c r="T39" s="127"/>
      <c r="U39" s="127"/>
      <c r="V39" s="127"/>
      <c r="W39" s="127"/>
      <c r="X39" s="127"/>
      <c r="Y39" s="127"/>
      <c r="Z39" s="127"/>
      <c r="AA39" s="127"/>
      <c r="AB39" s="127"/>
    </row>
    <row r="40">
      <c r="A40" s="31" t="str">
        <f>IFERROR(__xludf.DUMMYFUNCTION("""COMPUTED_VALUE"""),"Air Mauritius (MK)")</f>
        <v>Air Mauritius (MK)</v>
      </c>
      <c r="B40" s="127"/>
      <c r="C40" s="128" t="str">
        <f>IFERROR(__xludf.DUMMYFUNCTION("""COMPUTED_VALUE"""),"customerservice @airmauritius.com")</f>
        <v>customerservice @airmauritius.com</v>
      </c>
      <c r="D40" s="129" t="str">
        <f>IFERROR(__xludf.DUMMYFUNCTION("""COMPUTED_VALUE"""),"webform w/o attachment")</f>
        <v>webform w/o attachment</v>
      </c>
      <c r="E40" s="131" t="str">
        <f>IFERROR(__xludf.DUMMYFUNCTION("""COMPUTED_VALUE"""),"https://www.airmauritius.com/en-gb/help/customer-support")</f>
        <v>https://www.airmauritius.com/en-gb/help/customer-support</v>
      </c>
      <c r="F40" s="127" t="str">
        <f>IFERROR(__xludf.DUMMYFUNCTION("""COMPUTED_VALUE"""),"Ticket number, DOB")</f>
        <v>Ticket number, DOB</v>
      </c>
      <c r="G40" s="127"/>
      <c r="H40" s="127"/>
      <c r="I40" s="127"/>
      <c r="J40" s="127"/>
      <c r="K40" s="127"/>
      <c r="L40" s="127"/>
      <c r="M40" s="127"/>
      <c r="N40" s="127"/>
      <c r="O40" s="127"/>
      <c r="P40" s="127"/>
      <c r="Q40" s="127"/>
      <c r="R40" s="127"/>
      <c r="S40" s="127"/>
      <c r="T40" s="127"/>
      <c r="U40" s="127"/>
      <c r="V40" s="127"/>
      <c r="W40" s="127"/>
      <c r="X40" s="127"/>
      <c r="Y40" s="127"/>
      <c r="Z40" s="127"/>
      <c r="AA40" s="127"/>
      <c r="AB40" s="127"/>
    </row>
    <row r="41">
      <c r="A41" s="31" t="str">
        <f>IFERROR(__xludf.DUMMYFUNCTION("""COMPUTED_VALUE"""),"Air Moldova (9U)")</f>
        <v>Air Moldova (9U)</v>
      </c>
      <c r="B41" s="127" t="str">
        <f>IFERROR(__xludf.DUMMYFUNCTION("""COMPUTED_VALUE"""),"Ceased all operations on 3 May 2023")</f>
        <v>Ceased all operations on 3 May 2023</v>
      </c>
      <c r="C41" s="128" t="str">
        <f>IFERROR(__xludf.DUMMYFUNCTION("""COMPUTED_VALUE"""),"wecare@airmoldova.md")</f>
        <v>wecare@airmoldova.md</v>
      </c>
      <c r="D41" s="129" t="str">
        <f>IFERROR(__xludf.DUMMYFUNCTION("""COMPUTED_VALUE"""),"webform w/ attachment")</f>
        <v>webform w/ attachment</v>
      </c>
      <c r="E41" s="131" t="str">
        <f>IFERROR(__xludf.DUMMYFUNCTION("""COMPUTED_VALUE"""),"https://www.airmoldova.md/mailus-en/")</f>
        <v>https://www.airmoldova.md/mailus-en/</v>
      </c>
      <c r="F41" s="127"/>
      <c r="G41" s="127"/>
      <c r="H41" s="127"/>
      <c r="I41" s="127"/>
      <c r="J41" s="127"/>
      <c r="K41" s="127"/>
      <c r="L41" s="127"/>
      <c r="M41" s="127"/>
      <c r="N41" s="127"/>
      <c r="O41" s="127"/>
      <c r="P41" s="127"/>
      <c r="Q41" s="127"/>
      <c r="R41" s="127"/>
      <c r="S41" s="127"/>
      <c r="T41" s="127"/>
      <c r="U41" s="127"/>
      <c r="V41" s="127"/>
      <c r="W41" s="127"/>
      <c r="X41" s="127"/>
      <c r="Y41" s="127"/>
      <c r="Z41" s="127"/>
      <c r="AA41" s="127"/>
      <c r="AB41" s="127"/>
    </row>
    <row r="42">
      <c r="A42" s="31" t="str">
        <f>IFERROR(__xludf.DUMMYFUNCTION("""COMPUTED_VALUE"""),"Air Namibia (SW)")</f>
        <v>Air Namibia (SW)</v>
      </c>
      <c r="B42" s="127"/>
      <c r="C42" s="128" t="str">
        <f>IFERROR(__xludf.DUMMYFUNCTION("""COMPUTED_VALUE"""),"customercare@airnamibia.aero")</f>
        <v>customercare@airnamibia.aero</v>
      </c>
      <c r="D42" s="129" t="str">
        <f>IFERROR(__xludf.DUMMYFUNCTION("""COMPUTED_VALUE"""),"e-mail")</f>
        <v>e-mail</v>
      </c>
      <c r="E42" s="129" t="str">
        <f>IFERROR(__xludf.DUMMYFUNCTION("""COMPUTED_VALUE"""),"Ebson.Ngondo@airnamibia.aero")</f>
        <v>Ebson.Ngondo@airnamibia.aero</v>
      </c>
      <c r="F42" s="127"/>
      <c r="G42" s="127"/>
      <c r="H42" s="127"/>
      <c r="I42" s="127"/>
      <c r="J42" s="127"/>
      <c r="K42" s="127"/>
      <c r="L42" s="127"/>
      <c r="M42" s="127"/>
      <c r="N42" s="127"/>
      <c r="O42" s="127"/>
      <c r="P42" s="127"/>
      <c r="Q42" s="127"/>
      <c r="R42" s="127"/>
      <c r="S42" s="127"/>
      <c r="T42" s="127"/>
      <c r="U42" s="127"/>
      <c r="V42" s="127"/>
      <c r="W42" s="127"/>
      <c r="X42" s="127"/>
      <c r="Y42" s="127"/>
      <c r="Z42" s="127"/>
      <c r="AA42" s="127"/>
      <c r="AB42" s="127"/>
    </row>
    <row r="43">
      <c r="A43" s="31" t="str">
        <f>IFERROR(__xludf.DUMMYFUNCTION("""COMPUTED_VALUE"""),"Air Nippon (NH)")</f>
        <v>Air Nippon (NH)</v>
      </c>
      <c r="B43" s="127"/>
      <c r="C43" s="128" t="str">
        <f>IFERROR(__xludf.DUMMYFUNCTION("""COMPUTED_VALUE"""),"uk_adr_regulations_@121.ana.co.jp")</f>
        <v>uk_adr_regulations_@121.ana.co.jp</v>
      </c>
      <c r="D43" s="129" t="str">
        <f>IFERROR(__xludf.DUMMYFUNCTION("""COMPUTED_VALUE"""),"e-mail")</f>
        <v>e-mail</v>
      </c>
      <c r="E43" s="129" t="str">
        <f>IFERROR(__xludf.DUMMYFUNCTION("""COMPUTED_VALUE"""),"uk_adr_regulations_@121.ana.co.jp")</f>
        <v>uk_adr_regulations_@121.ana.co.jp</v>
      </c>
      <c r="F43" s="132" t="str">
        <f>IFERROR(__xludf.DUMMYFUNCTION("""COMPUTED_VALUE"""),"https://ana-support.my.site.com/enus/s/atmint-en?cc=us")</f>
        <v>https://ana-support.my.site.com/enus/s/atmint-en?cc=us</v>
      </c>
      <c r="G43" s="127" t="str">
        <f>IFERROR(__xludf.DUMMYFUNCTION("""COMPUTED_VALUE"""),"uk_adr_regulations_@121.ana.co.jp")</f>
        <v>uk_adr_regulations_@121.ana.co.jp</v>
      </c>
      <c r="H43" s="127"/>
      <c r="I43" s="127"/>
      <c r="J43" s="127"/>
      <c r="K43" s="127"/>
      <c r="L43" s="127"/>
      <c r="M43" s="127"/>
      <c r="N43" s="127"/>
      <c r="O43" s="127"/>
      <c r="P43" s="127"/>
      <c r="Q43" s="127"/>
      <c r="R43" s="127"/>
      <c r="S43" s="127"/>
      <c r="T43" s="127"/>
      <c r="U43" s="127"/>
      <c r="V43" s="127"/>
      <c r="W43" s="127"/>
      <c r="X43" s="127"/>
      <c r="Y43" s="127"/>
      <c r="Z43" s="127"/>
      <c r="AA43" s="127"/>
      <c r="AB43" s="127"/>
    </row>
    <row r="44">
      <c r="A44" s="31" t="str">
        <f>IFERROR(__xludf.DUMMYFUNCTION("""COMPUTED_VALUE"""),"Air New Zealand (NZ)")</f>
        <v>Air New Zealand (NZ)</v>
      </c>
      <c r="B44" s="127"/>
      <c r="C44" s="128" t="str">
        <f>IFERROR(__xludf.DUMMYFUNCTION("""COMPUTED_VALUE"""),"cro@airnz.co.nz")</f>
        <v>cro@airnz.co.nz</v>
      </c>
      <c r="D44" s="129"/>
      <c r="E44" s="131" t="str">
        <f>IFERROR(__xludf.DUMMYFUNCTION("""COMPUTED_VALUE"""),"https://www.airnewzealand.co.nz/feedback/complaint/")</f>
        <v>https://www.airnewzealand.co.nz/feedback/complaint/</v>
      </c>
      <c r="F44" s="127"/>
      <c r="G44" s="127"/>
      <c r="H44" s="127"/>
      <c r="I44" s="127"/>
      <c r="J44" s="127"/>
      <c r="K44" s="127"/>
      <c r="L44" s="127"/>
      <c r="M44" s="127"/>
      <c r="N44" s="127"/>
      <c r="O44" s="127"/>
      <c r="P44" s="127"/>
      <c r="Q44" s="127"/>
      <c r="R44" s="127"/>
      <c r="S44" s="127"/>
      <c r="T44" s="127"/>
      <c r="U44" s="127"/>
      <c r="V44" s="127"/>
      <c r="W44" s="127"/>
      <c r="X44" s="127"/>
      <c r="Y44" s="127"/>
      <c r="Z44" s="127"/>
      <c r="AA44" s="127"/>
      <c r="AB44" s="127"/>
    </row>
    <row r="45">
      <c r="A45" s="31" t="str">
        <f>IFERROR(__xludf.DUMMYFUNCTION("""COMPUTED_VALUE"""),"Air Nostrum")</f>
        <v>Air Nostrum</v>
      </c>
      <c r="B45" s="127"/>
      <c r="C45" s="128"/>
      <c r="D45" s="129" t="str">
        <f>IFERROR(__xludf.DUMMYFUNCTION("""COMPUTED_VALUE"""),"to be sent to Iberia")</f>
        <v>to be sent to Iberia</v>
      </c>
      <c r="E45" s="131" t="str">
        <f>IFERROR(__xludf.DUMMYFUNCTION("""COMPUTED_VALUE"""),"https://www.iberia.com/gb/customer-relations/")</f>
        <v>https://www.iberia.com/gb/customer-relations/</v>
      </c>
      <c r="F45" s="127"/>
      <c r="G45" s="127"/>
      <c r="H45" s="127"/>
      <c r="I45" s="127"/>
      <c r="J45" s="127"/>
      <c r="K45" s="127"/>
      <c r="L45" s="127"/>
      <c r="M45" s="127"/>
      <c r="N45" s="127"/>
      <c r="O45" s="127"/>
      <c r="P45" s="127"/>
      <c r="Q45" s="127"/>
      <c r="R45" s="127"/>
      <c r="S45" s="127"/>
      <c r="T45" s="127"/>
      <c r="U45" s="127"/>
      <c r="V45" s="127"/>
      <c r="W45" s="127"/>
      <c r="X45" s="127"/>
      <c r="Y45" s="127"/>
      <c r="Z45" s="127"/>
      <c r="AA45" s="127"/>
      <c r="AB45" s="127"/>
    </row>
    <row r="46">
      <c r="A46" s="31" t="str">
        <f>IFERROR(__xludf.DUMMYFUNCTION("""COMPUTED_VALUE"""),"Air Olympic (OA)")</f>
        <v>Air Olympic (OA)</v>
      </c>
      <c r="B46" s="127"/>
      <c r="C46" s="128"/>
      <c r="D46" s="129" t="str">
        <f>IFERROR(__xludf.DUMMYFUNCTION("""COMPUTED_VALUE"""),"webform w/ attachment")</f>
        <v>webform w/ attachment</v>
      </c>
      <c r="E46" s="131" t="str">
        <f>IFERROR(__xludf.DUMMYFUNCTION("""COMPUTED_VALUE"""),"https://www.olympicair.com/en/customerhelp/")</f>
        <v>https://www.olympicair.com/en/customerhelp/</v>
      </c>
      <c r="F46" s="127"/>
      <c r="G46" s="127"/>
      <c r="H46" s="127"/>
      <c r="I46" s="127"/>
      <c r="J46" s="127"/>
      <c r="K46" s="127"/>
      <c r="L46" s="127"/>
      <c r="M46" s="127"/>
      <c r="N46" s="127"/>
      <c r="O46" s="127"/>
      <c r="P46" s="127"/>
      <c r="Q46" s="127"/>
      <c r="R46" s="127"/>
      <c r="S46" s="127"/>
      <c r="T46" s="127"/>
      <c r="U46" s="127"/>
      <c r="V46" s="127"/>
      <c r="W46" s="127"/>
      <c r="X46" s="127"/>
      <c r="Y46" s="127"/>
      <c r="Z46" s="127"/>
      <c r="AA46" s="127"/>
      <c r="AB46" s="127"/>
    </row>
    <row r="47">
      <c r="A47" s="31" t="str">
        <f>IFERROR(__xludf.DUMMYFUNCTION("""COMPUTED_VALUE"""),"Air Peace")</f>
        <v>Air Peace</v>
      </c>
      <c r="B47" s="127"/>
      <c r="C47" s="128" t="str">
        <f>IFERROR(__xludf.DUMMYFUNCTION("""COMPUTED_VALUE"""),"callcenter@flyairpeace.com")</f>
        <v>callcenter@flyairpeace.com</v>
      </c>
      <c r="D47" s="129" t="str">
        <f>IFERROR(__xludf.DUMMYFUNCTION("""COMPUTED_VALUE"""),"e-mail")</f>
        <v>e-mail</v>
      </c>
      <c r="E47" s="129" t="str">
        <f>IFERROR(__xludf.DUMMYFUNCTION("""COMPUTED_VALUE"""),"callcenter@flyairpeace.com")</f>
        <v>callcenter@flyairpeace.com</v>
      </c>
      <c r="F47" s="127"/>
      <c r="G47" s="127"/>
      <c r="H47" s="127"/>
      <c r="I47" s="127"/>
      <c r="J47" s="127"/>
      <c r="K47" s="127"/>
      <c r="L47" s="127"/>
      <c r="M47" s="127"/>
      <c r="N47" s="127"/>
      <c r="O47" s="127"/>
      <c r="P47" s="127"/>
      <c r="Q47" s="127"/>
      <c r="R47" s="127"/>
      <c r="S47" s="127"/>
      <c r="T47" s="127"/>
      <c r="U47" s="127"/>
      <c r="V47" s="127"/>
      <c r="W47" s="127"/>
      <c r="X47" s="127"/>
      <c r="Y47" s="127"/>
      <c r="Z47" s="127"/>
      <c r="AA47" s="127"/>
      <c r="AB47" s="127"/>
    </row>
    <row r="48">
      <c r="A48" s="31" t="str">
        <f>IFERROR(__xludf.DUMMYFUNCTION("""COMPUTED_VALUE"""),"Air Prishtina")</f>
        <v>Air Prishtina</v>
      </c>
      <c r="B48" s="127"/>
      <c r="C48" s="128" t="str">
        <f>IFERROR(__xludf.DUMMYFUNCTION("""COMPUTED_VALUE"""),"kontakt@airprishtina.com")</f>
        <v>kontakt@airprishtina.com</v>
      </c>
      <c r="D48" s="129" t="str">
        <f>IFERROR(__xludf.DUMMYFUNCTION("""COMPUTED_VALUE"""),"webform w/o attachment")</f>
        <v>webform w/o attachment</v>
      </c>
      <c r="E48" s="131" t="str">
        <f>IFERROR(__xludf.DUMMYFUNCTION("""COMPUTED_VALUE"""),"https://www.airprishtina.com/en/contact-form/")</f>
        <v>https://www.airprishtina.com/en/contact-form/</v>
      </c>
      <c r="F48" s="127"/>
      <c r="G48" s="127"/>
      <c r="H48" s="127"/>
      <c r="I48" s="127"/>
      <c r="J48" s="127"/>
      <c r="K48" s="127"/>
      <c r="L48" s="127"/>
      <c r="M48" s="127"/>
      <c r="N48" s="127"/>
      <c r="O48" s="127"/>
      <c r="P48" s="127"/>
      <c r="Q48" s="127"/>
      <c r="R48" s="127"/>
      <c r="S48" s="127"/>
      <c r="T48" s="127"/>
      <c r="U48" s="127"/>
      <c r="V48" s="127"/>
      <c r="W48" s="127"/>
      <c r="X48" s="127"/>
      <c r="Y48" s="127"/>
      <c r="Z48" s="127"/>
      <c r="AA48" s="127"/>
      <c r="AB48" s="127"/>
    </row>
    <row r="49">
      <c r="A49" s="31" t="str">
        <f>IFERROR(__xludf.DUMMYFUNCTION("""COMPUTED_VALUE"""),"Air Serbia (JU)")</f>
        <v>Air Serbia (JU)</v>
      </c>
      <c r="B49" s="127"/>
      <c r="C49" s="128" t="str">
        <f>IFERROR(__xludf.DUMMYFUNCTION("""COMPUTED_VALUE"""),"guest.support@airserbia.com")</f>
        <v>guest.support@airserbia.com</v>
      </c>
      <c r="D49" s="129" t="str">
        <f>IFERROR(__xludf.DUMMYFUNCTION("""COMPUTED_VALUE"""),"webform w/ attachment or E-mail")</f>
        <v>webform w/ attachment or E-mail</v>
      </c>
      <c r="E49" s="129" t="str">
        <f>IFERROR(__xludf.DUMMYFUNCTION("""COMPUTED_VALUE"""),"https://www.airserbia.com/en/claims , If first link not woking: https://www.airserbia.com/en/feedback    E-mail: guest.support@airserbia.com")</f>
        <v>https://www.airserbia.com/en/claims , If first link not woking: https://www.airserbia.com/en/feedback    E-mail: guest.support@airserbia.com</v>
      </c>
      <c r="F49" s="127" t="str">
        <f>IFERROR(__xludf.DUMMYFUNCTION("""COMPUTED_VALUE"""),"Ticket (need ticket number), boarding pass(in case of delayed flight)")</f>
        <v>Ticket (need ticket number), boarding pass(in case of delayed flight)</v>
      </c>
      <c r="G49" s="127"/>
      <c r="H49" s="127"/>
      <c r="I49" s="127"/>
      <c r="J49" s="127"/>
      <c r="K49" s="127"/>
      <c r="L49" s="127"/>
      <c r="M49" s="127"/>
      <c r="N49" s="127"/>
      <c r="O49" s="127"/>
      <c r="P49" s="127"/>
      <c r="Q49" s="127"/>
      <c r="R49" s="127"/>
      <c r="S49" s="127"/>
      <c r="T49" s="127"/>
      <c r="U49" s="127"/>
      <c r="V49" s="127"/>
      <c r="W49" s="127"/>
      <c r="X49" s="127"/>
      <c r="Y49" s="127"/>
      <c r="Z49" s="127"/>
      <c r="AA49" s="127"/>
      <c r="AB49" s="127"/>
    </row>
    <row r="50">
      <c r="A50" s="31" t="str">
        <f>IFERROR(__xludf.DUMMYFUNCTION("""COMPUTED_VALUE"""),"Air Tahiti Nui")</f>
        <v>Air Tahiti Nui</v>
      </c>
      <c r="B50" s="127"/>
      <c r="C50" s="128" t="str">
        <f>IFERROR(__xludf.DUMMYFUNCTION("""COMPUTED_VALUE"""),"sales@airtahitinui-usa.com")</f>
        <v>sales@airtahitinui-usa.com</v>
      </c>
      <c r="D50" s="129" t="str">
        <f>IFERROR(__xludf.DUMMYFUNCTION("""COMPUTED_VALUE"""),"webform w attachment")</f>
        <v>webform w attachment</v>
      </c>
      <c r="E50" s="131" t="str">
        <f>IFERROR(__xludf.DUMMYFUNCTION("""COMPUTED_VALUE"""),"https://www.airtahitinui.com/en/contact-us")</f>
        <v>https://www.airtahitinui.com/en/contact-us</v>
      </c>
      <c r="F50" s="127" t="str">
        <f>IFERROR(__xludf.DUMMYFUNCTION("""COMPUTED_VALUE"""),"Date of Birth")</f>
        <v>Date of Birth</v>
      </c>
      <c r="G50" s="127"/>
      <c r="H50" s="127"/>
      <c r="I50" s="127"/>
      <c r="J50" s="127"/>
      <c r="K50" s="127"/>
      <c r="L50" s="127"/>
      <c r="M50" s="127"/>
      <c r="N50" s="127"/>
      <c r="O50" s="127"/>
      <c r="P50" s="127"/>
      <c r="Q50" s="127"/>
      <c r="R50" s="127"/>
      <c r="S50" s="127"/>
      <c r="T50" s="127"/>
      <c r="U50" s="127"/>
      <c r="V50" s="127"/>
      <c r="W50" s="127"/>
      <c r="X50" s="127"/>
      <c r="Y50" s="127"/>
      <c r="Z50" s="127"/>
      <c r="AA50" s="127"/>
      <c r="AB50" s="127"/>
    </row>
    <row r="51">
      <c r="A51" s="31" t="str">
        <f>IFERROR(__xludf.DUMMYFUNCTION("""COMPUTED_VALUE"""),"Air Tanzania")</f>
        <v>Air Tanzania</v>
      </c>
      <c r="B51" s="127"/>
      <c r="C51" s="128" t="str">
        <f>IFERROR(__xludf.DUMMYFUNCTION("""COMPUTED_VALUE"""),"info@airtanzania.com")</f>
        <v>info@airtanzania.com</v>
      </c>
      <c r="D51" s="129" t="str">
        <f>IFERROR(__xludf.DUMMYFUNCTION("""COMPUTED_VALUE"""),"e-mail/ webform w/o attachment")</f>
        <v>e-mail/ webform w/o attachment</v>
      </c>
      <c r="E51" s="131" t="str">
        <f>IFERROR(__xludf.DUMMYFUNCTION("""COMPUTED_VALUE"""),"https://www.airtanzania.co.tz/contact-form")</f>
        <v>https://www.airtanzania.co.tz/contact-form</v>
      </c>
      <c r="F51" s="127"/>
      <c r="G51" s="127"/>
      <c r="H51" s="127"/>
      <c r="I51" s="127"/>
      <c r="J51" s="127"/>
      <c r="K51" s="127"/>
      <c r="L51" s="127"/>
      <c r="M51" s="127"/>
      <c r="N51" s="127"/>
      <c r="O51" s="127"/>
      <c r="P51" s="127"/>
      <c r="Q51" s="127"/>
      <c r="R51" s="127"/>
      <c r="S51" s="127"/>
      <c r="T51" s="127"/>
      <c r="U51" s="127"/>
      <c r="V51" s="127"/>
      <c r="W51" s="127"/>
      <c r="X51" s="127"/>
      <c r="Y51" s="127"/>
      <c r="Z51" s="127"/>
      <c r="AA51" s="127"/>
      <c r="AB51" s="127"/>
    </row>
    <row r="52">
      <c r="A52" s="31" t="str">
        <f>IFERROR(__xludf.DUMMYFUNCTION("""COMPUTED_VALUE"""),"Air Transat (TS)")</f>
        <v>Air Transat (TS)</v>
      </c>
      <c r="B52" s="127"/>
      <c r="C52" s="128" t="str">
        <f>IFERROR(__xludf.DUMMYFUNCTION("""COMPUTED_VALUE"""),"relationsclientele@transat.com")</f>
        <v>relationsclientele@transat.com</v>
      </c>
      <c r="D52" s="129" t="str">
        <f>IFERROR(__xludf.DUMMYFUNCTION("""COMPUTED_VALUE"""),"webform w/o attachment")</f>
        <v>webform w/o attachment</v>
      </c>
      <c r="E52" s="131" t="str">
        <f>IFERROR(__xludf.DUMMYFUNCTION("""COMPUTED_VALUE"""),"https://www.airtransat.com/en-CA/forms/claim-for-flight-delay#/file")</f>
        <v>https://www.airtransat.com/en-CA/forms/claim-for-flight-delay#/file</v>
      </c>
      <c r="F52" s="127"/>
      <c r="G52" s="127"/>
      <c r="H52" s="127" t="str">
        <f>IFERROR(__xludf.DUMMYFUNCTION("""COMPUTED_VALUE"""),"Your claim must be received by Air Transat within one year of the date of the flight disruption. Air Transat will respond to your claim within a maximum of 30 days of the date of receipt of the submitted claim for flight delay.")</f>
        <v>Your claim must be received by Air Transat within one year of the date of the flight disruption. Air Transat will respond to your claim within a maximum of 30 days of the date of receipt of the submitted claim for flight delay.</v>
      </c>
      <c r="I52" s="127"/>
      <c r="J52" s="127"/>
      <c r="K52" s="127"/>
      <c r="L52" s="127"/>
      <c r="M52" s="127"/>
      <c r="N52" s="127"/>
      <c r="O52" s="127"/>
      <c r="P52" s="127"/>
      <c r="Q52" s="127"/>
      <c r="R52" s="127"/>
      <c r="S52" s="127"/>
      <c r="T52" s="127"/>
      <c r="U52" s="127"/>
      <c r="V52" s="127"/>
      <c r="W52" s="127"/>
      <c r="X52" s="127"/>
      <c r="Y52" s="127"/>
      <c r="Z52" s="127"/>
      <c r="AA52" s="127"/>
      <c r="AB52" s="127"/>
    </row>
    <row r="53">
      <c r="A53" s="31" t="str">
        <f>IFERROR(__xludf.DUMMYFUNCTION("""COMPUTED_VALUE"""),"Air Wisconsin (ZW)")</f>
        <v>Air Wisconsin (ZW)</v>
      </c>
      <c r="B53" s="127"/>
      <c r="C53" s="128" t="str">
        <f>IFERROR(__xludf.DUMMYFUNCTION("""COMPUTED_VALUE"""),"corporatecommunications@airwis.com")</f>
        <v>corporatecommunications@airwis.com</v>
      </c>
      <c r="D53" s="129" t="str">
        <f>IFERROR(__xludf.DUMMYFUNCTION("""COMPUTED_VALUE"""),"e-mail")</f>
        <v>e-mail</v>
      </c>
      <c r="E53" s="129" t="str">
        <f>IFERROR(__xludf.DUMMYFUNCTION("""COMPUTED_VALUE"""),"corporatecommunications@airwis.com")</f>
        <v>corporatecommunications@airwis.com</v>
      </c>
      <c r="F53" s="127"/>
      <c r="G53" s="127"/>
      <c r="H53" s="127"/>
      <c r="I53" s="127"/>
      <c r="J53" s="127"/>
      <c r="K53" s="127"/>
      <c r="L53" s="127"/>
      <c r="M53" s="127"/>
      <c r="N53" s="127"/>
      <c r="O53" s="127"/>
      <c r="P53" s="127"/>
      <c r="Q53" s="127"/>
      <c r="R53" s="127"/>
      <c r="S53" s="127"/>
      <c r="T53" s="127"/>
      <c r="U53" s="127"/>
      <c r="V53" s="127"/>
      <c r="W53" s="127"/>
      <c r="X53" s="127"/>
      <c r="Y53" s="127"/>
      <c r="Z53" s="127"/>
      <c r="AA53" s="127"/>
      <c r="AB53" s="127"/>
    </row>
    <row r="54">
      <c r="A54" s="31" t="str">
        <f>IFERROR(__xludf.DUMMYFUNCTION("""COMPUTED_VALUE"""),"Air Baltic (BT)")</f>
        <v>Air Baltic (BT)</v>
      </c>
      <c r="B54" s="127"/>
      <c r="C54" s="128" t="str">
        <f>IFERROR(__xludf.DUMMYFUNCTION("""COMPUTED_VALUE"""),"customers@airbaltic.lv")</f>
        <v>customers@airbaltic.lv</v>
      </c>
      <c r="D54" s="129" t="str">
        <f>IFERROR(__xludf.DUMMYFUNCTION("""COMPUTED_VALUE"""),"webform w/o attachment")</f>
        <v>webform w/o attachment</v>
      </c>
      <c r="E54" s="131" t="str">
        <f>IFERROR(__xludf.DUMMYFUNCTION("""COMPUTED_VALUE"""),"https://www.airbaltic.com/en/submit-a-claim")</f>
        <v>https://www.airbaltic.com/en/submit-a-claim</v>
      </c>
      <c r="F54" s="127"/>
      <c r="G54" s="127"/>
      <c r="H54" s="127"/>
      <c r="I54" s="127"/>
      <c r="J54" s="127"/>
      <c r="K54" s="127"/>
      <c r="L54" s="127"/>
      <c r="M54" s="127"/>
      <c r="N54" s="127"/>
      <c r="O54" s="127"/>
      <c r="P54" s="127"/>
      <c r="Q54" s="127"/>
      <c r="R54" s="127"/>
      <c r="S54" s="127"/>
      <c r="T54" s="127"/>
      <c r="U54" s="127"/>
      <c r="V54" s="127"/>
      <c r="W54" s="127"/>
      <c r="X54" s="127"/>
      <c r="Y54" s="127"/>
      <c r="Z54" s="127"/>
      <c r="AA54" s="127"/>
      <c r="AB54" s="127"/>
    </row>
    <row r="55">
      <c r="A55" s="31" t="str">
        <f>IFERROR(__xludf.DUMMYFUNCTION("""COMPUTED_VALUE"""),"Ajet (VF)/ Andalutjet")</f>
        <v>Ajet (VF)/ Andalutjet</v>
      </c>
      <c r="B55" s="127"/>
      <c r="C55" s="128" t="str">
        <f>IFERROR(__xludf.DUMMYFUNCTION("""COMPUTED_VALUE"""),"customer@ajet.com")</f>
        <v>customer@ajet.com</v>
      </c>
      <c r="D55" s="129" t="str">
        <f>IFERROR(__xludf.DUMMYFUNCTION("""COMPUTED_VALUE"""),"webform w/ attachment")</f>
        <v>webform w/ attachment</v>
      </c>
      <c r="E55" s="131" t="str">
        <f>IFERROR(__xludf.DUMMYFUNCTION("""COMPUTED_VALUE"""),"https://ajet.com/en/corporate/feedback-form")</f>
        <v>https://ajet.com/en/corporate/feedback-form</v>
      </c>
      <c r="F55" s="127"/>
      <c r="G55" s="127"/>
      <c r="H55" s="127"/>
      <c r="I55" s="127"/>
      <c r="J55" s="127"/>
      <c r="K55" s="127"/>
      <c r="L55" s="127"/>
      <c r="M55" s="127"/>
      <c r="N55" s="127"/>
      <c r="O55" s="127"/>
      <c r="P55" s="127"/>
      <c r="Q55" s="127"/>
      <c r="R55" s="127"/>
      <c r="S55" s="127"/>
      <c r="T55" s="127"/>
      <c r="U55" s="127"/>
      <c r="V55" s="127"/>
      <c r="W55" s="127"/>
      <c r="X55" s="127"/>
      <c r="Y55" s="127"/>
      <c r="Z55" s="127"/>
      <c r="AA55" s="127"/>
      <c r="AB55" s="127"/>
    </row>
    <row r="56">
      <c r="A56" s="31" t="str">
        <f>IFERROR(__xludf.DUMMYFUNCTION("""COMPUTED_VALUE"""),"Alaska Airlines (AS)")</f>
        <v>Alaska Airlines (AS)</v>
      </c>
      <c r="B56" s="127"/>
      <c r="C56" s="128" t="str">
        <f>IFERROR(__xludf.DUMMYFUNCTION("""COMPUTED_VALUE"""),"refunds@alaskaair.com")</f>
        <v>refunds@alaskaair.com</v>
      </c>
      <c r="D56" s="129" t="str">
        <f>IFERROR(__xludf.DUMMYFUNCTION("""COMPUTED_VALUE"""),"webform w/o attachment")</f>
        <v>webform w/o attachment</v>
      </c>
      <c r="E56" s="131" t="str">
        <f>IFERROR(__xludf.DUMMYFUNCTION("""COMPUTED_VALUE"""),"https://www.alaskaair.com/feedback/general-comments")</f>
        <v>https://www.alaskaair.com/feedback/general-comments</v>
      </c>
      <c r="F56" s="127"/>
      <c r="G56" s="127"/>
      <c r="H56" s="127"/>
      <c r="I56" s="127"/>
      <c r="J56" s="127"/>
      <c r="K56" s="127"/>
      <c r="L56" s="127"/>
      <c r="M56" s="127"/>
      <c r="N56" s="127"/>
      <c r="O56" s="127"/>
      <c r="P56" s="127"/>
      <c r="Q56" s="127"/>
      <c r="R56" s="127"/>
      <c r="S56" s="127"/>
      <c r="T56" s="127"/>
      <c r="U56" s="127"/>
      <c r="V56" s="127"/>
      <c r="W56" s="127"/>
      <c r="X56" s="127"/>
      <c r="Y56" s="127"/>
      <c r="Z56" s="127"/>
      <c r="AA56" s="127"/>
      <c r="AB56" s="127"/>
    </row>
    <row r="57">
      <c r="A57" s="31" t="str">
        <f>IFERROR(__xludf.DUMMYFUNCTION("""COMPUTED_VALUE"""),"Albawings")</f>
        <v>Albawings</v>
      </c>
      <c r="B57" s="127"/>
      <c r="C57" s="128" t="str">
        <f>IFERROR(__xludf.DUMMYFUNCTION("""COMPUTED_VALUE"""),"info@albawings.com")</f>
        <v>info@albawings.com</v>
      </c>
      <c r="D57" s="129" t="str">
        <f>IFERROR(__xludf.DUMMYFUNCTION("""COMPUTED_VALUE"""),"webform w/o attachment")</f>
        <v>webform w/o attachment</v>
      </c>
      <c r="E57" s="131" t="str">
        <f>IFERROR(__xludf.DUMMYFUNCTION("""COMPUTED_VALUE"""),"https://www.albawings.com/en/contact")</f>
        <v>https://www.albawings.com/en/contact</v>
      </c>
      <c r="F57" s="127" t="str">
        <f>IFERROR(__xludf.DUMMYFUNCTION("""COMPUTED_VALUE"""),"Ceased operation since January 12, 2024")</f>
        <v>Ceased operation since January 12, 2024</v>
      </c>
      <c r="G57" s="127"/>
      <c r="H57" s="127"/>
      <c r="I57" s="127"/>
      <c r="J57" s="127"/>
      <c r="K57" s="127"/>
      <c r="L57" s="127"/>
      <c r="M57" s="127"/>
      <c r="N57" s="127"/>
      <c r="O57" s="127"/>
      <c r="P57" s="127"/>
      <c r="Q57" s="127"/>
      <c r="R57" s="127"/>
      <c r="S57" s="127"/>
      <c r="T57" s="127"/>
      <c r="U57" s="127"/>
      <c r="V57" s="127"/>
      <c r="W57" s="127"/>
      <c r="X57" s="127"/>
      <c r="Y57" s="127"/>
      <c r="Z57" s="127"/>
      <c r="AA57" s="127"/>
      <c r="AB57" s="127"/>
    </row>
    <row r="58">
      <c r="A58" s="31" t="str">
        <f>IFERROR(__xludf.DUMMYFUNCTION("""COMPUTED_VALUE"""),"AMC Aviation")</f>
        <v>AMC Aviation</v>
      </c>
      <c r="B58" s="127"/>
      <c r="C58" s="128" t="str">
        <f>IFERROR(__xludf.DUMMYFUNCTION("""COMPUTED_VALUE"""),"office@amcaviation.eu")</f>
        <v>office@amcaviation.eu</v>
      </c>
      <c r="D58" s="129" t="str">
        <f>IFERROR(__xludf.DUMMYFUNCTION("""COMPUTED_VALUE"""),"webform w/o attachment")</f>
        <v>webform w/o attachment</v>
      </c>
      <c r="E58" s="131" t="str">
        <f>IFERROR(__xludf.DUMMYFUNCTION("""COMPUTED_VALUE"""),"https://www.amcaviation.eu/?lang=en")</f>
        <v>https://www.amcaviation.eu/?lang=en</v>
      </c>
      <c r="F58" s="127"/>
      <c r="G58" s="127"/>
      <c r="H58" s="127"/>
      <c r="I58" s="127"/>
      <c r="J58" s="127"/>
      <c r="K58" s="127"/>
      <c r="L58" s="127"/>
      <c r="M58" s="127"/>
      <c r="N58" s="127"/>
      <c r="O58" s="127"/>
      <c r="P58" s="127"/>
      <c r="Q58" s="127"/>
      <c r="R58" s="127"/>
      <c r="S58" s="127"/>
      <c r="T58" s="127"/>
      <c r="U58" s="127"/>
      <c r="V58" s="127"/>
      <c r="W58" s="127"/>
      <c r="X58" s="127"/>
      <c r="Y58" s="127"/>
      <c r="Z58" s="127"/>
      <c r="AA58" s="127"/>
      <c r="AB58" s="127"/>
    </row>
    <row r="59">
      <c r="A59" s="31" t="str">
        <f>IFERROR(__xludf.DUMMYFUNCTION("""COMPUTED_VALUE"""),"American Airlines (AA)")</f>
        <v>American Airlines (AA)</v>
      </c>
      <c r="B59" s="127"/>
      <c r="C59" s="128" t="str">
        <f>IFERROR(__xludf.DUMMYFUNCTION("""COMPUTED_VALUE"""),"AA.ECClaims@AA.com")</f>
        <v>AA.ECClaims@AA.com</v>
      </c>
      <c r="D59" s="129" t="str">
        <f>IFERROR(__xludf.DUMMYFUNCTION("""COMPUTED_VALUE"""),"email")</f>
        <v>email</v>
      </c>
      <c r="E59" s="129" t="str">
        <f>IFERROR(__xludf.DUMMYFUNCTION("""COMPUTED_VALUE"""),"AA.ECClaims@AA.com")</f>
        <v>AA.ECClaims@AA.com</v>
      </c>
      <c r="F59" s="127"/>
      <c r="G59" s="127"/>
      <c r="H59" s="132" t="str">
        <f>IFERROR(__xludf.DUMMYFUNCTION("""COMPUTED_VALUE"""),"https://www.aa.com/contact/forms?topic=CR#/")</f>
        <v>https://www.aa.com/contact/forms?topic=CR#/</v>
      </c>
      <c r="I59" s="127"/>
      <c r="J59" s="127"/>
      <c r="K59" s="127"/>
      <c r="L59" s="127"/>
      <c r="M59" s="127"/>
      <c r="N59" s="127"/>
      <c r="O59" s="127"/>
      <c r="P59" s="127"/>
      <c r="Q59" s="127"/>
      <c r="R59" s="127"/>
      <c r="S59" s="127"/>
      <c r="T59" s="127"/>
      <c r="U59" s="127"/>
      <c r="V59" s="127"/>
      <c r="W59" s="127"/>
      <c r="X59" s="127"/>
      <c r="Y59" s="127"/>
      <c r="Z59" s="127"/>
      <c r="AA59" s="127"/>
      <c r="AB59" s="127"/>
    </row>
    <row r="60">
      <c r="A60" s="31" t="str">
        <f>IFERROR(__xludf.DUMMYFUNCTION("""COMPUTED_VALUE"""),"Animawings")</f>
        <v>Animawings</v>
      </c>
      <c r="B60" s="127"/>
      <c r="C60" s="128" t="str">
        <f>IFERROR(__xludf.DUMMYFUNCTION("""COMPUTED_VALUE"""),"claims@animawings.com")</f>
        <v>claims@animawings.com</v>
      </c>
      <c r="D60" s="129" t="str">
        <f>IFERROR(__xludf.DUMMYFUNCTION("""COMPUTED_VALUE"""),"e-mail")</f>
        <v>e-mail</v>
      </c>
      <c r="E60" s="129" t="str">
        <f>IFERROR(__xludf.DUMMYFUNCTION("""COMPUTED_VALUE"""),"claims@animawings.com")</f>
        <v>claims@animawings.com</v>
      </c>
      <c r="F60" s="127"/>
      <c r="G60" s="127"/>
      <c r="H60" s="127"/>
      <c r="I60" s="127"/>
      <c r="J60" s="127"/>
      <c r="K60" s="127"/>
      <c r="L60" s="127"/>
      <c r="M60" s="127"/>
      <c r="N60" s="127"/>
      <c r="O60" s="127"/>
      <c r="P60" s="127"/>
      <c r="Q60" s="127"/>
      <c r="R60" s="127"/>
      <c r="S60" s="127"/>
      <c r="T60" s="127"/>
      <c r="U60" s="127"/>
      <c r="V60" s="127"/>
      <c r="W60" s="127"/>
      <c r="X60" s="127"/>
      <c r="Y60" s="127"/>
      <c r="Z60" s="127"/>
      <c r="AA60" s="127"/>
      <c r="AB60" s="127"/>
    </row>
    <row r="61">
      <c r="A61" s="31" t="str">
        <f>IFERROR(__xludf.DUMMYFUNCTION("""COMPUTED_VALUE"""),"Arkia Israeli Airlines")</f>
        <v>Arkia Israeli Airlines</v>
      </c>
      <c r="B61" s="127"/>
      <c r="C61" s="128" t="str">
        <f>IFERROR(__xludf.DUMMYFUNCTION("""COMPUTED_VALUE"""),"service@arkia.co.il")</f>
        <v>service@arkia.co.il</v>
      </c>
      <c r="D61" s="129" t="str">
        <f>IFERROR(__xludf.DUMMYFUNCTION("""COMPUTED_VALUE"""),"email but not sure!")</f>
        <v>email but not sure!</v>
      </c>
      <c r="E61" s="129" t="str">
        <f>IFERROR(__xludf.DUMMYFUNCTION("""COMPUTED_VALUE"""),"service@arkia.co.il")</f>
        <v>service@arkia.co.il</v>
      </c>
      <c r="F61" s="127"/>
      <c r="G61" s="127"/>
      <c r="H61" s="127"/>
      <c r="I61" s="127"/>
      <c r="J61" s="127"/>
      <c r="K61" s="127"/>
      <c r="L61" s="127"/>
      <c r="M61" s="127"/>
      <c r="N61" s="127"/>
      <c r="O61" s="127"/>
      <c r="P61" s="127"/>
      <c r="Q61" s="127"/>
      <c r="R61" s="127"/>
      <c r="S61" s="127"/>
      <c r="T61" s="127"/>
      <c r="U61" s="127"/>
      <c r="V61" s="127"/>
      <c r="W61" s="127"/>
      <c r="X61" s="127"/>
      <c r="Y61" s="127"/>
      <c r="Z61" s="127"/>
      <c r="AA61" s="127"/>
      <c r="AB61" s="127"/>
    </row>
    <row r="62">
      <c r="A62" s="31" t="str">
        <f>IFERROR(__xludf.DUMMYFUNCTION("""COMPUTED_VALUE"""),"Asiana Airlines")</f>
        <v>Asiana Airlines</v>
      </c>
      <c r="B62" s="127" t="str">
        <f>IFERROR(__xludf.DUMMYFUNCTION("""COMPUTED_VALUE"""),"Seoul, South Korea")</f>
        <v>Seoul, South Korea</v>
      </c>
      <c r="C62" s="128" t="str">
        <f>IFERROR(__xludf.DUMMYFUNCTION("""COMPUTED_VALUE"""),"asianacs@flyasiana.com")</f>
        <v>asianacs@flyasiana.com</v>
      </c>
      <c r="D62" s="129" t="str">
        <f>IFERROR(__xludf.DUMMYFUNCTION("""COMPUTED_VALUE"""),"webform w/ attachment")</f>
        <v>webform w/ attachment</v>
      </c>
      <c r="E62" s="131" t="str">
        <f>IFERROR(__xludf.DUMMYFUNCTION("""COMPUTED_VALUE"""),"https://flyasiana.com/C/US/EN/customer/voc")</f>
        <v>https://flyasiana.com/C/US/EN/customer/voc</v>
      </c>
      <c r="F62" s="132" t="str">
        <f>IFERROR(__xludf.DUMMYFUNCTION("""COMPUTED_VALUE"""),"https://avochome.flyasiana.com/complaint/complaintRegist.voc")</f>
        <v>https://avochome.flyasiana.com/complaint/complaintRegist.voc</v>
      </c>
      <c r="G62" s="127"/>
      <c r="H62" s="127"/>
      <c r="I62" s="127"/>
      <c r="J62" s="127"/>
      <c r="K62" s="127"/>
      <c r="L62" s="127"/>
      <c r="M62" s="127"/>
      <c r="N62" s="127"/>
      <c r="O62" s="127"/>
      <c r="P62" s="127"/>
      <c r="Q62" s="127"/>
      <c r="R62" s="127"/>
      <c r="S62" s="127"/>
      <c r="T62" s="127"/>
      <c r="U62" s="127"/>
      <c r="V62" s="127"/>
      <c r="W62" s="127"/>
      <c r="X62" s="127"/>
      <c r="Y62" s="127"/>
      <c r="Z62" s="127"/>
      <c r="AA62" s="127"/>
      <c r="AB62" s="127"/>
    </row>
    <row r="63">
      <c r="A63" s="31" t="str">
        <f>IFERROR(__xludf.DUMMYFUNCTION("""COMPUTED_VALUE"""),"Atlantic Airways (RC)")</f>
        <v>Atlantic Airways (RC)</v>
      </c>
      <c r="B63" s="127"/>
      <c r="C63" s="128" t="str">
        <f>IFERROR(__xludf.DUMMYFUNCTION("""COMPUTED_VALUE"""),"cr@atlantic.fo")</f>
        <v>cr@atlantic.fo</v>
      </c>
      <c r="D63" s="129" t="str">
        <f>IFERROR(__xludf.DUMMYFUNCTION("""COMPUTED_VALUE"""),"e-mail")</f>
        <v>e-mail</v>
      </c>
      <c r="E63" s="129" t="str">
        <f>IFERROR(__xludf.DUMMYFUNCTION("""COMPUTED_VALUE"""),"cr@atlantic.fo")</f>
        <v>cr@atlantic.fo</v>
      </c>
      <c r="F63" s="127"/>
      <c r="G63" s="127" t="str">
        <f>IFERROR(__xludf.DUMMYFUNCTION("""COMPUTED_VALUE"""),"Atlantic Airways
 Customer Relations
 FO-380 Sørvágur
 Faroe Islands")</f>
        <v>Atlantic Airways
 Customer Relations
 FO-380 Sørvágur
 Faroe Islands</v>
      </c>
      <c r="H63" s="132" t="str">
        <f>IFERROR(__xludf.DUMMYFUNCTION("""COMPUTED_VALUE"""),"https://www.atlanticairways.com/media/2094/passenger_rights_nov_2021.pdf")</f>
        <v>https://www.atlanticairways.com/media/2094/passenger_rights_nov_2021.pdf</v>
      </c>
      <c r="I63" s="127"/>
      <c r="J63" s="127"/>
      <c r="K63" s="127"/>
      <c r="L63" s="127"/>
      <c r="M63" s="127"/>
      <c r="N63" s="127"/>
      <c r="O63" s="127"/>
      <c r="P63" s="127"/>
      <c r="Q63" s="127"/>
      <c r="R63" s="127"/>
      <c r="S63" s="127"/>
      <c r="T63" s="127"/>
      <c r="U63" s="127"/>
      <c r="V63" s="127"/>
      <c r="W63" s="127"/>
      <c r="X63" s="127"/>
      <c r="Y63" s="127"/>
      <c r="Z63" s="127"/>
      <c r="AA63" s="127"/>
      <c r="AB63" s="127"/>
    </row>
    <row r="64">
      <c r="A64" s="31" t="str">
        <f>IFERROR(__xludf.DUMMYFUNCTION("""COMPUTED_VALUE"""),"Aura Airlines")</f>
        <v>Aura Airlines</v>
      </c>
      <c r="B64" s="127" t="str">
        <f>IFERROR(__xludf.DUMMYFUNCTION("""COMPUTED_VALUE"""),"ceased operations")</f>
        <v>ceased operations</v>
      </c>
      <c r="C64" s="128"/>
      <c r="D64" s="129"/>
      <c r="E64" s="129"/>
      <c r="F64" s="127"/>
      <c r="G64" s="127"/>
      <c r="H64" s="127"/>
      <c r="I64" s="127"/>
      <c r="J64" s="127"/>
      <c r="K64" s="127"/>
      <c r="L64" s="127"/>
      <c r="M64" s="127"/>
      <c r="N64" s="127"/>
      <c r="O64" s="127"/>
      <c r="P64" s="127"/>
      <c r="Q64" s="127"/>
      <c r="R64" s="127"/>
      <c r="S64" s="127"/>
      <c r="T64" s="127"/>
      <c r="U64" s="127"/>
      <c r="V64" s="127"/>
      <c r="W64" s="127"/>
      <c r="X64" s="127"/>
      <c r="Y64" s="127"/>
      <c r="Z64" s="127"/>
      <c r="AA64" s="127"/>
      <c r="AB64" s="127"/>
    </row>
    <row r="65">
      <c r="A65" s="31" t="str">
        <f>IFERROR(__xludf.DUMMYFUNCTION("""COMPUTED_VALUE"""),"Aurigny Air Services")</f>
        <v>Aurigny Air Services</v>
      </c>
      <c r="B65" s="127"/>
      <c r="C65" s="128" t="str">
        <f>IFERROR(__xludf.DUMMYFUNCTION("""COMPUTED_VALUE"""),"customerservices@aurigny.com")</f>
        <v>customerservices@aurigny.com</v>
      </c>
      <c r="D65" s="129"/>
      <c r="E65" s="131" t="str">
        <f>IFERROR(__xludf.DUMMYFUNCTION("""COMPUTED_VALUE"""),"https://aurigny.centrik.net/sms/case/externalreport.aspx?ReportingSubsystemId=545a1dcf-edeb-423f-938e-aaed5bd303c6")</f>
        <v>https://aurigny.centrik.net/sms/case/externalreport.aspx?ReportingSubsystemId=545a1dcf-edeb-423f-938e-aaed5bd303c6</v>
      </c>
      <c r="F65" s="127"/>
      <c r="G65" s="127"/>
      <c r="H65" s="127"/>
      <c r="I65" s="127"/>
      <c r="J65" s="127"/>
      <c r="K65" s="127"/>
      <c r="L65" s="127"/>
      <c r="M65" s="127"/>
      <c r="N65" s="127"/>
      <c r="O65" s="127"/>
      <c r="P65" s="127"/>
      <c r="Q65" s="127"/>
      <c r="R65" s="127"/>
      <c r="S65" s="127"/>
      <c r="T65" s="127"/>
      <c r="U65" s="127"/>
      <c r="V65" s="127"/>
      <c r="W65" s="127"/>
      <c r="X65" s="127"/>
      <c r="Y65" s="127"/>
      <c r="Z65" s="127"/>
      <c r="AA65" s="127"/>
      <c r="AB65" s="127"/>
    </row>
    <row r="66">
      <c r="A66" s="31" t="str">
        <f>IFERROR(__xludf.DUMMYFUNCTION("""COMPUTED_VALUE"""),"Austrian Airlines (OS)")</f>
        <v>Austrian Airlines (OS)</v>
      </c>
      <c r="B66" s="127" t="str">
        <f>IFERROR(__xludf.DUMMYFUNCTION("""COMPUTED_VALUE"""),"They send reference after submission")</f>
        <v>They send reference after submission</v>
      </c>
      <c r="C66" s="128" t="str">
        <f>IFERROR(__xludf.DUMMYFUNCTION("""COMPUTED_VALUE"""),"feedback@austrian.com")</f>
        <v>feedback@austrian.com</v>
      </c>
      <c r="D66" s="129" t="str">
        <f>IFERROR(__xludf.DUMMYFUNCTION("""COMPUTED_VALUE"""),"e-mail/ webform w/ attachment")</f>
        <v>e-mail/ webform w/ attachment</v>
      </c>
      <c r="E66" s="131" t="str">
        <f>IFERROR(__xludf.DUMMYFUNCTION("""COMPUTED_VALUE"""),"https://www.austrian.com/us/en/footer-pages/help-and-contact/application-for-compensation-in-the-event-of-flight-irregularities")</f>
        <v>https://www.austrian.com/us/en/footer-pages/help-and-contact/application-for-compensation-in-the-event-of-flight-irregularities</v>
      </c>
      <c r="F66" s="127"/>
      <c r="G66" s="127" t="str">
        <f>IFERROR(__xludf.DUMMYFUNCTION("""COMPUTED_VALUE"""),"AUSTRIAN AIRLINES 
 Astrid Heinisch, Customer Relations, Head Office, Office Park 2 P.O. Box 33, 1300 Vienna Airport")</f>
        <v>AUSTRIAN AIRLINES 
 Astrid Heinisch, Customer Relations, Head Office, Office Park 2 P.O. Box 33, 1300 Vienna Airport</v>
      </c>
      <c r="H66" s="127"/>
      <c r="I66" s="127"/>
      <c r="J66" s="127"/>
      <c r="K66" s="127"/>
      <c r="L66" s="127"/>
      <c r="M66" s="127"/>
      <c r="N66" s="127"/>
      <c r="O66" s="127"/>
      <c r="P66" s="127"/>
      <c r="Q66" s="127"/>
      <c r="R66" s="127"/>
      <c r="S66" s="127"/>
      <c r="T66" s="127"/>
      <c r="U66" s="127"/>
      <c r="V66" s="127"/>
      <c r="W66" s="127"/>
      <c r="X66" s="127"/>
      <c r="Y66" s="127"/>
      <c r="Z66" s="127"/>
      <c r="AA66" s="127"/>
      <c r="AB66" s="127"/>
    </row>
    <row r="67">
      <c r="A67" s="31" t="str">
        <f>IFERROR(__xludf.DUMMYFUNCTION("""COMPUTED_VALUE"""),"AVIANCA (AV)")</f>
        <v>AVIANCA (AV)</v>
      </c>
      <c r="B67" s="127"/>
      <c r="C67" s="128" t="str">
        <f>IFERROR(__xludf.DUMMYFUNCTION("""COMPUTED_VALUE"""),"reclamadores.europa@avianca.com")</f>
        <v>reclamadores.europa@avianca.com</v>
      </c>
      <c r="D67" s="129" t="str">
        <f>IFERROR(__xludf.DUMMYFUNCTION("""COMPUTED_VALUE"""),"e-mail")</f>
        <v>e-mail</v>
      </c>
      <c r="E67" s="129" t="str">
        <f>IFERROR(__xludf.DUMMYFUNCTION("""COMPUTED_VALUE"""),"reclamadores.europa@avianca.com")</f>
        <v>reclamadores.europa@avianca.com</v>
      </c>
      <c r="F67" s="127"/>
      <c r="G67" s="127" t="str">
        <f>IFERROR(__xludf.DUMMYFUNCTION("""COMPUTED_VALUE"""),"reclamadores.europa@avianca.com")</f>
        <v>reclamadores.europa@avianca.com</v>
      </c>
      <c r="H67" s="127"/>
      <c r="I67" s="127"/>
      <c r="J67" s="127"/>
      <c r="K67" s="127"/>
      <c r="L67" s="127"/>
      <c r="M67" s="127"/>
      <c r="N67" s="127"/>
      <c r="O67" s="127"/>
      <c r="P67" s="127"/>
      <c r="Q67" s="127"/>
      <c r="R67" s="127"/>
      <c r="S67" s="127"/>
      <c r="T67" s="127"/>
      <c r="U67" s="127"/>
      <c r="V67" s="127"/>
      <c r="W67" s="127"/>
      <c r="X67" s="127"/>
      <c r="Y67" s="127"/>
      <c r="Z67" s="127"/>
      <c r="AA67" s="127"/>
      <c r="AB67" s="127"/>
    </row>
    <row r="68">
      <c r="A68" s="31" t="str">
        <f>IFERROR(__xludf.DUMMYFUNCTION("""COMPUTED_VALUE"""),"Avies")</f>
        <v>Avies</v>
      </c>
      <c r="B68" s="127"/>
      <c r="C68" s="128" t="str">
        <f>IFERROR(__xludf.DUMMYFUNCTION("""COMPUTED_VALUE"""),"callcenter@avies.ee - flights in Sweden, regular@avies.ee - flights in Estonia")</f>
        <v>callcenter@avies.ee - flights in Sweden, regular@avies.ee - flights in Estonia</v>
      </c>
      <c r="D68" s="129" t="str">
        <f>IFERROR(__xludf.DUMMYFUNCTION("""COMPUTED_VALUE"""),"e-mail")</f>
        <v>e-mail</v>
      </c>
      <c r="E68" s="129"/>
      <c r="F68" s="127"/>
      <c r="G68" s="127"/>
      <c r="H68" s="127"/>
      <c r="I68" s="127"/>
      <c r="J68" s="127"/>
      <c r="K68" s="127"/>
      <c r="L68" s="127"/>
      <c r="M68" s="127"/>
      <c r="N68" s="127"/>
      <c r="O68" s="127"/>
      <c r="P68" s="127"/>
      <c r="Q68" s="127"/>
      <c r="R68" s="127"/>
      <c r="S68" s="127"/>
      <c r="T68" s="127"/>
      <c r="U68" s="127"/>
      <c r="V68" s="127"/>
      <c r="W68" s="127"/>
      <c r="X68" s="127"/>
      <c r="Y68" s="127"/>
      <c r="Z68" s="127"/>
      <c r="AA68" s="127"/>
      <c r="AB68" s="127"/>
    </row>
    <row r="69">
      <c r="A69" s="31" t="str">
        <f>IFERROR(__xludf.DUMMYFUNCTION("""COMPUTED_VALUE"""),"Avion Express")</f>
        <v>Avion Express</v>
      </c>
      <c r="B69" s="127"/>
      <c r="C69" s="128" t="str">
        <f>IFERROR(__xludf.DUMMYFUNCTION("""COMPUTED_VALUE"""),"info@flyavex.com")</f>
        <v>info@flyavex.com</v>
      </c>
      <c r="D69" s="129" t="str">
        <f>IFERROR(__xludf.DUMMYFUNCTION("""COMPUTED_VALUE"""),"webform w/ attachment")</f>
        <v>webform w/ attachment</v>
      </c>
      <c r="E69" s="131" t="str">
        <f>IFERROR(__xludf.DUMMYFUNCTION("""COMPUTED_VALUE"""),"https://avionclaims.atlassian.net/servicedesk/customer/portal/1/group/1")</f>
        <v>https://avionclaims.atlassian.net/servicedesk/customer/portal/1/group/1</v>
      </c>
      <c r="F69" s="127"/>
      <c r="G69" s="127"/>
      <c r="H69" s="127"/>
      <c r="I69" s="127"/>
      <c r="J69" s="127"/>
      <c r="K69" s="127"/>
      <c r="L69" s="127"/>
      <c r="M69" s="127"/>
      <c r="N69" s="127"/>
      <c r="O69" s="127"/>
      <c r="P69" s="127"/>
      <c r="Q69" s="127"/>
      <c r="R69" s="127"/>
      <c r="S69" s="127"/>
      <c r="T69" s="127"/>
      <c r="U69" s="127"/>
      <c r="V69" s="127"/>
      <c r="W69" s="127"/>
      <c r="X69" s="127"/>
      <c r="Y69" s="127"/>
      <c r="Z69" s="127"/>
      <c r="AA69" s="127"/>
      <c r="AB69" s="127"/>
    </row>
    <row r="70">
      <c r="A70" s="31" t="str">
        <f>IFERROR(__xludf.DUMMYFUNCTION("""COMPUTED_VALUE"""),"Azerbaijan Airlines")</f>
        <v>Azerbaijan Airlines</v>
      </c>
      <c r="B70" s="127"/>
      <c r="C70" s="128" t="str">
        <f>IFERROR(__xludf.DUMMYFUNCTION("""COMPUTED_VALUE"""),"info@azal.az")</f>
        <v>info@azal.az</v>
      </c>
      <c r="D70" s="129" t="str">
        <f>IFERROR(__xludf.DUMMYFUNCTION("""COMPUTED_VALUE"""),"webform w/ attachment")</f>
        <v>webform w/ attachment</v>
      </c>
      <c r="E70" s="131" t="str">
        <f>IFERROR(__xludf.DUMMYFUNCTION("""COMPUTED_VALUE"""),"https://help.azal.az/hc/en-us/requests/new?ticket_form_id=360000014551&amp;_gl=1*1y68sfj*_gcl_au*MTM3MDcyMTM0Ni4xNzI1ODg3Mzcw")</f>
        <v>https://help.azal.az/hc/en-us/requests/new?ticket_form_id=360000014551&amp;_gl=1*1y68sfj*_gcl_au*MTM3MDcyMTM0Ni4xNzI1ODg3Mzcw</v>
      </c>
      <c r="F70" s="127"/>
      <c r="G70" s="127"/>
      <c r="H70" s="127"/>
      <c r="I70" s="127"/>
      <c r="J70" s="127"/>
      <c r="K70" s="127"/>
      <c r="L70" s="127"/>
      <c r="M70" s="127"/>
      <c r="N70" s="127"/>
      <c r="O70" s="127"/>
      <c r="P70" s="127"/>
      <c r="Q70" s="127"/>
      <c r="R70" s="127"/>
      <c r="S70" s="127"/>
      <c r="T70" s="127"/>
      <c r="U70" s="127"/>
      <c r="V70" s="127"/>
      <c r="W70" s="127"/>
      <c r="X70" s="127"/>
      <c r="Y70" s="127"/>
      <c r="Z70" s="127"/>
      <c r="AA70" s="127"/>
      <c r="AB70" s="127"/>
    </row>
    <row r="71">
      <c r="A71" s="31" t="str">
        <f>IFERROR(__xludf.DUMMYFUNCTION("""COMPUTED_VALUE"""),"Azul Brazilian Airlines")</f>
        <v>Azul Brazilian Airlines</v>
      </c>
      <c r="B71" s="127"/>
      <c r="C71" s="128" t="str">
        <f>IFERROR(__xludf.DUMMYFUNCTION("""COMPUTED_VALUE"""),"voeazul@service-now.com")</f>
        <v>voeazul@service-now.com</v>
      </c>
      <c r="D71" s="129" t="str">
        <f>IFERROR(__xludf.DUMMYFUNCTION("""COMPUTED_VALUE"""),"email")</f>
        <v>email</v>
      </c>
      <c r="E71" s="129" t="str">
        <f>IFERROR(__xludf.DUMMYFUNCTION("""COMPUTED_VALUE"""),"voeazul@service-now.com")</f>
        <v>voeazul@service-now.com</v>
      </c>
      <c r="F71" s="127"/>
      <c r="G71" s="127"/>
      <c r="H71" s="127"/>
      <c r="I71" s="127"/>
      <c r="J71" s="127"/>
      <c r="K71" s="127"/>
      <c r="L71" s="127"/>
      <c r="M71" s="127"/>
      <c r="N71" s="127"/>
      <c r="O71" s="127"/>
      <c r="P71" s="127"/>
      <c r="Q71" s="127"/>
      <c r="R71" s="127"/>
      <c r="S71" s="127"/>
      <c r="T71" s="127"/>
      <c r="U71" s="127"/>
      <c r="V71" s="127"/>
      <c r="W71" s="127"/>
      <c r="X71" s="127"/>
      <c r="Y71" s="127"/>
      <c r="Z71" s="127"/>
      <c r="AA71" s="127"/>
      <c r="AB71" s="127"/>
    </row>
    <row r="72">
      <c r="A72" s="31" t="str">
        <f>IFERROR(__xludf.DUMMYFUNCTION("""COMPUTED_VALUE"""),"Bees Airline (7B)")</f>
        <v>Bees Airline (7B)</v>
      </c>
      <c r="B72" s="127" t="str">
        <f>IFERROR(__xludf.DUMMYFUNCTION("""COMPUTED_VALUE"""),"Ceased operation")</f>
        <v>Ceased operation</v>
      </c>
      <c r="C72" s="128" t="str">
        <f>IFERROR(__xludf.DUMMYFUNCTION("""COMPUTED_VALUE"""),"info@bees.aero")</f>
        <v>info@bees.aero</v>
      </c>
      <c r="D72" s="129" t="str">
        <f>IFERROR(__xludf.DUMMYFUNCTION("""COMPUTED_VALUE"""),"email")</f>
        <v>email</v>
      </c>
      <c r="E72" s="129" t="str">
        <f>IFERROR(__xludf.DUMMYFUNCTION("""COMPUTED_VALUE"""),"info@bees.aero")</f>
        <v>info@bees.aero</v>
      </c>
      <c r="F72" s="127" t="str">
        <f>IFERROR(__xludf.DUMMYFUNCTION("""COMPUTED_VALUE"""),"Currently not operating, all the bees we are reciving are Bees airlines Romania")</f>
        <v>Currently not operating, all the bees we are reciving are Bees airlines Romania</v>
      </c>
      <c r="G72" s="127"/>
      <c r="H72" s="127"/>
      <c r="I72" s="127"/>
      <c r="J72" s="127"/>
      <c r="K72" s="127"/>
      <c r="L72" s="127"/>
      <c r="M72" s="127"/>
      <c r="N72" s="127"/>
      <c r="O72" s="127"/>
      <c r="P72" s="127"/>
      <c r="Q72" s="127"/>
      <c r="R72" s="127"/>
      <c r="S72" s="127"/>
      <c r="T72" s="127"/>
      <c r="U72" s="127"/>
      <c r="V72" s="127"/>
      <c r="W72" s="127"/>
      <c r="X72" s="127"/>
      <c r="Y72" s="127"/>
      <c r="Z72" s="127"/>
      <c r="AA72" s="127"/>
      <c r="AB72" s="127"/>
    </row>
    <row r="73">
      <c r="A73" s="31" t="str">
        <f>IFERROR(__xludf.DUMMYFUNCTION("""COMPUTED_VALUE"""),"Bees Airlines Romania (E8)")</f>
        <v>Bees Airlines Romania (E8)</v>
      </c>
      <c r="B73" s="127" t="str">
        <f>IFERROR(__xludf.DUMMYFUNCTION("""COMPUTED_VALUE"""),"Ceased operation")</f>
        <v>Ceased operation</v>
      </c>
      <c r="C73" s="128" t="str">
        <f>IFERROR(__xludf.DUMMYFUNCTION("""COMPUTED_VALUE"""),"claims@beesromania.aero")</f>
        <v>claims@beesromania.aero</v>
      </c>
      <c r="D73" s="129" t="str">
        <f>IFERROR(__xludf.DUMMYFUNCTION("""COMPUTED_VALUE"""),"email")</f>
        <v>email</v>
      </c>
      <c r="E73" s="129" t="str">
        <f>IFERROR(__xludf.DUMMYFUNCTION("""COMPUTED_VALUE"""),"claims@beesromania.aero")</f>
        <v>claims@beesromania.aero</v>
      </c>
      <c r="F73" s="127"/>
      <c r="G73" s="127"/>
      <c r="H73" s="127"/>
      <c r="I73" s="127"/>
      <c r="J73" s="127"/>
      <c r="K73" s="127"/>
      <c r="L73" s="127"/>
      <c r="M73" s="127"/>
      <c r="N73" s="127"/>
      <c r="O73" s="127"/>
      <c r="P73" s="127"/>
      <c r="Q73" s="127"/>
      <c r="R73" s="127"/>
      <c r="S73" s="127"/>
      <c r="T73" s="127"/>
      <c r="U73" s="127"/>
      <c r="V73" s="127"/>
      <c r="W73" s="127"/>
      <c r="X73" s="127"/>
      <c r="Y73" s="127"/>
      <c r="Z73" s="127"/>
      <c r="AA73" s="127"/>
      <c r="AB73" s="127"/>
    </row>
    <row r="74">
      <c r="A74" s="31" t="str">
        <f>IFERROR(__xludf.DUMMYFUNCTION("""COMPUTED_VALUE"""),"Biman Bangladesh Airlines (BG)")</f>
        <v>Biman Bangladesh Airlines (BG)</v>
      </c>
      <c r="B74" s="127"/>
      <c r="C74" s="128" t="str">
        <f>IFERROR(__xludf.DUMMYFUNCTION("""COMPUTED_VALUE"""),"ibebiman@biman.gov.bd")</f>
        <v>ibebiman@biman.gov.bd</v>
      </c>
      <c r="D74" s="129" t="str">
        <f>IFERROR(__xludf.DUMMYFUNCTION("""COMPUTED_VALUE"""),"email")</f>
        <v>email</v>
      </c>
      <c r="E74" s="129" t="str">
        <f>IFERROR(__xludf.DUMMYFUNCTION("""COMPUTED_VALUE"""),"ibebiman@biman.gov.bd")</f>
        <v>ibebiman@biman.gov.bd</v>
      </c>
      <c r="F74" s="127"/>
      <c r="G74" s="127"/>
      <c r="H74" s="127"/>
      <c r="I74" s="127"/>
      <c r="J74" s="127"/>
      <c r="K74" s="127"/>
      <c r="L74" s="127"/>
      <c r="M74" s="127"/>
      <c r="N74" s="127"/>
      <c r="O74" s="127"/>
      <c r="P74" s="127"/>
      <c r="Q74" s="127"/>
      <c r="R74" s="127"/>
      <c r="S74" s="127"/>
      <c r="T74" s="127"/>
      <c r="U74" s="127"/>
      <c r="V74" s="127"/>
      <c r="W74" s="127"/>
      <c r="X74" s="127"/>
      <c r="Y74" s="127"/>
      <c r="Z74" s="127"/>
      <c r="AA74" s="127"/>
      <c r="AB74" s="127"/>
    </row>
    <row r="75">
      <c r="A75" s="31" t="str">
        <f>IFERROR(__xludf.DUMMYFUNCTION("""COMPUTED_VALUE"""),"BinterCanarias")</f>
        <v>BinterCanarias</v>
      </c>
      <c r="B75" s="127"/>
      <c r="C75" s="128" t="str">
        <f>IFERROR(__xludf.DUMMYFUNCTION("""COMPUTED_VALUE"""),"atencionclientes@bintercanarias.com")</f>
        <v>atencionclientes@bintercanarias.com</v>
      </c>
      <c r="D75" s="129" t="str">
        <f>IFERROR(__xludf.DUMMYFUNCTION("""COMPUTED_VALUE"""),"webform w/ attachment")</f>
        <v>webform w/ attachment</v>
      </c>
      <c r="E75" s="131" t="str">
        <f>IFERROR(__xludf.DUMMYFUNCTION("""COMPUTED_VALUE"""),"https://www.bintercanarias.com/en/contact-form")</f>
        <v>https://www.bintercanarias.com/en/contact-form</v>
      </c>
      <c r="F75" s="127" t="str">
        <f>IFERROR(__xludf.DUMMYFUNCTION("""COMPUTED_VALUE"""),"Passport")</f>
        <v>Passport</v>
      </c>
      <c r="G75" s="127"/>
      <c r="H75" s="127"/>
      <c r="I75" s="127"/>
      <c r="J75" s="127"/>
      <c r="K75" s="127"/>
      <c r="L75" s="127"/>
      <c r="M75" s="127"/>
      <c r="N75" s="127"/>
      <c r="O75" s="127"/>
      <c r="P75" s="127"/>
      <c r="Q75" s="127"/>
      <c r="R75" s="127"/>
      <c r="S75" s="127"/>
      <c r="T75" s="127"/>
      <c r="U75" s="127"/>
      <c r="V75" s="127"/>
      <c r="W75" s="127"/>
      <c r="X75" s="127"/>
      <c r="Y75" s="127"/>
      <c r="Z75" s="127"/>
      <c r="AA75" s="127"/>
      <c r="AB75" s="127"/>
    </row>
    <row r="76">
      <c r="A76" s="31" t="str">
        <f>IFERROR(__xludf.DUMMYFUNCTION("""COMPUTED_VALUE"""),"Bluebird Airways")</f>
        <v>Bluebird Airways</v>
      </c>
      <c r="B76" s="127"/>
      <c r="C76" s="128" t="str">
        <f>IFERROR(__xludf.DUMMYFUNCTION("""COMPUTED_VALUE"""),"commercial@bluebirdair.com")</f>
        <v>commercial@bluebirdair.com</v>
      </c>
      <c r="D76" s="129" t="str">
        <f>IFERROR(__xludf.DUMMYFUNCTION("""COMPUTED_VALUE"""),"email")</f>
        <v>email</v>
      </c>
      <c r="E76" s="129" t="str">
        <f>IFERROR(__xludf.DUMMYFUNCTION("""COMPUTED_VALUE"""),"bookings@bluebirdair.com")</f>
        <v>bookings@bluebirdair.com</v>
      </c>
      <c r="F76" s="127"/>
      <c r="G76" s="127"/>
      <c r="H76" s="127"/>
      <c r="I76" s="127"/>
      <c r="J76" s="127"/>
      <c r="K76" s="127"/>
      <c r="L76" s="127"/>
      <c r="M76" s="127"/>
      <c r="N76" s="127"/>
      <c r="O76" s="127"/>
      <c r="P76" s="127"/>
      <c r="Q76" s="127"/>
      <c r="R76" s="127"/>
      <c r="S76" s="127"/>
      <c r="T76" s="127"/>
      <c r="U76" s="127"/>
      <c r="V76" s="127"/>
      <c r="W76" s="127"/>
      <c r="X76" s="127"/>
      <c r="Y76" s="127"/>
      <c r="Z76" s="127"/>
      <c r="AA76" s="127"/>
      <c r="AB76" s="127"/>
    </row>
    <row r="77">
      <c r="A77" s="31" t="str">
        <f>IFERROR(__xludf.DUMMYFUNCTION("""COMPUTED_VALUE"""),"Blue Islands (SI)")</f>
        <v>Blue Islands (SI)</v>
      </c>
      <c r="B77" s="127" t="str">
        <f>IFERROR(__xludf.DUMMYFUNCTION("""COMPUTED_VALUE"""),"Ceased operations 17 Nov, 2025")</f>
        <v>Ceased operations 17 Nov, 2025</v>
      </c>
      <c r="C77" s="128" t="str">
        <f>IFERROR(__xludf.DUMMYFUNCTION("""COMPUTED_VALUE"""),"customercare@blueislands.com")</f>
        <v>customercare@blueislands.com</v>
      </c>
      <c r="D77" s="129" t="str">
        <f>IFERROR(__xludf.DUMMYFUNCTION("""COMPUTED_VALUE"""),"e-mail")</f>
        <v>e-mail</v>
      </c>
      <c r="E77" s="129" t="str">
        <f>IFERROR(__xludf.DUMMYFUNCTION("""COMPUTED_VALUE"""),"customercare@blueislands.com")</f>
        <v>customercare@blueislands.com</v>
      </c>
      <c r="F77" s="127" t="str">
        <f>IFERROR(__xludf.DUMMYFUNCTION("""COMPUTED_VALUE"""),"Ceased operations 17 Nov, 2025")</f>
        <v>Ceased operations 17 Nov, 2025</v>
      </c>
      <c r="G77" s="127"/>
      <c r="H77" s="127" t="str">
        <f>IFERROR(__xludf.DUMMYFUNCTION("""COMPUTED_VALUE"""),"Blue Islands Customer Care, Jersey Airport, St.Peter, Jersey, JE3 7BP")</f>
        <v>Blue Islands Customer Care, Jersey Airport, St.Peter, Jersey, JE3 7BP</v>
      </c>
      <c r="I77" s="127"/>
      <c r="J77" s="127"/>
      <c r="K77" s="127"/>
      <c r="L77" s="127"/>
      <c r="M77" s="127"/>
      <c r="N77" s="127"/>
      <c r="O77" s="127"/>
      <c r="P77" s="127"/>
      <c r="Q77" s="127"/>
      <c r="R77" s="127"/>
      <c r="S77" s="127"/>
      <c r="T77" s="127"/>
      <c r="U77" s="127"/>
      <c r="V77" s="127"/>
      <c r="W77" s="127"/>
      <c r="X77" s="127"/>
      <c r="Y77" s="127"/>
      <c r="Z77" s="127"/>
      <c r="AA77" s="127"/>
      <c r="AB77" s="127"/>
    </row>
    <row r="78">
      <c r="A78" s="31" t="str">
        <f>IFERROR(__xludf.DUMMYFUNCTION("""COMPUTED_VALUE"""),"Blue Air ")</f>
        <v>Blue Air </v>
      </c>
      <c r="B78" s="127" t="str">
        <f>IFERROR(__xludf.DUMMYFUNCTION("""COMPUTED_VALUE"""),"Ceased operation")</f>
        <v>Ceased operation</v>
      </c>
      <c r="C78" s="128"/>
      <c r="D78" s="129"/>
      <c r="E78" s="129"/>
      <c r="F78" s="127"/>
      <c r="G78" s="127"/>
      <c r="H78" s="127"/>
      <c r="I78" s="127"/>
      <c r="J78" s="127"/>
      <c r="K78" s="127"/>
      <c r="L78" s="127"/>
      <c r="M78" s="127"/>
      <c r="N78" s="127"/>
      <c r="O78" s="127"/>
      <c r="P78" s="127"/>
      <c r="Q78" s="127"/>
      <c r="R78" s="127"/>
      <c r="S78" s="127"/>
      <c r="T78" s="127"/>
      <c r="U78" s="127"/>
      <c r="V78" s="127"/>
      <c r="W78" s="127"/>
      <c r="X78" s="127"/>
      <c r="Y78" s="127"/>
      <c r="Z78" s="127"/>
      <c r="AA78" s="127"/>
      <c r="AB78" s="127"/>
    </row>
    <row r="79">
      <c r="A79" s="31" t="str">
        <f>IFERROR(__xludf.DUMMYFUNCTION("""COMPUTED_VALUE"""),"BoA Boliviana de Aviacion (OB)")</f>
        <v>BoA Boliviana de Aviacion (OB)</v>
      </c>
      <c r="B79" s="127"/>
      <c r="C79" s="128" t="str">
        <f>IFERROR(__xludf.DUMMYFUNCTION("""COMPUTED_VALUE"""),"ventasweb@boa.bo")</f>
        <v>ventasweb@boa.bo</v>
      </c>
      <c r="D79" s="129" t="str">
        <f>IFERROR(__xludf.DUMMYFUNCTION("""COMPUTED_VALUE"""),"e-mail")</f>
        <v>e-mail</v>
      </c>
      <c r="E79" s="129" t="str">
        <f>IFERROR(__xludf.DUMMYFUNCTION("""COMPUTED_VALUE"""),"ventasmia@boa.bo (USA), sac@boa.bo ( Bolivia), madsac@boa.bo (Spain)")</f>
        <v>ventasmia@boa.bo (USA), sac@boa.bo ( Bolivia), madsac@boa.bo (Spain)</v>
      </c>
      <c r="F79" s="127"/>
      <c r="G79" s="127"/>
      <c r="H79" s="127"/>
      <c r="I79" s="127"/>
      <c r="J79" s="127"/>
      <c r="K79" s="127"/>
      <c r="L79" s="127"/>
      <c r="M79" s="127"/>
      <c r="N79" s="127"/>
      <c r="O79" s="127"/>
      <c r="P79" s="127"/>
      <c r="Q79" s="127"/>
      <c r="R79" s="127"/>
      <c r="S79" s="127"/>
      <c r="T79" s="127"/>
      <c r="U79" s="127"/>
      <c r="V79" s="127"/>
      <c r="W79" s="127"/>
      <c r="X79" s="127"/>
      <c r="Y79" s="127"/>
      <c r="Z79" s="127"/>
      <c r="AA79" s="127"/>
      <c r="AB79" s="127"/>
    </row>
    <row r="80">
      <c r="A80" s="31" t="str">
        <f>IFERROR(__xludf.DUMMYFUNCTION("""COMPUTED_VALUE"""),"Braathens Regional")</f>
        <v>Braathens Regional</v>
      </c>
      <c r="B80" s="127"/>
      <c r="C80" s="128" t="str">
        <f>IFERROR(__xludf.DUMMYFUNCTION("""COMPUTED_VALUE"""),"kundcenter@flygbra.se")</f>
        <v>kundcenter@flygbra.se</v>
      </c>
      <c r="D80" s="129" t="str">
        <f>IFERROR(__xludf.DUMMYFUNCTION("""COMPUTED_VALUE"""),"webform")</f>
        <v>webform</v>
      </c>
      <c r="E80" s="131" t="str">
        <f>IFERROR(__xludf.DUMMYFUNCTION("""COMPUTED_VALUE"""),"https://artvise.flygbra.se/eservice/MyPages.aspx?page=Catalog&amp;menuitemid=mainmenuitem_00000000000000000000000000000001")</f>
        <v>https://artvise.flygbra.se/eservice/MyPages.aspx?page=Catalog&amp;menuitemid=mainmenuitem_00000000000000000000000000000001</v>
      </c>
      <c r="F80" s="127"/>
      <c r="G80" s="127"/>
      <c r="H80" s="127"/>
      <c r="I80" s="127"/>
      <c r="J80" s="127"/>
      <c r="K80" s="127"/>
      <c r="L80" s="127"/>
      <c r="M80" s="127"/>
      <c r="N80" s="127"/>
      <c r="O80" s="127"/>
      <c r="P80" s="127"/>
      <c r="Q80" s="127"/>
      <c r="R80" s="127"/>
      <c r="S80" s="127"/>
      <c r="T80" s="127"/>
      <c r="U80" s="127"/>
      <c r="V80" s="127"/>
      <c r="W80" s="127"/>
      <c r="X80" s="127"/>
      <c r="Y80" s="127"/>
      <c r="Z80" s="127"/>
      <c r="AA80" s="127"/>
      <c r="AB80" s="127"/>
    </row>
    <row r="81">
      <c r="A81" s="31" t="str">
        <f>IFERROR(__xludf.DUMMYFUNCTION("""COMPUTED_VALUE"""),"British Airways (BA)")</f>
        <v>British Airways (BA)</v>
      </c>
      <c r="B81" s="127"/>
      <c r="C81" s="128" t="str">
        <f>IFERROR(__xludf.DUMMYFUNCTION("""COMPUTED_VALUE"""),"gsrreplies@contact.britishairways.com")</f>
        <v>gsrreplies@contact.britishairways.com</v>
      </c>
      <c r="D81" s="129" t="str">
        <f>IFERROR(__xludf.DUMMYFUNCTION("""COMPUTED_VALUE"""),"webform w/ attachment")</f>
        <v>webform w/ attachment</v>
      </c>
      <c r="E81" s="129" t="str">
        <f>IFERROR(__xludf.DUMMYFUNCTION("""COMPUTED_VALUE"""),"https://www.britishairways.com/travel/feedbackclaims/public/en_es/select   For tracking old case: https://www.britishairways.com/travel/feedbackclaims/public/en_es/select")</f>
        <v>https://www.britishairways.com/travel/feedbackclaims/public/en_es/select   For tracking old case: https://www.britishairways.com/travel/feedbackclaims/public/en_es/select</v>
      </c>
      <c r="F81" s="127"/>
      <c r="G81" s="127" t="str">
        <f>IFERROR(__xludf.DUMMYFUNCTION("""COMPUTED_VALUE"""),"PL,HU,CZ,SK: British Airways Customer Relations
 Stefanikova 22
 811 05 Bratislava
 Slovak Republic UK-US-DK: British Airways
 Customer Relations (S506)
 PO Box 5619
 Sudbury
 Suffolk
 CO10 2PG")</f>
        <v>PL,HU,CZ,SK: British Airways Customer Relations
 Stefanikova 22
 811 05 Bratislava
 Slovak Republic UK-US-DK: British Airways
 Customer Relations (S506)
 PO Box 5619
 Sudbury
 Suffolk
 CO10 2PG</v>
      </c>
      <c r="H81" s="127" t="str">
        <f>IFERROR(__xludf.DUMMYFUNCTION("""COMPUTED_VALUE"""),"To claim compensation for flights operated by our franchisee, SUN-AIR (flight numbers BA8200 to BA8299), please write to:
 SUN-AIR of Scandinavia A/S
 Customer Relations
 Cumulusvej 10
 Billund DK-7190
 Denmark")</f>
        <v>To claim compensation for flights operated by our franchisee, SUN-AIR (flight numbers BA8200 to BA8299), please write to:
 SUN-AIR of Scandinavia A/S
 Customer Relations
 Cumulusvej 10
 Billund DK-7190
 Denmark</v>
      </c>
      <c r="I81" s="127"/>
      <c r="J81" s="127"/>
      <c r="K81" s="127"/>
      <c r="L81" s="127"/>
      <c r="M81" s="127"/>
      <c r="N81" s="127"/>
      <c r="O81" s="127"/>
      <c r="P81" s="127"/>
      <c r="Q81" s="127"/>
      <c r="R81" s="127"/>
      <c r="S81" s="127"/>
      <c r="T81" s="127"/>
      <c r="U81" s="127"/>
      <c r="V81" s="127"/>
      <c r="W81" s="127"/>
      <c r="X81" s="127"/>
      <c r="Y81" s="127"/>
      <c r="Z81" s="127"/>
      <c r="AA81" s="127"/>
      <c r="AB81" s="127"/>
    </row>
    <row r="82">
      <c r="A82" s="31" t="str">
        <f>IFERROR(__xludf.DUMMYFUNCTION("""COMPUTED_VALUE"""),"Brussels Airlines (SN)")</f>
        <v>Brussels Airlines (SN)</v>
      </c>
      <c r="B82" s="127"/>
      <c r="C82" s="128" t="str">
        <f>IFERROR(__xludf.DUMMYFUNCTION("""COMPUTED_VALUE"""),"customer.relations@brusselsairlines.com")</f>
        <v>customer.relations@brusselsairlines.com</v>
      </c>
      <c r="D82" s="129" t="str">
        <f>IFERROR(__xludf.DUMMYFUNCTION("""COMPUTED_VALUE"""),"webform w/ attachment")</f>
        <v>webform w/ attachment</v>
      </c>
      <c r="E82" s="131" t="str">
        <f>IFERROR(__xludf.DUMMYFUNCTION("""COMPUTED_VALUE"""),"https://www.brusselsairlines.com/be/en/contact/feedback/general/delays-and-cancellation")</f>
        <v>https://www.brusselsairlines.com/be/en/contact/feedback/general/delays-and-cancellation</v>
      </c>
      <c r="F82" s="127"/>
      <c r="G82" s="127"/>
      <c r="H82" s="127"/>
      <c r="I82" s="127"/>
      <c r="J82" s="127"/>
      <c r="K82" s="127"/>
      <c r="L82" s="127"/>
      <c r="M82" s="127"/>
      <c r="N82" s="127"/>
      <c r="O82" s="127"/>
      <c r="P82" s="127"/>
      <c r="Q82" s="127"/>
      <c r="R82" s="127"/>
      <c r="S82" s="127"/>
      <c r="T82" s="127"/>
      <c r="U82" s="127"/>
      <c r="V82" s="127"/>
      <c r="W82" s="127"/>
      <c r="X82" s="127"/>
      <c r="Y82" s="127"/>
      <c r="Z82" s="127"/>
      <c r="AA82" s="127"/>
      <c r="AB82" s="127"/>
    </row>
    <row r="83">
      <c r="A83" s="31" t="str">
        <f>IFERROR(__xludf.DUMMYFUNCTION("""COMPUTED_VALUE"""),"Bulgaria Air (FB)")</f>
        <v>Bulgaria Air (FB)</v>
      </c>
      <c r="B83" s="127"/>
      <c r="C83" s="128" t="str">
        <f>IFERROR(__xludf.DUMMYFUNCTION("""COMPUTED_VALUE"""),"crFB@air.bg")</f>
        <v>crFB@air.bg</v>
      </c>
      <c r="D83" s="129" t="str">
        <f>IFERROR(__xludf.DUMMYFUNCTION("""COMPUTED_VALUE"""),"webform w/ attachment")</f>
        <v>webform w/ attachment</v>
      </c>
      <c r="E83" s="131" t="str">
        <f>IFERROR(__xludf.DUMMYFUNCTION("""COMPUTED_VALUE"""),"https://claims.air.bg/")</f>
        <v>https://claims.air.bg/</v>
      </c>
      <c r="F83" s="127" t="str">
        <f>IFERROR(__xludf.DUMMYFUNCTION("""COMPUTED_VALUE"""),"Log in: legal@refly.org Password: Fkk4erdF")</f>
        <v>Log in: legal@refly.org Password: Fkk4erdF</v>
      </c>
      <c r="G83" s="127"/>
      <c r="H83" s="127"/>
      <c r="I83" s="127"/>
      <c r="J83" s="127"/>
      <c r="K83" s="127"/>
      <c r="L83" s="127"/>
      <c r="M83" s="127"/>
      <c r="N83" s="127"/>
      <c r="O83" s="127"/>
      <c r="P83" s="127"/>
      <c r="Q83" s="127"/>
      <c r="R83" s="127"/>
      <c r="S83" s="127"/>
      <c r="T83" s="127"/>
      <c r="U83" s="127"/>
      <c r="V83" s="127"/>
      <c r="W83" s="127"/>
      <c r="X83" s="127"/>
      <c r="Y83" s="127"/>
      <c r="Z83" s="127"/>
      <c r="AA83" s="127"/>
      <c r="AB83" s="127"/>
    </row>
    <row r="84">
      <c r="A84" s="31" t="str">
        <f>IFERROR(__xludf.DUMMYFUNCTION("""COMPUTED_VALUE"""),"Buzz airlines")</f>
        <v>Buzz airlines</v>
      </c>
      <c r="B84" s="127"/>
      <c r="C84" s="128" t="str">
        <f>IFERROR(__xludf.DUMMYFUNCTION("""COMPUTED_VALUE"""),"cssupport.ryanairsun@ryanair.com")</f>
        <v>cssupport.ryanairsun@ryanair.com</v>
      </c>
      <c r="D84" s="129" t="str">
        <f>IFERROR(__xludf.DUMMYFUNCTION("""COMPUTED_VALUE"""),"webform w/o attachment")</f>
        <v>webform w/o attachment</v>
      </c>
      <c r="E84" s="131" t="str">
        <f>IFERROR(__xludf.DUMMYFUNCTION("""COMPUTED_VALUE"""),"https://onlineform.buzzair.com/us/en/eu-261")</f>
        <v>https://onlineform.buzzair.com/us/en/eu-261</v>
      </c>
      <c r="F84" s="127"/>
      <c r="G84" s="127"/>
      <c r="H84" s="127"/>
      <c r="I84" s="127"/>
      <c r="J84" s="127"/>
      <c r="K84" s="127"/>
      <c r="L84" s="127"/>
      <c r="M84" s="127"/>
      <c r="N84" s="127"/>
      <c r="O84" s="127"/>
      <c r="P84" s="127"/>
      <c r="Q84" s="127"/>
      <c r="R84" s="127"/>
      <c r="S84" s="127"/>
      <c r="T84" s="127"/>
      <c r="U84" s="127"/>
      <c r="V84" s="127"/>
      <c r="W84" s="127"/>
      <c r="X84" s="127"/>
      <c r="Y84" s="127"/>
      <c r="Z84" s="127"/>
      <c r="AA84" s="127"/>
      <c r="AB84" s="127"/>
    </row>
    <row r="85">
      <c r="A85" s="31" t="str">
        <f>IFERROR(__xludf.DUMMYFUNCTION("""COMPUTED_VALUE"""),"Camair-Co (QC)")</f>
        <v>Camair-Co (QC)</v>
      </c>
      <c r="B85" s="127"/>
      <c r="C85" s="128" t="str">
        <f>IFERROR(__xludf.DUMMYFUNCTION("""COMPUTED_VALUE"""),"customerservice@camair-co.net")</f>
        <v>customerservice@camair-co.net</v>
      </c>
      <c r="D85" s="129" t="str">
        <f>IFERROR(__xludf.DUMMYFUNCTION("""COMPUTED_VALUE"""),"e-mail")</f>
        <v>e-mail</v>
      </c>
      <c r="E85" s="129" t="str">
        <f>IFERROR(__xludf.DUMMYFUNCTION("""COMPUTED_VALUE"""),"customerservice@camair-co.net")</f>
        <v>customerservice@camair-co.net</v>
      </c>
      <c r="F85" s="127"/>
      <c r="G85" s="127"/>
      <c r="H85" s="127"/>
      <c r="I85" s="127"/>
      <c r="J85" s="127"/>
      <c r="K85" s="127"/>
      <c r="L85" s="127"/>
      <c r="M85" s="127"/>
      <c r="N85" s="127"/>
      <c r="O85" s="127"/>
      <c r="P85" s="127"/>
      <c r="Q85" s="127"/>
      <c r="R85" s="127"/>
      <c r="S85" s="127"/>
      <c r="T85" s="127"/>
      <c r="U85" s="127"/>
      <c r="V85" s="127"/>
      <c r="W85" s="127"/>
      <c r="X85" s="127"/>
      <c r="Y85" s="127"/>
      <c r="Z85" s="127"/>
      <c r="AA85" s="127"/>
      <c r="AB85" s="127"/>
    </row>
    <row r="86">
      <c r="A86" s="31" t="str">
        <f>IFERROR(__xludf.DUMMYFUNCTION("""COMPUTED_VALUE"""),"Canaryfly")</f>
        <v>Canaryfly</v>
      </c>
      <c r="B86" s="127"/>
      <c r="C86" s="128" t="str">
        <f>IFERROR(__xludf.DUMMYFUNCTION("""COMPUTED_VALUE"""),"rrss@canaryfly.es")</f>
        <v>rrss@canaryfly.es</v>
      </c>
      <c r="D86" s="129" t="str">
        <f>IFERROR(__xludf.DUMMYFUNCTION("""COMPUTED_VALUE"""),"webform w/ attachment")</f>
        <v>webform w/ attachment</v>
      </c>
      <c r="E86" s="131" t="str">
        <f>IFERROR(__xludf.DUMMYFUNCTION("""COMPUTED_VALUE"""),"https://www.canaryfly.es/informacion#nosotros4")</f>
        <v>https://www.canaryfly.es/informacion#nosotros4</v>
      </c>
      <c r="F86" s="127" t="str">
        <f>IFERROR(__xludf.DUMMYFUNCTION("""COMPUTED_VALUE"""),"ID/Passport number")</f>
        <v>ID/Passport number</v>
      </c>
      <c r="G86" s="127"/>
      <c r="H86" s="127"/>
      <c r="I86" s="127"/>
      <c r="J86" s="127"/>
      <c r="K86" s="127"/>
      <c r="L86" s="127"/>
      <c r="M86" s="127"/>
      <c r="N86" s="127"/>
      <c r="O86" s="127"/>
      <c r="P86" s="127"/>
      <c r="Q86" s="127"/>
      <c r="R86" s="127"/>
      <c r="S86" s="127"/>
      <c r="T86" s="127"/>
      <c r="U86" s="127"/>
      <c r="V86" s="127"/>
      <c r="W86" s="127"/>
      <c r="X86" s="127"/>
      <c r="Y86" s="127"/>
      <c r="Z86" s="127"/>
      <c r="AA86" s="127"/>
      <c r="AB86" s="127"/>
    </row>
    <row r="87">
      <c r="A87" s="31" t="str">
        <f>IFERROR(__xludf.DUMMYFUNCTION("""COMPUTED_VALUE"""),"Cathay Pacific (CX)")</f>
        <v>Cathay Pacific (CX)</v>
      </c>
      <c r="B87" s="127"/>
      <c r="C87" s="128" t="str">
        <f>IFERROR(__xludf.DUMMYFUNCTION("""COMPUTED_VALUE"""),"eservice@cathaypacific.com")</f>
        <v>eservice@cathaypacific.com</v>
      </c>
      <c r="D87" s="129" t="str">
        <f>IFERROR(__xludf.DUMMYFUNCTION("""COMPUTED_VALUE"""),"webform w/o attachment")</f>
        <v>webform w/o attachment</v>
      </c>
      <c r="E87" s="131" t="str">
        <f>IFERROR(__xludf.DUMMYFUNCTION("""COMPUTED_VALUE"""),"https://www.cathaypacific.com/cx/en_US/contact-us/complaints-and-suggestions.html")</f>
        <v>https://www.cathaypacific.com/cx/en_US/contact-us/complaints-and-suggestions.html</v>
      </c>
      <c r="F87" s="127"/>
      <c r="G87" s="127"/>
      <c r="H87" s="127"/>
      <c r="I87" s="127"/>
      <c r="J87" s="127"/>
      <c r="K87" s="127"/>
      <c r="L87" s="127"/>
      <c r="M87" s="127"/>
      <c r="N87" s="127"/>
      <c r="O87" s="127"/>
      <c r="P87" s="127"/>
      <c r="Q87" s="127"/>
      <c r="R87" s="127"/>
      <c r="S87" s="127"/>
      <c r="T87" s="127"/>
      <c r="U87" s="127"/>
      <c r="V87" s="127"/>
      <c r="W87" s="127"/>
      <c r="X87" s="127"/>
      <c r="Y87" s="127"/>
      <c r="Z87" s="127"/>
      <c r="AA87" s="127"/>
      <c r="AB87" s="127"/>
    </row>
    <row r="88">
      <c r="A88" s="31" t="str">
        <f>IFERROR(__xludf.DUMMYFUNCTION("""COMPUTED_VALUE"""),"Chair airlines")</f>
        <v>Chair airlines</v>
      </c>
      <c r="B88" s="127"/>
      <c r="C88" s="128" t="str">
        <f>IFERROR(__xludf.DUMMYFUNCTION("""COMPUTED_VALUE"""),"servicecenter@chair.ch")</f>
        <v>servicecenter@chair.ch</v>
      </c>
      <c r="D88" s="129" t="str">
        <f>IFERROR(__xludf.DUMMYFUNCTION("""COMPUTED_VALUE"""),"webform w/o attachment")</f>
        <v>webform w/o attachment</v>
      </c>
      <c r="E88" s="131" t="str">
        <f>IFERROR(__xludf.DUMMYFUNCTION("""COMPUTED_VALUE"""),"https://www.chair.ch/en/ngcommons/ngcontact/")</f>
        <v>https://www.chair.ch/en/ngcommons/ngcontact/</v>
      </c>
      <c r="F88" s="127"/>
      <c r="G88" s="127"/>
      <c r="H88" s="127"/>
      <c r="I88" s="127"/>
      <c r="J88" s="127"/>
      <c r="K88" s="127"/>
      <c r="L88" s="127"/>
      <c r="M88" s="127"/>
      <c r="N88" s="127"/>
      <c r="O88" s="127"/>
      <c r="P88" s="127"/>
      <c r="Q88" s="127"/>
      <c r="R88" s="127"/>
      <c r="S88" s="127"/>
      <c r="T88" s="127"/>
      <c r="U88" s="127"/>
      <c r="V88" s="127"/>
      <c r="W88" s="127"/>
      <c r="X88" s="127"/>
      <c r="Y88" s="127"/>
      <c r="Z88" s="127"/>
      <c r="AA88" s="127"/>
      <c r="AB88" s="127"/>
    </row>
    <row r="89">
      <c r="A89" s="31" t="str">
        <f>IFERROR(__xludf.DUMMYFUNCTION("""COMPUTED_VALUE"""),"China Eastern Airlines")</f>
        <v>China Eastern Airlines</v>
      </c>
      <c r="B89" s="127"/>
      <c r="C89" s="128" t="str">
        <f>IFERROR(__xludf.DUMMYFUNCTION("""COMPUTED_VALUE"""),"lhrapmu@chinaeastern.co.uk")</f>
        <v>lhrapmu@chinaeastern.co.uk</v>
      </c>
      <c r="D89" s="129" t="str">
        <f>IFERROR(__xludf.DUMMYFUNCTION("""COMPUTED_VALUE"""),"webform w/ attachment")</f>
        <v>webform w/ attachment</v>
      </c>
      <c r="E89" s="131" t="str">
        <f>IFERROR(__xludf.DUMMYFUNCTION("""COMPUTED_VALUE"""),"https://us.ceair.com/en/online-consulting.html")</f>
        <v>https://us.ceair.com/en/online-consulting.html</v>
      </c>
      <c r="F89" s="127"/>
      <c r="G89" s="127"/>
      <c r="H89" s="127"/>
      <c r="I89" s="127"/>
      <c r="J89" s="127"/>
      <c r="K89" s="127"/>
      <c r="L89" s="127"/>
      <c r="M89" s="127"/>
      <c r="N89" s="127"/>
      <c r="O89" s="127"/>
      <c r="P89" s="127"/>
      <c r="Q89" s="127"/>
      <c r="R89" s="127"/>
      <c r="S89" s="127"/>
      <c r="T89" s="127"/>
      <c r="U89" s="127"/>
      <c r="V89" s="127"/>
      <c r="W89" s="127"/>
      <c r="X89" s="127"/>
      <c r="Y89" s="127"/>
      <c r="Z89" s="127"/>
      <c r="AA89" s="127"/>
      <c r="AB89" s="127"/>
    </row>
    <row r="90">
      <c r="A90" s="31" t="str">
        <f>IFERROR(__xludf.DUMMYFUNCTION("""COMPUTED_VALUE"""),"China Southern Airlines (CZ)")</f>
        <v>China Southern Airlines (CZ)</v>
      </c>
      <c r="B90" s="127"/>
      <c r="C90" s="128" t="str">
        <f>IFERROR(__xludf.DUMMYFUNCTION("""COMPUTED_VALUE"""),"95539@csair.com")</f>
        <v>95539@csair.com</v>
      </c>
      <c r="D90" s="129" t="str">
        <f>IFERROR(__xludf.DUMMYFUNCTION("""COMPUTED_VALUE"""),"e-mail")</f>
        <v>e-mail</v>
      </c>
      <c r="E90" s="129" t="str">
        <f>IFERROR(__xludf.DUMMYFUNCTION("""COMPUTED_VALUE"""),"95539@csair.com")</f>
        <v>95539@csair.com</v>
      </c>
      <c r="F90" s="127"/>
      <c r="G90" s="127"/>
      <c r="H90" s="127"/>
      <c r="I90" s="127"/>
      <c r="J90" s="127"/>
      <c r="K90" s="127"/>
      <c r="L90" s="127"/>
      <c r="M90" s="127"/>
      <c r="N90" s="127"/>
      <c r="O90" s="127"/>
      <c r="P90" s="127"/>
      <c r="Q90" s="127"/>
      <c r="R90" s="127"/>
      <c r="S90" s="127"/>
      <c r="T90" s="127"/>
      <c r="U90" s="127"/>
      <c r="V90" s="127"/>
      <c r="W90" s="127"/>
      <c r="X90" s="127"/>
      <c r="Y90" s="127"/>
      <c r="Z90" s="127"/>
      <c r="AA90" s="127"/>
      <c r="AB90" s="127"/>
    </row>
    <row r="91">
      <c r="A91" s="31" t="str">
        <f>IFERROR(__xludf.DUMMYFUNCTION("""COMPUTED_VALUE"""),"CHina Airlines (CI)")</f>
        <v>CHina Airlines (CI)</v>
      </c>
      <c r="B91" s="127"/>
      <c r="C91" s="128" t="str">
        <f>IFERROR(__xludf.DUMMYFUNCTION("""COMPUTED_VALUE"""),"customersvc.cal@china-airlines.com")</f>
        <v>customersvc.cal@china-airlines.com</v>
      </c>
      <c r="D91" s="129" t="str">
        <f>IFERROR(__xludf.DUMMYFUNCTION("""COMPUTED_VALUE"""),"webform w/ attachment")</f>
        <v>webform w/ attachment</v>
      </c>
      <c r="E91" s="131" t="str">
        <f>IFERROR(__xludf.DUMMYFUNCTION("""COMPUTED_VALUE"""),"https://calec.china-airlines.com/dot-experience/experience.aspx?lang=en-US&amp;country=us&amp;locale=en")</f>
        <v>https://calec.china-airlines.com/dot-experience/experience.aspx?lang=en-US&amp;country=us&amp;locale=en</v>
      </c>
      <c r="F91" s="127" t="str">
        <f>IFERROR(__xludf.DUMMYFUNCTION("""COMPUTED_VALUE"""),"Select NONE in Member information")</f>
        <v>Select NONE in Member information</v>
      </c>
      <c r="G91" s="127"/>
      <c r="H91" s="127"/>
      <c r="I91" s="127"/>
      <c r="J91" s="127"/>
      <c r="K91" s="127"/>
      <c r="L91" s="127"/>
      <c r="M91" s="127"/>
      <c r="N91" s="127"/>
      <c r="O91" s="127"/>
      <c r="P91" s="127"/>
      <c r="Q91" s="127"/>
      <c r="R91" s="127"/>
      <c r="S91" s="127"/>
      <c r="T91" s="127"/>
      <c r="U91" s="127"/>
      <c r="V91" s="127"/>
      <c r="W91" s="127"/>
      <c r="X91" s="127"/>
      <c r="Y91" s="127"/>
      <c r="Z91" s="127"/>
      <c r="AA91" s="127"/>
      <c r="AB91" s="127"/>
    </row>
    <row r="92">
      <c r="A92" s="31" t="str">
        <f>IFERROR(__xludf.DUMMYFUNCTION("""COMPUTED_VALUE"""),"CityJet (WX)")</f>
        <v>CityJet (WX)</v>
      </c>
      <c r="B92" s="127"/>
      <c r="C92" s="128" t="str">
        <f>IFERROR(__xludf.DUMMYFUNCTION("""COMPUTED_VALUE"""),"customercare@cityjet.com")</f>
        <v>customercare@cityjet.com</v>
      </c>
      <c r="D92" s="129" t="str">
        <f>IFERROR(__xludf.DUMMYFUNCTION("""COMPUTED_VALUE"""),"webform w/ attachment")</f>
        <v>webform w/ attachment</v>
      </c>
      <c r="E92" s="129"/>
      <c r="F92" s="127"/>
      <c r="G92" s="127"/>
      <c r="H92" s="127" t="str">
        <f>IFERROR(__xludf.DUMMYFUNCTION("""COMPUTED_VALUE"""),"Passengers travelling on services operated by CityJet for our customer airlines, including Air France, Aer Lingus, Brussels Airlines, Lufthansa or SAS Scandinavian Airlines, should contact that airline directly with any questions, claims or requests. Cont"&amp;"act details can be found of each airline's website.")</f>
        <v>Passengers travelling on services operated by CityJet for our customer airlines, including Air France, Aer Lingus, Brussels Airlines, Lufthansa or SAS Scandinavian Airlines, should contact that airline directly with any questions, claims or requests. Contact details can be found of each airline's website.</v>
      </c>
      <c r="I92" s="127"/>
      <c r="J92" s="127"/>
      <c r="K92" s="127"/>
      <c r="L92" s="127"/>
      <c r="M92" s="127"/>
      <c r="N92" s="127"/>
      <c r="O92" s="127"/>
      <c r="P92" s="127"/>
      <c r="Q92" s="127"/>
      <c r="R92" s="127"/>
      <c r="S92" s="127"/>
      <c r="T92" s="127"/>
      <c r="U92" s="127"/>
      <c r="V92" s="127"/>
      <c r="W92" s="127"/>
      <c r="X92" s="127"/>
      <c r="Y92" s="127"/>
      <c r="Z92" s="127"/>
      <c r="AA92" s="127"/>
      <c r="AB92" s="127"/>
    </row>
    <row r="93">
      <c r="A93" s="31" t="str">
        <f>IFERROR(__xludf.DUMMYFUNCTION("""COMPUTED_VALUE"""),"Condor (DE)")</f>
        <v>Condor (DE)</v>
      </c>
      <c r="B93" s="127"/>
      <c r="C93" s="128" t="str">
        <f>IFERROR(__xludf.DUMMYFUNCTION("""COMPUTED_VALUE"""),"kundenbetreuung@condor.com")</f>
        <v>kundenbetreuung@condor.com</v>
      </c>
      <c r="D93" s="129" t="str">
        <f>IFERROR(__xludf.DUMMYFUNCTION("""COMPUTED_VALUE"""),"webform w/o attachment")</f>
        <v>webform w/o attachment</v>
      </c>
      <c r="E93" s="131" t="str">
        <f>IFERROR(__xludf.DUMMYFUNCTION("""COMPUTED_VALUE"""),"https://www.condor.com/eu/help-contact/contact/customer-relations.jsp")</f>
        <v>https://www.condor.com/eu/help-contact/contact/customer-relations.jsp</v>
      </c>
      <c r="F93" s="127"/>
      <c r="G93" s="127" t="str">
        <f>IFERROR(__xludf.DUMMYFUNCTION("""COMPUTED_VALUE"""),"Condor Flugdienst GmbH
 Kundenbetreuung
 Thomas-Cook-Platz 1
 61440 Oberursel")</f>
        <v>Condor Flugdienst GmbH
 Kundenbetreuung
 Thomas-Cook-Platz 1
 61440 Oberursel</v>
      </c>
      <c r="H93" s="127"/>
      <c r="I93" s="127"/>
      <c r="J93" s="127"/>
      <c r="K93" s="127"/>
      <c r="L93" s="127"/>
      <c r="M93" s="127"/>
      <c r="N93" s="127"/>
      <c r="O93" s="127"/>
      <c r="P93" s="127"/>
      <c r="Q93" s="127"/>
      <c r="R93" s="127"/>
      <c r="S93" s="127"/>
      <c r="T93" s="127"/>
      <c r="U93" s="127"/>
      <c r="V93" s="127"/>
      <c r="W93" s="127"/>
      <c r="X93" s="127"/>
      <c r="Y93" s="127"/>
      <c r="Z93" s="127"/>
      <c r="AA93" s="127"/>
      <c r="AB93" s="127"/>
    </row>
    <row r="94">
      <c r="A94" s="31" t="str">
        <f>IFERROR(__xludf.DUMMYFUNCTION("""COMPUTED_VALUE"""),"Conviasa")</f>
        <v>Conviasa</v>
      </c>
      <c r="B94" s="127"/>
      <c r="C94" s="128" t="str">
        <f>IFERROR(__xludf.DUMMYFUNCTION("""COMPUTED_VALUE"""),"conviasa.clientes@conviasa.aero")</f>
        <v>conviasa.clientes@conviasa.aero</v>
      </c>
      <c r="D94" s="129" t="str">
        <f>IFERROR(__xludf.DUMMYFUNCTION("""COMPUTED_VALUE"""),"e-mail")</f>
        <v>e-mail</v>
      </c>
      <c r="E94" s="129" t="str">
        <f>IFERROR(__xludf.DUMMYFUNCTION("""COMPUTED_VALUE"""),"conviasa.clientes@conviasa.aero")</f>
        <v>conviasa.clientes@conviasa.aero</v>
      </c>
      <c r="F94" s="127"/>
      <c r="G94" s="127"/>
      <c r="H94" s="127"/>
      <c r="I94" s="127"/>
      <c r="J94" s="127"/>
      <c r="K94" s="127"/>
      <c r="L94" s="127"/>
      <c r="M94" s="127"/>
      <c r="N94" s="127"/>
      <c r="O94" s="127"/>
      <c r="P94" s="127"/>
      <c r="Q94" s="127"/>
      <c r="R94" s="127"/>
      <c r="S94" s="127"/>
      <c r="T94" s="127"/>
      <c r="U94" s="127"/>
      <c r="V94" s="127"/>
      <c r="W94" s="127"/>
      <c r="X94" s="127"/>
      <c r="Y94" s="127"/>
      <c r="Z94" s="127"/>
      <c r="AA94" s="127"/>
      <c r="AB94" s="127"/>
    </row>
    <row r="95">
      <c r="A95" s="31" t="str">
        <f>IFERROR(__xludf.DUMMYFUNCTION("""COMPUTED_VALUE"""),"Copa Airlines")</f>
        <v>Copa Airlines</v>
      </c>
      <c r="B95" s="127"/>
      <c r="C95" s="128"/>
      <c r="D95" s="129" t="str">
        <f>IFERROR(__xludf.DUMMYFUNCTION("""COMPUTED_VALUE"""),"webform w/ attachment")</f>
        <v>webform w/ attachment</v>
      </c>
      <c r="E95" s="131" t="str">
        <f>IFERROR(__xludf.DUMMYFUNCTION("""COMPUTED_VALUE"""),"https://help.copaair.com/hc/en-us/requests/new?tf_360045459154=tuve_un_problema_con_mi_boleto_o_mi_vuelo_y_debo_exponer_una_queja&amp;tf_5070193789719=___dc.servicios_adicionales_pagados_no_honrados__&amp;ticket_form_id=360004175854&amp;_gl=1*dwzblg*_ga*MTg4ODc5MjcwL"&amp;"jE3MTIyOTYzMTQ.*_ga_SEJ8DB2YNH*MTcxMjI5NjMxNC4xLjEuMTcxMjI5NjQyNS4yNC4wLjA.")</f>
        <v>https://help.copaair.com/hc/en-us/requests/new?tf_360045459154=tuve_un_problema_con_mi_boleto_o_mi_vuelo_y_debo_exponer_una_queja&amp;tf_5070193789719=___dc.servicios_adicionales_pagados_no_honrados__&amp;ticket_form_id=360004175854&amp;_gl=1*dwzblg*_ga*MTg4ODc5MjcwLjE3MTIyOTYzMTQ.*_ga_SEJ8DB2YNH*MTcxMjI5NjMxNC4xLjEuMTcxMjI5NjQyNS4yNC4wLjA.</v>
      </c>
      <c r="F95" s="127"/>
      <c r="G95" s="127"/>
      <c r="H95" s="127"/>
      <c r="I95" s="127"/>
      <c r="J95" s="127"/>
      <c r="K95" s="127"/>
      <c r="L95" s="127"/>
      <c r="M95" s="127"/>
      <c r="N95" s="127"/>
      <c r="O95" s="127"/>
      <c r="P95" s="127"/>
      <c r="Q95" s="127"/>
      <c r="R95" s="127"/>
      <c r="S95" s="127"/>
      <c r="T95" s="127"/>
      <c r="U95" s="127"/>
      <c r="V95" s="127"/>
      <c r="W95" s="127"/>
      <c r="X95" s="127"/>
      <c r="Y95" s="127"/>
      <c r="Z95" s="127"/>
      <c r="AA95" s="127"/>
      <c r="AB95" s="127"/>
    </row>
    <row r="96">
      <c r="A96" s="31" t="str">
        <f>IFERROR(__xludf.DUMMYFUNCTION("""COMPUTED_VALUE"""),"Corendon Airlines (XC)--check note pls")</f>
        <v>Corendon Airlines (XC)--check note pls</v>
      </c>
      <c r="B96" s="127"/>
      <c r="C96" s="128" t="str">
        <f>IFERROR(__xludf.DUMMYFUNCTION("""COMPUTED_VALUE"""),"ccs@corendonairlines.com")</f>
        <v>ccs@corendonairlines.com</v>
      </c>
      <c r="D96" s="129" t="str">
        <f>IFERROR(__xludf.DUMMYFUNCTION("""COMPUTED_VALUE"""),"Webform")</f>
        <v>Webform</v>
      </c>
      <c r="E96" s="131" t="str">
        <f>IFERROR(__xludf.DUMMYFUNCTION("""COMPUTED_VALUE"""),"https://ccs.corendonairlines.com/")</f>
        <v>https://ccs.corendonairlines.com/</v>
      </c>
      <c r="F96" s="127" t="str">
        <f>IFERROR(__xludf.DUMMYFUNCTION("""COMPUTED_VALUE"""),"Date of birth")</f>
        <v>Date of birth</v>
      </c>
      <c r="G96" s="127"/>
      <c r="H96" s="127" t="str">
        <f>IFERROR(__xludf.DUMMYFUNCTION("""COMPUTED_VALUE"""),"Username: legal@refly.org
Password: Fkk4erdF!")</f>
        <v>Username: legal@refly.org
Password: Fkk4erdF!</v>
      </c>
      <c r="I96" s="127"/>
      <c r="J96" s="127"/>
      <c r="K96" s="127"/>
      <c r="L96" s="127"/>
      <c r="M96" s="127"/>
      <c r="N96" s="127"/>
      <c r="O96" s="127"/>
      <c r="P96" s="127"/>
      <c r="Q96" s="127"/>
      <c r="R96" s="127"/>
      <c r="S96" s="127"/>
      <c r="T96" s="127"/>
      <c r="U96" s="127"/>
      <c r="V96" s="127"/>
      <c r="W96" s="127"/>
      <c r="X96" s="127"/>
      <c r="Y96" s="127"/>
      <c r="Z96" s="127"/>
      <c r="AA96" s="127"/>
      <c r="AB96" s="127"/>
    </row>
    <row r="97">
      <c r="A97" s="31" t="str">
        <f>IFERROR(__xludf.DUMMYFUNCTION("""COMPUTED_VALUE"""),"Corendon Dutch Airlines")</f>
        <v>Corendon Dutch Airlines</v>
      </c>
      <c r="B97" s="127"/>
      <c r="C97" s="128" t="str">
        <f>IFERROR(__xludf.DUMMYFUNCTION("""COMPUTED_VALUE"""),"airlinesupport@corendon.nl")</f>
        <v>airlinesupport@corendon.nl</v>
      </c>
      <c r="D97" s="129" t="str">
        <f>IFERROR(__xludf.DUMMYFUNCTION("""COMPUTED_VALUE"""),"Webform")</f>
        <v>Webform</v>
      </c>
      <c r="E97" s="131" t="str">
        <f>IFERROR(__xludf.DUMMYFUNCTION("""COMPUTED_VALUE"""),"https://ccs.corendonairlines.com/")</f>
        <v>https://ccs.corendonairlines.com/</v>
      </c>
      <c r="F97" s="127" t="str">
        <f>IFERROR(__xludf.DUMMYFUNCTION("""COMPUTED_VALUE"""),"Airline tickets, boarding passes, reservation confirmation and, if applicable, any correspondence with the tour operator and/or travel insurance")</f>
        <v>Airline tickets, boarding passes, reservation confirmation and, if applicable, any correspondence with the tour operator and/or travel insurance</v>
      </c>
      <c r="G97" s="127"/>
      <c r="H97" s="127" t="str">
        <f>IFERROR(__xludf.DUMMYFUNCTION("""COMPUTED_VALUE"""),"Username: legal@refly.org
Password: Fkk4erdF!")</f>
        <v>Username: legal@refly.org
Password: Fkk4erdF!</v>
      </c>
      <c r="I97" s="127"/>
      <c r="J97" s="127"/>
      <c r="K97" s="127"/>
      <c r="L97" s="127"/>
      <c r="M97" s="127"/>
      <c r="N97" s="127"/>
      <c r="O97" s="127"/>
      <c r="P97" s="127"/>
      <c r="Q97" s="127"/>
      <c r="R97" s="127"/>
      <c r="S97" s="127"/>
      <c r="T97" s="127"/>
      <c r="U97" s="127"/>
      <c r="V97" s="127"/>
      <c r="W97" s="127"/>
      <c r="X97" s="127"/>
      <c r="Y97" s="127"/>
      <c r="Z97" s="127"/>
      <c r="AA97" s="127"/>
      <c r="AB97" s="127"/>
    </row>
    <row r="98">
      <c r="A98" s="31" t="str">
        <f>IFERROR(__xludf.DUMMYFUNCTION("""COMPUTED_VALUE"""),"Corsair (SS)")</f>
        <v>Corsair (SS)</v>
      </c>
      <c r="B98" s="127"/>
      <c r="C98" s="128" t="str">
        <f>IFERROR(__xludf.DUMMYFUNCTION("""COMPUTED_VALUE"""),"savcorsair@corsair.fr")</f>
        <v>savcorsair@corsair.fr</v>
      </c>
      <c r="D98" s="129" t="str">
        <f>IFERROR(__xludf.DUMMYFUNCTION("""COMPUTED_VALUE"""),"webform w/ attach. or post")</f>
        <v>webform w/ attach. or post</v>
      </c>
      <c r="E98" s="131" t="str">
        <f>IFERROR(__xludf.DUMMYFUNCTION("""COMPUTED_VALUE"""),"https://www.flycorsair.com/en/make-demand")</f>
        <v>https://www.flycorsair.com/en/make-demand</v>
      </c>
      <c r="F98" s="127" t="str">
        <f>IFERROR(__xludf.DUMMYFUNCTION("""COMPUTED_VALUE"""),"Ticket number / DOB")</f>
        <v>Ticket number / DOB</v>
      </c>
      <c r="G98" s="127" t="str">
        <f>IFERROR(__xludf.DUMMYFUNCTION("""COMPUTED_VALUE"""),"savcorsair@corsair.fr")</f>
        <v>savcorsair@corsair.fr</v>
      </c>
      <c r="H98" s="127"/>
      <c r="I98" s="127"/>
      <c r="J98" s="127"/>
      <c r="K98" s="127"/>
      <c r="L98" s="127"/>
      <c r="M98" s="127"/>
      <c r="N98" s="127"/>
      <c r="O98" s="127"/>
      <c r="P98" s="127"/>
      <c r="Q98" s="127"/>
      <c r="R98" s="127"/>
      <c r="S98" s="127"/>
      <c r="T98" s="127"/>
      <c r="U98" s="127"/>
      <c r="V98" s="127"/>
      <c r="W98" s="127"/>
      <c r="X98" s="127"/>
      <c r="Y98" s="127"/>
      <c r="Z98" s="127"/>
      <c r="AA98" s="127"/>
      <c r="AB98" s="127"/>
    </row>
    <row r="99">
      <c r="A99" s="31" t="str">
        <f>IFERROR(__xludf.DUMMYFUNCTION("""COMPUTED_VALUE"""),"Croatia Airlines (OU)")</f>
        <v>Croatia Airlines (OU)</v>
      </c>
      <c r="B99" s="127"/>
      <c r="C99" s="128" t="str">
        <f>IFERROR(__xludf.DUMMYFUNCTION("""COMPUTED_VALUE"""),"customer.rel@croatiaairlines.hr")</f>
        <v>customer.rel@croatiaairlines.hr</v>
      </c>
      <c r="D99" s="129" t="str">
        <f>IFERROR(__xludf.DUMMYFUNCTION("""COMPUTED_VALUE"""),"webform w/o attachment")</f>
        <v>webform w/o attachment</v>
      </c>
      <c r="E99" s="131" t="str">
        <f>IFERROR(__xludf.DUMMYFUNCTION("""COMPUTED_VALUE"""),"https://www.croatiaairlines.com/en/customer/request-type")</f>
        <v>https://www.croatiaairlines.com/en/customer/request-type</v>
      </c>
      <c r="F99" s="127" t="str">
        <f>IFERROR(__xludf.DUMMYFUNCTION("""COMPUTED_VALUE"""),"Can be sent via email if webform does not work")</f>
        <v>Can be sent via email if webform does not work</v>
      </c>
      <c r="G99" s="127"/>
      <c r="H99" s="127"/>
      <c r="I99" s="127"/>
      <c r="J99" s="127"/>
      <c r="K99" s="127"/>
      <c r="L99" s="127"/>
      <c r="M99" s="127"/>
      <c r="N99" s="127"/>
      <c r="O99" s="127"/>
      <c r="P99" s="127"/>
      <c r="Q99" s="127"/>
      <c r="R99" s="127"/>
      <c r="S99" s="127"/>
      <c r="T99" s="127"/>
      <c r="U99" s="127"/>
      <c r="V99" s="127"/>
      <c r="W99" s="127"/>
      <c r="X99" s="127"/>
      <c r="Y99" s="127"/>
      <c r="Z99" s="127"/>
      <c r="AA99" s="127"/>
      <c r="AB99" s="127"/>
    </row>
    <row r="100">
      <c r="A100" s="31" t="str">
        <f>IFERROR(__xludf.DUMMYFUNCTION("""COMPUTED_VALUE"""),"Cubana")</f>
        <v>Cubana</v>
      </c>
      <c r="B100" s="127"/>
      <c r="C100" s="128"/>
      <c r="D100" s="129" t="str">
        <f>IFERROR(__xludf.DUMMYFUNCTION("""COMPUTED_VALUE"""),"e-mail")</f>
        <v>e-mail</v>
      </c>
      <c r="E100" s="129" t="str">
        <f>IFERROR(__xludf.DUMMYFUNCTION("""COMPUTED_VALUE"""),"ventas_online@cubana.avianet.cu")</f>
        <v>ventas_online@cubana.avianet.cu</v>
      </c>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row>
    <row r="101">
      <c r="A101" s="31" t="str">
        <f>IFERROR(__xludf.DUMMYFUNCTION("""COMPUTED_VALUE"""),"Cyprus Airways (CY)")</f>
        <v>Cyprus Airways (CY)</v>
      </c>
      <c r="B101" s="127"/>
      <c r="C101" s="128" t="str">
        <f>IFERROR(__xludf.DUMMYFUNCTION("""COMPUTED_VALUE"""),"marketing@cyprusair.com")</f>
        <v>marketing@cyprusair.com</v>
      </c>
      <c r="D101" s="129" t="str">
        <f>IFERROR(__xludf.DUMMYFUNCTION("""COMPUTED_VALUE"""),"webform w/ attach. or post")</f>
        <v>webform w/ attach. or post</v>
      </c>
      <c r="E101" s="131" t="str">
        <f>IFERROR(__xludf.DUMMYFUNCTION("""COMPUTED_VALUE"""),"https://www.cyprusairways.com/about/contactus.dot")</f>
        <v>https://www.cyprusairways.com/about/contactus.dot</v>
      </c>
      <c r="F101" s="127"/>
      <c r="G101" s="127" t="str">
        <f>IFERROR(__xludf.DUMMYFUNCTION("""COMPUTED_VALUE"""),"21, Alkeou Street, Nicosia 1514, Cyprus - PO box 21903")</f>
        <v>21, Alkeou Street, Nicosia 1514, Cyprus - PO box 21903</v>
      </c>
      <c r="H101" s="127"/>
      <c r="I101" s="127"/>
      <c r="J101" s="127"/>
      <c r="K101" s="127"/>
      <c r="L101" s="127"/>
      <c r="M101" s="127"/>
      <c r="N101" s="127"/>
      <c r="O101" s="127"/>
      <c r="P101" s="127"/>
      <c r="Q101" s="127"/>
      <c r="R101" s="127"/>
      <c r="S101" s="127"/>
      <c r="T101" s="127"/>
      <c r="U101" s="127"/>
      <c r="V101" s="127"/>
      <c r="W101" s="127"/>
      <c r="X101" s="127"/>
      <c r="Y101" s="127"/>
      <c r="Z101" s="127"/>
      <c r="AA101" s="127"/>
      <c r="AB101" s="127"/>
    </row>
    <row r="102">
      <c r="A102" s="31" t="str">
        <f>IFERROR(__xludf.DUMMYFUNCTION("""COMPUTED_VALUE"""),"Czech Airlines (OK)")</f>
        <v>Czech Airlines (OK)</v>
      </c>
      <c r="B102" s="127"/>
      <c r="C102" s="128" t="str">
        <f>IFERROR(__xludf.DUMMYFUNCTION("""COMPUTED_VALUE"""),"Call.Centre@csa.cz")</f>
        <v>Call.Centre@csa.cz</v>
      </c>
      <c r="D102" s="129" t="str">
        <f>IFERROR(__xludf.DUMMYFUNCTION("""COMPUTED_VALUE"""),"webform w/ attachment")</f>
        <v>webform w/ attachment</v>
      </c>
      <c r="E102" s="131" t="str">
        <f>IFERROR(__xludf.DUMMYFUNCTION("""COMPUTED_VALUE"""),"https://www.csa.cz/cz-en/contact-form/#current_ask-form-2")</f>
        <v>https://www.csa.cz/cz-en/contact-form/#current_ask-form-2</v>
      </c>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row>
    <row r="103">
      <c r="A103" s="31" t="str">
        <f>IFERROR(__xludf.DUMMYFUNCTION("""COMPUTED_VALUE"""),"Danish Air Transport (DX)")</f>
        <v>Danish Air Transport (DX)</v>
      </c>
      <c r="B103" s="127" t="str">
        <f>IFERROR(__xludf.DUMMYFUNCTION("""COMPUTED_VALUE"""),"Vamdrup, Denmark")</f>
        <v>Vamdrup, Denmark</v>
      </c>
      <c r="C103" s="128" t="str">
        <f>IFERROR(__xludf.DUMMYFUNCTION("""COMPUTED_VALUE"""),"support@dat-support.zendesk.com")</f>
        <v>support@dat-support.zendesk.com</v>
      </c>
      <c r="D103" s="129" t="str">
        <f>IFERROR(__xludf.DUMMYFUNCTION("""COMPUTED_VALUE"""),"e-mail")</f>
        <v>e-mail</v>
      </c>
      <c r="E103" s="131" t="str">
        <f>IFERROR(__xludf.DUMMYFUNCTION("""COMPUTED_VALUE"""),"https://dat.formstack.com/forms/compensation_claim")</f>
        <v>https://dat.formstack.com/forms/compensation_claim</v>
      </c>
      <c r="F103" s="127" t="str">
        <f>IFERROR(__xludf.DUMMYFUNCTION("""COMPUTED_VALUE"""),"ID-Boarding Pass")</f>
        <v>ID-Boarding Pass</v>
      </c>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row>
    <row r="104">
      <c r="A104" s="31" t="str">
        <f>IFERROR(__xludf.DUMMYFUNCTION("""COMPUTED_VALUE"""),"DAN AIR")</f>
        <v>DAN AIR</v>
      </c>
      <c r="B104" s="127"/>
      <c r="C104" s="128" t="str">
        <f>IFERROR(__xludf.DUMMYFUNCTION("""COMPUTED_VALUE"""),"support@danair.zendesk.com")</f>
        <v>support@danair.zendesk.com</v>
      </c>
      <c r="D104" s="129" t="str">
        <f>IFERROR(__xludf.DUMMYFUNCTION("""COMPUTED_VALUE"""),"webform w/o attachment")</f>
        <v>webform w/o attachment</v>
      </c>
      <c r="E104" s="131" t="str">
        <f>IFERROR(__xludf.DUMMYFUNCTION("""COMPUTED_VALUE"""),"https://danair.ro/en/contact")</f>
        <v>https://danair.ro/en/contact</v>
      </c>
      <c r="F104" s="127" t="str">
        <f>IFERROR(__xludf.DUMMYFUNCTION("""COMPUTED_VALUE"""),"ID-Boarding Pass")</f>
        <v>ID-Boarding Pass</v>
      </c>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row>
    <row r="105">
      <c r="A105" s="31" t="str">
        <f>IFERROR(__xludf.DUMMYFUNCTION("""COMPUTED_VALUE"""),"Dana Air")</f>
        <v>Dana Air</v>
      </c>
      <c r="B105" s="127" t="str">
        <f>IFERROR(__xludf.DUMMYFUNCTION("""COMPUTED_VALUE"""),"Sends reference in Zendesk/email")</f>
        <v>Sends reference in Zendesk/email</v>
      </c>
      <c r="C105" s="128" t="str">
        <f>IFERROR(__xludf.DUMMYFUNCTION("""COMPUTED_VALUE"""),"contact@flydanaair.com")</f>
        <v>contact@flydanaair.com</v>
      </c>
      <c r="D105" s="129" t="str">
        <f>IFERROR(__xludf.DUMMYFUNCTION("""COMPUTED_VALUE"""),"webform w/o attachment")</f>
        <v>webform w/o attachment</v>
      </c>
      <c r="E105" s="131" t="str">
        <f>IFERROR(__xludf.DUMMYFUNCTION("""COMPUTED_VALUE"""),"https://flydanaair.com/contact-us/")</f>
        <v>https://flydanaair.com/contact-us/</v>
      </c>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row>
    <row r="106">
      <c r="A106" s="31" t="str">
        <f>IFERROR(__xludf.DUMMYFUNCTION("""COMPUTED_VALUE"""),"Delta Air Lines (DL)")</f>
        <v>Delta Air Lines (DL)</v>
      </c>
      <c r="B106" s="127"/>
      <c r="C106" s="128" t="str">
        <f>IFERROR(__xludf.DUMMYFUNCTION("""COMPUTED_VALUE"""),"wecare@delta.com")</f>
        <v>wecare@delta.com</v>
      </c>
      <c r="D106" s="129" t="str">
        <f>IFERROR(__xludf.DUMMYFUNCTION("""COMPUTED_VALUE"""),"webform w/o attachment")</f>
        <v>webform w/o attachment</v>
      </c>
      <c r="E106" s="131" t="str">
        <f>IFERROR(__xludf.DUMMYFUNCTION("""COMPUTED_VALUE"""),"https://www.delta.com/apac/en/need-help/overview?commentComplaintsForm")</f>
        <v>https://www.delta.com/apac/en/need-help/overview?commentComplaintsForm</v>
      </c>
      <c r="F106" s="127" t="str">
        <f>IFERROR(__xludf.DUMMYFUNCTION("""COMPUTED_VALUE"""),"Ticket number, ID")</f>
        <v>Ticket number, ID</v>
      </c>
      <c r="G106" s="127" t="str">
        <f>IFERROR(__xludf.DUMMYFUNCTION("""COMPUTED_VALUE"""),"Delta Europe Customer Care Centre
 TSA 21235
 75564 PARIS Cedex 12
 FRANCE")</f>
        <v>Delta Europe Customer Care Centre
 TSA 21235
 75564 PARIS Cedex 12
 FRANCE</v>
      </c>
      <c r="H106" s="127" t="str">
        <f>IFERROR(__xludf.DUMMYFUNCTION("""COMPUTED_VALUE"""),"user name: ReflyLimited
Pass: gIzhe1-pingoj
Skymiles: 9887976893")</f>
        <v>user name: ReflyLimited
Pass: gIzhe1-pingoj
Skymiles: 9887976893</v>
      </c>
      <c r="I106" s="127"/>
      <c r="J106" s="127"/>
      <c r="K106" s="127"/>
      <c r="L106" s="127"/>
      <c r="M106" s="127"/>
      <c r="N106" s="127"/>
      <c r="O106" s="127"/>
      <c r="P106" s="127"/>
      <c r="Q106" s="127"/>
      <c r="R106" s="127"/>
      <c r="S106" s="127"/>
      <c r="T106" s="127"/>
      <c r="U106" s="127"/>
      <c r="V106" s="127"/>
      <c r="W106" s="127"/>
      <c r="X106" s="127"/>
      <c r="Y106" s="127"/>
      <c r="Z106" s="127"/>
      <c r="AA106" s="127"/>
      <c r="AB106" s="127"/>
    </row>
    <row r="107">
      <c r="A107" s="31" t="str">
        <f>IFERROR(__xludf.DUMMYFUNCTION("""COMPUTED_VALUE"""),"Discover Airlines / Eurowings Discover (4Y)")</f>
        <v>Discover Airlines / Eurowings Discover (4Y)</v>
      </c>
      <c r="B107" s="127"/>
      <c r="C107" s="128" t="str">
        <f>IFERROR(__xludf.DUMMYFUNCTION("""COMPUTED_VALUE"""),"discover-airlines@lufthansa-group.com")</f>
        <v>discover-airlines@lufthansa-group.com</v>
      </c>
      <c r="D107" s="129" t="str">
        <f>IFERROR(__xludf.DUMMYFUNCTION("""COMPUTED_VALUE"""),"webform w/ attachment")</f>
        <v>webform w/ attachment</v>
      </c>
      <c r="E107" s="131" t="str">
        <f>IFERROR(__xludf.DUMMYFUNCTION("""COMPUTED_VALUE"""),"https://www.discover-airlines.com/en/customer-service/contact-form/")</f>
        <v>https://www.discover-airlines.com/en/customer-service/contact-form/</v>
      </c>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row>
    <row r="108">
      <c r="A108" s="31" t="str">
        <f>IFERROR(__xludf.DUMMYFUNCTION("""COMPUTED_VALUE"""),"Djibouti Airlines (D8)")</f>
        <v>Djibouti Airlines (D8)</v>
      </c>
      <c r="B108" s="127"/>
      <c r="C108" s="128" t="str">
        <f>IFERROR(__xludf.DUMMYFUNCTION("""COMPUTED_VALUE"""),"customerservice@air-djibouti.com")</f>
        <v>customerservice@air-djibouti.com</v>
      </c>
      <c r="D108" s="129" t="str">
        <f>IFERROR(__xludf.DUMMYFUNCTION("""COMPUTED_VALUE"""),"e-mail")</f>
        <v>e-mail</v>
      </c>
      <c r="E108" s="129" t="str">
        <f>IFERROR(__xludf.DUMMYFUNCTION("""COMPUTED_VALUE"""),"customerservice@air-djibouti.com")</f>
        <v>customerservice@air-djibouti.com</v>
      </c>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row>
    <row r="109">
      <c r="A109" s="31" t="str">
        <f>IFERROR(__xludf.DUMMYFUNCTION("""COMPUTED_VALUE"""),"Eastern Airways (T3)")</f>
        <v>Eastern Airways (T3)</v>
      </c>
      <c r="B109" s="127"/>
      <c r="C109" s="128" t="str">
        <f>IFERROR(__xludf.DUMMYFUNCTION("""COMPUTED_VALUE"""),"customerrelations@easternairways.com")</f>
        <v>customerrelations@easternairways.com</v>
      </c>
      <c r="D109" s="129" t="str">
        <f>IFERROR(__xludf.DUMMYFUNCTION("""COMPUTED_VALUE"""),"webform w/ attachment")</f>
        <v>webform w/ attachment</v>
      </c>
      <c r="E109" s="131" t="str">
        <f>IFERROR(__xludf.DUMMYFUNCTION("""COMPUTED_VALUE"""),"https://form.jotform.com/222552670822353")</f>
        <v>https://form.jotform.com/222552670822353</v>
      </c>
      <c r="F109" s="127" t="str">
        <f>IFERROR(__xludf.DUMMYFUNCTION("""COMPUTED_VALUE"""),"Ceased operations since October 27, 2025")</f>
        <v>Ceased operations since October 27, 2025</v>
      </c>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row>
    <row r="110">
      <c r="A110" s="31" t="str">
        <f>IFERROR(__xludf.DUMMYFUNCTION("""COMPUTED_VALUE"""),"easyJet (U2/EZY)")</f>
        <v>easyJet (U2/EZY)</v>
      </c>
      <c r="B110" s="127" t="str">
        <f>IFERROR(__xludf.DUMMYFUNCTION("""COMPUTED_VALUE"""),"London")</f>
        <v>London</v>
      </c>
      <c r="C110" s="128" t="str">
        <f>IFERROR(__xludf.DUMMYFUNCTION("""COMPUTED_VALUE"""),"customer.support@easyjet.com")</f>
        <v>customer.support@easyjet.com</v>
      </c>
      <c r="D110" s="129" t="str">
        <f>IFERROR(__xludf.DUMMYFUNCTION("""COMPUTED_VALUE"""),"webform w/ attachment and e-mail")</f>
        <v>webform w/ attachment and e-mail</v>
      </c>
      <c r="E110" s="131" t="str">
        <f>IFERROR(__xludf.DUMMYFUNCTION("""COMPUTED_VALUE"""),"https://www.easyjet.com/en/claim/eu261")</f>
        <v>https://www.easyjet.com/en/claim/eu261</v>
      </c>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row>
    <row r="111">
      <c r="A111" s="31" t="str">
        <f>IFERROR(__xludf.DUMMYFUNCTION("""COMPUTED_VALUE"""),"Edelweiss Air (WK)")</f>
        <v>Edelweiss Air (WK)</v>
      </c>
      <c r="B111" s="127"/>
      <c r="C111" s="128" t="str">
        <f>IFERROR(__xludf.DUMMYFUNCTION("""COMPUTED_VALUE"""),"customerservice@flyedelweiss.com")</f>
        <v>customerservice@flyedelweiss.com</v>
      </c>
      <c r="D111" s="129" t="str">
        <f>IFERROR(__xludf.DUMMYFUNCTION("""COMPUTED_VALUE"""),"webform w/o attachment")</f>
        <v>webform w/o attachment</v>
      </c>
      <c r="E111" s="131" t="str">
        <f>IFERROR(__xludf.DUMMYFUNCTION("""COMPUTED_VALUE"""),"https://www.flyedelweiss.com/ch/en/customer-service/eu261-compensation-form.html")</f>
        <v>https://www.flyedelweiss.com/ch/en/customer-service/eu261-compensation-form.html</v>
      </c>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row>
    <row r="112">
      <c r="A112" s="31" t="str">
        <f>IFERROR(__xludf.DUMMYFUNCTION("""COMPUTED_VALUE"""),"Egyptair (MS)")</f>
        <v>Egyptair (MS)</v>
      </c>
      <c r="B112" s="127"/>
      <c r="C112" s="128" t="str">
        <f>IFERROR(__xludf.DUMMYFUNCTION("""COMPUTED_VALUE"""),"wecare@egyptair.com")</f>
        <v>wecare@egyptair.com</v>
      </c>
      <c r="D112" s="129" t="str">
        <f>IFERROR(__xludf.DUMMYFUNCTION("""COMPUTED_VALUE"""),"e-mail")</f>
        <v>e-mail</v>
      </c>
      <c r="E112" s="129" t="str">
        <f>IFERROR(__xludf.DUMMYFUNCTION("""COMPUTED_VALUE"""),"wecare@egyptair.com")</f>
        <v>wecare@egyptair.com</v>
      </c>
      <c r="F112" s="127" t="str">
        <f>IFERROR(__xludf.DUMMYFUNCTION("""COMPUTED_VALUE"""),"Ticket, ID")</f>
        <v>Ticket, ID</v>
      </c>
      <c r="G112" s="127" t="str">
        <f>IFERROR(__xludf.DUMMYFUNCTION("""COMPUTED_VALUE"""),"( Paris_DM@egyptair.com ) ( Paris_TO@egyptair.com ) ")</f>
        <v>( Paris_DM@egyptair.com ) ( Paris_TO@egyptair.com ) </v>
      </c>
      <c r="H112" s="127"/>
      <c r="I112" s="127"/>
      <c r="J112" s="127"/>
      <c r="K112" s="127"/>
      <c r="L112" s="127"/>
      <c r="M112" s="127"/>
      <c r="N112" s="127"/>
      <c r="O112" s="127"/>
      <c r="P112" s="127"/>
      <c r="Q112" s="127"/>
      <c r="R112" s="127"/>
      <c r="S112" s="127"/>
      <c r="T112" s="127"/>
      <c r="U112" s="127"/>
      <c r="V112" s="127"/>
      <c r="W112" s="127"/>
      <c r="X112" s="127"/>
      <c r="Y112" s="127"/>
      <c r="Z112" s="127"/>
      <c r="AA112" s="127"/>
      <c r="AB112" s="127"/>
    </row>
    <row r="113">
      <c r="A113" s="31" t="str">
        <f>IFERROR(__xludf.DUMMYFUNCTION("""COMPUTED_VALUE"""),"EL AL Israel Airlines (LY)")</f>
        <v>EL AL Israel Airlines (LY)</v>
      </c>
      <c r="B113" s="127"/>
      <c r="C113" s="128" t="str">
        <f>IFERROR(__xludf.DUMMYFUNCTION("""COMPUTED_VALUE"""),"crhq@elal.co.il")</f>
        <v>crhq@elal.co.il</v>
      </c>
      <c r="D113" s="129" t="str">
        <f>IFERROR(__xludf.DUMMYFUNCTION("""COMPUTED_VALUE"""),"webform w/o attachment")</f>
        <v>webform w/o attachment</v>
      </c>
      <c r="E113" s="131" t="str">
        <f>IFERROR(__xludf.DUMMYFUNCTION("""COMPUTED_VALUE"""),"https://contactus.elal.com/contactus/page0/0?lang=en&amp;rid=3OY9-9CWsKE")</f>
        <v>https://contactus.elal.com/contactus/page0/0?lang=en&amp;rid=3OY9-9CWsKE</v>
      </c>
      <c r="F113" s="127" t="str">
        <f>IFERROR(__xludf.DUMMYFUNCTION("""COMPUTED_VALUE"""),"ID")</f>
        <v>ID</v>
      </c>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row>
    <row r="114">
      <c r="A114" s="31" t="str">
        <f>IFERROR(__xludf.DUMMYFUNCTION("""COMPUTED_VALUE"""),"Electra Airways")</f>
        <v>Electra Airways</v>
      </c>
      <c r="B114" s="127"/>
      <c r="C114" s="128" t="str">
        <f>IFERROR(__xludf.DUMMYFUNCTION("""COMPUTED_VALUE"""),"office@electra-airways.com")</f>
        <v>office@electra-airways.com</v>
      </c>
      <c r="D114" s="129" t="str">
        <f>IFERROR(__xludf.DUMMYFUNCTION("""COMPUTED_VALUE"""),"webform w/o attachment")</f>
        <v>webform w/o attachment</v>
      </c>
      <c r="E114" s="131" t="str">
        <f>IFERROR(__xludf.DUMMYFUNCTION("""COMPUTED_VALUE"""),"https://www.electra-airways.com/about-us/")</f>
        <v>https://www.electra-airways.com/about-us/</v>
      </c>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row>
    <row r="115">
      <c r="A115" s="31" t="str">
        <f>IFERROR(__xludf.DUMMYFUNCTION("""COMPUTED_VALUE"""),"Emerald Airlines")</f>
        <v>Emerald Airlines</v>
      </c>
      <c r="B115" s="127"/>
      <c r="C115" s="128" t="str">
        <f>IFERROR(__xludf.DUMMYFUNCTION("""COMPUTED_VALUE"""),"customerclaims@emeraldairlines.com")</f>
        <v>customerclaims@emeraldairlines.com</v>
      </c>
      <c r="D115" s="129" t="str">
        <f>IFERROR(__xludf.DUMMYFUNCTION("""COMPUTED_VALUE"""),"email")</f>
        <v>email</v>
      </c>
      <c r="E115" s="129" t="str">
        <f>IFERROR(__xludf.DUMMYFUNCTION("""COMPUTED_VALUE"""),"customerclaims@emeraldairlines.com")</f>
        <v>customerclaims@emeraldairlines.com</v>
      </c>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row>
    <row r="116">
      <c r="A116" s="31" t="str">
        <f>IFERROR(__xludf.DUMMYFUNCTION("""COMPUTED_VALUE"""),"Emirates (EK)")</f>
        <v>Emirates (EK)</v>
      </c>
      <c r="B116" s="127"/>
      <c r="C116" s="128" t="str">
        <f>IFERROR(__xludf.DUMMYFUNCTION("""COMPUTED_VALUE"""),"customer.affairs@emirates.com")</f>
        <v>customer.affairs@emirates.com</v>
      </c>
      <c r="D116" s="129" t="str">
        <f>IFERROR(__xludf.DUMMYFUNCTION("""COMPUTED_VALUE"""),"webform w/ attachment")</f>
        <v>webform w/ attachment</v>
      </c>
      <c r="E116" s="131" t="str">
        <f>IFERROR(__xludf.DUMMYFUNCTION("""COMPUTED_VALUE"""),"https://www.emirates.com/english/help/forms/complaint/")</f>
        <v>https://www.emirates.com/english/help/forms/complaint/</v>
      </c>
      <c r="F116" s="127" t="str">
        <f>IFERROR(__xludf.DUMMYFUNCTION("""COMPUTED_VALUE"""),"Ticket number, Passport")</f>
        <v>Ticket number, Passport</v>
      </c>
      <c r="G116" s="127" t="str">
        <f>IFERROR(__xludf.DUMMYFUNCTION("""COMPUTED_VALUE"""),"CMCEUclaims@emirates.com")</f>
        <v>CMCEUclaims@emirates.com</v>
      </c>
      <c r="H116" s="127"/>
      <c r="I116" s="127"/>
      <c r="J116" s="127"/>
      <c r="K116" s="127"/>
      <c r="L116" s="127"/>
      <c r="M116" s="127"/>
      <c r="N116" s="127"/>
      <c r="O116" s="127"/>
      <c r="P116" s="127"/>
      <c r="Q116" s="127"/>
      <c r="R116" s="127"/>
      <c r="S116" s="127"/>
      <c r="T116" s="127"/>
      <c r="U116" s="127"/>
      <c r="V116" s="127"/>
      <c r="W116" s="127"/>
      <c r="X116" s="127"/>
      <c r="Y116" s="127"/>
      <c r="Z116" s="127"/>
      <c r="AA116" s="127"/>
      <c r="AB116" s="127"/>
    </row>
    <row r="117">
      <c r="A117" s="31" t="str">
        <f>IFERROR(__xludf.DUMMYFUNCTION("""COMPUTED_VALUE"""),"Endeavor Air (9E)")</f>
        <v>Endeavor Air (9E)</v>
      </c>
      <c r="B117" s="127"/>
      <c r="C117" s="128"/>
      <c r="D117" s="129"/>
      <c r="E117" s="129" t="str">
        <f>IFERROR(__xludf.DUMMYFUNCTION("""COMPUTED_VALUE"""),"Need to be sent to Delta")</f>
        <v>Need to be sent to Delta</v>
      </c>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row>
    <row r="118">
      <c r="A118" s="31" t="str">
        <f>IFERROR(__xludf.DUMMYFUNCTION("""COMPUTED_VALUE"""),"Enter Air")</f>
        <v>Enter Air</v>
      </c>
      <c r="B118" s="127"/>
      <c r="C118" s="128" t="str">
        <f>IFERROR(__xludf.DUMMYFUNCTION("""COMPUTED_VALUE"""),"customercare@enterair.pl")</f>
        <v>customercare@enterair.pl</v>
      </c>
      <c r="D118" s="129" t="str">
        <f>IFERROR(__xludf.DUMMYFUNCTION("""COMPUTED_VALUE"""),"webform w/ attachment")</f>
        <v>webform w/ attachment</v>
      </c>
      <c r="E118" s="131" t="str">
        <f>IFERROR(__xludf.DUMMYFUNCTION("""COMPUTED_VALUE"""),"https://reklamacje.enterair.pl/#/flightcomplaint")</f>
        <v>https://reklamacje.enterair.pl/#/flightcomplaint</v>
      </c>
      <c r="F118" s="127" t="str">
        <f>IFERROR(__xludf.DUMMYFUNCTION("""COMPUTED_VALUE"""),"Birth certificate required for minors")</f>
        <v>Birth certificate required for minors</v>
      </c>
      <c r="G118" s="127" t="str">
        <f>IFERROR(__xludf.DUMMYFUNCTION("""COMPUTED_VALUE"""),"Enter Air Sp. z o.o.
 ul. 17 Stycznia 45B 
 02-146 Warszawa POLAND")</f>
        <v>Enter Air Sp. z o.o.
 ul. 17 Stycznia 45B 
 02-146 Warszawa POLAND</v>
      </c>
      <c r="H118" s="127"/>
      <c r="I118" s="127"/>
      <c r="J118" s="127"/>
      <c r="K118" s="127"/>
      <c r="L118" s="127"/>
      <c r="M118" s="127"/>
      <c r="N118" s="127"/>
      <c r="O118" s="127"/>
      <c r="P118" s="127"/>
      <c r="Q118" s="127"/>
      <c r="R118" s="127"/>
      <c r="S118" s="127"/>
      <c r="T118" s="127"/>
      <c r="U118" s="127"/>
      <c r="V118" s="127"/>
      <c r="W118" s="127"/>
      <c r="X118" s="127"/>
      <c r="Y118" s="127"/>
      <c r="Z118" s="127"/>
      <c r="AA118" s="127"/>
      <c r="AB118" s="127"/>
    </row>
    <row r="119">
      <c r="A119" s="31" t="str">
        <f>IFERROR(__xludf.DUMMYFUNCTION("""COMPUTED_VALUE"""),"Envoy Air (MQ / ENY)")</f>
        <v>Envoy Air (MQ / ENY)</v>
      </c>
      <c r="B119" s="127"/>
      <c r="C119" s="128" t="str">
        <f>IFERROR(__xludf.DUMMYFUNCTION("""COMPUTED_VALUE"""),"info@envoyair.com (e-mail is onlr for making child ticket)")</f>
        <v>info@envoyair.com (e-mail is onlr for making child ticket)</v>
      </c>
      <c r="D119" s="129" t="str">
        <f>IFERROR(__xludf.DUMMYFUNCTION("""COMPUTED_VALUE"""),"post")</f>
        <v>post</v>
      </c>
      <c r="E119" s="129" t="str">
        <f>IFERROR(__xludf.DUMMYFUNCTION("""COMPUTED_VALUE"""),"Need to be sent to American Airlines")</f>
        <v>Need to be sent to American Airlines</v>
      </c>
      <c r="F119" s="127"/>
      <c r="G119" s="127" t="str">
        <f>IFERROR(__xludf.DUMMYFUNCTION("""COMPUTED_VALUE"""),"Envoy Air Inc.4333 Amon Carter BlvdFort Worth, TX 76155")</f>
        <v>Envoy Air Inc.4333 Amon Carter BlvdFort Worth, TX 76155</v>
      </c>
      <c r="H119" s="127"/>
      <c r="I119" s="127"/>
      <c r="J119" s="127"/>
      <c r="K119" s="127"/>
      <c r="L119" s="127"/>
      <c r="M119" s="127"/>
      <c r="N119" s="127"/>
      <c r="O119" s="127"/>
      <c r="P119" s="127"/>
      <c r="Q119" s="127"/>
      <c r="R119" s="127"/>
      <c r="S119" s="127"/>
      <c r="T119" s="127"/>
      <c r="U119" s="127"/>
      <c r="V119" s="127"/>
      <c r="W119" s="127"/>
      <c r="X119" s="127"/>
      <c r="Y119" s="127"/>
      <c r="Z119" s="127"/>
      <c r="AA119" s="127"/>
      <c r="AB119" s="127"/>
    </row>
    <row r="120">
      <c r="A120" s="31" t="str">
        <f>IFERROR(__xludf.DUMMYFUNCTION("""COMPUTED_VALUE"""),"Ethiopian Airlines (ET)")</f>
        <v>Ethiopian Airlines (ET)</v>
      </c>
      <c r="B120" s="127"/>
      <c r="C120" s="128" t="str">
        <f>IFERROR(__xludf.DUMMYFUNCTION("""COMPUTED_VALUE"""),"customerrelations@ethiopianairlines.com")</f>
        <v>customerrelations@ethiopianairlines.com</v>
      </c>
      <c r="D120" s="129" t="str">
        <f>IFERROR(__xludf.DUMMYFUNCTION("""COMPUTED_VALUE"""),"e-mail")</f>
        <v>e-mail</v>
      </c>
      <c r="E120" s="129" t="str">
        <f>IFERROR(__xludf.DUMMYFUNCTION("""COMPUTED_VALUE"""),"customerrelations@ethiopianairlines.com")</f>
        <v>customerrelations@ethiopianairlines.com</v>
      </c>
      <c r="F120" s="127" t="str">
        <f>IFERROR(__xludf.DUMMYFUNCTION("""COMPUTED_VALUE"""),"Ticket number, ID")</f>
        <v>Ticket number, ID</v>
      </c>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row>
    <row r="121">
      <c r="A121" s="31" t="str">
        <f>IFERROR(__xludf.DUMMYFUNCTION("""COMPUTED_VALUE"""),"Etihad Airways (EY)")</f>
        <v>Etihad Airways (EY)</v>
      </c>
      <c r="B121" s="127"/>
      <c r="C121" s="128" t="str">
        <f>IFERROR(__xludf.DUMMYFUNCTION("""COMPUTED_VALUE"""),"info@etihad.ae")</f>
        <v>info@etihad.ae</v>
      </c>
      <c r="D121" s="129" t="str">
        <f>IFERROR(__xludf.DUMMYFUNCTION("""COMPUTED_VALUE"""),"webform w/ attachment")</f>
        <v>webform w/ attachment</v>
      </c>
      <c r="E121" s="131" t="str">
        <f>IFERROR(__xludf.DUMMYFUNCTION("""COMPUTED_VALUE"""),"https://www.etihad.com/en-us/help/share-feedback/claim-form?intcid=Share_Feedback_Page")</f>
        <v>https://www.etihad.com/en-us/help/share-feedback/claim-form?intcid=Share_Feedback_Page</v>
      </c>
      <c r="F121" s="127" t="str">
        <f>IFERROR(__xludf.DUMMYFUNCTION("""COMPUTED_VALUE"""),"Ticket number")</f>
        <v>Ticket number</v>
      </c>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row>
    <row r="122">
      <c r="A122" s="31" t="str">
        <f>IFERROR(__xludf.DUMMYFUNCTION("""COMPUTED_VALUE"""),"Euro Atlantic Airways (YU)")</f>
        <v>Euro Atlantic Airways (YU)</v>
      </c>
      <c r="B122" s="127"/>
      <c r="C122" s="128" t="str">
        <f>IFERROR(__xludf.DUMMYFUNCTION("""COMPUTED_VALUE"""),"dov@euroatlantic.pt")</f>
        <v>dov@euroatlantic.pt</v>
      </c>
      <c r="D122" s="129" t="str">
        <f>IFERROR(__xludf.DUMMYFUNCTION("""COMPUTED_VALUE"""),"e-mail")</f>
        <v>e-mail</v>
      </c>
      <c r="E122" s="129" t="str">
        <f>IFERROR(__xludf.DUMMYFUNCTION("""COMPUTED_VALUE"""),"dov@euroatlantic.pt")</f>
        <v>dov@euroatlantic.pt</v>
      </c>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row>
    <row r="123">
      <c r="A123" s="31" t="str">
        <f>IFERROR(__xludf.DUMMYFUNCTION("""COMPUTED_VALUE"""),"Euroairlines S.L.")</f>
        <v>Euroairlines S.L.</v>
      </c>
      <c r="B123" s="127"/>
      <c r="C123" s="128" t="str">
        <f>IFERROR(__xludf.DUMMYFUNCTION("""COMPUTED_VALUE"""),"legal@euroairlines.es")</f>
        <v>legal@euroairlines.es</v>
      </c>
      <c r="D123" s="129" t="str">
        <f>IFERROR(__xludf.DUMMYFUNCTION("""COMPUTED_VALUE"""),"email")</f>
        <v>email</v>
      </c>
      <c r="E123" s="129" t="str">
        <f>IFERROR(__xludf.DUMMYFUNCTION("""COMPUTED_VALUE"""),"legal@euroairlines.es")</f>
        <v>legal@euroairlines.es</v>
      </c>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row>
    <row r="124">
      <c r="A124" s="31" t="str">
        <f>IFERROR(__xludf.DUMMYFUNCTION("""COMPUTED_VALUE"""),"ASL Airlines France")</f>
        <v>ASL Airlines France</v>
      </c>
      <c r="B124" s="127"/>
      <c r="C124" s="133" t="str">
        <f>IFERROR(__xludf.DUMMYFUNCTION("""COMPUTED_VALUE"""),"supportclient@aslairlines.com")</f>
        <v>supportclient@aslairlines.com</v>
      </c>
      <c r="D124" s="129" t="str">
        <f>IFERROR(__xludf.DUMMYFUNCTION("""COMPUTED_VALUE"""),"e-mail Password for log in website: 123456")</f>
        <v>e-mail Password for log in website: 123456</v>
      </c>
      <c r="E124" s="131" t="str">
        <f>IFERROR(__xludf.DUMMYFUNCTION("""COMPUTED_VALUE"""),"https://support.aslairlines.fr/en/form/identification/")</f>
        <v>https://support.aslairlines.fr/en/form/identification/</v>
      </c>
      <c r="F124" s="127" t="str">
        <f>IFERROR(__xludf.DUMMYFUNCTION("""COMPUTED_VALUE"""),"Boarding. ID")</f>
        <v>Boarding. ID</v>
      </c>
      <c r="G124" s="127" t="str">
        <f>IFERROR(__xludf.DUMMYFUNCTION("""COMPUTED_VALUE"""),"ASL AIRLINES France
 Service Réclamations
 15 rue du Haut de Laval
 CS 14454 (Tremblay en France)
 95708 Roissy CDG Cédex
 FRANCE")</f>
        <v>ASL AIRLINES France
 Service Réclamations
 15 rue du Haut de Laval
 CS 14454 (Tremblay en France)
 95708 Roissy CDG Cédex
 FRANCE</v>
      </c>
      <c r="H124" s="127" t="str">
        <f>IFERROR(__xludf.DUMMYFUNCTION("""COMPUTED_VALUE"""),"Have to make profile first.")</f>
        <v>Have to make profile first.</v>
      </c>
      <c r="I124" s="127"/>
      <c r="J124" s="127"/>
      <c r="K124" s="127"/>
      <c r="L124" s="127"/>
      <c r="M124" s="127"/>
      <c r="N124" s="127"/>
      <c r="O124" s="127"/>
      <c r="P124" s="127"/>
      <c r="Q124" s="127"/>
      <c r="R124" s="127"/>
      <c r="S124" s="127"/>
      <c r="T124" s="127"/>
      <c r="U124" s="127"/>
      <c r="V124" s="127"/>
      <c r="W124" s="127"/>
      <c r="X124" s="127"/>
      <c r="Y124" s="127"/>
      <c r="Z124" s="127"/>
      <c r="AA124" s="127"/>
      <c r="AB124" s="127"/>
    </row>
    <row r="125">
      <c r="A125" s="31" t="str">
        <f>IFERROR(__xludf.DUMMYFUNCTION("""COMPUTED_VALUE"""),"Eurowings (EW)")</f>
        <v>Eurowings (EW)</v>
      </c>
      <c r="B125" s="127"/>
      <c r="C125" s="128" t="str">
        <f>IFERROR(__xludf.DUMMYFUNCTION("""COMPUTED_VALUE"""),"dccm@eurowings.com")</f>
        <v>dccm@eurowings.com</v>
      </c>
      <c r="D125" s="129" t="str">
        <f>IFERROR(__xludf.DUMMYFUNCTION("""COMPUTED_VALUE"""),"webform w/o attachment")</f>
        <v>webform w/o attachment</v>
      </c>
      <c r="E125" s="131" t="str">
        <f>IFERROR(__xludf.DUMMYFUNCTION("""COMPUTED_VALUE"""),"https://www.eurowings.com/en/faq/flight-disruptions/claims-and-compensation.html")</f>
        <v>https://www.eurowings.com/en/faq/flight-disruptions/claims-and-compensation.html</v>
      </c>
      <c r="F125" s="127"/>
      <c r="G125" s="132" t="str">
        <f>IFERROR(__xludf.DUMMYFUNCTION("""COMPUTED_VALUE"""),"https://www.eurowings.com/claimtool")</f>
        <v>https://www.eurowings.com/claimtool</v>
      </c>
      <c r="H125" s="127"/>
      <c r="I125" s="127"/>
      <c r="J125" s="127"/>
      <c r="K125" s="127"/>
      <c r="L125" s="127"/>
      <c r="M125" s="127"/>
      <c r="N125" s="127"/>
      <c r="O125" s="127"/>
      <c r="P125" s="127"/>
      <c r="Q125" s="127"/>
      <c r="R125" s="127"/>
      <c r="S125" s="127"/>
      <c r="T125" s="127"/>
      <c r="U125" s="127"/>
      <c r="V125" s="127"/>
      <c r="W125" s="127"/>
      <c r="X125" s="127"/>
      <c r="Y125" s="127"/>
      <c r="Z125" s="127"/>
      <c r="AA125" s="127"/>
      <c r="AB125" s="127"/>
    </row>
    <row r="126">
      <c r="A126" s="31" t="str">
        <f>IFERROR(__xludf.DUMMYFUNCTION("""COMPUTED_VALUE"""),"EVA Airways")</f>
        <v>EVA Airways</v>
      </c>
      <c r="B126" s="127"/>
      <c r="C126" s="128" t="str">
        <f>IFERROR(__xludf.DUMMYFUNCTION("""COMPUTED_VALUE"""),"miltt@evaair.com")</f>
        <v>miltt@evaair.com</v>
      </c>
      <c r="D126" s="129" t="str">
        <f>IFERROR(__xludf.DUMMYFUNCTION("""COMPUTED_VALUE"""),"webform w/ attachment")</f>
        <v>webform w/ attachment</v>
      </c>
      <c r="E126" s="131" t="str">
        <f>IFERROR(__xludf.DUMMYFUNCTION("""COMPUTED_VALUE"""),"https://booking.evaair.com/flyeva/EVA/B2C/feedback.aspx")</f>
        <v>https://booking.evaair.com/flyeva/EVA/B2C/feedback.aspx</v>
      </c>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row>
    <row r="127">
      <c r="A127" s="31" t="str">
        <f>IFERROR(__xludf.DUMMYFUNCTION("""COMPUTED_VALUE"""),"Ewa Air (EWR)")</f>
        <v>Ewa Air (EWR)</v>
      </c>
      <c r="B127" s="127"/>
      <c r="C127" s="128" t="str">
        <f>IFERROR(__xludf.DUMMYFUNCTION("""COMPUTED_VALUE"""),"eservices@ewa-air.com")</f>
        <v>eservices@ewa-air.com</v>
      </c>
      <c r="D127" s="129" t="str">
        <f>IFERROR(__xludf.DUMMYFUNCTION("""COMPUTED_VALUE"""),"webform w/ attachment")</f>
        <v>webform w/ attachment</v>
      </c>
      <c r="E127" s="131" t="str">
        <f>IFERROR(__xludf.DUMMYFUNCTION("""COMPUTED_VALUE"""),"https://sav.ewa-air.com/fr/complaints/new")</f>
        <v>https://sav.ewa-air.com/fr/complaints/new</v>
      </c>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row>
    <row r="128">
      <c r="A128" s="31" t="str">
        <f>IFERROR(__xludf.DUMMYFUNCTION("""COMPUTED_VALUE"""),"Finnair (AY)")</f>
        <v>Finnair (AY)</v>
      </c>
      <c r="B128" s="127"/>
      <c r="C128" s="128" t="str">
        <f>IFERROR(__xludf.DUMMYFUNCTION("""COMPUTED_VALUE"""),"finnair@finnair.com")</f>
        <v>finnair@finnair.com</v>
      </c>
      <c r="D128" s="129" t="str">
        <f>IFERROR(__xludf.DUMMYFUNCTION("""COMPUTED_VALUE"""),"webform w/o attachment")</f>
        <v>webform w/o attachment</v>
      </c>
      <c r="E128" s="131" t="str">
        <f>IFERROR(__xludf.DUMMYFUNCTION("""COMPUTED_VALUE"""),"https://www.finnair.com/en/customer-care-and-contact-information/contact-and-request-forms/feedback-and-compensation")</f>
        <v>https://www.finnair.com/en/customer-care-and-contact-information/contact-and-request-forms/feedback-and-compensation</v>
      </c>
      <c r="F128" s="127"/>
      <c r="G128" s="127" t="str">
        <f>IFERROR(__xludf.DUMMYFUNCTION("""COMPUTED_VALUE"""),"Finnair Plc, 
 Customer Relations SL/403, 
 01053 Finnair, 
 Finland")</f>
        <v>Finnair Plc, 
 Customer Relations SL/403, 
 01053 Finnair, 
 Finland</v>
      </c>
      <c r="H128" s="127"/>
      <c r="I128" s="127"/>
      <c r="J128" s="127"/>
      <c r="K128" s="127"/>
      <c r="L128" s="127"/>
      <c r="M128" s="127"/>
      <c r="N128" s="127"/>
      <c r="O128" s="127"/>
      <c r="P128" s="127"/>
      <c r="Q128" s="127"/>
      <c r="R128" s="127"/>
      <c r="S128" s="127"/>
      <c r="T128" s="127"/>
      <c r="U128" s="127"/>
      <c r="V128" s="127"/>
      <c r="W128" s="127"/>
      <c r="X128" s="127"/>
      <c r="Y128" s="127"/>
      <c r="Z128" s="127"/>
      <c r="AA128" s="127"/>
      <c r="AB128" s="127"/>
    </row>
    <row r="129">
      <c r="A129" s="31" t="str">
        <f>IFERROR(__xludf.DUMMYFUNCTION("""COMPUTED_VALUE"""),"FlexFlight (W2)")</f>
        <v>FlexFlight (W2)</v>
      </c>
      <c r="B129" s="127"/>
      <c r="C129" s="128" t="str">
        <f>IFERROR(__xludf.DUMMYFUNCTION("""COMPUTED_VALUE"""),"info@flexflight.dk")</f>
        <v>info@flexflight.dk</v>
      </c>
      <c r="D129" s="129" t="str">
        <f>IFERROR(__xludf.DUMMYFUNCTION("""COMPUTED_VALUE"""),"e-mail")</f>
        <v>e-mail</v>
      </c>
      <c r="E129" s="129" t="str">
        <f>IFERROR(__xludf.DUMMYFUNCTION("""COMPUTED_VALUE"""),"info@flexflight.dk")</f>
        <v>info@flexflight.dk</v>
      </c>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row>
    <row r="130">
      <c r="A130" s="31" t="str">
        <f>IFERROR(__xludf.DUMMYFUNCTION("""COMPUTED_VALUE"""),"Fly Play ( FPY/ OG)")</f>
        <v>Fly Play ( FPY/ OG)</v>
      </c>
      <c r="B130" s="127" t="str">
        <f>IFERROR(__xludf.DUMMYFUNCTION("""COMPUTED_VALUE"""),"Ceased operations on 29-09-2025")</f>
        <v>Ceased operations on 29-09-2025</v>
      </c>
      <c r="C130" s="128" t="str">
        <f>IFERROR(__xludf.DUMMYFUNCTION("""COMPUTED_VALUE"""),"claims@flyplay.com")</f>
        <v>claims@flyplay.com</v>
      </c>
      <c r="D130" s="129" t="str">
        <f>IFERROR(__xludf.DUMMYFUNCTION("""COMPUTED_VALUE"""),"webform w/ attachment")</f>
        <v>webform w/ attachment</v>
      </c>
      <c r="E130" s="131" t="str">
        <f>IFERROR(__xludf.DUMMYFUNCTION("""COMPUTED_VALUE"""),"https://www.flyplay.com/en/claims")</f>
        <v>https://www.flyplay.com/en/claims</v>
      </c>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row>
    <row r="131">
      <c r="A131" s="31" t="str">
        <f>IFERROR(__xludf.DUMMYFUNCTION("""COMPUTED_VALUE"""),"Fly Baghdad")</f>
        <v>Fly Baghdad</v>
      </c>
      <c r="B131" s="127"/>
      <c r="C131" s="128" t="str">
        <f>IFERROR(__xludf.DUMMYFUNCTION("""COMPUTED_VALUE"""),"moreinfo@flybaghdad.net")</f>
        <v>moreinfo@flybaghdad.net</v>
      </c>
      <c r="D131" s="129"/>
      <c r="E131" s="131" t="str">
        <f>IFERROR(__xludf.DUMMYFUNCTION("""COMPUTED_VALUE"""),"https://www.flybaghdad.iq/en/feedback/")</f>
        <v>https://www.flybaghdad.iq/en/feedback/</v>
      </c>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row>
    <row r="132">
      <c r="A132" s="31" t="str">
        <f>IFERROR(__xludf.DUMMYFUNCTION("""COMPUTED_VALUE"""),"Flydubai")</f>
        <v>Flydubai</v>
      </c>
      <c r="B132" s="127"/>
      <c r="C132" s="128" t="str">
        <f>IFERROR(__xludf.DUMMYFUNCTION("""COMPUTED_VALUE"""),"letstalk@flydubai.com")</f>
        <v>letstalk@flydubai.com</v>
      </c>
      <c r="D132" s="129" t="str">
        <f>IFERROR(__xludf.DUMMYFUNCTION("""COMPUTED_VALUE"""),"webform w/ attachment")</f>
        <v>webform w/ attachment</v>
      </c>
      <c r="E132" s="131" t="str">
        <f>IFERROR(__xludf.DUMMYFUNCTION("""COMPUTED_VALUE"""),"https://www.flydubai.com/en/help/contact-us-form")</f>
        <v>https://www.flydubai.com/en/help/contact-us-form</v>
      </c>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row>
    <row r="133">
      <c r="A133" s="31" t="str">
        <f>IFERROR(__xludf.DUMMYFUNCTION("""COMPUTED_VALUE"""),"FlyErbil")</f>
        <v>FlyErbil</v>
      </c>
      <c r="B133" s="127"/>
      <c r="C133" s="128"/>
      <c r="D133" s="129" t="str">
        <f>IFERROR(__xludf.DUMMYFUNCTION("""COMPUTED_VALUE"""),"webform w/o attachment")</f>
        <v>webform w/o attachment</v>
      </c>
      <c r="E133" s="131" t="str">
        <f>IFERROR(__xludf.DUMMYFUNCTION("""COMPUTED_VALUE"""),"https://www.flyebl.com/dussseldorf-office/")</f>
        <v>https://www.flyebl.com/dussseldorf-office/</v>
      </c>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row>
    <row r="134">
      <c r="A134" s="31" t="str">
        <f>IFERROR(__xludf.DUMMYFUNCTION("""COMPUTED_VALUE"""),"Flyegypt")</f>
        <v>Flyegypt</v>
      </c>
      <c r="B134" s="127" t="str">
        <f>IFERROR(__xludf.DUMMYFUNCTION("""COMPUTED_VALUE"""),"Ceased operations on October 21, 2024")</f>
        <v>Ceased operations on October 21, 2024</v>
      </c>
      <c r="C134" s="128" t="str">
        <f>IFERROR(__xludf.DUMMYFUNCTION("""COMPUTED_VALUE"""),"reservations@flyegypt.com")</f>
        <v>reservations@flyegypt.com</v>
      </c>
      <c r="D134" s="129" t="str">
        <f>IFERROR(__xludf.DUMMYFUNCTION("""COMPUTED_VALUE""")," ")</f>
        <v> </v>
      </c>
      <c r="E134" s="129" t="str">
        <f>IFERROR(__xludf.DUMMYFUNCTION("""COMPUTED_VALUE"""),"reservations@flyegypt.com")</f>
        <v>reservations@flyegypt.com</v>
      </c>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row>
    <row r="135">
      <c r="A135" s="31" t="str">
        <f>IFERROR(__xludf.DUMMYFUNCTION("""COMPUTED_VALUE"""),"Fly Jinnah")</f>
        <v>Fly Jinnah</v>
      </c>
      <c r="B135" s="127"/>
      <c r="C135" s="128" t="str">
        <f>IFERROR(__xludf.DUMMYFUNCTION("""COMPUTED_VALUE"""),"contactus@flyjinnah.com")</f>
        <v>contactus@flyjinnah.com</v>
      </c>
      <c r="D135" s="129" t="str">
        <f>IFERROR(__xludf.DUMMYFUNCTION("""COMPUTED_VALUE"""),"E-mail")</f>
        <v>E-mail</v>
      </c>
      <c r="E135" s="129"/>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row>
    <row r="136">
      <c r="A136" s="31" t="str">
        <f>IFERROR(__xludf.DUMMYFUNCTION("""COMPUTED_VALUE"""),"Fly Level SL")</f>
        <v>Fly Level SL</v>
      </c>
      <c r="B136" s="127"/>
      <c r="C136" s="128" t="str">
        <f>IFERROR(__xludf.DUMMYFUNCTION("""COMPUTED_VALUE"""),"care@flylevel.com")</f>
        <v>care@flylevel.com</v>
      </c>
      <c r="D136" s="129"/>
      <c r="E136" s="131" t="str">
        <f>IFERROR(__xludf.DUMMYFUNCTION("""COMPUTED_VALUE"""),"https://webformlevel.bsqd.me/")</f>
        <v>https://webformlevel.bsqd.me/</v>
      </c>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row>
    <row r="137">
      <c r="A137" s="31" t="str">
        <f>IFERROR(__xludf.DUMMYFUNCTION("""COMPUTED_VALUE""")," FlyLili")</f>
        <v> FlyLili</v>
      </c>
      <c r="B137" s="127"/>
      <c r="C137" s="128" t="str">
        <f>IFERROR(__xludf.DUMMYFUNCTION("""COMPUTED_VALUE"""),"contact@flylili.com")</f>
        <v>contact@flylili.com</v>
      </c>
      <c r="D137" s="129" t="str">
        <f>IFERROR(__xludf.DUMMYFUNCTION("""COMPUTED_VALUE"""),"e-mail")</f>
        <v>e-mail</v>
      </c>
      <c r="E137" s="129" t="str">
        <f>IFERROR(__xludf.DUMMYFUNCTION("""COMPUTED_VALUE"""),"contact@flylili.com")</f>
        <v>contact@flylili.com</v>
      </c>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row>
    <row r="138">
      <c r="A138" s="31" t="str">
        <f>IFERROR(__xludf.DUMMYFUNCTION("""COMPUTED_VALUE"""),"Flynas")</f>
        <v>Flynas</v>
      </c>
      <c r="B138" s="127"/>
      <c r="C138" s="128" t="str">
        <f>IFERROR(__xludf.DUMMYFUNCTION("""COMPUTED_VALUE"""),"CSU@flynas.com")</f>
        <v>CSU@flynas.com</v>
      </c>
      <c r="D138" s="129" t="str">
        <f>IFERROR(__xludf.DUMMYFUNCTION("""COMPUTED_VALUE"""),"e-mail")</f>
        <v>e-mail</v>
      </c>
      <c r="E138" s="129" t="str">
        <f>IFERROR(__xludf.DUMMYFUNCTION("""COMPUTED_VALUE"""),"CSU@flynas.com")</f>
        <v>CSU@flynas.com</v>
      </c>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row>
    <row r="139">
      <c r="A139" s="31" t="str">
        <f>IFERROR(__xludf.DUMMYFUNCTION("""COMPUTED_VALUE"""),"FlyOne")</f>
        <v>FlyOne</v>
      </c>
      <c r="B139" s="127" t="str">
        <f>IFERROR(__xludf.DUMMYFUNCTION("""COMPUTED_VALUE"""),"Sends reference in email after submission")</f>
        <v>Sends reference in email after submission</v>
      </c>
      <c r="C139" s="128" t="str">
        <f>IFERROR(__xludf.DUMMYFUNCTION("""COMPUTED_VALUE"""),"claims@flyone.eu")</f>
        <v>claims@flyone.eu</v>
      </c>
      <c r="D139" s="129" t="str">
        <f>IFERROR(__xludf.DUMMYFUNCTION("""COMPUTED_VALUE"""),"webform w/ attachment")</f>
        <v>webform w/ attachment</v>
      </c>
      <c r="E139" s="131" t="str">
        <f>IFERROR(__xludf.DUMMYFUNCTION("""COMPUTED_VALUE"""),"https://flyone.eu/en/Contact/Contact-us")</f>
        <v>https://flyone.eu/en/Contact/Contact-us</v>
      </c>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row>
    <row r="140">
      <c r="A140" s="31" t="str">
        <f>IFERROR(__xludf.DUMMYFUNCTION("""COMPUTED_VALUE"""),"Fly2Sky")</f>
        <v>Fly2Sky</v>
      </c>
      <c r="B140" s="127"/>
      <c r="C140" s="128" t="str">
        <f>IFERROR(__xludf.DUMMYFUNCTION("""COMPUTED_VALUE"""),"feedback@fly2sky.aero")</f>
        <v>feedback@fly2sky.aero</v>
      </c>
      <c r="D140" s="129" t="str">
        <f>IFERROR(__xludf.DUMMYFUNCTION("""COMPUTED_VALUE"""),"e-mail")</f>
        <v>e-mail</v>
      </c>
      <c r="E140" s="129" t="str">
        <f>IFERROR(__xludf.DUMMYFUNCTION("""COMPUTED_VALUE"""),"feedback@fly2sky.aero")</f>
        <v>feedback@fly2sky.aero</v>
      </c>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row>
    <row r="141">
      <c r="A141" s="31" t="str">
        <f>IFERROR(__xludf.DUMMYFUNCTION("""COMPUTED_VALUE"""),"FreeBird (FH)")</f>
        <v>FreeBird (FH)</v>
      </c>
      <c r="B141" s="127"/>
      <c r="C141" s="128" t="str">
        <f>IFERROR(__xludf.DUMMYFUNCTION("""COMPUTED_VALUE"""),"customerservices@freebirdairlines.com")</f>
        <v>customerservices@freebirdairlines.com</v>
      </c>
      <c r="D141" s="129" t="str">
        <f>IFERROR(__xludf.DUMMYFUNCTION("""COMPUTED_VALUE"""),"webform w/ attachment")</f>
        <v>webform w/ attachment</v>
      </c>
      <c r="E141" s="131" t="str">
        <f>IFERROR(__xludf.DUMMYFUNCTION("""COMPUTED_VALUE"""),"https://www.freebirdairlines.com/customer-relations")</f>
        <v>https://www.freebirdairlines.com/customer-relations</v>
      </c>
      <c r="F141" s="127" t="str">
        <f>IFERROR(__xludf.DUMMYFUNCTION("""COMPUTED_VALUE"""),"Currently using email as Webform not working")</f>
        <v>Currently using email as Webform not working</v>
      </c>
      <c r="G141" s="127" t="str">
        <f>IFERROR(__xludf.DUMMYFUNCTION("""COMPUTED_VALUE"""),"If webform does not work, have use the email")</f>
        <v>If webform does not work, have use the email</v>
      </c>
      <c r="H141" s="127"/>
      <c r="I141" s="127"/>
      <c r="J141" s="127"/>
      <c r="K141" s="127"/>
      <c r="L141" s="127"/>
      <c r="M141" s="127"/>
      <c r="N141" s="127"/>
      <c r="O141" s="127"/>
      <c r="P141" s="127"/>
      <c r="Q141" s="127"/>
      <c r="R141" s="127"/>
      <c r="S141" s="127"/>
      <c r="T141" s="127"/>
      <c r="U141" s="127"/>
      <c r="V141" s="127"/>
      <c r="W141" s="127"/>
      <c r="X141" s="127"/>
      <c r="Y141" s="127"/>
      <c r="Z141" s="127"/>
      <c r="AA141" s="127"/>
      <c r="AB141" s="127"/>
    </row>
    <row r="142">
      <c r="A142" s="31" t="str">
        <f>IFERROR(__xludf.DUMMYFUNCTION("""COMPUTED_VALUE"""),"French Bee")</f>
        <v>French Bee</v>
      </c>
      <c r="B142" s="127"/>
      <c r="C142" s="128" t="str">
        <f>IFERROR(__xludf.DUMMYFUNCTION("""COMPUTED_VALUE"""),"customercare@frenchbee.com")</f>
        <v>customercare@frenchbee.com</v>
      </c>
      <c r="D142" s="129"/>
      <c r="E142" s="131" t="str">
        <f>IFERROR(__xludf.DUMMYFUNCTION("""COMPUTED_VALUE"""),"https://www.frenchbee.com/en/claims")</f>
        <v>https://www.frenchbee.com/en/claims</v>
      </c>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row>
    <row r="143">
      <c r="A143" s="31" t="str">
        <f>IFERROR(__xludf.DUMMYFUNCTION("""COMPUTED_VALUE"""),"Frontier airlines (F9)")</f>
        <v>Frontier airlines (F9)</v>
      </c>
      <c r="B143" s="127"/>
      <c r="C143" s="128" t="str">
        <f>IFERROR(__xludf.DUMMYFUNCTION("""COMPUTED_VALUE"""),"frontierairlines@mailca.custhelp.com")</f>
        <v>frontierairlines@mailca.custhelp.com</v>
      </c>
      <c r="D143" s="129" t="str">
        <f>IFERROR(__xludf.DUMMYFUNCTION("""COMPUTED_VALUE"""),"webform w/ attachment")</f>
        <v>webform w/ attachment</v>
      </c>
      <c r="E143" s="131" t="str">
        <f>IFERROR(__xludf.DUMMYFUNCTION("""COMPUTED_VALUE"""),"https://frontiercswprod.powerappsportals.com/contact-us/request-complaint-form/")</f>
        <v>https://frontiercswprod.powerappsportals.com/contact-us/request-complaint-form/</v>
      </c>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row>
    <row r="144">
      <c r="A144" s="31" t="str">
        <f>IFERROR(__xludf.DUMMYFUNCTION("""COMPUTED_VALUE"""),"German Airways")</f>
        <v>German Airways</v>
      </c>
      <c r="B144" s="127"/>
      <c r="C144" s="128" t="str">
        <f>IFERROR(__xludf.DUMMYFUNCTION("""COMPUTED_VALUE"""),"info@germanairways.com")</f>
        <v>info@germanairways.com</v>
      </c>
      <c r="D144" s="129"/>
      <c r="E144" s="131" t="str">
        <f>IFERROR(__xludf.DUMMYFUNCTION("""COMPUTED_VALUE"""),"https://germanairways.com/kontakt")</f>
        <v>https://germanairways.com/kontakt</v>
      </c>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row>
    <row r="145">
      <c r="A145" s="31" t="str">
        <f>IFERROR(__xludf.DUMMYFUNCTION("""COMPUTED_VALUE"""),"Getjet (GW)")</f>
        <v>Getjet (GW)</v>
      </c>
      <c r="B145" s="127"/>
      <c r="C145" s="128" t="str">
        <f>IFERROR(__xludf.DUMMYFUNCTION("""COMPUTED_VALUE"""),"passengers@getjet.aero")</f>
        <v>passengers@getjet.aero</v>
      </c>
      <c r="D145" s="129" t="str">
        <f>IFERROR(__xludf.DUMMYFUNCTION("""COMPUTED_VALUE"""),"e-mail")</f>
        <v>e-mail</v>
      </c>
      <c r="E145" s="129" t="str">
        <f>IFERROR(__xludf.DUMMYFUNCTION("""COMPUTED_VALUE"""),"passengers@getjet.aero")</f>
        <v>passengers@getjet.aero</v>
      </c>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row>
    <row r="146">
      <c r="A146" s="31" t="str">
        <f>IFERROR(__xludf.DUMMYFUNCTION("""COMPUTED_VALUE"""),"GOL (G3)")</f>
        <v>GOL (G3)</v>
      </c>
      <c r="B146" s="127"/>
      <c r="C146" s="128" t="str">
        <f>IFERROR(__xludf.DUMMYFUNCTION("""COMPUTED_VALUE"""),"agencia.inter@voegol.com.br")</f>
        <v>agencia.inter@voegol.com.br</v>
      </c>
      <c r="D146" s="129" t="str">
        <f>IFERROR(__xludf.DUMMYFUNCTION("""COMPUTED_VALUE"""),"e-mail")</f>
        <v>e-mail</v>
      </c>
      <c r="E146" s="129" t="str">
        <f>IFERROR(__xludf.DUMMYFUNCTION("""COMPUTED_VALUE"""),"agencia.inter@voegol.com.br")</f>
        <v>agencia.inter@voegol.com.br</v>
      </c>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row>
    <row r="147">
      <c r="A147" s="31" t="str">
        <f>IFERROR(__xludf.DUMMYFUNCTION("""COMPUTED_VALUE"""),"GP Aviation Switzerland GmbH")</f>
        <v>GP Aviation Switzerland GmbH</v>
      </c>
      <c r="B147" s="127"/>
      <c r="C147" s="128" t="str">
        <f>IFERROR(__xludf.DUMMYFUNCTION("""COMPUTED_VALUE"""),"service.center@gp-aviation.net")</f>
        <v>service.center@gp-aviation.net</v>
      </c>
      <c r="D147" s="129" t="str">
        <f>IFERROR(__xludf.DUMMYFUNCTION("""COMPUTED_VALUE"""),"email")</f>
        <v>email</v>
      </c>
      <c r="E147" s="131" t="str">
        <f>IFERROR(__xludf.DUMMYFUNCTION("""COMPUTED_VALUE"""),"https://gp-aviation.ch/refund-claims/")</f>
        <v>https://gp-aviation.ch/refund-claims/</v>
      </c>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row>
    <row r="148">
      <c r="A148" s="31" t="str">
        <f>IFERROR(__xludf.DUMMYFUNCTION("""COMPUTED_VALUE"""),"Grupo Taca (TA)")</f>
        <v>Grupo Taca (TA)</v>
      </c>
      <c r="B148" s="127"/>
      <c r="C148" s="128" t="str">
        <f>IFERROR(__xludf.DUMMYFUNCTION("""COMPUTED_VALUE"""),"e_solutions@centrosolucionavianca.com")</f>
        <v>e_solutions@centrosolucionavianca.com</v>
      </c>
      <c r="D148" s="129" t="str">
        <f>IFERROR(__xludf.DUMMYFUNCTION("""COMPUTED_VALUE"""),"webform w/o attachment")</f>
        <v>webform w/o attachment</v>
      </c>
      <c r="E148" s="129"/>
      <c r="F148" s="127"/>
      <c r="G148" s="127"/>
      <c r="H148" s="127" t="str">
        <f>IFERROR(__xludf.DUMMYFUNCTION("""COMPUTED_VALUE"""),"Merged with the Colombian airline Avianca")</f>
        <v>Merged with the Colombian airline Avianca</v>
      </c>
      <c r="I148" s="127"/>
      <c r="J148" s="127"/>
      <c r="K148" s="127"/>
      <c r="L148" s="127"/>
      <c r="M148" s="127"/>
      <c r="N148" s="127"/>
      <c r="O148" s="127"/>
      <c r="P148" s="127"/>
      <c r="Q148" s="127"/>
      <c r="R148" s="127"/>
      <c r="S148" s="127"/>
      <c r="T148" s="127"/>
      <c r="U148" s="127"/>
      <c r="V148" s="127"/>
      <c r="W148" s="127"/>
      <c r="X148" s="127"/>
      <c r="Y148" s="127"/>
      <c r="Z148" s="127"/>
      <c r="AA148" s="127"/>
      <c r="AB148" s="127"/>
    </row>
    <row r="149">
      <c r="A149" s="31" t="str">
        <f>IFERROR(__xludf.DUMMYFUNCTION("""COMPUTED_VALUE"""),"Gulf Air (GF)")</f>
        <v>Gulf Air (GF)</v>
      </c>
      <c r="B149" s="127"/>
      <c r="C149" s="128" t="str">
        <f>IFERROR(__xludf.DUMMYFUNCTION("""COMPUTED_VALUE"""),"e.customercare@gulfair.com, wwcc.support@gulfair.com, 
 customer.care@gulfair.com")</f>
        <v>e.customercare@gulfair.com, wwcc.support@gulfair.com, 
 customer.care@gulfair.com</v>
      </c>
      <c r="D149" s="129" t="str">
        <f>IFERROR(__xludf.DUMMYFUNCTION("""COMPUTED_VALUE"""),"webform w/o attachment")</f>
        <v>webform w/o attachment</v>
      </c>
      <c r="E149" s="131" t="str">
        <f>IFERROR(__xludf.DUMMYFUNCTION("""COMPUTED_VALUE"""),"https://falconflyer.gulfair.com/#/feedback?_gl=1*1aohqop*_ga*MTg1MTU2OTQwMi4xNzAzMjcwMzc5*_ga_0QVNSNCG0T*MTcwMzI3MDM3OC4xLjEuMTcwMzI3MDUxNi4yNS4wLjA.")</f>
        <v>https://falconflyer.gulfair.com/#/feedback?_gl=1*1aohqop*_ga*MTg1MTU2OTQwMi4xNzAzMjcwMzc5*_ga_0QVNSNCG0T*MTcwMzI3MDM3OC4xLjEuMTcwMzI3MDUxNi4yNS4wLjA.</v>
      </c>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row>
    <row r="150">
      <c r="A150" s="31" t="str">
        <f>IFERROR(__xludf.DUMMYFUNCTION("""COMPUTED_VALUE"""),"Hainan Airlines")</f>
        <v>Hainan Airlines</v>
      </c>
      <c r="B150" s="127"/>
      <c r="C150" s="128" t="str">
        <f>IFERROR(__xludf.DUMMYFUNCTION("""COMPUTED_VALUE"""),"bzchbcl@hnair.com")</f>
        <v>bzchbcl@hnair.com</v>
      </c>
      <c r="D150" s="129" t="str">
        <f>IFERROR(__xludf.DUMMYFUNCTION("""COMPUTED_VALUE"""),"e-mail")</f>
        <v>e-mail</v>
      </c>
      <c r="E150" s="129" t="str">
        <f>IFERROR(__xludf.DUMMYFUNCTION("""COMPUTED_VALUE"""),"bzchbcl@hnair.com")</f>
        <v>bzchbcl@hnair.com</v>
      </c>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row>
    <row r="151">
      <c r="A151" s="31" t="str">
        <f>IFERROR(__xludf.DUMMYFUNCTION("""COMPUTED_VALUE"""),"Hayways")</f>
        <v>Hayways</v>
      </c>
      <c r="B151" s="127"/>
      <c r="C151" s="128" t="str">
        <f>IFERROR(__xludf.DUMMYFUNCTION("""COMPUTED_VALUE"""),"info@hayways.aero")</f>
        <v>info@hayways.aero</v>
      </c>
      <c r="D151" s="129" t="str">
        <f>IFERROR(__xludf.DUMMYFUNCTION("""COMPUTED_VALUE"""),"webform w/o attachment")</f>
        <v>webform w/o attachment</v>
      </c>
      <c r="E151" s="131" t="str">
        <f>IFERROR(__xludf.DUMMYFUNCTION("""COMPUTED_VALUE"""),"https://hayways.aero/#[object%20Object]")</f>
        <v>https://hayways.aero/#[object%20Object]</v>
      </c>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row>
    <row r="152">
      <c r="A152" s="31" t="str">
        <f>IFERROR(__xludf.DUMMYFUNCTION("""COMPUTED_VALUE"""),"Helvetic Airways (SL)")</f>
        <v>Helvetic Airways (SL)</v>
      </c>
      <c r="B152" s="127"/>
      <c r="C152" s="133" t="str">
        <f>IFERROR(__xludf.DUMMYFUNCTION("""COMPUTED_VALUE"""),"https://www.helvetic.com/en/contact/servicecenter")</f>
        <v>https://www.helvetic.com/en/contact/servicecenter</v>
      </c>
      <c r="D152" s="129" t="str">
        <f>IFERROR(__xludf.DUMMYFUNCTION("""COMPUTED_VALUE"""),"webform w/o attachment")</f>
        <v>webform w/o attachment</v>
      </c>
      <c r="E152" s="129" t="str">
        <f>IFERROR(__xludf.DUMMYFUNCTION("""COMPUTED_VALUE"""),"info@helvetic.com")</f>
        <v>info@helvetic.com</v>
      </c>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row>
    <row r="153">
      <c r="A153" s="31" t="str">
        <f>IFERROR(__xludf.DUMMYFUNCTION("""COMPUTED_VALUE"""),"Hi Fly (5K)")</f>
        <v>Hi Fly (5K)</v>
      </c>
      <c r="B153" s="127"/>
      <c r="C153" s="128" t="str">
        <f>IFERROR(__xludf.DUMMYFUNCTION("""COMPUTED_VALUE"""),"dov@hifly.aero")</f>
        <v>dov@hifly.aero</v>
      </c>
      <c r="D153" s="129" t="str">
        <f>IFERROR(__xludf.DUMMYFUNCTION("""COMPUTED_VALUE"""),"e-mail")</f>
        <v>e-mail</v>
      </c>
      <c r="E153" s="129" t="str">
        <f>IFERROR(__xludf.DUMMYFUNCTION("""COMPUTED_VALUE"""),"hifly@hifly.aero")</f>
        <v>hifly@hifly.aero</v>
      </c>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row>
    <row r="154">
      <c r="A154" s="31" t="str">
        <f>IFERROR(__xludf.DUMMYFUNCTION("""COMPUTED_VALUE"""),"Hisky Europe Srl")</f>
        <v>Hisky Europe Srl</v>
      </c>
      <c r="B154" s="127"/>
      <c r="C154" s="128" t="str">
        <f>IFERROR(__xludf.DUMMYFUNCTION("""COMPUTED_VALUE"""),"claims@hisky.aero")</f>
        <v>claims@hisky.aero</v>
      </c>
      <c r="D154" s="129" t="str">
        <f>IFERROR(__xludf.DUMMYFUNCTION("""COMPUTED_VALUE"""),"claims@hisky.aero")</f>
        <v>claims@hisky.aero</v>
      </c>
      <c r="E154" s="129" t="str">
        <f>IFERROR(__xludf.DUMMYFUNCTION("""COMPUTED_VALUE"""),"claims@hisky.aero")</f>
        <v>claims@hisky.aero</v>
      </c>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row>
    <row r="155">
      <c r="A155" s="31" t="str">
        <f>IFERROR(__xludf.DUMMYFUNCTION("""COMPUTED_VALUE"""),"HOP!-Regional (A5)")</f>
        <v>HOP!-Regional (A5)</v>
      </c>
      <c r="B155" s="127"/>
      <c r="C155" s="128" t="str">
        <f>IFERROR(__xludf.DUMMYFUNCTION("""COMPUTED_VALUE"""),"groupes@hop.fr")</f>
        <v>groupes@hop.fr</v>
      </c>
      <c r="D155" s="129" t="str">
        <f>IFERROR(__xludf.DUMMYFUNCTION("""COMPUTED_VALUE"""),"webform w/ attachment")</f>
        <v>webform w/ attachment</v>
      </c>
      <c r="E155" s="129" t="str">
        <f>IFERROR(__xludf.DUMMYFUNCTION("""COMPUTED_VALUE"""),"Have to send to Air France")</f>
        <v>Have to send to Air France</v>
      </c>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row>
    <row r="156">
      <c r="A156" s="31" t="str">
        <f>IFERROR(__xludf.DUMMYFUNCTION("""COMPUTED_VALUE"""),"Iberia (IB)")</f>
        <v>Iberia (IB)</v>
      </c>
      <c r="B156" s="127"/>
      <c r="C156" s="128" t="str">
        <f>IFERROR(__xludf.DUMMYFUNCTION("""COMPUTED_VALUE"""),"servicerecoveryteam@iberia.es")</f>
        <v>servicerecoveryteam@iberia.es</v>
      </c>
      <c r="D156" s="129" t="str">
        <f>IFERROR(__xludf.DUMMYFUNCTION("""COMPUTED_VALUE"""),"webform w/ attachment")</f>
        <v>webform w/ attachment</v>
      </c>
      <c r="E156" s="131" t="str">
        <f>IFERROR(__xludf.DUMMYFUNCTION("""COMPUTED_VALUE"""),"https://www.iberia.com/gb/customer-relations/")</f>
        <v>https://www.iberia.com/gb/customer-relations/</v>
      </c>
      <c r="F156" s="127" t="str">
        <f>IFERROR(__xludf.DUMMYFUNCTION("""COMPUTED_VALUE"""),"Ticket number, Passportnumber/ National Identity Card number/ Spanish Residence card number")</f>
        <v>Ticket number, Passportnumber/ National Identity Card number/ Spanish Residence card number</v>
      </c>
      <c r="G156" s="127" t="str">
        <f>IFERROR(__xludf.DUMMYFUNCTION("""COMPUTED_VALUE"""),"Needs ticket number")</f>
        <v>Needs ticket number</v>
      </c>
      <c r="H156" s="127"/>
      <c r="I156" s="127"/>
      <c r="J156" s="127"/>
      <c r="K156" s="127"/>
      <c r="L156" s="127"/>
      <c r="M156" s="127"/>
      <c r="N156" s="127"/>
      <c r="O156" s="127"/>
      <c r="P156" s="127"/>
      <c r="Q156" s="127"/>
      <c r="R156" s="127"/>
      <c r="S156" s="127"/>
      <c r="T156" s="127"/>
      <c r="U156" s="127"/>
      <c r="V156" s="127"/>
      <c r="W156" s="127"/>
      <c r="X156" s="127"/>
      <c r="Y156" s="127"/>
      <c r="Z156" s="127"/>
      <c r="AA156" s="127"/>
      <c r="AB156" s="127"/>
    </row>
    <row r="157">
      <c r="A157" s="31" t="str">
        <f>IFERROR(__xludf.DUMMYFUNCTION("""COMPUTED_VALUE"""),"Iberojet Airlines")</f>
        <v>Iberojet Airlines</v>
      </c>
      <c r="B157" s="127"/>
      <c r="C157" s="128" t="str">
        <f>IFERROR(__xludf.DUMMYFUNCTION("""COMPUTED_VALUE"""),"calidad@avoris.zendesk.com")</f>
        <v>calidad@avoris.zendesk.com</v>
      </c>
      <c r="D157" s="129" t="str">
        <f>IFERROR(__xludf.DUMMYFUNCTION("""COMPUTED_VALUE"""),"login email: legal@refly.org  /  Pass: Fkk4erdF2025")</f>
        <v>login email: legal@refly.org  /  Pass: Fkk4erdF2025</v>
      </c>
      <c r="E157" s="131" t="str">
        <f>IFERROR(__xludf.DUMMYFUNCTION("""COMPUTED_VALUE"""),"https://www.iberojet.com/en/claims")</f>
        <v>https://www.iberojet.com/en/claims</v>
      </c>
      <c r="F157" s="132" t="str">
        <f>IFERROR(__xludf.DUMMYFUNCTION("""COMPUTED_VALUE"""),"https://www.iberojet.com/es/solicitudes/reclamaciones")</f>
        <v>https://www.iberojet.com/es/solicitudes/reclamaciones</v>
      </c>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row>
    <row r="158">
      <c r="A158" s="31" t="str">
        <f>IFERROR(__xludf.DUMMYFUNCTION("""COMPUTED_VALUE"""),"Icelandair (FI)")</f>
        <v>Icelandair (FI)</v>
      </c>
      <c r="B158" s="127"/>
      <c r="C158" s="128" t="str">
        <f>IFERROR(__xludf.DUMMYFUNCTION("""COMPUTED_VALUE"""),"uk@icelandair.is denmark@icelandair.is")</f>
        <v>uk@icelandair.is denmark@icelandair.is</v>
      </c>
      <c r="D158" s="129" t="str">
        <f>IFERROR(__xludf.DUMMYFUNCTION("""COMPUTED_VALUE"""),"e-mail")</f>
        <v>e-mail</v>
      </c>
      <c r="E158" s="129" t="str">
        <f>IFERROR(__xludf.DUMMYFUNCTION("""COMPUTED_VALUE"""),"thirdpartyclaimsupport@icelandair.is")</f>
        <v>thirdpartyclaimsupport@icelandair.is</v>
      </c>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row>
    <row r="159">
      <c r="A159" s="31" t="str">
        <f>IFERROR(__xludf.DUMMYFUNCTION("""COMPUTED_VALUE""")," IndiGo Airlines")</f>
        <v> IndiGo Airlines</v>
      </c>
      <c r="B159" s="127"/>
      <c r="C159" s="128" t="str">
        <f>IFERROR(__xludf.DUMMYFUNCTION("""COMPUTED_VALUE"""),"customer.experience@goindigo.in")</f>
        <v>customer.experience@goindigo.in</v>
      </c>
      <c r="D159" s="129" t="str">
        <f>IFERROR(__xludf.DUMMYFUNCTION("""COMPUTED_VALUE"""),"webform w/o attachment")</f>
        <v>webform w/o attachment</v>
      </c>
      <c r="E159" s="131" t="str">
        <f>IFERROR(__xludf.DUMMYFUNCTION("""COMPUTED_VALUE"""),"https://interglobe.my.site.com/claim/s/compensation-claim")</f>
        <v>https://interglobe.my.site.com/claim/s/compensation-claim</v>
      </c>
      <c r="F159" s="127" t="str">
        <f>IFERROR(__xludf.DUMMYFUNCTION("""COMPUTED_VALUE"""),"DOB")</f>
        <v>DOB</v>
      </c>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row>
    <row r="160">
      <c r="A160" s="31" t="str">
        <f>IFERROR(__xludf.DUMMYFUNCTION("""COMPUTED_VALUE"""),"Indonesia AirAsia (QZ)")</f>
        <v>Indonesia AirAsia (QZ)</v>
      </c>
      <c r="B160" s="127"/>
      <c r="C160" s="128" t="str">
        <f>IFERROR(__xludf.DUMMYFUNCTION("""COMPUTED_VALUE"""),"madeellen@airasia.com")</f>
        <v>madeellen@airasia.com</v>
      </c>
      <c r="D160" s="129"/>
      <c r="E160" s="129" t="str">
        <f>IFERROR(__xludf.DUMMYFUNCTION("""COMPUTED_VALUE"""),"Chat bot ( Hvae to check later)")</f>
        <v>Chat bot ( Hvae to check later)</v>
      </c>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row>
    <row r="161">
      <c r="A161" s="31" t="str">
        <f>IFERROR(__xludf.DUMMYFUNCTION("""COMPUTED_VALUE"""),"InterCaribbean Airways (JY)")</f>
        <v>InterCaribbean Airways (JY)</v>
      </c>
      <c r="B161" s="127"/>
      <c r="C161" s="128" t="str">
        <f>IFERROR(__xludf.DUMMYFUNCTION("""COMPUTED_VALUE"""),"customerservice@intercaribbean.com")</f>
        <v>customerservice@intercaribbean.com</v>
      </c>
      <c r="D161" s="129" t="str">
        <f>IFERROR(__xludf.DUMMYFUNCTION("""COMPUTED_VALUE"""),"webform w/o attachment")</f>
        <v>webform w/o attachment</v>
      </c>
      <c r="E161" s="131" t="str">
        <f>IFERROR(__xludf.DUMMYFUNCTION("""COMPUTED_VALUE"""),"https://www.intercaribbean.com/contact-us.html")</f>
        <v>https://www.intercaribbean.com/contact-us.html</v>
      </c>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row>
    <row r="162">
      <c r="A162" s="31" t="str">
        <f>IFERROR(__xludf.DUMMYFUNCTION("""COMPUTED_VALUE"""),"Iran Air (IR)")</f>
        <v>Iran Air (IR)</v>
      </c>
      <c r="B162" s="127"/>
      <c r="C162" s="128" t="str">
        <f>IFERROR(__xludf.DUMMYFUNCTION("""COMPUTED_VALUE"""),"pr@iranair.com")</f>
        <v>pr@iranair.com</v>
      </c>
      <c r="D162" s="129" t="str">
        <f>IFERROR(__xludf.DUMMYFUNCTION("""COMPUTED_VALUE"""),"e-mail")</f>
        <v>e-mail</v>
      </c>
      <c r="E162" s="129" t="str">
        <f>IFERROR(__xludf.DUMMYFUNCTION("""COMPUTED_VALUE"""),"Website not opening, have to check later")</f>
        <v>Website not opening, have to check later</v>
      </c>
      <c r="F162" s="127"/>
      <c r="G162" s="127" t="str">
        <f>IFERROR(__xludf.DUMMYFUNCTION("""COMPUTED_VALUE"""),"Iranair H.Q
 Mehrabad Airport
 P.O.Box 13185-775")</f>
        <v>Iranair H.Q
 Mehrabad Airport
 P.O.Box 13185-775</v>
      </c>
      <c r="H162" s="127"/>
      <c r="I162" s="127"/>
      <c r="J162" s="127"/>
      <c r="K162" s="127"/>
      <c r="L162" s="127"/>
      <c r="M162" s="127"/>
      <c r="N162" s="127"/>
      <c r="O162" s="127"/>
      <c r="P162" s="127"/>
      <c r="Q162" s="127"/>
      <c r="R162" s="127"/>
      <c r="S162" s="127"/>
      <c r="T162" s="127"/>
      <c r="U162" s="127"/>
      <c r="V162" s="127"/>
      <c r="W162" s="127"/>
      <c r="X162" s="127"/>
      <c r="Y162" s="127"/>
      <c r="Z162" s="127"/>
      <c r="AA162" s="127"/>
      <c r="AB162" s="127"/>
    </row>
    <row r="163">
      <c r="A163" s="31" t="str">
        <f>IFERROR(__xludf.DUMMYFUNCTION("""COMPUTED_VALUE"""),"Iraqi Airways (IA)")</f>
        <v>Iraqi Airways (IA)</v>
      </c>
      <c r="B163" s="127"/>
      <c r="C163" s="128"/>
      <c r="D163" s="129" t="str">
        <f>IFERROR(__xludf.DUMMYFUNCTION("""COMPUTED_VALUE"""),"webform w/o attachment")</f>
        <v>webform w/o attachment</v>
      </c>
      <c r="E163" s="131" t="str">
        <f>IFERROR(__xludf.DUMMYFUNCTION("""COMPUTED_VALUE"""),"https://customercarecontacts.com/submit-complaint/")</f>
        <v>https://customercarecontacts.com/submit-complaint/</v>
      </c>
      <c r="F163" s="127"/>
      <c r="G163" s="127" t="str">
        <f>IFERROR(__xludf.DUMMYFUNCTION("""COMPUTED_VALUE"""),"Address:
 Iraqi Airways
 Baghdad InternationalAirport
 Baghdad
 Iraq")</f>
        <v>Address:
 Iraqi Airways
 Baghdad InternationalAirport
 Baghdad
 Iraq</v>
      </c>
      <c r="H163" s="127"/>
      <c r="I163" s="127"/>
      <c r="J163" s="127"/>
      <c r="K163" s="127"/>
      <c r="L163" s="127"/>
      <c r="M163" s="127"/>
      <c r="N163" s="127"/>
      <c r="O163" s="127"/>
      <c r="P163" s="127"/>
      <c r="Q163" s="127"/>
      <c r="R163" s="127"/>
      <c r="S163" s="127"/>
      <c r="T163" s="127"/>
      <c r="U163" s="127"/>
      <c r="V163" s="127"/>
      <c r="W163" s="127"/>
      <c r="X163" s="127"/>
      <c r="Y163" s="127"/>
      <c r="Z163" s="127"/>
      <c r="AA163" s="127"/>
      <c r="AB163" s="127"/>
    </row>
    <row r="164">
      <c r="A164" s="31" t="str">
        <f>IFERROR(__xludf.DUMMYFUNCTION("""COMPUTED_VALUE"""),"Israir Airlines (6H)")</f>
        <v>Israir Airlines (6H)</v>
      </c>
      <c r="B164" s="127"/>
      <c r="C164" s="128" t="str">
        <f>IFERROR(__xludf.DUMMYFUNCTION("""COMPUTED_VALUE"""),"site@israir.co.il")</f>
        <v>site@israir.co.il</v>
      </c>
      <c r="D164" s="129" t="str">
        <f>IFERROR(__xludf.DUMMYFUNCTION("""COMPUTED_VALUE"""),"e-mail")</f>
        <v>e-mail</v>
      </c>
      <c r="E164" s="129" t="str">
        <f>IFERROR(__xludf.DUMMYFUNCTION("""COMPUTED_VALUE"""),"cxlresmeher@israir.co.il")</f>
        <v>cxlresmeher@israir.co.il</v>
      </c>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row>
    <row r="165">
      <c r="A165" s="31" t="str">
        <f>IFERROR(__xludf.DUMMYFUNCTION("""COMPUTED_VALUE"""),"ITA Airways")</f>
        <v>ITA Airways</v>
      </c>
      <c r="B165" s="127"/>
      <c r="C165" s="128" t="str">
        <f>IFERROR(__xludf.DUMMYFUNCTION("""COMPUTED_VALUE"""),"customerrelations@ita-airways.com")</f>
        <v>customerrelations@ita-airways.com</v>
      </c>
      <c r="D165" s="129" t="str">
        <f>IFERROR(__xludf.DUMMYFUNCTION("""COMPUTED_VALUE"""),"webform w/ attachment")</f>
        <v>webform w/ attachment</v>
      </c>
      <c r="E165" s="131" t="str">
        <f>IFERROR(__xludf.DUMMYFUNCTION("""COMPUTED_VALUE"""),"https://www.complaint.ita-airways.com/s/complaint?language=en_US&amp;market=EN")</f>
        <v>https://www.complaint.ita-airways.com/s/complaint?language=en_US&amp;market=EN</v>
      </c>
      <c r="F165" s="127" t="str">
        <f>IFERROR(__xludf.DUMMYFUNCTION("""COMPUTED_VALUE"""),"Ticket number")</f>
        <v>Ticket number</v>
      </c>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row>
    <row r="166">
      <c r="A166" s="31" t="str">
        <f>IFERROR(__xludf.DUMMYFUNCTION("""COMPUTED_VALUE"""),"Alitalia")</f>
        <v>Alitalia</v>
      </c>
      <c r="B166" s="127"/>
      <c r="C166" s="128" t="str">
        <f>IFERROR(__xludf.DUMMYFUNCTION("""COMPUTED_VALUE"""),"customerrelations@ita-airways.com")</f>
        <v>customerrelations@ita-airways.com</v>
      </c>
      <c r="D166" s="129" t="str">
        <f>IFERROR(__xludf.DUMMYFUNCTION("""COMPUTED_VALUE"""),"webform w/ attachment")</f>
        <v>webform w/ attachment</v>
      </c>
      <c r="E166" s="131" t="str">
        <f>IFERROR(__xludf.DUMMYFUNCTION("""COMPUTED_VALUE"""),"https://www.complaint.ita-airways.com/s/complaint?language=en_US&amp;market=EN")</f>
        <v>https://www.complaint.ita-airways.com/s/complaint?language=en_US&amp;market=EN</v>
      </c>
      <c r="F166" s="127" t="str">
        <f>IFERROR(__xludf.DUMMYFUNCTION("""COMPUTED_VALUE"""),"Ticket number")</f>
        <v>Ticket number</v>
      </c>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row>
    <row r="167">
      <c r="A167" s="31" t="str">
        <f>IFERROR(__xludf.DUMMYFUNCTION("""COMPUTED_VALUE"""),"JAL/ Japan Airlines (JL)")</f>
        <v>JAL/ Japan Airlines (JL)</v>
      </c>
      <c r="B167" s="127"/>
      <c r="C167" s="128" t="str">
        <f>IFERROR(__xludf.DUMMYFUNCTION("""COMPUTED_VALUE"""),"jal_priority@ask.jal.co.jp")</f>
        <v>jal_priority@ask.jal.co.jp</v>
      </c>
      <c r="D167" s="129" t="str">
        <f>IFERROR(__xludf.DUMMYFUNCTION("""COMPUTED_VALUE"""),"email")</f>
        <v>email</v>
      </c>
      <c r="E167" s="129" t="str">
        <f>IFERROR(__xludf.DUMMYFUNCTION("""COMPUTED_VALUE"""),"jal_priority@ask.jal.co.jp")</f>
        <v>jal_priority@ask.jal.co.jp</v>
      </c>
      <c r="F167" s="127"/>
      <c r="G167" s="127"/>
      <c r="H167" s="127" t="str">
        <f>IFERROR(__xludf.DUMMYFUNCTION("""COMPUTED_VALUE"""),"0344-8-569-778")</f>
        <v>0344-8-569-778</v>
      </c>
      <c r="I167" s="127"/>
      <c r="J167" s="127"/>
      <c r="K167" s="127"/>
      <c r="L167" s="127"/>
      <c r="M167" s="127"/>
      <c r="N167" s="127"/>
      <c r="O167" s="127"/>
      <c r="P167" s="127"/>
      <c r="Q167" s="127"/>
      <c r="R167" s="127"/>
      <c r="S167" s="127"/>
      <c r="T167" s="127"/>
      <c r="U167" s="127"/>
      <c r="V167" s="127"/>
      <c r="W167" s="127"/>
      <c r="X167" s="127"/>
      <c r="Y167" s="127"/>
      <c r="Z167" s="127"/>
      <c r="AA167" s="127"/>
      <c r="AB167" s="127"/>
    </row>
    <row r="168">
      <c r="A168" s="31" t="str">
        <f>IFERROR(__xludf.DUMMYFUNCTION("""COMPUTED_VALUE"""),"Jat Airways / Air Serbia (Jat stopped operation in 2013 and got the name Air Serbia) (JU)")</f>
        <v>Jat Airways / Air Serbia (Jat stopped operation in 2013 and got the name Air Serbia) (JU)</v>
      </c>
      <c r="B168" s="127"/>
      <c r="C168" s="128" t="str">
        <f>IFERROR(__xludf.DUMMYFUNCTION("""COMPUTED_VALUE"""),"claims@airserbia.com")</f>
        <v>claims@airserbia.com</v>
      </c>
      <c r="D168" s="129" t="str">
        <f>IFERROR(__xludf.DUMMYFUNCTION("""COMPUTED_VALUE"""),"webform w/ attachment")</f>
        <v>webform w/ attachment</v>
      </c>
      <c r="E168" s="131" t="str">
        <f>IFERROR(__xludf.DUMMYFUNCTION("""COMPUTED_VALUE"""),"https://www.airserbia.com/en/feedback#drawer-modal-4")</f>
        <v>https://www.airserbia.com/en/feedback#drawer-modal-4</v>
      </c>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row>
    <row r="169">
      <c r="A169" s="31" t="str">
        <f>IFERROR(__xludf.DUMMYFUNCTION("""COMPUTED_VALUE"""),"Jet2 . com (LBA)")</f>
        <v>Jet2 . com (LBA)</v>
      </c>
      <c r="B169" s="127"/>
      <c r="C169" s="128" t="str">
        <f>IFERROR(__xludf.DUMMYFUNCTION("""COMPUTED_VALUE"""),"customer.service@jet2.com")</f>
        <v>customer.service@jet2.com</v>
      </c>
      <c r="D169" s="129" t="str">
        <f>IFERROR(__xludf.DUMMYFUNCTION("""COMPUTED_VALUE"""),"webform w/ attachment")</f>
        <v>webform w/ attachment</v>
      </c>
      <c r="E169" s="131" t="str">
        <f>IFERROR(__xludf.DUMMYFUNCTION("""COMPUTED_VALUE"""),"https://www.jet2.com/delays-and-disruptions")</f>
        <v>https://www.jet2.com/delays-and-disruptions</v>
      </c>
      <c r="F169" s="127"/>
      <c r="G169" s="127" t="str">
        <f>IFERROR(__xludf.DUMMYFUNCTION("""COMPUTED_VALUE"""),"Customer Care Team, PO Box 314, Leeds, LS19 9EL, United Kingdom")</f>
        <v>Customer Care Team, PO Box 314, Leeds, LS19 9EL, United Kingdom</v>
      </c>
      <c r="H169" s="127"/>
      <c r="I169" s="127"/>
      <c r="J169" s="127"/>
      <c r="K169" s="127"/>
      <c r="L169" s="127"/>
      <c r="M169" s="127"/>
      <c r="N169" s="127"/>
      <c r="O169" s="127"/>
      <c r="P169" s="127"/>
      <c r="Q169" s="127"/>
      <c r="R169" s="127"/>
      <c r="S169" s="127"/>
      <c r="T169" s="127"/>
      <c r="U169" s="127"/>
      <c r="V169" s="127"/>
      <c r="W169" s="127"/>
      <c r="X169" s="127"/>
      <c r="Y169" s="127"/>
      <c r="Z169" s="127"/>
      <c r="AA169" s="127"/>
      <c r="AB169" s="127"/>
    </row>
    <row r="170">
      <c r="A170" s="31" t="str">
        <f>IFERROR(__xludf.DUMMYFUNCTION("""COMPUTED_VALUE"""),"Jetairfly (TB)")</f>
        <v>Jetairfly (TB)</v>
      </c>
      <c r="B170" s="127"/>
      <c r="C170" s="128" t="str">
        <f>IFERROR(__xludf.DUMMYFUNCTION("""COMPUTED_VALUE"""),"info@jetairfly.com")</f>
        <v>info@jetairfly.com</v>
      </c>
      <c r="D170" s="129" t="str">
        <f>IFERROR(__xludf.DUMMYFUNCTION("""COMPUTED_VALUE"""),"e-mail (webform w/ attach. needs checking once in a while)")</f>
        <v>e-mail (webform w/ attach. needs checking once in a while)</v>
      </c>
      <c r="E170" s="129"/>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row>
    <row r="171">
      <c r="A171" s="31" t="str">
        <f>IFERROR(__xludf.DUMMYFUNCTION("""COMPUTED_VALUE"""),"JetBlue Airways (B6)")</f>
        <v>JetBlue Airways (B6)</v>
      </c>
      <c r="B171" s="127"/>
      <c r="C171" s="128" t="str">
        <f>IFERROR(__xludf.DUMMYFUNCTION("""COMPUTED_VALUE"""),"dearjetblue@jetblue.com")</f>
        <v>dearjetblue@jetblue.com</v>
      </c>
      <c r="D171" s="129" t="str">
        <f>IFERROR(__xludf.DUMMYFUNCTION("""COMPUTED_VALUE"""),"e-mail &amp; post")</f>
        <v>e-mail &amp; post</v>
      </c>
      <c r="E171" s="131" t="str">
        <f>IFERROR(__xludf.DUMMYFUNCTION("""COMPUTED_VALUE"""),"https://jetbluevoc.co1.qualtrics.com/jfe/form/SV_6gQoaNYRuosY08l")</f>
        <v>https://jetbluevoc.co1.qualtrics.com/jfe/form/SV_6gQoaNYRuosY08l</v>
      </c>
      <c r="F171" s="127"/>
      <c r="G171" s="127" t="str">
        <f>IFERROR(__xludf.DUMMYFUNCTION("""COMPUTED_VALUE"""),"JetBlue Airways
 Attention:Customer Commitment
 P.O. Box 17435
 Salt Lake City, Utah 84117")</f>
        <v>JetBlue Airways
 Attention:Customer Commitment
 P.O. Box 17435
 Salt Lake City, Utah 84117</v>
      </c>
      <c r="H171" s="127"/>
      <c r="I171" s="127"/>
      <c r="J171" s="127"/>
      <c r="K171" s="127"/>
      <c r="L171" s="127"/>
      <c r="M171" s="127"/>
      <c r="N171" s="127"/>
      <c r="O171" s="127"/>
      <c r="P171" s="127"/>
      <c r="Q171" s="127"/>
      <c r="R171" s="127"/>
      <c r="S171" s="127"/>
      <c r="T171" s="127"/>
      <c r="U171" s="127"/>
      <c r="V171" s="127"/>
      <c r="W171" s="127"/>
      <c r="X171" s="127"/>
      <c r="Y171" s="127"/>
      <c r="Z171" s="127"/>
      <c r="AA171" s="127"/>
      <c r="AB171" s="127"/>
    </row>
    <row r="172">
      <c r="A172" s="31" t="str">
        <f>IFERROR(__xludf.DUMMYFUNCTION("""COMPUTED_VALUE"""),"Jet Sky Airways")</f>
        <v>Jet Sky Airways</v>
      </c>
      <c r="B172" s="127"/>
      <c r="C172" s="128" t="str">
        <f>IFERROR(__xludf.DUMMYFUNCTION("""COMPUTED_VALUE"""),"info@jetskyairways.com")</f>
        <v>info@jetskyairways.com</v>
      </c>
      <c r="D172" s="129" t="str">
        <f>IFERROR(__xludf.DUMMYFUNCTION("""COMPUTED_VALUE"""),"webform w/o attachment")</f>
        <v>webform w/o attachment</v>
      </c>
      <c r="E172" s="131" t="str">
        <f>IFERROR(__xludf.DUMMYFUNCTION("""COMPUTED_VALUE"""),"https://www.jetskyairways.com/contact")</f>
        <v>https://www.jetskyairways.com/contact</v>
      </c>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row>
    <row r="173">
      <c r="A173" s="31" t="str">
        <f>IFERROR(__xludf.DUMMYFUNCTION("""COMPUTED_VALUE"""),"Jetstar Airways (JQ)")</f>
        <v>Jetstar Airways (JQ)</v>
      </c>
      <c r="B173" s="127"/>
      <c r="C173" s="128"/>
      <c r="D173" s="129"/>
      <c r="E173" s="129" t="str">
        <f>IFERROR(__xludf.DUMMYFUNCTION("""COMPUTED_VALUE"""),"Haven't got reliable anything")</f>
        <v>Haven't got reliable anything</v>
      </c>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row>
    <row r="174">
      <c r="A174" s="31" t="str">
        <f>IFERROR(__xludf.DUMMYFUNCTION("""COMPUTED_VALUE"""),"Jettime (JG)")</f>
        <v>Jettime (JG)</v>
      </c>
      <c r="B174" s="127"/>
      <c r="C174" s="128" t="str">
        <f>IFERROR(__xludf.DUMMYFUNCTION("""COMPUTED_VALUE"""),"passagerservice@jet-time.dk")</f>
        <v>passagerservice@jet-time.dk</v>
      </c>
      <c r="D174" s="129" t="str">
        <f>IFERROR(__xludf.DUMMYFUNCTION("""COMPUTED_VALUE"""),"e-mail")</f>
        <v>e-mail</v>
      </c>
      <c r="E174" s="129" t="str">
        <f>IFERROR(__xludf.DUMMYFUNCTION("""COMPUTED_VALUE"""),"eu261service@jettime.com")</f>
        <v>eu261service@jettime.com</v>
      </c>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row>
    <row r="175">
      <c r="A175" s="31" t="str">
        <f>IFERROR(__xludf.DUMMYFUNCTION("""COMPUTED_VALUE"""),"Juneyao Air (HO)")</f>
        <v>Juneyao Air (HO)</v>
      </c>
      <c r="B175" s="127"/>
      <c r="C175" s="128" t="str">
        <f>IFERROR(__xludf.DUMMYFUNCTION("""COMPUTED_VALUE"""),"customercare@juneyaoair.com")</f>
        <v>customercare@juneyaoair.com</v>
      </c>
      <c r="D175" s="129" t="str">
        <f>IFERROR(__xludf.DUMMYFUNCTION("""COMPUTED_VALUE"""),"e-mail")</f>
        <v>e-mail</v>
      </c>
      <c r="E175" s="129" t="str">
        <f>IFERROR(__xludf.DUMMYFUNCTION("""COMPUTED_VALUE"""),"customercare@juneyaoair.com")</f>
        <v>customercare@juneyaoair.com</v>
      </c>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row>
    <row r="176">
      <c r="A176" s="31" t="str">
        <f>IFERROR(__xludf.DUMMYFUNCTION("""COMPUTED_VALUE"""),"Kenya Airways (KQ)")</f>
        <v>Kenya Airways (KQ)</v>
      </c>
      <c r="B176" s="127"/>
      <c r="C176" s="128" t="str">
        <f>IFERROR(__xludf.DUMMYFUNCTION("""COMPUTED_VALUE"""),"customer.relations@kenya-airways.com")</f>
        <v>customer.relations@kenya-airways.com</v>
      </c>
      <c r="D176" s="129" t="str">
        <f>IFERROR(__xludf.DUMMYFUNCTION("""COMPUTED_VALUE"""),"e-mail")</f>
        <v>e-mail</v>
      </c>
      <c r="E176" s="131" t="str">
        <f>IFERROR(__xludf.DUMMYFUNCTION("""COMPUTED_VALUE"""),"https://www.kenya-airways.com/en/help/make-an-enquiry/")</f>
        <v>https://www.kenya-airways.com/en/help/make-an-enquiry/</v>
      </c>
      <c r="F176" s="127" t="str">
        <f>IFERROR(__xludf.DUMMYFUNCTION("""COMPUTED_VALUE"""),"Ticket number")</f>
        <v>Ticket number</v>
      </c>
      <c r="G176" s="127" t="str">
        <f>IFERROR(__xludf.DUMMYFUNCTION("""COMPUTED_VALUE"""),"customer.relations@kenya-airways.com")</f>
        <v>customer.relations@kenya-airways.com</v>
      </c>
      <c r="H176" s="127"/>
      <c r="I176" s="127"/>
      <c r="J176" s="127"/>
      <c r="K176" s="127"/>
      <c r="L176" s="127"/>
      <c r="M176" s="127"/>
      <c r="N176" s="127"/>
      <c r="O176" s="127"/>
      <c r="P176" s="127"/>
      <c r="Q176" s="127"/>
      <c r="R176" s="127"/>
      <c r="S176" s="127"/>
      <c r="T176" s="127"/>
      <c r="U176" s="127"/>
      <c r="V176" s="127"/>
      <c r="W176" s="127"/>
      <c r="X176" s="127"/>
      <c r="Y176" s="127"/>
      <c r="Z176" s="127"/>
      <c r="AA176" s="127"/>
      <c r="AB176" s="127"/>
    </row>
    <row r="177">
      <c r="A177" s="31" t="str">
        <f>IFERROR(__xludf.DUMMYFUNCTION("""COMPUTED_VALUE"""),"KLM (KL)")</f>
        <v>KLM (KL)</v>
      </c>
      <c r="B177" s="127"/>
      <c r="C177" s="128" t="str">
        <f>IFERROR(__xludf.DUMMYFUNCTION("""COMPUTED_VALUE"""),"customer-care@klm.com")</f>
        <v>customer-care@klm.com</v>
      </c>
      <c r="D177" s="129" t="str">
        <f>IFERROR(__xludf.DUMMYFUNCTION("""COMPUTED_VALUE"""),"webform w/ attachment")</f>
        <v>webform w/ attachment</v>
      </c>
      <c r="E177" s="131" t="str">
        <f>IFERROR(__xludf.DUMMYFUNCTION("""COMPUTED_VALUE"""),"https://www.klm.nl/en/claim")</f>
        <v>https://www.klm.nl/en/claim</v>
      </c>
      <c r="F177" s="127" t="str">
        <f>IFERROR(__xludf.DUMMYFUNCTION("""COMPUTED_VALUE"""),"ID")</f>
        <v>ID</v>
      </c>
      <c r="G177" s="127" t="str">
        <f>IFERROR(__xludf.DUMMYFUNCTION("""COMPUTED_VALUE"""),"KLM Europe Customer Care Centre TSA 21235  75564 PARIS  Cedex 12 France")</f>
        <v>KLM Europe Customer Care Centre TSA 21235  75564 PARIS  Cedex 12 France</v>
      </c>
      <c r="H177" s="127"/>
      <c r="I177" s="127"/>
      <c r="J177" s="127"/>
      <c r="K177" s="127"/>
      <c r="L177" s="127"/>
      <c r="M177" s="127"/>
      <c r="N177" s="127"/>
      <c r="O177" s="127"/>
      <c r="P177" s="127"/>
      <c r="Q177" s="127"/>
      <c r="R177" s="127"/>
      <c r="S177" s="127"/>
      <c r="T177" s="127"/>
      <c r="U177" s="127"/>
      <c r="V177" s="127"/>
      <c r="W177" s="127"/>
      <c r="X177" s="127"/>
      <c r="Y177" s="127"/>
      <c r="Z177" s="127"/>
      <c r="AA177" s="127"/>
      <c r="AB177" s="127"/>
    </row>
    <row r="178">
      <c r="A178" s="31" t="str">
        <f>IFERROR(__xludf.DUMMYFUNCTION("""COMPUTED_VALUE"""),"Km Malta Airlines")</f>
        <v>Km Malta Airlines</v>
      </c>
      <c r="B178" s="127" t="str">
        <f>IFERROR(__xludf.DUMMYFUNCTION("""COMPUTED_VALUE"""),"customercare@kmmaltairlines.com")</f>
        <v>customercare@kmmaltairlines.com</v>
      </c>
      <c r="C178" s="128"/>
      <c r="D178" s="129" t="str">
        <f>IFERROR(__xludf.DUMMYFUNCTION("""COMPUTED_VALUE"""),"webform w/ attachment")</f>
        <v>webform w/ attachment</v>
      </c>
      <c r="E178" s="131" t="str">
        <f>IFERROR(__xludf.DUMMYFUNCTION("""COMPUTED_VALUE"""),"https://help.kmmaltairlines.com/s/")</f>
        <v>https://help.kmmaltairlines.com/s/</v>
      </c>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row>
    <row r="179">
      <c r="A179" s="31" t="str">
        <f>IFERROR(__xludf.DUMMYFUNCTION("""COMPUTED_VALUE""")," Kosova Airlines")</f>
        <v> Kosova Airlines</v>
      </c>
      <c r="B179" s="127"/>
      <c r="C179" s="128"/>
      <c r="D179" s="129" t="str">
        <f>IFERROR(__xludf.DUMMYFUNCTION("""COMPUTED_VALUE"""),"e-mail")</f>
        <v>e-mail</v>
      </c>
      <c r="E179" s="129" t="str">
        <f>IFERROR(__xludf.DUMMYFUNCTION("""COMPUTED_VALUE"""),"info@kosovaairlines.com")</f>
        <v>info@kosovaairlines.com</v>
      </c>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row>
    <row r="180">
      <c r="A180" s="31" t="str">
        <f>IFERROR(__xludf.DUMMYFUNCTION("""COMPUTED_VALUE"""),"Kuwait Airways (KU)")</f>
        <v>Kuwait Airways (KU)</v>
      </c>
      <c r="B180" s="127"/>
      <c r="C180" s="128" t="str">
        <f>IFERROR(__xludf.DUMMYFUNCTION("""COMPUTED_VALUE"""),"customer-relations@kuwaitairways.com")</f>
        <v>customer-relations@kuwaitairways.com</v>
      </c>
      <c r="D180" s="129" t="str">
        <f>IFERROR(__xludf.DUMMYFUNCTION("""COMPUTED_VALUE"""),"e-mail")</f>
        <v>e-mail</v>
      </c>
      <c r="E180" s="129" t="str">
        <f>IFERROR(__xludf.DUMMYFUNCTION("""COMPUTED_VALUE"""),"customer-relations@kuwaitairways.com")</f>
        <v>customer-relations@kuwaitairways.com</v>
      </c>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row>
    <row r="181">
      <c r="A181" s="31" t="str">
        <f>IFERROR(__xludf.DUMMYFUNCTION("""COMPUTED_VALUE"""),"Lacsa")</f>
        <v>Lacsa</v>
      </c>
      <c r="B181" s="127"/>
      <c r="C181" s="128" t="str">
        <f>IFERROR(__xludf.DUMMYFUNCTION("""COMPUTED_VALUE"""),"info@avianca.com")</f>
        <v>info@avianca.com</v>
      </c>
      <c r="D181" s="129" t="str">
        <f>IFERROR(__xludf.DUMMYFUNCTION("""COMPUTED_VALUE"""),"webform w/ attachment")</f>
        <v>webform w/ attachment</v>
      </c>
      <c r="E181" s="131" t="str">
        <f>IFERROR(__xludf.DUMMYFUNCTION("""COMPUTED_VALUE"""),"https://ayuda.avianca.com/hc/en-us/requests/new?ticket_form_id=11745634200859")</f>
        <v>https://ayuda.avianca.com/hc/en-us/requests/new?ticket_form_id=11745634200859</v>
      </c>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row>
    <row r="182">
      <c r="A182" s="31" t="str">
        <f>IFERROR(__xludf.DUMMYFUNCTION("""COMPUTED_VALUE"""),"La Compagnie")</f>
        <v>La Compagnie</v>
      </c>
      <c r="B182" s="127"/>
      <c r="C182" s="128" t="str">
        <f>IFERROR(__xludf.DUMMYFUNCTION("""COMPUTED_VALUE"""),"customercare@lacompagnie.com")</f>
        <v>customercare@lacompagnie.com</v>
      </c>
      <c r="D182" s="129" t="str">
        <f>IFERROR(__xludf.DUMMYFUNCTION("""COMPUTED_VALUE"""),"e-mail")</f>
        <v>e-mail</v>
      </c>
      <c r="E182" s="129" t="str">
        <f>IFERROR(__xludf.DUMMYFUNCTION("""COMPUTED_VALUE"""),"customercare@lacompagnie.com")</f>
        <v>customercare@lacompagnie.com</v>
      </c>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row>
    <row r="183">
      <c r="A183" s="31" t="str">
        <f>IFERROR(__xludf.DUMMYFUNCTION("""COMPUTED_VALUE"""),"LAM Mozambique Airlines")</f>
        <v>LAM Mozambique Airlines</v>
      </c>
      <c r="B183" s="127"/>
      <c r="C183" s="128" t="str">
        <f>IFERROR(__xludf.DUMMYFUNCTION("""COMPUTED_VALUE"""),"Katia.Laxmidas@airmozambique.co.za")</f>
        <v>Katia.Laxmidas@airmozambique.co.za</v>
      </c>
      <c r="D183" s="129"/>
      <c r="E183" s="129" t="str">
        <f>IFERROR(__xludf.DUMMYFUNCTION("""COMPUTED_VALUE"""),"Katia.Laxmidas@airmozambique.co.za")</f>
        <v>Katia.Laxmidas@airmozambique.co.za</v>
      </c>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row>
    <row r="184">
      <c r="A184" s="31" t="str">
        <f>IFERROR(__xludf.DUMMYFUNCTION("""COMPUTED_VALUE"""),"LAN Airlines (LA)/ LATAM")</f>
        <v>LAN Airlines (LA)/ LATAM</v>
      </c>
      <c r="B184" s="127"/>
      <c r="C184" s="128" t="str">
        <f>IFERROR(__xludf.DUMMYFUNCTION("""COMPUTED_VALUE"""),"customerservicelatam@lan.com")</f>
        <v>customerservicelatam@lan.com</v>
      </c>
      <c r="D184" s="129" t="str">
        <f>IFERROR(__xludf.DUMMYFUNCTION("""COMPUTED_VALUE"""),"webform w/ attachment")</f>
        <v>webform w/ attachment</v>
      </c>
      <c r="E184" s="131" t="str">
        <f>IFERROR(__xludf.DUMMYFUNCTION("""COMPUTED_VALUE"""),"https://www.latamairlines.com/ca/en/help-center/create-case")</f>
        <v>https://www.latamairlines.com/ca/en/help-center/create-case</v>
      </c>
      <c r="F184" s="127" t="str">
        <f>IFERROR(__xludf.DUMMYFUNCTION("""COMPUTED_VALUE"""),"ID / Passport")</f>
        <v>ID / Passport</v>
      </c>
      <c r="G184" s="127" t="str">
        <f>IFERROR(__xludf.DUMMYFUNCTION("""COMPUTED_VALUE"""),"LATAM need ID proof")</f>
        <v>LATAM need ID proof</v>
      </c>
      <c r="H184" s="127"/>
      <c r="I184" s="127"/>
      <c r="J184" s="127"/>
      <c r="K184" s="127"/>
      <c r="L184" s="127"/>
      <c r="M184" s="127"/>
      <c r="N184" s="127"/>
      <c r="O184" s="127"/>
      <c r="P184" s="127"/>
      <c r="Q184" s="127"/>
      <c r="R184" s="127"/>
      <c r="S184" s="127"/>
      <c r="T184" s="127"/>
      <c r="U184" s="127"/>
      <c r="V184" s="127"/>
      <c r="W184" s="127"/>
      <c r="X184" s="127"/>
      <c r="Y184" s="127"/>
      <c r="Z184" s="127"/>
      <c r="AA184" s="127"/>
      <c r="AB184" s="127"/>
    </row>
    <row r="185">
      <c r="A185" s="31" t="str">
        <f>IFERROR(__xludf.DUMMYFUNCTION("""COMPUTED_VALUE"""),"Laser Airlines (QL)")</f>
        <v>Laser Airlines (QL)</v>
      </c>
      <c r="B185" s="127" t="str">
        <f>IFERROR(__xludf.DUMMYFUNCTION("""COMPUTED_VALUE"""),"Caracas, Venezuela")</f>
        <v>Caracas, Venezuela</v>
      </c>
      <c r="C185" s="128" t="str">
        <f>IFERROR(__xludf.DUMMYFUNCTION("""COMPUTED_VALUE"""),"ventasweb@laser.com.ve")</f>
        <v>ventasweb@laser.com.ve</v>
      </c>
      <c r="D185" s="129"/>
      <c r="E185" s="129" t="str">
        <f>IFERROR(__xludf.DUMMYFUNCTION("""COMPUTED_VALUE"""),"ventasweb@laser.com.ve")</f>
        <v>ventasweb@laser.com.ve</v>
      </c>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row>
    <row r="186">
      <c r="A186" s="31" t="str">
        <f>IFERROR(__xludf.DUMMYFUNCTION("""COMPUTED_VALUE"""),"Lion Air (JT)")</f>
        <v>Lion Air (JT)</v>
      </c>
      <c r="B186" s="127"/>
      <c r="C186" s="128" t="str">
        <f>IFERROR(__xludf.DUMMYFUNCTION("""COMPUTED_VALUE"""),"customercare@lionair.co.id")</f>
        <v>customercare@lionair.co.id</v>
      </c>
      <c r="D186" s="129" t="str">
        <f>IFERROR(__xludf.DUMMYFUNCTION("""COMPUTED_VALUE"""),"e-mail")</f>
        <v>e-mail</v>
      </c>
      <c r="E186" s="129" t="str">
        <f>IFERROR(__xludf.DUMMYFUNCTION("""COMPUTED_VALUE"""),"raymond@asuransisimasnet.com")</f>
        <v>raymond@asuransisimasnet.com</v>
      </c>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row>
    <row r="187">
      <c r="A187" s="31" t="str">
        <f>IFERROR(__xludf.DUMMYFUNCTION("""COMPUTED_VALUE"""),"Logan Air")</f>
        <v>Logan Air</v>
      </c>
      <c r="B187" s="127"/>
      <c r="C187" s="128" t="str">
        <f>IFERROR(__xludf.DUMMYFUNCTION("""COMPUTED_VALUE"""),"orkneyres@loganair.co.uk")</f>
        <v>orkneyres@loganair.co.uk</v>
      </c>
      <c r="D187" s="129" t="str">
        <f>IFERROR(__xludf.DUMMYFUNCTION("""COMPUTED_VALUE"""),"webform w/ attachment")</f>
        <v>webform w/ attachment</v>
      </c>
      <c r="E187" s="131" t="str">
        <f>IFERROR(__xludf.DUMMYFUNCTION("""COMPUTED_VALUE"""),"https://loganaircrcc.zendesk.com/hc/en-gb/requests/new?ticket_form_id=360003099678")</f>
        <v>https://loganaircrcc.zendesk.com/hc/en-gb/requests/new?ticket_form_id=360003099678</v>
      </c>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row>
    <row r="188">
      <c r="A188" s="31" t="str">
        <f>IFERROR(__xludf.DUMMYFUNCTION("""COMPUTED_VALUE"""),"Lufthansa (LH)")</f>
        <v>Lufthansa (LH)</v>
      </c>
      <c r="B188" s="127" t="str">
        <f>IFERROR(__xludf.DUMMYFUNCTION("""COMPUTED_VALUE"""),"For Discover airlines: discover-airlines@lufthansa-group.com")</f>
        <v>For Discover airlines: discover-airlines@lufthansa-group.com</v>
      </c>
      <c r="C188" s="128" t="str">
        <f>IFERROR(__xludf.DUMMYFUNCTION("""COMPUTED_VALUE"""),"customer.relations@lufthansa.com")</f>
        <v>customer.relations@lufthansa.com</v>
      </c>
      <c r="D188" s="129" t="str">
        <f>IFERROR(__xludf.DUMMYFUNCTION("""COMPUTED_VALUE"""),"Web form")</f>
        <v>Web form</v>
      </c>
      <c r="E188" s="131" t="str">
        <f>IFERROR(__xludf.DUMMYFUNCTION("""COMPUTED_VALUE"""),"https://www.lufthansa.com/de/en/fast-compensation.html")</f>
        <v>https://www.lufthansa.com/de/en/fast-compensation.html</v>
      </c>
      <c r="F188" s="127" t="str">
        <f>IFERROR(__xludf.DUMMYFUNCTION("""COMPUTED_VALUE"""),"During submission Lufthansa POA (And Ticket and Boarding when they accept the claim.)")</f>
        <v>During submission Lufthansa POA (And Ticket and Boarding when they accept the claim.)</v>
      </c>
      <c r="G188" s="127" t="str">
        <f>IFERROR(__xludf.DUMMYFUNCTION("""COMPUTED_VALUE"""),"Deutsche Lufthansa AG
 Customer Feedback
 Postfach 710234
 60492 Frankfurt
 Germany")</f>
        <v>Deutsche Lufthansa AG
 Customer Feedback
 Postfach 710234
 60492 Frankfurt
 Germany</v>
      </c>
      <c r="H188" s="127"/>
      <c r="I188" s="127"/>
      <c r="J188" s="127"/>
      <c r="K188" s="127"/>
      <c r="L188" s="127"/>
      <c r="M188" s="127"/>
      <c r="N188" s="127"/>
      <c r="O188" s="127"/>
      <c r="P188" s="127"/>
      <c r="Q188" s="127"/>
      <c r="R188" s="127"/>
      <c r="S188" s="127"/>
      <c r="T188" s="127"/>
      <c r="U188" s="127"/>
      <c r="V188" s="127"/>
      <c r="W188" s="127"/>
      <c r="X188" s="127"/>
      <c r="Y188" s="127"/>
      <c r="Z188" s="127"/>
      <c r="AA188" s="127"/>
      <c r="AB188" s="127"/>
    </row>
    <row r="189">
      <c r="A189" s="31" t="str">
        <f>IFERROR(__xludf.DUMMYFUNCTION("""COMPUTED_VALUE"""),"Lumiwings")</f>
        <v>Lumiwings</v>
      </c>
      <c r="B189" s="127"/>
      <c r="C189" s="128" t="str">
        <f>IFERROR(__xludf.DUMMYFUNCTION("""COMPUTED_VALUE"""),"care@lumiwings.com")</f>
        <v>care@lumiwings.com</v>
      </c>
      <c r="D189" s="129"/>
      <c r="E189" s="131" t="str">
        <f>IFERROR(__xludf.DUMMYFUNCTION("""COMPUTED_VALUE"""),"https://www.lumiwings.com/form/customer-care")</f>
        <v>https://www.lumiwings.com/form/customer-care</v>
      </c>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row>
    <row r="190">
      <c r="A190" s="31" t="str">
        <f>IFERROR(__xludf.DUMMYFUNCTION("""COMPUTED_VALUE"""),"Luxair (LG)")</f>
        <v>Luxair (LG)</v>
      </c>
      <c r="B190" s="127"/>
      <c r="C190" s="128" t="str">
        <f>IFERROR(__xludf.DUMMYFUNCTION("""COMPUTED_VALUE"""),"customer.relations@luxair.lu")</f>
        <v>customer.relations@luxair.lu</v>
      </c>
      <c r="D190" s="129" t="str">
        <f>IFERROR(__xludf.DUMMYFUNCTION("""COMPUTED_VALUE"""),"webform w/ attachment")</f>
        <v>webform w/ attachment</v>
      </c>
      <c r="E190" s="131" t="str">
        <f>IFERROR(__xludf.DUMMYFUNCTION("""COMPUTED_VALUE"""),"https://www.luxair.lu/contact#/traveller")</f>
        <v>https://www.luxair.lu/contact#/traveller</v>
      </c>
      <c r="F190" s="127"/>
      <c r="G190" s="127" t="str">
        <f>IFERROR(__xludf.DUMMYFUNCTION("""COMPUTED_VALUE"""),"claims@luxair.lu")</f>
        <v>claims@luxair.lu</v>
      </c>
      <c r="H190" s="127"/>
      <c r="I190" s="127"/>
      <c r="J190" s="127"/>
      <c r="K190" s="127"/>
      <c r="L190" s="127"/>
      <c r="M190" s="127"/>
      <c r="N190" s="127"/>
      <c r="O190" s="127"/>
      <c r="P190" s="127"/>
      <c r="Q190" s="127"/>
      <c r="R190" s="127"/>
      <c r="S190" s="127"/>
      <c r="T190" s="127"/>
      <c r="U190" s="127"/>
      <c r="V190" s="127"/>
      <c r="W190" s="127"/>
      <c r="X190" s="127"/>
      <c r="Y190" s="127"/>
      <c r="Z190" s="127"/>
      <c r="AA190" s="127"/>
      <c r="AB190" s="127"/>
    </row>
    <row r="191">
      <c r="A191" s="31" t="str">
        <f>IFERROR(__xludf.DUMMYFUNCTION("""COMPUTED_VALUE"""),"Malaysia Airlines (MH)")</f>
        <v>Malaysia Airlines (MH)</v>
      </c>
      <c r="B191" s="127"/>
      <c r="C191" s="128" t="str">
        <f>IFERROR(__xludf.DUMMYFUNCTION("""COMPUTED_VALUE"""),"customer@malaysiaairlines.com enrich@malaysiaairlines.com")</f>
        <v>customer@malaysiaairlines.com enrich@malaysiaairlines.com</v>
      </c>
      <c r="D191" s="129" t="str">
        <f>IFERROR(__xludf.DUMMYFUNCTION("""COMPUTED_VALUE"""),"webform w/ attachment")</f>
        <v>webform w/ attachment</v>
      </c>
      <c r="E191" s="131" t="str">
        <f>IFERROR(__xludf.DUMMYFUNCTION("""COMPUTED_VALUE"""),"https://www.malaysiaairlines.com/my/en/askmh/contact-us-form.html")</f>
        <v>https://www.malaysiaairlines.com/my/en/askmh/contact-us-form.html</v>
      </c>
      <c r="F191" s="127"/>
      <c r="G191" s="127"/>
      <c r="H191" s="132" t="str">
        <f>IFERROR(__xludf.DUMMYFUNCTION("""COMPUTED_VALUE"""),"Have to fill up their Consent letter: https://www.malaysiaairlines.com/content/dam/mas/pdf/Consent_Letter_Malaysia_Airlines_Berhad.pdf")</f>
        <v>Have to fill up their Consent letter: https://www.malaysiaairlines.com/content/dam/mas/pdf/Consent_Letter_Malaysia_Airlines_Berhad.pdf</v>
      </c>
      <c r="I191" s="127"/>
      <c r="J191" s="127"/>
      <c r="K191" s="127"/>
      <c r="L191" s="127"/>
      <c r="M191" s="127"/>
      <c r="N191" s="127"/>
      <c r="O191" s="127"/>
      <c r="P191" s="127"/>
      <c r="Q191" s="127"/>
      <c r="R191" s="127"/>
      <c r="S191" s="127"/>
      <c r="T191" s="127"/>
      <c r="U191" s="127"/>
      <c r="V191" s="127"/>
      <c r="W191" s="127"/>
      <c r="X191" s="127"/>
      <c r="Y191" s="127"/>
      <c r="Z191" s="127"/>
      <c r="AA191" s="127"/>
      <c r="AB191" s="127"/>
    </row>
    <row r="192">
      <c r="A192" s="31" t="str">
        <f>IFERROR(__xludf.DUMMYFUNCTION("""COMPUTED_VALUE"""),"Maleth-Aero")</f>
        <v>Maleth-Aero</v>
      </c>
      <c r="B192" s="127"/>
      <c r="C192" s="128" t="str">
        <f>IFERROR(__xludf.DUMMYFUNCTION("""COMPUTED_VALUE"""),"customerservice@maleth-aero.com")</f>
        <v>customerservice@maleth-aero.com</v>
      </c>
      <c r="D192" s="129" t="str">
        <f>IFERROR(__xludf.DUMMYFUNCTION("""COMPUTED_VALUE"""),"e-mail")</f>
        <v>e-mail</v>
      </c>
      <c r="E192" s="129" t="str">
        <f>IFERROR(__xludf.DUMMYFUNCTION("""COMPUTED_VALUE"""),"customerservice@maleth-aero.com")</f>
        <v>customerservice@maleth-aero.com</v>
      </c>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row>
    <row r="193">
      <c r="A193" s="31" t="str">
        <f>IFERROR(__xludf.DUMMYFUNCTION("""COMPUTED_VALUE"""),"Marabu (DI)")</f>
        <v>Marabu (DI)</v>
      </c>
      <c r="B193" s="127"/>
      <c r="C193" s="128" t="str">
        <f>IFERROR(__xludf.DUMMYFUNCTION("""COMPUTED_VALUE"""),"service@marabu.ee")</f>
        <v>service@marabu.ee</v>
      </c>
      <c r="D193" s="129"/>
      <c r="E193" s="131" t="str">
        <f>IFERROR(__xludf.DUMMYFUNCTION("""COMPUTED_VALUE"""),"https://flymarabu.com/en/contact/#complaintForm")</f>
        <v>https://flymarabu.com/en/contact/#complaintForm</v>
      </c>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row>
    <row r="194">
      <c r="A194" s="31" t="str">
        <f>IFERROR(__xludf.DUMMYFUNCTION("""COMPUTED_VALUE"""),"Marathon Airlines")</f>
        <v>Marathon Airlines</v>
      </c>
      <c r="B194" s="127"/>
      <c r="C194" s="128" t="str">
        <f>IFERROR(__xludf.DUMMYFUNCTION("""COMPUTED_VALUE"""),"sales@flymarathon.aero")</f>
        <v>sales@flymarathon.aero</v>
      </c>
      <c r="D194" s="129" t="str">
        <f>IFERROR(__xludf.DUMMYFUNCTION("""COMPUTED_VALUE"""),"webform w/o attachment")</f>
        <v>webform w/o attachment</v>
      </c>
      <c r="E194" s="131" t="str">
        <f>IFERROR(__xludf.DUMMYFUNCTION("""COMPUTED_VALUE"""),"https://commercial.flymarathon.aero/contact-us/")</f>
        <v>https://commercial.flymarathon.aero/contact-us/</v>
      </c>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row>
    <row r="195">
      <c r="A195" s="31" t="str">
        <f>IFERROR(__xludf.DUMMYFUNCTION("""COMPUTED_VALUE"""),"Mavi Gök Havacılık A.S.")</f>
        <v>Mavi Gök Havacılık A.S.</v>
      </c>
      <c r="B195" s="127"/>
      <c r="C195" s="128" t="str">
        <f>IFERROR(__xludf.DUMMYFUNCTION("""COMPUTED_VALUE"""),"mavigokhavacilikas@hs01.kep.tr")</f>
        <v>mavigokhavacilikas@hs01.kep.tr</v>
      </c>
      <c r="D195" s="129"/>
      <c r="E195" s="131" t="str">
        <f>IFERROR(__xludf.DUMMYFUNCTION("""COMPUTED_VALUE"""),"https://mga.aero/customer-services/help-and-contact")</f>
        <v>https://mga.aero/customer-services/help-and-contact</v>
      </c>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row>
    <row r="196">
      <c r="A196" s="31" t="str">
        <f>IFERROR(__xludf.DUMMYFUNCTION("""COMPUTED_VALUE"""),"Middle East Airlines")</f>
        <v>Middle East Airlines</v>
      </c>
      <c r="B196" s="127"/>
      <c r="C196" s="128" t="str">
        <f>IFERROR(__xludf.DUMMYFUNCTION("""COMPUTED_VALUE"""),"saader@mea.com.lb")</f>
        <v>saader@mea.com.lb</v>
      </c>
      <c r="D196" s="129" t="str">
        <f>IFERROR(__xludf.DUMMYFUNCTION("""COMPUTED_VALUE"""),"webform w/ attachment")</f>
        <v>webform w/ attachment</v>
      </c>
      <c r="E196" s="131" t="str">
        <f>IFERROR(__xludf.DUMMYFUNCTION("""COMPUTED_VALUE"""),"https://www.mea.com.lb/english/support/contact-us")</f>
        <v>https://www.mea.com.lb/english/support/contact-us</v>
      </c>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row>
    <row r="197">
      <c r="A197" s="31" t="str">
        <f>IFERROR(__xludf.DUMMYFUNCTION("""COMPUTED_VALUE"""),"Mistral Air (7M)")</f>
        <v>Mistral Air (7M)</v>
      </c>
      <c r="B197" s="127"/>
      <c r="C197" s="128" t="str">
        <f>IFERROR(__xludf.DUMMYFUNCTION("""COMPUTED_VALUE"""),"mistralcustomercare@posteitaliane.it")</f>
        <v>mistralcustomercare@posteitaliane.it</v>
      </c>
      <c r="D197" s="129" t="str">
        <f>IFERROR(__xludf.DUMMYFUNCTION("""COMPUTED_VALUE"""),"e-mail")</f>
        <v>e-mail</v>
      </c>
      <c r="E197" s="129" t="str">
        <f>IFERROR(__xludf.DUMMYFUNCTION("""COMPUTED_VALUE"""),"Haven't got anything in the website")</f>
        <v>Haven't got anything in the website</v>
      </c>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row>
    <row r="198">
      <c r="A198" s="31" t="str">
        <f>IFERROR(__xludf.DUMMYFUNCTION("""COMPUTED_VALUE"""),"Monarch Airline")</f>
        <v>Monarch Airline</v>
      </c>
      <c r="B198" s="127" t="str">
        <f>IFERROR(__xludf.DUMMYFUNCTION("""COMPUTED_VALUE"""),"Ceased operations on October 2, 2017")</f>
        <v>Ceased operations on October 2, 2017</v>
      </c>
      <c r="C198" s="128"/>
      <c r="D198" s="129"/>
      <c r="E198" s="129"/>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row>
    <row r="199">
      <c r="A199" s="31" t="str">
        <f>IFERROR(__xludf.DUMMYFUNCTION("""COMPUTED_VALUE"""),"Neos Air")</f>
        <v>Neos Air</v>
      </c>
      <c r="B199" s="127"/>
      <c r="C199" s="128" t="str">
        <f>IFERROR(__xludf.DUMMYFUNCTION("""COMPUTED_VALUE"""),"customercare@neosair.it")</f>
        <v>customercare@neosair.it</v>
      </c>
      <c r="D199" s="129" t="str">
        <f>IFERROR(__xludf.DUMMYFUNCTION("""COMPUTED_VALUE"""),"Webform")</f>
        <v>Webform</v>
      </c>
      <c r="E199" s="131" t="str">
        <f>IFERROR(__xludf.DUMMYFUNCTION("""COMPUTED_VALUE"""),"https://customercare.neosair.it/")</f>
        <v>https://customercare.neosair.it/</v>
      </c>
      <c r="F199" s="127" t="str">
        <f>IFERROR(__xludf.DUMMYFUNCTION("""COMPUTED_VALUE"""),"Please collect all the data: Birth details, birth place, passport no. ,Codice Fiscale for Italian citizens")</f>
        <v>Please collect all the data: Birth details, birth place, passport no. ,Codice Fiscale for Italian citizens</v>
      </c>
      <c r="G199" s="127" t="str">
        <f>IFERROR(__xludf.DUMMYFUNCTION("""COMPUTED_VALUE"""),"Pass: Fkk4erdF!")</f>
        <v>Pass: Fkk4erdF!</v>
      </c>
      <c r="H199" s="127"/>
      <c r="I199" s="127"/>
      <c r="J199" s="127"/>
      <c r="K199" s="127"/>
      <c r="L199" s="127"/>
      <c r="M199" s="127"/>
      <c r="N199" s="127"/>
      <c r="O199" s="127"/>
      <c r="P199" s="127"/>
      <c r="Q199" s="127"/>
      <c r="R199" s="127"/>
      <c r="S199" s="127"/>
      <c r="T199" s="127"/>
      <c r="U199" s="127"/>
      <c r="V199" s="127"/>
      <c r="W199" s="127"/>
      <c r="X199" s="127"/>
      <c r="Y199" s="127"/>
      <c r="Z199" s="127"/>
      <c r="AA199" s="127"/>
      <c r="AB199" s="127"/>
    </row>
    <row r="200">
      <c r="A200" s="31" t="str">
        <f>IFERROR(__xludf.DUMMYFUNCTION("""COMPUTED_VALUE"""),"Nesma Airlines")</f>
        <v>Nesma Airlines</v>
      </c>
      <c r="B200" s="127"/>
      <c r="C200" s="128" t="str">
        <f>IFERROR(__xludf.DUMMYFUNCTION("""COMPUTED_VALUE"""),"claims@nesmaairlines.com  ")</f>
        <v>claims@nesmaairlines.com  </v>
      </c>
      <c r="D200" s="129" t="str">
        <f>IFERROR(__xludf.DUMMYFUNCTION("""COMPUTED_VALUE"""),"email")</f>
        <v>email</v>
      </c>
      <c r="E200" s="129" t="str">
        <f>IFERROR(__xludf.DUMMYFUNCTION("""COMPUTED_VALUE"""),"claims@nesmaairlines.com; For delay claim in Spain: atencioncliente@masterflights.net")</f>
        <v>claims@nesmaairlines.com; For delay claim in Spain: atencioncliente@masterflights.net</v>
      </c>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row>
    <row r="201">
      <c r="A201" s="31" t="str">
        <f>IFERROR(__xludf.DUMMYFUNCTION("""COMPUTED_VALUE"""),"New England Airlines")</f>
        <v>New England Airlines</v>
      </c>
      <c r="B201" s="127"/>
      <c r="C201" s="128"/>
      <c r="D201" s="129"/>
      <c r="E201" s="129"/>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row>
    <row r="202">
      <c r="A202" s="31" t="str">
        <f>IFERROR(__xludf.DUMMYFUNCTION("""COMPUTED_VALUE"""),"Nile Air")</f>
        <v>Nile Air</v>
      </c>
      <c r="B202" s="127"/>
      <c r="C202" s="128" t="str">
        <f>IFERROR(__xludf.DUMMYFUNCTION("""COMPUTED_VALUE"""),"csu@nileair.com")</f>
        <v>csu@nileair.com</v>
      </c>
      <c r="D202" s="129" t="str">
        <f>IFERROR(__xludf.DUMMYFUNCTION("""COMPUTED_VALUE"""),"We will us email first")</f>
        <v>We will us email first</v>
      </c>
      <c r="E202" s="131" t="str">
        <f>IFERROR(__xludf.DUMMYFUNCTION("""COMPUTED_VALUE"""),"https://www.nileair.com/contact-us")</f>
        <v>https://www.nileair.com/contact-us</v>
      </c>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row>
    <row r="203">
      <c r="A203" s="31" t="str">
        <f>IFERROR(__xludf.DUMMYFUNCTION("""COMPUTED_VALUE"""),"Norse Atlantic Airways")</f>
        <v>Norse Atlantic Airways</v>
      </c>
      <c r="B203" s="127"/>
      <c r="C203" s="128" t="str">
        <f>IFERROR(__xludf.DUMMYFUNCTION("""COMPUTED_VALUE"""),"claims@flynorse.com")</f>
        <v>claims@flynorse.com</v>
      </c>
      <c r="D203" s="129" t="str">
        <f>IFERROR(__xludf.DUMMYFUNCTION("""COMPUTED_VALUE"""),"e-mail")</f>
        <v>e-mail</v>
      </c>
      <c r="E203" s="131" t="str">
        <f>IFERROR(__xludf.DUMMYFUNCTION("""COMPUTED_VALUE"""),"https://norseatlantic.typeform.com/compensation")</f>
        <v>https://norseatlantic.typeform.com/compensation</v>
      </c>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row>
    <row r="204">
      <c r="A204" s="31" t="str">
        <f>IFERROR(__xludf.DUMMYFUNCTION("""COMPUTED_VALUE"""),"Norwegian (DY)")</f>
        <v>Norwegian (DY)</v>
      </c>
      <c r="B204" s="127"/>
      <c r="C204" s="128" t="str">
        <f>IFERROR(__xludf.DUMMYFUNCTION("""COMPUTED_VALUE"""),"customer.care@norwegian.com")</f>
        <v>customer.care@norwegian.com</v>
      </c>
      <c r="D204" s="129" t="str">
        <f>IFERROR(__xludf.DUMMYFUNCTION("""COMPUTED_VALUE"""),"webform")</f>
        <v>webform</v>
      </c>
      <c r="E204" s="131" t="str">
        <f>IFERROR(__xludf.DUMMYFUNCTION("""COMPUTED_VALUE"""),"https://www.norwegian.com/en/travel-info/delayed-and-cancelled-flights/")</f>
        <v>https://www.norwegian.com/en/travel-info/delayed-and-cancelled-flights/</v>
      </c>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row>
    <row r="205">
      <c r="A205" s="31" t="str">
        <f>IFERROR(__xludf.DUMMYFUNCTION("""COMPUTED_VALUE"""),"Nouvel Air Tunise (BJ)")</f>
        <v>Nouvel Air Tunise (BJ)</v>
      </c>
      <c r="B205" s="127"/>
      <c r="C205" s="128" t="str">
        <f>IFERROR(__xludf.DUMMYFUNCTION("""COMPUTED_VALUE"""),"customer.service@nouvelair.com")</f>
        <v>customer.service@nouvelair.com</v>
      </c>
      <c r="D205" s="129" t="str">
        <f>IFERROR(__xludf.DUMMYFUNCTION("""COMPUTED_VALUE"""),"webform")</f>
        <v>webform</v>
      </c>
      <c r="E205" s="131" t="str">
        <f>IFERROR(__xludf.DUMMYFUNCTION("""COMPUTED_VALUE"""),"https://booking.nouvelair.com/ibe/feedback?lang-frfr")</f>
        <v>https://booking.nouvelair.com/ibe/feedback?lang-frfr</v>
      </c>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row>
    <row r="206">
      <c r="A206" s="31" t="str">
        <f>IFERROR(__xludf.DUMMYFUNCTION("""COMPUTED_VALUE"""),"Olympic Air (OA)")</f>
        <v>Olympic Air (OA)</v>
      </c>
      <c r="B206" s="127"/>
      <c r="C206" s="128" t="str">
        <f>IFERROR(__xludf.DUMMYFUNCTION("""COMPUTED_VALUE"""),"contact@aegeanair.com")</f>
        <v>contact@aegeanair.com</v>
      </c>
      <c r="D206" s="129" t="str">
        <f>IFERROR(__xludf.DUMMYFUNCTION("""COMPUTED_VALUE"""),"webform w/ attachment")</f>
        <v>webform w/ attachment</v>
      </c>
      <c r="E206" s="131" t="str">
        <f>IFERROR(__xludf.DUMMYFUNCTION("""COMPUTED_VALUE"""),"https://olympicair.custhelp.com/app/ask/session/")</f>
        <v>https://olympicair.custhelp.com/app/ask/session/</v>
      </c>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row>
    <row r="207">
      <c r="A207" s="31" t="str">
        <f>IFERROR(__xludf.DUMMYFUNCTION("""COMPUTED_VALUE"""),"Oman Air (WY)")</f>
        <v>Oman Air (WY)</v>
      </c>
      <c r="B207" s="127"/>
      <c r="C207" s="128" t="str">
        <f>IFERROR(__xludf.DUMMYFUNCTION("""COMPUTED_VALUE"""),"websalesrefund@omanair.com")</f>
        <v>websalesrefund@omanair.com</v>
      </c>
      <c r="D207" s="129" t="str">
        <f>IFERROR(__xludf.DUMMYFUNCTION("""COMPUTED_VALUE"""),"webform w/o attachment")</f>
        <v>webform w/o attachment</v>
      </c>
      <c r="E207" s="131" t="str">
        <f>IFERROR(__xludf.DUMMYFUNCTION("""COMPUTED_VALUE"""),"https://services.omanair.com/gbl/en/feedback")</f>
        <v>https://services.omanair.com/gbl/en/feedback</v>
      </c>
      <c r="F207" s="127" t="str">
        <f>IFERROR(__xludf.DUMMYFUNCTION("""COMPUTED_VALUE"""),"Ticket number")</f>
        <v>Ticket number</v>
      </c>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row>
    <row r="208">
      <c r="A208" s="31" t="str">
        <f>IFERROR(__xludf.DUMMYFUNCTION("""COMPUTED_VALUE"""),"Omni Air International (OY)")</f>
        <v>Omni Air International (OY)</v>
      </c>
      <c r="B208" s="127"/>
      <c r="C208" s="128" t="str">
        <f>IFERROR(__xludf.DUMMYFUNCTION("""COMPUTED_VALUE"""),"information@oai.aero")</f>
        <v>information@oai.aero</v>
      </c>
      <c r="D208" s="129" t="str">
        <f>IFERROR(__xludf.DUMMYFUNCTION("""COMPUTED_VALUE"""),"webform w/o attachment")</f>
        <v>webform w/o attachment</v>
      </c>
      <c r="E208" s="131" t="str">
        <f>IFERROR(__xludf.DUMMYFUNCTION("""COMPUTED_VALUE"""),"https://www.oai.aero/contact")</f>
        <v>https://www.oai.aero/contact</v>
      </c>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row>
    <row r="209">
      <c r="A209" s="31" t="str">
        <f>IFERROR(__xludf.DUMMYFUNCTION("""COMPUTED_VALUE"""),"Pakistan International Airlines (PK)")</f>
        <v>Pakistan International Airlines (PK)</v>
      </c>
      <c r="B209" s="127"/>
      <c r="C209" s="128" t="str">
        <f>IFERROR(__xludf.DUMMYFUNCTION("""COMPUTED_VALUE"""),"khidwpk@piac.aero info@piac.aero")</f>
        <v>khidwpk@piac.aero info@piac.aero</v>
      </c>
      <c r="D209" s="129" t="str">
        <f>IFERROR(__xludf.DUMMYFUNCTION("""COMPUTED_VALUE"""),"e-mail")</f>
        <v>e-mail</v>
      </c>
      <c r="E209" s="129" t="str">
        <f>IFERROR(__xludf.DUMMYFUNCTION("""COMPUTED_VALUE"""),"lontopk@piac.aero")</f>
        <v>lontopk@piac.aero</v>
      </c>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row>
    <row r="210">
      <c r="A210" s="31" t="str">
        <f>IFERROR(__xludf.DUMMYFUNCTION("""COMPUTED_VALUE"""),"Pegasus (PC)")</f>
        <v>Pegasus (PC)</v>
      </c>
      <c r="B210" s="127"/>
      <c r="C210" s="128" t="str">
        <f>IFERROR(__xludf.DUMMYFUNCTION("""COMPUTED_VALUE"""),"guestclaim@flypgs.com")</f>
        <v>guestclaim@flypgs.com</v>
      </c>
      <c r="D210" s="129" t="str">
        <f>IFERROR(__xludf.DUMMYFUNCTION("""COMPUTED_VALUE"""),"e-mail")</f>
        <v>e-mail</v>
      </c>
      <c r="E210" s="129" t="str">
        <f>IFERROR(__xludf.DUMMYFUNCTION("""COMPUTED_VALUE"""),"guestclaim@flypgs.com")</f>
        <v>guestclaim@flypgs.com</v>
      </c>
      <c r="F210" s="127"/>
      <c r="G210" s="132" t="str">
        <f>IFERROR(__xludf.DUMMYFUNCTION("""COMPUTED_VALUE"""),"https://www.flypgs.com/en/write-to-us/delays")</f>
        <v>https://www.flypgs.com/en/write-to-us/delays</v>
      </c>
      <c r="H210" s="127" t="str">
        <f>IFERROR(__xludf.DUMMYFUNCTION("""COMPUTED_VALUE"""),"Intermediaries filing claims on behalf of passengers are expected to apply to us with the request inscribed on a letterhead including the name, tax and commercial registry identification of the intermediary and accompanying flight details of the passenger"&amp;". The request should be signed by hand or electronically. Intermediaries should also provide us with a proper authorization document (Power of Attorney, Vollmacht, etc.) either in signed original form or with accompanying electronic signature log details "&amp;"for us to verify authorization of the intermediary to act on behalf of the passenger. We reserve our right to request any additional information/document that may be necessary to process claims.")</f>
        <v>Intermediaries filing claims on behalf of passengers are expected to apply to us with the request inscribed on a letterhead including the name, tax and commercial registry identification of the intermediary and accompanying flight details of the passenger. The request should be signed by hand or electronically. Intermediaries should also provide us with a proper authorization document (Power of Attorney, Vollmacht, etc.) either in signed original form or with accompanying electronic signature log details for us to verify authorization of the intermediary to act on behalf of the passenger. We reserve our right to request any additional information/document that may be necessary to process claims.</v>
      </c>
      <c r="I210" s="127"/>
      <c r="J210" s="127"/>
      <c r="K210" s="127"/>
      <c r="L210" s="127"/>
      <c r="M210" s="127"/>
      <c r="N210" s="127"/>
      <c r="O210" s="127"/>
      <c r="P210" s="127"/>
      <c r="Q210" s="127"/>
      <c r="R210" s="127"/>
      <c r="S210" s="127"/>
      <c r="T210" s="127"/>
      <c r="U210" s="127"/>
      <c r="V210" s="127"/>
      <c r="W210" s="127"/>
      <c r="X210" s="127"/>
      <c r="Y210" s="127"/>
      <c r="Z210" s="127"/>
      <c r="AA210" s="127"/>
      <c r="AB210" s="127"/>
    </row>
    <row r="211">
      <c r="A211" s="31" t="str">
        <f>IFERROR(__xludf.DUMMYFUNCTION("""COMPUTED_VALUE"""),"Philippine Airlines")</f>
        <v>Philippine Airlines</v>
      </c>
      <c r="B211" s="127"/>
      <c r="C211" s="128" t="str">
        <f>IFERROR(__xludf.DUMMYFUNCTION("""COMPUTED_VALUE"""),"wecare@philippineairlines.com")</f>
        <v>wecare@philippineairlines.com</v>
      </c>
      <c r="D211" s="129"/>
      <c r="E211" s="131" t="str">
        <f>IFERROR(__xludf.DUMMYFUNCTION("""COMPUTED_VALUE"""),"https://pal.my.site.com/s/submit-a-request")</f>
        <v>https://pal.my.site.com/s/submit-a-request</v>
      </c>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row>
    <row r="212">
      <c r="A212" s="31" t="str">
        <f>IFERROR(__xludf.DUMMYFUNCTION("""COMPUTED_VALUE"""),"Plus Ultra")</f>
        <v>Plus Ultra</v>
      </c>
      <c r="B212" s="127"/>
      <c r="C212" s="128" t="str">
        <f>IFERROR(__xludf.DUMMYFUNCTION("""COMPUTED_VALUE"""),"atencioncliente@plusultra.com")</f>
        <v>atencioncliente@plusultra.com</v>
      </c>
      <c r="D212" s="129" t="str">
        <f>IFERROR(__xludf.DUMMYFUNCTION("""COMPUTED_VALUE"""),"e-mail")</f>
        <v>e-mail</v>
      </c>
      <c r="E212" s="129" t="str">
        <f>IFERROR(__xludf.DUMMYFUNCTION("""COMPUTED_VALUE"""),"atencioncliente@plusultra.com")</f>
        <v>atencioncliente@plusultra.com</v>
      </c>
      <c r="F212" s="127" t="str">
        <f>IFERROR(__xludf.DUMMYFUNCTION("""COMPUTED_VALUE"""),"Boarding, ID")</f>
        <v>Boarding, ID</v>
      </c>
      <c r="G212" s="132" t="str">
        <f>IFERROR(__xludf.DUMMYFUNCTION("""COMPUTED_VALUE"""),"Have their own form: https://static.plusultra.com/media/1003/formulario-reclamaciones-version-word_en.pdf")</f>
        <v>Have their own form: https://static.plusultra.com/media/1003/formulario-reclamaciones-version-word_en.pdf</v>
      </c>
      <c r="H212" s="127"/>
      <c r="I212" s="127"/>
      <c r="J212" s="127"/>
      <c r="K212" s="127"/>
      <c r="L212" s="127"/>
      <c r="M212" s="127"/>
      <c r="N212" s="127"/>
      <c r="O212" s="127"/>
      <c r="P212" s="127"/>
      <c r="Q212" s="127"/>
      <c r="R212" s="127"/>
      <c r="S212" s="127"/>
      <c r="T212" s="127"/>
      <c r="U212" s="127"/>
      <c r="V212" s="127"/>
      <c r="W212" s="127"/>
      <c r="X212" s="127"/>
      <c r="Y212" s="127"/>
      <c r="Z212" s="127"/>
      <c r="AA212" s="127"/>
      <c r="AB212" s="127"/>
    </row>
    <row r="213">
      <c r="A213" s="31" t="str">
        <f>IFERROR(__xludf.DUMMYFUNCTION("""COMPUTED_VALUE"""),"Polish Airlines (LO)")</f>
        <v>Polish Airlines (LO)</v>
      </c>
      <c r="B213" s="127"/>
      <c r="C213" s="128" t="str">
        <f>IFERROR(__xludf.DUMMYFUNCTION("""COMPUTED_VALUE"""),"passenger.claims@lot.pl")</f>
        <v>passenger.claims@lot.pl</v>
      </c>
      <c r="D213" s="129" t="str">
        <f>IFERROR(__xludf.DUMMYFUNCTION("""COMPUTED_VALUE"""),"LOT need hand wirtten signature on the POA / webform w/ attachment")</f>
        <v>LOT need hand wirtten signature on the POA / webform w/ attachment</v>
      </c>
      <c r="E213" s="131" t="str">
        <f>IFERROR(__xludf.DUMMYFUNCTION("""COMPUTED_VALUE"""),"https://www.lot.com/pl/en/help-center/contact/forms/form-claim-after-departure")</f>
        <v>https://www.lot.com/pl/en/help-center/contact/forms/form-claim-after-departure</v>
      </c>
      <c r="F213" s="127" t="str">
        <f>IFERROR(__xludf.DUMMYFUNCTION("""COMPUTED_VALUE"""),"LOT need hand wirtten signature on the POA / webform w/ attachment")</f>
        <v>LOT need hand wirtten signature on the POA / webform w/ attachment</v>
      </c>
      <c r="G213" s="127" t="str">
        <f>IFERROR(__xludf.DUMMYFUNCTION("""COMPUTED_VALUE"""),"f")</f>
        <v>f</v>
      </c>
      <c r="H213" s="132" t="str">
        <f>IFERROR(__xludf.DUMMYFUNCTION("""COMPUTED_VALUE"""),"POA link: https://www.lot.com/content/dam/lot/lot-com/documents/reklamacje-pasazerskie-poa/POA.pdf")</f>
        <v>POA link: https://www.lot.com/content/dam/lot/lot-com/documents/reklamacje-pasazerskie-poa/POA.pdf</v>
      </c>
      <c r="I213" s="127"/>
      <c r="J213" s="127"/>
      <c r="K213" s="127"/>
      <c r="L213" s="127"/>
      <c r="M213" s="127"/>
      <c r="N213" s="127"/>
      <c r="O213" s="127"/>
      <c r="P213" s="127"/>
      <c r="Q213" s="127"/>
      <c r="R213" s="127"/>
      <c r="S213" s="127"/>
      <c r="T213" s="127"/>
      <c r="U213" s="127"/>
      <c r="V213" s="127"/>
      <c r="W213" s="127"/>
      <c r="X213" s="127"/>
      <c r="Y213" s="127"/>
      <c r="Z213" s="127"/>
      <c r="AA213" s="127"/>
      <c r="AB213" s="127"/>
    </row>
    <row r="214">
      <c r="A214" s="31" t="str">
        <f>IFERROR(__xludf.DUMMYFUNCTION("""COMPUTED_VALUE""")," Porter Airlines (PD)")</f>
        <v> Porter Airlines (PD)</v>
      </c>
      <c r="B214" s="127"/>
      <c r="C214" s="128" t="str">
        <f>IFERROR(__xludf.DUMMYFUNCTION("""COMPUTED_VALUE"""),"info@flyporter.com")</f>
        <v>info@flyporter.com</v>
      </c>
      <c r="D214" s="129" t="str">
        <f>IFERROR(__xludf.DUMMYFUNCTION("""COMPUTED_VALUE"""),"Webform")</f>
        <v>Webform</v>
      </c>
      <c r="E214" s="131" t="str">
        <f>IFERROR(__xludf.DUMMYFUNCTION("""COMPUTED_VALUE"""),"https://www.flyporter.com/en-ca/customer-service/help-contact/claims/compensation-eligibility-check")</f>
        <v>https://www.flyporter.com/en-ca/customer-service/help-contact/claims/compensation-eligibility-check</v>
      </c>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row>
    <row r="215">
      <c r="A215" s="31" t="str">
        <f>IFERROR(__xludf.DUMMYFUNCTION("""COMPUTED_VALUE"""),"Portugalia Airlines (NI)")</f>
        <v>Portugalia Airlines (NI)</v>
      </c>
      <c r="B215" s="127"/>
      <c r="C215" s="128" t="str">
        <f>IFERROR(__xludf.DUMMYFUNCTION("""COMPUTED_VALUE"""),"comunicacao@pga.pt")</f>
        <v>comunicacao@pga.pt</v>
      </c>
      <c r="D215" s="129" t="str">
        <f>IFERROR(__xludf.DUMMYFUNCTION("""COMPUTED_VALUE"""),"e-mail")</f>
        <v>e-mail</v>
      </c>
      <c r="E215" s="129" t="str">
        <f>IFERROR(__xludf.DUMMYFUNCTION("""COMPUTED_VALUE"""),"Have to send to TAP")</f>
        <v>Have to send to TAP</v>
      </c>
      <c r="F215" s="127"/>
      <c r="G215" s="127"/>
      <c r="H215" s="127" t="str">
        <f>IFERROR(__xludf.DUMMYFUNCTION("""COMPUTED_VALUE"""),"On 14 January 2016, TAP Air Portugal announced that Portugália would be rebranded as TAP Express as of 27 March 2016 as part of the restructuring measures within the group. The division Portugália Airlines however was said to stay independent within the g"&amp;"roup.")</f>
        <v>On 14 January 2016, TAP Air Portugal announced that Portugália would be rebranded as TAP Express as of 27 March 2016 as part of the restructuring measures within the group. The division Portugália Airlines however was said to stay independent within the group.</v>
      </c>
      <c r="I215" s="127"/>
      <c r="J215" s="127"/>
      <c r="K215" s="127"/>
      <c r="L215" s="127"/>
      <c r="M215" s="127"/>
      <c r="N215" s="127"/>
      <c r="O215" s="127"/>
      <c r="P215" s="127"/>
      <c r="Q215" s="127"/>
      <c r="R215" s="127"/>
      <c r="S215" s="127"/>
      <c r="T215" s="127"/>
      <c r="U215" s="127"/>
      <c r="V215" s="127"/>
      <c r="W215" s="127"/>
      <c r="X215" s="127"/>
      <c r="Y215" s="127"/>
      <c r="Z215" s="127"/>
      <c r="AA215" s="127"/>
      <c r="AB215" s="127"/>
    </row>
    <row r="216">
      <c r="A216" s="31" t="str">
        <f>IFERROR(__xludf.DUMMYFUNCTION("""COMPUTED_VALUE"""),"Precision air")</f>
        <v>Precision air</v>
      </c>
      <c r="B216" s="127"/>
      <c r="C216" s="128" t="str">
        <f>IFERROR(__xludf.DUMMYFUNCTION("""COMPUTED_VALUE"""),"contactcentre@precisionairtz.com")</f>
        <v>contactcentre@precisionairtz.com</v>
      </c>
      <c r="D216" s="129" t="str">
        <f>IFERROR(__xludf.DUMMYFUNCTION("""COMPUTED_VALUE"""),"e-mail")</f>
        <v>e-mail</v>
      </c>
      <c r="E216" s="129" t="str">
        <f>IFERROR(__xludf.DUMMYFUNCTION("""COMPUTED_VALUE"""),"contactcentre@precisionairtz.com
")</f>
        <v>contactcentre@precisionairtz.com
</v>
      </c>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row>
    <row r="217">
      <c r="A217" s="31" t="str">
        <f>IFERROR(__xludf.DUMMYFUNCTION("""COMPUTED_VALUE"""),"PrivatAir")</f>
        <v>PrivatAir</v>
      </c>
      <c r="B217" s="127"/>
      <c r="C217" s="128" t="str">
        <f>IFERROR(__xludf.DUMMYFUNCTION("""COMPUTED_VALUE"""),"info@privatair.com")</f>
        <v>info@privatair.com</v>
      </c>
      <c r="D217" s="129" t="str">
        <f>IFERROR(__xludf.DUMMYFUNCTION("""COMPUTED_VALUE"""),"e-mail")</f>
        <v>e-mail</v>
      </c>
      <c r="E217" s="129"/>
      <c r="F217" s="127"/>
      <c r="G217" s="127"/>
      <c r="H217" s="127" t="str">
        <f>IFERROR(__xludf.DUMMYFUNCTION("""COMPUTED_VALUE"""),"Ceased operations 5 December 2018")</f>
        <v>Ceased operations 5 December 2018</v>
      </c>
      <c r="I217" s="127"/>
      <c r="J217" s="127"/>
      <c r="K217" s="127"/>
      <c r="L217" s="127"/>
      <c r="M217" s="127"/>
      <c r="N217" s="127"/>
      <c r="O217" s="127"/>
      <c r="P217" s="127"/>
      <c r="Q217" s="127"/>
      <c r="R217" s="127"/>
      <c r="S217" s="127"/>
      <c r="T217" s="127"/>
      <c r="U217" s="127"/>
      <c r="V217" s="127"/>
      <c r="W217" s="127"/>
      <c r="X217" s="127"/>
      <c r="Y217" s="127"/>
      <c r="Z217" s="127"/>
      <c r="AA217" s="127"/>
      <c r="AB217" s="127"/>
    </row>
    <row r="218">
      <c r="A218" s="31" t="str">
        <f>IFERROR(__xludf.DUMMYFUNCTION("""COMPUTED_VALUE"""),"Privilege Style")</f>
        <v>Privilege Style</v>
      </c>
      <c r="B218" s="127"/>
      <c r="C218" s="128" t="str">
        <f>IFERROR(__xludf.DUMMYFUNCTION("""COMPUTED_VALUE"""),"privilegestyle@privilegestyle.com")</f>
        <v>privilegestyle@privilegestyle.com</v>
      </c>
      <c r="D218" s="129" t="str">
        <f>IFERROR(__xludf.DUMMYFUNCTION("""COMPUTED_VALUE"""),"e-mail")</f>
        <v>e-mail</v>
      </c>
      <c r="E218" s="129" t="str">
        <f>IFERROR(__xludf.DUMMYFUNCTION("""COMPUTED_VALUE"""),"privilege@privilegestyle.com")</f>
        <v>privilege@privilegestyle.com</v>
      </c>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row>
    <row r="219">
      <c r="A219" s="31" t="str">
        <f>IFERROR(__xludf.DUMMYFUNCTION("""COMPUTED_VALUE"""),"Pullmantur Air (EB) ( New name: Wamos Air)")</f>
        <v>Pullmantur Air (EB) ( New name: Wamos Air)</v>
      </c>
      <c r="B219" s="127"/>
      <c r="C219" s="128" t="str">
        <f>IFERROR(__xludf.DUMMYFUNCTION("""COMPUTED_VALUE"""),"reclamaciones@pullmanturair.com")</f>
        <v>reclamaciones@pullmanturair.com</v>
      </c>
      <c r="D219" s="129" t="str">
        <f>IFERROR(__xludf.DUMMYFUNCTION("""COMPUTED_VALUE"""),"e-mail")</f>
        <v>e-mail</v>
      </c>
      <c r="E219" s="129" t="str">
        <f>IFERROR(__xludf.DUMMYFUNCTION("""COMPUTED_VALUE"""),"hola@wamosair.com")</f>
        <v>hola@wamosair.com</v>
      </c>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row>
    <row r="220">
      <c r="A220" s="31" t="str">
        <f>IFERROR(__xludf.DUMMYFUNCTION("""COMPUTED_VALUE"""),"Qantas (QF)")</f>
        <v>Qantas (QF)</v>
      </c>
      <c r="B220" s="127"/>
      <c r="C220" s="128" t="str">
        <f>IFERROR(__xludf.DUMMYFUNCTION("""COMPUTED_VALUE"""),"qantasbenelux@mindpearl.com")</f>
        <v>qantasbenelux@mindpearl.com</v>
      </c>
      <c r="D220" s="129" t="str">
        <f>IFERROR(__xludf.DUMMYFUNCTION("""COMPUTED_VALUE"""),"webform w/o attachment")</f>
        <v>webform w/o attachment</v>
      </c>
      <c r="E220" s="131" t="str">
        <f>IFERROR(__xludf.DUMMYFUNCTION("""COMPUTED_VALUE"""),"https://www.qantas.com/au/en/support/contact-us/customer-care-feedback-form.html")</f>
        <v>https://www.qantas.com/au/en/support/contact-us/customer-care-feedback-form.html</v>
      </c>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row>
    <row r="221">
      <c r="A221" s="31" t="str">
        <f>IFERROR(__xludf.DUMMYFUNCTION("""COMPUTED_VALUE"""),"Qatar Airways (QR)")</f>
        <v>Qatar Airways (QR)</v>
      </c>
      <c r="B221" s="127"/>
      <c r="C221" s="128" t="str">
        <f>IFERROR(__xludf.DUMMYFUNCTION("""COMPUTED_VALUE"""),"tell-us@qatarairways.com.qa")</f>
        <v>tell-us@qatarairways.com.qa</v>
      </c>
      <c r="D221" s="129" t="str">
        <f>IFERROR(__xludf.DUMMYFUNCTION("""COMPUTED_VALUE"""),"webform w/o attachment")</f>
        <v>webform w/o attachment</v>
      </c>
      <c r="E221" s="131" t="str">
        <f>IFERROR(__xludf.DUMMYFUNCTION("""COMPUTED_VALUE"""),"https://www.qatarairways.com/en/help/feedback.html")</f>
        <v>https://www.qatarairways.com/en/help/feedback.html</v>
      </c>
      <c r="F221" s="132" t="str">
        <f>IFERROR(__xludf.DUMMYFUNCTION("""COMPUTED_VALUE"""),"https://www.qatarairways.com/en/help/contact-us.html?iid=ALL74246290")</f>
        <v>https://www.qatarairways.com/en/help/contact-us.html?iid=ALL74246290</v>
      </c>
      <c r="G221" s="132" t="str">
        <f>IFERROR(__xludf.DUMMYFUNCTION("""COMPUTED_VALUE"""),"https://www.qatarairways.com/en/help/contact-us.html?iid=ALL74246290")</f>
        <v>https://www.qatarairways.com/en/help/contact-us.html?iid=ALL74246290</v>
      </c>
      <c r="H221" s="127"/>
      <c r="I221" s="127"/>
      <c r="J221" s="127"/>
      <c r="K221" s="127"/>
      <c r="L221" s="127"/>
      <c r="M221" s="127"/>
      <c r="N221" s="127"/>
      <c r="O221" s="127"/>
      <c r="P221" s="127"/>
      <c r="Q221" s="127"/>
      <c r="R221" s="127"/>
      <c r="S221" s="127"/>
      <c r="T221" s="127"/>
      <c r="U221" s="127"/>
      <c r="V221" s="127"/>
      <c r="W221" s="127"/>
      <c r="X221" s="127"/>
      <c r="Y221" s="127"/>
      <c r="Z221" s="127"/>
      <c r="AA221" s="127"/>
      <c r="AB221" s="127"/>
    </row>
    <row r="222">
      <c r="A222" s="31" t="str">
        <f>IFERROR(__xludf.DUMMYFUNCTION("""COMPUTED_VALUE"""),"Res Sea Airlines")</f>
        <v>Res Sea Airlines</v>
      </c>
      <c r="B222" s="127"/>
      <c r="C222" s="128" t="str">
        <f>IFERROR(__xludf.DUMMYFUNCTION("""COMPUTED_VALUE"""),"commercial.manager@redseaairlines.com")</f>
        <v>commercial.manager@redseaairlines.com</v>
      </c>
      <c r="D222" s="129" t="str">
        <f>IFERROR(__xludf.DUMMYFUNCTION("""COMPUTED_VALUE"""),"e-mail")</f>
        <v>e-mail</v>
      </c>
      <c r="E222" s="129" t="str">
        <f>IFERROR(__xludf.DUMMYFUNCTION("""COMPUTED_VALUE"""),"commercial.manager@redseaairlines.com")</f>
        <v>commercial.manager@redseaairlines.com</v>
      </c>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row>
    <row r="223">
      <c r="A223" s="31" t="str">
        <f>IFERROR(__xludf.DUMMYFUNCTION("""COMPUTED_VALUE"""),"Rossiya airlines")</f>
        <v>Rossiya airlines</v>
      </c>
      <c r="B223" s="127"/>
      <c r="C223" s="128" t="str">
        <f>IFERROR(__xludf.DUMMYFUNCTION("""COMPUTED_VALUE"""),"Openline@rossiya-airlines.com")</f>
        <v>Openline@rossiya-airlines.com</v>
      </c>
      <c r="D223" s="129" t="str">
        <f>IFERROR(__xludf.DUMMYFUNCTION("""COMPUTED_VALUE"""),"webform w/ attachment")</f>
        <v>webform w/ attachment</v>
      </c>
      <c r="E223" s="131" t="str">
        <f>IFERROR(__xludf.DUMMYFUNCTION("""COMPUTED_VALUE"""),"https://www.rossiya-airlines.com/en/about/contacts/feedback/help/?THEME_ID=61084")</f>
        <v>https://www.rossiya-airlines.com/en/about/contacts/feedback/help/?THEME_ID=61084</v>
      </c>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row>
    <row r="224">
      <c r="A224" s="31" t="str">
        <f>IFERROR(__xludf.DUMMYFUNCTION("""COMPUTED_VALUE"""),"Royal Air Maroc (AT)")</f>
        <v>Royal Air Maroc (AT)</v>
      </c>
      <c r="B224" s="127"/>
      <c r="C224" s="128" t="str">
        <f>IFERROR(__xludf.DUMMYFUNCTION("""COMPUTED_VALUE"""),"serviceclient@royalairmaroc.com")</f>
        <v>serviceclient@royalairmaroc.com</v>
      </c>
      <c r="D224" s="129" t="str">
        <f>IFERROR(__xludf.DUMMYFUNCTION("""COMPUTED_VALUE"""),"webform w/o attachment")</f>
        <v>webform w/o attachment</v>
      </c>
      <c r="E224" s="131" t="str">
        <f>IFERROR(__xludf.DUMMYFUNCTION("""COMPUTED_VALUE"""),"https://www.royalairmaroc.com/int-en/information/service-claims")</f>
        <v>https://www.royalairmaroc.com/int-en/information/service-claims</v>
      </c>
      <c r="F224" s="127" t="str">
        <f>IFERROR(__xludf.DUMMYFUNCTION("""COMPUTED_VALUE"""),"Ticket No")</f>
        <v>Ticket No</v>
      </c>
      <c r="G224" s="127" t="str">
        <f>IFERROR(__xludf.DUMMYFUNCTION("""COMPUTED_VALUE"""),"To follow up your case, kindly use the following e-mail address: serviceclient@royalairmaroc.com by responding to the present email while keeping the same subject.")</f>
        <v>To follow up your case, kindly use the following e-mail address: serviceclient@royalairmaroc.com by responding to the present email while keeping the same subject.</v>
      </c>
      <c r="H224" s="127"/>
      <c r="I224" s="127"/>
      <c r="J224" s="127"/>
      <c r="K224" s="127"/>
      <c r="L224" s="127"/>
      <c r="M224" s="127"/>
      <c r="N224" s="127"/>
      <c r="O224" s="127"/>
      <c r="P224" s="127"/>
      <c r="Q224" s="127"/>
      <c r="R224" s="127"/>
      <c r="S224" s="127"/>
      <c r="T224" s="127"/>
      <c r="U224" s="127"/>
      <c r="V224" s="127"/>
      <c r="W224" s="127"/>
      <c r="X224" s="127"/>
      <c r="Y224" s="127"/>
      <c r="Z224" s="127"/>
      <c r="AA224" s="127"/>
      <c r="AB224" s="127"/>
    </row>
    <row r="225">
      <c r="A225" s="31" t="str">
        <f>IFERROR(__xludf.DUMMYFUNCTION("""COMPUTED_VALUE"""),"Royal Jordanian")</f>
        <v>Royal Jordanian</v>
      </c>
      <c r="B225" s="127"/>
      <c r="C225" s="128" t="str">
        <f>IFERROR(__xludf.DUMMYFUNCTION("""COMPUTED_VALUE"""),"customer.services@rj.com")</f>
        <v>customer.services@rj.com</v>
      </c>
      <c r="D225" s="129"/>
      <c r="E225" s="131" t="str">
        <f>IFERROR(__xludf.DUMMYFUNCTION("""COMPUTED_VALUE"""),"https://feedback.rj.com/createcase/")</f>
        <v>https://feedback.rj.com/createcase/</v>
      </c>
      <c r="F225" s="127"/>
      <c r="G225" s="127" t="str">
        <f>IFERROR(__xludf.DUMMYFUNCTION("""COMPUTED_VALUE"""),"Pass: Fkk4erdF")</f>
        <v>Pass: Fkk4erdF</v>
      </c>
      <c r="H225" s="127"/>
      <c r="I225" s="127"/>
      <c r="J225" s="127"/>
      <c r="K225" s="127"/>
      <c r="L225" s="127"/>
      <c r="M225" s="127"/>
      <c r="N225" s="127"/>
      <c r="O225" s="127"/>
      <c r="P225" s="127"/>
      <c r="Q225" s="127"/>
      <c r="R225" s="127"/>
      <c r="S225" s="127"/>
      <c r="T225" s="127"/>
      <c r="U225" s="127"/>
      <c r="V225" s="127"/>
      <c r="W225" s="127"/>
      <c r="X225" s="127"/>
      <c r="Y225" s="127"/>
      <c r="Z225" s="127"/>
      <c r="AA225" s="127"/>
      <c r="AB225" s="127"/>
    </row>
    <row r="226">
      <c r="A226" s="31" t="str">
        <f>IFERROR(__xludf.DUMMYFUNCTION("""COMPUTED_VALUE"""),"Rwandair")</f>
        <v>Rwandair</v>
      </c>
      <c r="B226" s="127"/>
      <c r="C226" s="128" t="str">
        <f>IFERROR(__xludf.DUMMYFUNCTION("""COMPUTED_VALUE"""),"customerrelationsclaims@rwandair.com")</f>
        <v>customerrelationsclaims@rwandair.com</v>
      </c>
      <c r="D226" s="129"/>
      <c r="E226" s="129" t="str">
        <f>IFERROR(__xludf.DUMMYFUNCTION("""COMPUTED_VALUE"""),"customerrelationsclaims@rwandair.com")</f>
        <v>customerrelationsclaims@rwandair.com</v>
      </c>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row>
    <row r="227">
      <c r="A227" s="31" t="str">
        <f>IFERROR(__xludf.DUMMYFUNCTION("""COMPUTED_VALUE"""),"Ryanair (FR)")</f>
        <v>Ryanair (FR)</v>
      </c>
      <c r="B227" s="127"/>
      <c r="C227" s="133" t="str">
        <f>IFERROR(__xludf.DUMMYFUNCTION("""COMPUTED_VALUE"""),"cs.support@ryanair.com")</f>
        <v>cs.support@ryanair.com</v>
      </c>
      <c r="D227" s="129" t="str">
        <f>IFERROR(__xludf.DUMMYFUNCTION("""COMPUTED_VALUE"""),"webform &amp; post (webform w/ attach. needs checking once in a while)")</f>
        <v>webform &amp; post (webform w/ attach. needs checking once in a while)</v>
      </c>
      <c r="E227" s="131" t="str">
        <f>IFERROR(__xludf.DUMMYFUNCTION("""COMPUTED_VALUE"""),"https://www.ryanair.com/ie/en/myryanair/requests/new/eu-261/form/retrieve-booking")</f>
        <v>https://www.ryanair.com/ie/en/myryanair/requests/new/eu-261/form/retrieve-booking</v>
      </c>
      <c r="F227" s="127" t="str">
        <f>IFERROR(__xludf.DUMMYFUNCTION("""COMPUTED_VALUE"""),"Log in details: legal@refly.org Pass: Fkk4erdF")</f>
        <v>Log in details: legal@refly.org Pass: Fkk4erdF</v>
      </c>
      <c r="G227" s="127" t="str">
        <f>IFERROR(__xludf.DUMMYFUNCTION("""COMPUTED_VALUE"""),"Customer Service Department
 PO Box 11451
 Swords
 Co Dublin
 Ireland")</f>
        <v>Customer Service Department
 PO Box 11451
 Swords
 Co Dublin
 Ireland</v>
      </c>
      <c r="H227" s="127"/>
      <c r="I227" s="127"/>
      <c r="J227" s="127"/>
      <c r="K227" s="127"/>
      <c r="L227" s="127"/>
      <c r="M227" s="127"/>
      <c r="N227" s="127"/>
      <c r="O227" s="127"/>
      <c r="P227" s="127"/>
      <c r="Q227" s="127"/>
      <c r="R227" s="127"/>
      <c r="S227" s="127"/>
      <c r="T227" s="127"/>
      <c r="U227" s="127"/>
      <c r="V227" s="127"/>
      <c r="W227" s="127"/>
      <c r="X227" s="127"/>
      <c r="Y227" s="127"/>
      <c r="Z227" s="127"/>
      <c r="AA227" s="127"/>
      <c r="AB227" s="127"/>
    </row>
    <row r="228">
      <c r="A228" s="31" t="str">
        <f>IFERROR(__xludf.DUMMYFUNCTION("""COMPUTED_VALUE"""),"S7 Airlines (Siberia Airlines) (S7)")</f>
        <v>S7 Airlines (Siberia Airlines) (S7)</v>
      </c>
      <c r="B228" s="127"/>
      <c r="C228" s="128" t="str">
        <f>IFERROR(__xludf.DUMMYFUNCTION("""COMPUTED_VALUE"""),"info@s7.ru")</f>
        <v>info@s7.ru</v>
      </c>
      <c r="D228" s="129" t="str">
        <f>IFERROR(__xludf.DUMMYFUNCTION("""COMPUTED_VALUE"""),"webform w/ attachment")</f>
        <v>webform w/ attachment</v>
      </c>
      <c r="E228" s="131" t="str">
        <f>IFERROR(__xludf.DUMMYFUNCTION("""COMPUTED_VALUE"""),"http://www.s7.ru/home/about/contactus.dot")</f>
        <v>http://www.s7.ru/home/about/contactus.dot</v>
      </c>
      <c r="F228" s="127"/>
      <c r="G228" s="127" t="str">
        <f>IFERROR(__xludf.DUMMYFUNCTION("""COMPUTED_VALUE"""),"Juridical Department at address Russia 633104, Ob-4
 Novosibirsk region, OJSC Siberia Airlines, to CEO Obedkov Vladimir Nikolaevich")</f>
        <v>Juridical Department at address Russia 633104, Ob-4
 Novosibirsk region, OJSC Siberia Airlines, to CEO Obedkov Vladimir Nikolaevich</v>
      </c>
      <c r="H228" s="127"/>
      <c r="I228" s="127"/>
      <c r="J228" s="127"/>
      <c r="K228" s="127"/>
      <c r="L228" s="127"/>
      <c r="M228" s="127"/>
      <c r="N228" s="127"/>
      <c r="O228" s="127"/>
      <c r="P228" s="127"/>
      <c r="Q228" s="127"/>
      <c r="R228" s="127"/>
      <c r="S228" s="127"/>
      <c r="T228" s="127"/>
      <c r="U228" s="127"/>
      <c r="V228" s="127"/>
      <c r="W228" s="127"/>
      <c r="X228" s="127"/>
      <c r="Y228" s="127"/>
      <c r="Z228" s="127"/>
      <c r="AA228" s="127"/>
      <c r="AB228" s="127"/>
    </row>
    <row r="229">
      <c r="A229" s="31" t="str">
        <f>IFERROR(__xludf.DUMMYFUNCTION("""COMPUTED_VALUE"""),"SAS (SK)")</f>
        <v>SAS (SK)</v>
      </c>
      <c r="B229" s="127"/>
      <c r="C229" s="128" t="str">
        <f>IFERROR(__xludf.DUMMYFUNCTION("""COMPUTED_VALUE"""),"care@sas.se, customercareeurope@sas.se")</f>
        <v>care@sas.se, customercareeurope@sas.se</v>
      </c>
      <c r="D229" s="129" t="str">
        <f>IFERROR(__xludf.DUMMYFUNCTION("""COMPUTED_VALUE"""),"webform w/ attachment")</f>
        <v>webform w/ attachment</v>
      </c>
      <c r="E229" s="131" t="str">
        <f>IFERROR(__xludf.DUMMYFUNCTION("""COMPUTED_VALUE"""),"https://www.flysas.com/en/customer-service/contact/forms/claim-eu261/")</f>
        <v>https://www.flysas.com/en/customer-service/contact/forms/claim-eu261/</v>
      </c>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row>
    <row r="230">
      <c r="A230" s="31" t="str">
        <f>IFERROR(__xludf.DUMMYFUNCTION("""COMPUTED_VALUE"""),"Sata (S4) ( Azores Airlines)")</f>
        <v>Sata (S4) ( Azores Airlines)</v>
      </c>
      <c r="B230" s="127"/>
      <c r="C230" s="128" t="str">
        <f>IFERROR(__xludf.DUMMYFUNCTION("""COMPUTED_VALUE"""),"customer.care@sata.pt")</f>
        <v>customer.care@sata.pt</v>
      </c>
      <c r="D230" s="129" t="str">
        <f>IFERROR(__xludf.DUMMYFUNCTION("""COMPUTED_VALUE"""),"webform w/o attachment")</f>
        <v>webform w/o attachment</v>
      </c>
      <c r="E230" s="131" t="str">
        <f>IFERROR(__xludf.DUMMYFUNCTION("""COMPUTED_VALUE"""),"https://www.azoresairlines.pt/en/support/contact-us/claim")</f>
        <v>https://www.azoresairlines.pt/en/support/contact-us/claim</v>
      </c>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row>
    <row r="231">
      <c r="A231" s="31" t="str">
        <f>IFERROR(__xludf.DUMMYFUNCTION("""COMPUTED_VALUE"""),"Saudi Airlines (SV)")</f>
        <v>Saudi Airlines (SV)</v>
      </c>
      <c r="B231" s="127"/>
      <c r="C231" s="128" t="str">
        <f>IFERROR(__xludf.DUMMYFUNCTION("""COMPUTED_VALUE"""),"gccbackoffice@saudia.com")</f>
        <v>gccbackoffice@saudia.com</v>
      </c>
      <c r="D231" s="129" t="str">
        <f>IFERROR(__xludf.DUMMYFUNCTION("""COMPUTED_VALUE"""),"webform w/ attachment")</f>
        <v>webform w/ attachment</v>
      </c>
      <c r="E231" s="131" t="str">
        <f>IFERROR(__xludf.DUMMYFUNCTION("""COMPUTED_VALUE"""),"https://www.saudia.com/pages/help/contact-us/guest-relations/contact-form")</f>
        <v>https://www.saudia.com/pages/help/contact-us/guest-relations/contact-form</v>
      </c>
      <c r="F231" s="127" t="str">
        <f>IFERROR(__xludf.DUMMYFUNCTION("""COMPUTED_VALUE"""),"Ticket number, passport/ ID no ** Attachment should not exceed 2 MB")</f>
        <v>Ticket number, passport/ ID no ** Attachment should not exceed 2 MB</v>
      </c>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row>
    <row r="232">
      <c r="A232" s="31" t="str">
        <f>IFERROR(__xludf.DUMMYFUNCTION("""COMPUTED_VALUE"""),"Scoot")</f>
        <v>Scoot</v>
      </c>
      <c r="B232" s="127"/>
      <c r="C232" s="128" t="str">
        <f>IFERROR(__xludf.DUMMYFUNCTION("""COMPUTED_VALUE"""),"guest.experience@flyscoot.com")</f>
        <v>guest.experience@flyscoot.com</v>
      </c>
      <c r="D232" s="129" t="str">
        <f>IFERROR(__xludf.DUMMYFUNCTION("""COMPUTED_VALUE"""),"webform w/ attachment")</f>
        <v>webform w/ attachment</v>
      </c>
      <c r="E232" s="131" t="str">
        <f>IFERROR(__xludf.DUMMYFUNCTION("""COMPUTED_VALUE"""),"https://os.flyscoot.com/customerserviceform/")</f>
        <v>https://os.flyscoot.com/customerserviceform/</v>
      </c>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row>
    <row r="233">
      <c r="A233" s="31" t="str">
        <f>IFERROR(__xludf.DUMMYFUNCTION("""COMPUTED_VALUE"""),"Shenzhen Airlines")</f>
        <v>Shenzhen Airlines</v>
      </c>
      <c r="B233" s="127"/>
      <c r="C233" s="128" t="str">
        <f>IFERROR(__xludf.DUMMYFUNCTION("""COMPUTED_VALUE"""),"szaservice315@shenzhenair.com")</f>
        <v>szaservice315@shenzhenair.com</v>
      </c>
      <c r="D233" s="129" t="str">
        <f>IFERROR(__xludf.DUMMYFUNCTION("""COMPUTED_VALUE"""),"E-mail")</f>
        <v>E-mail</v>
      </c>
      <c r="E233" s="129" t="str">
        <f>IFERROR(__xludf.DUMMYFUNCTION("""COMPUTED_VALUE"""),"szaservice315@shenzhenair.com")</f>
        <v>szaservice315@shenzhenair.com</v>
      </c>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row>
    <row r="234">
      <c r="A234" s="31" t="str">
        <f>IFERROR(__xludf.DUMMYFUNCTION("""COMPUTED_VALUE"""),"Singapore Airlines (SQ)")</f>
        <v>Singapore Airlines (SQ)</v>
      </c>
      <c r="B234" s="127"/>
      <c r="C234" s="128" t="str">
        <f>IFERROR(__xludf.DUMMYFUNCTION("""COMPUTED_VALUE"""),"CPH_Airport@singaporeair.com.sg")</f>
        <v>CPH_Airport@singaporeair.com.sg</v>
      </c>
      <c r="D234" s="129" t="str">
        <f>IFERROR(__xludf.DUMMYFUNCTION("""COMPUTED_VALUE"""),"webform w/ attachment")</f>
        <v>webform w/ attachment</v>
      </c>
      <c r="E234" s="131" t="str">
        <f>IFERROR(__xludf.DUMMYFUNCTION("""COMPUTED_VALUE"""),"https://www.singaporeair.com/feedback-form/FeedbackContent")</f>
        <v>https://www.singaporeair.com/feedback-form/FeedbackContent</v>
      </c>
      <c r="F234" s="127"/>
      <c r="G234" s="127"/>
      <c r="H234" s="132" t="str">
        <f>IFERROR(__xludf.DUMMYFUNCTION("""COMPUTED_VALUE"""),"Letter of Authorisation to be completed: https://www.singaporeair.com/saar5/pdf/Letter-of-Authorisation.pdf")</f>
        <v>Letter of Authorisation to be completed: https://www.singaporeair.com/saar5/pdf/Letter-of-Authorisation.pdf</v>
      </c>
      <c r="I234" s="127"/>
      <c r="J234" s="127"/>
      <c r="K234" s="127"/>
      <c r="L234" s="127"/>
      <c r="M234" s="127"/>
      <c r="N234" s="127"/>
      <c r="O234" s="127"/>
      <c r="P234" s="127"/>
      <c r="Q234" s="127"/>
      <c r="R234" s="127"/>
      <c r="S234" s="127"/>
      <c r="T234" s="127"/>
      <c r="U234" s="127"/>
      <c r="V234" s="127"/>
      <c r="W234" s="127"/>
      <c r="X234" s="127"/>
      <c r="Y234" s="127"/>
      <c r="Z234" s="127"/>
      <c r="AA234" s="127"/>
      <c r="AB234" s="127"/>
    </row>
    <row r="235">
      <c r="A235" s="31" t="str">
        <f>IFERROR(__xludf.DUMMYFUNCTION("""COMPUTED_VALUE"""),"Skyalps")</f>
        <v>Skyalps</v>
      </c>
      <c r="B235" s="127"/>
      <c r="C235" s="128" t="str">
        <f>IFERROR(__xludf.DUMMYFUNCTION("""COMPUTED_VALUE"""),"info@skyalps.com")</f>
        <v>info@skyalps.com</v>
      </c>
      <c r="D235" s="129" t="str">
        <f>IFERROR(__xludf.DUMMYFUNCTION("""COMPUTED_VALUE"""),"email")</f>
        <v>email</v>
      </c>
      <c r="E235" s="129" t="str">
        <f>IFERROR(__xludf.DUMMYFUNCTION("""COMPUTED_VALUE"""),"info@skyalps.com")</f>
        <v>info@skyalps.com</v>
      </c>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row>
    <row r="236">
      <c r="A236" s="31" t="str">
        <f>IFERROR(__xludf.DUMMYFUNCTION("""COMPUTED_VALUE"""),"Sky Express S.A. (GQ)")</f>
        <v>Sky Express S.A. (GQ)</v>
      </c>
      <c r="B236" s="127"/>
      <c r="C236" s="128" t="str">
        <f>IFERROR(__xludf.DUMMYFUNCTION("""COMPUTED_VALUE"""),"customercare@skyexpress.com")</f>
        <v>customercare@skyexpress.com</v>
      </c>
      <c r="D236" s="129"/>
      <c r="E236" s="129" t="str">
        <f>IFERROR(__xludf.DUMMYFUNCTION("""COMPUTED_VALUE"""),"customercare@skyexpress.com")</f>
        <v>customercare@skyexpress.com</v>
      </c>
      <c r="F236" s="127"/>
      <c r="G236" s="127" t="str">
        <f>IFERROR(__xludf.DUMMYFUNCTION("""COMPUTED_VALUE"""),"customercare@skyexpress.gr")</f>
        <v>customercare@skyexpress.gr</v>
      </c>
      <c r="H236" s="127"/>
      <c r="I236" s="127"/>
      <c r="J236" s="127"/>
      <c r="K236" s="127"/>
      <c r="L236" s="127"/>
      <c r="M236" s="127"/>
      <c r="N236" s="127"/>
      <c r="O236" s="127"/>
      <c r="P236" s="127"/>
      <c r="Q236" s="127"/>
      <c r="R236" s="127"/>
      <c r="S236" s="127"/>
      <c r="T236" s="127"/>
      <c r="U236" s="127"/>
      <c r="V236" s="127"/>
      <c r="W236" s="127"/>
      <c r="X236" s="127"/>
      <c r="Y236" s="127"/>
      <c r="Z236" s="127"/>
      <c r="AA236" s="127"/>
      <c r="AB236" s="127"/>
    </row>
    <row r="237">
      <c r="A237" s="31" t="str">
        <f>IFERROR(__xludf.DUMMYFUNCTION("""COMPUTED_VALUE"""),"Sky Europe")</f>
        <v>Sky Europe</v>
      </c>
      <c r="B237" s="127"/>
      <c r="C237" s="128" t="str">
        <f>IFERROR(__xludf.DUMMYFUNCTION("""COMPUTED_VALUE"""),"noemail@Sky Europe")</f>
        <v>noemail@Sky Europe</v>
      </c>
      <c r="D237" s="129" t="str">
        <f>IFERROR(__xludf.DUMMYFUNCTION("""COMPUTED_VALUE"""),"webform w/ attachment")</f>
        <v>webform w/ attachment</v>
      </c>
      <c r="E237" s="131" t="str">
        <f>IFERROR(__xludf.DUMMYFUNCTION("""COMPUTED_VALUE"""),"https://www.esky.eu/about-us/contact#improper-execution-of-service?flight")</f>
        <v>https://www.esky.eu/about-us/contact#improper-execution-of-service?flight</v>
      </c>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row>
    <row r="238">
      <c r="A238" s="31" t="str">
        <f>IFERROR(__xludf.DUMMYFUNCTION("""COMPUTED_VALUE"""),"Skyline Express Airlines/ Azur Air Ukraine (QU)")</f>
        <v>Skyline Express Airlines/ Azur Air Ukraine (QU)</v>
      </c>
      <c r="B238" s="127"/>
      <c r="C238" s="128" t="str">
        <f>IFERROR(__xludf.DUMMYFUNCTION("""COMPUTED_VALUE"""),"office@skylineexpress.aero")</f>
        <v>office@skylineexpress.aero</v>
      </c>
      <c r="D238" s="129" t="str">
        <f>IFERROR(__xludf.DUMMYFUNCTION("""COMPUTED_VALUE"""),"email")</f>
        <v>email</v>
      </c>
      <c r="E238" s="129" t="str">
        <f>IFERROR(__xludf.DUMMYFUNCTION("""COMPUTED_VALUE"""),"office@skylineexpress.aero")</f>
        <v>office@skylineexpress.aero</v>
      </c>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row>
    <row r="239">
      <c r="A239" s="31" t="str">
        <f>IFERROR(__xludf.DUMMYFUNCTION("""COMPUTED_VALUE"""),"SkyWest Airlines")</f>
        <v>SkyWest Airlines</v>
      </c>
      <c r="B239" s="127"/>
      <c r="C239" s="128" t="str">
        <f>IFERROR(__xludf.DUMMYFUNCTION("""COMPUTED_VALUE"""),"info@skywest.com")</f>
        <v>info@skywest.com</v>
      </c>
      <c r="D239" s="129" t="str">
        <f>IFERROR(__xludf.DUMMYFUNCTION("""COMPUTED_VALUE"""),"e-mail")</f>
        <v>e-mail</v>
      </c>
      <c r="E239" s="129" t="str">
        <f>IFERROR(__xludf.DUMMYFUNCTION("""COMPUTED_VALUE"""),"info@skywest.com")</f>
        <v>info@skywest.com</v>
      </c>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row>
    <row r="240">
      <c r="A240" s="31" t="str">
        <f>IFERROR(__xludf.DUMMYFUNCTION("""COMPUTED_VALUE"""),"SkyUP Airlines (U5)")</f>
        <v>SkyUP Airlines (U5)</v>
      </c>
      <c r="B240" s="127"/>
      <c r="C240" s="128" t="str">
        <f>IFERROR(__xludf.DUMMYFUNCTION("""COMPUTED_VALUE"""),"letstalk@skyup.aero, For Skyup MT: contact@skymalta.aero")</f>
        <v>letstalk@skyup.aero, For Skyup MT: contact@skymalta.aero</v>
      </c>
      <c r="D240" s="129" t="str">
        <f>IFERROR(__xludf.DUMMYFUNCTION("""COMPUTED_VALUE"""),"webform w/ attachment")</f>
        <v>webform w/ attachment</v>
      </c>
      <c r="E240" s="131" t="str">
        <f>IFERROR(__xludf.DUMMYFUNCTION("""COMPUTED_VALUE"""),"https://skyup.aero/en/faq")</f>
        <v>https://skyup.aero/en/faq</v>
      </c>
      <c r="F240" s="127" t="str">
        <f>IFERROR(__xludf.DUMMYFUNCTION("""COMPUTED_VALUE"""),"Boarding pass, Passport")</f>
        <v>Boarding pass, Passport</v>
      </c>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row>
    <row r="241">
      <c r="A241" s="31" t="str">
        <f>IFERROR(__xludf.DUMMYFUNCTION("""COMPUTED_VALUE"""),"Smart Lynx Airlines (6Y)")</f>
        <v>Smart Lynx Airlines (6Y)</v>
      </c>
      <c r="B241" s="127"/>
      <c r="C241" s="128" t="str">
        <f>IFERROR(__xludf.DUMMYFUNCTION("""COMPUTED_VALUE"""),"info@smart-lynx.com")</f>
        <v>info@smart-lynx.com</v>
      </c>
      <c r="D241" s="129" t="str">
        <f>IFERROR(__xludf.DUMMYFUNCTION("""COMPUTED_VALUE"""),"webform w/ attachment")</f>
        <v>webform w/ attachment</v>
      </c>
      <c r="E241" s="131" t="str">
        <f>IFERROR(__xludf.DUMMYFUNCTION("""COMPUTED_VALUE"""),"https://www.smartlynx.aero/en/passengers/claims")</f>
        <v>https://www.smartlynx.aero/en/passengers/claims</v>
      </c>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row>
    <row r="242">
      <c r="A242" s="31" t="str">
        <f>IFERROR(__xludf.DUMMYFUNCTION("""COMPUTED_VALUE"""),"SmartWings / Travel Service (QS)")</f>
        <v>SmartWings / Travel Service (QS)</v>
      </c>
      <c r="B242" s="127"/>
      <c r="C242" s="128" t="str">
        <f>IFERROR(__xludf.DUMMYFUNCTION("""COMPUTED_VALUE"""),"customercare@travelservice.aero")</f>
        <v>customercare@travelservice.aero</v>
      </c>
      <c r="D242" s="129" t="str">
        <f>IFERROR(__xludf.DUMMYFUNCTION("""COMPUTED_VALUE"""),"webform w/o attachment")</f>
        <v>webform w/o attachment</v>
      </c>
      <c r="E242" s="131" t="str">
        <f>IFERROR(__xludf.DUMMYFUNCTION("""COMPUTED_VALUE"""),"https://claim.smartwingsgroup.com/en/")</f>
        <v>https://claim.smartwingsgroup.com/en/</v>
      </c>
      <c r="F242" s="127"/>
      <c r="G242" s="127" t="str">
        <f>IFERROR(__xludf.DUMMYFUNCTION("""COMPUTED_VALUE"""),"Travel Service, a.s.
 Claim department
 P.O. 68 BOX 119
 160 08 Prague 6
 Czech Republic")</f>
        <v>Travel Service, a.s.
 Claim department
 P.O. 68 BOX 119
 160 08 Prague 6
 Czech Republic</v>
      </c>
      <c r="H242" s="127"/>
      <c r="I242" s="127"/>
      <c r="J242" s="127"/>
      <c r="K242" s="127"/>
      <c r="L242" s="127"/>
      <c r="M242" s="127"/>
      <c r="N242" s="127"/>
      <c r="O242" s="127"/>
      <c r="P242" s="127"/>
      <c r="Q242" s="127"/>
      <c r="R242" s="127"/>
      <c r="S242" s="127"/>
      <c r="T242" s="127"/>
      <c r="U242" s="127"/>
      <c r="V242" s="127"/>
      <c r="W242" s="127"/>
      <c r="X242" s="127"/>
      <c r="Y242" s="127"/>
      <c r="Z242" s="127"/>
      <c r="AA242" s="127"/>
      <c r="AB242" s="127"/>
    </row>
    <row r="243">
      <c r="A243" s="31" t="str">
        <f>IFERROR(__xludf.DUMMYFUNCTION("""COMPUTED_VALUE"""),"Somon Air (SZ)")</f>
        <v>Somon Air (SZ)</v>
      </c>
      <c r="B243" s="127"/>
      <c r="C243" s="128" t="str">
        <f>IFERROR(__xludf.DUMMYFUNCTION("""COMPUTED_VALUE"""),"claims@somonair.com")</f>
        <v>claims@somonair.com</v>
      </c>
      <c r="D243" s="129" t="str">
        <f>IFERROR(__xludf.DUMMYFUNCTION("""COMPUTED_VALUE"""),"e-mail")</f>
        <v>e-mail</v>
      </c>
      <c r="E243" s="129" t="str">
        <f>IFERROR(__xludf.DUMMYFUNCTION("""COMPUTED_VALUE"""),"claims@somonair.com")</f>
        <v>claims@somonair.com</v>
      </c>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row>
    <row r="244">
      <c r="A244" s="31" t="str">
        <f>IFERROR(__xludf.DUMMYFUNCTION("""COMPUTED_VALUE"""),"South African Airways (SA)")</f>
        <v>South African Airways (SA)</v>
      </c>
      <c r="B244" s="127"/>
      <c r="C244" s="128" t="str">
        <f>IFERROR(__xludf.DUMMYFUNCTION("""COMPUTED_VALUE"""),"dineomabale@flysaa.com, SAAcustomerservice@flysaa.com e-commerceonlinerefunds@flysaa.com")</f>
        <v>dineomabale@flysaa.com, SAAcustomerservice@flysaa.com e-commerceonlinerefunds@flysaa.com</v>
      </c>
      <c r="D244" s="129" t="str">
        <f>IFERROR(__xludf.DUMMYFUNCTION("""COMPUTED_VALUE"""),"webform w/o attachment")</f>
        <v>webform w/o attachment</v>
      </c>
      <c r="E244" s="131" t="str">
        <f>IFERROR(__xludf.DUMMYFUNCTION("""COMPUTED_VALUE"""),"https://www.flysaa.com/about-us/leading-carrier/our-vision/customer-service-charter")</f>
        <v>https://www.flysaa.com/about-us/leading-carrier/our-vision/customer-service-charter</v>
      </c>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row>
    <row r="245">
      <c r="A245" s="31" t="str">
        <f>IFERROR(__xludf.DUMMYFUNCTION("""COMPUTED_VALUE"""),"Southwest Airlines")</f>
        <v>Southwest Airlines</v>
      </c>
      <c r="B245" s="127"/>
      <c r="C245" s="128" t="str">
        <f>IFERROR(__xludf.DUMMYFUNCTION("""COMPUTED_VALUE"""),"customerservice@southwest.com (This e-mail is fake! Only use for making child ticket)")</f>
        <v>customerservice@southwest.com (This e-mail is fake! Only use for making child ticket)</v>
      </c>
      <c r="D245" s="129" t="str">
        <f>IFERROR(__xludf.DUMMYFUNCTION("""COMPUTED_VALUE"""),"webform w/ attachment")</f>
        <v>webform w/ attachment</v>
      </c>
      <c r="E245" s="131" t="str">
        <f>IFERROR(__xludf.DUMMYFUNCTION("""COMPUTED_VALUE"""),"https://support.southwest.com/email-us/s/")</f>
        <v>https://support.southwest.com/email-us/s/</v>
      </c>
      <c r="F245" s="127"/>
      <c r="G245" s="127" t="str">
        <f>IFERROR(__xludf.DUMMYFUNCTION("""COMPUTED_VALUE"""),"Southwest Airlines
 P.O. Box 36647-1CR
 Dallas, Texas 75235")</f>
        <v>Southwest Airlines
 P.O. Box 36647-1CR
 Dallas, Texas 75235</v>
      </c>
      <c r="H245" s="127"/>
      <c r="I245" s="127"/>
      <c r="J245" s="127"/>
      <c r="K245" s="127"/>
      <c r="L245" s="127"/>
      <c r="M245" s="127"/>
      <c r="N245" s="127"/>
      <c r="O245" s="127"/>
      <c r="P245" s="127"/>
      <c r="Q245" s="127"/>
      <c r="R245" s="127"/>
      <c r="S245" s="127"/>
      <c r="T245" s="127"/>
      <c r="U245" s="127"/>
      <c r="V245" s="127"/>
      <c r="W245" s="127"/>
      <c r="X245" s="127"/>
      <c r="Y245" s="127"/>
      <c r="Z245" s="127"/>
      <c r="AA245" s="127"/>
      <c r="AB245" s="127"/>
    </row>
    <row r="246">
      <c r="A246" s="31" t="str">
        <f>IFERROR(__xludf.DUMMYFUNCTION("""COMPUTED_VALUE"""),"Southwind Airlines")</f>
        <v>Southwind Airlines</v>
      </c>
      <c r="B246" s="127"/>
      <c r="C246" s="128"/>
      <c r="D246" s="129" t="str">
        <f>IFERROR(__xludf.DUMMYFUNCTION("""COMPUTED_VALUE"""),"webform w/ attachment")</f>
        <v>webform w/ attachment</v>
      </c>
      <c r="E246" s="131" t="str">
        <f>IFERROR(__xludf.DUMMYFUNCTION("""COMPUTED_VALUE"""),"https://help.southwindairlines.com/forms/claim")</f>
        <v>https://help.southwindairlines.com/forms/claim</v>
      </c>
      <c r="F246" s="127"/>
      <c r="G246" s="127"/>
      <c r="H246" s="127" t="str">
        <f>IFERROR(__xludf.DUMMYFUNCTION("""COMPUTED_VALUE"""),"Need senders ID, Bank details cannot be matched ")</f>
        <v>Need senders ID, Bank details cannot be matched </v>
      </c>
      <c r="I246" s="127"/>
      <c r="J246" s="127"/>
      <c r="K246" s="127"/>
      <c r="L246" s="127"/>
      <c r="M246" s="127"/>
      <c r="N246" s="127"/>
      <c r="O246" s="127"/>
      <c r="P246" s="127"/>
      <c r="Q246" s="127"/>
      <c r="R246" s="127"/>
      <c r="S246" s="127"/>
      <c r="T246" s="127"/>
      <c r="U246" s="127"/>
      <c r="V246" s="127"/>
      <c r="W246" s="127"/>
      <c r="X246" s="127"/>
      <c r="Y246" s="127"/>
      <c r="Z246" s="127"/>
      <c r="AA246" s="127"/>
      <c r="AB246" s="127"/>
    </row>
    <row r="247">
      <c r="A247" s="31" t="str">
        <f>IFERROR(__xludf.DUMMYFUNCTION("""COMPUTED_VALUE"""),"Spirit Airlines")</f>
        <v>Spirit Airlines</v>
      </c>
      <c r="B247" s="127"/>
      <c r="C247" s="128" t="str">
        <f>IFERROR(__xludf.DUMMYFUNCTION("""COMPUTED_VALUE"""),"CustomerSupport@Spirit.com")</f>
        <v>CustomerSupport@Spirit.com</v>
      </c>
      <c r="D247" s="129" t="str">
        <f>IFERROR(__xludf.DUMMYFUNCTION("""COMPUTED_VALUE"""),"Via chatbot")</f>
        <v>Via chatbot</v>
      </c>
      <c r="E247" s="131" t="str">
        <f>IFERROR(__xludf.DUMMYFUNCTION("""COMPUTED_VALUE"""),"http://customersupport.spirit.com/create-case")</f>
        <v>http://customersupport.spirit.com/create-case</v>
      </c>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row>
    <row r="248">
      <c r="A248" s="31" t="str">
        <f>IFERROR(__xludf.DUMMYFUNCTION("""COMPUTED_VALUE"""),"SriLankan Airlines")</f>
        <v>SriLankan Airlines</v>
      </c>
      <c r="B248" s="127"/>
      <c r="C248" s="128" t="str">
        <f>IFERROR(__xludf.DUMMYFUNCTION("""COMPUTED_VALUE"""),"customer@srilankan.com")</f>
        <v>customer@srilankan.com</v>
      </c>
      <c r="D248" s="129" t="str">
        <f>IFERROR(__xludf.DUMMYFUNCTION("""COMPUTED_VALUE"""),"e-mail")</f>
        <v>e-mail</v>
      </c>
      <c r="E248" s="129" t="str">
        <f>IFERROR(__xludf.DUMMYFUNCTION("""COMPUTED_VALUE"""),"customer@srilankan.com")</f>
        <v>customer@srilankan.com</v>
      </c>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row>
    <row r="249">
      <c r="A249" s="31" t="str">
        <f>IFERROR(__xludf.DUMMYFUNCTION("""COMPUTED_VALUE"""),"Star Air")</f>
        <v>Star Air</v>
      </c>
      <c r="B249" s="127"/>
      <c r="C249" s="128" t="str">
        <f>IFERROR(__xludf.DUMMYFUNCTION("""COMPUTED_VALUE"""),"refunds@starair.in")</f>
        <v>refunds@starair.in</v>
      </c>
      <c r="D249" s="129" t="str">
        <f>IFERROR(__xludf.DUMMYFUNCTION("""COMPUTED_VALUE"""),"have to send via email")</f>
        <v>have to send via email</v>
      </c>
      <c r="E249" s="129"/>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row>
    <row r="250">
      <c r="A250" s="31" t="str">
        <f>IFERROR(__xludf.DUMMYFUNCTION("""COMPUTED_VALUE"""),"STAR EAST AIRLINES")</f>
        <v>STAR EAST AIRLINES</v>
      </c>
      <c r="B250" s="127"/>
      <c r="C250" s="128" t="str">
        <f>IFERROR(__xludf.DUMMYFUNCTION("""COMPUTED_VALUE"""),"customercare@swissgroupinternational.com")</f>
        <v>customercare@swissgroupinternational.com</v>
      </c>
      <c r="D250" s="129"/>
      <c r="E250" s="129"/>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row>
    <row r="251">
      <c r="A251" s="31" t="str">
        <f>IFERROR(__xludf.DUMMYFUNCTION("""COMPUTED_VALUE"""),"STP Airways")</f>
        <v>STP Airways</v>
      </c>
      <c r="B251" s="127"/>
      <c r="C251" s="133" t="str">
        <f>IFERROR(__xludf.DUMMYFUNCTION("""COMPUTED_VALUE"""),"reservationslis@stpairways.st")</f>
        <v>reservationslis@stpairways.st</v>
      </c>
      <c r="D251" s="129"/>
      <c r="E251" s="129"/>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row>
    <row r="252">
      <c r="A252" s="31" t="str">
        <f>IFERROR(__xludf.DUMMYFUNCTION("""COMPUTED_VALUE"""),"SUN-AIR of Scandinavia A/S (EZ)")</f>
        <v>SUN-AIR of Scandinavia A/S (EZ)</v>
      </c>
      <c r="B252" s="127"/>
      <c r="C252" s="128" t="str">
        <f>IFERROR(__xludf.DUMMYFUNCTION("""COMPUTED_VALUE"""),"Customer.Relations@sunair.dk")</f>
        <v>Customer.Relations@sunair.dk</v>
      </c>
      <c r="D252" s="129" t="str">
        <f>IFERROR(__xludf.DUMMYFUNCTION("""COMPUTED_VALUE"""),"e-mail")</f>
        <v>e-mail</v>
      </c>
      <c r="E252" s="129" t="str">
        <f>IFERROR(__xludf.DUMMYFUNCTION("""COMPUTED_VALUE"""),"cr@sunair.dk")</f>
        <v>cr@sunair.dk</v>
      </c>
      <c r="F252" s="127"/>
      <c r="G252" s="127" t="str">
        <f>IFERROR(__xludf.DUMMYFUNCTION("""COMPUTED_VALUE"""),"SUN-AIR of Scandinavia A/S
 Customer Relations
 Cumulusvej 10
 DK-7190 Billund
 Denmark")</f>
        <v>SUN-AIR of Scandinavia A/S
 Customer Relations
 Cumulusvej 10
 DK-7190 Billund
 Denmark</v>
      </c>
      <c r="H252" s="127"/>
      <c r="I252" s="127"/>
      <c r="J252" s="127"/>
      <c r="K252" s="127"/>
      <c r="L252" s="127"/>
      <c r="M252" s="127"/>
      <c r="N252" s="127"/>
      <c r="O252" s="127"/>
      <c r="P252" s="127"/>
      <c r="Q252" s="127"/>
      <c r="R252" s="127"/>
      <c r="S252" s="127"/>
      <c r="T252" s="127"/>
      <c r="U252" s="127"/>
      <c r="V252" s="127"/>
      <c r="W252" s="127"/>
      <c r="X252" s="127"/>
      <c r="Y252" s="127"/>
      <c r="Z252" s="127"/>
      <c r="AA252" s="127"/>
      <c r="AB252" s="127"/>
    </row>
    <row r="253">
      <c r="A253" s="31" t="str">
        <f>IFERROR(__xludf.DUMMYFUNCTION("""COMPUTED_VALUE"""),"Sundair")</f>
        <v>Sundair</v>
      </c>
      <c r="B253" s="127"/>
      <c r="C253" s="128" t="str">
        <f>IFERROR(__xludf.DUMMYFUNCTION("""COMPUTED_VALUE"""),"CRM@SUNDAIR.com ")</f>
        <v>CRM@SUNDAIR.com </v>
      </c>
      <c r="D253" s="129"/>
      <c r="E253" s="129" t="str">
        <f>IFERROR(__xludf.DUMMYFUNCTION("""COMPUTED_VALUE"""),"CRM@SUNDAIR.com ")</f>
        <v>CRM@SUNDAIR.com </v>
      </c>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row>
    <row r="254">
      <c r="A254" s="31" t="str">
        <f>IFERROR(__xludf.DUMMYFUNCTION("""COMPUTED_VALUE"""),"Sunexpress (XQ)")</f>
        <v>Sunexpress (XQ)</v>
      </c>
      <c r="B254" s="127"/>
      <c r="C254" s="128" t="str">
        <f>IFERROR(__xludf.DUMMYFUNCTION("""COMPUTED_VALUE"""),"service.claim@sunexpress.com")</f>
        <v>service.claim@sunexpress.com</v>
      </c>
      <c r="D254" s="129" t="str">
        <f>IFERROR(__xludf.DUMMYFUNCTION("""COMPUTED_VALUE"""),"webform w/o attachment")</f>
        <v>webform w/o attachment</v>
      </c>
      <c r="E254" s="131" t="str">
        <f>IFERROR(__xludf.DUMMYFUNCTION("""COMPUTED_VALUE"""),"https://customerservices.sunexpress.com/s/?language=en_US&amp;_gl=1*1yc3nzu*_up*MQ..*_ga*MjAxMDAyMjk5OC4xNzAzNDE1NTcy*_ga_4VKC9RR1V5*MTcwMzQxNTU3Mi4xLjEuMTcwMzQxNTk5My4wLjAuMA..                        ")</f>
        <v>https://customerservices.sunexpress.com/s/?language=en_US&amp;_gl=1*1yc3nzu*_up*MQ..*_ga*MjAxMDAyMjk5OC4xNzAzNDE1NTcy*_ga_4VKC9RR1V5*MTcwMzQxNTU3Mi4xLjEuMTcwMzQxNTk5My4wLjAuMA..                        </v>
      </c>
      <c r="F254" s="127" t="str">
        <f>IFERROR(__xludf.DUMMYFUNCTION("""COMPUTED_VALUE"""),"ID")</f>
        <v>ID</v>
      </c>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row>
    <row r="255">
      <c r="A255" s="31" t="str">
        <f>IFERROR(__xludf.DUMMYFUNCTION("""COMPUTED_VALUE"""),"Sunclass Airlines (DK)")</f>
        <v>Sunclass Airlines (DK)</v>
      </c>
      <c r="B255" s="127"/>
      <c r="C255" s="128" t="str">
        <f>IFERROR(__xludf.DUMMYFUNCTION("""COMPUTED_VALUE"""),"customerservice@sunclass.dk")</f>
        <v>customerservice@sunclass.dk</v>
      </c>
      <c r="D255" s="129" t="str">
        <f>IFERROR(__xludf.DUMMYFUNCTION("""COMPUTED_VALUE"""),"webform")</f>
        <v>webform</v>
      </c>
      <c r="E255" s="131" t="str">
        <f>IFERROR(__xludf.DUMMYFUNCTION("""COMPUTED_VALUE"""),"https://nltg.jotform.com/212292644592358?language=da")</f>
        <v>https://nltg.jotform.com/212292644592358?language=da</v>
      </c>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row>
    <row r="256">
      <c r="A256" s="31" t="str">
        <f>IFERROR(__xludf.DUMMYFUNCTION("""COMPUTED_VALUE"""),"Sunwing (WG)")</f>
        <v>Sunwing (WG)</v>
      </c>
      <c r="B256" s="127"/>
      <c r="C256" s="128" t="str">
        <f>IFERROR(__xludf.DUMMYFUNCTION("""COMPUTED_VALUE"""),"customerservice@sunwing.ca")</f>
        <v>customerservice@sunwing.ca</v>
      </c>
      <c r="D256" s="129" t="str">
        <f>IFERROR(__xludf.DUMMYFUNCTION("""COMPUTED_VALUE"""),"e-mail")</f>
        <v>e-mail</v>
      </c>
      <c r="E256" s="131" t="str">
        <f>IFERROR(__xludf.DUMMYFUNCTION("""COMPUTED_VALUE"""),"https://www.sunwing.ca/en/sunwing-airlines/delay-claim")</f>
        <v>https://www.sunwing.ca/en/sunwing-airlines/delay-claim</v>
      </c>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row>
    <row r="257">
      <c r="A257" s="31" t="str">
        <f>IFERROR(__xludf.DUMMYFUNCTION("""COMPUTED_VALUE"""),"Surinam Airways (PY)")</f>
        <v>Surinam Airways (PY)</v>
      </c>
      <c r="B257" s="127"/>
      <c r="C257" s="128" t="str">
        <f>IFERROR(__xludf.DUMMYFUNCTION("""COMPUTED_VALUE"""),"customerservice@flyslm.com")</f>
        <v>customerservice@flyslm.com</v>
      </c>
      <c r="D257" s="129" t="str">
        <f>IFERROR(__xludf.DUMMYFUNCTION("""COMPUTED_VALUE"""),"webform w/ attachment")</f>
        <v>webform w/ attachment</v>
      </c>
      <c r="E257" s="131" t="str">
        <f>IFERROR(__xludf.DUMMYFUNCTION("""COMPUTED_VALUE"""),"https://www.flyslm.com/support-center/contact-us/claims-complains")</f>
        <v>https://www.flyslm.com/support-center/contact-us/claims-complains</v>
      </c>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row>
    <row r="258">
      <c r="A258" s="31" t="str">
        <f>IFERROR(__xludf.DUMMYFUNCTION("""COMPUTED_VALUE"""),"Swift Air")</f>
        <v>Swift Air</v>
      </c>
      <c r="B258" s="127"/>
      <c r="C258" s="128" t="str">
        <f>IFERROR(__xludf.DUMMYFUNCTION("""COMPUTED_VALUE"""),"aircomp@aircomp.aero")</f>
        <v>aircomp@aircomp.aero</v>
      </c>
      <c r="D258" s="129" t="str">
        <f>IFERROR(__xludf.DUMMYFUNCTION("""COMPUTED_VALUE"""),"webform w/ attachment")</f>
        <v>webform w/ attachment</v>
      </c>
      <c r="E258" s="131" t="str">
        <f>IFERROR(__xludf.DUMMYFUNCTION("""COMPUTED_VALUE"""),"https://www.swiftair.com/canal-de-denuncias/")</f>
        <v>https://www.swiftair.com/canal-de-denuncias/</v>
      </c>
      <c r="F258" s="127"/>
      <c r="G258" s="127" t="str">
        <f>IFERROR(__xludf.DUMMYFUNCTION("""COMPUTED_VALUE"""),"Ingeniero Torres Quevedo, 14 | Pol. Ind. “Fin de Semana” Crta. Madrid/Barcelona Km. 13.100 | 28022 - Madrid")</f>
        <v>Ingeniero Torres Quevedo, 14 | Pol. Ind. “Fin de Semana” Crta. Madrid/Barcelona Km. 13.100 | 28022 - Madrid</v>
      </c>
      <c r="H258" s="127"/>
      <c r="I258" s="127"/>
      <c r="J258" s="127"/>
      <c r="K258" s="127"/>
      <c r="L258" s="127"/>
      <c r="M258" s="127"/>
      <c r="N258" s="127"/>
      <c r="O258" s="127"/>
      <c r="P258" s="127"/>
      <c r="Q258" s="127"/>
      <c r="R258" s="127"/>
      <c r="S258" s="127"/>
      <c r="T258" s="127"/>
      <c r="U258" s="127"/>
      <c r="V258" s="127"/>
      <c r="W258" s="127"/>
      <c r="X258" s="127"/>
      <c r="Y258" s="127"/>
      <c r="Z258" s="127"/>
      <c r="AA258" s="127"/>
      <c r="AB258" s="127"/>
    </row>
    <row r="259">
      <c r="A259" s="31" t="str">
        <f>IFERROR(__xludf.DUMMYFUNCTION("""COMPUTED_VALUE"""),"Swiss International Airlines (LX)")</f>
        <v>Swiss International Airlines (LX)</v>
      </c>
      <c r="B259" s="127"/>
      <c r="C259" s="128" t="str">
        <f>IFERROR(__xludf.DUMMYFUNCTION("""COMPUTED_VALUE"""),"customerfeedback@swiss.com")</f>
        <v>customerfeedback@swiss.com</v>
      </c>
      <c r="D259" s="129" t="str">
        <f>IFERROR(__xludf.DUMMYFUNCTION("""COMPUTED_VALUE"""),"webform w/ attachment")</f>
        <v>webform w/ attachment</v>
      </c>
      <c r="E259" s="131" t="str">
        <f>IFERROR(__xludf.DUMMYFUNCTION("""COMPUTED_VALUE"""),"https://www.swiss.com/hu/en/customer-support/contact-us/feedback-past-flight")</f>
        <v>https://www.swiss.com/hu/en/customer-support/contact-us/feedback-past-flight</v>
      </c>
      <c r="F259" s="127" t="str">
        <f>IFERROR(__xludf.DUMMYFUNCTION("""COMPUTED_VALUE"""),"Ticket, confirmation email copy/ Boarding pass- not during submission, they ask it later")</f>
        <v>Ticket, confirmation email copy/ Boarding pass- not during submission, they ask it later</v>
      </c>
      <c r="G259" s="127" t="str">
        <f>IFERROR(__xludf.DUMMYFUNCTION("""COMPUTED_VALUE"""),"Authorisation form :https://www.swiss.com/content/dam/lx/global/documents/customer-support/travel-and-corona/power-of-attorney-en-fr.pdf")</f>
        <v>Authorisation form :https://www.swiss.com/content/dam/lx/global/documents/customer-support/travel-and-corona/power-of-attorney-en-fr.pdf</v>
      </c>
      <c r="H259" s="127"/>
      <c r="I259" s="127" t="str">
        <f>IFERROR(__xludf.DUMMYFUNCTION("""COMPUTED_VALUE"""),"Need ticket number")</f>
        <v>Need ticket number</v>
      </c>
      <c r="J259" s="127"/>
      <c r="K259" s="127"/>
      <c r="L259" s="127"/>
      <c r="M259" s="127"/>
      <c r="N259" s="127"/>
      <c r="O259" s="127"/>
      <c r="P259" s="127"/>
      <c r="Q259" s="127"/>
      <c r="R259" s="127"/>
      <c r="S259" s="127"/>
      <c r="T259" s="127"/>
      <c r="U259" s="127"/>
      <c r="V259" s="127"/>
      <c r="W259" s="127"/>
      <c r="X259" s="127"/>
      <c r="Y259" s="127"/>
      <c r="Z259" s="127"/>
      <c r="AA259" s="127"/>
      <c r="AB259" s="127"/>
    </row>
    <row r="260">
      <c r="A260" s="31" t="str">
        <f>IFERROR(__xludf.DUMMYFUNCTION("""COMPUTED_VALUE"""),"TAAG - Angola Airlines")</f>
        <v>TAAG - Angola Airlines</v>
      </c>
      <c r="B260" s="127"/>
      <c r="C260" s="128" t="str">
        <f>IFERROR(__xludf.DUMMYFUNCTION("""COMPUTED_VALUE"""),"customercare@flytaag.com")</f>
        <v>customercare@flytaag.com</v>
      </c>
      <c r="D260" s="129" t="str">
        <f>IFERROR(__xludf.DUMMYFUNCTION("""COMPUTED_VALUE"""),"e-mail")</f>
        <v>e-mail</v>
      </c>
      <c r="E260" s="129" t="str">
        <f>IFERROR(__xludf.DUMMYFUNCTION("""COMPUTED_VALUE"""),"customercare@flytaag.com")</f>
        <v>customercare@flytaag.com</v>
      </c>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row>
    <row r="261">
      <c r="A261" s="31" t="str">
        <f>IFERROR(__xludf.DUMMYFUNCTION("""COMPUTED_VALUE"""),"TACV Cabo Verde Airlines (VR)")</f>
        <v>TACV Cabo Verde Airlines (VR)</v>
      </c>
      <c r="B261" s="127"/>
      <c r="C261" s="128" t="str">
        <f>IFERROR(__xludf.DUMMYFUNCTION("""COMPUTED_VALUE"""),"falecomtacv@tacv.aero")</f>
        <v>falecomtacv@tacv.aero</v>
      </c>
      <c r="D261" s="129" t="str">
        <f>IFERROR(__xludf.DUMMYFUNCTION("""COMPUTED_VALUE"""),"e-mail")</f>
        <v>e-mail</v>
      </c>
      <c r="E261" s="129" t="str">
        <f>IFERROR(__xludf.DUMMYFUNCTION("""COMPUTED_VALUE"""),"claims@caboverdeairlines.com")</f>
        <v>claims@caboverdeairlines.com</v>
      </c>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row>
    <row r="262">
      <c r="A262" s="31" t="str">
        <f>IFERROR(__xludf.DUMMYFUNCTION("""COMPUTED_VALUE"""),"Tailwind Air")</f>
        <v>Tailwind Air</v>
      </c>
      <c r="B262" s="127"/>
      <c r="C262" s="128"/>
      <c r="D262" s="129"/>
      <c r="E262" s="129" t="str">
        <f>IFERROR(__xludf.DUMMYFUNCTION("""COMPUTED_VALUE"""),"customer@tailwind.com.tr")</f>
        <v>customer@tailwind.com.tr</v>
      </c>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row>
    <row r="263">
      <c r="A263" s="31" t="str">
        <f>IFERROR(__xludf.DUMMYFUNCTION("""COMPUTED_VALUE"""),"Tam Brazilian Airlines (JJ)")</f>
        <v>Tam Brazilian Airlines (JJ)</v>
      </c>
      <c r="B263" s="127"/>
      <c r="C263" s="128" t="str">
        <f>IFERROR(__xludf.DUMMYFUNCTION("""COMPUTED_VALUE"""),"USA: talktous.usa@tam.com.br EUROPE: talktous.uk@tam.com.br / hableconnosotros.esp@tam.com.br")</f>
        <v>USA: talktous.usa@tam.com.br EUROPE: talktous.uk@tam.com.br / hableconnosotros.esp@tam.com.br</v>
      </c>
      <c r="D263" s="129" t="str">
        <f>IFERROR(__xludf.DUMMYFUNCTION("""COMPUTED_VALUE"""),"webform w/ attachment")</f>
        <v>webform w/ attachment</v>
      </c>
      <c r="E263" s="131" t="str">
        <f>IFERROR(__xludf.DUMMYFUNCTION("""COMPUTED_VALUE"""),"https://www.latamairlines.com/ca/en/help-center/create-case")</f>
        <v>https://www.latamairlines.com/ca/en/help-center/create-case</v>
      </c>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row>
    <row r="264">
      <c r="A264" s="31" t="str">
        <f>IFERROR(__xludf.DUMMYFUNCTION("""COMPUTED_VALUE"""),"Titan Airways")</f>
        <v>Titan Airways</v>
      </c>
      <c r="B264" s="127"/>
      <c r="C264" s="128" t="str">
        <f>IFERROR(__xludf.DUMMYFUNCTION("""COMPUTED_VALUE"""),"charter@titan-airways.co.uk")</f>
        <v>charter@titan-airways.co.uk</v>
      </c>
      <c r="D264" s="129" t="str">
        <f>IFERROR(__xludf.DUMMYFUNCTION("""COMPUTED_VALUE"""),"email")</f>
        <v>email</v>
      </c>
      <c r="E264" s="129" t="str">
        <f>IFERROR(__xludf.DUMMYFUNCTION("""COMPUTED_VALUE"""),"charter@titan-airways.co.uk")</f>
        <v>charter@titan-airways.co.uk</v>
      </c>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row>
    <row r="265">
      <c r="A265" s="31" t="str">
        <f>IFERROR(__xludf.DUMMYFUNCTION("""COMPUTED_VALUE"""),"Tap Portugal / Tap Airlines (TP)")</f>
        <v>Tap Portugal / Tap Airlines (TP)</v>
      </c>
      <c r="B265" s="127"/>
      <c r="C265" s="128" t="str">
        <f>IFERROR(__xludf.DUMMYFUNCTION("""COMPUTED_VALUE"""),"feedback.fc@crmtap.pt , CC: fc.claimrep@tap.pt")</f>
        <v>feedback.fc@crmtap.pt , CC: fc.claimrep@tap.pt</v>
      </c>
      <c r="D265" s="129" t="str">
        <f>IFERROR(__xludf.DUMMYFUNCTION("""COMPUTED_VALUE"""),"email")</f>
        <v>email</v>
      </c>
      <c r="E265" s="129" t="str">
        <f>IFERROR(__xludf.DUMMYFUNCTION("""COMPUTED_VALUE"""),"feedback.fc@crmtap.pt")</f>
        <v>feedback.fc@crmtap.pt</v>
      </c>
      <c r="F265" s="127"/>
      <c r="G265" s="127" t="str">
        <f>IFERROR(__xludf.DUMMYFUNCTION("""COMPUTED_VALUE"""),"For corresponding old claims: fc.claimrep@tap.pt")</f>
        <v>For corresponding old claims: fc.claimrep@tap.pt</v>
      </c>
      <c r="H265" s="127"/>
      <c r="I265" s="127"/>
      <c r="J265" s="127"/>
      <c r="K265" s="127"/>
      <c r="L265" s="127"/>
      <c r="M265" s="127"/>
      <c r="N265" s="127"/>
      <c r="O265" s="127"/>
      <c r="P265" s="127"/>
      <c r="Q265" s="127"/>
      <c r="R265" s="127"/>
      <c r="S265" s="127"/>
      <c r="T265" s="127"/>
      <c r="U265" s="127"/>
      <c r="V265" s="127"/>
      <c r="W265" s="127"/>
      <c r="X265" s="127"/>
      <c r="Y265" s="127"/>
      <c r="Z265" s="127"/>
      <c r="AA265" s="127"/>
      <c r="AB265" s="127"/>
    </row>
    <row r="266">
      <c r="A266" s="31" t="str">
        <f>IFERROR(__xludf.DUMMYFUNCTION("""COMPUTED_VALUE"""),"Tarom (RO)")</f>
        <v>Tarom (RO)</v>
      </c>
      <c r="B266" s="127"/>
      <c r="C266" s="128" t="str">
        <f>IFERROR(__xludf.DUMMYFUNCTION("""COMPUTED_VALUE"""),"customer.service@tarom.ro")</f>
        <v>customer.service@tarom.ro</v>
      </c>
      <c r="D266" s="129" t="str">
        <f>IFERROR(__xludf.DUMMYFUNCTION("""COMPUTED_VALUE"""),"currently by email")</f>
        <v>currently by email</v>
      </c>
      <c r="E266" s="129" t="str">
        <f>IFERROR(__xludf.DUMMYFUNCTION("""COMPUTED_VALUE"""),"customer.service@tarom.ro")</f>
        <v>customer.service@tarom.ro</v>
      </c>
      <c r="F266" s="127" t="str">
        <f>IFERROR(__xludf.DUMMYFUNCTION("""COMPUTED_VALUE"""),"Ticket number        (They don't accept PDF file as attachment)")</f>
        <v>Ticket number        (They don't accept PDF file as attachment)</v>
      </c>
      <c r="G266" s="127" t="str">
        <f>IFERROR(__xludf.DUMMYFUNCTION("""COMPUTED_VALUE"""),"TAROM Customer Relations
 Address: Calea Bucurestilor nr. 224 F
 Bucharest Henri Coanda International Airport
 Otopeni, Ilfov County
 Romania")</f>
        <v>TAROM Customer Relations
 Address: Calea Bucurestilor nr. 224 F
 Bucharest Henri Coanda International Airport
 Otopeni, Ilfov County
 Romania</v>
      </c>
      <c r="H266" s="127"/>
      <c r="I266" s="132" t="str">
        <f>IFERROR(__xludf.DUMMYFUNCTION("""COMPUTED_VALUE"""),"https://www.tarom.ro/en/complaints-related-flights")</f>
        <v>https://www.tarom.ro/en/complaints-related-flights</v>
      </c>
      <c r="J266" s="127"/>
      <c r="K266" s="127"/>
      <c r="L266" s="127"/>
      <c r="M266" s="127"/>
      <c r="N266" s="127"/>
      <c r="O266" s="127"/>
      <c r="P266" s="127"/>
      <c r="Q266" s="127"/>
      <c r="R266" s="127"/>
      <c r="S266" s="127"/>
      <c r="T266" s="127"/>
      <c r="U266" s="127"/>
      <c r="V266" s="127"/>
      <c r="W266" s="127"/>
      <c r="X266" s="127"/>
      <c r="Y266" s="127"/>
      <c r="Z266" s="127"/>
      <c r="AA266" s="127"/>
      <c r="AB266" s="127"/>
    </row>
    <row r="267">
      <c r="A267" s="31" t="str">
        <f>IFERROR(__xludf.DUMMYFUNCTION("""COMPUTED_VALUE"""),"Thai Airlines (TG)")</f>
        <v>Thai Airlines (TG)</v>
      </c>
      <c r="B267" s="127"/>
      <c r="C267" s="128" t="str">
        <f>IFERROR(__xludf.DUMMYFUNCTION("""COMPUTED_VALUE"""),"customer@thaiairways.com,contact@service.thaiairways.com, customer@thaiairways.com")</f>
        <v>customer@thaiairways.com,contact@service.thaiairways.com, customer@thaiairways.com</v>
      </c>
      <c r="D267" s="129" t="str">
        <f>IFERROR(__xludf.DUMMYFUNCTION("""COMPUTED_VALUE"""),"e-mail")</f>
        <v>e-mail</v>
      </c>
      <c r="E267" s="129" t="str">
        <f>IFERROR(__xludf.DUMMYFUNCTION("""COMPUTED_VALUE"""),"customerservices@thaiairways.co.uk (Only flight depart from UK) ")</f>
        <v>customerservices@thaiairways.co.uk (Only flight depart from UK) </v>
      </c>
      <c r="F267" s="127"/>
      <c r="G267" s="127" t="str">
        <f>IFERROR(__xludf.DUMMYFUNCTION("""COMPUTED_VALUE"""),"Residents of USA, Canada &amp; the Americas ONLY, please forward to laxclaim@thaiairwaysusa.com")</f>
        <v>Residents of USA, Canada &amp; the Americas ONLY, please forward to laxclaim@thaiairwaysusa.com</v>
      </c>
      <c r="H267" s="127"/>
      <c r="I267" s="127"/>
      <c r="J267" s="127"/>
      <c r="K267" s="127"/>
      <c r="L267" s="127"/>
      <c r="M267" s="127"/>
      <c r="N267" s="127"/>
      <c r="O267" s="127"/>
      <c r="P267" s="127"/>
      <c r="Q267" s="127"/>
      <c r="R267" s="127"/>
      <c r="S267" s="127"/>
      <c r="T267" s="127"/>
      <c r="U267" s="127"/>
      <c r="V267" s="127"/>
      <c r="W267" s="127"/>
      <c r="X267" s="127"/>
      <c r="Y267" s="127"/>
      <c r="Z267" s="127"/>
      <c r="AA267" s="127"/>
      <c r="AB267" s="127"/>
    </row>
    <row r="268">
      <c r="A268" s="31" t="str">
        <f>IFERROR(__xludf.DUMMYFUNCTION("""COMPUTED_VALUE"""),"Tassili Airlines")</f>
        <v>Tassili Airlines</v>
      </c>
      <c r="B268" s="127"/>
      <c r="C268" s="128" t="str">
        <f>IFERROR(__xludf.DUMMYFUNCTION("""COMPUTED_VALUE"""),"reclamation@tassiliairlines.dz")</f>
        <v>reclamation@tassiliairlines.dz</v>
      </c>
      <c r="D268" s="129" t="str">
        <f>IFERROR(__xludf.DUMMYFUNCTION("""COMPUTED_VALUE"""),"e-mail")</f>
        <v>e-mail</v>
      </c>
      <c r="E268" s="129" t="str">
        <f>IFERROR(__xludf.DUMMYFUNCTION("""COMPUTED_VALUE"""),"reclamation@tassiliairlines.dz")</f>
        <v>reclamation@tassiliairlines.dz</v>
      </c>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row>
    <row r="269">
      <c r="A269" s="31" t="str">
        <f>IFERROR(__xludf.DUMMYFUNCTION("""COMPUTED_VALUE"""),"Thomas Cook Airlines Scandinavia (DK)---New name: Sunclass Airlines")</f>
        <v>Thomas Cook Airlines Scandinavia (DK)---New name: Sunclass Airlines</v>
      </c>
      <c r="B269" s="127"/>
      <c r="C269" s="128" t="str">
        <f>IFERROR(__xludf.DUMMYFUNCTION("""COMPUTED_VALUE"""),"Thomascookairlines@thomascook.dk, customerservice@thomascook.dk")</f>
        <v>Thomascookairlines@thomascook.dk, customerservice@thomascook.dk</v>
      </c>
      <c r="D269" s="129" t="str">
        <f>IFERROR(__xludf.DUMMYFUNCTION("""COMPUTED_VALUE"""),"Webform")</f>
        <v>Webform</v>
      </c>
      <c r="E269" s="131" t="str">
        <f>IFERROR(__xludf.DUMMYFUNCTION("""COMPUTED_VALUE"""),"https://nltg.jotform.com/212292644592358?data-lang=DA")</f>
        <v>https://nltg.jotform.com/212292644592358?data-lang=DA</v>
      </c>
      <c r="F269" s="127"/>
      <c r="G269" s="127" t="str">
        <f>IFERROR(__xludf.DUMMYFUNCTION("""COMPUTED_VALUE"""),"Thomas Cook Airlines Scandinavia
 Copenhagen Airport South
 2791 Dragør
 Denmark
 Att: Customerservice")</f>
        <v>Thomas Cook Airlines Scandinavia
 Copenhagen Airport South
 2791 Dragør
 Denmark
 Att: Customerservice</v>
      </c>
      <c r="H269" s="127"/>
      <c r="I269" s="127"/>
      <c r="J269" s="127"/>
      <c r="K269" s="127"/>
      <c r="L269" s="127"/>
      <c r="M269" s="127"/>
      <c r="N269" s="127"/>
      <c r="O269" s="127"/>
      <c r="P269" s="127"/>
      <c r="Q269" s="127"/>
      <c r="R269" s="127"/>
      <c r="S269" s="127"/>
      <c r="T269" s="127"/>
      <c r="U269" s="127"/>
      <c r="V269" s="127"/>
      <c r="W269" s="127"/>
      <c r="X269" s="127"/>
      <c r="Y269" s="127"/>
      <c r="Z269" s="127"/>
      <c r="AA269" s="127"/>
      <c r="AB269" s="127"/>
    </row>
    <row r="270">
      <c r="A270" s="31" t="str">
        <f>IFERROR(__xludf.DUMMYFUNCTION("""COMPUTED_VALUE"""),"Thomas Cook Ireland (MT)")</f>
        <v>Thomas Cook Ireland (MT)</v>
      </c>
      <c r="B270" s="127"/>
      <c r="C270" s="128" t="str">
        <f>IFERROR(__xludf.DUMMYFUNCTION("""COMPUTED_VALUE"""),"customer.services@thomascook.ie")</f>
        <v>customer.services@thomascook.ie</v>
      </c>
      <c r="D270" s="129" t="str">
        <f>IFERROR(__xludf.DUMMYFUNCTION("""COMPUTED_VALUE"""),"e-mail")</f>
        <v>e-mail</v>
      </c>
      <c r="E270" s="129" t="str">
        <f>IFERROR(__xludf.DUMMYFUNCTION("""COMPUTED_VALUE"""),"Page not opening")</f>
        <v>Page not opening</v>
      </c>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row>
    <row r="271">
      <c r="A271" s="31" t="str">
        <f>IFERROR(__xludf.DUMMYFUNCTION("""COMPUTED_VALUE"""),"Thomson Airways (TOM)--New name TUI Airways")</f>
        <v>Thomson Airways (TOM)--New name TUI Airways</v>
      </c>
      <c r="B271" s="127"/>
      <c r="C271" s="128" t="str">
        <f>IFERROR(__xludf.DUMMYFUNCTION("""COMPUTED_VALUE"""),"Claims.flightdelay@tui.co.uk")</f>
        <v>Claims.flightdelay@tui.co.uk</v>
      </c>
      <c r="D271" s="129" t="str">
        <f>IFERROR(__xludf.DUMMYFUNCTION("""COMPUTED_VALUE"""),"E-mail")</f>
        <v>E-mail</v>
      </c>
      <c r="E271" s="131" t="str">
        <f>IFERROR(__xludf.DUMMYFUNCTION("""COMPUTED_VALUE"""),"Claims.flightdelay@tui.co.uk")</f>
        <v>Claims.flightdelay@tui.co.uk</v>
      </c>
      <c r="F271" s="127"/>
      <c r="G271" s="127" t="str">
        <f>IFERROR(__xludf.DUMMYFUNCTION("""COMPUTED_VALUE"""),"aftertraveladmin@thomson.co.uk ")</f>
        <v>aftertraveladmin@thomson.co.uk </v>
      </c>
      <c r="H271" s="127" t="str">
        <f>IFERROR(__xludf.DUMMYFUNCTION("""COMPUTED_VALUE"""),"All TUI flight numbers include ‘TOM’ or ‘BY")</f>
        <v>All TUI flight numbers include ‘TOM’ or ‘BY</v>
      </c>
      <c r="I271" s="127"/>
      <c r="J271" s="127"/>
      <c r="K271" s="127"/>
      <c r="L271" s="127"/>
      <c r="M271" s="127"/>
      <c r="N271" s="127"/>
      <c r="O271" s="127"/>
      <c r="P271" s="127"/>
      <c r="Q271" s="127"/>
      <c r="R271" s="127"/>
      <c r="S271" s="127"/>
      <c r="T271" s="127"/>
      <c r="U271" s="127"/>
      <c r="V271" s="127"/>
      <c r="W271" s="127"/>
      <c r="X271" s="127"/>
      <c r="Y271" s="127"/>
      <c r="Z271" s="127"/>
      <c r="AA271" s="127"/>
      <c r="AB271" s="127"/>
    </row>
    <row r="272">
      <c r="A272" s="31" t="str">
        <f>IFERROR(__xludf.DUMMYFUNCTION("""COMPUTED_VALUE"""),"Transavia / Transavia Denmark (HV)")</f>
        <v>Transavia / Transavia Denmark (HV)</v>
      </c>
      <c r="B272" s="127"/>
      <c r="C272" s="128" t="str">
        <f>IFERROR(__xludf.DUMMYFUNCTION("""COMPUTED_VALUE"""),"tip@transavia.com")</f>
        <v>tip@transavia.com</v>
      </c>
      <c r="D272" s="129" t="str">
        <f>IFERROR(__xludf.DUMMYFUNCTION("""COMPUTED_VALUE"""),"webform")</f>
        <v>webform</v>
      </c>
      <c r="E272" s="131" t="str">
        <f>IFERROR(__xludf.DUMMYFUNCTION("""COMPUTED_VALUE"""),"https://www.transavia.com/claims")</f>
        <v>https://www.transavia.com/claims</v>
      </c>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row>
    <row r="273">
      <c r="A273" s="31" t="str">
        <f>IFERROR(__xludf.DUMMYFUNCTION("""COMPUTED_VALUE"""),"Travel Service A/S (QS)")</f>
        <v>Travel Service A/S (QS)</v>
      </c>
      <c r="B273" s="127"/>
      <c r="C273" s="128"/>
      <c r="D273" s="129" t="str">
        <f>IFERROR(__xludf.DUMMYFUNCTION("""COMPUTED_VALUE"""),"webform w/o attachment")</f>
        <v>webform w/o attachment</v>
      </c>
      <c r="E273" s="131" t="str">
        <f>IFERROR(__xludf.DUMMYFUNCTION("""COMPUTED_VALUE"""),"https://www.smartwings.com/en/contact-form")</f>
        <v>https://www.smartwings.com/en/contact-form</v>
      </c>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row>
    <row r="274">
      <c r="A274" s="31" t="str">
        <f>IFERROR(__xludf.DUMMYFUNCTION("""COMPUTED_VALUE"""),"Trade Air Ltd")</f>
        <v>Trade Air Ltd</v>
      </c>
      <c r="B274" s="127"/>
      <c r="C274" s="133" t="str">
        <f>IFERROR(__xludf.DUMMYFUNCTION("""COMPUTED_VALUE"""),"putnici@trade-air.com")</f>
        <v>putnici@trade-air.com</v>
      </c>
      <c r="D274" s="129"/>
      <c r="E274" s="129"/>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row>
    <row r="275">
      <c r="A275" s="31" t="str">
        <f>IFERROR(__xludf.DUMMYFUNCTION("""COMPUTED_VALUE"""),"Tui Airways (TOM/ BY)")</f>
        <v>Tui Airways (TOM/ BY)</v>
      </c>
      <c r="B275" s="127"/>
      <c r="C275" s="128" t="str">
        <f>IFERROR(__xludf.DUMMYFUNCTION("""COMPUTED_VALUE"""),"ec261.tui@nortonrosefulbright.com")</f>
        <v>ec261.tui@nortonrosefulbright.com</v>
      </c>
      <c r="D275" s="129" t="str">
        <f>IFERROR(__xludf.DUMMYFUNCTION("""COMPUTED_VALUE"""),"webform w/o attachment")</f>
        <v>webform w/o attachment</v>
      </c>
      <c r="E275" s="131" t="str">
        <f>IFERROR(__xludf.DUMMYFUNCTION("""COMPUTED_VALUE"""),"https://www.tui.co.uk/destinations/contact-us/flight-delays")</f>
        <v>https://www.tui.co.uk/destinations/contact-us/flight-delays</v>
      </c>
      <c r="F275" s="127" t="str">
        <f>IFERROR(__xludf.DUMMYFUNCTION("""COMPUTED_VALUE"""),"Date of birth, mobile number")</f>
        <v>Date of birth, mobile number</v>
      </c>
      <c r="G275" s="127" t="str">
        <f>IFERROR(__xludf.DUMMYFUNCTION("""COMPUTED_VALUE"""),"Claims.flightdelay@tui.co.uk")</f>
        <v>Claims.flightdelay@tui.co.uk</v>
      </c>
      <c r="H275" s="127"/>
      <c r="I275" s="127"/>
      <c r="J275" s="127"/>
      <c r="K275" s="127"/>
      <c r="L275" s="127"/>
      <c r="M275" s="127"/>
      <c r="N275" s="127"/>
      <c r="O275" s="127"/>
      <c r="P275" s="127"/>
      <c r="Q275" s="127"/>
      <c r="R275" s="127"/>
      <c r="S275" s="127"/>
      <c r="T275" s="127"/>
      <c r="U275" s="127"/>
      <c r="V275" s="127"/>
      <c r="W275" s="127"/>
      <c r="X275" s="127"/>
      <c r="Y275" s="127"/>
      <c r="Z275" s="127"/>
      <c r="AA275" s="127"/>
      <c r="AB275" s="127"/>
    </row>
    <row r="276">
      <c r="A276" s="31" t="str">
        <f>IFERROR(__xludf.DUMMYFUNCTION("""COMPUTED_VALUE"""),"TUIFly (X3)")</f>
        <v>TUIFly (X3)</v>
      </c>
      <c r="B276" s="127"/>
      <c r="C276" s="128" t="str">
        <f>IFERROR(__xludf.DUMMYFUNCTION("""COMPUTED_VALUE"""),"kundenservice@tuifly.com")</f>
        <v>kundenservice@tuifly.com</v>
      </c>
      <c r="D276" s="129" t="str">
        <f>IFERROR(__xludf.DUMMYFUNCTION("""COMPUTED_VALUE"""),"webform")</f>
        <v>webform</v>
      </c>
      <c r="E276" s="131" t="str">
        <f>IFERROR(__xludf.DUMMYFUNCTION("""COMPUTED_VALUE"""),"https://claims.tuifly.com/tuifly/v1/claims/choose_claimant_type")</f>
        <v>https://claims.tuifly.com/tuifly/v1/claims/choose_claimant_type</v>
      </c>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row>
    <row r="277">
      <c r="A277" s="31" t="str">
        <f>IFERROR(__xludf.DUMMYFUNCTION("""COMPUTED_VALUE"""),"TUIfly Belgium (TB/JAF)")</f>
        <v>TUIfly Belgium (TB/JAF)</v>
      </c>
      <c r="B277" s="127"/>
      <c r="C277" s="128" t="str">
        <f>IFERROR(__xludf.DUMMYFUNCTION("""COMPUTED_VALUE"""),"frontoffice.zav@tui.be")</f>
        <v>frontoffice.zav@tui.be</v>
      </c>
      <c r="D277" s="129" t="str">
        <f>IFERROR(__xludf.DUMMYFUNCTION("""COMPUTED_VALUE"""),"webform")</f>
        <v>webform</v>
      </c>
      <c r="E277" s="131" t="str">
        <f>IFERROR(__xludf.DUMMYFUNCTION("""COMPUTED_VALUE"""),"https://www.tuifly.be/en/complaint-others")</f>
        <v>https://www.tuifly.be/en/complaint-others</v>
      </c>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row>
    <row r="278">
      <c r="A278" s="31" t="str">
        <f>IFERROR(__xludf.DUMMYFUNCTION("""COMPUTED_VALUE"""),"TUIfly Netherlands / ArkeFly (OR)")</f>
        <v>TUIfly Netherlands / ArkeFly (OR)</v>
      </c>
      <c r="B278" s="127"/>
      <c r="C278" s="128" t="str">
        <f>IFERROR(__xludf.DUMMYFUNCTION("""COMPUTED_VALUE"""),"fdc@tui.nl")</f>
        <v>fdc@tui.nl</v>
      </c>
      <c r="D278" s="129" t="str">
        <f>IFERROR(__xludf.DUMMYFUNCTION("""COMPUTED_VALUE"""),"webform")</f>
        <v>webform</v>
      </c>
      <c r="E278" s="131" t="str">
        <f>IFERROR(__xludf.DUMMYFUNCTION("""COMPUTED_VALUE"""),"fdc@tui.nl")</f>
        <v>fdc@tui.nl</v>
      </c>
      <c r="F278" s="127"/>
      <c r="G278" s="127" t="str">
        <f>IFERROR(__xludf.DUMMYFUNCTION("""COMPUTED_VALUE"""),"info@arkefly.nl")</f>
        <v>info@arkefly.nl</v>
      </c>
      <c r="H278" s="127"/>
      <c r="I278" s="127"/>
      <c r="J278" s="127"/>
      <c r="K278" s="127"/>
      <c r="L278" s="127"/>
      <c r="M278" s="127"/>
      <c r="N278" s="127"/>
      <c r="O278" s="127"/>
      <c r="P278" s="127"/>
      <c r="Q278" s="127"/>
      <c r="R278" s="127"/>
      <c r="S278" s="127"/>
      <c r="T278" s="127"/>
      <c r="U278" s="127"/>
      <c r="V278" s="127"/>
      <c r="W278" s="127"/>
      <c r="X278" s="127"/>
      <c r="Y278" s="127"/>
      <c r="Z278" s="127"/>
      <c r="AA278" s="127"/>
      <c r="AB278" s="127"/>
    </row>
    <row r="279">
      <c r="A279" s="31" t="str">
        <f>IFERROR(__xludf.DUMMYFUNCTION("""COMPUTED_VALUE"""),"TUIfly Nordic (6B/ BLX)")</f>
        <v>TUIfly Nordic (6B/ BLX)</v>
      </c>
      <c r="B279" s="127"/>
      <c r="C279" s="128" t="str">
        <f>IFERROR(__xludf.DUMMYFUNCTION("""COMPUTED_VALUE"""),"reklamation@tuiflynordic.se")</f>
        <v>reklamation@tuiflynordic.se</v>
      </c>
      <c r="D279" s="129" t="str">
        <f>IFERROR(__xludf.DUMMYFUNCTION("""COMPUTED_VALUE"""),"webform w/ attachment")</f>
        <v>webform w/ attachment</v>
      </c>
      <c r="E279" s="131" t="str">
        <f>IFERROR(__xludf.DUMMYFUNCTION("""COMPUTED_VALUE"""),"https://www.tuiflynordic.se/forseningar-och-reklamationer/formular/")</f>
        <v>https://www.tuiflynordic.se/forseningar-och-reklamationer/formular/</v>
      </c>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row>
    <row r="280">
      <c r="A280" s="31" t="str">
        <f>IFERROR(__xludf.DUMMYFUNCTION("""COMPUTED_VALUE"""),"Tunis Air (TU)")</f>
        <v>Tunis Air (TU)</v>
      </c>
      <c r="B280" s="127"/>
      <c r="C280" s="128" t="str">
        <f>IFERROR(__xludf.DUMMYFUNCTION("""COMPUTED_VALUE"""),"ecoute.client@tunisairexpress.com.tn")</f>
        <v>ecoute.client@tunisairexpress.com.tn</v>
      </c>
      <c r="D280" s="129" t="str">
        <f>IFERROR(__xludf.DUMMYFUNCTION("""COMPUTED_VALUE"""),"webform w/ attachment")</f>
        <v>webform w/ attachment</v>
      </c>
      <c r="E280" s="131" t="str">
        <f>IFERROR(__xludf.DUMMYFUNCTION("""COMPUTED_VALUE"""),"https://www.tunisair.com/fr/reclamation?category_id=1")</f>
        <v>https://www.tunisair.com/fr/reclamation?category_id=1</v>
      </c>
      <c r="F280" s="127" t="str">
        <f>IFERROR(__xludf.DUMMYFUNCTION("""COMPUTED_VALUE"""),"Ticket number")</f>
        <v>Ticket number</v>
      </c>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row>
    <row r="281">
      <c r="A281" s="31" t="str">
        <f>IFERROR(__xludf.DUMMYFUNCTION("""COMPUTED_VALUE"""),"Tunis Air Express(UG)")</f>
        <v>Tunis Air Express(UG)</v>
      </c>
      <c r="B281" s="127"/>
      <c r="C281" s="128" t="str">
        <f>IFERROR(__xludf.DUMMYFUNCTION("""COMPUTED_VALUE"""),"ecoute.client@tunisairexpress.com.tn")</f>
        <v>ecoute.client@tunisairexpress.com.tn</v>
      </c>
      <c r="D281" s="129" t="str">
        <f>IFERROR(__xludf.DUMMYFUNCTION("""COMPUTED_VALUE"""),"webform w/o attachment")</f>
        <v>webform w/o attachment</v>
      </c>
      <c r="E281" s="131" t="str">
        <f>IFERROR(__xludf.DUMMYFUNCTION("""COMPUTED_VALUE"""),"https://www.tunisairexpress.net/en/complaints-and-customer-assistance/")</f>
        <v>https://www.tunisairexpress.net/en/complaints-and-customer-assistance/</v>
      </c>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row>
    <row r="282">
      <c r="A282" s="31" t="str">
        <f>IFERROR(__xludf.DUMMYFUNCTION("""COMPUTED_VALUE"""),"Turkish Airlines (TK)")</f>
        <v>Turkish Airlines (TK)</v>
      </c>
      <c r="B282" s="127"/>
      <c r="C282" s="128" t="str">
        <f>IFERROR(__xludf.DUMMYFUNCTION("""COMPUTED_VALUE"""),"customer2@thy.com")</f>
        <v>customer2@thy.com</v>
      </c>
      <c r="D282" s="129" t="str">
        <f>IFERROR(__xludf.DUMMYFUNCTION("""COMPUTED_VALUE"""),"webform w/ attachment")</f>
        <v>webform w/ attachment</v>
      </c>
      <c r="E282" s="131" t="str">
        <f>IFERROR(__xludf.DUMMYFUNCTION("""COMPUTED_VALUE"""),"https://www.turkishairlines.com/en-int/any-questions/customer-relations/feedback/")</f>
        <v>https://www.turkishairlines.com/en-int/any-questions/customer-relations/feedback/</v>
      </c>
      <c r="F282" s="127" t="str">
        <f>IFERROR(__xludf.DUMMYFUNCTION("""COMPUTED_VALUE"""),"ID")</f>
        <v>ID</v>
      </c>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row>
    <row r="283">
      <c r="A283" s="31" t="str">
        <f>IFERROR(__xludf.DUMMYFUNCTION("""COMPUTED_VALUE"""),"Turkmenistan Airlines")</f>
        <v>Turkmenistan Airlines</v>
      </c>
      <c r="B283" s="127"/>
      <c r="C283" s="128" t="str">
        <f>IFERROR(__xludf.DUMMYFUNCTION("""COMPUTED_VALUE"""),"legaldep@turkmenistanairlines.tm")</f>
        <v>legaldep@turkmenistanairlines.tm</v>
      </c>
      <c r="D283" s="129" t="str">
        <f>IFERROR(__xludf.DUMMYFUNCTION("""COMPUTED_VALUE"""),"e-mail")</f>
        <v>e-mail</v>
      </c>
      <c r="E283" s="129" t="str">
        <f>IFERROR(__xludf.DUMMYFUNCTION("""COMPUTED_VALUE"""),"legaldep@turkmenistanairlines.tm")</f>
        <v>legaldep@turkmenistanairlines.tm</v>
      </c>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row>
    <row r="284">
      <c r="A284" s="31" t="str">
        <f>IFERROR(__xludf.DUMMYFUNCTION("""COMPUTED_VALUE"""),"TUS Airways")</f>
        <v>TUS Airways</v>
      </c>
      <c r="B284" s="127"/>
      <c r="C284" s="128" t="str">
        <f>IFERROR(__xludf.DUMMYFUNCTION("""COMPUTED_VALUE"""),"claims@tusairways.com, claims@tusairways.com")</f>
        <v>claims@tusairways.com, claims@tusairways.com</v>
      </c>
      <c r="D284" s="129" t="str">
        <f>IFERROR(__xludf.DUMMYFUNCTION("""COMPUTED_VALUE"""),"e-mail")</f>
        <v>e-mail</v>
      </c>
      <c r="E284" s="129" t="str">
        <f>IFERROR(__xludf.DUMMYFUNCTION("""COMPUTED_VALUE"""),"claims@tusairways.com")</f>
        <v>claims@tusairways.com</v>
      </c>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row>
    <row r="285">
      <c r="A285" s="31" t="str">
        <f>IFERROR(__xludf.DUMMYFUNCTION("""COMPUTED_VALUE"""),"T'way Air")</f>
        <v>T'way Air</v>
      </c>
      <c r="B285" s="127"/>
      <c r="C285" s="133" t="str">
        <f>IFERROR(__xludf.DUMMYFUNCTION("""COMPUTED_VALUE"""),"twayairit@gmail.com")</f>
        <v>twayairit@gmail.com</v>
      </c>
      <c r="D285" s="129"/>
      <c r="E285" s="129"/>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row>
    <row r="286">
      <c r="A286" s="31" t="str">
        <f>IFERROR(__xludf.DUMMYFUNCTION("""COMPUTED_VALUE"""),"Uganda Airlines")</f>
        <v>Uganda Airlines</v>
      </c>
      <c r="B286" s="127"/>
      <c r="C286" s="128" t="str">
        <f>IFERROR(__xludf.DUMMYFUNCTION("""COMPUTED_VALUE"""),"reservations@ugandairlines.com")</f>
        <v>reservations@ugandairlines.com</v>
      </c>
      <c r="D286" s="129" t="str">
        <f>IFERROR(__xludf.DUMMYFUNCTION("""COMPUTED_VALUE"""),"e-mail")</f>
        <v>e-mail</v>
      </c>
      <c r="E286" s="129" t="str">
        <f>IFERROR(__xludf.DUMMYFUNCTION("""COMPUTED_VALUE"""),"reservations@ugandairlines.com")</f>
        <v>reservations@ugandairlines.com</v>
      </c>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row>
    <row r="287">
      <c r="A287" s="31" t="str">
        <f>IFERROR(__xludf.DUMMYFUNCTION("""COMPUTED_VALUE"""),"Ukraine International Airlines (PS)")</f>
        <v>Ukraine International Airlines (PS)</v>
      </c>
      <c r="B287" s="127"/>
      <c r="C287" s="128" t="str">
        <f>IFERROR(__xludf.DUMMYFUNCTION("""COMPUTED_VALUE"""),"uia@flyuia.com")</f>
        <v>uia@flyuia.com</v>
      </c>
      <c r="D287" s="129" t="str">
        <f>IFERROR(__xludf.DUMMYFUNCTION("""COMPUTED_VALUE"""),"e-mail")</f>
        <v>e-mail</v>
      </c>
      <c r="E287" s="129"/>
      <c r="F287" s="127"/>
      <c r="G287" s="127"/>
      <c r="H287" s="127" t="str">
        <f>IFERROR(__xludf.DUMMYFUNCTION("""COMPUTED_VALUE"""),"Ceased operations: 24 February 2022 (only temporarily until the end of the war")</f>
        <v>Ceased operations: 24 February 2022 (only temporarily until the end of the war</v>
      </c>
      <c r="I287" s="127"/>
      <c r="J287" s="127"/>
      <c r="K287" s="127"/>
      <c r="L287" s="127"/>
      <c r="M287" s="127"/>
      <c r="N287" s="127"/>
      <c r="O287" s="127"/>
      <c r="P287" s="127"/>
      <c r="Q287" s="127"/>
      <c r="R287" s="127"/>
      <c r="S287" s="127"/>
      <c r="T287" s="127"/>
      <c r="U287" s="127"/>
      <c r="V287" s="127"/>
      <c r="W287" s="127"/>
      <c r="X287" s="127"/>
      <c r="Y287" s="127"/>
      <c r="Z287" s="127"/>
      <c r="AA287" s="127"/>
      <c r="AB287" s="127"/>
    </row>
    <row r="288">
      <c r="A288" s="31" t="str">
        <f>IFERROR(__xludf.DUMMYFUNCTION("""COMPUTED_VALUE"""),"United Airlines (UA)")</f>
        <v>United Airlines (UA)</v>
      </c>
      <c r="B288" s="127"/>
      <c r="C288" s="128" t="str">
        <f>IFERROR(__xludf.DUMMYFUNCTION("""COMPUTED_VALUE"""),"customer.care@united.com")</f>
        <v>customer.care@united.com</v>
      </c>
      <c r="D288" s="129" t="str">
        <f>IFERROR(__xludf.DUMMYFUNCTION("""COMPUTED_VALUE"""),"webform w/ attachment")</f>
        <v>webform w/ attachment</v>
      </c>
      <c r="E288" s="131" t="str">
        <f>IFERROR(__xludf.DUMMYFUNCTION("""COMPUTED_VALUE"""),"https://www.united.com/en/us/customercare")</f>
        <v>https://www.united.com/en/us/customercare</v>
      </c>
      <c r="F288" s="127"/>
      <c r="G288" s="132" t="str">
        <f>IFERROR(__xludf.DUMMYFUNCTION("""COMPUTED_VALUE"""),"https://www.united.com/en/us/refunds")</f>
        <v>https://www.united.com/en/us/refunds</v>
      </c>
      <c r="H288" s="127"/>
      <c r="I288" s="127"/>
      <c r="J288" s="127"/>
      <c r="K288" s="127"/>
      <c r="L288" s="127"/>
      <c r="M288" s="127"/>
      <c r="N288" s="127"/>
      <c r="O288" s="127"/>
      <c r="P288" s="127"/>
      <c r="Q288" s="127"/>
      <c r="R288" s="127"/>
      <c r="S288" s="127"/>
      <c r="T288" s="127"/>
      <c r="U288" s="127"/>
      <c r="V288" s="127"/>
      <c r="W288" s="127"/>
      <c r="X288" s="127"/>
      <c r="Y288" s="127"/>
      <c r="Z288" s="127"/>
      <c r="AA288" s="127"/>
      <c r="AB288" s="127"/>
    </row>
    <row r="289">
      <c r="A289" s="31" t="str">
        <f>IFERROR(__xludf.DUMMYFUNCTION("""COMPUTED_VALUE"""),"Universal Air (VO)")</f>
        <v>Universal Air (VO)</v>
      </c>
      <c r="B289" s="127"/>
      <c r="C289" s="128" t="str">
        <f>IFERROR(__xludf.DUMMYFUNCTION("""COMPUTED_VALUE"""),"hello@flyuniversalair.com")</f>
        <v>hello@flyuniversalair.com</v>
      </c>
      <c r="D289" s="129"/>
      <c r="E289" s="129" t="str">
        <f>IFERROR(__xludf.DUMMYFUNCTION("""COMPUTED_VALUE"""),"hello@flyuniversalair.com")</f>
        <v>hello@flyuniversalair.com</v>
      </c>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row>
    <row r="290">
      <c r="A290" s="31" t="str">
        <f>IFERROR(__xludf.DUMMYFUNCTION("""COMPUTED_VALUE"""),"Ural Airlines (U6)")</f>
        <v>Ural Airlines (U6)</v>
      </c>
      <c r="B290" s="127"/>
      <c r="C290" s="128" t="str">
        <f>IFERROR(__xludf.DUMMYFUNCTION("""COMPUTED_VALUE"""),"company@uralairlines.ru")</f>
        <v>company@uralairlines.ru</v>
      </c>
      <c r="D290" s="129" t="str">
        <f>IFERROR(__xludf.DUMMYFUNCTION("""COMPUTED_VALUE"""),"By post")</f>
        <v>By post</v>
      </c>
      <c r="E290" s="129" t="str">
        <f>IFERROR(__xludf.DUMMYFUNCTION("""COMPUTED_VALUE"""),"620025 Yekaterinburg, Utrenny lane 1G")</f>
        <v>620025 Yekaterinburg, Utrenny lane 1G</v>
      </c>
      <c r="F290" s="127"/>
      <c r="G290" s="127"/>
      <c r="H290" s="132" t="str">
        <f>IFERROR(__xludf.DUMMYFUNCTION("""COMPUTED_VALUE"""),"Claim form: https://www.uralairlines.ru/upload/vozvrat.docx")</f>
        <v>Claim form: https://www.uralairlines.ru/upload/vozvrat.docx</v>
      </c>
      <c r="I290" s="127"/>
      <c r="J290" s="127"/>
      <c r="K290" s="127"/>
      <c r="L290" s="127"/>
      <c r="M290" s="127"/>
      <c r="N290" s="127"/>
      <c r="O290" s="127"/>
      <c r="P290" s="127"/>
      <c r="Q290" s="127"/>
      <c r="R290" s="127"/>
      <c r="S290" s="127"/>
      <c r="T290" s="127"/>
      <c r="U290" s="127"/>
      <c r="V290" s="127"/>
      <c r="W290" s="127"/>
      <c r="X290" s="127"/>
      <c r="Y290" s="127"/>
      <c r="Z290" s="127"/>
      <c r="AA290" s="127"/>
      <c r="AB290" s="127"/>
    </row>
    <row r="291">
      <c r="A291" s="31" t="str">
        <f>IFERROR(__xludf.DUMMYFUNCTION("""COMPUTED_VALUE"""),"UTair (UT)")</f>
        <v>UTair (UT)</v>
      </c>
      <c r="B291" s="127"/>
      <c r="C291" s="128" t="str">
        <f>IFERROR(__xludf.DUMMYFUNCTION("""COMPUTED_VALUE"""),"status@utair.ru")</f>
        <v>status@utair.ru</v>
      </c>
      <c r="D291" s="129" t="str">
        <f>IFERROR(__xludf.DUMMYFUNCTION("""COMPUTED_VALUE"""),"e-mail")</f>
        <v>e-mail</v>
      </c>
      <c r="E291" s="129" t="str">
        <f>IFERROR(__xludf.DUMMYFUNCTION("""COMPUTED_VALUE"""),"office@utair.ru")</f>
        <v>office@utair.ru</v>
      </c>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row>
    <row r="292">
      <c r="A292" s="31" t="str">
        <f>IFERROR(__xludf.DUMMYFUNCTION("""COMPUTED_VALUE"""),"Uzbekistan Airways")</f>
        <v>Uzbekistan Airways</v>
      </c>
      <c r="B292" s="127"/>
      <c r="C292" s="128"/>
      <c r="D292" s="129" t="str">
        <f>IFERROR(__xludf.DUMMYFUNCTION("""COMPUTED_VALUE"""),"webform w/ attachment")</f>
        <v>webform w/ attachment</v>
      </c>
      <c r="E292" s="131" t="str">
        <f>IFERROR(__xludf.DUMMYFUNCTION("""COMPUTED_VALUE"""),"https://www.uzairways.com/en/contact/pretenzii")</f>
        <v>https://www.uzairways.com/en/contact/pretenzii</v>
      </c>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row>
    <row r="293">
      <c r="A293" s="31" t="str">
        <f>IFERROR(__xludf.DUMMYFUNCTION("""COMPUTED_VALUE"""),"Vietnam Airlines (VN)")</f>
        <v>Vietnam Airlines (VN)</v>
      </c>
      <c r="B293" s="127"/>
      <c r="C293" s="128" t="str">
        <f>IFERROR(__xludf.DUMMYFUNCTION("""COMPUTED_VALUE"""),"vna.uk@vietnamairlines.com")</f>
        <v>vna.uk@vietnamairlines.com</v>
      </c>
      <c r="D293" s="129" t="str">
        <f>IFERROR(__xludf.DUMMYFUNCTION("""COMPUTED_VALUE"""),"e-mail")</f>
        <v>e-mail</v>
      </c>
      <c r="E293" s="129" t="str">
        <f>IFERROR(__xludf.DUMMYFUNCTION("""COMPUTED_VALUE"""),"customercare.uk@vietnamairlines.com")</f>
        <v>customercare.uk@vietnamairlines.com</v>
      </c>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row>
    <row r="294">
      <c r="A294" s="31" t="str">
        <f>IFERROR(__xludf.DUMMYFUNCTION("""COMPUTED_VALUE"""),"Virgin Atlantic (VS)")</f>
        <v>Virgin Atlantic (VS)</v>
      </c>
      <c r="B294" s="127"/>
      <c r="C294" s="128" t="str">
        <f>IFERROR(__xludf.DUMMYFUNCTION("""COMPUTED_VALUE"""),"customer.relations@fly.virgin.com")</f>
        <v>customer.relations@fly.virgin.com</v>
      </c>
      <c r="D294" s="129" t="str">
        <f>IFERROR(__xludf.DUMMYFUNCTION("""COMPUTED_VALUE"""),"webform w/o attachment")</f>
        <v>webform w/o attachment</v>
      </c>
      <c r="E294" s="131" t="str">
        <f>IFERROR(__xludf.DUMMYFUNCTION("""COMPUTED_VALUE"""),"https://help.virginatlantic.com/gb/en/contact-forms.html?webform=feedback--i-need-to-claim-compensation-due-to-a-delay-or-cancelled-flight")</f>
        <v>https://help.virginatlantic.com/gb/en/contact-forms.html?webform=feedback--i-need-to-claim-compensation-due-to-a-delay-or-cancelled-flight</v>
      </c>
      <c r="F294" s="127" t="str">
        <f>IFERROR(__xludf.DUMMYFUNCTION("""COMPUTED_VALUE"""),"Date of birth, ")</f>
        <v>Date of birth, </v>
      </c>
      <c r="G294" s="127" t="str">
        <f>IFERROR(__xludf.DUMMYFUNCTION("""COMPUTED_VALUE"""),"Virgin Atlantic Airways Ltd EU Application PO Box 4525 Dunstable LU6 9QT UK")</f>
        <v>Virgin Atlantic Airways Ltd EU Application PO Box 4525 Dunstable LU6 9QT UK</v>
      </c>
      <c r="H294" s="127"/>
      <c r="I294" s="127"/>
      <c r="J294" s="127"/>
      <c r="K294" s="127"/>
      <c r="L294" s="127"/>
      <c r="M294" s="127"/>
      <c r="N294" s="127"/>
      <c r="O294" s="127"/>
      <c r="P294" s="127"/>
      <c r="Q294" s="127"/>
      <c r="R294" s="127"/>
      <c r="S294" s="127"/>
      <c r="T294" s="127"/>
      <c r="U294" s="127"/>
      <c r="V294" s="127"/>
      <c r="W294" s="127"/>
      <c r="X294" s="127"/>
      <c r="Y294" s="127"/>
      <c r="Z294" s="127"/>
      <c r="AA294" s="127"/>
      <c r="AB294" s="127"/>
    </row>
    <row r="295">
      <c r="A295" s="31" t="str">
        <f>IFERROR(__xludf.DUMMYFUNCTION("""COMPUTED_VALUE"""),"Vistara")</f>
        <v>Vistara</v>
      </c>
      <c r="B295" s="127"/>
      <c r="C295" s="128" t="str">
        <f>IFERROR(__xludf.DUMMYFUNCTION("""COMPUTED_VALUE"""),"custrelations@airvistara.com")</f>
        <v>custrelations@airvistara.com</v>
      </c>
      <c r="D295" s="129"/>
      <c r="E295" s="131" t="str">
        <f>IFERROR(__xludf.DUMMYFUNCTION("""COMPUTED_VALUE"""),"https://www.airvistara.com/in/en/eu-claim-form")</f>
        <v>https://www.airvistara.com/in/en/eu-claim-form</v>
      </c>
      <c r="F295" s="127" t="str">
        <f>IFERROR(__xludf.DUMMYFUNCTION("""COMPUTED_VALUE"""),"Merged with Air India, so claim need to be sent to Air India, also pls use Air India email for making child ticket")</f>
        <v>Merged with Air India, so claim need to be sent to Air India, also pls use Air India email for making child ticket</v>
      </c>
      <c r="G295" s="132" t="str">
        <f>IFERROR(__xludf.DUMMYFUNCTION("""COMPUTED_VALUE"""),"https://www.airvistara.com/bd/en/vistara-help")</f>
        <v>https://www.airvistara.com/bd/en/vistara-help</v>
      </c>
      <c r="H295" s="127"/>
      <c r="I295" s="127"/>
      <c r="J295" s="127"/>
      <c r="K295" s="127"/>
      <c r="L295" s="127"/>
      <c r="M295" s="127"/>
      <c r="N295" s="127"/>
      <c r="O295" s="127"/>
      <c r="P295" s="127"/>
      <c r="Q295" s="127"/>
      <c r="R295" s="127"/>
      <c r="S295" s="127"/>
      <c r="T295" s="127"/>
      <c r="U295" s="127"/>
      <c r="V295" s="127"/>
      <c r="W295" s="127"/>
      <c r="X295" s="127"/>
      <c r="Y295" s="127"/>
      <c r="Z295" s="127"/>
      <c r="AA295" s="127"/>
      <c r="AB295" s="127"/>
    </row>
    <row r="296">
      <c r="A296" s="31" t="str">
        <f>IFERROR(__xludf.DUMMYFUNCTION("""COMPUTED_VALUE"""),"Volotea")</f>
        <v>Volotea</v>
      </c>
      <c r="B296" s="127"/>
      <c r="C296" s="128" t="str">
        <f>IFERROR(__xludf.DUMMYFUNCTION("""COMPUTED_VALUE"""),"customer.care@volotea.com info@volotea.com")</f>
        <v>customer.care@volotea.com info@volotea.com</v>
      </c>
      <c r="D296" s="129" t="str">
        <f>IFERROR(__xludf.DUMMYFUNCTION("""COMPUTED_VALUE"""),"webform w/ attachment")</f>
        <v>webform w/ attachment</v>
      </c>
      <c r="E296" s="131" t="str">
        <f>IFERROR(__xludf.DUMMYFUNCTION("""COMPUTED_VALUE"""),"https://www.volotea.com/en/contact/complaints-delay/")</f>
        <v>https://www.volotea.com/en/contact/complaints-delay/</v>
      </c>
      <c r="F296" s="127" t="str">
        <f>IFERROR(__xludf.DUMMYFUNCTION("""COMPUTED_VALUE"""),"Boarding, ID")</f>
        <v>Boarding, ID</v>
      </c>
      <c r="G296" s="127" t="str">
        <f>IFERROR(__xludf.DUMMYFUNCTION("""COMPUTED_VALUE"""),"Travessera de Gracia 56, 08006, Barcelona")</f>
        <v>Travessera de Gracia 56, 08006, Barcelona</v>
      </c>
      <c r="H296" s="127"/>
      <c r="I296" s="127"/>
      <c r="J296" s="127"/>
      <c r="K296" s="127"/>
      <c r="L296" s="127"/>
      <c r="M296" s="127"/>
      <c r="N296" s="127"/>
      <c r="O296" s="127"/>
      <c r="P296" s="127"/>
      <c r="Q296" s="127"/>
      <c r="R296" s="127"/>
      <c r="S296" s="127"/>
      <c r="T296" s="127"/>
      <c r="U296" s="127"/>
      <c r="V296" s="127"/>
      <c r="W296" s="127"/>
      <c r="X296" s="127"/>
      <c r="Y296" s="127"/>
      <c r="Z296" s="127"/>
      <c r="AA296" s="127"/>
      <c r="AB296" s="127"/>
    </row>
    <row r="297">
      <c r="A297" s="31" t="str">
        <f>IFERROR(__xludf.DUMMYFUNCTION("""COMPUTED_VALUE"""),"Vueling Airways (VY)")</f>
        <v>Vueling Airways (VY)</v>
      </c>
      <c r="B297" s="127"/>
      <c r="C297" s="128" t="str">
        <f>IFERROR(__xludf.DUMMYFUNCTION("""COMPUTED_VALUE"""),"particularcustomervy@vueling.com")</f>
        <v>particularcustomervy@vueling.com</v>
      </c>
      <c r="D297" s="129" t="str">
        <f>IFERROR(__xludf.DUMMYFUNCTION("""COMPUTED_VALUE"""),"webform w/ attachment")</f>
        <v>webform w/ attachment</v>
      </c>
      <c r="E297" s="131" t="str">
        <f>IFERROR(__xludf.DUMMYFUNCTION("""COMPUTED_VALUE"""),"https://www.vueling.com/en/we-are-vueling/contact")</f>
        <v>https://www.vueling.com/en/we-are-vueling/contact</v>
      </c>
      <c r="F297" s="127" t="str">
        <f>IFERROR(__xludf.DUMMYFUNCTION("""COMPUTED_VALUE"""),"ID")</f>
        <v>ID</v>
      </c>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row>
    <row r="298">
      <c r="A298" s="31" t="str">
        <f>IFERROR(__xludf.DUMMYFUNCTION("""COMPUTED_VALUE"""),"WestJet")</f>
        <v>WestJet</v>
      </c>
      <c r="B298" s="127"/>
      <c r="C298" s="128" t="str">
        <f>IFERROR(__xludf.DUMMYFUNCTION("""COMPUTED_VALUE"""),"apprclaim@westjet.com")</f>
        <v>apprclaim@westjet.com</v>
      </c>
      <c r="D298" s="129" t="str">
        <f>IFERROR(__xludf.DUMMYFUNCTION("""COMPUTED_VALUE"""),"webform w/o attachment")</f>
        <v>webform w/o attachment</v>
      </c>
      <c r="E298" s="131" t="str">
        <f>IFERROR(__xludf.DUMMYFUNCTION("""COMPUTED_VALUE"""),"https://www.westjet.com/en-ca/interruptions/eu-alternate-dispute/european-regulation")</f>
        <v>https://www.westjet.com/en-ca/interruptions/eu-alternate-dispute/european-regulation</v>
      </c>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row>
    <row r="299">
      <c r="A299" s="31" t="str">
        <f>IFERROR(__xludf.DUMMYFUNCTION("""COMPUTED_VALUE"""),"White Airways")</f>
        <v>White Airways</v>
      </c>
      <c r="B299" s="127"/>
      <c r="C299" s="128" t="str">
        <f>IFERROR(__xludf.DUMMYFUNCTION("""COMPUTED_VALUE"""),"whiteforyou@flywhite.com")</f>
        <v>whiteforyou@flywhite.com</v>
      </c>
      <c r="D299" s="129"/>
      <c r="E299" s="131" t="str">
        <f>IFERROR(__xludf.DUMMYFUNCTION("""COMPUTED_VALUE"""),"https://www.flywhite.com/services")</f>
        <v>https://www.flywhite.com/services</v>
      </c>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row>
    <row r="300">
      <c r="A300" s="31" t="str">
        <f>IFERROR(__xludf.DUMMYFUNCTION("""COMPUTED_VALUE"""),"Wideroe (WF)")</f>
        <v>Wideroe (WF)</v>
      </c>
      <c r="B300" s="127"/>
      <c r="C300" s="128" t="str">
        <f>IFERROR(__xludf.DUMMYFUNCTION("""COMPUTED_VALUE"""),"claims@wideroe.no")</f>
        <v>claims@wideroe.no</v>
      </c>
      <c r="D300" s="129" t="str">
        <f>IFERROR(__xludf.DUMMYFUNCTION("""COMPUTED_VALUE"""),"email")</f>
        <v>email</v>
      </c>
      <c r="E300" s="129" t="str">
        <f>IFERROR(__xludf.DUMMYFUNCTION("""COMPUTED_VALUE"""),"claims@wideroe.no")</f>
        <v>claims@wideroe.no</v>
      </c>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row>
    <row r="301">
      <c r="A301" s="31" t="str">
        <f>IFERROR(__xludf.DUMMYFUNCTION("""COMPUTED_VALUE"""),"Winair (WM)")</f>
        <v>Winair (WM)</v>
      </c>
      <c r="B301" s="127"/>
      <c r="C301" s="128" t="str">
        <f>IFERROR(__xludf.DUMMYFUNCTION("""COMPUTED_VALUE"""),"customerrelations@fly-winair.com")</f>
        <v>customerrelations@fly-winair.com</v>
      </c>
      <c r="D301" s="129" t="str">
        <f>IFERROR(__xludf.DUMMYFUNCTION("""COMPUTED_VALUE"""),"e-mail")</f>
        <v>e-mail</v>
      </c>
      <c r="E301" s="129" t="str">
        <f>IFERROR(__xludf.DUMMYFUNCTION("""COMPUTED_VALUE"""),"customerrelations@fly-winair.com")</f>
        <v>customerrelations@fly-winair.com</v>
      </c>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row>
    <row r="302">
      <c r="A302" s="31" t="str">
        <f>IFERROR(__xludf.DUMMYFUNCTION("""COMPUTED_VALUE"""),"Wind Jet (IV)")</f>
        <v>Wind Jet (IV)</v>
      </c>
      <c r="B302" s="127" t="str">
        <f>IFERROR(__xludf.DUMMYFUNCTION("""COMPUTED_VALUE"""),"11 August 2012 ceased operations until further notice")</f>
        <v>11 August 2012 ceased operations until further notice</v>
      </c>
      <c r="C302" s="128"/>
      <c r="D302" s="129" t="str">
        <f>IFERROR(__xludf.DUMMYFUNCTION("""COMPUTED_VALUE"""),"to be sent to Alitalia")</f>
        <v>to be sent to Alitalia</v>
      </c>
      <c r="E302" s="129"/>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row>
    <row r="303">
      <c r="A303" s="31" t="str">
        <f>IFERROR(__xludf.DUMMYFUNCTION("""COMPUTED_VALUE"""),"Wizz")</f>
        <v>Wizz</v>
      </c>
      <c r="B303" s="127"/>
      <c r="C303" s="128" t="str">
        <f>IFERROR(__xludf.DUMMYFUNCTION("""COMPUTED_VALUE"""),"customerrelations1@customerservices.wizzair.com")</f>
        <v>customerrelations1@customerservices.wizzair.com</v>
      </c>
      <c r="D303" s="129" t="str">
        <f>IFERROR(__xludf.DUMMYFUNCTION("""COMPUTED_VALUE"""),"webform w/ attachment")</f>
        <v>webform w/ attachment</v>
      </c>
      <c r="E303" s="131" t="str">
        <f>IFERROR(__xludf.DUMMYFUNCTION("""COMPUTED_VALUE"""),"https://claim.wizzair.com/ClaimCompanies")</f>
        <v>https://claim.wizzair.com/ClaimCompanies</v>
      </c>
      <c r="F303" s="127" t="str">
        <f>IFERROR(__xludf.DUMMYFUNCTION("""COMPUTED_VALUE"""),"""Wizz Air Denied Boarding Compensation Form"" in denied boarding cases ID: legal@refly.org Pass: Fkk4erdF!")</f>
        <v>"Wizz Air Denied Boarding Compensation Form" in denied boarding cases ID: legal@refly.org Pass: Fkk4erdF!</v>
      </c>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row>
    <row r="304">
      <c r="A304" s="31" t="str">
        <f>IFERROR(__xludf.DUMMYFUNCTION("""COMPUTED_VALUE"""),"World2Fly")</f>
        <v>World2Fly</v>
      </c>
      <c r="B304" s="127"/>
      <c r="C304" s="128" t="str">
        <f>IFERROR(__xludf.DUMMYFUNCTION("""COMPUTED_VALUE"""),"customer.care@w2fly.es")</f>
        <v>customer.care@w2fly.es</v>
      </c>
      <c r="D304" s="129" t="str">
        <f>IFERROR(__xludf.DUMMYFUNCTION("""COMPUTED_VALUE"""),"webform w/ attachment")</f>
        <v>webform w/ attachment</v>
      </c>
      <c r="E304" s="131" t="str">
        <f>IFERROR(__xludf.DUMMYFUNCTION("""COMPUTED_VALUE"""),"https://www.w2fly.es/es-es/centro-de-atencion")</f>
        <v>https://www.w2fly.es/es-es/centro-de-atencion</v>
      </c>
      <c r="F304" s="127" t="str">
        <f>IFERROR(__xludf.DUMMYFUNCTION("""COMPUTED_VALUE"""),"ID/Passport number mandatory")</f>
        <v>ID/Passport number mandatory</v>
      </c>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row>
    <row r="305">
      <c r="A305" s="31" t="str">
        <f>IFERROR(__xludf.DUMMYFUNCTION("""COMPUTED_VALUE"""),"Wow Air (WW)")</f>
        <v>Wow Air (WW)</v>
      </c>
      <c r="B305" s="127"/>
      <c r="C305" s="128" t="str">
        <f>IFERROR(__xludf.DUMMYFUNCTION("""COMPUTED_VALUE"""),"wow@wow.is")</f>
        <v>wow@wow.is</v>
      </c>
      <c r="D305" s="129" t="str">
        <f>IFERROR(__xludf.DUMMYFUNCTION("""COMPUTED_VALUE"""),"e-mail")</f>
        <v>e-mail</v>
      </c>
      <c r="E305" s="129" t="str">
        <f>IFERROR(__xludf.DUMMYFUNCTION("""COMPUTED_VALUE"""),"wowair@wowair.com")</f>
        <v>wowair@wowair.com</v>
      </c>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row>
    <row r="306">
      <c r="A306" s="31" t="str">
        <f>IFERROR(__xludf.DUMMYFUNCTION("""COMPUTED_VALUE"""),"Xiamen Airlines")</f>
        <v>Xiamen Airlines</v>
      </c>
      <c r="B306" s="127"/>
      <c r="C306" s="128" t="str">
        <f>IFERROR(__xludf.DUMMYFUNCTION("""COMPUTED_VALUE"""),"mf@xiamenair.com")</f>
        <v>mf@xiamenair.com</v>
      </c>
      <c r="D306" s="129" t="str">
        <f>IFERROR(__xludf.DUMMYFUNCTION("""COMPUTED_VALUE"""),"e-mail")</f>
        <v>e-mail</v>
      </c>
      <c r="E306" s="129" t="str">
        <f>IFERROR(__xludf.DUMMYFUNCTION("""COMPUTED_VALUE"""),"mf@xiamenair.com")</f>
        <v>mf@xiamenair.com</v>
      </c>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row>
    <row r="307">
      <c r="A307" s="31" t="str">
        <f>IFERROR(__xludf.DUMMYFUNCTION("""COMPUTED_VALUE"""),"Xfly")</f>
        <v>Xfly</v>
      </c>
      <c r="B307" s="127"/>
      <c r="C307" s="128" t="str">
        <f>IFERROR(__xludf.DUMMYFUNCTION("""COMPUTED_VALUE"""),"commercial@xfly.ee")</f>
        <v>commercial@xfly.ee</v>
      </c>
      <c r="D307" s="129" t="str">
        <f>IFERROR(__xludf.DUMMYFUNCTION("""COMPUTED_VALUE"""),"e-mail")</f>
        <v>e-mail</v>
      </c>
      <c r="E307" s="129" t="str">
        <f>IFERROR(__xludf.DUMMYFUNCTION("""COMPUTED_VALUE"""),"commercial@xfly.ee")</f>
        <v>commercial@xfly.ee</v>
      </c>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row>
    <row r="308">
      <c r="A308" s="31"/>
      <c r="B308" s="127"/>
      <c r="C308" s="128"/>
      <c r="D308" s="129"/>
      <c r="E308" s="129"/>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row>
    <row r="309">
      <c r="A309" s="31"/>
      <c r="B309" s="127"/>
      <c r="C309" s="128"/>
      <c r="D309" s="129"/>
      <c r="E309" s="129"/>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row>
    <row r="310">
      <c r="A310" s="31"/>
      <c r="B310" s="127"/>
      <c r="C310" s="128"/>
      <c r="D310" s="129"/>
      <c r="E310" s="129"/>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row>
    <row r="311">
      <c r="A311" s="31"/>
      <c r="B311" s="127"/>
      <c r="C311" s="128"/>
      <c r="D311" s="129"/>
      <c r="E311" s="129"/>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row>
    <row r="312">
      <c r="A312" s="31"/>
      <c r="B312" s="127"/>
      <c r="C312" s="128"/>
      <c r="D312" s="129"/>
      <c r="E312" s="129"/>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row>
    <row r="313">
      <c r="A313" s="31"/>
      <c r="B313" s="127"/>
      <c r="C313" s="128"/>
      <c r="D313" s="129"/>
      <c r="E313" s="129"/>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row>
    <row r="314">
      <c r="A314" s="31"/>
      <c r="B314" s="127"/>
      <c r="C314" s="128"/>
      <c r="D314" s="129"/>
      <c r="E314" s="129"/>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row>
    <row r="315">
      <c r="A315" s="31"/>
      <c r="B315" s="127"/>
      <c r="C315" s="128"/>
      <c r="D315" s="129"/>
      <c r="E315" s="129"/>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row>
    <row r="316">
      <c r="A316" s="31"/>
      <c r="B316" s="127"/>
      <c r="C316" s="128"/>
      <c r="D316" s="129"/>
      <c r="E316" s="129"/>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row>
    <row r="317">
      <c r="A317" s="31"/>
      <c r="B317" s="127"/>
      <c r="C317" s="128"/>
      <c r="D317" s="129"/>
      <c r="E317" s="129"/>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row>
    <row r="318">
      <c r="A318" s="31"/>
      <c r="B318" s="127"/>
      <c r="C318" s="128"/>
      <c r="D318" s="129"/>
      <c r="E318" s="129"/>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row>
    <row r="319">
      <c r="A319" s="31"/>
      <c r="B319" s="127"/>
      <c r="C319" s="128"/>
      <c r="D319" s="129"/>
      <c r="E319" s="129"/>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row>
    <row r="320">
      <c r="A320" s="31"/>
      <c r="B320" s="127"/>
      <c r="C320" s="128"/>
      <c r="D320" s="129"/>
      <c r="E320" s="129"/>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row>
    <row r="321">
      <c r="A321" s="31"/>
      <c r="B321" s="127"/>
      <c r="C321" s="128"/>
      <c r="D321" s="129"/>
      <c r="E321" s="129"/>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row>
    <row r="322">
      <c r="A322" s="31"/>
      <c r="B322" s="127"/>
      <c r="C322" s="128"/>
      <c r="D322" s="129"/>
      <c r="E322" s="129"/>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row>
    <row r="323">
      <c r="A323" s="31"/>
      <c r="B323" s="127"/>
      <c r="C323" s="128"/>
      <c r="D323" s="129"/>
      <c r="E323" s="129"/>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row>
    <row r="324">
      <c r="A324" s="31"/>
      <c r="B324" s="127"/>
      <c r="C324" s="128"/>
      <c r="D324" s="129"/>
      <c r="E324" s="129"/>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row>
    <row r="325">
      <c r="A325" s="31"/>
      <c r="B325" s="127"/>
      <c r="C325" s="128"/>
      <c r="D325" s="129"/>
      <c r="E325" s="129"/>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row>
    <row r="326">
      <c r="A326" s="31"/>
      <c r="B326" s="127"/>
      <c r="C326" s="128"/>
      <c r="D326" s="129"/>
      <c r="E326" s="129"/>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row>
    <row r="327">
      <c r="A327" s="31"/>
      <c r="B327" s="127"/>
      <c r="C327" s="128"/>
      <c r="D327" s="129"/>
      <c r="E327" s="129"/>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row>
    <row r="328">
      <c r="A328" s="31"/>
      <c r="B328" s="127"/>
      <c r="C328" s="128"/>
      <c r="D328" s="129"/>
      <c r="E328" s="129"/>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row>
    <row r="329">
      <c r="A329" s="31"/>
      <c r="B329" s="127"/>
      <c r="C329" s="128"/>
      <c r="D329" s="129"/>
      <c r="E329" s="129"/>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row>
    <row r="330">
      <c r="A330" s="31"/>
      <c r="B330" s="127"/>
      <c r="C330" s="128"/>
      <c r="D330" s="129"/>
      <c r="E330" s="129"/>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row>
    <row r="331">
      <c r="A331" s="31"/>
      <c r="B331" s="127"/>
      <c r="C331" s="128"/>
      <c r="D331" s="129"/>
      <c r="E331" s="129"/>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row>
    <row r="332">
      <c r="A332" s="31"/>
      <c r="B332" s="127"/>
      <c r="C332" s="128"/>
      <c r="D332" s="129"/>
      <c r="E332" s="129"/>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row>
    <row r="333">
      <c r="A333" s="31"/>
      <c r="B333" s="127"/>
      <c r="C333" s="128"/>
      <c r="D333" s="129"/>
      <c r="E333" s="129"/>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row>
    <row r="334">
      <c r="A334" s="31"/>
      <c r="B334" s="127"/>
      <c r="C334" s="128"/>
      <c r="D334" s="129"/>
      <c r="E334" s="129"/>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row>
    <row r="335">
      <c r="A335" s="31"/>
      <c r="B335" s="127"/>
      <c r="C335" s="128"/>
      <c r="D335" s="129"/>
      <c r="E335" s="129"/>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row>
    <row r="336">
      <c r="A336" s="31"/>
      <c r="B336" s="127"/>
      <c r="C336" s="128"/>
      <c r="D336" s="129"/>
      <c r="E336" s="129"/>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row>
    <row r="337">
      <c r="A337" s="31"/>
      <c r="B337" s="127"/>
      <c r="C337" s="128"/>
      <c r="D337" s="129"/>
      <c r="E337" s="129"/>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row>
    <row r="338">
      <c r="A338" s="31"/>
      <c r="B338" s="127"/>
      <c r="C338" s="128"/>
      <c r="D338" s="129"/>
      <c r="E338" s="129"/>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row>
    <row r="339">
      <c r="A339" s="31"/>
      <c r="B339" s="127"/>
      <c r="C339" s="128"/>
      <c r="D339" s="129"/>
      <c r="E339" s="129"/>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row>
    <row r="340">
      <c r="A340" s="31"/>
      <c r="B340" s="127"/>
      <c r="C340" s="128"/>
      <c r="D340" s="129"/>
      <c r="E340" s="129"/>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row>
    <row r="341">
      <c r="A341" s="31"/>
      <c r="B341" s="127"/>
      <c r="C341" s="128"/>
      <c r="D341" s="129"/>
      <c r="E341" s="129"/>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row>
    <row r="342">
      <c r="A342" s="31"/>
      <c r="B342" s="127"/>
      <c r="C342" s="128"/>
      <c r="D342" s="129"/>
      <c r="E342" s="129"/>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row>
    <row r="343">
      <c r="A343" s="31"/>
      <c r="B343" s="127"/>
      <c r="C343" s="128"/>
      <c r="D343" s="129"/>
      <c r="E343" s="129"/>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row>
    <row r="344">
      <c r="A344" s="31"/>
      <c r="B344" s="127"/>
      <c r="C344" s="128"/>
      <c r="D344" s="129"/>
      <c r="E344" s="129"/>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row>
    <row r="345">
      <c r="A345" s="31"/>
      <c r="B345" s="127"/>
      <c r="C345" s="128"/>
      <c r="D345" s="129"/>
      <c r="E345" s="129"/>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row>
    <row r="346">
      <c r="A346" s="31"/>
      <c r="B346" s="127"/>
      <c r="C346" s="128"/>
      <c r="D346" s="129"/>
      <c r="E346" s="129"/>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row>
    <row r="347">
      <c r="A347" s="31"/>
      <c r="B347" s="127"/>
      <c r="C347" s="128"/>
      <c r="D347" s="129"/>
      <c r="E347" s="129"/>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row>
    <row r="348">
      <c r="A348" s="31"/>
      <c r="B348" s="127"/>
      <c r="C348" s="128"/>
      <c r="D348" s="129"/>
      <c r="E348" s="129"/>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row>
    <row r="349">
      <c r="A349" s="31"/>
      <c r="B349" s="127"/>
      <c r="C349" s="128"/>
      <c r="D349" s="129"/>
      <c r="E349" s="129"/>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row>
    <row r="350">
      <c r="A350" s="31"/>
      <c r="B350" s="127"/>
      <c r="C350" s="128"/>
      <c r="D350" s="129"/>
      <c r="E350" s="129"/>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row>
    <row r="351">
      <c r="A351" s="31"/>
      <c r="B351" s="127"/>
      <c r="C351" s="128"/>
      <c r="D351" s="129"/>
      <c r="E351" s="129"/>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row>
    <row r="352">
      <c r="A352" s="31"/>
      <c r="B352" s="127"/>
      <c r="C352" s="128"/>
      <c r="D352" s="129"/>
      <c r="E352" s="129"/>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row>
    <row r="353">
      <c r="A353" s="31"/>
      <c r="B353" s="127"/>
      <c r="C353" s="128"/>
      <c r="D353" s="129"/>
      <c r="E353" s="129"/>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row>
    <row r="354">
      <c r="A354" s="31"/>
      <c r="B354" s="127"/>
      <c r="C354" s="128"/>
      <c r="D354" s="129"/>
      <c r="E354" s="129"/>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row>
    <row r="355">
      <c r="A355" s="31"/>
      <c r="B355" s="127"/>
      <c r="C355" s="128"/>
      <c r="D355" s="129"/>
      <c r="E355" s="129"/>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row>
    <row r="356">
      <c r="A356" s="31"/>
      <c r="B356" s="127"/>
      <c r="C356" s="128"/>
      <c r="D356" s="129"/>
      <c r="E356" s="129"/>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row>
    <row r="357">
      <c r="A357" s="31"/>
      <c r="B357" s="127"/>
      <c r="C357" s="128"/>
      <c r="D357" s="129"/>
      <c r="E357" s="129"/>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row>
    <row r="358">
      <c r="A358" s="31"/>
      <c r="B358" s="127"/>
      <c r="C358" s="128"/>
      <c r="D358" s="129"/>
      <c r="E358" s="129"/>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row>
    <row r="359">
      <c r="A359" s="31"/>
      <c r="B359" s="127"/>
      <c r="C359" s="128"/>
      <c r="D359" s="129"/>
      <c r="E359" s="129"/>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row>
    <row r="360">
      <c r="A360" s="31"/>
      <c r="B360" s="127"/>
      <c r="C360" s="128"/>
      <c r="D360" s="129"/>
      <c r="E360" s="129"/>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row>
    <row r="361">
      <c r="A361" s="31"/>
      <c r="B361" s="127"/>
      <c r="C361" s="128"/>
      <c r="D361" s="129"/>
      <c r="E361" s="129"/>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row>
    <row r="362">
      <c r="A362" s="31"/>
      <c r="B362" s="127"/>
      <c r="C362" s="128"/>
      <c r="D362" s="129"/>
      <c r="E362" s="129"/>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row>
    <row r="363">
      <c r="A363" s="31"/>
      <c r="B363" s="127"/>
      <c r="C363" s="128"/>
      <c r="D363" s="129"/>
      <c r="E363" s="129"/>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row>
    <row r="364">
      <c r="A364" s="31"/>
      <c r="B364" s="127"/>
      <c r="C364" s="128"/>
      <c r="D364" s="129"/>
      <c r="E364" s="129"/>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row>
    <row r="365">
      <c r="A365" s="31"/>
      <c r="B365" s="127"/>
      <c r="C365" s="128"/>
      <c r="D365" s="129"/>
      <c r="E365" s="129"/>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row>
    <row r="366">
      <c r="A366" s="31"/>
      <c r="B366" s="127"/>
      <c r="C366" s="128"/>
      <c r="D366" s="129"/>
      <c r="E366" s="129"/>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row>
    <row r="367">
      <c r="A367" s="31"/>
      <c r="B367" s="127"/>
      <c r="C367" s="128"/>
      <c r="D367" s="129"/>
      <c r="E367" s="129"/>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row>
    <row r="368">
      <c r="A368" s="31"/>
      <c r="B368" s="127"/>
      <c r="C368" s="128"/>
      <c r="D368" s="129"/>
      <c r="E368" s="129"/>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row>
    <row r="369">
      <c r="A369" s="31"/>
      <c r="B369" s="127"/>
      <c r="C369" s="128"/>
      <c r="D369" s="129"/>
      <c r="E369" s="129"/>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row>
    <row r="370">
      <c r="A370" s="31"/>
      <c r="B370" s="127"/>
      <c r="C370" s="128"/>
      <c r="D370" s="129"/>
      <c r="E370" s="129"/>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row>
    <row r="371">
      <c r="A371" s="31"/>
      <c r="B371" s="127"/>
      <c r="C371" s="128"/>
      <c r="D371" s="129"/>
      <c r="E371" s="129"/>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row>
    <row r="372">
      <c r="A372" s="31"/>
      <c r="B372" s="127"/>
      <c r="C372" s="128"/>
      <c r="D372" s="129"/>
      <c r="E372" s="129"/>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row>
    <row r="373">
      <c r="A373" s="31"/>
      <c r="B373" s="127"/>
      <c r="C373" s="128"/>
      <c r="D373" s="129"/>
      <c r="E373" s="129"/>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row>
    <row r="374">
      <c r="A374" s="31"/>
      <c r="B374" s="127"/>
      <c r="C374" s="128"/>
      <c r="D374" s="129"/>
      <c r="E374" s="129"/>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row>
    <row r="375">
      <c r="A375" s="31"/>
      <c r="B375" s="127"/>
      <c r="C375" s="128"/>
      <c r="D375" s="129"/>
      <c r="E375" s="129"/>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row>
    <row r="376">
      <c r="A376" s="31"/>
      <c r="B376" s="127"/>
      <c r="C376" s="128"/>
      <c r="D376" s="129"/>
      <c r="E376" s="129"/>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row>
    <row r="377">
      <c r="A377" s="31"/>
      <c r="B377" s="127"/>
      <c r="C377" s="128"/>
      <c r="D377" s="129"/>
      <c r="E377" s="129"/>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row>
    <row r="378">
      <c r="A378" s="31"/>
      <c r="B378" s="127"/>
      <c r="C378" s="128"/>
      <c r="D378" s="129"/>
      <c r="E378" s="129"/>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row>
    <row r="379">
      <c r="A379" s="31"/>
      <c r="B379" s="127"/>
      <c r="C379" s="128"/>
      <c r="D379" s="129"/>
      <c r="E379" s="129"/>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row>
    <row r="380">
      <c r="A380" s="31"/>
      <c r="B380" s="127"/>
      <c r="C380" s="128"/>
      <c r="D380" s="129"/>
      <c r="E380" s="129"/>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row>
    <row r="381">
      <c r="A381" s="31"/>
      <c r="B381" s="127"/>
      <c r="C381" s="128"/>
      <c r="D381" s="129"/>
      <c r="E381" s="129"/>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row>
    <row r="382">
      <c r="A382" s="31"/>
      <c r="B382" s="127"/>
      <c r="C382" s="128"/>
      <c r="D382" s="129"/>
      <c r="E382" s="129"/>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row>
    <row r="383">
      <c r="A383" s="31"/>
      <c r="B383" s="127"/>
      <c r="C383" s="128"/>
      <c r="D383" s="129"/>
      <c r="E383" s="129"/>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row>
    <row r="384">
      <c r="A384" s="31"/>
      <c r="B384" s="127"/>
      <c r="C384" s="128"/>
      <c r="D384" s="129"/>
      <c r="E384" s="129"/>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row>
    <row r="385">
      <c r="A385" s="31"/>
      <c r="B385" s="127"/>
      <c r="C385" s="128"/>
      <c r="D385" s="129"/>
      <c r="E385" s="129"/>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row>
    <row r="386">
      <c r="A386" s="31"/>
      <c r="B386" s="127"/>
      <c r="C386" s="128"/>
      <c r="D386" s="129"/>
      <c r="E386" s="129"/>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row>
    <row r="387">
      <c r="A387" s="31"/>
      <c r="B387" s="127"/>
      <c r="C387" s="128"/>
      <c r="D387" s="129"/>
      <c r="E387" s="129"/>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row>
    <row r="388">
      <c r="A388" s="31"/>
      <c r="B388" s="127"/>
      <c r="C388" s="128"/>
      <c r="D388" s="129"/>
      <c r="E388" s="129"/>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row>
    <row r="389">
      <c r="A389" s="31"/>
      <c r="B389" s="127"/>
      <c r="C389" s="128"/>
      <c r="D389" s="129"/>
      <c r="E389" s="129"/>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row>
    <row r="390">
      <c r="A390" s="31"/>
      <c r="B390" s="127"/>
      <c r="C390" s="128"/>
      <c r="D390" s="129"/>
      <c r="E390" s="129"/>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row>
    <row r="391">
      <c r="A391" s="31"/>
      <c r="B391" s="127"/>
      <c r="C391" s="128"/>
      <c r="D391" s="129"/>
      <c r="E391" s="129"/>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row>
    <row r="392">
      <c r="A392" s="31"/>
      <c r="B392" s="127"/>
      <c r="C392" s="128"/>
      <c r="D392" s="129"/>
      <c r="E392" s="129"/>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row>
    <row r="393">
      <c r="A393" s="31"/>
      <c r="B393" s="127"/>
      <c r="C393" s="128"/>
      <c r="D393" s="129"/>
      <c r="E393" s="129"/>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row>
    <row r="394">
      <c r="A394" s="31"/>
      <c r="B394" s="127"/>
      <c r="C394" s="128"/>
      <c r="D394" s="129"/>
      <c r="E394" s="129"/>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row>
    <row r="395">
      <c r="A395" s="31"/>
      <c r="B395" s="127"/>
      <c r="C395" s="128"/>
      <c r="D395" s="129"/>
      <c r="E395" s="129"/>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row>
    <row r="396">
      <c r="A396" s="31"/>
      <c r="B396" s="127"/>
      <c r="C396" s="128"/>
      <c r="D396" s="129"/>
      <c r="E396" s="129"/>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row>
    <row r="397">
      <c r="A397" s="31"/>
      <c r="B397" s="127"/>
      <c r="C397" s="128"/>
      <c r="D397" s="129"/>
      <c r="E397" s="129"/>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row>
    <row r="398">
      <c r="A398" s="31"/>
      <c r="B398" s="127"/>
      <c r="C398" s="128"/>
      <c r="D398" s="129"/>
      <c r="E398" s="129"/>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row>
    <row r="399">
      <c r="A399" s="31"/>
      <c r="B399" s="127"/>
      <c r="C399" s="128"/>
      <c r="D399" s="129"/>
      <c r="E399" s="129"/>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row>
    <row r="400">
      <c r="A400" s="31"/>
      <c r="B400" s="127"/>
      <c r="C400" s="128"/>
      <c r="D400" s="129"/>
      <c r="E400" s="129"/>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row>
    <row r="401">
      <c r="A401" s="31"/>
      <c r="B401" s="127"/>
      <c r="C401" s="128"/>
      <c r="D401" s="129"/>
      <c r="E401" s="129"/>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row>
    <row r="402">
      <c r="A402" s="31"/>
      <c r="B402" s="127"/>
      <c r="C402" s="128"/>
      <c r="D402" s="129"/>
      <c r="E402" s="129"/>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row>
    <row r="403">
      <c r="A403" s="31"/>
      <c r="B403" s="127"/>
      <c r="C403" s="128"/>
      <c r="D403" s="129"/>
      <c r="E403" s="129"/>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row>
    <row r="404">
      <c r="A404" s="31"/>
      <c r="B404" s="127"/>
      <c r="C404" s="128"/>
      <c r="D404" s="129"/>
      <c r="E404" s="129"/>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row>
    <row r="405">
      <c r="A405" s="31"/>
      <c r="B405" s="127"/>
      <c r="C405" s="128"/>
      <c r="D405" s="129"/>
      <c r="E405" s="129"/>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row>
    <row r="406">
      <c r="A406" s="31"/>
      <c r="B406" s="127"/>
      <c r="C406" s="128"/>
      <c r="D406" s="129"/>
      <c r="E406" s="129"/>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row>
    <row r="407">
      <c r="A407" s="31"/>
      <c r="B407" s="127"/>
      <c r="C407" s="128"/>
      <c r="D407" s="129"/>
      <c r="E407" s="129"/>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row>
    <row r="408">
      <c r="A408" s="31"/>
      <c r="B408" s="127"/>
      <c r="C408" s="128"/>
      <c r="D408" s="129"/>
      <c r="E408" s="129"/>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row>
    <row r="409">
      <c r="A409" s="31"/>
      <c r="B409" s="127"/>
      <c r="C409" s="128"/>
      <c r="D409" s="129"/>
      <c r="E409" s="129"/>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row>
    <row r="410">
      <c r="A410" s="31"/>
      <c r="B410" s="127"/>
      <c r="C410" s="128"/>
      <c r="D410" s="129"/>
      <c r="E410" s="129"/>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row>
    <row r="411">
      <c r="A411" s="31"/>
      <c r="B411" s="127"/>
      <c r="C411" s="128"/>
      <c r="D411" s="129"/>
      <c r="E411" s="129"/>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row>
    <row r="412">
      <c r="A412" s="31"/>
      <c r="B412" s="127"/>
      <c r="C412" s="128"/>
      <c r="D412" s="129"/>
      <c r="E412" s="129"/>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row>
    <row r="413">
      <c r="A413" s="31"/>
      <c r="B413" s="127"/>
      <c r="C413" s="128"/>
      <c r="D413" s="129"/>
      <c r="E413" s="129"/>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row>
    <row r="414">
      <c r="A414" s="31"/>
      <c r="B414" s="127"/>
      <c r="C414" s="128"/>
      <c r="D414" s="129"/>
      <c r="E414" s="129"/>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row>
    <row r="415">
      <c r="A415" s="31"/>
      <c r="B415" s="127"/>
      <c r="C415" s="128"/>
      <c r="D415" s="129"/>
      <c r="E415" s="129"/>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row>
    <row r="416">
      <c r="A416" s="31"/>
      <c r="B416" s="127"/>
      <c r="C416" s="128"/>
      <c r="D416" s="129"/>
      <c r="E416" s="129"/>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row>
    <row r="417">
      <c r="A417" s="31"/>
      <c r="B417" s="127"/>
      <c r="C417" s="128"/>
      <c r="D417" s="129"/>
      <c r="E417" s="129"/>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row>
    <row r="418">
      <c r="A418" s="31"/>
      <c r="B418" s="127"/>
      <c r="C418" s="128"/>
      <c r="D418" s="129"/>
      <c r="E418" s="129"/>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row>
    <row r="419">
      <c r="A419" s="31"/>
      <c r="B419" s="127"/>
      <c r="C419" s="128"/>
      <c r="D419" s="129"/>
      <c r="E419" s="129"/>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row>
    <row r="420">
      <c r="A420" s="31"/>
      <c r="B420" s="127"/>
      <c r="C420" s="128"/>
      <c r="D420" s="129"/>
      <c r="E420" s="129"/>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row>
    <row r="421">
      <c r="A421" s="31"/>
      <c r="B421" s="127"/>
      <c r="C421" s="128"/>
      <c r="D421" s="129"/>
      <c r="E421" s="129"/>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row>
    <row r="422">
      <c r="A422" s="31"/>
      <c r="B422" s="127"/>
      <c r="C422" s="128"/>
      <c r="D422" s="129"/>
      <c r="E422" s="129"/>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row>
    <row r="423">
      <c r="A423" s="31"/>
      <c r="B423" s="127"/>
      <c r="C423" s="128"/>
      <c r="D423" s="129"/>
      <c r="E423" s="129"/>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row>
    <row r="424">
      <c r="A424" s="31"/>
      <c r="B424" s="127"/>
      <c r="C424" s="128"/>
      <c r="D424" s="129"/>
      <c r="E424" s="129"/>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row>
    <row r="425">
      <c r="A425" s="31"/>
      <c r="B425" s="127"/>
      <c r="C425" s="128"/>
      <c r="D425" s="129"/>
      <c r="E425" s="129"/>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row>
    <row r="426">
      <c r="A426" s="31"/>
      <c r="B426" s="127"/>
      <c r="C426" s="128"/>
      <c r="D426" s="129"/>
      <c r="E426" s="129"/>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row>
    <row r="427">
      <c r="A427" s="31"/>
      <c r="B427" s="127"/>
      <c r="C427" s="128"/>
      <c r="D427" s="129"/>
      <c r="E427" s="129"/>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row>
    <row r="428">
      <c r="A428" s="31"/>
      <c r="B428" s="127"/>
      <c r="C428" s="128"/>
      <c r="D428" s="129"/>
      <c r="E428" s="129"/>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row>
    <row r="429">
      <c r="A429" s="31"/>
      <c r="B429" s="127"/>
      <c r="C429" s="128"/>
      <c r="D429" s="129"/>
      <c r="E429" s="129"/>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row>
    <row r="430">
      <c r="A430" s="31"/>
      <c r="B430" s="127"/>
      <c r="C430" s="128"/>
      <c r="D430" s="129"/>
      <c r="E430" s="129"/>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row>
    <row r="431">
      <c r="A431" s="31"/>
      <c r="B431" s="127"/>
      <c r="C431" s="128"/>
      <c r="D431" s="129"/>
      <c r="E431" s="129"/>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row>
    <row r="432">
      <c r="A432" s="31"/>
      <c r="B432" s="127"/>
      <c r="C432" s="128"/>
      <c r="D432" s="129"/>
      <c r="E432" s="129"/>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row>
    <row r="433">
      <c r="A433" s="31"/>
      <c r="B433" s="127"/>
      <c r="C433" s="128"/>
      <c r="D433" s="129"/>
      <c r="E433" s="129"/>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row>
    <row r="434">
      <c r="A434" s="31"/>
      <c r="B434" s="127"/>
      <c r="C434" s="128"/>
      <c r="D434" s="129"/>
      <c r="E434" s="129"/>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row>
    <row r="435">
      <c r="A435" s="31"/>
      <c r="B435" s="127"/>
      <c r="C435" s="128"/>
      <c r="D435" s="129"/>
      <c r="E435" s="129"/>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row>
    <row r="436">
      <c r="A436" s="31"/>
      <c r="B436" s="127"/>
      <c r="C436" s="128"/>
      <c r="D436" s="129"/>
      <c r="E436" s="129"/>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row>
    <row r="437">
      <c r="A437" s="31"/>
      <c r="B437" s="127"/>
      <c r="C437" s="128"/>
      <c r="D437" s="129"/>
      <c r="E437" s="129"/>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row>
    <row r="438">
      <c r="A438" s="31"/>
      <c r="B438" s="127"/>
      <c r="C438" s="128"/>
      <c r="D438" s="129"/>
      <c r="E438" s="129"/>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row>
    <row r="439">
      <c r="A439" s="31"/>
      <c r="B439" s="127"/>
      <c r="C439" s="128"/>
      <c r="D439" s="129"/>
      <c r="E439" s="129"/>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row>
    <row r="440">
      <c r="A440" s="31"/>
      <c r="B440" s="127"/>
      <c r="C440" s="128"/>
      <c r="D440" s="129"/>
      <c r="E440" s="129"/>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row>
    <row r="441">
      <c r="A441" s="31"/>
      <c r="B441" s="127"/>
      <c r="C441" s="128"/>
      <c r="D441" s="129"/>
      <c r="E441" s="129"/>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row>
    <row r="442">
      <c r="A442" s="31"/>
      <c r="B442" s="127"/>
      <c r="C442" s="128"/>
      <c r="D442" s="129"/>
      <c r="E442" s="129"/>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row>
    <row r="443">
      <c r="A443" s="31"/>
      <c r="B443" s="127"/>
      <c r="C443" s="128"/>
      <c r="D443" s="129"/>
      <c r="E443" s="129"/>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row>
    <row r="444">
      <c r="A444" s="31"/>
      <c r="B444" s="127"/>
      <c r="C444" s="128"/>
      <c r="D444" s="129"/>
      <c r="E444" s="129"/>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row>
    <row r="445">
      <c r="A445" s="31"/>
      <c r="B445" s="127"/>
      <c r="C445" s="128"/>
      <c r="D445" s="129"/>
      <c r="E445" s="129"/>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row>
    <row r="446">
      <c r="A446" s="31"/>
      <c r="B446" s="127"/>
      <c r="C446" s="128"/>
      <c r="D446" s="129"/>
      <c r="E446" s="129"/>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row>
    <row r="447">
      <c r="A447" s="31"/>
      <c r="B447" s="127"/>
      <c r="C447" s="128"/>
      <c r="D447" s="129"/>
      <c r="E447" s="129"/>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row>
    <row r="448">
      <c r="A448" s="31"/>
      <c r="B448" s="127"/>
      <c r="C448" s="128"/>
      <c r="D448" s="129"/>
      <c r="E448" s="129"/>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row>
    <row r="449">
      <c r="A449" s="31"/>
      <c r="B449" s="127"/>
      <c r="C449" s="128"/>
      <c r="D449" s="129"/>
      <c r="E449" s="129"/>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row>
    <row r="450">
      <c r="A450" s="31"/>
      <c r="B450" s="127"/>
      <c r="C450" s="128"/>
      <c r="D450" s="129"/>
      <c r="E450" s="129"/>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row>
    <row r="451">
      <c r="A451" s="31"/>
      <c r="B451" s="127"/>
      <c r="C451" s="128"/>
      <c r="D451" s="129"/>
      <c r="E451" s="129"/>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row>
    <row r="452">
      <c r="A452" s="31"/>
      <c r="B452" s="127"/>
      <c r="C452" s="128"/>
      <c r="D452" s="129"/>
      <c r="E452" s="129"/>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row>
    <row r="453">
      <c r="A453" s="31"/>
      <c r="B453" s="127"/>
      <c r="C453" s="128"/>
      <c r="D453" s="129"/>
      <c r="E453" s="129"/>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row>
    <row r="454">
      <c r="A454" s="31"/>
      <c r="B454" s="127"/>
      <c r="C454" s="128"/>
      <c r="D454" s="129"/>
      <c r="E454" s="129"/>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row>
    <row r="455">
      <c r="A455" s="31"/>
      <c r="B455" s="127"/>
      <c r="C455" s="128"/>
      <c r="D455" s="129"/>
      <c r="E455" s="129"/>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row>
    <row r="456">
      <c r="A456" s="31"/>
      <c r="B456" s="127"/>
      <c r="C456" s="128"/>
      <c r="D456" s="129"/>
      <c r="E456" s="129"/>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row>
    <row r="457">
      <c r="A457" s="31"/>
      <c r="B457" s="127"/>
      <c r="C457" s="128"/>
      <c r="D457" s="129"/>
      <c r="E457" s="129"/>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row>
    <row r="458">
      <c r="A458" s="31"/>
      <c r="B458" s="127"/>
      <c r="C458" s="128"/>
      <c r="D458" s="129"/>
      <c r="E458" s="129"/>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row>
    <row r="459">
      <c r="A459" s="31"/>
      <c r="B459" s="127"/>
      <c r="C459" s="128"/>
      <c r="D459" s="129"/>
      <c r="E459" s="129"/>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row>
    <row r="460">
      <c r="A460" s="31"/>
      <c r="B460" s="127"/>
      <c r="C460" s="128"/>
      <c r="D460" s="129"/>
      <c r="E460" s="129"/>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row>
    <row r="461">
      <c r="A461" s="31"/>
      <c r="B461" s="127"/>
      <c r="C461" s="128"/>
      <c r="D461" s="129"/>
      <c r="E461" s="129"/>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row>
    <row r="462">
      <c r="A462" s="31"/>
      <c r="B462" s="127"/>
      <c r="C462" s="128"/>
      <c r="D462" s="129"/>
      <c r="E462" s="129"/>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row>
    <row r="463">
      <c r="A463" s="31"/>
      <c r="B463" s="127"/>
      <c r="C463" s="128"/>
      <c r="D463" s="129"/>
      <c r="E463" s="129"/>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row>
    <row r="464">
      <c r="A464" s="31"/>
      <c r="B464" s="127"/>
      <c r="C464" s="128"/>
      <c r="D464" s="129"/>
      <c r="E464" s="129"/>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row>
    <row r="465">
      <c r="A465" s="31"/>
      <c r="B465" s="127"/>
      <c r="C465" s="128"/>
      <c r="D465" s="129"/>
      <c r="E465" s="129"/>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row>
    <row r="466">
      <c r="A466" s="31"/>
      <c r="B466" s="127"/>
      <c r="C466" s="128"/>
      <c r="D466" s="129"/>
      <c r="E466" s="129"/>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row>
    <row r="467">
      <c r="A467" s="31"/>
      <c r="B467" s="127"/>
      <c r="C467" s="128"/>
      <c r="D467" s="129"/>
      <c r="E467" s="129"/>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row>
    <row r="468">
      <c r="A468" s="31"/>
      <c r="B468" s="127"/>
      <c r="C468" s="128"/>
      <c r="D468" s="129"/>
      <c r="E468" s="129"/>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row>
    <row r="469">
      <c r="A469" s="31"/>
      <c r="B469" s="127"/>
      <c r="C469" s="128"/>
      <c r="D469" s="129"/>
      <c r="E469" s="129"/>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row>
    <row r="470">
      <c r="A470" s="31"/>
      <c r="B470" s="127"/>
      <c r="C470" s="128"/>
      <c r="D470" s="129"/>
      <c r="E470" s="129"/>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row>
    <row r="471">
      <c r="A471" s="31"/>
      <c r="B471" s="127"/>
      <c r="C471" s="128"/>
      <c r="D471" s="129"/>
      <c r="E471" s="129"/>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row>
    <row r="472">
      <c r="A472" s="31"/>
      <c r="B472" s="127"/>
      <c r="C472" s="128"/>
      <c r="D472" s="129"/>
      <c r="E472" s="129"/>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row>
    <row r="473">
      <c r="A473" s="31"/>
      <c r="B473" s="127"/>
      <c r="C473" s="128"/>
      <c r="D473" s="129"/>
      <c r="E473" s="129"/>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row>
    <row r="474">
      <c r="A474" s="31"/>
      <c r="B474" s="127"/>
      <c r="C474" s="128"/>
      <c r="D474" s="129"/>
      <c r="E474" s="129"/>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row>
    <row r="475">
      <c r="A475" s="31"/>
      <c r="B475" s="127"/>
      <c r="C475" s="128"/>
      <c r="D475" s="129"/>
      <c r="E475" s="129"/>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row>
    <row r="476">
      <c r="A476" s="31"/>
      <c r="B476" s="127"/>
      <c r="C476" s="128"/>
      <c r="D476" s="129"/>
      <c r="E476" s="129"/>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row>
    <row r="477">
      <c r="A477" s="31"/>
      <c r="B477" s="127"/>
      <c r="C477" s="128"/>
      <c r="D477" s="129"/>
      <c r="E477" s="129"/>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row>
    <row r="478">
      <c r="A478" s="31"/>
      <c r="B478" s="127"/>
      <c r="C478" s="128"/>
      <c r="D478" s="129"/>
      <c r="E478" s="129"/>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row>
    <row r="479">
      <c r="A479" s="31"/>
      <c r="B479" s="127"/>
      <c r="C479" s="128"/>
      <c r="D479" s="129"/>
      <c r="E479" s="129"/>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row>
    <row r="480">
      <c r="A480" s="31"/>
      <c r="B480" s="127"/>
      <c r="C480" s="128"/>
      <c r="D480" s="129"/>
      <c r="E480" s="129"/>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row>
    <row r="481">
      <c r="A481" s="31"/>
      <c r="B481" s="127"/>
      <c r="C481" s="128"/>
      <c r="D481" s="129"/>
      <c r="E481" s="129"/>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row>
    <row r="482">
      <c r="A482" s="31"/>
      <c r="B482" s="127"/>
      <c r="C482" s="128"/>
      <c r="D482" s="129"/>
      <c r="E482" s="129"/>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row>
    <row r="483">
      <c r="A483" s="31"/>
      <c r="B483" s="127"/>
      <c r="C483" s="128"/>
      <c r="D483" s="129"/>
      <c r="E483" s="129"/>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row>
    <row r="484">
      <c r="A484" s="31"/>
      <c r="B484" s="127"/>
      <c r="C484" s="128"/>
      <c r="D484" s="129"/>
      <c r="E484" s="129"/>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row>
    <row r="485">
      <c r="A485" s="31"/>
      <c r="B485" s="127"/>
      <c r="C485" s="128"/>
      <c r="D485" s="129"/>
      <c r="E485" s="129"/>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row>
    <row r="486">
      <c r="A486" s="31"/>
      <c r="B486" s="127"/>
      <c r="C486" s="128"/>
      <c r="D486" s="129"/>
      <c r="E486" s="129"/>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row>
    <row r="487">
      <c r="A487" s="31"/>
      <c r="B487" s="127"/>
      <c r="C487" s="128"/>
      <c r="D487" s="129"/>
      <c r="E487" s="129"/>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row>
    <row r="488">
      <c r="A488" s="31"/>
      <c r="B488" s="127"/>
      <c r="C488" s="128"/>
      <c r="D488" s="129"/>
      <c r="E488" s="129"/>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row>
    <row r="489">
      <c r="A489" s="31"/>
      <c r="B489" s="127"/>
      <c r="C489" s="128"/>
      <c r="D489" s="129"/>
      <c r="E489" s="129"/>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row>
    <row r="490">
      <c r="A490" s="31"/>
      <c r="B490" s="127"/>
      <c r="C490" s="128"/>
      <c r="D490" s="129"/>
      <c r="E490" s="129"/>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row>
    <row r="491">
      <c r="A491" s="31"/>
      <c r="B491" s="127"/>
      <c r="C491" s="128"/>
      <c r="D491" s="129"/>
      <c r="E491" s="129"/>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row>
    <row r="492">
      <c r="A492" s="31"/>
      <c r="B492" s="127"/>
      <c r="C492" s="128"/>
      <c r="D492" s="129"/>
      <c r="E492" s="129"/>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row>
    <row r="493">
      <c r="A493" s="31"/>
      <c r="B493" s="127"/>
      <c r="C493" s="128"/>
      <c r="D493" s="129"/>
      <c r="E493" s="129"/>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row>
    <row r="494">
      <c r="A494" s="31"/>
      <c r="B494" s="127"/>
      <c r="C494" s="128"/>
      <c r="D494" s="129"/>
      <c r="E494" s="129"/>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row>
    <row r="495">
      <c r="A495" s="31"/>
      <c r="B495" s="127"/>
      <c r="C495" s="128"/>
      <c r="D495" s="129"/>
      <c r="E495" s="129"/>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row>
    <row r="496">
      <c r="A496" s="31"/>
      <c r="B496" s="127"/>
      <c r="C496" s="128"/>
      <c r="D496" s="129"/>
      <c r="E496" s="129"/>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row>
    <row r="497">
      <c r="A497" s="31"/>
      <c r="B497" s="127"/>
      <c r="C497" s="128"/>
      <c r="D497" s="129"/>
      <c r="E497" s="129"/>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row>
    <row r="498">
      <c r="A498" s="31"/>
      <c r="B498" s="127"/>
      <c r="C498" s="128"/>
      <c r="D498" s="129"/>
      <c r="E498" s="129"/>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row>
    <row r="499">
      <c r="A499" s="31"/>
      <c r="B499" s="127"/>
      <c r="C499" s="128"/>
      <c r="D499" s="129"/>
      <c r="E499" s="129"/>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row>
    <row r="500">
      <c r="A500" s="31"/>
      <c r="B500" s="127"/>
      <c r="C500" s="128"/>
      <c r="D500" s="129"/>
      <c r="E500" s="129"/>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row>
    <row r="501">
      <c r="A501" s="31"/>
      <c r="B501" s="127"/>
      <c r="C501" s="128"/>
      <c r="D501" s="129"/>
      <c r="E501" s="129"/>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row>
    <row r="502">
      <c r="A502" s="31"/>
      <c r="B502" s="127"/>
      <c r="C502" s="128"/>
      <c r="D502" s="129"/>
      <c r="E502" s="129"/>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row>
    <row r="503">
      <c r="A503" s="31"/>
      <c r="B503" s="127"/>
      <c r="C503" s="128"/>
      <c r="D503" s="129"/>
      <c r="E503" s="129"/>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row>
    <row r="504">
      <c r="A504" s="31"/>
      <c r="B504" s="127"/>
      <c r="C504" s="128"/>
      <c r="D504" s="129"/>
      <c r="E504" s="129"/>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row>
    <row r="505">
      <c r="A505" s="31"/>
      <c r="B505" s="127"/>
      <c r="C505" s="128"/>
      <c r="D505" s="129"/>
      <c r="E505" s="129"/>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row>
    <row r="506">
      <c r="A506" s="31"/>
      <c r="B506" s="127"/>
      <c r="C506" s="128"/>
      <c r="D506" s="129"/>
      <c r="E506" s="129"/>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row>
    <row r="507">
      <c r="A507" s="31"/>
      <c r="B507" s="127"/>
      <c r="C507" s="128"/>
      <c r="D507" s="129"/>
      <c r="E507" s="129"/>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row>
    <row r="508">
      <c r="A508" s="31"/>
      <c r="B508" s="127"/>
      <c r="C508" s="128"/>
      <c r="D508" s="129"/>
      <c r="E508" s="129"/>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row>
    <row r="509">
      <c r="A509" s="31"/>
      <c r="B509" s="127"/>
      <c r="C509" s="128"/>
      <c r="D509" s="129"/>
      <c r="E509" s="129"/>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row>
    <row r="510">
      <c r="A510" s="31"/>
      <c r="B510" s="127"/>
      <c r="C510" s="128"/>
      <c r="D510" s="129"/>
      <c r="E510" s="129"/>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row>
    <row r="511">
      <c r="A511" s="31"/>
      <c r="B511" s="127"/>
      <c r="C511" s="128"/>
      <c r="D511" s="129"/>
      <c r="E511" s="129"/>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row>
    <row r="512">
      <c r="A512" s="31"/>
      <c r="B512" s="127"/>
      <c r="C512" s="128"/>
      <c r="D512" s="129"/>
      <c r="E512" s="129"/>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row>
    <row r="513">
      <c r="A513" s="31"/>
      <c r="B513" s="127"/>
      <c r="C513" s="128"/>
      <c r="D513" s="129"/>
      <c r="E513" s="129"/>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row>
    <row r="514">
      <c r="A514" s="31"/>
      <c r="B514" s="127"/>
      <c r="C514" s="128"/>
      <c r="D514" s="129"/>
      <c r="E514" s="129"/>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row>
    <row r="515">
      <c r="A515" s="31"/>
      <c r="B515" s="127"/>
      <c r="C515" s="128"/>
      <c r="D515" s="129"/>
      <c r="E515" s="129"/>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row>
    <row r="516">
      <c r="A516" s="31"/>
      <c r="B516" s="127"/>
      <c r="C516" s="128"/>
      <c r="D516" s="129"/>
      <c r="E516" s="129"/>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row>
    <row r="517">
      <c r="A517" s="31"/>
      <c r="B517" s="127"/>
      <c r="C517" s="128"/>
      <c r="D517" s="129"/>
      <c r="E517" s="129"/>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row>
    <row r="518">
      <c r="A518" s="31"/>
      <c r="B518" s="127"/>
      <c r="C518" s="128"/>
      <c r="D518" s="129"/>
      <c r="E518" s="129"/>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row>
    <row r="519">
      <c r="A519" s="31"/>
      <c r="B519" s="127"/>
      <c r="C519" s="128"/>
      <c r="D519" s="129"/>
      <c r="E519" s="129"/>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row>
    <row r="520">
      <c r="A520" s="31"/>
      <c r="B520" s="127"/>
      <c r="C520" s="128"/>
      <c r="D520" s="129"/>
      <c r="E520" s="129"/>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row>
    <row r="521">
      <c r="A521" s="31"/>
      <c r="B521" s="127"/>
      <c r="C521" s="128"/>
      <c r="D521" s="129"/>
      <c r="E521" s="129"/>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row>
    <row r="522">
      <c r="A522" s="31"/>
      <c r="B522" s="127"/>
      <c r="C522" s="128"/>
      <c r="D522" s="129"/>
      <c r="E522" s="129"/>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row>
    <row r="523">
      <c r="A523" s="31"/>
      <c r="B523" s="127"/>
      <c r="C523" s="128"/>
      <c r="D523" s="129"/>
      <c r="E523" s="129"/>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row>
    <row r="524">
      <c r="A524" s="31"/>
      <c r="B524" s="127"/>
      <c r="C524" s="128"/>
      <c r="D524" s="129"/>
      <c r="E524" s="129"/>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row>
    <row r="525">
      <c r="A525" s="31"/>
      <c r="B525" s="127"/>
      <c r="C525" s="128"/>
      <c r="D525" s="129"/>
      <c r="E525" s="129"/>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row>
    <row r="526">
      <c r="A526" s="31"/>
      <c r="B526" s="127"/>
      <c r="C526" s="128"/>
      <c r="D526" s="129"/>
      <c r="E526" s="129"/>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row>
    <row r="527">
      <c r="A527" s="31"/>
      <c r="B527" s="127"/>
      <c r="C527" s="128"/>
      <c r="D527" s="129"/>
      <c r="E527" s="129"/>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row>
    <row r="528">
      <c r="A528" s="31"/>
      <c r="B528" s="127"/>
      <c r="C528" s="128"/>
      <c r="D528" s="129"/>
      <c r="E528" s="129"/>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row>
    <row r="529">
      <c r="A529" s="31"/>
      <c r="B529" s="127"/>
      <c r="C529" s="128"/>
      <c r="D529" s="129"/>
      <c r="E529" s="129"/>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row>
    <row r="530">
      <c r="A530" s="31"/>
      <c r="B530" s="127"/>
      <c r="C530" s="128"/>
      <c r="D530" s="129"/>
      <c r="E530" s="129"/>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row>
    <row r="531">
      <c r="A531" s="31"/>
      <c r="B531" s="127"/>
      <c r="C531" s="128"/>
      <c r="D531" s="129"/>
      <c r="E531" s="129"/>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row>
    <row r="532">
      <c r="A532" s="31"/>
      <c r="B532" s="127"/>
      <c r="C532" s="128"/>
      <c r="D532" s="129"/>
      <c r="E532" s="129"/>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row>
    <row r="533">
      <c r="A533" s="31"/>
      <c r="B533" s="127"/>
      <c r="C533" s="128"/>
      <c r="D533" s="129"/>
      <c r="E533" s="129"/>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row>
    <row r="534">
      <c r="A534" s="31"/>
      <c r="B534" s="127"/>
      <c r="C534" s="128"/>
      <c r="D534" s="129"/>
      <c r="E534" s="129"/>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row>
    <row r="535">
      <c r="A535" s="31"/>
      <c r="B535" s="127"/>
      <c r="C535" s="128"/>
      <c r="D535" s="129"/>
      <c r="E535" s="129"/>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row>
    <row r="536">
      <c r="A536" s="31"/>
      <c r="B536" s="127"/>
      <c r="C536" s="128"/>
      <c r="D536" s="129"/>
      <c r="E536" s="129"/>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row>
    <row r="537">
      <c r="A537" s="31"/>
      <c r="B537" s="127"/>
      <c r="C537" s="128"/>
      <c r="D537" s="129"/>
      <c r="E537" s="129"/>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row>
    <row r="538">
      <c r="A538" s="31"/>
      <c r="B538" s="127"/>
      <c r="C538" s="128"/>
      <c r="D538" s="129"/>
      <c r="E538" s="129"/>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row>
    <row r="539">
      <c r="A539" s="31"/>
      <c r="B539" s="127"/>
      <c r="C539" s="128"/>
      <c r="D539" s="129"/>
      <c r="E539" s="129"/>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row>
    <row r="540">
      <c r="A540" s="31"/>
      <c r="B540" s="127"/>
      <c r="C540" s="128"/>
      <c r="D540" s="129"/>
      <c r="E540" s="129"/>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row>
    <row r="541">
      <c r="A541" s="31"/>
      <c r="B541" s="127"/>
      <c r="C541" s="128"/>
      <c r="D541" s="129"/>
      <c r="E541" s="129"/>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row>
    <row r="542">
      <c r="A542" s="31"/>
      <c r="B542" s="127"/>
      <c r="C542" s="128"/>
      <c r="D542" s="129"/>
      <c r="E542" s="129"/>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row>
    <row r="543">
      <c r="A543" s="31"/>
      <c r="B543" s="127"/>
      <c r="C543" s="128"/>
      <c r="D543" s="129"/>
      <c r="E543" s="129"/>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row>
    <row r="544">
      <c r="A544" s="31"/>
      <c r="B544" s="127"/>
      <c r="C544" s="128"/>
      <c r="D544" s="129"/>
      <c r="E544" s="129"/>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row>
    <row r="545">
      <c r="A545" s="31"/>
      <c r="B545" s="127"/>
      <c r="C545" s="128"/>
      <c r="D545" s="129"/>
      <c r="E545" s="129"/>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row>
    <row r="546">
      <c r="A546" s="31"/>
      <c r="B546" s="127"/>
      <c r="C546" s="128"/>
      <c r="D546" s="129"/>
      <c r="E546" s="129"/>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row>
    <row r="547">
      <c r="A547" s="31"/>
      <c r="B547" s="127"/>
      <c r="C547" s="128"/>
      <c r="D547" s="129"/>
      <c r="E547" s="129"/>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row>
    <row r="548">
      <c r="A548" s="31"/>
      <c r="B548" s="127"/>
      <c r="C548" s="128"/>
      <c r="D548" s="129"/>
      <c r="E548" s="129"/>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row>
    <row r="549">
      <c r="A549" s="31"/>
      <c r="B549" s="127"/>
      <c r="C549" s="128"/>
      <c r="D549" s="129"/>
      <c r="E549" s="129"/>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row>
    <row r="550">
      <c r="A550" s="31"/>
      <c r="B550" s="127"/>
      <c r="C550" s="128"/>
      <c r="D550" s="129"/>
      <c r="E550" s="129"/>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row>
    <row r="551">
      <c r="A551" s="31"/>
      <c r="B551" s="127"/>
      <c r="C551" s="128"/>
      <c r="D551" s="129"/>
      <c r="E551" s="129"/>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row>
    <row r="552">
      <c r="A552" s="31"/>
      <c r="B552" s="127"/>
      <c r="C552" s="128"/>
      <c r="D552" s="129"/>
      <c r="E552" s="129"/>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row>
    <row r="553">
      <c r="A553" s="31"/>
      <c r="B553" s="127"/>
      <c r="C553" s="128"/>
      <c r="D553" s="129"/>
      <c r="E553" s="129"/>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row>
    <row r="554">
      <c r="A554" s="31"/>
      <c r="B554" s="127"/>
      <c r="C554" s="128"/>
      <c r="D554" s="129"/>
      <c r="E554" s="129"/>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row>
    <row r="555">
      <c r="A555" s="31"/>
      <c r="B555" s="127"/>
      <c r="C555" s="128"/>
      <c r="D555" s="129"/>
      <c r="E555" s="129"/>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row>
    <row r="556">
      <c r="A556" s="31"/>
      <c r="B556" s="127"/>
      <c r="C556" s="128"/>
      <c r="D556" s="129"/>
      <c r="E556" s="129"/>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row>
    <row r="557">
      <c r="A557" s="31"/>
      <c r="B557" s="127"/>
      <c r="C557" s="128"/>
      <c r="D557" s="129"/>
      <c r="E557" s="129"/>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row>
    <row r="558">
      <c r="A558" s="31"/>
      <c r="B558" s="127"/>
      <c r="C558" s="128"/>
      <c r="D558" s="129"/>
      <c r="E558" s="129"/>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row>
    <row r="559">
      <c r="A559" s="31"/>
      <c r="B559" s="127"/>
      <c r="C559" s="128"/>
      <c r="D559" s="129"/>
      <c r="E559" s="129"/>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row>
    <row r="560">
      <c r="A560" s="31"/>
      <c r="B560" s="127"/>
      <c r="C560" s="128"/>
      <c r="D560" s="129"/>
      <c r="E560" s="129"/>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row>
    <row r="561">
      <c r="A561" s="31"/>
      <c r="B561" s="127"/>
      <c r="C561" s="128"/>
      <c r="D561" s="129"/>
      <c r="E561" s="129"/>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row>
    <row r="562">
      <c r="A562" s="31"/>
      <c r="B562" s="127"/>
      <c r="C562" s="128"/>
      <c r="D562" s="129"/>
      <c r="E562" s="129"/>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row>
    <row r="563">
      <c r="A563" s="31"/>
      <c r="B563" s="127"/>
      <c r="C563" s="128"/>
      <c r="D563" s="129"/>
      <c r="E563" s="129"/>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row>
    <row r="564">
      <c r="A564" s="31"/>
      <c r="B564" s="127"/>
      <c r="C564" s="128"/>
      <c r="D564" s="129"/>
      <c r="E564" s="129"/>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row>
    <row r="565">
      <c r="A565" s="31"/>
      <c r="B565" s="127"/>
      <c r="C565" s="128"/>
      <c r="D565" s="129"/>
      <c r="E565" s="129"/>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row>
    <row r="566">
      <c r="A566" s="31"/>
      <c r="B566" s="127"/>
      <c r="C566" s="128"/>
      <c r="D566" s="129"/>
      <c r="E566" s="129"/>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row>
    <row r="567">
      <c r="A567" s="31"/>
      <c r="B567" s="127"/>
      <c r="C567" s="128"/>
      <c r="D567" s="129"/>
      <c r="E567" s="129"/>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row>
    <row r="568">
      <c r="A568" s="31"/>
      <c r="B568" s="127"/>
      <c r="C568" s="128"/>
      <c r="D568" s="129"/>
      <c r="E568" s="129"/>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row>
    <row r="569">
      <c r="A569" s="31"/>
      <c r="B569" s="127"/>
      <c r="C569" s="128"/>
      <c r="D569" s="129"/>
      <c r="E569" s="129"/>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row>
    <row r="570">
      <c r="A570" s="31"/>
      <c r="B570" s="127"/>
      <c r="C570" s="128"/>
      <c r="D570" s="129"/>
      <c r="E570" s="129"/>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row>
    <row r="571">
      <c r="A571" s="31"/>
      <c r="B571" s="127"/>
      <c r="C571" s="128"/>
      <c r="D571" s="129"/>
      <c r="E571" s="129"/>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row>
    <row r="572">
      <c r="A572" s="31"/>
      <c r="B572" s="127"/>
      <c r="C572" s="128"/>
      <c r="D572" s="129"/>
      <c r="E572" s="129"/>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row>
    <row r="573">
      <c r="A573" s="31"/>
      <c r="B573" s="127"/>
      <c r="C573" s="128"/>
      <c r="D573" s="129"/>
      <c r="E573" s="129"/>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row>
    <row r="574">
      <c r="A574" s="31"/>
      <c r="B574" s="127"/>
      <c r="C574" s="128"/>
      <c r="D574" s="129"/>
      <c r="E574" s="129"/>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row>
    <row r="575">
      <c r="A575" s="31"/>
      <c r="B575" s="127"/>
      <c r="C575" s="128"/>
      <c r="D575" s="129"/>
      <c r="E575" s="129"/>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row>
    <row r="576">
      <c r="A576" s="31"/>
      <c r="B576" s="127"/>
      <c r="C576" s="128"/>
      <c r="D576" s="129"/>
      <c r="E576" s="129"/>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row>
    <row r="577">
      <c r="A577" s="31"/>
      <c r="B577" s="127"/>
      <c r="C577" s="128"/>
      <c r="D577" s="129"/>
      <c r="E577" s="129"/>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row>
    <row r="578">
      <c r="A578" s="31"/>
      <c r="B578" s="127"/>
      <c r="C578" s="128"/>
      <c r="D578" s="129"/>
      <c r="E578" s="129"/>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row>
    <row r="579">
      <c r="A579" s="31"/>
      <c r="B579" s="127"/>
      <c r="C579" s="128"/>
      <c r="D579" s="129"/>
      <c r="E579" s="129"/>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row>
    <row r="580">
      <c r="A580" s="31"/>
      <c r="B580" s="127"/>
      <c r="C580" s="128"/>
      <c r="D580" s="129"/>
      <c r="E580" s="129"/>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row>
    <row r="581">
      <c r="A581" s="31"/>
      <c r="B581" s="127"/>
      <c r="C581" s="128"/>
      <c r="D581" s="129"/>
      <c r="E581" s="129"/>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row>
    <row r="582">
      <c r="A582" s="31"/>
      <c r="B582" s="127"/>
      <c r="C582" s="128"/>
      <c r="D582" s="129"/>
      <c r="E582" s="129"/>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row>
    <row r="583">
      <c r="A583" s="31"/>
      <c r="B583" s="127"/>
      <c r="C583" s="128"/>
      <c r="D583" s="129"/>
      <c r="E583" s="129"/>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row>
    <row r="584">
      <c r="A584" s="31"/>
      <c r="B584" s="127"/>
      <c r="C584" s="128"/>
      <c r="D584" s="129"/>
      <c r="E584" s="129"/>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row>
    <row r="585">
      <c r="A585" s="31"/>
      <c r="B585" s="127"/>
      <c r="C585" s="128"/>
      <c r="D585" s="129"/>
      <c r="E585" s="129"/>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row>
    <row r="586">
      <c r="A586" s="31"/>
      <c r="B586" s="127"/>
      <c r="C586" s="128"/>
      <c r="D586" s="129"/>
      <c r="E586" s="129"/>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row>
    <row r="587">
      <c r="A587" s="31"/>
      <c r="B587" s="127"/>
      <c r="C587" s="128"/>
      <c r="D587" s="129"/>
      <c r="E587" s="129"/>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row>
    <row r="588">
      <c r="A588" s="31"/>
      <c r="B588" s="127"/>
      <c r="C588" s="128"/>
      <c r="D588" s="129"/>
      <c r="E588" s="129"/>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row>
    <row r="589">
      <c r="A589" s="31"/>
      <c r="B589" s="127"/>
      <c r="C589" s="128"/>
      <c r="D589" s="129"/>
      <c r="E589" s="129"/>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row>
    <row r="590">
      <c r="A590" s="31"/>
      <c r="B590" s="127"/>
      <c r="C590" s="128"/>
      <c r="D590" s="129"/>
      <c r="E590" s="129"/>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row>
    <row r="591">
      <c r="A591" s="31"/>
      <c r="B591" s="127"/>
      <c r="C591" s="128"/>
      <c r="D591" s="129"/>
      <c r="E591" s="129"/>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row>
    <row r="592">
      <c r="A592" s="31"/>
      <c r="B592" s="127"/>
      <c r="C592" s="128"/>
      <c r="D592" s="129"/>
      <c r="E592" s="129"/>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row>
    <row r="593">
      <c r="A593" s="31"/>
      <c r="B593" s="127"/>
      <c r="C593" s="128"/>
      <c r="D593" s="129"/>
      <c r="E593" s="129"/>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row>
    <row r="594">
      <c r="A594" s="31"/>
      <c r="B594" s="127"/>
      <c r="C594" s="128"/>
      <c r="D594" s="129"/>
      <c r="E594" s="129"/>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row>
    <row r="595">
      <c r="A595" s="31"/>
      <c r="B595" s="127"/>
      <c r="C595" s="128"/>
      <c r="D595" s="129"/>
      <c r="E595" s="129"/>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row>
    <row r="596">
      <c r="A596" s="31"/>
      <c r="B596" s="127"/>
      <c r="C596" s="128"/>
      <c r="D596" s="129"/>
      <c r="E596" s="129"/>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row>
    <row r="597">
      <c r="A597" s="31"/>
      <c r="B597" s="127"/>
      <c r="C597" s="128"/>
      <c r="D597" s="129"/>
      <c r="E597" s="129"/>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row>
    <row r="598">
      <c r="A598" s="31"/>
      <c r="B598" s="127"/>
      <c r="C598" s="128"/>
      <c r="D598" s="129"/>
      <c r="E598" s="129"/>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row>
    <row r="599">
      <c r="A599" s="31"/>
      <c r="B599" s="127"/>
      <c r="C599" s="128"/>
      <c r="D599" s="129"/>
      <c r="E599" s="129"/>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row>
    <row r="600">
      <c r="A600" s="31"/>
      <c r="B600" s="127"/>
      <c r="C600" s="128"/>
      <c r="D600" s="129"/>
      <c r="E600" s="129"/>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row>
    <row r="601">
      <c r="A601" s="31"/>
      <c r="B601" s="127"/>
      <c r="C601" s="128"/>
      <c r="D601" s="129"/>
      <c r="E601" s="129"/>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row>
    <row r="602">
      <c r="A602" s="31"/>
      <c r="B602" s="127"/>
      <c r="C602" s="128"/>
      <c r="D602" s="129"/>
      <c r="E602" s="129"/>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row>
    <row r="603">
      <c r="A603" s="31"/>
      <c r="B603" s="127"/>
      <c r="C603" s="128"/>
      <c r="D603" s="129"/>
      <c r="E603" s="129"/>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row>
    <row r="604">
      <c r="A604" s="31"/>
      <c r="B604" s="127"/>
      <c r="C604" s="128"/>
      <c r="D604" s="129"/>
      <c r="E604" s="129"/>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row>
    <row r="605">
      <c r="A605" s="31"/>
      <c r="B605" s="127"/>
      <c r="C605" s="128"/>
      <c r="D605" s="129"/>
      <c r="E605" s="129"/>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row>
    <row r="606">
      <c r="A606" s="31"/>
      <c r="B606" s="127"/>
      <c r="C606" s="128"/>
      <c r="D606" s="129"/>
      <c r="E606" s="129"/>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row>
    <row r="607">
      <c r="A607" s="31"/>
      <c r="B607" s="127"/>
      <c r="C607" s="128"/>
      <c r="D607" s="129"/>
      <c r="E607" s="129"/>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row>
    <row r="608">
      <c r="A608" s="31"/>
      <c r="B608" s="127"/>
      <c r="C608" s="128"/>
      <c r="D608" s="129"/>
      <c r="E608" s="129"/>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row>
    <row r="609">
      <c r="A609" s="31"/>
      <c r="B609" s="127"/>
      <c r="C609" s="128"/>
      <c r="D609" s="129"/>
      <c r="E609" s="129"/>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row>
    <row r="610">
      <c r="A610" s="31"/>
      <c r="B610" s="127"/>
      <c r="C610" s="128"/>
      <c r="D610" s="129"/>
      <c r="E610" s="129"/>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row>
    <row r="611">
      <c r="A611" s="31"/>
      <c r="B611" s="127"/>
      <c r="C611" s="128"/>
      <c r="D611" s="129"/>
      <c r="E611" s="129"/>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row>
    <row r="612">
      <c r="A612" s="31"/>
      <c r="B612" s="127"/>
      <c r="C612" s="128"/>
      <c r="D612" s="129"/>
      <c r="E612" s="129"/>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row>
    <row r="613">
      <c r="A613" s="31"/>
      <c r="B613" s="127"/>
      <c r="C613" s="128"/>
      <c r="D613" s="129"/>
      <c r="E613" s="129"/>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row>
    <row r="614">
      <c r="A614" s="31"/>
      <c r="B614" s="127"/>
      <c r="C614" s="128"/>
      <c r="D614" s="129"/>
      <c r="E614" s="129"/>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row>
    <row r="615">
      <c r="A615" s="31"/>
      <c r="B615" s="127"/>
      <c r="C615" s="128"/>
      <c r="D615" s="129"/>
      <c r="E615" s="129"/>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row>
    <row r="616">
      <c r="A616" s="31"/>
      <c r="B616" s="127"/>
      <c r="C616" s="128"/>
      <c r="D616" s="129"/>
      <c r="E616" s="129"/>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row>
    <row r="617">
      <c r="A617" s="31"/>
      <c r="B617" s="127"/>
      <c r="C617" s="128"/>
      <c r="D617" s="129"/>
      <c r="E617" s="129"/>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row>
    <row r="618">
      <c r="A618" s="31"/>
      <c r="B618" s="127"/>
      <c r="C618" s="128"/>
      <c r="D618" s="129"/>
      <c r="E618" s="129"/>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row>
    <row r="619">
      <c r="A619" s="31"/>
      <c r="B619" s="127"/>
      <c r="C619" s="128"/>
      <c r="D619" s="129"/>
      <c r="E619" s="129"/>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row>
    <row r="620">
      <c r="A620" s="31"/>
      <c r="B620" s="127"/>
      <c r="C620" s="128"/>
      <c r="D620" s="129"/>
      <c r="E620" s="129"/>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row>
    <row r="621">
      <c r="A621" s="31"/>
      <c r="B621" s="127"/>
      <c r="C621" s="128"/>
      <c r="D621" s="129"/>
      <c r="E621" s="129"/>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row>
    <row r="622">
      <c r="A622" s="31"/>
      <c r="B622" s="127"/>
      <c r="C622" s="128"/>
      <c r="D622" s="129"/>
      <c r="E622" s="129"/>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row>
    <row r="623">
      <c r="A623" s="31"/>
      <c r="B623" s="127"/>
      <c r="C623" s="128"/>
      <c r="D623" s="129"/>
      <c r="E623" s="129"/>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row>
    <row r="624">
      <c r="A624" s="31"/>
      <c r="B624" s="127"/>
      <c r="C624" s="128"/>
      <c r="D624" s="129"/>
      <c r="E624" s="129"/>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row>
    <row r="625">
      <c r="A625" s="31"/>
      <c r="B625" s="127"/>
      <c r="C625" s="128"/>
      <c r="D625" s="129"/>
      <c r="E625" s="129"/>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row>
    <row r="626">
      <c r="A626" s="31"/>
      <c r="B626" s="127"/>
      <c r="C626" s="128"/>
      <c r="D626" s="129"/>
      <c r="E626" s="129"/>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row>
    <row r="627">
      <c r="A627" s="31"/>
      <c r="B627" s="127"/>
      <c r="C627" s="128"/>
      <c r="D627" s="129"/>
      <c r="E627" s="129"/>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row>
    <row r="628">
      <c r="A628" s="31"/>
      <c r="B628" s="127"/>
      <c r="C628" s="128"/>
      <c r="D628" s="129"/>
      <c r="E628" s="129"/>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row>
    <row r="629">
      <c r="A629" s="31"/>
      <c r="B629" s="127"/>
      <c r="C629" s="128"/>
      <c r="D629" s="129"/>
      <c r="E629" s="129"/>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row>
    <row r="630">
      <c r="A630" s="31"/>
      <c r="B630" s="127"/>
      <c r="C630" s="128"/>
      <c r="D630" s="129"/>
      <c r="E630" s="129"/>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row>
    <row r="631">
      <c r="A631" s="31"/>
      <c r="B631" s="127"/>
      <c r="C631" s="128"/>
      <c r="D631" s="129"/>
      <c r="E631" s="129"/>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row>
    <row r="632">
      <c r="A632" s="31"/>
      <c r="B632" s="127"/>
      <c r="C632" s="128"/>
      <c r="D632" s="129"/>
      <c r="E632" s="129"/>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row>
    <row r="633">
      <c r="A633" s="31"/>
      <c r="B633" s="127"/>
      <c r="C633" s="128"/>
      <c r="D633" s="129"/>
      <c r="E633" s="129"/>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row>
    <row r="634">
      <c r="A634" s="31"/>
      <c r="B634" s="127"/>
      <c r="C634" s="128"/>
      <c r="D634" s="129"/>
      <c r="E634" s="129"/>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row>
    <row r="635">
      <c r="A635" s="31"/>
      <c r="B635" s="127"/>
      <c r="C635" s="128"/>
      <c r="D635" s="129"/>
      <c r="E635" s="129"/>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row>
    <row r="636">
      <c r="A636" s="31"/>
      <c r="B636" s="127"/>
      <c r="C636" s="128"/>
      <c r="D636" s="129"/>
      <c r="E636" s="129"/>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row>
    <row r="637">
      <c r="A637" s="31"/>
      <c r="B637" s="127"/>
      <c r="C637" s="128"/>
      <c r="D637" s="129"/>
      <c r="E637" s="129"/>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row>
    <row r="638">
      <c r="A638" s="31"/>
      <c r="B638" s="127"/>
      <c r="C638" s="128"/>
      <c r="D638" s="129"/>
      <c r="E638" s="129"/>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row>
    <row r="639">
      <c r="A639" s="31"/>
      <c r="B639" s="127"/>
      <c r="C639" s="128"/>
      <c r="D639" s="129"/>
      <c r="E639" s="129"/>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row>
    <row r="640">
      <c r="A640" s="31"/>
      <c r="B640" s="127"/>
      <c r="C640" s="128"/>
      <c r="D640" s="129"/>
      <c r="E640" s="129"/>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row>
    <row r="641">
      <c r="A641" s="31"/>
      <c r="B641" s="127"/>
      <c r="C641" s="128"/>
      <c r="D641" s="129"/>
      <c r="E641" s="129"/>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row>
    <row r="642">
      <c r="A642" s="31"/>
      <c r="B642" s="127"/>
      <c r="C642" s="128"/>
      <c r="D642" s="129"/>
      <c r="E642" s="129"/>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row>
    <row r="643">
      <c r="A643" s="31"/>
      <c r="B643" s="127"/>
      <c r="C643" s="128"/>
      <c r="D643" s="129"/>
      <c r="E643" s="129"/>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row>
    <row r="644">
      <c r="A644" s="31"/>
      <c r="B644" s="127"/>
      <c r="C644" s="128"/>
      <c r="D644" s="129"/>
      <c r="E644" s="129"/>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row>
    <row r="645">
      <c r="A645" s="31"/>
      <c r="B645" s="127"/>
      <c r="C645" s="128"/>
      <c r="D645" s="129"/>
      <c r="E645" s="129"/>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row>
    <row r="646">
      <c r="A646" s="31"/>
      <c r="B646" s="127"/>
      <c r="C646" s="128"/>
      <c r="D646" s="129"/>
      <c r="E646" s="129"/>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row>
    <row r="647">
      <c r="A647" s="31"/>
      <c r="B647" s="127"/>
      <c r="C647" s="128"/>
      <c r="D647" s="129"/>
      <c r="E647" s="129"/>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row>
    <row r="648">
      <c r="A648" s="31"/>
      <c r="B648" s="127"/>
      <c r="C648" s="128"/>
      <c r="D648" s="129"/>
      <c r="E648" s="129"/>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row>
    <row r="649">
      <c r="A649" s="31"/>
      <c r="B649" s="127"/>
      <c r="C649" s="128"/>
      <c r="D649" s="129"/>
      <c r="E649" s="129"/>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row>
    <row r="650">
      <c r="A650" s="31"/>
      <c r="B650" s="127"/>
      <c r="C650" s="128"/>
      <c r="D650" s="129"/>
      <c r="E650" s="129"/>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row>
    <row r="651">
      <c r="A651" s="31"/>
      <c r="B651" s="127"/>
      <c r="C651" s="128"/>
      <c r="D651" s="129"/>
      <c r="E651" s="129"/>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row>
    <row r="652">
      <c r="A652" s="31"/>
      <c r="B652" s="127"/>
      <c r="C652" s="128"/>
      <c r="D652" s="129"/>
      <c r="E652" s="129"/>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row>
    <row r="653">
      <c r="A653" s="31"/>
      <c r="B653" s="127"/>
      <c r="C653" s="128"/>
      <c r="D653" s="129"/>
      <c r="E653" s="129"/>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row>
    <row r="654">
      <c r="A654" s="31"/>
      <c r="B654" s="127"/>
      <c r="C654" s="128"/>
      <c r="D654" s="129"/>
      <c r="E654" s="129"/>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row>
    <row r="655">
      <c r="A655" s="31"/>
      <c r="B655" s="127"/>
      <c r="C655" s="128"/>
      <c r="D655" s="129"/>
      <c r="E655" s="129"/>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row>
    <row r="656">
      <c r="A656" s="31"/>
      <c r="B656" s="127"/>
      <c r="C656" s="128"/>
      <c r="D656" s="129"/>
      <c r="E656" s="129"/>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row>
    <row r="657">
      <c r="A657" s="31"/>
      <c r="B657" s="127"/>
      <c r="C657" s="128"/>
      <c r="D657" s="129"/>
      <c r="E657" s="129"/>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row>
    <row r="658">
      <c r="A658" s="31"/>
      <c r="B658" s="127"/>
      <c r="C658" s="128"/>
      <c r="D658" s="129"/>
      <c r="E658" s="129"/>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row>
    <row r="659">
      <c r="A659" s="31"/>
      <c r="B659" s="127"/>
      <c r="C659" s="128"/>
      <c r="D659" s="129"/>
      <c r="E659" s="129"/>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row>
    <row r="660">
      <c r="A660" s="31"/>
      <c r="B660" s="127"/>
      <c r="C660" s="128"/>
      <c r="D660" s="129"/>
      <c r="E660" s="129"/>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row>
    <row r="661">
      <c r="A661" s="31"/>
      <c r="B661" s="127"/>
      <c r="C661" s="128"/>
      <c r="D661" s="129"/>
      <c r="E661" s="129"/>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row>
    <row r="662">
      <c r="A662" s="31"/>
      <c r="B662" s="127"/>
      <c r="C662" s="128"/>
      <c r="D662" s="129"/>
      <c r="E662" s="129"/>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row>
    <row r="663">
      <c r="A663" s="31"/>
      <c r="B663" s="127"/>
      <c r="C663" s="128"/>
      <c r="D663" s="129"/>
      <c r="E663" s="129"/>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row>
    <row r="664">
      <c r="A664" s="31"/>
      <c r="B664" s="127"/>
      <c r="C664" s="128"/>
      <c r="D664" s="129"/>
      <c r="E664" s="129"/>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row>
    <row r="665">
      <c r="A665" s="31"/>
      <c r="B665" s="127"/>
      <c r="C665" s="128"/>
      <c r="D665" s="129"/>
      <c r="E665" s="129"/>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row>
    <row r="666">
      <c r="A666" s="31"/>
      <c r="B666" s="127"/>
      <c r="C666" s="128"/>
      <c r="D666" s="129"/>
      <c r="E666" s="129"/>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row>
    <row r="667">
      <c r="A667" s="31"/>
      <c r="B667" s="127"/>
      <c r="C667" s="128"/>
      <c r="D667" s="129"/>
      <c r="E667" s="129"/>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row>
    <row r="668">
      <c r="A668" s="31"/>
      <c r="B668" s="127"/>
      <c r="C668" s="128"/>
      <c r="D668" s="129"/>
      <c r="E668" s="129"/>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row>
    <row r="669">
      <c r="A669" s="31"/>
      <c r="B669" s="127"/>
      <c r="C669" s="128"/>
      <c r="D669" s="129"/>
      <c r="E669" s="129"/>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row>
    <row r="670">
      <c r="A670" s="31"/>
      <c r="B670" s="127"/>
      <c r="C670" s="128"/>
      <c r="D670" s="129"/>
      <c r="E670" s="129"/>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row>
    <row r="671">
      <c r="A671" s="31"/>
      <c r="B671" s="127"/>
      <c r="C671" s="128"/>
      <c r="D671" s="129"/>
      <c r="E671" s="129"/>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row>
    <row r="672">
      <c r="A672" s="31"/>
      <c r="B672" s="127"/>
      <c r="C672" s="128"/>
      <c r="D672" s="129"/>
      <c r="E672" s="129"/>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row>
    <row r="673">
      <c r="A673" s="31"/>
      <c r="B673" s="127"/>
      <c r="C673" s="128"/>
      <c r="D673" s="129"/>
      <c r="E673" s="129"/>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row>
    <row r="674">
      <c r="A674" s="31"/>
      <c r="B674" s="127"/>
      <c r="C674" s="128"/>
      <c r="D674" s="129"/>
      <c r="E674" s="129"/>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row>
    <row r="675">
      <c r="A675" s="31"/>
      <c r="B675" s="127"/>
      <c r="C675" s="128"/>
      <c r="D675" s="129"/>
      <c r="E675" s="129"/>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row>
    <row r="676">
      <c r="A676" s="31"/>
      <c r="B676" s="127"/>
      <c r="C676" s="128"/>
      <c r="D676" s="129"/>
      <c r="E676" s="129"/>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row>
    <row r="677">
      <c r="A677" s="31"/>
      <c r="B677" s="127"/>
      <c r="C677" s="128"/>
      <c r="D677" s="129"/>
      <c r="E677" s="129"/>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row>
    <row r="678">
      <c r="A678" s="31"/>
      <c r="B678" s="127"/>
      <c r="C678" s="128"/>
      <c r="D678" s="129"/>
      <c r="E678" s="129"/>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row>
    <row r="679">
      <c r="A679" s="31"/>
      <c r="B679" s="127"/>
      <c r="C679" s="128"/>
      <c r="D679" s="129"/>
      <c r="E679" s="129"/>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row>
    <row r="680">
      <c r="A680" s="31"/>
      <c r="B680" s="127"/>
      <c r="C680" s="128"/>
      <c r="D680" s="129"/>
      <c r="E680" s="129"/>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row>
    <row r="681">
      <c r="A681" s="31"/>
      <c r="B681" s="127"/>
      <c r="C681" s="128"/>
      <c r="D681" s="129"/>
      <c r="E681" s="129"/>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row>
    <row r="682">
      <c r="A682" s="31"/>
      <c r="B682" s="127"/>
      <c r="C682" s="128"/>
      <c r="D682" s="129"/>
      <c r="E682" s="129"/>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row>
    <row r="683">
      <c r="A683" s="31"/>
      <c r="B683" s="127"/>
      <c r="C683" s="128"/>
      <c r="D683" s="129"/>
      <c r="E683" s="129"/>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row>
    <row r="684">
      <c r="A684" s="31"/>
      <c r="B684" s="127"/>
      <c r="C684" s="128"/>
      <c r="D684" s="129"/>
      <c r="E684" s="129"/>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row>
    <row r="685">
      <c r="A685" s="31"/>
      <c r="B685" s="127"/>
      <c r="C685" s="128"/>
      <c r="D685" s="129"/>
      <c r="E685" s="129"/>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row>
    <row r="686">
      <c r="A686" s="31"/>
      <c r="B686" s="127"/>
      <c r="C686" s="128"/>
      <c r="D686" s="129"/>
      <c r="E686" s="129"/>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row>
    <row r="687">
      <c r="A687" s="31"/>
      <c r="B687" s="127"/>
      <c r="C687" s="128"/>
      <c r="D687" s="129"/>
      <c r="E687" s="129"/>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row>
    <row r="688">
      <c r="A688" s="31"/>
      <c r="B688" s="127"/>
      <c r="C688" s="128"/>
      <c r="D688" s="129"/>
      <c r="E688" s="129"/>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row>
    <row r="689">
      <c r="A689" s="31"/>
      <c r="B689" s="127"/>
      <c r="C689" s="128"/>
      <c r="D689" s="129"/>
      <c r="E689" s="129"/>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row>
    <row r="690">
      <c r="A690" s="31"/>
      <c r="B690" s="127"/>
      <c r="C690" s="128"/>
      <c r="D690" s="129"/>
      <c r="E690" s="129"/>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row>
    <row r="691">
      <c r="A691" s="31"/>
      <c r="B691" s="127"/>
      <c r="C691" s="128"/>
      <c r="D691" s="129"/>
      <c r="E691" s="129"/>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row>
    <row r="692">
      <c r="A692" s="31"/>
      <c r="B692" s="127"/>
      <c r="C692" s="128"/>
      <c r="D692" s="129"/>
      <c r="E692" s="129"/>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row>
    <row r="693">
      <c r="A693" s="31"/>
      <c r="B693" s="127"/>
      <c r="C693" s="128"/>
      <c r="D693" s="129"/>
      <c r="E693" s="129"/>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row>
    <row r="694">
      <c r="A694" s="31"/>
      <c r="B694" s="127"/>
      <c r="C694" s="128"/>
      <c r="D694" s="129"/>
      <c r="E694" s="129"/>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row>
    <row r="695">
      <c r="A695" s="31"/>
      <c r="B695" s="127"/>
      <c r="C695" s="128"/>
      <c r="D695" s="129"/>
      <c r="E695" s="129"/>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row>
    <row r="696">
      <c r="A696" s="31"/>
      <c r="B696" s="127"/>
      <c r="C696" s="128"/>
      <c r="D696" s="129"/>
      <c r="E696" s="129"/>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row>
    <row r="697">
      <c r="A697" s="31"/>
      <c r="B697" s="127"/>
      <c r="C697" s="128"/>
      <c r="D697" s="129"/>
      <c r="E697" s="129"/>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row>
    <row r="698">
      <c r="A698" s="31"/>
      <c r="B698" s="127"/>
      <c r="C698" s="128"/>
      <c r="D698" s="129"/>
      <c r="E698" s="129"/>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row>
    <row r="699">
      <c r="A699" s="31"/>
      <c r="B699" s="127"/>
      <c r="C699" s="128"/>
      <c r="D699" s="129"/>
      <c r="E699" s="129"/>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row>
    <row r="700">
      <c r="A700" s="31"/>
      <c r="B700" s="127"/>
      <c r="C700" s="128"/>
      <c r="D700" s="129"/>
      <c r="E700" s="129"/>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row>
    <row r="701">
      <c r="A701" s="31"/>
      <c r="B701" s="127"/>
      <c r="C701" s="128"/>
      <c r="D701" s="129"/>
      <c r="E701" s="129"/>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row>
    <row r="702">
      <c r="A702" s="31"/>
      <c r="B702" s="127"/>
      <c r="C702" s="128"/>
      <c r="D702" s="129"/>
      <c r="E702" s="129"/>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row>
    <row r="703">
      <c r="A703" s="31"/>
      <c r="B703" s="127"/>
      <c r="C703" s="128"/>
      <c r="D703" s="129"/>
      <c r="E703" s="129"/>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row>
    <row r="704">
      <c r="A704" s="31"/>
      <c r="B704" s="127"/>
      <c r="C704" s="128"/>
      <c r="D704" s="129"/>
      <c r="E704" s="129"/>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row>
    <row r="705">
      <c r="A705" s="31"/>
      <c r="B705" s="127"/>
      <c r="C705" s="128"/>
      <c r="D705" s="129"/>
      <c r="E705" s="129"/>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row>
    <row r="706">
      <c r="A706" s="31"/>
      <c r="B706" s="127"/>
      <c r="C706" s="128"/>
      <c r="D706" s="129"/>
      <c r="E706" s="129"/>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row>
    <row r="707">
      <c r="A707" s="31"/>
      <c r="B707" s="127"/>
      <c r="C707" s="128"/>
      <c r="D707" s="129"/>
      <c r="E707" s="129"/>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row>
    <row r="708">
      <c r="A708" s="31"/>
      <c r="B708" s="127"/>
      <c r="C708" s="128"/>
      <c r="D708" s="129"/>
      <c r="E708" s="129"/>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row>
    <row r="709">
      <c r="A709" s="31"/>
      <c r="B709" s="127"/>
      <c r="C709" s="128"/>
      <c r="D709" s="129"/>
      <c r="E709" s="129"/>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row>
    <row r="710">
      <c r="A710" s="31"/>
      <c r="B710" s="127"/>
      <c r="C710" s="128"/>
      <c r="D710" s="129"/>
      <c r="E710" s="129"/>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row>
    <row r="711">
      <c r="A711" s="31"/>
      <c r="B711" s="127"/>
      <c r="C711" s="128"/>
      <c r="D711" s="129"/>
      <c r="E711" s="129"/>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row>
    <row r="712">
      <c r="A712" s="31"/>
      <c r="B712" s="127"/>
      <c r="C712" s="128"/>
      <c r="D712" s="129"/>
      <c r="E712" s="129"/>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row>
    <row r="713">
      <c r="A713" s="31"/>
      <c r="B713" s="127"/>
      <c r="C713" s="128"/>
      <c r="D713" s="129"/>
      <c r="E713" s="129"/>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row>
    <row r="714">
      <c r="A714" s="31"/>
      <c r="B714" s="127"/>
      <c r="C714" s="128"/>
      <c r="D714" s="129"/>
      <c r="E714" s="129"/>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row>
    <row r="715">
      <c r="A715" s="31"/>
      <c r="B715" s="127"/>
      <c r="C715" s="128"/>
      <c r="D715" s="129"/>
      <c r="E715" s="129"/>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row>
    <row r="716">
      <c r="A716" s="31"/>
      <c r="B716" s="127"/>
      <c r="C716" s="128"/>
      <c r="D716" s="129"/>
      <c r="E716" s="129"/>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row>
    <row r="717">
      <c r="A717" s="31"/>
      <c r="B717" s="127"/>
      <c r="C717" s="128"/>
      <c r="D717" s="129"/>
      <c r="E717" s="129"/>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row>
    <row r="718">
      <c r="A718" s="31"/>
      <c r="B718" s="127"/>
      <c r="C718" s="128"/>
      <c r="D718" s="129"/>
      <c r="E718" s="129"/>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row>
    <row r="719">
      <c r="A719" s="31"/>
      <c r="B719" s="127"/>
      <c r="C719" s="128"/>
      <c r="D719" s="129"/>
      <c r="E719" s="129"/>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row>
    <row r="720">
      <c r="A720" s="31"/>
      <c r="B720" s="127"/>
      <c r="C720" s="128"/>
      <c r="D720" s="129"/>
      <c r="E720" s="129"/>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row>
    <row r="721">
      <c r="A721" s="31"/>
      <c r="B721" s="127"/>
      <c r="C721" s="128"/>
      <c r="D721" s="129"/>
      <c r="E721" s="129"/>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row>
    <row r="722">
      <c r="A722" s="31"/>
      <c r="B722" s="127"/>
      <c r="C722" s="128"/>
      <c r="D722" s="129"/>
      <c r="E722" s="129"/>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row>
    <row r="723">
      <c r="A723" s="31"/>
      <c r="B723" s="127"/>
      <c r="C723" s="128"/>
      <c r="D723" s="129"/>
      <c r="E723" s="129"/>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row>
    <row r="724">
      <c r="A724" s="31"/>
      <c r="B724" s="127"/>
      <c r="C724" s="128"/>
      <c r="D724" s="129"/>
      <c r="E724" s="129"/>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row>
    <row r="725">
      <c r="A725" s="31"/>
      <c r="B725" s="127"/>
      <c r="C725" s="128"/>
      <c r="D725" s="129"/>
      <c r="E725" s="129"/>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row>
    <row r="726">
      <c r="A726" s="31"/>
      <c r="B726" s="127"/>
      <c r="C726" s="128"/>
      <c r="D726" s="129"/>
      <c r="E726" s="129"/>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row>
    <row r="727">
      <c r="A727" s="31"/>
      <c r="B727" s="127"/>
      <c r="C727" s="128"/>
      <c r="D727" s="129"/>
      <c r="E727" s="129"/>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row>
    <row r="728">
      <c r="A728" s="31"/>
      <c r="B728" s="127"/>
      <c r="C728" s="128"/>
      <c r="D728" s="129"/>
      <c r="E728" s="129"/>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row>
    <row r="729">
      <c r="A729" s="31"/>
      <c r="B729" s="127"/>
      <c r="C729" s="128"/>
      <c r="D729" s="129"/>
      <c r="E729" s="129"/>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row>
    <row r="730">
      <c r="A730" s="31"/>
      <c r="B730" s="127"/>
      <c r="C730" s="128"/>
      <c r="D730" s="129"/>
      <c r="E730" s="129"/>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row>
    <row r="731">
      <c r="A731" s="31"/>
      <c r="B731" s="127"/>
      <c r="C731" s="128"/>
      <c r="D731" s="129"/>
      <c r="E731" s="129"/>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row>
    <row r="732">
      <c r="A732" s="31"/>
      <c r="B732" s="127"/>
      <c r="C732" s="128"/>
      <c r="D732" s="129"/>
      <c r="E732" s="129"/>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row>
    <row r="733">
      <c r="A733" s="31"/>
      <c r="B733" s="127"/>
      <c r="C733" s="128"/>
      <c r="D733" s="129"/>
      <c r="E733" s="129"/>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row>
    <row r="734">
      <c r="A734" s="31"/>
      <c r="B734" s="127"/>
      <c r="C734" s="128"/>
      <c r="D734" s="129"/>
      <c r="E734" s="129"/>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row>
    <row r="735">
      <c r="A735" s="31"/>
      <c r="B735" s="127"/>
      <c r="C735" s="128"/>
      <c r="D735" s="129"/>
      <c r="E735" s="129"/>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row>
    <row r="736">
      <c r="A736" s="31"/>
      <c r="B736" s="127"/>
      <c r="C736" s="128"/>
      <c r="D736" s="129"/>
      <c r="E736" s="129"/>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row>
    <row r="737">
      <c r="A737" s="31"/>
      <c r="B737" s="127"/>
      <c r="C737" s="128"/>
      <c r="D737" s="129"/>
      <c r="E737" s="129"/>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row>
    <row r="738">
      <c r="A738" s="31"/>
      <c r="B738" s="127"/>
      <c r="C738" s="128"/>
      <c r="D738" s="129"/>
      <c r="E738" s="129"/>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row>
    <row r="739">
      <c r="A739" s="31"/>
      <c r="B739" s="127"/>
      <c r="C739" s="128"/>
      <c r="D739" s="129"/>
      <c r="E739" s="129"/>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row>
    <row r="740">
      <c r="A740" s="31"/>
      <c r="B740" s="127"/>
      <c r="C740" s="128"/>
      <c r="D740" s="129"/>
      <c r="E740" s="129"/>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row>
    <row r="741">
      <c r="A741" s="31"/>
      <c r="B741" s="127"/>
      <c r="C741" s="128"/>
      <c r="D741" s="129"/>
      <c r="E741" s="129"/>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row>
    <row r="742">
      <c r="A742" s="31"/>
      <c r="B742" s="127"/>
      <c r="C742" s="128"/>
      <c r="D742" s="129"/>
      <c r="E742" s="129"/>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row>
    <row r="743">
      <c r="A743" s="31"/>
      <c r="B743" s="127"/>
      <c r="C743" s="128"/>
      <c r="D743" s="129"/>
      <c r="E743" s="129"/>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row>
    <row r="744">
      <c r="A744" s="31"/>
      <c r="B744" s="127"/>
      <c r="C744" s="128"/>
      <c r="D744" s="129"/>
      <c r="E744" s="129"/>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row>
    <row r="745">
      <c r="A745" s="31"/>
      <c r="B745" s="127"/>
      <c r="C745" s="128"/>
      <c r="D745" s="129"/>
      <c r="E745" s="129"/>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row>
    <row r="746">
      <c r="A746" s="31"/>
      <c r="B746" s="127"/>
      <c r="C746" s="128"/>
      <c r="D746" s="129"/>
      <c r="E746" s="129"/>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row>
    <row r="747">
      <c r="A747" s="31"/>
      <c r="B747" s="127"/>
      <c r="C747" s="128"/>
      <c r="D747" s="129"/>
      <c r="E747" s="129"/>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row>
    <row r="748">
      <c r="A748" s="31"/>
      <c r="B748" s="127"/>
      <c r="C748" s="128"/>
      <c r="D748" s="129"/>
      <c r="E748" s="129"/>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row>
    <row r="749">
      <c r="A749" s="31"/>
      <c r="B749" s="127"/>
      <c r="C749" s="128"/>
      <c r="D749" s="129"/>
      <c r="E749" s="129"/>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row>
    <row r="750">
      <c r="A750" s="31"/>
      <c r="B750" s="127"/>
      <c r="C750" s="128"/>
      <c r="D750" s="129"/>
      <c r="E750" s="129"/>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row>
    <row r="751">
      <c r="A751" s="31"/>
      <c r="B751" s="127"/>
      <c r="C751" s="128"/>
      <c r="D751" s="129"/>
      <c r="E751" s="129"/>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row>
    <row r="752">
      <c r="A752" s="31"/>
      <c r="B752" s="127"/>
      <c r="C752" s="128"/>
      <c r="D752" s="129"/>
      <c r="E752" s="129"/>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row>
    <row r="753">
      <c r="A753" s="31"/>
      <c r="B753" s="127"/>
      <c r="C753" s="128"/>
      <c r="D753" s="129"/>
      <c r="E753" s="129"/>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row>
    <row r="754">
      <c r="A754" s="31"/>
      <c r="B754" s="127"/>
      <c r="C754" s="128"/>
      <c r="D754" s="129"/>
      <c r="E754" s="129"/>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row>
    <row r="755">
      <c r="A755" s="31"/>
      <c r="B755" s="127"/>
      <c r="C755" s="128"/>
      <c r="D755" s="129"/>
      <c r="E755" s="129"/>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row>
    <row r="756">
      <c r="A756" s="31"/>
      <c r="B756" s="127"/>
      <c r="C756" s="128"/>
      <c r="D756" s="129"/>
      <c r="E756" s="129"/>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row>
    <row r="757">
      <c r="A757" s="31"/>
      <c r="B757" s="127"/>
      <c r="C757" s="128"/>
      <c r="D757" s="129"/>
      <c r="E757" s="129"/>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row>
    <row r="758">
      <c r="A758" s="31"/>
      <c r="B758" s="127"/>
      <c r="C758" s="128"/>
      <c r="D758" s="129"/>
      <c r="E758" s="129"/>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row>
    <row r="759">
      <c r="A759" s="31"/>
      <c r="B759" s="127"/>
      <c r="C759" s="128"/>
      <c r="D759" s="129"/>
      <c r="E759" s="129"/>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row>
    <row r="760">
      <c r="A760" s="31"/>
      <c r="B760" s="127"/>
      <c r="C760" s="128"/>
      <c r="D760" s="129"/>
      <c r="E760" s="129"/>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row>
    <row r="761">
      <c r="A761" s="31"/>
      <c r="B761" s="127"/>
      <c r="C761" s="128"/>
      <c r="D761" s="129"/>
      <c r="E761" s="129"/>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row>
    <row r="762">
      <c r="A762" s="31"/>
      <c r="B762" s="127"/>
      <c r="C762" s="128"/>
      <c r="D762" s="129"/>
      <c r="E762" s="129"/>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row>
    <row r="763">
      <c r="A763" s="31"/>
      <c r="B763" s="127"/>
      <c r="C763" s="128"/>
      <c r="D763" s="129"/>
      <c r="E763" s="129"/>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row>
    <row r="764">
      <c r="A764" s="31"/>
      <c r="B764" s="127"/>
      <c r="C764" s="128"/>
      <c r="D764" s="129"/>
      <c r="E764" s="129"/>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row>
    <row r="765">
      <c r="A765" s="31"/>
      <c r="B765" s="127"/>
      <c r="C765" s="128"/>
      <c r="D765" s="129"/>
      <c r="E765" s="129"/>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row>
    <row r="766">
      <c r="A766" s="31"/>
      <c r="B766" s="127"/>
      <c r="C766" s="128"/>
      <c r="D766" s="129"/>
      <c r="E766" s="129"/>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row>
    <row r="767">
      <c r="A767" s="31"/>
      <c r="B767" s="127"/>
      <c r="C767" s="128"/>
      <c r="D767" s="129"/>
      <c r="E767" s="129"/>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row>
    <row r="768">
      <c r="A768" s="31"/>
      <c r="B768" s="127"/>
      <c r="C768" s="128"/>
      <c r="D768" s="129"/>
      <c r="E768" s="129"/>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row>
    <row r="769">
      <c r="A769" s="31"/>
      <c r="B769" s="127"/>
      <c r="C769" s="128"/>
      <c r="D769" s="129"/>
      <c r="E769" s="129"/>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row>
    <row r="770">
      <c r="A770" s="31"/>
      <c r="B770" s="127"/>
      <c r="C770" s="128"/>
      <c r="D770" s="129"/>
      <c r="E770" s="129"/>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row>
    <row r="771">
      <c r="A771" s="31"/>
      <c r="B771" s="127"/>
      <c r="C771" s="128"/>
      <c r="D771" s="129"/>
      <c r="E771" s="129"/>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row>
    <row r="772">
      <c r="A772" s="31"/>
      <c r="B772" s="127"/>
      <c r="C772" s="128"/>
      <c r="D772" s="129"/>
      <c r="E772" s="129"/>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row>
    <row r="773">
      <c r="A773" s="31"/>
      <c r="B773" s="127"/>
      <c r="C773" s="128"/>
      <c r="D773" s="129"/>
      <c r="E773" s="129"/>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row>
    <row r="774">
      <c r="A774" s="31"/>
      <c r="B774" s="127"/>
      <c r="C774" s="128"/>
      <c r="D774" s="129"/>
      <c r="E774" s="129"/>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row>
    <row r="775">
      <c r="A775" s="31"/>
      <c r="B775" s="127"/>
      <c r="C775" s="128"/>
      <c r="D775" s="129"/>
      <c r="E775" s="129"/>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row>
    <row r="776">
      <c r="A776" s="31"/>
      <c r="B776" s="127"/>
      <c r="C776" s="128"/>
      <c r="D776" s="129"/>
      <c r="E776" s="129"/>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row>
    <row r="777">
      <c r="A777" s="31"/>
      <c r="B777" s="127"/>
      <c r="C777" s="128"/>
      <c r="D777" s="129"/>
      <c r="E777" s="129"/>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row>
    <row r="778">
      <c r="A778" s="31"/>
      <c r="B778" s="127"/>
      <c r="C778" s="128"/>
      <c r="D778" s="129"/>
      <c r="E778" s="129"/>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row>
    <row r="779">
      <c r="A779" s="31"/>
      <c r="B779" s="127"/>
      <c r="C779" s="128"/>
      <c r="D779" s="129"/>
      <c r="E779" s="129"/>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row>
    <row r="780">
      <c r="A780" s="31"/>
      <c r="B780" s="127"/>
      <c r="C780" s="128"/>
      <c r="D780" s="129"/>
      <c r="E780" s="129"/>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row>
    <row r="781">
      <c r="A781" s="31"/>
      <c r="B781" s="127"/>
      <c r="C781" s="128"/>
      <c r="D781" s="129"/>
      <c r="E781" s="129"/>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row>
    <row r="782">
      <c r="A782" s="31"/>
      <c r="B782" s="127"/>
      <c r="C782" s="128"/>
      <c r="D782" s="129"/>
      <c r="E782" s="129"/>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row>
    <row r="783">
      <c r="A783" s="31"/>
      <c r="B783" s="127"/>
      <c r="C783" s="128"/>
      <c r="D783" s="129"/>
      <c r="E783" s="129"/>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row>
    <row r="784">
      <c r="A784" s="31"/>
      <c r="B784" s="127"/>
      <c r="C784" s="128"/>
      <c r="D784" s="129"/>
      <c r="E784" s="129"/>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row>
    <row r="785">
      <c r="A785" s="31"/>
      <c r="B785" s="127"/>
      <c r="C785" s="128"/>
      <c r="D785" s="129"/>
      <c r="E785" s="129"/>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row>
    <row r="786">
      <c r="A786" s="31"/>
      <c r="B786" s="127"/>
      <c r="C786" s="128"/>
      <c r="D786" s="129"/>
      <c r="E786" s="129"/>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row>
    <row r="787">
      <c r="A787" s="31"/>
      <c r="B787" s="127"/>
      <c r="C787" s="128"/>
      <c r="D787" s="129"/>
      <c r="E787" s="129"/>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row>
    <row r="788">
      <c r="A788" s="31"/>
      <c r="B788" s="127"/>
      <c r="C788" s="128"/>
      <c r="D788" s="129"/>
      <c r="E788" s="129"/>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row>
    <row r="789">
      <c r="A789" s="31"/>
      <c r="B789" s="127"/>
      <c r="C789" s="128"/>
      <c r="D789" s="129"/>
      <c r="E789" s="129"/>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row>
    <row r="790">
      <c r="A790" s="31"/>
      <c r="B790" s="127"/>
      <c r="C790" s="128"/>
      <c r="D790" s="129"/>
      <c r="E790" s="129"/>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row>
    <row r="791">
      <c r="A791" s="31"/>
      <c r="B791" s="127"/>
      <c r="C791" s="128"/>
      <c r="D791" s="129"/>
      <c r="E791" s="129"/>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row>
    <row r="792">
      <c r="A792" s="31"/>
      <c r="B792" s="127"/>
      <c r="C792" s="128"/>
      <c r="D792" s="129"/>
      <c r="E792" s="129"/>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row>
    <row r="793">
      <c r="A793" s="31"/>
      <c r="B793" s="127"/>
      <c r="C793" s="128"/>
      <c r="D793" s="129"/>
      <c r="E793" s="129"/>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row>
    <row r="794">
      <c r="A794" s="31"/>
      <c r="B794" s="127"/>
      <c r="C794" s="128"/>
      <c r="D794" s="129"/>
      <c r="E794" s="129"/>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row>
    <row r="795">
      <c r="A795" s="31"/>
      <c r="B795" s="127"/>
      <c r="C795" s="128"/>
      <c r="D795" s="129"/>
      <c r="E795" s="129"/>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row>
    <row r="796">
      <c r="A796" s="31"/>
      <c r="B796" s="127"/>
      <c r="C796" s="128"/>
      <c r="D796" s="129"/>
      <c r="E796" s="129"/>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row>
    <row r="797">
      <c r="A797" s="31"/>
      <c r="B797" s="127"/>
      <c r="C797" s="128"/>
      <c r="D797" s="129"/>
      <c r="E797" s="129"/>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row>
    <row r="798">
      <c r="A798" s="31"/>
      <c r="B798" s="127"/>
      <c r="C798" s="128"/>
      <c r="D798" s="129"/>
      <c r="E798" s="129"/>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row>
    <row r="799">
      <c r="A799" s="31"/>
      <c r="B799" s="127"/>
      <c r="C799" s="128"/>
      <c r="D799" s="129"/>
      <c r="E799" s="129"/>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row>
    <row r="800">
      <c r="A800" s="31"/>
      <c r="B800" s="127"/>
      <c r="C800" s="128"/>
      <c r="D800" s="129"/>
      <c r="E800" s="129"/>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row>
    <row r="801">
      <c r="A801" s="31"/>
      <c r="B801" s="127"/>
      <c r="C801" s="128"/>
      <c r="D801" s="129"/>
      <c r="E801" s="129"/>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row>
  </sheetData>
  <mergeCells count="1">
    <mergeCell ref="D2:E2"/>
  </mergeCells>
  <hyperlinks>
    <hyperlink r:id="rId1" ref="E4"/>
    <hyperlink r:id="rId2" ref="E6"/>
    <hyperlink r:id="rId3" ref="E8"/>
    <hyperlink r:id="rId4" ref="E9"/>
    <hyperlink r:id="rId5" ref="E10"/>
    <hyperlink r:id="rId6" ref="E11"/>
    <hyperlink r:id="rId7" ref="G11"/>
    <hyperlink r:id="rId8" ref="G13"/>
    <hyperlink r:id="rId9" ref="D15"/>
    <hyperlink r:id="rId10" ref="E16"/>
    <hyperlink r:id="rId11" location="_ga=2.249539591.182630977.1708601110-785941630.1708601109" ref="E18"/>
    <hyperlink r:id="rId12" ref="C19"/>
    <hyperlink r:id="rId13" ref="E19"/>
    <hyperlink r:id="rId14" ref="E20"/>
    <hyperlink r:id="rId15" ref="E21"/>
    <hyperlink r:id="rId16" ref="E23"/>
    <hyperlink r:id="rId17" ref="E25"/>
    <hyperlink r:id="rId18" ref="E26"/>
    <hyperlink r:id="rId19" ref="E28"/>
    <hyperlink r:id="rId20" location="/Page/SVC_CATALOG@item-4--2" ref="E30"/>
    <hyperlink r:id="rId21" ref="E31"/>
    <hyperlink r:id="rId22" ref="E32"/>
    <hyperlink r:id="rId23" ref="G32"/>
    <hyperlink r:id="rId24" ref="H32"/>
    <hyperlink r:id="rId25" ref="I32"/>
    <hyperlink r:id="rId26" ref="E33"/>
    <hyperlink r:id="rId27" ref="H33"/>
    <hyperlink r:id="rId28" ref="E34"/>
    <hyperlink r:id="rId29" ref="H35"/>
    <hyperlink r:id="rId30" ref="E36"/>
    <hyperlink r:id="rId31" ref="E38"/>
    <hyperlink r:id="rId32" ref="D39"/>
    <hyperlink r:id="rId33" ref="E39"/>
    <hyperlink r:id="rId34" ref="E40"/>
    <hyperlink r:id="rId35" ref="E41"/>
    <hyperlink r:id="rId36" ref="F43"/>
    <hyperlink r:id="rId37" ref="E44"/>
    <hyperlink r:id="rId38" ref="E45"/>
    <hyperlink r:id="rId39" ref="E46"/>
    <hyperlink r:id="rId40" ref="E48"/>
    <hyperlink r:id="rId41" ref="E50"/>
    <hyperlink r:id="rId42" ref="E51"/>
    <hyperlink r:id="rId43" location="/file" ref="E52"/>
    <hyperlink r:id="rId44" ref="E54"/>
    <hyperlink r:id="rId45" ref="E55"/>
    <hyperlink r:id="rId46" ref="E56"/>
    <hyperlink r:id="rId47" ref="E57"/>
    <hyperlink r:id="rId48" ref="E58"/>
    <hyperlink r:id="rId49" location="/" ref="H59"/>
    <hyperlink r:id="rId50" ref="E62"/>
    <hyperlink r:id="rId51" ref="F62"/>
    <hyperlink r:id="rId52" ref="H63"/>
    <hyperlink r:id="rId53" ref="E65"/>
    <hyperlink r:id="rId54" ref="E66"/>
    <hyperlink r:id="rId55" ref="E69"/>
    <hyperlink r:id="rId56" ref="E70"/>
    <hyperlink r:id="rId57" ref="E75"/>
    <hyperlink r:id="rId58" ref="E80"/>
    <hyperlink r:id="rId59" ref="E82"/>
    <hyperlink r:id="rId60" ref="E83"/>
    <hyperlink r:id="rId61" ref="E84"/>
    <hyperlink r:id="rId62" location="nosotros4" ref="E86"/>
    <hyperlink r:id="rId63" ref="E87"/>
    <hyperlink r:id="rId64" ref="E88"/>
    <hyperlink r:id="rId65" ref="E89"/>
    <hyperlink r:id="rId66" ref="E91"/>
    <hyperlink r:id="rId67" ref="E93"/>
    <hyperlink r:id="rId68" ref="E95"/>
    <hyperlink r:id="rId69" ref="E96"/>
    <hyperlink r:id="rId70" ref="E97"/>
    <hyperlink r:id="rId71" ref="E98"/>
    <hyperlink r:id="rId72" ref="E99"/>
    <hyperlink r:id="rId73" ref="E101"/>
    <hyperlink r:id="rId74" location="current_ask-form-2" ref="E102"/>
    <hyperlink r:id="rId75" ref="E103"/>
    <hyperlink r:id="rId76" ref="E104"/>
    <hyperlink r:id="rId77" ref="E105"/>
    <hyperlink r:id="rId78" ref="E106"/>
    <hyperlink r:id="rId79" ref="E107"/>
    <hyperlink r:id="rId80" ref="E109"/>
    <hyperlink r:id="rId81" ref="E110"/>
    <hyperlink r:id="rId82" ref="E111"/>
    <hyperlink r:id="rId83" ref="E113"/>
    <hyperlink r:id="rId84" ref="E114"/>
    <hyperlink r:id="rId85" ref="E116"/>
    <hyperlink r:id="rId86" location="/flightcomplaint" ref="E118"/>
    <hyperlink r:id="rId87" ref="E121"/>
    <hyperlink r:id="rId88" ref="C124"/>
    <hyperlink r:id="rId89" ref="E124"/>
    <hyperlink r:id="rId90" ref="E125"/>
    <hyperlink r:id="rId91" ref="G125"/>
    <hyperlink r:id="rId92" ref="E126"/>
    <hyperlink r:id="rId93" ref="E127"/>
    <hyperlink r:id="rId94" ref="E128"/>
    <hyperlink r:id="rId95" ref="E130"/>
    <hyperlink r:id="rId96" ref="E131"/>
    <hyperlink r:id="rId97" ref="E132"/>
    <hyperlink r:id="rId98" ref="E133"/>
    <hyperlink r:id="rId99" ref="E136"/>
    <hyperlink r:id="rId100" ref="E139"/>
    <hyperlink r:id="rId101" ref="E141"/>
    <hyperlink r:id="rId102" ref="E142"/>
    <hyperlink r:id="rId103" ref="E143"/>
    <hyperlink r:id="rId104" ref="E144"/>
    <hyperlink r:id="rId105" ref="E147"/>
    <hyperlink r:id="rId106" location="/feedback?_gl=1*1aohqop*_ga*MTg1MTU2OTQwMi4xNzAzMjcwMzc5*_ga_0QVNSNCG0T*MTcwMzI3MDM3OC4xLjEuMTcwMzI3MDUxNi4yNS4wLjA." ref="E149"/>
    <hyperlink r:id="rId107" location="[object%20Object]" ref="E151"/>
    <hyperlink r:id="rId108" ref="C152"/>
    <hyperlink r:id="rId109" ref="E156"/>
    <hyperlink r:id="rId110" ref="E157"/>
    <hyperlink r:id="rId111" ref="F157"/>
    <hyperlink r:id="rId112" ref="E159"/>
    <hyperlink r:id="rId113" ref="E161"/>
    <hyperlink r:id="rId114" ref="E163"/>
    <hyperlink r:id="rId115" ref="E165"/>
    <hyperlink r:id="rId116" ref="E166"/>
    <hyperlink r:id="rId117" location="drawer-modal-4" ref="E168"/>
    <hyperlink r:id="rId118" ref="E169"/>
    <hyperlink r:id="rId119" ref="E171"/>
    <hyperlink r:id="rId120" ref="E172"/>
    <hyperlink r:id="rId121" ref="E176"/>
    <hyperlink r:id="rId122" ref="E177"/>
    <hyperlink r:id="rId123" ref="E178"/>
    <hyperlink r:id="rId124" ref="E181"/>
    <hyperlink r:id="rId125" ref="E184"/>
    <hyperlink r:id="rId126" ref="E187"/>
    <hyperlink r:id="rId127" ref="E188"/>
    <hyperlink r:id="rId128" ref="E189"/>
    <hyperlink r:id="rId129" location="/traveller" ref="E190"/>
    <hyperlink r:id="rId130" ref="E191"/>
    <hyperlink r:id="rId131" ref="H191"/>
    <hyperlink r:id="rId132" location="complaintForm" ref="E193"/>
    <hyperlink r:id="rId133" ref="E194"/>
    <hyperlink r:id="rId134" ref="E195"/>
    <hyperlink r:id="rId135" ref="E196"/>
    <hyperlink r:id="rId136" ref="E199"/>
    <hyperlink r:id="rId137" ref="E202"/>
    <hyperlink r:id="rId138" ref="E203"/>
    <hyperlink r:id="rId139" ref="E204"/>
    <hyperlink r:id="rId140" ref="E205"/>
    <hyperlink r:id="rId141" ref="E206"/>
    <hyperlink r:id="rId142" ref="E207"/>
    <hyperlink r:id="rId143" ref="E208"/>
    <hyperlink r:id="rId144" ref="G210"/>
    <hyperlink r:id="rId145" ref="E211"/>
    <hyperlink r:id="rId146" ref="G212"/>
    <hyperlink r:id="rId147" ref="E213"/>
    <hyperlink r:id="rId148" ref="H213"/>
    <hyperlink r:id="rId149" ref="E214"/>
    <hyperlink r:id="rId150" ref="E220"/>
    <hyperlink r:id="rId151" ref="E221"/>
    <hyperlink r:id="rId152" ref="F221"/>
    <hyperlink r:id="rId153" ref="G221"/>
    <hyperlink r:id="rId154" ref="E223"/>
    <hyperlink r:id="rId155" ref="E224"/>
    <hyperlink r:id="rId156" ref="E225"/>
    <hyperlink r:id="rId157" ref="C227"/>
    <hyperlink r:id="rId158" ref="E227"/>
    <hyperlink r:id="rId159" ref="E228"/>
    <hyperlink r:id="rId160" ref="E229"/>
    <hyperlink r:id="rId161" ref="E230"/>
    <hyperlink r:id="rId162" ref="E231"/>
    <hyperlink r:id="rId163" ref="E232"/>
    <hyperlink r:id="rId164" ref="E234"/>
    <hyperlink r:id="rId165" ref="H234"/>
    <hyperlink r:id="rId166" location="improper-execution-of-service?flight" ref="E237"/>
    <hyperlink r:id="rId167" ref="E240"/>
    <hyperlink r:id="rId168" ref="E241"/>
    <hyperlink r:id="rId169" ref="E242"/>
    <hyperlink r:id="rId170" ref="E244"/>
    <hyperlink r:id="rId171" ref="E245"/>
    <hyperlink r:id="rId172" ref="E246"/>
    <hyperlink r:id="rId173" ref="E247"/>
    <hyperlink r:id="rId174" ref="C251"/>
    <hyperlink r:id="rId175" ref="E254"/>
    <hyperlink r:id="rId176" ref="E255"/>
    <hyperlink r:id="rId177" ref="E256"/>
    <hyperlink r:id="rId178" ref="E257"/>
    <hyperlink r:id="rId179" ref="E258"/>
    <hyperlink r:id="rId180" ref="E259"/>
    <hyperlink r:id="rId181" ref="E263"/>
    <hyperlink r:id="rId182" ref="I266"/>
    <hyperlink r:id="rId183" ref="E269"/>
    <hyperlink r:id="rId184" ref="E271"/>
    <hyperlink r:id="rId185" ref="E272"/>
    <hyperlink r:id="rId186" ref="E273"/>
    <hyperlink r:id="rId187" ref="C274"/>
    <hyperlink r:id="rId188" ref="E275"/>
    <hyperlink r:id="rId189" ref="E276"/>
    <hyperlink r:id="rId190" ref="E277"/>
    <hyperlink r:id="rId191" ref="E278"/>
    <hyperlink r:id="rId192" ref="E279"/>
    <hyperlink r:id="rId193" ref="E280"/>
    <hyperlink r:id="rId194" ref="E281"/>
    <hyperlink r:id="rId195" ref="E282"/>
    <hyperlink r:id="rId196" ref="C285"/>
    <hyperlink r:id="rId197" ref="E288"/>
    <hyperlink r:id="rId198" ref="G288"/>
    <hyperlink r:id="rId199" ref="H290"/>
    <hyperlink r:id="rId200" ref="E292"/>
    <hyperlink r:id="rId201" ref="E294"/>
    <hyperlink r:id="rId202" ref="E295"/>
    <hyperlink r:id="rId203" ref="G295"/>
    <hyperlink r:id="rId204" ref="E296"/>
    <hyperlink r:id="rId205" ref="E297"/>
    <hyperlink r:id="rId206" ref="E298"/>
    <hyperlink r:id="rId207" ref="E299"/>
    <hyperlink r:id="rId208" ref="E303"/>
    <hyperlink r:id="rId209" ref="E304"/>
  </hyperlinks>
  <drawing r:id="rId2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6" t="str">
        <f>IFERROR(__xludf.DUMMYFUNCTION("IMPORTRANGE(""https://docs.google.com/spreadsheets/d/1s3ob8vnG8KqF9VEFQoxZPE0EuFhsc5xpuQcXt7LcWG8/edit?gid=0#gid=0"",""Sheet1!A:j"")"),"Airline Name")</f>
        <v>Airline Name</v>
      </c>
      <c r="B1" s="127"/>
      <c r="C1" s="128" t="str">
        <f>IFERROR(__xludf.DUMMYFUNCTION("""COMPUTED_VALUE"""),"MAIN E-MAIL")</f>
        <v>MAIN E-MAIL</v>
      </c>
      <c r="D1" s="129" t="str">
        <f>IFERROR(__xludf.DUMMYFUNCTION("""COMPUTED_VALUE"""),"WAY OF SUBMISSION")</f>
        <v>WAY OF SUBMISSION</v>
      </c>
      <c r="E1" s="129" t="str">
        <f>IFERROR(__xludf.DUMMYFUNCTION("""COMPUTED_VALUE""")," ( Links/ webform)")</f>
        <v> ( Links/ webform)</v>
      </c>
      <c r="F1" s="127" t="str">
        <f>IFERROR(__xludf.DUMMYFUNCTION("""COMPUTED_VALUE"""),"Mandatory")</f>
        <v>Mandatory</v>
      </c>
      <c r="G1" s="127" t="str">
        <f>IFERROR(__xludf.DUMMYFUNCTION("""COMPUTED_VALUE"""),"Other Links/ Address")</f>
        <v>Other Links/ Address</v>
      </c>
      <c r="H1" s="127" t="str">
        <f>IFERROR(__xludf.DUMMYFUNCTION("""COMPUTED_VALUE"""),"Remarks")</f>
        <v>Remarks</v>
      </c>
      <c r="I1" s="130"/>
      <c r="J1" s="127"/>
      <c r="K1" s="127"/>
      <c r="L1" s="127"/>
      <c r="M1" s="127"/>
      <c r="N1" s="127"/>
      <c r="O1" s="127"/>
      <c r="P1" s="127"/>
      <c r="Q1" s="127"/>
      <c r="R1" s="127"/>
      <c r="S1" s="127"/>
      <c r="T1" s="127"/>
      <c r="U1" s="127"/>
      <c r="V1" s="127"/>
      <c r="W1" s="127"/>
      <c r="X1" s="127"/>
      <c r="Y1" s="127"/>
      <c r="Z1" s="127"/>
      <c r="AA1" s="127"/>
      <c r="AB1" s="127"/>
    </row>
    <row r="2">
      <c r="A2" s="31"/>
      <c r="B2" s="127"/>
      <c r="C2" s="128"/>
      <c r="D2" s="129" t="str">
        <f>IFERROR(__xludf.DUMMYFUNCTION("""COMPUTED_VALUE"""),"(e-mail/webform w/attach./webform w/o attach./post)")</f>
        <v>(e-mail/webform w/attach./webform w/o attach./post)</v>
      </c>
      <c r="F2" s="127"/>
      <c r="G2" s="127"/>
      <c r="H2" s="127"/>
      <c r="I2" s="127"/>
      <c r="J2" s="127"/>
      <c r="K2" s="127"/>
      <c r="L2" s="127"/>
      <c r="M2" s="127"/>
      <c r="N2" s="127"/>
      <c r="O2" s="127"/>
      <c r="P2" s="127"/>
      <c r="Q2" s="127"/>
      <c r="R2" s="127"/>
      <c r="S2" s="127"/>
      <c r="T2" s="127"/>
      <c r="U2" s="127"/>
      <c r="V2" s="127"/>
      <c r="W2" s="127"/>
      <c r="X2" s="127"/>
      <c r="Y2" s="127"/>
      <c r="Z2" s="127"/>
      <c r="AA2" s="127"/>
      <c r="AB2" s="127"/>
    </row>
    <row r="3">
      <c r="A3" s="31" t="str">
        <f>IFERROR(__xludf.DUMMYFUNCTION("""COMPUTED_VALUE"""),"4 Airways")</f>
        <v>4 Airways</v>
      </c>
      <c r="B3" s="127"/>
      <c r="C3" s="128" t="str">
        <f>IFERROR(__xludf.DUMMYFUNCTION("""COMPUTED_VALUE"""),"info@4airways.com")</f>
        <v>info@4airways.com</v>
      </c>
      <c r="D3" s="129" t="str">
        <f>IFERROR(__xludf.DUMMYFUNCTION("""COMPUTED_VALUE"""),"Email")</f>
        <v>Email</v>
      </c>
      <c r="E3" s="129" t="str">
        <f>IFERROR(__xludf.DUMMYFUNCTION("""COMPUTED_VALUE"""),"info@4airways.com")</f>
        <v>info@4airways.com</v>
      </c>
      <c r="F3" s="127"/>
      <c r="G3" s="127"/>
      <c r="H3" s="127"/>
      <c r="I3" s="127"/>
      <c r="J3" s="127"/>
      <c r="K3" s="127"/>
      <c r="L3" s="127"/>
      <c r="M3" s="127"/>
      <c r="N3" s="127"/>
      <c r="O3" s="127"/>
      <c r="P3" s="127"/>
      <c r="Q3" s="127"/>
      <c r="R3" s="127"/>
      <c r="S3" s="127"/>
      <c r="T3" s="127"/>
      <c r="U3" s="127"/>
      <c r="V3" s="127"/>
      <c r="W3" s="127"/>
      <c r="X3" s="127"/>
      <c r="Y3" s="127"/>
      <c r="Z3" s="127"/>
      <c r="AA3" s="127"/>
      <c r="AB3" s="127"/>
    </row>
    <row r="4">
      <c r="A4" s="31" t="str">
        <f>IFERROR(__xludf.DUMMYFUNCTION("""COMPUTED_VALUE"""),"AlbaStar")</f>
        <v>AlbaStar</v>
      </c>
      <c r="B4" s="127"/>
      <c r="C4" s="128" t="str">
        <f>IFERROR(__xludf.DUMMYFUNCTION("""COMPUTED_VALUE"""),"commercial@albastar.es")</f>
        <v>commercial@albastar.es</v>
      </c>
      <c r="D4" s="129" t="str">
        <f>IFERROR(__xludf.DUMMYFUNCTION("""COMPUTED_VALUE"""),"webform w/o attachment")</f>
        <v>webform w/o attachment</v>
      </c>
      <c r="E4" s="131" t="str">
        <f>IFERROR(__xludf.DUMMYFUNCTION("""COMPUTED_VALUE"""),"https://albastar.es/en/complaints/")</f>
        <v>https://albastar.es/en/complaints/</v>
      </c>
      <c r="F4" s="127"/>
      <c r="G4" s="127"/>
      <c r="H4" s="127"/>
      <c r="I4" s="127"/>
      <c r="J4" s="127"/>
      <c r="K4" s="127"/>
      <c r="L4" s="127"/>
      <c r="M4" s="127"/>
      <c r="N4" s="127"/>
      <c r="O4" s="127"/>
      <c r="P4" s="127"/>
      <c r="Q4" s="127"/>
      <c r="R4" s="127"/>
      <c r="S4" s="127"/>
      <c r="T4" s="127"/>
      <c r="U4" s="127"/>
      <c r="V4" s="127"/>
      <c r="W4" s="127"/>
      <c r="X4" s="127"/>
      <c r="Y4" s="127"/>
      <c r="Z4" s="127"/>
      <c r="AA4" s="127"/>
      <c r="AB4" s="127"/>
    </row>
    <row r="5">
      <c r="A5" s="31" t="str">
        <f>IFERROR(__xludf.DUMMYFUNCTION("""COMPUTED_VALUE"""),"AlpAvia")</f>
        <v>AlpAvia</v>
      </c>
      <c r="B5" s="127"/>
      <c r="C5" s="128" t="str">
        <f>IFERROR(__xludf.DUMMYFUNCTION("""COMPUTED_VALUE"""),"customercare@alpavia.si")</f>
        <v>customercare@alpavia.si</v>
      </c>
      <c r="D5" s="129" t="str">
        <f>IFERROR(__xludf.DUMMYFUNCTION("""COMPUTED_VALUE"""),"webform w/o attachment")</f>
        <v>webform w/o attachment</v>
      </c>
      <c r="E5" s="129" t="str">
        <f>IFERROR(__xludf.DUMMYFUNCTION("""COMPUTED_VALUE"""),"customercare@alpavia.si")</f>
        <v>customercare@alpavia.si</v>
      </c>
      <c r="F5" s="127"/>
      <c r="G5" s="127"/>
      <c r="H5" s="127"/>
      <c r="I5" s="127"/>
      <c r="J5" s="127"/>
      <c r="K5" s="127"/>
      <c r="L5" s="127"/>
      <c r="M5" s="127"/>
      <c r="N5" s="127"/>
      <c r="O5" s="127"/>
      <c r="P5" s="127"/>
      <c r="Q5" s="127"/>
      <c r="R5" s="127"/>
      <c r="S5" s="127"/>
      <c r="T5" s="127"/>
      <c r="U5" s="127"/>
      <c r="V5" s="127"/>
      <c r="W5" s="127"/>
      <c r="X5" s="127"/>
      <c r="Y5" s="127"/>
      <c r="Z5" s="127"/>
      <c r="AA5" s="127"/>
      <c r="AB5" s="127"/>
    </row>
    <row r="6">
      <c r="A6" s="31" t="str">
        <f>IFERROR(__xludf.DUMMYFUNCTION("""COMPUTED_VALUE"""),"Aegean Airlines (A3)")</f>
        <v>Aegean Airlines (A3)</v>
      </c>
      <c r="B6" s="127"/>
      <c r="C6" s="128" t="str">
        <f>IFERROR(__xludf.DUMMYFUNCTION("""COMPUTED_VALUE"""),"contact@aegeanair.com")</f>
        <v>contact@aegeanair.com</v>
      </c>
      <c r="D6" s="129" t="str">
        <f>IFERROR(__xludf.DUMMYFUNCTION("""COMPUTED_VALUE"""),"web form")</f>
        <v>web form</v>
      </c>
      <c r="E6" s="131" t="str">
        <f>IFERROR(__xludf.DUMMYFUNCTION("""COMPUTED_VALUE"""),"https://aegeanairlines.custhelp.com/app/email")</f>
        <v>https://aegeanairlines.custhelp.com/app/email</v>
      </c>
      <c r="F6" s="127"/>
      <c r="G6" s="127"/>
      <c r="H6" s="127" t="str">
        <f>IFERROR(__xludf.DUMMYFUNCTION("""COMPUTED_VALUE"""),"Olympic air form")</f>
        <v>Olympic air form</v>
      </c>
      <c r="I6" s="127"/>
      <c r="J6" s="127"/>
      <c r="K6" s="127"/>
      <c r="L6" s="127"/>
      <c r="M6" s="127"/>
      <c r="N6" s="127"/>
      <c r="O6" s="127"/>
      <c r="P6" s="127"/>
      <c r="Q6" s="127"/>
      <c r="R6" s="127"/>
      <c r="S6" s="127"/>
      <c r="T6" s="127"/>
      <c r="U6" s="127"/>
      <c r="V6" s="127"/>
      <c r="W6" s="127"/>
      <c r="X6" s="127"/>
      <c r="Y6" s="127"/>
      <c r="Z6" s="127"/>
      <c r="AA6" s="127"/>
      <c r="AB6" s="127"/>
    </row>
    <row r="7">
      <c r="A7" s="31" t="str">
        <f>IFERROR(__xludf.DUMMYFUNCTION("""COMPUTED_VALUE"""),"Aer Arann (RE)")</f>
        <v>Aer Arann (RE)</v>
      </c>
      <c r="B7" s="127"/>
      <c r="C7" s="128"/>
      <c r="D7" s="129" t="str">
        <f>IFERROR(__xludf.DUMMYFUNCTION("""COMPUTED_VALUE"""),"to be sent to Aer Lingus")</f>
        <v>to be sent to Aer Lingus</v>
      </c>
      <c r="E7" s="129" t="str">
        <f>IFERROR(__xludf.DUMMYFUNCTION("""COMPUTED_VALUE"""),"to be sent to Aer Lingus")</f>
        <v>to be sent to Aer Lingus</v>
      </c>
      <c r="F7" s="127"/>
      <c r="G7" s="127"/>
      <c r="H7" s="127"/>
      <c r="I7" s="127"/>
      <c r="J7" s="127"/>
      <c r="K7" s="127"/>
      <c r="L7" s="127"/>
      <c r="M7" s="127"/>
      <c r="N7" s="127"/>
      <c r="O7" s="127"/>
      <c r="P7" s="127"/>
      <c r="Q7" s="127"/>
      <c r="R7" s="127"/>
      <c r="S7" s="127"/>
      <c r="T7" s="127"/>
      <c r="U7" s="127"/>
      <c r="V7" s="127"/>
      <c r="W7" s="127"/>
      <c r="X7" s="127"/>
      <c r="Y7" s="127"/>
      <c r="Z7" s="127"/>
      <c r="AA7" s="127"/>
      <c r="AB7" s="127"/>
    </row>
    <row r="8">
      <c r="A8" s="31" t="str">
        <f>IFERROR(__xludf.DUMMYFUNCTION("""COMPUTED_VALUE"""),"Aer Lingus (EI)")</f>
        <v>Aer Lingus (EI)</v>
      </c>
      <c r="B8" s="127"/>
      <c r="C8" s="128" t="str">
        <f>IFERROR(__xludf.DUMMYFUNCTION("""COMPUTED_VALUE"""),"FlightCompensationClaims@aerlingus.com")</f>
        <v>FlightCompensationClaims@aerlingus.com</v>
      </c>
      <c r="D8" s="129" t="str">
        <f>IFERROR(__xludf.DUMMYFUNCTION("""COMPUTED_VALUE"""),"webform w/ attachment")</f>
        <v>webform w/ attachment</v>
      </c>
      <c r="E8" s="131" t="str">
        <f>IFERROR(__xludf.DUMMYFUNCTION("""COMPUTED_VALUE"""),"https://www.aerlingus.com/app/support/forms/flight-disruption-compensation-form")</f>
        <v>https://www.aerlingus.com/app/support/forms/flight-disruption-compensation-form</v>
      </c>
      <c r="F8" s="127" t="str">
        <f>IFERROR(__xludf.DUMMYFUNCTION("""COMPUTED_VALUE"""),"Generate Aer Lingus POA   //  If webform does not work then send via email")</f>
        <v>Generate Aer Lingus POA   //  If webform does not work then send via email</v>
      </c>
      <c r="G8" s="127" t="str">
        <f>IFERROR(__xludf.DUMMYFUNCTION("""COMPUTED_VALUE"""),"Case update:https://www.aerlingus.com/support/customer-care/requests-and-enquiries/case-update/")</f>
        <v>Case update:https://www.aerlingus.com/support/customer-care/requests-and-enquiries/case-update/</v>
      </c>
      <c r="H8" s="127"/>
      <c r="I8" s="127"/>
      <c r="J8" s="127"/>
      <c r="K8" s="127"/>
      <c r="L8" s="127"/>
      <c r="M8" s="127"/>
      <c r="N8" s="127"/>
      <c r="O8" s="127"/>
      <c r="P8" s="127"/>
      <c r="Q8" s="127"/>
      <c r="R8" s="127"/>
      <c r="S8" s="127"/>
      <c r="T8" s="127"/>
      <c r="U8" s="127"/>
      <c r="V8" s="127"/>
      <c r="W8" s="127"/>
      <c r="X8" s="127"/>
      <c r="Y8" s="127"/>
      <c r="Z8" s="127"/>
      <c r="AA8" s="127"/>
      <c r="AB8" s="127"/>
    </row>
    <row r="9">
      <c r="A9" s="31" t="str">
        <f>IFERROR(__xludf.DUMMYFUNCTION("""COMPUTED_VALUE"""),"AeroItalia")</f>
        <v>AeroItalia</v>
      </c>
      <c r="B9" s="127" t="str">
        <f>IFERROR(__xludf.DUMMYFUNCTION("""COMPUTED_VALUE"""),"Sends Reference in email after submission")</f>
        <v>Sends Reference in email after submission</v>
      </c>
      <c r="C9" s="128" t="str">
        <f>IFERROR(__xludf.DUMMYFUNCTION("""COMPUTED_VALUE"""),"customersupport@aeroitalia.com")</f>
        <v>customersupport@aeroitalia.com</v>
      </c>
      <c r="D9" s="129" t="str">
        <f>IFERROR(__xludf.DUMMYFUNCTION("""COMPUTED_VALUE"""),"webform w/ attachment")</f>
        <v>webform w/ attachment</v>
      </c>
      <c r="E9" s="131" t="str">
        <f>IFERROR(__xludf.DUMMYFUNCTION("""COMPUTED_VALUE"""),"https://www.aeroitalia.com/en/contact_form")</f>
        <v>https://www.aeroitalia.com/en/contact_form</v>
      </c>
      <c r="F9" s="127" t="str">
        <f>IFERROR(__xludf.DUMMYFUNCTION("""COMPUTED_VALUE"""),"ID")</f>
        <v>ID</v>
      </c>
      <c r="G9" s="127"/>
      <c r="H9" s="127"/>
      <c r="I9" s="127"/>
      <c r="J9" s="127"/>
      <c r="K9" s="127"/>
      <c r="L9" s="127"/>
      <c r="M9" s="127"/>
      <c r="N9" s="127"/>
      <c r="O9" s="127"/>
      <c r="P9" s="127"/>
      <c r="Q9" s="127"/>
      <c r="R9" s="127"/>
      <c r="S9" s="127"/>
      <c r="T9" s="127"/>
      <c r="U9" s="127"/>
      <c r="V9" s="127"/>
      <c r="W9" s="127"/>
      <c r="X9" s="127"/>
      <c r="Y9" s="127"/>
      <c r="Z9" s="127"/>
      <c r="AA9" s="127"/>
      <c r="AB9" s="127"/>
    </row>
    <row r="10">
      <c r="A10" s="31" t="str">
        <f>IFERROR(__xludf.DUMMYFUNCTION("""COMPUTED_VALUE"""),"Aeroflot Russian Airlines (SU)")</f>
        <v>Aeroflot Russian Airlines (SU)</v>
      </c>
      <c r="B10" s="127"/>
      <c r="C10" s="128" t="str">
        <f>IFERROR(__xludf.DUMMYFUNCTION("""COMPUTED_VALUE"""),"openline@aeroflot.ru")</f>
        <v>openline@aeroflot.ru</v>
      </c>
      <c r="D10" s="129" t="str">
        <f>IFERROR(__xludf.DUMMYFUNCTION("""COMPUTED_VALUE"""),"webform w/ attachment")</f>
        <v>webform w/ attachment</v>
      </c>
      <c r="E10" s="131" t="str">
        <f>IFERROR(__xludf.DUMMYFUNCTION("""COMPUTED_VALUE"""),"https://www.aeroflot.ru/us-en/help/questions/claim/delayed_flight")</f>
        <v>https://www.aeroflot.ru/us-en/help/questions/claim/delayed_flight</v>
      </c>
      <c r="F10" s="127"/>
      <c r="G10" s="127"/>
      <c r="H10" s="127"/>
      <c r="I10" s="127"/>
      <c r="J10" s="127"/>
      <c r="K10" s="127"/>
      <c r="L10" s="127"/>
      <c r="M10" s="127"/>
      <c r="N10" s="127"/>
      <c r="O10" s="127"/>
      <c r="P10" s="127"/>
      <c r="Q10" s="127"/>
      <c r="R10" s="127"/>
      <c r="S10" s="127"/>
      <c r="T10" s="127"/>
      <c r="U10" s="127"/>
      <c r="V10" s="127"/>
      <c r="W10" s="127"/>
      <c r="X10" s="127"/>
      <c r="Y10" s="127"/>
      <c r="Z10" s="127"/>
      <c r="AA10" s="127"/>
      <c r="AB10" s="127"/>
    </row>
    <row r="11">
      <c r="A11" s="31" t="str">
        <f>IFERROR(__xludf.DUMMYFUNCTION("""COMPUTED_VALUE"""),"Aerolineas Argentinas (AR)")</f>
        <v>Aerolineas Argentinas (AR)</v>
      </c>
      <c r="B11" s="127"/>
      <c r="C11" s="128" t="str">
        <f>IFERROR(__xludf.DUMMYFUNCTION("""COMPUTED_VALUE"""),"centrodeatencionalcliente@aerolineas.com.ar")</f>
        <v>centrodeatencionalcliente@aerolineas.com.ar</v>
      </c>
      <c r="D11" s="129" t="str">
        <f>IFERROR(__xludf.DUMMYFUNCTION("""COMPUTED_VALUE"""),"webform w/ attachment")</f>
        <v>webform w/ attachment</v>
      </c>
      <c r="E11" s="131" t="str">
        <f>IFERROR(__xludf.DUMMYFUNCTION("""COMPUTED_VALUE"""),"https://www.aerolineas.com.ar/en-eu/reservation-services/customer-service-contact")</f>
        <v>https://www.aerolineas.com.ar/en-eu/reservation-services/customer-service-contact</v>
      </c>
      <c r="F11" s="127" t="str">
        <f>IFERROR(__xludf.DUMMYFUNCTION("""COMPUTED_VALUE"""),"Ticket number, ID number")</f>
        <v>Ticket number, ID number</v>
      </c>
      <c r="G11" s="132" t="str">
        <f>IFERROR(__xludf.DUMMYFUNCTION("""COMPUTED_VALUE"""),"https://ww2.aerolineas.com.ar/en-ar/contacto/contactoatencioncliente")</f>
        <v>https://ww2.aerolineas.com.ar/en-ar/contacto/contactoatencioncliente</v>
      </c>
      <c r="H11" s="127"/>
      <c r="I11" s="127"/>
      <c r="J11" s="127"/>
      <c r="K11" s="127"/>
      <c r="L11" s="127"/>
      <c r="M11" s="127"/>
      <c r="N11" s="127"/>
      <c r="O11" s="127"/>
      <c r="P11" s="127"/>
      <c r="Q11" s="127"/>
      <c r="R11" s="127"/>
      <c r="S11" s="127"/>
      <c r="T11" s="127"/>
      <c r="U11" s="127"/>
      <c r="V11" s="127"/>
      <c r="W11" s="127"/>
      <c r="X11" s="127"/>
      <c r="Y11" s="127"/>
      <c r="Z11" s="127"/>
      <c r="AA11" s="127"/>
      <c r="AB11" s="127"/>
    </row>
    <row r="12">
      <c r="A12" s="31" t="str">
        <f>IFERROR(__xludf.DUMMYFUNCTION("""COMPUTED_VALUE"""),"Aerolíneas Estelar")</f>
        <v>Aerolíneas Estelar</v>
      </c>
      <c r="B12" s="127"/>
      <c r="C12" s="128" t="str">
        <f>IFERROR(__xludf.DUMMYFUNCTION("""COMPUTED_VALUE"""),"atencionalcliente@flyestelar.com")</f>
        <v>atencionalcliente@flyestelar.com</v>
      </c>
      <c r="D12" s="129"/>
      <c r="E12" s="129" t="str">
        <f>IFERROR(__xludf.DUMMYFUNCTION("""COMPUTED_VALUE"""),"atencionalcliente@flyestelar.com")</f>
        <v>atencionalcliente@flyestelar.com</v>
      </c>
      <c r="F12" s="127"/>
      <c r="G12" s="127"/>
      <c r="H12" s="127"/>
      <c r="I12" s="127"/>
      <c r="J12" s="127"/>
      <c r="K12" s="127"/>
      <c r="L12" s="127"/>
      <c r="M12" s="127"/>
      <c r="N12" s="127"/>
      <c r="O12" s="127"/>
      <c r="P12" s="127"/>
      <c r="Q12" s="127"/>
      <c r="R12" s="127"/>
      <c r="S12" s="127"/>
      <c r="T12" s="127"/>
      <c r="U12" s="127"/>
      <c r="V12" s="127"/>
      <c r="W12" s="127"/>
      <c r="X12" s="127"/>
      <c r="Y12" s="127"/>
      <c r="Z12" s="127"/>
      <c r="AA12" s="127"/>
      <c r="AB12" s="127"/>
    </row>
    <row r="13">
      <c r="A13" s="31" t="str">
        <f>IFERROR(__xludf.DUMMYFUNCTION("""COMPUTED_VALUE"""),"Aeromexico (AM)")</f>
        <v>Aeromexico (AM)</v>
      </c>
      <c r="B13" s="127"/>
      <c r="C13" s="128" t="str">
        <f>IFERROR(__xludf.DUMMYFUNCTION("""COMPUTED_VALUE"""),"servicioaclientes@aeromexico.com.mx")</f>
        <v>servicioaclientes@aeromexico.com.mx</v>
      </c>
      <c r="D13" s="129" t="str">
        <f>IFERROR(__xludf.DUMMYFUNCTION("""COMPUTED_VALUE"""),"webform w/o attachment or e-mail")</f>
        <v>webform w/o attachment or e-mail</v>
      </c>
      <c r="E13" s="129" t="str">
        <f>IFERROR(__xludf.DUMMYFUNCTION("""COMPUTED_VALUE"""),"servicioaclientes@aeromexico.com.mx")</f>
        <v>servicioaclientes@aeromexico.com.mx</v>
      </c>
      <c r="F13" s="127"/>
      <c r="G13" s="132" t="str">
        <f>IFERROR(__xludf.DUMMYFUNCTION("""COMPUTED_VALUE"""),"https://aeromexico.com/es-mx/contacto")</f>
        <v>https://aeromexico.com/es-mx/contacto</v>
      </c>
      <c r="H13" s="127"/>
      <c r="I13" s="127"/>
      <c r="J13" s="127"/>
      <c r="K13" s="127"/>
      <c r="L13" s="127"/>
      <c r="M13" s="127"/>
      <c r="N13" s="127"/>
      <c r="O13" s="127"/>
      <c r="P13" s="127"/>
      <c r="Q13" s="127"/>
      <c r="R13" s="127"/>
      <c r="S13" s="127"/>
      <c r="T13" s="127"/>
      <c r="U13" s="127"/>
      <c r="V13" s="127"/>
      <c r="W13" s="127"/>
      <c r="X13" s="127"/>
      <c r="Y13" s="127"/>
      <c r="Z13" s="127"/>
      <c r="AA13" s="127"/>
      <c r="AB13" s="127"/>
    </row>
    <row r="14">
      <c r="A14" s="31" t="str">
        <f>IFERROR(__xludf.DUMMYFUNCTION("""COMPUTED_VALUE"""),"Air Albania")</f>
        <v>Air Albania</v>
      </c>
      <c r="B14" s="127" t="str">
        <f>IFERROR(__xludf.DUMMYFUNCTION("""COMPUTED_VALUE"""),"Ceased operations in December 2025")</f>
        <v>Ceased operations in December 2025</v>
      </c>
      <c r="C14" s="128" t="str">
        <f>IFERROR(__xludf.DUMMYFUNCTION("""COMPUTED_VALUE""")," customer.care@airalbania.com.al")</f>
        <v> customer.care@airalbania.com.al</v>
      </c>
      <c r="D14" s="129" t="str">
        <f>IFERROR(__xludf.DUMMYFUNCTION("""COMPUTED_VALUE"""),"eMail")</f>
        <v>eMail</v>
      </c>
      <c r="E14" s="129" t="str">
        <f>IFERROR(__xludf.DUMMYFUNCTION("""COMPUTED_VALUE""")," customer.care@airalbania.com.al")</f>
        <v> customer.care@airalbania.com.al</v>
      </c>
      <c r="F14" s="127"/>
      <c r="G14" s="127"/>
      <c r="H14" s="127"/>
      <c r="I14" s="127"/>
      <c r="J14" s="127"/>
      <c r="K14" s="127"/>
      <c r="L14" s="127"/>
      <c r="M14" s="127"/>
      <c r="N14" s="127"/>
      <c r="O14" s="127"/>
      <c r="P14" s="127"/>
      <c r="Q14" s="127"/>
      <c r="R14" s="127"/>
      <c r="S14" s="127"/>
      <c r="T14" s="127"/>
      <c r="U14" s="127"/>
      <c r="V14" s="127"/>
      <c r="W14" s="127"/>
      <c r="X14" s="127"/>
      <c r="Y14" s="127"/>
      <c r="Z14" s="127"/>
      <c r="AA14" s="127"/>
      <c r="AB14" s="127"/>
    </row>
    <row r="15">
      <c r="A15" s="31" t="str">
        <f>IFERROR(__xludf.DUMMYFUNCTION("""COMPUTED_VALUE"""),"Air Algerie")</f>
        <v>Air Algerie</v>
      </c>
      <c r="B15" s="127"/>
      <c r="C15" s="128" t="str">
        <f>IFERROR(__xludf.DUMMYFUNCTION("""COMPUTED_VALUE"""),"service-clients@airalgerie.dz")</f>
        <v>service-clients@airalgerie.dz</v>
      </c>
      <c r="D15" s="131" t="str">
        <f>IFERROR(__xludf.DUMMYFUNCTION("""COMPUTED_VALUE"""),"https://doleances.airalgerie.dz/reclamation/forms")</f>
        <v>https://doleances.airalgerie.dz/reclamation/forms</v>
      </c>
      <c r="E15" s="129" t="str">
        <f>IFERROR(__xludf.DUMMYFUNCTION("""COMPUTED_VALUE"""),"service-clients@airalgerie.dz")</f>
        <v>service-clients@airalgerie.dz</v>
      </c>
      <c r="F15" s="127" t="str">
        <f>IFERROR(__xludf.DUMMYFUNCTION("""COMPUTED_VALUE"""),"ID- front and Back or Copy of Passport")</f>
        <v>ID- front and Back or Copy of Passport</v>
      </c>
      <c r="G15" s="127"/>
      <c r="H15" s="127"/>
      <c r="I15" s="127"/>
      <c r="J15" s="127"/>
      <c r="K15" s="127"/>
      <c r="L15" s="127"/>
      <c r="M15" s="127"/>
      <c r="N15" s="127"/>
      <c r="O15" s="127"/>
      <c r="P15" s="127"/>
      <c r="Q15" s="127"/>
      <c r="R15" s="127"/>
      <c r="S15" s="127"/>
      <c r="T15" s="127"/>
      <c r="U15" s="127"/>
      <c r="V15" s="127"/>
      <c r="W15" s="127"/>
      <c r="X15" s="127"/>
      <c r="Y15" s="127"/>
      <c r="Z15" s="127"/>
      <c r="AA15" s="127"/>
      <c r="AB15" s="127"/>
    </row>
    <row r="16">
      <c r="A16" s="31" t="str">
        <f>IFERROR(__xludf.DUMMYFUNCTION("""COMPUTED_VALUE"""),"Air Anka")</f>
        <v>Air Anka</v>
      </c>
      <c r="B16" s="127"/>
      <c r="C16" s="128" t="str">
        <f>IFERROR(__xludf.DUMMYFUNCTION("""COMPUTED_VALUE"""),"info@airanka.com.tr")</f>
        <v>info@airanka.com.tr</v>
      </c>
      <c r="D16" s="129" t="str">
        <f>IFERROR(__xludf.DUMMYFUNCTION("""COMPUTED_VALUE"""),"webform w/o attachment")</f>
        <v>webform w/o attachment</v>
      </c>
      <c r="E16" s="131" t="str">
        <f>IFERROR(__xludf.DUMMYFUNCTION("""COMPUTED_VALUE"""),"https://airanka.com.tr/contact-us/")</f>
        <v>https://airanka.com.tr/contact-us/</v>
      </c>
      <c r="F16" s="127"/>
      <c r="G16" s="127"/>
      <c r="H16" s="127"/>
      <c r="I16" s="127"/>
      <c r="J16" s="127"/>
      <c r="K16" s="127"/>
      <c r="L16" s="127"/>
      <c r="M16" s="127"/>
      <c r="N16" s="127"/>
      <c r="O16" s="127"/>
      <c r="P16" s="127"/>
      <c r="Q16" s="127"/>
      <c r="R16" s="127"/>
      <c r="S16" s="127"/>
      <c r="T16" s="127"/>
      <c r="U16" s="127"/>
      <c r="V16" s="127"/>
      <c r="W16" s="127"/>
      <c r="X16" s="127"/>
      <c r="Y16" s="127"/>
      <c r="Z16" s="127"/>
      <c r="AA16" s="127"/>
      <c r="AB16" s="127"/>
    </row>
    <row r="17">
      <c r="A17" s="31" t="str">
        <f>IFERROR(__xludf.DUMMYFUNCTION("""COMPUTED_VALUE"""),"Air Antilles")</f>
        <v>Air Antilles</v>
      </c>
      <c r="B17" s="127"/>
      <c r="C17" s="128" t="str">
        <f>IFERROR(__xludf.DUMMYFUNCTION("""COMPUTED_VALUE"""),"callcenter@airantilles.com")</f>
        <v>callcenter@airantilles.com</v>
      </c>
      <c r="D17" s="129" t="str">
        <f>IFERROR(__xludf.DUMMYFUNCTION("""COMPUTED_VALUE"""),"eMail")</f>
        <v>eMail</v>
      </c>
      <c r="E17" s="129" t="str">
        <f>IFERROR(__xludf.DUMMYFUNCTION("""COMPUTED_VALUE"""),"callcenter@airantilles.com")</f>
        <v>callcenter@airantilles.com</v>
      </c>
      <c r="F17" s="127"/>
      <c r="G17" s="127"/>
      <c r="H17" s="127"/>
      <c r="I17" s="127"/>
      <c r="J17" s="127"/>
      <c r="K17" s="127"/>
      <c r="L17" s="127"/>
      <c r="M17" s="127"/>
      <c r="N17" s="127"/>
      <c r="O17" s="127"/>
      <c r="P17" s="127"/>
      <c r="Q17" s="127"/>
      <c r="R17" s="127"/>
      <c r="S17" s="127"/>
      <c r="T17" s="127"/>
      <c r="U17" s="127"/>
      <c r="V17" s="127"/>
      <c r="W17" s="127"/>
      <c r="X17" s="127"/>
      <c r="Y17" s="127"/>
      <c r="Z17" s="127"/>
      <c r="AA17" s="127"/>
      <c r="AB17" s="127"/>
    </row>
    <row r="18">
      <c r="A18" s="31" t="str">
        <f>IFERROR(__xludf.DUMMYFUNCTION("""COMPUTED_VALUE"""),"Air Austral")</f>
        <v>Air Austral</v>
      </c>
      <c r="B18" s="127"/>
      <c r="C18" s="128" t="str">
        <f>IFERROR(__xludf.DUMMYFUNCTION("""COMPUTED_VALUE"""),"no-reply@air-austral.reclamation.eu")</f>
        <v>no-reply@air-austral.reclamation.eu</v>
      </c>
      <c r="D18" s="129"/>
      <c r="E18" s="131" t="str">
        <f>IFERROR(__xludf.DUMMYFUNCTION("""COMPUTED_VALUE"""),"https://sav.air-austral.com/en/complaints/new#_ga=2.249539591.182630977.1708601110-785941630.1708601109")</f>
        <v>https://sav.air-austral.com/en/complaints/new#_ga=2.249539591.182630977.1708601110-785941630.1708601109</v>
      </c>
      <c r="F18" s="127"/>
      <c r="G18" s="127"/>
      <c r="H18" s="127"/>
      <c r="I18" s="127"/>
      <c r="J18" s="127"/>
      <c r="K18" s="127"/>
      <c r="L18" s="127"/>
      <c r="M18" s="127"/>
      <c r="N18" s="127"/>
      <c r="O18" s="127"/>
      <c r="P18" s="127"/>
      <c r="Q18" s="127"/>
      <c r="R18" s="127"/>
      <c r="S18" s="127"/>
      <c r="T18" s="127"/>
      <c r="U18" s="127"/>
      <c r="V18" s="127"/>
      <c r="W18" s="127"/>
      <c r="X18" s="127"/>
      <c r="Y18" s="127"/>
      <c r="Z18" s="127"/>
      <c r="AA18" s="127"/>
      <c r="AB18" s="127"/>
    </row>
    <row r="19">
      <c r="A19" s="31" t="str">
        <f>IFERROR(__xludf.DUMMYFUNCTION("""COMPUTED_VALUE"""),"Air Senegal")</f>
        <v>Air Senegal</v>
      </c>
      <c r="B19" s="127"/>
      <c r="C19" s="133" t="str">
        <f>IFERROR(__xludf.DUMMYFUNCTION("""COMPUTED_VALUE"""),"serviceclient@airsenegalsa.sn")</f>
        <v>serviceclient@airsenegalsa.sn</v>
      </c>
      <c r="D19" s="129" t="str">
        <f>IFERROR(__xludf.DUMMYFUNCTION("""COMPUTED_VALUE"""),"webform w/o attachment")</f>
        <v>webform w/o attachment</v>
      </c>
      <c r="E19" s="131" t="str">
        <f>IFERROR(__xludf.DUMMYFUNCTION("""COMPUTED_VALUE"""),"https://flyairsenegal.com/en/contact/")</f>
        <v>https://flyairsenegal.com/en/contact/</v>
      </c>
      <c r="F19" s="127"/>
      <c r="G19" s="127"/>
      <c r="H19" s="127"/>
      <c r="I19" s="127"/>
      <c r="J19" s="127"/>
      <c r="K19" s="127"/>
      <c r="L19" s="127"/>
      <c r="M19" s="127"/>
      <c r="N19" s="127"/>
      <c r="O19" s="127"/>
      <c r="P19" s="127"/>
      <c r="Q19" s="127"/>
      <c r="R19" s="127"/>
      <c r="S19" s="127"/>
      <c r="T19" s="127"/>
      <c r="U19" s="127"/>
      <c r="V19" s="127"/>
      <c r="W19" s="127"/>
      <c r="X19" s="127"/>
      <c r="Y19" s="127"/>
      <c r="Z19" s="127"/>
      <c r="AA19" s="127"/>
      <c r="AB19" s="127"/>
    </row>
    <row r="20">
      <c r="A20" s="31" t="str">
        <f>IFERROR(__xludf.DUMMYFUNCTION("""COMPUTED_VALUE"""),"Afriqiyah Airways (8U)")</f>
        <v>Afriqiyah Airways (8U)</v>
      </c>
      <c r="B20" s="127"/>
      <c r="C20" s="128" t="str">
        <f>IFERROR(__xludf.DUMMYFUNCTION("""COMPUTED_VALUE"""),"customerservice@afriqiyah.aero")</f>
        <v>customerservice@afriqiyah.aero</v>
      </c>
      <c r="D20" s="129" t="str">
        <f>IFERROR(__xludf.DUMMYFUNCTION("""COMPUTED_VALUE"""),"webform w/o attachment")</f>
        <v>webform w/o attachment</v>
      </c>
      <c r="E20" s="131" t="str">
        <f>IFERROR(__xludf.DUMMYFUNCTION("""COMPUTED_VALUE"""),"http://www.webcheckin.info/contact")</f>
        <v>http://www.webcheckin.info/contact</v>
      </c>
      <c r="F20" s="127"/>
      <c r="G20" s="127"/>
      <c r="H20" s="127"/>
      <c r="I20" s="127"/>
      <c r="J20" s="127"/>
      <c r="K20" s="127"/>
      <c r="L20" s="127"/>
      <c r="M20" s="127"/>
      <c r="N20" s="127"/>
      <c r="O20" s="127"/>
      <c r="P20" s="127"/>
      <c r="Q20" s="127"/>
      <c r="R20" s="127"/>
      <c r="S20" s="127"/>
      <c r="T20" s="127"/>
      <c r="U20" s="127"/>
      <c r="V20" s="127"/>
      <c r="W20" s="127"/>
      <c r="X20" s="127"/>
      <c r="Y20" s="127"/>
      <c r="Z20" s="127"/>
      <c r="AA20" s="127"/>
      <c r="AB20" s="127"/>
    </row>
    <row r="21">
      <c r="A21" s="31" t="str">
        <f>IFERROR(__xludf.DUMMYFUNCTION("""COMPUTED_VALUE"""),"Air Arabia")</f>
        <v>Air Arabia</v>
      </c>
      <c r="B21" s="127"/>
      <c r="C21" s="128" t="str">
        <f>IFERROR(__xludf.DUMMYFUNCTION("""COMPUTED_VALUE"""),"contactus@airarabia.com")</f>
        <v>contactus@airarabia.com</v>
      </c>
      <c r="D21" s="129" t="str">
        <f>IFERROR(__xludf.DUMMYFUNCTION("""COMPUTED_VALUE"""),"webform w/ attachment")</f>
        <v>webform w/ attachment</v>
      </c>
      <c r="E21" s="131" t="str">
        <f>IFERROR(__xludf.DUMMYFUNCTION("""COMPUTED_VALUE"""),"https://claims.airarabia.com/homepage?_gl=1*1mn4dow*_gcl_au*MTI5MjgzODA2OS4xNzU2MTgzOTIy*_ga*MjE2ODkwMzE0LjE3NTYxODM5MjI.*_ga_JC9GXQB3J9*czE3NTc5MzM5NjgkbzE3JGcxJHQxNzU3OTM1NjI4JGo1NyRsMCRoMjAxODk1MDg3MA..*_ga_MSWB891955*czE3NTc5MzM5NjgkbzE3JGcxJHQxNzU3OT"&amp;"M1NjI4JGo1NyRsMCRoMA..")</f>
        <v>https://claims.airarabia.com/homepage?_gl=1*1mn4dow*_gcl_au*MTI5MjgzODA2OS4xNzU2MTgzOTIy*_ga*MjE2ODkwMzE0LjE3NTYxODM5MjI.*_ga_JC9GXQB3J9*czE3NTc5MzM5NjgkbzE3JGcxJHQxNzU3OTM1NjI4JGo1NyRsMCRoMjAxODk1MDg3MA..*_ga_MSWB891955*czE3NTc5MzM5NjgkbzE3JGcxJHQxNzU3OTM1NjI4JGo1NyRsMCRoMA..</v>
      </c>
      <c r="F21" s="127" t="str">
        <f>IFERROR(__xludf.DUMMYFUNCTION("""COMPUTED_VALUE"""),"Ticket number,Boarding pass, ID. If delayed then need to know rescheduled time")</f>
        <v>Ticket number,Boarding pass, ID. If delayed then need to know rescheduled time</v>
      </c>
      <c r="G21" s="127"/>
      <c r="H21" s="127"/>
      <c r="I21" s="127"/>
      <c r="J21" s="127"/>
      <c r="K21" s="127"/>
      <c r="L21" s="127"/>
      <c r="M21" s="127"/>
      <c r="N21" s="127"/>
      <c r="O21" s="127"/>
      <c r="P21" s="127"/>
      <c r="Q21" s="127"/>
      <c r="R21" s="127"/>
      <c r="S21" s="127"/>
      <c r="T21" s="127"/>
      <c r="U21" s="127"/>
      <c r="V21" s="127"/>
      <c r="W21" s="127"/>
      <c r="X21" s="127"/>
      <c r="Y21" s="127"/>
      <c r="Z21" s="127"/>
      <c r="AA21" s="127"/>
      <c r="AB21" s="127"/>
    </row>
    <row r="22">
      <c r="A22" s="31" t="str">
        <f>IFERROR(__xludf.DUMMYFUNCTION("""COMPUTED_VALUE"""),"Air Cairo (MSC)")</f>
        <v>Air Cairo (MSC)</v>
      </c>
      <c r="B22" s="127"/>
      <c r="C22" s="128" t="str">
        <f>IFERROR(__xludf.DUMMYFUNCTION("""COMPUTED_VALUE"""),"wecare@aircairo.com")</f>
        <v>wecare@aircairo.com</v>
      </c>
      <c r="D22" s="129" t="str">
        <f>IFERROR(__xludf.DUMMYFUNCTION("""COMPUTED_VALUE"""),"email")</f>
        <v>email</v>
      </c>
      <c r="E22" s="129" t="str">
        <f>IFERROR(__xludf.DUMMYFUNCTION("""COMPUTED_VALUE"""),"wecare@aircairo.com")</f>
        <v>wecare@aircairo.com</v>
      </c>
      <c r="F22" s="127" t="str">
        <f>IFERROR(__xludf.DUMMYFUNCTION("""COMPUTED_VALUE"""),"ID,Boarding")</f>
        <v>ID,Boarding</v>
      </c>
      <c r="G22" s="127" t="str">
        <f>IFERROR(__xludf.DUMMYFUNCTION("""COMPUTED_VALUE"""),"wecare@aircairo.com")</f>
        <v>wecare@aircairo.com</v>
      </c>
      <c r="H22" s="127"/>
      <c r="I22" s="127"/>
      <c r="J22" s="127"/>
      <c r="K22" s="127"/>
      <c r="L22" s="127"/>
      <c r="M22" s="127"/>
      <c r="N22" s="127"/>
      <c r="O22" s="127"/>
      <c r="P22" s="127"/>
      <c r="Q22" s="127"/>
      <c r="R22" s="127"/>
      <c r="S22" s="127"/>
      <c r="T22" s="127"/>
      <c r="U22" s="127"/>
      <c r="V22" s="127"/>
      <c r="W22" s="127"/>
      <c r="X22" s="127"/>
      <c r="Y22" s="127"/>
      <c r="Z22" s="127"/>
      <c r="AA22" s="127"/>
      <c r="AB22" s="127"/>
    </row>
    <row r="23">
      <c r="A23" s="31" t="str">
        <f>IFERROR(__xludf.DUMMYFUNCTION("""COMPUTED_VALUE"""),"Air Canada (AC)")</f>
        <v>Air Canada (AC)</v>
      </c>
      <c r="B23" s="127"/>
      <c r="C23" s="128" t="str">
        <f>IFERROR(__xludf.DUMMYFUNCTION("""COMPUTED_VALUE"""),"support@help-aircanada.com")</f>
        <v>support@help-aircanada.com</v>
      </c>
      <c r="D23" s="129" t="str">
        <f>IFERROR(__xludf.DUMMYFUNCTION("""COMPUTED_VALUE"""),"webform w/ attachment")</f>
        <v>webform w/ attachment</v>
      </c>
      <c r="E23" s="131" t="str">
        <f>IFERROR(__xludf.DUMMYFUNCTION("""COMPUTED_VALUE"""),"https://accc-prod.microsoftcrmportals.com/en-CA/air-canada-contact-us/")</f>
        <v>https://accc-prod.microsoftcrmportals.com/en-CA/air-canada-contact-us/</v>
      </c>
      <c r="F23" s="127" t="str">
        <f>IFERROR(__xludf.DUMMYFUNCTION("""COMPUTED_VALUE"""),"Ticket number")</f>
        <v>Ticket number</v>
      </c>
      <c r="G23" s="127"/>
      <c r="H23" s="127"/>
      <c r="I23" s="127"/>
      <c r="J23" s="127"/>
      <c r="K23" s="127"/>
      <c r="L23" s="127"/>
      <c r="M23" s="127"/>
      <c r="N23" s="127"/>
      <c r="O23" s="127"/>
      <c r="P23" s="127"/>
      <c r="Q23" s="127"/>
      <c r="R23" s="127"/>
      <c r="S23" s="127"/>
      <c r="T23" s="127"/>
      <c r="U23" s="127"/>
      <c r="V23" s="127"/>
      <c r="W23" s="127"/>
      <c r="X23" s="127"/>
      <c r="Y23" s="127"/>
      <c r="Z23" s="127"/>
      <c r="AA23" s="127"/>
      <c r="AB23" s="127"/>
    </row>
    <row r="24">
      <c r="A24" s="31" t="str">
        <f>IFERROR(__xludf.DUMMYFUNCTION("""COMPUTED_VALUE"""),"Aircalin/ Air Caledonie International (Route related to Italy)")</f>
        <v>Aircalin/ Air Caledonie International (Route related to Italy)</v>
      </c>
      <c r="B24" s="127"/>
      <c r="C24" s="128" t="str">
        <f>IFERROR(__xludf.DUMMYFUNCTION("""COMPUTED_VALUE"""),"aircalin@global-gsa.com")</f>
        <v>aircalin@global-gsa.com</v>
      </c>
      <c r="D24" s="129" t="str">
        <f>IFERROR(__xludf.DUMMYFUNCTION("""COMPUTED_VALUE"""),"e-mail")</f>
        <v>e-mail</v>
      </c>
      <c r="E24" s="129" t="str">
        <f>IFERROR(__xludf.DUMMYFUNCTION("""COMPUTED_VALUE"""),"aircalin@global-gsa.com")</f>
        <v>aircalin@global-gsa.com</v>
      </c>
      <c r="F24" s="127"/>
      <c r="G24" s="127"/>
      <c r="H24" s="127"/>
      <c r="I24" s="127"/>
      <c r="J24" s="127"/>
      <c r="K24" s="127"/>
      <c r="L24" s="127"/>
      <c r="M24" s="127"/>
      <c r="N24" s="127"/>
      <c r="O24" s="127"/>
      <c r="P24" s="127"/>
      <c r="Q24" s="127"/>
      <c r="R24" s="127"/>
      <c r="S24" s="127"/>
      <c r="T24" s="127"/>
      <c r="U24" s="127"/>
      <c r="V24" s="127"/>
      <c r="W24" s="127"/>
      <c r="X24" s="127"/>
      <c r="Y24" s="127"/>
      <c r="Z24" s="127"/>
      <c r="AA24" s="127"/>
      <c r="AB24" s="127"/>
    </row>
    <row r="25">
      <c r="A25" s="31" t="str">
        <f>IFERROR(__xludf.DUMMYFUNCTION("""COMPUTED_VALUE"""),"Aircalin/ Air Caledonie International (Route related to France)")</f>
        <v>Aircalin/ Air Caledonie International (Route related to France)</v>
      </c>
      <c r="B25" s="127"/>
      <c r="C25" s="128" t="str">
        <f>IFERROR(__xludf.DUMMYFUNCTION("""COMPUTED_VALUE"""),"resa@aircalin.fr")</f>
        <v>resa@aircalin.fr</v>
      </c>
      <c r="D25" s="129" t="str">
        <f>IFERROR(__xludf.DUMMYFUNCTION("""COMPUTED_VALUE"""),"webform w/ attachment")</f>
        <v>webform w/ attachment</v>
      </c>
      <c r="E25" s="131" t="str">
        <f>IFERROR(__xludf.DUMMYFUNCTION("""COMPUTED_VALUE"""),"http://www.aircalin.fr/fr/contact/reclamation-suggestion")</f>
        <v>http://www.aircalin.fr/fr/contact/reclamation-suggestion</v>
      </c>
      <c r="F25" s="127"/>
      <c r="G25" s="127"/>
      <c r="H25" s="127"/>
      <c r="I25" s="127"/>
      <c r="J25" s="127"/>
      <c r="K25" s="127"/>
      <c r="L25" s="127"/>
      <c r="M25" s="127"/>
      <c r="N25" s="127"/>
      <c r="O25" s="127"/>
      <c r="P25" s="127"/>
      <c r="Q25" s="127"/>
      <c r="R25" s="127"/>
      <c r="S25" s="127"/>
      <c r="T25" s="127"/>
      <c r="U25" s="127"/>
      <c r="V25" s="127"/>
      <c r="W25" s="127"/>
      <c r="X25" s="127"/>
      <c r="Y25" s="127"/>
      <c r="Z25" s="127"/>
      <c r="AA25" s="127"/>
      <c r="AB25" s="127"/>
    </row>
    <row r="26">
      <c r="A26" s="31" t="str">
        <f>IFERROR(__xludf.DUMMYFUNCTION("""COMPUTED_VALUE"""),"Air Caraibes (TX)")</f>
        <v>Air Caraibes (TX)</v>
      </c>
      <c r="B26" s="127"/>
      <c r="C26" s="128" t="str">
        <f>IFERROR(__xludf.DUMMYFUNCTION("""COMPUTED_VALUE"""),"fraisannulation@aircaraibes.com")</f>
        <v>fraisannulation@aircaraibes.com</v>
      </c>
      <c r="D26" s="129" t="str">
        <f>IFERROR(__xludf.DUMMYFUNCTION("""COMPUTED_VALUE"""),"webform w/ attachment")</f>
        <v>webform w/ attachment</v>
      </c>
      <c r="E26" s="131" t="str">
        <f>IFERROR(__xludf.DUMMYFUNCTION("""COMPUTED_VALUE"""),"https://sav.cloud.aircaraibes.com/en/formulaire-reclamation?_gl=1*1d2249r*_ga*MTE1NjI2MDk2Ni4xNzAyOTIxMjY5*_ga_4NB3LGYGFQ*MTcwMjkyMTI3Mi4xLjEuMTcwMjkyMTU3Mi4wLjAuMA..")</f>
        <v>https://sav.cloud.aircaraibes.com/en/formulaire-reclamation?_gl=1*1d2249r*_ga*MTE1NjI2MDk2Ni4xNzAyOTIxMjY5*_ga_4NB3LGYGFQ*MTcwMjkyMTI3Mi4xLjEuMTcwMjkyMTU3Mi4wLjAuMA..</v>
      </c>
      <c r="F26" s="127"/>
      <c r="G26" s="127"/>
      <c r="H26" s="127"/>
      <c r="I26" s="127"/>
      <c r="J26" s="127"/>
      <c r="K26" s="127"/>
      <c r="L26" s="127"/>
      <c r="M26" s="127"/>
      <c r="N26" s="127"/>
      <c r="O26" s="127"/>
      <c r="P26" s="127"/>
      <c r="Q26" s="127"/>
      <c r="R26" s="127"/>
      <c r="S26" s="127"/>
      <c r="T26" s="127"/>
      <c r="U26" s="127"/>
      <c r="V26" s="127"/>
      <c r="W26" s="127"/>
      <c r="X26" s="127"/>
      <c r="Y26" s="127"/>
      <c r="Z26" s="127"/>
      <c r="AA26" s="127"/>
      <c r="AB26" s="127"/>
    </row>
    <row r="27">
      <c r="A27" s="31" t="str">
        <f>IFERROR(__xludf.DUMMYFUNCTION("""COMPUTED_VALUE"""),"Air China")</f>
        <v>Air China</v>
      </c>
      <c r="B27" s="127"/>
      <c r="C27" s="128" t="str">
        <f>IFERROR(__xludf.DUMMYFUNCTION("""COMPUTED_VALUE"""),"customer_relations@airchina.com")</f>
        <v>customer_relations@airchina.com</v>
      </c>
      <c r="D27" s="129" t="str">
        <f>IFERROR(__xludf.DUMMYFUNCTION("""COMPUTED_VALUE"""),"e-mail")</f>
        <v>e-mail</v>
      </c>
      <c r="E27" s="129" t="str">
        <f>IFERROR(__xludf.DUMMYFUNCTION("""COMPUTED_VALUE"""),"customer_relations@airchina.com")</f>
        <v>customer_relations@airchina.com</v>
      </c>
      <c r="F27" s="127" t="str">
        <f>IFERROR(__xludf.DUMMYFUNCTION("""COMPUTED_VALUE"""),"CC: ca-europe@airchina.com")</f>
        <v>CC: ca-europe@airchina.com</v>
      </c>
      <c r="G27" s="127"/>
      <c r="H27" s="127"/>
      <c r="I27" s="127"/>
      <c r="J27" s="127"/>
      <c r="K27" s="127"/>
      <c r="L27" s="127"/>
      <c r="M27" s="127"/>
      <c r="N27" s="127"/>
      <c r="O27" s="127"/>
      <c r="P27" s="127"/>
      <c r="Q27" s="127"/>
      <c r="R27" s="127"/>
      <c r="S27" s="127"/>
      <c r="T27" s="127"/>
      <c r="U27" s="127"/>
      <c r="V27" s="127"/>
      <c r="W27" s="127"/>
      <c r="X27" s="127"/>
      <c r="Y27" s="127"/>
      <c r="Z27" s="127"/>
      <c r="AA27" s="127"/>
      <c r="AB27" s="127"/>
    </row>
    <row r="28">
      <c r="A28" s="31" t="str">
        <f>IFERROR(__xludf.DUMMYFUNCTION("""COMPUTED_VALUE"""),"Air Corsica / Corse-Mediterranee (XK)")</f>
        <v>Air Corsica / Corse-Mediterranee (XK)</v>
      </c>
      <c r="B28" s="127"/>
      <c r="C28" s="128" t="str">
        <f>IFERROR(__xludf.DUMMYFUNCTION("""COMPUTED_VALUE"""),"serviceclientele@aircorsica.com")</f>
        <v>serviceclientele@aircorsica.com</v>
      </c>
      <c r="D28" s="129" t="str">
        <f>IFERROR(__xludf.DUMMYFUNCTION("""COMPUTED_VALUE"""),"e-mail")</f>
        <v>e-mail</v>
      </c>
      <c r="E28" s="131" t="str">
        <f>IFERROR(__xludf.DUMMYFUNCTION("""COMPUTED_VALUE"""),"https://serviceclient.aircorsica.com/s/")</f>
        <v>https://serviceclient.aircorsica.com/s/</v>
      </c>
      <c r="F28" s="127" t="str">
        <f>IFERROR(__xludf.DUMMYFUNCTION("""COMPUTED_VALUE"""),"ID, Boarding  ( Log in: legal@refly.org, Password: Fkk4erdF!!)")</f>
        <v>ID, Boarding  ( Log in: legal@refly.org, Password: Fkk4erdF!!)</v>
      </c>
      <c r="G28" s="127"/>
      <c r="H28" s="127" t="str">
        <f>IFERROR(__xludf.DUMMYFUNCTION("""COMPUTED_VALUE"""),"by post: AIR CORSICA-NAPOLEON BONAPARTE AIRPORT-BP505 -20186 AJACCIO CEDEX 2")</f>
        <v>by post: AIR CORSICA-NAPOLEON BONAPARTE AIRPORT-BP505 -20186 AJACCIO CEDEX 2</v>
      </c>
      <c r="I28" s="127"/>
      <c r="J28" s="127"/>
      <c r="K28" s="127"/>
      <c r="L28" s="127"/>
      <c r="M28" s="127"/>
      <c r="N28" s="127"/>
      <c r="O28" s="127"/>
      <c r="P28" s="127"/>
      <c r="Q28" s="127"/>
      <c r="R28" s="127"/>
      <c r="S28" s="127"/>
      <c r="T28" s="127"/>
      <c r="U28" s="127"/>
      <c r="V28" s="127"/>
      <c r="W28" s="127"/>
      <c r="X28" s="127"/>
      <c r="Y28" s="127"/>
      <c r="Z28" s="127"/>
      <c r="AA28" s="127"/>
      <c r="AB28" s="127"/>
    </row>
    <row r="29">
      <c r="A29" s="31" t="str">
        <f>IFERROR(__xludf.DUMMYFUNCTION("""COMPUTED_VALUE"""),"AIR CONNECT")</f>
        <v>AIR CONNECT</v>
      </c>
      <c r="B29" s="127"/>
      <c r="C29" s="128" t="str">
        <f>IFERROR(__xludf.DUMMYFUNCTION("""COMPUTED_VALUE"""),"customercare@air-connect.com")</f>
        <v>customercare@air-connect.com</v>
      </c>
      <c r="D29" s="129" t="str">
        <f>IFERROR(__xludf.DUMMYFUNCTION("""COMPUTED_VALUE"""),"e-mail")</f>
        <v>e-mail</v>
      </c>
      <c r="E29" s="129" t="str">
        <f>IFERROR(__xludf.DUMMYFUNCTION("""COMPUTED_VALUE"""),"customercare@air-connect.com")</f>
        <v>customercare@air-connect.com</v>
      </c>
      <c r="F29" s="127"/>
      <c r="G29" s="127"/>
      <c r="H29" s="127"/>
      <c r="I29" s="127"/>
      <c r="J29" s="127"/>
      <c r="K29" s="127"/>
      <c r="L29" s="127"/>
      <c r="M29" s="127"/>
      <c r="N29" s="127"/>
      <c r="O29" s="127"/>
      <c r="P29" s="127"/>
      <c r="Q29" s="127"/>
      <c r="R29" s="127"/>
      <c r="S29" s="127"/>
      <c r="T29" s="127"/>
      <c r="U29" s="127"/>
      <c r="V29" s="127"/>
      <c r="W29" s="127"/>
      <c r="X29" s="127"/>
      <c r="Y29" s="127"/>
      <c r="Z29" s="127"/>
      <c r="AA29" s="127"/>
      <c r="AB29" s="127"/>
    </row>
    <row r="30">
      <c r="A30" s="31" t="str">
        <f>IFERROR(__xludf.DUMMYFUNCTION("""COMPUTED_VALUE"""),"Air Dolomiti (EN)")</f>
        <v>Air Dolomiti (EN)</v>
      </c>
      <c r="B30" s="127"/>
      <c r="C30" s="128" t="str">
        <f>IFERROR(__xludf.DUMMYFUNCTION("""COMPUTED_VALUE"""),"customer-relations@airdolomiti.it")</f>
        <v>customer-relations@airdolomiti.it</v>
      </c>
      <c r="D30" s="129" t="str">
        <f>IFERROR(__xludf.DUMMYFUNCTION("""COMPUTED_VALUE"""),"webform w/ attachment")</f>
        <v>webform w/ attachment</v>
      </c>
      <c r="E30" s="131" t="str">
        <f>IFERROR(__xludf.DUMMYFUNCTION("""COMPUTED_VALUE"""),"https://hda_s_form.airdolomiti.it/CustomerPortal_Forms/#/Page/SVC_CATALOG@item-4--2")</f>
        <v>https://hda_s_form.airdolomiti.it/CustomerPortal_Forms/#/Page/SVC_CATALOG@item-4--2</v>
      </c>
      <c r="F30" s="127" t="str">
        <f>IFERROR(__xludf.DUMMYFUNCTION("""COMPUTED_VALUE"""),"Ticket number")</f>
        <v>Ticket number</v>
      </c>
      <c r="G30" s="127"/>
      <c r="H30" s="127"/>
      <c r="I30" s="127"/>
      <c r="J30" s="127"/>
      <c r="K30" s="127"/>
      <c r="L30" s="127"/>
      <c r="M30" s="127"/>
      <c r="N30" s="127"/>
      <c r="O30" s="127"/>
      <c r="P30" s="127"/>
      <c r="Q30" s="127"/>
      <c r="R30" s="127"/>
      <c r="S30" s="127"/>
      <c r="T30" s="127"/>
      <c r="U30" s="127"/>
      <c r="V30" s="127"/>
      <c r="W30" s="127"/>
      <c r="X30" s="127"/>
      <c r="Y30" s="127"/>
      <c r="Z30" s="127"/>
      <c r="AA30" s="127"/>
      <c r="AB30" s="127"/>
    </row>
    <row r="31">
      <c r="A31" s="31" t="str">
        <f>IFERROR(__xludf.DUMMYFUNCTION("""COMPUTED_VALUE"""),"Air Europa (UX)")</f>
        <v>Air Europa (UX)</v>
      </c>
      <c r="B31" s="127"/>
      <c r="C31" s="128" t="str">
        <f>IFERROR(__xludf.DUMMYFUNCTION("""COMPUTED_VALUE"""),"customer.service@crm.aireuropa.com")</f>
        <v>customer.service@crm.aireuropa.com</v>
      </c>
      <c r="D31" s="129" t="str">
        <f>IFERROR(__xludf.DUMMYFUNCTION("""COMPUTED_VALUE"""),"webform w/o attachment")</f>
        <v>webform w/o attachment</v>
      </c>
      <c r="E31" s="131" t="str">
        <f>IFERROR(__xludf.DUMMYFUNCTION("""COMPUTED_VALUE"""),"https://www.aireuropa.com/ot/en/complaints-compliments")</f>
        <v>https://www.aireuropa.com/ot/en/complaints-compliments</v>
      </c>
      <c r="F31" s="127" t="str">
        <f>IFERROR(__xludf.DUMMYFUNCTION("""COMPUTED_VALUE"""),"POA-ID-Boarding")</f>
        <v>POA-ID-Boarding</v>
      </c>
      <c r="G31" s="127"/>
      <c r="H31" s="127"/>
      <c r="I31" s="127"/>
      <c r="J31" s="127"/>
      <c r="K31" s="127"/>
      <c r="L31" s="127"/>
      <c r="M31" s="127"/>
      <c r="N31" s="127"/>
      <c r="O31" s="127"/>
      <c r="P31" s="127"/>
      <c r="Q31" s="127"/>
      <c r="R31" s="127"/>
      <c r="S31" s="127"/>
      <c r="T31" s="127"/>
      <c r="U31" s="127"/>
      <c r="V31" s="127"/>
      <c r="W31" s="127"/>
      <c r="X31" s="127"/>
      <c r="Y31" s="127"/>
      <c r="Z31" s="127"/>
      <c r="AA31" s="127"/>
      <c r="AB31" s="127"/>
    </row>
    <row r="32">
      <c r="A32" s="31" t="str">
        <f>IFERROR(__xludf.DUMMYFUNCTION("""COMPUTED_VALUE"""),"Air France (AF)")</f>
        <v>Air France (AF)</v>
      </c>
      <c r="B32" s="127"/>
      <c r="C32" s="128" t="str">
        <f>IFERROR(__xludf.DUMMYFUNCTION("""COMPUTED_VALUE"""),"customer-care@airfrance.fr")</f>
        <v>customer-care@airfrance.fr</v>
      </c>
      <c r="D32" s="129" t="str">
        <f>IFERROR(__xludf.DUMMYFUNCTION("""COMPUTED_VALUE"""),"webform w/ attachment")</f>
        <v>webform w/ attachment</v>
      </c>
      <c r="E32" s="131" t="str">
        <f>IFERROR(__xludf.DUMMYFUNCTION("""COMPUTED_VALUE"""),"https://wwws.airfrance.co.uk/claim")</f>
        <v>https://wwws.airfrance.co.uk/claim</v>
      </c>
      <c r="F32" s="127" t="str">
        <f>IFERROR(__xludf.DUMMYFUNCTION("""COMPUTED_VALUE"""),"ID")</f>
        <v>ID</v>
      </c>
      <c r="G32" s="132" t="str">
        <f>IFERROR(__xludf.DUMMYFUNCTION("""COMPUTED_VALUE"""),"https://refunds.klm.com/AirfranceRPS/Forms/frmMain.aspx")</f>
        <v>https://refunds.klm.com/AirfranceRPS/Forms/frmMain.aspx</v>
      </c>
      <c r="H32" s="132" t="str">
        <f>IFERROR(__xludf.DUMMYFUNCTION("""COMPUTED_VALUE"""),"https://wwws.airfrance.us/refund")</f>
        <v>https://wwws.airfrance.us/refund</v>
      </c>
      <c r="I32" s="132" t="str">
        <f>IFERROR(__xludf.DUMMYFUNCTION("""COMPUTED_VALUE"""),"Tracking link: https://wwws.airfrance.us/claim/track-a-claim")</f>
        <v>Tracking link: https://wwws.airfrance.us/claim/track-a-claim</v>
      </c>
      <c r="J32" s="127"/>
      <c r="K32" s="127"/>
      <c r="L32" s="127"/>
      <c r="M32" s="127"/>
      <c r="N32" s="127"/>
      <c r="O32" s="127"/>
      <c r="P32" s="127"/>
      <c r="Q32" s="127"/>
      <c r="R32" s="127"/>
      <c r="S32" s="127"/>
      <c r="T32" s="127"/>
      <c r="U32" s="127"/>
      <c r="V32" s="127"/>
      <c r="W32" s="127"/>
      <c r="X32" s="127"/>
      <c r="Y32" s="127"/>
      <c r="Z32" s="127"/>
      <c r="AA32" s="127"/>
      <c r="AB32" s="127"/>
    </row>
    <row r="33">
      <c r="A33" s="31" t="str">
        <f>IFERROR(__xludf.DUMMYFUNCTION("""COMPUTED_VALUE"""),"Air Greenland (GL)")</f>
        <v>Air Greenland (GL)</v>
      </c>
      <c r="B33" s="127"/>
      <c r="C33" s="128" t="str">
        <f>IFERROR(__xludf.DUMMYFUNCTION("""COMPUTED_VALUE"""),"info@airgreenland.gl")</f>
        <v>info@airgreenland.gl</v>
      </c>
      <c r="D33" s="129" t="str">
        <f>IFERROR(__xludf.DUMMYFUNCTION("""COMPUTED_VALUE"""),"webform w/ attachment")</f>
        <v>webform w/ attachment</v>
      </c>
      <c r="E33" s="131" t="str">
        <f>IFERROR(__xludf.DUMMYFUNCTION("""COMPUTED_VALUE"""),"https://kundeservice.airgreenland.gl/hc/en-us/requests/new")</f>
        <v>https://kundeservice.airgreenland.gl/hc/en-us/requests/new</v>
      </c>
      <c r="F33" s="127"/>
      <c r="G33" s="127"/>
      <c r="H33" s="132" t="str">
        <f>IFERROR(__xludf.DUMMYFUNCTION("""COMPUTED_VALUE"""),"https://kundeservice.airgreenland.gl/hc/en-us/requests/new")</f>
        <v>https://kundeservice.airgreenland.gl/hc/en-us/requests/new</v>
      </c>
      <c r="I33" s="127"/>
      <c r="J33" s="127"/>
      <c r="K33" s="127"/>
      <c r="L33" s="127"/>
      <c r="M33" s="127"/>
      <c r="N33" s="127"/>
      <c r="O33" s="127"/>
      <c r="P33" s="127"/>
      <c r="Q33" s="127"/>
      <c r="R33" s="127"/>
      <c r="S33" s="127"/>
      <c r="T33" s="127"/>
      <c r="U33" s="127"/>
      <c r="V33" s="127"/>
      <c r="W33" s="127"/>
      <c r="X33" s="127"/>
      <c r="Y33" s="127"/>
      <c r="Z33" s="127"/>
      <c r="AA33" s="127"/>
      <c r="AB33" s="127"/>
    </row>
    <row r="34">
      <c r="A34" s="31" t="str">
        <f>IFERROR(__xludf.DUMMYFUNCTION("""COMPUTED_VALUE"""),"Air Horizont")</f>
        <v>Air Horizont</v>
      </c>
      <c r="B34" s="127"/>
      <c r="C34" s="128" t="str">
        <f>IFERROR(__xludf.DUMMYFUNCTION("""COMPUTED_VALUE"""),"info@airhorizont.com")</f>
        <v>info@airhorizont.com</v>
      </c>
      <c r="D34" s="129" t="str">
        <f>IFERROR(__xludf.DUMMYFUNCTION("""COMPUTED_VALUE"""),"webform w/o attachment")</f>
        <v>webform w/o attachment</v>
      </c>
      <c r="E34" s="131" t="str">
        <f>IFERROR(__xludf.DUMMYFUNCTION("""COMPUTED_VALUE"""),"https://airhorizont.com/en/contact-us/")</f>
        <v>https://airhorizont.com/en/contact-us/</v>
      </c>
      <c r="F34" s="127"/>
      <c r="G34" s="127"/>
      <c r="H34" s="127"/>
      <c r="I34" s="127"/>
      <c r="J34" s="127"/>
      <c r="K34" s="127"/>
      <c r="L34" s="127"/>
      <c r="M34" s="127"/>
      <c r="N34" s="127"/>
      <c r="O34" s="127"/>
      <c r="P34" s="127"/>
      <c r="Q34" s="127"/>
      <c r="R34" s="127"/>
      <c r="S34" s="127"/>
      <c r="T34" s="127"/>
      <c r="U34" s="127"/>
      <c r="V34" s="127"/>
      <c r="W34" s="127"/>
      <c r="X34" s="127"/>
      <c r="Y34" s="127"/>
      <c r="Z34" s="127"/>
      <c r="AA34" s="127"/>
      <c r="AB34" s="127"/>
    </row>
    <row r="35">
      <c r="A35" s="31" t="str">
        <f>IFERROR(__xludf.DUMMYFUNCTION("""COMPUTED_VALUE"""),"Air India (AI)")</f>
        <v>Air India (AI)</v>
      </c>
      <c r="B35" s="127"/>
      <c r="C35" s="128" t="str">
        <f>IFERROR(__xludf.DUMMYFUNCTION("""COMPUTED_VALUE"""),"manager.customersupport@tataaig.com")</f>
        <v>manager.customersupport@tataaig.com</v>
      </c>
      <c r="D35" s="129" t="str">
        <f>IFERROR(__xludf.DUMMYFUNCTION("""COMPUTED_VALUE"""),"webform w/ attachment")</f>
        <v>webform w/ attachment</v>
      </c>
      <c r="E35" s="129" t="str">
        <f>IFERROR(__xludf.DUMMYFUNCTION("""COMPUTED_VALUE"""),"Cancelld, Denied boarding: https://www.airindia.com/in/en/contact-us/customer-support-portal/feedback/flight-disruptions.html    Delayed: https://www.airindia.com/in/en/eu-claim-form.html")</f>
        <v>Cancelld, Denied boarding: https://www.airindia.com/in/en/contact-us/customer-support-portal/feedback/flight-disruptions.html    Delayed: https://www.airindia.com/in/en/eu-claim-form.html</v>
      </c>
      <c r="F35" s="127" t="str">
        <f>IFERROR(__xludf.DUMMYFUNCTION("""COMPUTED_VALUE"""),"Ticket number / Passport (Both are mandatory we are unable to proceed without it) ")</f>
        <v>Ticket number / Passport (Both are mandatory we are unable to proceed without it) </v>
      </c>
      <c r="G35" s="127"/>
      <c r="H35" s="132" t="str">
        <f>IFERROR(__xludf.DUMMYFUNCTION("""COMPUTED_VALUE"""),"Portal: https://www.airindia.com/in/en/contact-us/customer-support-portal/queries.html")</f>
        <v>Portal: https://www.airindia.com/in/en/contact-us/customer-support-portal/queries.html</v>
      </c>
      <c r="I35" s="127"/>
      <c r="J35" s="127"/>
      <c r="K35" s="127"/>
      <c r="L35" s="127"/>
      <c r="M35" s="127"/>
      <c r="N35" s="127"/>
      <c r="O35" s="127"/>
      <c r="P35" s="127"/>
      <c r="Q35" s="127"/>
      <c r="R35" s="127"/>
      <c r="S35" s="127"/>
      <c r="T35" s="127"/>
      <c r="U35" s="127"/>
      <c r="V35" s="127"/>
      <c r="W35" s="127"/>
      <c r="X35" s="127"/>
      <c r="Y35" s="127"/>
      <c r="Z35" s="127"/>
      <c r="AA35" s="127"/>
      <c r="AB35" s="127"/>
    </row>
    <row r="36">
      <c r="A36" s="31" t="str">
        <f>IFERROR(__xludf.DUMMYFUNCTION("""COMPUTED_VALUE"""),"Airlink")</f>
        <v>Airlink</v>
      </c>
      <c r="B36" s="127"/>
      <c r="C36" s="128" t="str">
        <f>IFERROR(__xludf.DUMMYFUNCTION("""COMPUTED_VALUE"""),"info@flyairlink.com")</f>
        <v>info@flyairlink.com</v>
      </c>
      <c r="D36" s="129" t="str">
        <f>IFERROR(__xludf.DUMMYFUNCTION("""COMPUTED_VALUE"""),"webform w/o attachment")</f>
        <v>webform w/o attachment</v>
      </c>
      <c r="E36" s="131" t="str">
        <f>IFERROR(__xludf.DUMMYFUNCTION("""COMPUTED_VALUE"""),"https://www.flyairlink.com/en/za/need-help")</f>
        <v>https://www.flyairlink.com/en/za/need-help</v>
      </c>
      <c r="F36" s="127"/>
      <c r="G36" s="127"/>
      <c r="H36" s="127"/>
      <c r="I36" s="127"/>
      <c r="J36" s="127"/>
      <c r="K36" s="127"/>
      <c r="L36" s="127"/>
      <c r="M36" s="127"/>
      <c r="N36" s="127"/>
      <c r="O36" s="127"/>
      <c r="P36" s="127"/>
      <c r="Q36" s="127"/>
      <c r="R36" s="127"/>
      <c r="S36" s="127"/>
      <c r="T36" s="127"/>
      <c r="U36" s="127"/>
      <c r="V36" s="127"/>
      <c r="W36" s="127"/>
      <c r="X36" s="127"/>
      <c r="Y36" s="127"/>
      <c r="Z36" s="127"/>
      <c r="AA36" s="127"/>
      <c r="AB36" s="127"/>
    </row>
    <row r="37">
      <c r="A37" s="31" t="str">
        <f>IFERROR(__xludf.DUMMYFUNCTION("""COMPUTED_VALUE"""),"Air Mediterranean")</f>
        <v>Air Mediterranean</v>
      </c>
      <c r="B37" s="127"/>
      <c r="C37" s="128" t="str">
        <f>IFERROR(__xludf.DUMMYFUNCTION("""COMPUTED_VALUE"""),"customerservice@air-mediterranean.com")</f>
        <v>customerservice@air-mediterranean.com</v>
      </c>
      <c r="D37" s="129" t="str">
        <f>IFERROR(__xludf.DUMMYFUNCTION("""COMPUTED_VALUE"""),"e-mail")</f>
        <v>e-mail</v>
      </c>
      <c r="E37" s="129" t="str">
        <f>IFERROR(__xludf.DUMMYFUNCTION("""COMPUTED_VALUE"""),"customerservice@air-mediterranean.com")</f>
        <v>customerservice@air-mediterranean.com</v>
      </c>
      <c r="F37" s="127"/>
      <c r="G37" s="127"/>
      <c r="H37" s="127"/>
      <c r="I37" s="127"/>
      <c r="J37" s="127"/>
      <c r="K37" s="127"/>
      <c r="L37" s="127"/>
      <c r="M37" s="127"/>
      <c r="N37" s="127"/>
      <c r="O37" s="127"/>
      <c r="P37" s="127"/>
      <c r="Q37" s="127"/>
      <c r="R37" s="127"/>
      <c r="S37" s="127"/>
      <c r="T37" s="127"/>
      <c r="U37" s="127"/>
      <c r="V37" s="127"/>
      <c r="W37" s="127"/>
      <c r="X37" s="127"/>
      <c r="Y37" s="127"/>
      <c r="Z37" s="127"/>
      <c r="AA37" s="127"/>
      <c r="AB37" s="127"/>
    </row>
    <row r="38">
      <c r="A38" s="31" t="str">
        <f>IFERROR(__xludf.DUMMYFUNCTION("""COMPUTED_VALUE"""),"Air Moana (NM)")</f>
        <v>Air Moana (NM)</v>
      </c>
      <c r="B38" s="127"/>
      <c r="C38" s="128" t="str">
        <f>IFERROR(__xludf.DUMMYFUNCTION("""COMPUTED_VALUE"""),"reservation@airmoana.pf")</f>
        <v>reservation@airmoana.pf</v>
      </c>
      <c r="D38" s="129"/>
      <c r="E38" s="131" t="str">
        <f>IFERROR(__xludf.DUMMYFUNCTION("""COMPUTED_VALUE"""),"https://en.airmoana.com/en/help-center/contact-us/customer-service")</f>
        <v>https://en.airmoana.com/en/help-center/contact-us/customer-service</v>
      </c>
      <c r="F38" s="127"/>
      <c r="G38" s="127"/>
      <c r="H38" s="127"/>
      <c r="I38" s="127"/>
      <c r="J38" s="127"/>
      <c r="K38" s="127"/>
      <c r="L38" s="127"/>
      <c r="M38" s="127"/>
      <c r="N38" s="127"/>
      <c r="O38" s="127"/>
      <c r="P38" s="127"/>
      <c r="Q38" s="127"/>
      <c r="R38" s="127"/>
      <c r="S38" s="127"/>
      <c r="T38" s="127"/>
      <c r="U38" s="127"/>
      <c r="V38" s="127"/>
      <c r="W38" s="127"/>
      <c r="X38" s="127"/>
      <c r="Y38" s="127"/>
      <c r="Z38" s="127"/>
      <c r="AA38" s="127"/>
      <c r="AB38" s="127"/>
    </row>
    <row r="39">
      <c r="A39" s="31" t="str">
        <f>IFERROR(__xludf.DUMMYFUNCTION("""COMPUTED_VALUE"""),"Air Montenegro")</f>
        <v>Air Montenegro</v>
      </c>
      <c r="B39" s="127"/>
      <c r="C39" s="128" t="str">
        <f>IFERROR(__xludf.DUMMYFUNCTION("""COMPUTED_VALUE"""),"claims@airmontenegro.com")</f>
        <v>claims@airmontenegro.com</v>
      </c>
      <c r="D39" s="131" t="str">
        <f>IFERROR(__xludf.DUMMYFUNCTION("""COMPUTED_VALUE"""),"https://dbc.airmontenegro.com/")</f>
        <v>https://dbc.airmontenegro.com/</v>
      </c>
      <c r="E39" s="131" t="str">
        <f>IFERROR(__xludf.DUMMYFUNCTION("""COMPUTED_VALUE"""),"https://airmontenegro.com/en/contact/claims-form")</f>
        <v>https://airmontenegro.com/en/contact/claims-form</v>
      </c>
      <c r="F39" s="127"/>
      <c r="G39" s="127"/>
      <c r="H39" s="127"/>
      <c r="I39" s="127"/>
      <c r="J39" s="127"/>
      <c r="K39" s="127"/>
      <c r="L39" s="127"/>
      <c r="M39" s="127"/>
      <c r="N39" s="127"/>
      <c r="O39" s="127"/>
      <c r="P39" s="127"/>
      <c r="Q39" s="127"/>
      <c r="R39" s="127"/>
      <c r="S39" s="127"/>
      <c r="T39" s="127"/>
      <c r="U39" s="127"/>
      <c r="V39" s="127"/>
      <c r="W39" s="127"/>
      <c r="X39" s="127"/>
      <c r="Y39" s="127"/>
      <c r="Z39" s="127"/>
      <c r="AA39" s="127"/>
      <c r="AB39" s="127"/>
    </row>
    <row r="40">
      <c r="A40" s="31" t="str">
        <f>IFERROR(__xludf.DUMMYFUNCTION("""COMPUTED_VALUE"""),"Air Mauritius (MK)")</f>
        <v>Air Mauritius (MK)</v>
      </c>
      <c r="B40" s="127"/>
      <c r="C40" s="128" t="str">
        <f>IFERROR(__xludf.DUMMYFUNCTION("""COMPUTED_VALUE"""),"customerservice @airmauritius.com")</f>
        <v>customerservice @airmauritius.com</v>
      </c>
      <c r="D40" s="129" t="str">
        <f>IFERROR(__xludf.DUMMYFUNCTION("""COMPUTED_VALUE"""),"webform w/o attachment")</f>
        <v>webform w/o attachment</v>
      </c>
      <c r="E40" s="131" t="str">
        <f>IFERROR(__xludf.DUMMYFUNCTION("""COMPUTED_VALUE"""),"https://www.airmauritius.com/en-gb/help/customer-support")</f>
        <v>https://www.airmauritius.com/en-gb/help/customer-support</v>
      </c>
      <c r="F40" s="127" t="str">
        <f>IFERROR(__xludf.DUMMYFUNCTION("""COMPUTED_VALUE"""),"Ticket number, DOB")</f>
        <v>Ticket number, DOB</v>
      </c>
      <c r="G40" s="127"/>
      <c r="H40" s="127"/>
      <c r="I40" s="127"/>
      <c r="J40" s="127"/>
      <c r="K40" s="127"/>
      <c r="L40" s="127"/>
      <c r="M40" s="127"/>
      <c r="N40" s="127"/>
      <c r="O40" s="127"/>
      <c r="P40" s="127"/>
      <c r="Q40" s="127"/>
      <c r="R40" s="127"/>
      <c r="S40" s="127"/>
      <c r="T40" s="127"/>
      <c r="U40" s="127"/>
      <c r="V40" s="127"/>
      <c r="W40" s="127"/>
      <c r="X40" s="127"/>
      <c r="Y40" s="127"/>
      <c r="Z40" s="127"/>
      <c r="AA40" s="127"/>
      <c r="AB40" s="127"/>
    </row>
    <row r="41">
      <c r="A41" s="31" t="str">
        <f>IFERROR(__xludf.DUMMYFUNCTION("""COMPUTED_VALUE"""),"Air Moldova (9U)")</f>
        <v>Air Moldova (9U)</v>
      </c>
      <c r="B41" s="127" t="str">
        <f>IFERROR(__xludf.DUMMYFUNCTION("""COMPUTED_VALUE"""),"Ceased all operations on 3 May 2023")</f>
        <v>Ceased all operations on 3 May 2023</v>
      </c>
      <c r="C41" s="128" t="str">
        <f>IFERROR(__xludf.DUMMYFUNCTION("""COMPUTED_VALUE"""),"wecare@airmoldova.md")</f>
        <v>wecare@airmoldova.md</v>
      </c>
      <c r="D41" s="129" t="str">
        <f>IFERROR(__xludf.DUMMYFUNCTION("""COMPUTED_VALUE"""),"webform w/ attachment")</f>
        <v>webform w/ attachment</v>
      </c>
      <c r="E41" s="131" t="str">
        <f>IFERROR(__xludf.DUMMYFUNCTION("""COMPUTED_VALUE"""),"https://www.airmoldova.md/mailus-en/")</f>
        <v>https://www.airmoldova.md/mailus-en/</v>
      </c>
      <c r="F41" s="127"/>
      <c r="G41" s="127"/>
      <c r="H41" s="127"/>
      <c r="I41" s="127"/>
      <c r="J41" s="127"/>
      <c r="K41" s="127"/>
      <c r="L41" s="127"/>
      <c r="M41" s="127"/>
      <c r="N41" s="127"/>
      <c r="O41" s="127"/>
      <c r="P41" s="127"/>
      <c r="Q41" s="127"/>
      <c r="R41" s="127"/>
      <c r="S41" s="127"/>
      <c r="T41" s="127"/>
      <c r="U41" s="127"/>
      <c r="V41" s="127"/>
      <c r="W41" s="127"/>
      <c r="X41" s="127"/>
      <c r="Y41" s="127"/>
      <c r="Z41" s="127"/>
      <c r="AA41" s="127"/>
      <c r="AB41" s="127"/>
    </row>
    <row r="42">
      <c r="A42" s="31" t="str">
        <f>IFERROR(__xludf.DUMMYFUNCTION("""COMPUTED_VALUE"""),"Air Namibia (SW)")</f>
        <v>Air Namibia (SW)</v>
      </c>
      <c r="B42" s="127"/>
      <c r="C42" s="128" t="str">
        <f>IFERROR(__xludf.DUMMYFUNCTION("""COMPUTED_VALUE"""),"customercare@airnamibia.aero")</f>
        <v>customercare@airnamibia.aero</v>
      </c>
      <c r="D42" s="129" t="str">
        <f>IFERROR(__xludf.DUMMYFUNCTION("""COMPUTED_VALUE"""),"e-mail")</f>
        <v>e-mail</v>
      </c>
      <c r="E42" s="129" t="str">
        <f>IFERROR(__xludf.DUMMYFUNCTION("""COMPUTED_VALUE"""),"Ebson.Ngondo@airnamibia.aero")</f>
        <v>Ebson.Ngondo@airnamibia.aero</v>
      </c>
      <c r="F42" s="127"/>
      <c r="G42" s="127"/>
      <c r="H42" s="127"/>
      <c r="I42" s="127"/>
      <c r="J42" s="127"/>
      <c r="K42" s="127"/>
      <c r="L42" s="127"/>
      <c r="M42" s="127"/>
      <c r="N42" s="127"/>
      <c r="O42" s="127"/>
      <c r="P42" s="127"/>
      <c r="Q42" s="127"/>
      <c r="R42" s="127"/>
      <c r="S42" s="127"/>
      <c r="T42" s="127"/>
      <c r="U42" s="127"/>
      <c r="V42" s="127"/>
      <c r="W42" s="127"/>
      <c r="X42" s="127"/>
      <c r="Y42" s="127"/>
      <c r="Z42" s="127"/>
      <c r="AA42" s="127"/>
      <c r="AB42" s="127"/>
    </row>
    <row r="43">
      <c r="A43" s="31" t="str">
        <f>IFERROR(__xludf.DUMMYFUNCTION("""COMPUTED_VALUE"""),"Air Nippon (NH)")</f>
        <v>Air Nippon (NH)</v>
      </c>
      <c r="B43" s="127"/>
      <c r="C43" s="128" t="str">
        <f>IFERROR(__xludf.DUMMYFUNCTION("""COMPUTED_VALUE"""),"uk_adr_regulations_@121.ana.co.jp")</f>
        <v>uk_adr_regulations_@121.ana.co.jp</v>
      </c>
      <c r="D43" s="129" t="str">
        <f>IFERROR(__xludf.DUMMYFUNCTION("""COMPUTED_VALUE"""),"e-mail")</f>
        <v>e-mail</v>
      </c>
      <c r="E43" s="129" t="str">
        <f>IFERROR(__xludf.DUMMYFUNCTION("""COMPUTED_VALUE"""),"uk_adr_regulations_@121.ana.co.jp")</f>
        <v>uk_adr_regulations_@121.ana.co.jp</v>
      </c>
      <c r="F43" s="132" t="str">
        <f>IFERROR(__xludf.DUMMYFUNCTION("""COMPUTED_VALUE"""),"https://ana-support.my.site.com/enus/s/atmint-en?cc=us")</f>
        <v>https://ana-support.my.site.com/enus/s/atmint-en?cc=us</v>
      </c>
      <c r="G43" s="127" t="str">
        <f>IFERROR(__xludf.DUMMYFUNCTION("""COMPUTED_VALUE"""),"uk_adr_regulations_@121.ana.co.jp")</f>
        <v>uk_adr_regulations_@121.ana.co.jp</v>
      </c>
      <c r="H43" s="127"/>
      <c r="I43" s="127"/>
      <c r="J43" s="127"/>
      <c r="K43" s="127"/>
      <c r="L43" s="127"/>
      <c r="M43" s="127"/>
      <c r="N43" s="127"/>
      <c r="O43" s="127"/>
      <c r="P43" s="127"/>
      <c r="Q43" s="127"/>
      <c r="R43" s="127"/>
      <c r="S43" s="127"/>
      <c r="T43" s="127"/>
      <c r="U43" s="127"/>
      <c r="V43" s="127"/>
      <c r="W43" s="127"/>
      <c r="X43" s="127"/>
      <c r="Y43" s="127"/>
      <c r="Z43" s="127"/>
      <c r="AA43" s="127"/>
      <c r="AB43" s="127"/>
    </row>
    <row r="44">
      <c r="A44" s="31" t="str">
        <f>IFERROR(__xludf.DUMMYFUNCTION("""COMPUTED_VALUE"""),"Air New Zealand (NZ)")</f>
        <v>Air New Zealand (NZ)</v>
      </c>
      <c r="B44" s="127"/>
      <c r="C44" s="128" t="str">
        <f>IFERROR(__xludf.DUMMYFUNCTION("""COMPUTED_VALUE"""),"cro@airnz.co.nz")</f>
        <v>cro@airnz.co.nz</v>
      </c>
      <c r="D44" s="129"/>
      <c r="E44" s="131" t="str">
        <f>IFERROR(__xludf.DUMMYFUNCTION("""COMPUTED_VALUE"""),"https://www.airnewzealand.co.nz/feedback/complaint/")</f>
        <v>https://www.airnewzealand.co.nz/feedback/complaint/</v>
      </c>
      <c r="F44" s="127"/>
      <c r="G44" s="127"/>
      <c r="H44" s="127"/>
      <c r="I44" s="127"/>
      <c r="J44" s="127"/>
      <c r="K44" s="127"/>
      <c r="L44" s="127"/>
      <c r="M44" s="127"/>
      <c r="N44" s="127"/>
      <c r="O44" s="127"/>
      <c r="P44" s="127"/>
      <c r="Q44" s="127"/>
      <c r="R44" s="127"/>
      <c r="S44" s="127"/>
      <c r="T44" s="127"/>
      <c r="U44" s="127"/>
      <c r="V44" s="127"/>
      <c r="W44" s="127"/>
      <c r="X44" s="127"/>
      <c r="Y44" s="127"/>
      <c r="Z44" s="127"/>
      <c r="AA44" s="127"/>
      <c r="AB44" s="127"/>
    </row>
    <row r="45">
      <c r="A45" s="31" t="str">
        <f>IFERROR(__xludf.DUMMYFUNCTION("""COMPUTED_VALUE"""),"Air Nostrum")</f>
        <v>Air Nostrum</v>
      </c>
      <c r="B45" s="127"/>
      <c r="C45" s="128"/>
      <c r="D45" s="129" t="str">
        <f>IFERROR(__xludf.DUMMYFUNCTION("""COMPUTED_VALUE"""),"to be sent to Iberia")</f>
        <v>to be sent to Iberia</v>
      </c>
      <c r="E45" s="131" t="str">
        <f>IFERROR(__xludf.DUMMYFUNCTION("""COMPUTED_VALUE"""),"https://www.iberia.com/gb/customer-relations/")</f>
        <v>https://www.iberia.com/gb/customer-relations/</v>
      </c>
      <c r="F45" s="127"/>
      <c r="G45" s="127"/>
      <c r="H45" s="127"/>
      <c r="I45" s="127"/>
      <c r="J45" s="127"/>
      <c r="K45" s="127"/>
      <c r="L45" s="127"/>
      <c r="M45" s="127"/>
      <c r="N45" s="127"/>
      <c r="O45" s="127"/>
      <c r="P45" s="127"/>
      <c r="Q45" s="127"/>
      <c r="R45" s="127"/>
      <c r="S45" s="127"/>
      <c r="T45" s="127"/>
      <c r="U45" s="127"/>
      <c r="V45" s="127"/>
      <c r="W45" s="127"/>
      <c r="X45" s="127"/>
      <c r="Y45" s="127"/>
      <c r="Z45" s="127"/>
      <c r="AA45" s="127"/>
      <c r="AB45" s="127"/>
    </row>
    <row r="46">
      <c r="A46" s="31" t="str">
        <f>IFERROR(__xludf.DUMMYFUNCTION("""COMPUTED_VALUE"""),"Air Olympic (OA)")</f>
        <v>Air Olympic (OA)</v>
      </c>
      <c r="B46" s="127"/>
      <c r="C46" s="128"/>
      <c r="D46" s="129" t="str">
        <f>IFERROR(__xludf.DUMMYFUNCTION("""COMPUTED_VALUE"""),"webform w/ attachment")</f>
        <v>webform w/ attachment</v>
      </c>
      <c r="E46" s="131" t="str">
        <f>IFERROR(__xludf.DUMMYFUNCTION("""COMPUTED_VALUE"""),"https://www.olympicair.com/en/customerhelp/")</f>
        <v>https://www.olympicair.com/en/customerhelp/</v>
      </c>
      <c r="F46" s="127"/>
      <c r="G46" s="127"/>
      <c r="H46" s="127"/>
      <c r="I46" s="127"/>
      <c r="J46" s="127"/>
      <c r="K46" s="127"/>
      <c r="L46" s="127"/>
      <c r="M46" s="127"/>
      <c r="N46" s="127"/>
      <c r="O46" s="127"/>
      <c r="P46" s="127"/>
      <c r="Q46" s="127"/>
      <c r="R46" s="127"/>
      <c r="S46" s="127"/>
      <c r="T46" s="127"/>
      <c r="U46" s="127"/>
      <c r="V46" s="127"/>
      <c r="W46" s="127"/>
      <c r="X46" s="127"/>
      <c r="Y46" s="127"/>
      <c r="Z46" s="127"/>
      <c r="AA46" s="127"/>
      <c r="AB46" s="127"/>
    </row>
    <row r="47">
      <c r="A47" s="31" t="str">
        <f>IFERROR(__xludf.DUMMYFUNCTION("""COMPUTED_VALUE"""),"Air Peace")</f>
        <v>Air Peace</v>
      </c>
      <c r="B47" s="127"/>
      <c r="C47" s="128" t="str">
        <f>IFERROR(__xludf.DUMMYFUNCTION("""COMPUTED_VALUE"""),"callcenter@flyairpeace.com")</f>
        <v>callcenter@flyairpeace.com</v>
      </c>
      <c r="D47" s="129" t="str">
        <f>IFERROR(__xludf.DUMMYFUNCTION("""COMPUTED_VALUE"""),"e-mail")</f>
        <v>e-mail</v>
      </c>
      <c r="E47" s="129" t="str">
        <f>IFERROR(__xludf.DUMMYFUNCTION("""COMPUTED_VALUE"""),"callcenter@flyairpeace.com")</f>
        <v>callcenter@flyairpeace.com</v>
      </c>
      <c r="F47" s="127"/>
      <c r="G47" s="127"/>
      <c r="H47" s="127"/>
      <c r="I47" s="127"/>
      <c r="J47" s="127"/>
      <c r="K47" s="127"/>
      <c r="L47" s="127"/>
      <c r="M47" s="127"/>
      <c r="N47" s="127"/>
      <c r="O47" s="127"/>
      <c r="P47" s="127"/>
      <c r="Q47" s="127"/>
      <c r="R47" s="127"/>
      <c r="S47" s="127"/>
      <c r="T47" s="127"/>
      <c r="U47" s="127"/>
      <c r="V47" s="127"/>
      <c r="W47" s="127"/>
      <c r="X47" s="127"/>
      <c r="Y47" s="127"/>
      <c r="Z47" s="127"/>
      <c r="AA47" s="127"/>
      <c r="AB47" s="127"/>
    </row>
    <row r="48">
      <c r="A48" s="31" t="str">
        <f>IFERROR(__xludf.DUMMYFUNCTION("""COMPUTED_VALUE"""),"Air Prishtina")</f>
        <v>Air Prishtina</v>
      </c>
      <c r="B48" s="127"/>
      <c r="C48" s="128" t="str">
        <f>IFERROR(__xludf.DUMMYFUNCTION("""COMPUTED_VALUE"""),"kontakt@airprishtina.com")</f>
        <v>kontakt@airprishtina.com</v>
      </c>
      <c r="D48" s="129" t="str">
        <f>IFERROR(__xludf.DUMMYFUNCTION("""COMPUTED_VALUE"""),"webform w/o attachment")</f>
        <v>webform w/o attachment</v>
      </c>
      <c r="E48" s="131" t="str">
        <f>IFERROR(__xludf.DUMMYFUNCTION("""COMPUTED_VALUE"""),"https://www.airprishtina.com/en/contact-form/")</f>
        <v>https://www.airprishtina.com/en/contact-form/</v>
      </c>
      <c r="F48" s="127"/>
      <c r="G48" s="127"/>
      <c r="H48" s="127"/>
      <c r="I48" s="127"/>
      <c r="J48" s="127"/>
      <c r="K48" s="127"/>
      <c r="L48" s="127"/>
      <c r="M48" s="127"/>
      <c r="N48" s="127"/>
      <c r="O48" s="127"/>
      <c r="P48" s="127"/>
      <c r="Q48" s="127"/>
      <c r="R48" s="127"/>
      <c r="S48" s="127"/>
      <c r="T48" s="127"/>
      <c r="U48" s="127"/>
      <c r="V48" s="127"/>
      <c r="W48" s="127"/>
      <c r="X48" s="127"/>
      <c r="Y48" s="127"/>
      <c r="Z48" s="127"/>
      <c r="AA48" s="127"/>
      <c r="AB48" s="127"/>
    </row>
    <row r="49">
      <c r="A49" s="31" t="str">
        <f>IFERROR(__xludf.DUMMYFUNCTION("""COMPUTED_VALUE"""),"Air Serbia (JU)")</f>
        <v>Air Serbia (JU)</v>
      </c>
      <c r="B49" s="127"/>
      <c r="C49" s="128" t="str">
        <f>IFERROR(__xludf.DUMMYFUNCTION("""COMPUTED_VALUE"""),"guest.support@airserbia.com")</f>
        <v>guest.support@airserbia.com</v>
      </c>
      <c r="D49" s="129" t="str">
        <f>IFERROR(__xludf.DUMMYFUNCTION("""COMPUTED_VALUE"""),"webform w/ attachment or E-mail")</f>
        <v>webform w/ attachment or E-mail</v>
      </c>
      <c r="E49" s="129" t="str">
        <f>IFERROR(__xludf.DUMMYFUNCTION("""COMPUTED_VALUE"""),"https://www.airserbia.com/en/claims , If first link not woking: https://www.airserbia.com/en/feedback    E-mail: guest.support@airserbia.com")</f>
        <v>https://www.airserbia.com/en/claims , If first link not woking: https://www.airserbia.com/en/feedback    E-mail: guest.support@airserbia.com</v>
      </c>
      <c r="F49" s="127" t="str">
        <f>IFERROR(__xludf.DUMMYFUNCTION("""COMPUTED_VALUE"""),"Ticket (need ticket number), boarding pass(in case of delayed flight)")</f>
        <v>Ticket (need ticket number), boarding pass(in case of delayed flight)</v>
      </c>
      <c r="G49" s="127"/>
      <c r="H49" s="127"/>
      <c r="I49" s="127"/>
      <c r="J49" s="127"/>
      <c r="K49" s="127"/>
      <c r="L49" s="127"/>
      <c r="M49" s="127"/>
      <c r="N49" s="127"/>
      <c r="O49" s="127"/>
      <c r="P49" s="127"/>
      <c r="Q49" s="127"/>
      <c r="R49" s="127"/>
      <c r="S49" s="127"/>
      <c r="T49" s="127"/>
      <c r="U49" s="127"/>
      <c r="V49" s="127"/>
      <c r="W49" s="127"/>
      <c r="X49" s="127"/>
      <c r="Y49" s="127"/>
      <c r="Z49" s="127"/>
      <c r="AA49" s="127"/>
      <c r="AB49" s="127"/>
    </row>
    <row r="50">
      <c r="A50" s="31" t="str">
        <f>IFERROR(__xludf.DUMMYFUNCTION("""COMPUTED_VALUE"""),"Air Tahiti Nui")</f>
        <v>Air Tahiti Nui</v>
      </c>
      <c r="B50" s="127"/>
      <c r="C50" s="128" t="str">
        <f>IFERROR(__xludf.DUMMYFUNCTION("""COMPUTED_VALUE"""),"sales@airtahitinui-usa.com")</f>
        <v>sales@airtahitinui-usa.com</v>
      </c>
      <c r="D50" s="129" t="str">
        <f>IFERROR(__xludf.DUMMYFUNCTION("""COMPUTED_VALUE"""),"webform w attachment")</f>
        <v>webform w attachment</v>
      </c>
      <c r="E50" s="131" t="str">
        <f>IFERROR(__xludf.DUMMYFUNCTION("""COMPUTED_VALUE"""),"https://www.airtahitinui.com/en/contact-us")</f>
        <v>https://www.airtahitinui.com/en/contact-us</v>
      </c>
      <c r="F50" s="127" t="str">
        <f>IFERROR(__xludf.DUMMYFUNCTION("""COMPUTED_VALUE"""),"Date of Birth")</f>
        <v>Date of Birth</v>
      </c>
      <c r="G50" s="127"/>
      <c r="H50" s="127"/>
      <c r="I50" s="127"/>
      <c r="J50" s="127"/>
      <c r="K50" s="127"/>
      <c r="L50" s="127"/>
      <c r="M50" s="127"/>
      <c r="N50" s="127"/>
      <c r="O50" s="127"/>
      <c r="P50" s="127"/>
      <c r="Q50" s="127"/>
      <c r="R50" s="127"/>
      <c r="S50" s="127"/>
      <c r="T50" s="127"/>
      <c r="U50" s="127"/>
      <c r="V50" s="127"/>
      <c r="W50" s="127"/>
      <c r="X50" s="127"/>
      <c r="Y50" s="127"/>
      <c r="Z50" s="127"/>
      <c r="AA50" s="127"/>
      <c r="AB50" s="127"/>
    </row>
    <row r="51">
      <c r="A51" s="31" t="str">
        <f>IFERROR(__xludf.DUMMYFUNCTION("""COMPUTED_VALUE"""),"Air Tanzania")</f>
        <v>Air Tanzania</v>
      </c>
      <c r="B51" s="127"/>
      <c r="C51" s="128" t="str">
        <f>IFERROR(__xludf.DUMMYFUNCTION("""COMPUTED_VALUE"""),"info@airtanzania.com")</f>
        <v>info@airtanzania.com</v>
      </c>
      <c r="D51" s="129" t="str">
        <f>IFERROR(__xludf.DUMMYFUNCTION("""COMPUTED_VALUE"""),"e-mail/ webform w/o attachment")</f>
        <v>e-mail/ webform w/o attachment</v>
      </c>
      <c r="E51" s="131" t="str">
        <f>IFERROR(__xludf.DUMMYFUNCTION("""COMPUTED_VALUE"""),"https://www.airtanzania.co.tz/contact-form")</f>
        <v>https://www.airtanzania.co.tz/contact-form</v>
      </c>
      <c r="F51" s="127"/>
      <c r="G51" s="127"/>
      <c r="H51" s="127"/>
      <c r="I51" s="127"/>
      <c r="J51" s="127"/>
      <c r="K51" s="127"/>
      <c r="L51" s="127"/>
      <c r="M51" s="127"/>
      <c r="N51" s="127"/>
      <c r="O51" s="127"/>
      <c r="P51" s="127"/>
      <c r="Q51" s="127"/>
      <c r="R51" s="127"/>
      <c r="S51" s="127"/>
      <c r="T51" s="127"/>
      <c r="U51" s="127"/>
      <c r="V51" s="127"/>
      <c r="W51" s="127"/>
      <c r="X51" s="127"/>
      <c r="Y51" s="127"/>
      <c r="Z51" s="127"/>
      <c r="AA51" s="127"/>
      <c r="AB51" s="127"/>
    </row>
    <row r="52">
      <c r="A52" s="31" t="str">
        <f>IFERROR(__xludf.DUMMYFUNCTION("""COMPUTED_VALUE"""),"Air Transat (TS)")</f>
        <v>Air Transat (TS)</v>
      </c>
      <c r="B52" s="127"/>
      <c r="C52" s="128" t="str">
        <f>IFERROR(__xludf.DUMMYFUNCTION("""COMPUTED_VALUE"""),"relationsclientele@transat.com")</f>
        <v>relationsclientele@transat.com</v>
      </c>
      <c r="D52" s="129" t="str">
        <f>IFERROR(__xludf.DUMMYFUNCTION("""COMPUTED_VALUE"""),"webform w/o attachment")</f>
        <v>webform w/o attachment</v>
      </c>
      <c r="E52" s="131" t="str">
        <f>IFERROR(__xludf.DUMMYFUNCTION("""COMPUTED_VALUE"""),"https://www.airtransat.com/en-CA/forms/claim-for-flight-delay#/file")</f>
        <v>https://www.airtransat.com/en-CA/forms/claim-for-flight-delay#/file</v>
      </c>
      <c r="F52" s="127"/>
      <c r="G52" s="127"/>
      <c r="H52" s="127" t="str">
        <f>IFERROR(__xludf.DUMMYFUNCTION("""COMPUTED_VALUE"""),"Your claim must be received by Air Transat within one year of the date of the flight disruption. Air Transat will respond to your claim within a maximum of 30 days of the date of receipt of the submitted claim for flight delay.")</f>
        <v>Your claim must be received by Air Transat within one year of the date of the flight disruption. Air Transat will respond to your claim within a maximum of 30 days of the date of receipt of the submitted claim for flight delay.</v>
      </c>
      <c r="I52" s="127"/>
      <c r="J52" s="127"/>
      <c r="K52" s="127"/>
      <c r="L52" s="127"/>
      <c r="M52" s="127"/>
      <c r="N52" s="127"/>
      <c r="O52" s="127"/>
      <c r="P52" s="127"/>
      <c r="Q52" s="127"/>
      <c r="R52" s="127"/>
      <c r="S52" s="127"/>
      <c r="T52" s="127"/>
      <c r="U52" s="127"/>
      <c r="V52" s="127"/>
      <c r="W52" s="127"/>
      <c r="X52" s="127"/>
      <c r="Y52" s="127"/>
      <c r="Z52" s="127"/>
      <c r="AA52" s="127"/>
      <c r="AB52" s="127"/>
    </row>
    <row r="53">
      <c r="A53" s="31" t="str">
        <f>IFERROR(__xludf.DUMMYFUNCTION("""COMPUTED_VALUE"""),"Air Wisconsin (ZW)")</f>
        <v>Air Wisconsin (ZW)</v>
      </c>
      <c r="B53" s="127"/>
      <c r="C53" s="128" t="str">
        <f>IFERROR(__xludf.DUMMYFUNCTION("""COMPUTED_VALUE"""),"corporatecommunications@airwis.com")</f>
        <v>corporatecommunications@airwis.com</v>
      </c>
      <c r="D53" s="129" t="str">
        <f>IFERROR(__xludf.DUMMYFUNCTION("""COMPUTED_VALUE"""),"e-mail")</f>
        <v>e-mail</v>
      </c>
      <c r="E53" s="129" t="str">
        <f>IFERROR(__xludf.DUMMYFUNCTION("""COMPUTED_VALUE"""),"corporatecommunications@airwis.com")</f>
        <v>corporatecommunications@airwis.com</v>
      </c>
      <c r="F53" s="127"/>
      <c r="G53" s="127"/>
      <c r="H53" s="127"/>
      <c r="I53" s="127"/>
      <c r="J53" s="127"/>
      <c r="K53" s="127"/>
      <c r="L53" s="127"/>
      <c r="M53" s="127"/>
      <c r="N53" s="127"/>
      <c r="O53" s="127"/>
      <c r="P53" s="127"/>
      <c r="Q53" s="127"/>
      <c r="R53" s="127"/>
      <c r="S53" s="127"/>
      <c r="T53" s="127"/>
      <c r="U53" s="127"/>
      <c r="V53" s="127"/>
      <c r="W53" s="127"/>
      <c r="X53" s="127"/>
      <c r="Y53" s="127"/>
      <c r="Z53" s="127"/>
      <c r="AA53" s="127"/>
      <c r="AB53" s="127"/>
    </row>
    <row r="54">
      <c r="A54" s="31" t="str">
        <f>IFERROR(__xludf.DUMMYFUNCTION("""COMPUTED_VALUE"""),"Air Baltic (BT)")</f>
        <v>Air Baltic (BT)</v>
      </c>
      <c r="B54" s="127"/>
      <c r="C54" s="128" t="str">
        <f>IFERROR(__xludf.DUMMYFUNCTION("""COMPUTED_VALUE"""),"customers@airbaltic.lv")</f>
        <v>customers@airbaltic.lv</v>
      </c>
      <c r="D54" s="129" t="str">
        <f>IFERROR(__xludf.DUMMYFUNCTION("""COMPUTED_VALUE"""),"webform w/o attachment")</f>
        <v>webform w/o attachment</v>
      </c>
      <c r="E54" s="131" t="str">
        <f>IFERROR(__xludf.DUMMYFUNCTION("""COMPUTED_VALUE"""),"https://www.airbaltic.com/en/submit-a-claim")</f>
        <v>https://www.airbaltic.com/en/submit-a-claim</v>
      </c>
      <c r="F54" s="127"/>
      <c r="G54" s="127"/>
      <c r="H54" s="127"/>
      <c r="I54" s="127"/>
      <c r="J54" s="127"/>
      <c r="K54" s="127"/>
      <c r="L54" s="127"/>
      <c r="M54" s="127"/>
      <c r="N54" s="127"/>
      <c r="O54" s="127"/>
      <c r="P54" s="127"/>
      <c r="Q54" s="127"/>
      <c r="R54" s="127"/>
      <c r="S54" s="127"/>
      <c r="T54" s="127"/>
      <c r="U54" s="127"/>
      <c r="V54" s="127"/>
      <c r="W54" s="127"/>
      <c r="X54" s="127"/>
      <c r="Y54" s="127"/>
      <c r="Z54" s="127"/>
      <c r="AA54" s="127"/>
      <c r="AB54" s="127"/>
    </row>
    <row r="55">
      <c r="A55" s="31" t="str">
        <f>IFERROR(__xludf.DUMMYFUNCTION("""COMPUTED_VALUE"""),"Ajet (VF)/ Andalutjet")</f>
        <v>Ajet (VF)/ Andalutjet</v>
      </c>
      <c r="B55" s="127"/>
      <c r="C55" s="128" t="str">
        <f>IFERROR(__xludf.DUMMYFUNCTION("""COMPUTED_VALUE"""),"customer@ajet.com")</f>
        <v>customer@ajet.com</v>
      </c>
      <c r="D55" s="129" t="str">
        <f>IFERROR(__xludf.DUMMYFUNCTION("""COMPUTED_VALUE"""),"webform w/ attachment")</f>
        <v>webform w/ attachment</v>
      </c>
      <c r="E55" s="131" t="str">
        <f>IFERROR(__xludf.DUMMYFUNCTION("""COMPUTED_VALUE"""),"https://ajet.com/en/corporate/feedback-form")</f>
        <v>https://ajet.com/en/corporate/feedback-form</v>
      </c>
      <c r="F55" s="127"/>
      <c r="G55" s="127"/>
      <c r="H55" s="127"/>
      <c r="I55" s="127"/>
      <c r="J55" s="127"/>
      <c r="K55" s="127"/>
      <c r="L55" s="127"/>
      <c r="M55" s="127"/>
      <c r="N55" s="127"/>
      <c r="O55" s="127"/>
      <c r="P55" s="127"/>
      <c r="Q55" s="127"/>
      <c r="R55" s="127"/>
      <c r="S55" s="127"/>
      <c r="T55" s="127"/>
      <c r="U55" s="127"/>
      <c r="V55" s="127"/>
      <c r="W55" s="127"/>
      <c r="X55" s="127"/>
      <c r="Y55" s="127"/>
      <c r="Z55" s="127"/>
      <c r="AA55" s="127"/>
      <c r="AB55" s="127"/>
    </row>
    <row r="56">
      <c r="A56" s="31" t="str">
        <f>IFERROR(__xludf.DUMMYFUNCTION("""COMPUTED_VALUE"""),"Alaska Airlines (AS)")</f>
        <v>Alaska Airlines (AS)</v>
      </c>
      <c r="B56" s="127"/>
      <c r="C56" s="128" t="str">
        <f>IFERROR(__xludf.DUMMYFUNCTION("""COMPUTED_VALUE"""),"refunds@alaskaair.com")</f>
        <v>refunds@alaskaair.com</v>
      </c>
      <c r="D56" s="129" t="str">
        <f>IFERROR(__xludf.DUMMYFUNCTION("""COMPUTED_VALUE"""),"webform w/o attachment")</f>
        <v>webform w/o attachment</v>
      </c>
      <c r="E56" s="131" t="str">
        <f>IFERROR(__xludf.DUMMYFUNCTION("""COMPUTED_VALUE"""),"https://www.alaskaair.com/feedback/general-comments")</f>
        <v>https://www.alaskaair.com/feedback/general-comments</v>
      </c>
      <c r="F56" s="127"/>
      <c r="G56" s="127"/>
      <c r="H56" s="127"/>
      <c r="I56" s="127"/>
      <c r="J56" s="127"/>
      <c r="K56" s="127"/>
      <c r="L56" s="127"/>
      <c r="M56" s="127"/>
      <c r="N56" s="127"/>
      <c r="O56" s="127"/>
      <c r="P56" s="127"/>
      <c r="Q56" s="127"/>
      <c r="R56" s="127"/>
      <c r="S56" s="127"/>
      <c r="T56" s="127"/>
      <c r="U56" s="127"/>
      <c r="V56" s="127"/>
      <c r="W56" s="127"/>
      <c r="X56" s="127"/>
      <c r="Y56" s="127"/>
      <c r="Z56" s="127"/>
      <c r="AA56" s="127"/>
      <c r="AB56" s="127"/>
    </row>
    <row r="57">
      <c r="A57" s="31" t="str">
        <f>IFERROR(__xludf.DUMMYFUNCTION("""COMPUTED_VALUE"""),"Albawings")</f>
        <v>Albawings</v>
      </c>
      <c r="B57" s="127"/>
      <c r="C57" s="128" t="str">
        <f>IFERROR(__xludf.DUMMYFUNCTION("""COMPUTED_VALUE"""),"info@albawings.com")</f>
        <v>info@albawings.com</v>
      </c>
      <c r="D57" s="129" t="str">
        <f>IFERROR(__xludf.DUMMYFUNCTION("""COMPUTED_VALUE"""),"webform w/o attachment")</f>
        <v>webform w/o attachment</v>
      </c>
      <c r="E57" s="131" t="str">
        <f>IFERROR(__xludf.DUMMYFUNCTION("""COMPUTED_VALUE"""),"https://www.albawings.com/en/contact")</f>
        <v>https://www.albawings.com/en/contact</v>
      </c>
      <c r="F57" s="127" t="str">
        <f>IFERROR(__xludf.DUMMYFUNCTION("""COMPUTED_VALUE"""),"Ceased operation since January 12, 2024")</f>
        <v>Ceased operation since January 12, 2024</v>
      </c>
      <c r="G57" s="127"/>
      <c r="H57" s="127"/>
      <c r="I57" s="127"/>
      <c r="J57" s="127"/>
      <c r="K57" s="127"/>
      <c r="L57" s="127"/>
      <c r="M57" s="127"/>
      <c r="N57" s="127"/>
      <c r="O57" s="127"/>
      <c r="P57" s="127"/>
      <c r="Q57" s="127"/>
      <c r="R57" s="127"/>
      <c r="S57" s="127"/>
      <c r="T57" s="127"/>
      <c r="U57" s="127"/>
      <c r="V57" s="127"/>
      <c r="W57" s="127"/>
      <c r="X57" s="127"/>
      <c r="Y57" s="127"/>
      <c r="Z57" s="127"/>
      <c r="AA57" s="127"/>
      <c r="AB57" s="127"/>
    </row>
    <row r="58">
      <c r="A58" s="31" t="str">
        <f>IFERROR(__xludf.DUMMYFUNCTION("""COMPUTED_VALUE"""),"AMC Aviation")</f>
        <v>AMC Aviation</v>
      </c>
      <c r="B58" s="127"/>
      <c r="C58" s="128" t="str">
        <f>IFERROR(__xludf.DUMMYFUNCTION("""COMPUTED_VALUE"""),"office@amcaviation.eu")</f>
        <v>office@amcaviation.eu</v>
      </c>
      <c r="D58" s="129" t="str">
        <f>IFERROR(__xludf.DUMMYFUNCTION("""COMPUTED_VALUE"""),"webform w/o attachment")</f>
        <v>webform w/o attachment</v>
      </c>
      <c r="E58" s="131" t="str">
        <f>IFERROR(__xludf.DUMMYFUNCTION("""COMPUTED_VALUE"""),"https://www.amcaviation.eu/?lang=en")</f>
        <v>https://www.amcaviation.eu/?lang=en</v>
      </c>
      <c r="F58" s="127"/>
      <c r="G58" s="127"/>
      <c r="H58" s="127"/>
      <c r="I58" s="127"/>
      <c r="J58" s="127"/>
      <c r="K58" s="127"/>
      <c r="L58" s="127"/>
      <c r="M58" s="127"/>
      <c r="N58" s="127"/>
      <c r="O58" s="127"/>
      <c r="P58" s="127"/>
      <c r="Q58" s="127"/>
      <c r="R58" s="127"/>
      <c r="S58" s="127"/>
      <c r="T58" s="127"/>
      <c r="U58" s="127"/>
      <c r="V58" s="127"/>
      <c r="W58" s="127"/>
      <c r="X58" s="127"/>
      <c r="Y58" s="127"/>
      <c r="Z58" s="127"/>
      <c r="AA58" s="127"/>
      <c r="AB58" s="127"/>
    </row>
    <row r="59">
      <c r="A59" s="31" t="str">
        <f>IFERROR(__xludf.DUMMYFUNCTION("""COMPUTED_VALUE"""),"American Airlines (AA)")</f>
        <v>American Airlines (AA)</v>
      </c>
      <c r="B59" s="127"/>
      <c r="C59" s="128" t="str">
        <f>IFERROR(__xludf.DUMMYFUNCTION("""COMPUTED_VALUE"""),"AA.ECClaims@AA.com")</f>
        <v>AA.ECClaims@AA.com</v>
      </c>
      <c r="D59" s="129" t="str">
        <f>IFERROR(__xludf.DUMMYFUNCTION("""COMPUTED_VALUE"""),"email")</f>
        <v>email</v>
      </c>
      <c r="E59" s="129" t="str">
        <f>IFERROR(__xludf.DUMMYFUNCTION("""COMPUTED_VALUE"""),"AA.ECClaims@AA.com")</f>
        <v>AA.ECClaims@AA.com</v>
      </c>
      <c r="F59" s="127"/>
      <c r="G59" s="127"/>
      <c r="H59" s="132" t="str">
        <f>IFERROR(__xludf.DUMMYFUNCTION("""COMPUTED_VALUE"""),"https://www.aa.com/contact/forms?topic=CR#/")</f>
        <v>https://www.aa.com/contact/forms?topic=CR#/</v>
      </c>
      <c r="I59" s="127"/>
      <c r="J59" s="127"/>
      <c r="K59" s="127"/>
      <c r="L59" s="127"/>
      <c r="M59" s="127"/>
      <c r="N59" s="127"/>
      <c r="O59" s="127"/>
      <c r="P59" s="127"/>
      <c r="Q59" s="127"/>
      <c r="R59" s="127"/>
      <c r="S59" s="127"/>
      <c r="T59" s="127"/>
      <c r="U59" s="127"/>
      <c r="V59" s="127"/>
      <c r="W59" s="127"/>
      <c r="X59" s="127"/>
      <c r="Y59" s="127"/>
      <c r="Z59" s="127"/>
      <c r="AA59" s="127"/>
      <c r="AB59" s="127"/>
    </row>
    <row r="60">
      <c r="A60" s="31" t="str">
        <f>IFERROR(__xludf.DUMMYFUNCTION("""COMPUTED_VALUE"""),"Animawings")</f>
        <v>Animawings</v>
      </c>
      <c r="B60" s="127"/>
      <c r="C60" s="128" t="str">
        <f>IFERROR(__xludf.DUMMYFUNCTION("""COMPUTED_VALUE"""),"claims@animawings.com")</f>
        <v>claims@animawings.com</v>
      </c>
      <c r="D60" s="129" t="str">
        <f>IFERROR(__xludf.DUMMYFUNCTION("""COMPUTED_VALUE"""),"e-mail")</f>
        <v>e-mail</v>
      </c>
      <c r="E60" s="129" t="str">
        <f>IFERROR(__xludf.DUMMYFUNCTION("""COMPUTED_VALUE"""),"claims@animawings.com")</f>
        <v>claims@animawings.com</v>
      </c>
      <c r="F60" s="127"/>
      <c r="G60" s="127"/>
      <c r="H60" s="127"/>
      <c r="I60" s="127"/>
      <c r="J60" s="127"/>
      <c r="K60" s="127"/>
      <c r="L60" s="127"/>
      <c r="M60" s="127"/>
      <c r="N60" s="127"/>
      <c r="O60" s="127"/>
      <c r="P60" s="127"/>
      <c r="Q60" s="127"/>
      <c r="R60" s="127"/>
      <c r="S60" s="127"/>
      <c r="T60" s="127"/>
      <c r="U60" s="127"/>
      <c r="V60" s="127"/>
      <c r="W60" s="127"/>
      <c r="X60" s="127"/>
      <c r="Y60" s="127"/>
      <c r="Z60" s="127"/>
      <c r="AA60" s="127"/>
      <c r="AB60" s="127"/>
    </row>
    <row r="61">
      <c r="A61" s="31" t="str">
        <f>IFERROR(__xludf.DUMMYFUNCTION("""COMPUTED_VALUE"""),"Arkia Israeli Airlines")</f>
        <v>Arkia Israeli Airlines</v>
      </c>
      <c r="B61" s="127"/>
      <c r="C61" s="128" t="str">
        <f>IFERROR(__xludf.DUMMYFUNCTION("""COMPUTED_VALUE"""),"service@arkia.co.il")</f>
        <v>service@arkia.co.il</v>
      </c>
      <c r="D61" s="129" t="str">
        <f>IFERROR(__xludf.DUMMYFUNCTION("""COMPUTED_VALUE"""),"email but not sure!")</f>
        <v>email but not sure!</v>
      </c>
      <c r="E61" s="129" t="str">
        <f>IFERROR(__xludf.DUMMYFUNCTION("""COMPUTED_VALUE"""),"service@arkia.co.il")</f>
        <v>service@arkia.co.il</v>
      </c>
      <c r="F61" s="127"/>
      <c r="G61" s="127"/>
      <c r="H61" s="127"/>
      <c r="I61" s="127"/>
      <c r="J61" s="127"/>
      <c r="K61" s="127"/>
      <c r="L61" s="127"/>
      <c r="M61" s="127"/>
      <c r="N61" s="127"/>
      <c r="O61" s="127"/>
      <c r="P61" s="127"/>
      <c r="Q61" s="127"/>
      <c r="R61" s="127"/>
      <c r="S61" s="127"/>
      <c r="T61" s="127"/>
      <c r="U61" s="127"/>
      <c r="V61" s="127"/>
      <c r="W61" s="127"/>
      <c r="X61" s="127"/>
      <c r="Y61" s="127"/>
      <c r="Z61" s="127"/>
      <c r="AA61" s="127"/>
      <c r="AB61" s="127"/>
    </row>
    <row r="62">
      <c r="A62" s="31" t="str">
        <f>IFERROR(__xludf.DUMMYFUNCTION("""COMPUTED_VALUE"""),"Asiana Airlines")</f>
        <v>Asiana Airlines</v>
      </c>
      <c r="B62" s="127" t="str">
        <f>IFERROR(__xludf.DUMMYFUNCTION("""COMPUTED_VALUE"""),"Seoul, South Korea")</f>
        <v>Seoul, South Korea</v>
      </c>
      <c r="C62" s="128" t="str">
        <f>IFERROR(__xludf.DUMMYFUNCTION("""COMPUTED_VALUE"""),"asianacs@flyasiana.com")</f>
        <v>asianacs@flyasiana.com</v>
      </c>
      <c r="D62" s="129" t="str">
        <f>IFERROR(__xludf.DUMMYFUNCTION("""COMPUTED_VALUE"""),"webform w/ attachment")</f>
        <v>webform w/ attachment</v>
      </c>
      <c r="E62" s="131" t="str">
        <f>IFERROR(__xludf.DUMMYFUNCTION("""COMPUTED_VALUE"""),"https://flyasiana.com/C/US/EN/customer/voc")</f>
        <v>https://flyasiana.com/C/US/EN/customer/voc</v>
      </c>
      <c r="F62" s="132" t="str">
        <f>IFERROR(__xludf.DUMMYFUNCTION("""COMPUTED_VALUE"""),"https://avochome.flyasiana.com/complaint/complaintRegist.voc")</f>
        <v>https://avochome.flyasiana.com/complaint/complaintRegist.voc</v>
      </c>
      <c r="G62" s="127"/>
      <c r="H62" s="127"/>
      <c r="I62" s="127"/>
      <c r="J62" s="127"/>
      <c r="K62" s="127"/>
      <c r="L62" s="127"/>
      <c r="M62" s="127"/>
      <c r="N62" s="127"/>
      <c r="O62" s="127"/>
      <c r="P62" s="127"/>
      <c r="Q62" s="127"/>
      <c r="R62" s="127"/>
      <c r="S62" s="127"/>
      <c r="T62" s="127"/>
      <c r="U62" s="127"/>
      <c r="V62" s="127"/>
      <c r="W62" s="127"/>
      <c r="X62" s="127"/>
      <c r="Y62" s="127"/>
      <c r="Z62" s="127"/>
      <c r="AA62" s="127"/>
      <c r="AB62" s="127"/>
    </row>
    <row r="63">
      <c r="A63" s="31" t="str">
        <f>IFERROR(__xludf.DUMMYFUNCTION("""COMPUTED_VALUE"""),"Atlantic Airways (RC)")</f>
        <v>Atlantic Airways (RC)</v>
      </c>
      <c r="B63" s="127"/>
      <c r="C63" s="128" t="str">
        <f>IFERROR(__xludf.DUMMYFUNCTION("""COMPUTED_VALUE"""),"cr@atlantic.fo")</f>
        <v>cr@atlantic.fo</v>
      </c>
      <c r="D63" s="129" t="str">
        <f>IFERROR(__xludf.DUMMYFUNCTION("""COMPUTED_VALUE"""),"e-mail")</f>
        <v>e-mail</v>
      </c>
      <c r="E63" s="129" t="str">
        <f>IFERROR(__xludf.DUMMYFUNCTION("""COMPUTED_VALUE"""),"cr@atlantic.fo")</f>
        <v>cr@atlantic.fo</v>
      </c>
      <c r="F63" s="127"/>
      <c r="G63" s="127" t="str">
        <f>IFERROR(__xludf.DUMMYFUNCTION("""COMPUTED_VALUE"""),"Atlantic Airways
 Customer Relations
 FO-380 Sørvágur
 Faroe Islands")</f>
        <v>Atlantic Airways
 Customer Relations
 FO-380 Sørvágur
 Faroe Islands</v>
      </c>
      <c r="H63" s="132" t="str">
        <f>IFERROR(__xludf.DUMMYFUNCTION("""COMPUTED_VALUE"""),"https://www.atlanticairways.com/media/2094/passenger_rights_nov_2021.pdf")</f>
        <v>https://www.atlanticairways.com/media/2094/passenger_rights_nov_2021.pdf</v>
      </c>
      <c r="I63" s="127"/>
      <c r="J63" s="127"/>
      <c r="K63" s="127"/>
      <c r="L63" s="127"/>
      <c r="M63" s="127"/>
      <c r="N63" s="127"/>
      <c r="O63" s="127"/>
      <c r="P63" s="127"/>
      <c r="Q63" s="127"/>
      <c r="R63" s="127"/>
      <c r="S63" s="127"/>
      <c r="T63" s="127"/>
      <c r="U63" s="127"/>
      <c r="V63" s="127"/>
      <c r="W63" s="127"/>
      <c r="X63" s="127"/>
      <c r="Y63" s="127"/>
      <c r="Z63" s="127"/>
      <c r="AA63" s="127"/>
      <c r="AB63" s="127"/>
    </row>
    <row r="64">
      <c r="A64" s="31" t="str">
        <f>IFERROR(__xludf.DUMMYFUNCTION("""COMPUTED_VALUE"""),"Aura Airlines")</f>
        <v>Aura Airlines</v>
      </c>
      <c r="B64" s="127" t="str">
        <f>IFERROR(__xludf.DUMMYFUNCTION("""COMPUTED_VALUE"""),"ceased operations")</f>
        <v>ceased operations</v>
      </c>
      <c r="C64" s="128"/>
      <c r="D64" s="129"/>
      <c r="E64" s="129"/>
      <c r="F64" s="127"/>
      <c r="G64" s="127"/>
      <c r="H64" s="127"/>
      <c r="I64" s="127"/>
      <c r="J64" s="127"/>
      <c r="K64" s="127"/>
      <c r="L64" s="127"/>
      <c r="M64" s="127"/>
      <c r="N64" s="127"/>
      <c r="O64" s="127"/>
      <c r="P64" s="127"/>
      <c r="Q64" s="127"/>
      <c r="R64" s="127"/>
      <c r="S64" s="127"/>
      <c r="T64" s="127"/>
      <c r="U64" s="127"/>
      <c r="V64" s="127"/>
      <c r="W64" s="127"/>
      <c r="X64" s="127"/>
      <c r="Y64" s="127"/>
      <c r="Z64" s="127"/>
      <c r="AA64" s="127"/>
      <c r="AB64" s="127"/>
    </row>
    <row r="65">
      <c r="A65" s="31" t="str">
        <f>IFERROR(__xludf.DUMMYFUNCTION("""COMPUTED_VALUE"""),"Aurigny Air Services")</f>
        <v>Aurigny Air Services</v>
      </c>
      <c r="B65" s="127"/>
      <c r="C65" s="128" t="str">
        <f>IFERROR(__xludf.DUMMYFUNCTION("""COMPUTED_VALUE"""),"customerservices@aurigny.com")</f>
        <v>customerservices@aurigny.com</v>
      </c>
      <c r="D65" s="129"/>
      <c r="E65" s="131" t="str">
        <f>IFERROR(__xludf.DUMMYFUNCTION("""COMPUTED_VALUE"""),"https://aurigny.centrik.net/sms/case/externalreport.aspx?ReportingSubsystemId=545a1dcf-edeb-423f-938e-aaed5bd303c6")</f>
        <v>https://aurigny.centrik.net/sms/case/externalreport.aspx?ReportingSubsystemId=545a1dcf-edeb-423f-938e-aaed5bd303c6</v>
      </c>
      <c r="F65" s="127"/>
      <c r="G65" s="127"/>
      <c r="H65" s="127"/>
      <c r="I65" s="127"/>
      <c r="J65" s="127"/>
      <c r="K65" s="127"/>
      <c r="L65" s="127"/>
      <c r="M65" s="127"/>
      <c r="N65" s="127"/>
      <c r="O65" s="127"/>
      <c r="P65" s="127"/>
      <c r="Q65" s="127"/>
      <c r="R65" s="127"/>
      <c r="S65" s="127"/>
      <c r="T65" s="127"/>
      <c r="U65" s="127"/>
      <c r="V65" s="127"/>
      <c r="W65" s="127"/>
      <c r="X65" s="127"/>
      <c r="Y65" s="127"/>
      <c r="Z65" s="127"/>
      <c r="AA65" s="127"/>
      <c r="AB65" s="127"/>
    </row>
    <row r="66">
      <c r="A66" s="31" t="str">
        <f>IFERROR(__xludf.DUMMYFUNCTION("""COMPUTED_VALUE"""),"Austrian Airlines (OS)")</f>
        <v>Austrian Airlines (OS)</v>
      </c>
      <c r="B66" s="127" t="str">
        <f>IFERROR(__xludf.DUMMYFUNCTION("""COMPUTED_VALUE"""),"They send reference after submission")</f>
        <v>They send reference after submission</v>
      </c>
      <c r="C66" s="128" t="str">
        <f>IFERROR(__xludf.DUMMYFUNCTION("""COMPUTED_VALUE"""),"feedback@austrian.com")</f>
        <v>feedback@austrian.com</v>
      </c>
      <c r="D66" s="129" t="str">
        <f>IFERROR(__xludf.DUMMYFUNCTION("""COMPUTED_VALUE"""),"e-mail/ webform w/ attachment")</f>
        <v>e-mail/ webform w/ attachment</v>
      </c>
      <c r="E66" s="131" t="str">
        <f>IFERROR(__xludf.DUMMYFUNCTION("""COMPUTED_VALUE"""),"https://www.austrian.com/us/en/footer-pages/help-and-contact/application-for-compensation-in-the-event-of-flight-irregularities")</f>
        <v>https://www.austrian.com/us/en/footer-pages/help-and-contact/application-for-compensation-in-the-event-of-flight-irregularities</v>
      </c>
      <c r="F66" s="127"/>
      <c r="G66" s="127" t="str">
        <f>IFERROR(__xludf.DUMMYFUNCTION("""COMPUTED_VALUE"""),"AUSTRIAN AIRLINES 
 Astrid Heinisch, Customer Relations, Head Office, Office Park 2 P.O. Box 33, 1300 Vienna Airport")</f>
        <v>AUSTRIAN AIRLINES 
 Astrid Heinisch, Customer Relations, Head Office, Office Park 2 P.O. Box 33, 1300 Vienna Airport</v>
      </c>
      <c r="H66" s="127"/>
      <c r="I66" s="127"/>
      <c r="J66" s="127"/>
      <c r="K66" s="127"/>
      <c r="L66" s="127"/>
      <c r="M66" s="127"/>
      <c r="N66" s="127"/>
      <c r="O66" s="127"/>
      <c r="P66" s="127"/>
      <c r="Q66" s="127"/>
      <c r="R66" s="127"/>
      <c r="S66" s="127"/>
      <c r="T66" s="127"/>
      <c r="U66" s="127"/>
      <c r="V66" s="127"/>
      <c r="W66" s="127"/>
      <c r="X66" s="127"/>
      <c r="Y66" s="127"/>
      <c r="Z66" s="127"/>
      <c r="AA66" s="127"/>
      <c r="AB66" s="127"/>
    </row>
    <row r="67">
      <c r="A67" s="31" t="str">
        <f>IFERROR(__xludf.DUMMYFUNCTION("""COMPUTED_VALUE"""),"AVIANCA (AV)")</f>
        <v>AVIANCA (AV)</v>
      </c>
      <c r="B67" s="127"/>
      <c r="C67" s="128" t="str">
        <f>IFERROR(__xludf.DUMMYFUNCTION("""COMPUTED_VALUE"""),"reclamadores.europa@avianca.com")</f>
        <v>reclamadores.europa@avianca.com</v>
      </c>
      <c r="D67" s="129" t="str">
        <f>IFERROR(__xludf.DUMMYFUNCTION("""COMPUTED_VALUE"""),"e-mail")</f>
        <v>e-mail</v>
      </c>
      <c r="E67" s="129" t="str">
        <f>IFERROR(__xludf.DUMMYFUNCTION("""COMPUTED_VALUE"""),"reclamadores.europa@avianca.com")</f>
        <v>reclamadores.europa@avianca.com</v>
      </c>
      <c r="F67" s="127"/>
      <c r="G67" s="127" t="str">
        <f>IFERROR(__xludf.DUMMYFUNCTION("""COMPUTED_VALUE"""),"reclamadores.europa@avianca.com")</f>
        <v>reclamadores.europa@avianca.com</v>
      </c>
      <c r="H67" s="127"/>
      <c r="I67" s="127"/>
      <c r="J67" s="127"/>
      <c r="K67" s="127"/>
      <c r="L67" s="127"/>
      <c r="M67" s="127"/>
      <c r="N67" s="127"/>
      <c r="O67" s="127"/>
      <c r="P67" s="127"/>
      <c r="Q67" s="127"/>
      <c r="R67" s="127"/>
      <c r="S67" s="127"/>
      <c r="T67" s="127"/>
      <c r="U67" s="127"/>
      <c r="V67" s="127"/>
      <c r="W67" s="127"/>
      <c r="X67" s="127"/>
      <c r="Y67" s="127"/>
      <c r="Z67" s="127"/>
      <c r="AA67" s="127"/>
      <c r="AB67" s="127"/>
    </row>
    <row r="68">
      <c r="A68" s="31" t="str">
        <f>IFERROR(__xludf.DUMMYFUNCTION("""COMPUTED_VALUE"""),"Avies")</f>
        <v>Avies</v>
      </c>
      <c r="B68" s="127"/>
      <c r="C68" s="128" t="str">
        <f>IFERROR(__xludf.DUMMYFUNCTION("""COMPUTED_VALUE"""),"callcenter@avies.ee - flights in Sweden, regular@avies.ee - flights in Estonia")</f>
        <v>callcenter@avies.ee - flights in Sweden, regular@avies.ee - flights in Estonia</v>
      </c>
      <c r="D68" s="129" t="str">
        <f>IFERROR(__xludf.DUMMYFUNCTION("""COMPUTED_VALUE"""),"e-mail")</f>
        <v>e-mail</v>
      </c>
      <c r="E68" s="129"/>
      <c r="F68" s="127"/>
      <c r="G68" s="127"/>
      <c r="H68" s="127"/>
      <c r="I68" s="127"/>
      <c r="J68" s="127"/>
      <c r="K68" s="127"/>
      <c r="L68" s="127"/>
      <c r="M68" s="127"/>
      <c r="N68" s="127"/>
      <c r="O68" s="127"/>
      <c r="P68" s="127"/>
      <c r="Q68" s="127"/>
      <c r="R68" s="127"/>
      <c r="S68" s="127"/>
      <c r="T68" s="127"/>
      <c r="U68" s="127"/>
      <c r="V68" s="127"/>
      <c r="W68" s="127"/>
      <c r="X68" s="127"/>
      <c r="Y68" s="127"/>
      <c r="Z68" s="127"/>
      <c r="AA68" s="127"/>
      <c r="AB68" s="127"/>
    </row>
    <row r="69">
      <c r="A69" s="31" t="str">
        <f>IFERROR(__xludf.DUMMYFUNCTION("""COMPUTED_VALUE"""),"Avion Express")</f>
        <v>Avion Express</v>
      </c>
      <c r="B69" s="127"/>
      <c r="C69" s="128" t="str">
        <f>IFERROR(__xludf.DUMMYFUNCTION("""COMPUTED_VALUE"""),"info@flyavex.com")</f>
        <v>info@flyavex.com</v>
      </c>
      <c r="D69" s="129" t="str">
        <f>IFERROR(__xludf.DUMMYFUNCTION("""COMPUTED_VALUE"""),"webform w/ attachment")</f>
        <v>webform w/ attachment</v>
      </c>
      <c r="E69" s="131" t="str">
        <f>IFERROR(__xludf.DUMMYFUNCTION("""COMPUTED_VALUE"""),"https://avionclaims.atlassian.net/servicedesk/customer/portal/1/group/1")</f>
        <v>https://avionclaims.atlassian.net/servicedesk/customer/portal/1/group/1</v>
      </c>
      <c r="F69" s="127"/>
      <c r="G69" s="127"/>
      <c r="H69" s="127"/>
      <c r="I69" s="127"/>
      <c r="J69" s="127"/>
      <c r="K69" s="127"/>
      <c r="L69" s="127"/>
      <c r="M69" s="127"/>
      <c r="N69" s="127"/>
      <c r="O69" s="127"/>
      <c r="P69" s="127"/>
      <c r="Q69" s="127"/>
      <c r="R69" s="127"/>
      <c r="S69" s="127"/>
      <c r="T69" s="127"/>
      <c r="U69" s="127"/>
      <c r="V69" s="127"/>
      <c r="W69" s="127"/>
      <c r="X69" s="127"/>
      <c r="Y69" s="127"/>
      <c r="Z69" s="127"/>
      <c r="AA69" s="127"/>
      <c r="AB69" s="127"/>
    </row>
    <row r="70">
      <c r="A70" s="31" t="str">
        <f>IFERROR(__xludf.DUMMYFUNCTION("""COMPUTED_VALUE"""),"Azerbaijan Airlines")</f>
        <v>Azerbaijan Airlines</v>
      </c>
      <c r="B70" s="127"/>
      <c r="C70" s="128" t="str">
        <f>IFERROR(__xludf.DUMMYFUNCTION("""COMPUTED_VALUE"""),"info@azal.az")</f>
        <v>info@azal.az</v>
      </c>
      <c r="D70" s="129" t="str">
        <f>IFERROR(__xludf.DUMMYFUNCTION("""COMPUTED_VALUE"""),"webform w/ attachment")</f>
        <v>webform w/ attachment</v>
      </c>
      <c r="E70" s="131" t="str">
        <f>IFERROR(__xludf.DUMMYFUNCTION("""COMPUTED_VALUE"""),"https://help.azal.az/hc/en-us/requests/new?ticket_form_id=360000014551&amp;_gl=1*1y68sfj*_gcl_au*MTM3MDcyMTM0Ni4xNzI1ODg3Mzcw")</f>
        <v>https://help.azal.az/hc/en-us/requests/new?ticket_form_id=360000014551&amp;_gl=1*1y68sfj*_gcl_au*MTM3MDcyMTM0Ni4xNzI1ODg3Mzcw</v>
      </c>
      <c r="F70" s="127"/>
      <c r="G70" s="127"/>
      <c r="H70" s="127"/>
      <c r="I70" s="127"/>
      <c r="J70" s="127"/>
      <c r="K70" s="127"/>
      <c r="L70" s="127"/>
      <c r="M70" s="127"/>
      <c r="N70" s="127"/>
      <c r="O70" s="127"/>
      <c r="P70" s="127"/>
      <c r="Q70" s="127"/>
      <c r="R70" s="127"/>
      <c r="S70" s="127"/>
      <c r="T70" s="127"/>
      <c r="U70" s="127"/>
      <c r="V70" s="127"/>
      <c r="W70" s="127"/>
      <c r="X70" s="127"/>
      <c r="Y70" s="127"/>
      <c r="Z70" s="127"/>
      <c r="AA70" s="127"/>
      <c r="AB70" s="127"/>
    </row>
    <row r="71">
      <c r="A71" s="31" t="str">
        <f>IFERROR(__xludf.DUMMYFUNCTION("""COMPUTED_VALUE"""),"Azul Brazilian Airlines")</f>
        <v>Azul Brazilian Airlines</v>
      </c>
      <c r="B71" s="127"/>
      <c r="C71" s="128" t="str">
        <f>IFERROR(__xludf.DUMMYFUNCTION("""COMPUTED_VALUE"""),"voeazul@service-now.com")</f>
        <v>voeazul@service-now.com</v>
      </c>
      <c r="D71" s="129" t="str">
        <f>IFERROR(__xludf.DUMMYFUNCTION("""COMPUTED_VALUE"""),"email")</f>
        <v>email</v>
      </c>
      <c r="E71" s="129" t="str">
        <f>IFERROR(__xludf.DUMMYFUNCTION("""COMPUTED_VALUE"""),"voeazul@service-now.com")</f>
        <v>voeazul@service-now.com</v>
      </c>
      <c r="F71" s="127"/>
      <c r="G71" s="127"/>
      <c r="H71" s="127"/>
      <c r="I71" s="127"/>
      <c r="J71" s="127"/>
      <c r="K71" s="127"/>
      <c r="L71" s="127"/>
      <c r="M71" s="127"/>
      <c r="N71" s="127"/>
      <c r="O71" s="127"/>
      <c r="P71" s="127"/>
      <c r="Q71" s="127"/>
      <c r="R71" s="127"/>
      <c r="S71" s="127"/>
      <c r="T71" s="127"/>
      <c r="U71" s="127"/>
      <c r="V71" s="127"/>
      <c r="W71" s="127"/>
      <c r="X71" s="127"/>
      <c r="Y71" s="127"/>
      <c r="Z71" s="127"/>
      <c r="AA71" s="127"/>
      <c r="AB71" s="127"/>
    </row>
    <row r="72">
      <c r="A72" s="31" t="str">
        <f>IFERROR(__xludf.DUMMYFUNCTION("""COMPUTED_VALUE"""),"Bees Airline (7B)")</f>
        <v>Bees Airline (7B)</v>
      </c>
      <c r="B72" s="127" t="str">
        <f>IFERROR(__xludf.DUMMYFUNCTION("""COMPUTED_VALUE"""),"Ceased operation")</f>
        <v>Ceased operation</v>
      </c>
      <c r="C72" s="128" t="str">
        <f>IFERROR(__xludf.DUMMYFUNCTION("""COMPUTED_VALUE"""),"info@bees.aero")</f>
        <v>info@bees.aero</v>
      </c>
      <c r="D72" s="129" t="str">
        <f>IFERROR(__xludf.DUMMYFUNCTION("""COMPUTED_VALUE"""),"email")</f>
        <v>email</v>
      </c>
      <c r="E72" s="129" t="str">
        <f>IFERROR(__xludf.DUMMYFUNCTION("""COMPUTED_VALUE"""),"info@bees.aero")</f>
        <v>info@bees.aero</v>
      </c>
      <c r="F72" s="127" t="str">
        <f>IFERROR(__xludf.DUMMYFUNCTION("""COMPUTED_VALUE"""),"Currently not operating, all the bees we are reciving are Bees airlines Romania")</f>
        <v>Currently not operating, all the bees we are reciving are Bees airlines Romania</v>
      </c>
      <c r="G72" s="127"/>
      <c r="H72" s="127"/>
      <c r="I72" s="127"/>
      <c r="J72" s="127"/>
      <c r="K72" s="127"/>
      <c r="L72" s="127"/>
      <c r="M72" s="127"/>
      <c r="N72" s="127"/>
      <c r="O72" s="127"/>
      <c r="P72" s="127"/>
      <c r="Q72" s="127"/>
      <c r="R72" s="127"/>
      <c r="S72" s="127"/>
      <c r="T72" s="127"/>
      <c r="U72" s="127"/>
      <c r="V72" s="127"/>
      <c r="W72" s="127"/>
      <c r="X72" s="127"/>
      <c r="Y72" s="127"/>
      <c r="Z72" s="127"/>
      <c r="AA72" s="127"/>
      <c r="AB72" s="127"/>
    </row>
    <row r="73">
      <c r="A73" s="31" t="str">
        <f>IFERROR(__xludf.DUMMYFUNCTION("""COMPUTED_VALUE"""),"Bees Airlines Romania (E8)")</f>
        <v>Bees Airlines Romania (E8)</v>
      </c>
      <c r="B73" s="127" t="str">
        <f>IFERROR(__xludf.DUMMYFUNCTION("""COMPUTED_VALUE"""),"Ceased operation")</f>
        <v>Ceased operation</v>
      </c>
      <c r="C73" s="128" t="str">
        <f>IFERROR(__xludf.DUMMYFUNCTION("""COMPUTED_VALUE"""),"claims@beesromania.aero")</f>
        <v>claims@beesromania.aero</v>
      </c>
      <c r="D73" s="129" t="str">
        <f>IFERROR(__xludf.DUMMYFUNCTION("""COMPUTED_VALUE"""),"email")</f>
        <v>email</v>
      </c>
      <c r="E73" s="129" t="str">
        <f>IFERROR(__xludf.DUMMYFUNCTION("""COMPUTED_VALUE"""),"claims@beesromania.aero")</f>
        <v>claims@beesromania.aero</v>
      </c>
      <c r="F73" s="127"/>
      <c r="G73" s="127"/>
      <c r="H73" s="127"/>
      <c r="I73" s="127"/>
      <c r="J73" s="127"/>
      <c r="K73" s="127"/>
      <c r="L73" s="127"/>
      <c r="M73" s="127"/>
      <c r="N73" s="127"/>
      <c r="O73" s="127"/>
      <c r="P73" s="127"/>
      <c r="Q73" s="127"/>
      <c r="R73" s="127"/>
      <c r="S73" s="127"/>
      <c r="T73" s="127"/>
      <c r="U73" s="127"/>
      <c r="V73" s="127"/>
      <c r="W73" s="127"/>
      <c r="X73" s="127"/>
      <c r="Y73" s="127"/>
      <c r="Z73" s="127"/>
      <c r="AA73" s="127"/>
      <c r="AB73" s="127"/>
    </row>
    <row r="74">
      <c r="A74" s="31" t="str">
        <f>IFERROR(__xludf.DUMMYFUNCTION("""COMPUTED_VALUE"""),"Biman Bangladesh Airlines (BG)")</f>
        <v>Biman Bangladesh Airlines (BG)</v>
      </c>
      <c r="B74" s="127"/>
      <c r="C74" s="128" t="str">
        <f>IFERROR(__xludf.DUMMYFUNCTION("""COMPUTED_VALUE"""),"ibebiman@biman.gov.bd")</f>
        <v>ibebiman@biman.gov.bd</v>
      </c>
      <c r="D74" s="129" t="str">
        <f>IFERROR(__xludf.DUMMYFUNCTION("""COMPUTED_VALUE"""),"email")</f>
        <v>email</v>
      </c>
      <c r="E74" s="129" t="str">
        <f>IFERROR(__xludf.DUMMYFUNCTION("""COMPUTED_VALUE"""),"ibebiman@biman.gov.bd")</f>
        <v>ibebiman@biman.gov.bd</v>
      </c>
      <c r="F74" s="127"/>
      <c r="G74" s="127"/>
      <c r="H74" s="127"/>
      <c r="I74" s="127"/>
      <c r="J74" s="127"/>
      <c r="K74" s="127"/>
      <c r="L74" s="127"/>
      <c r="M74" s="127"/>
      <c r="N74" s="127"/>
      <c r="O74" s="127"/>
      <c r="P74" s="127"/>
      <c r="Q74" s="127"/>
      <c r="R74" s="127"/>
      <c r="S74" s="127"/>
      <c r="T74" s="127"/>
      <c r="U74" s="127"/>
      <c r="V74" s="127"/>
      <c r="W74" s="127"/>
      <c r="X74" s="127"/>
      <c r="Y74" s="127"/>
      <c r="Z74" s="127"/>
      <c r="AA74" s="127"/>
      <c r="AB74" s="127"/>
    </row>
    <row r="75">
      <c r="A75" s="31" t="str">
        <f>IFERROR(__xludf.DUMMYFUNCTION("""COMPUTED_VALUE"""),"BinterCanarias")</f>
        <v>BinterCanarias</v>
      </c>
      <c r="B75" s="127"/>
      <c r="C75" s="128" t="str">
        <f>IFERROR(__xludf.DUMMYFUNCTION("""COMPUTED_VALUE"""),"atencionclientes@bintercanarias.com")</f>
        <v>atencionclientes@bintercanarias.com</v>
      </c>
      <c r="D75" s="129" t="str">
        <f>IFERROR(__xludf.DUMMYFUNCTION("""COMPUTED_VALUE"""),"webform w/ attachment")</f>
        <v>webform w/ attachment</v>
      </c>
      <c r="E75" s="131" t="str">
        <f>IFERROR(__xludf.DUMMYFUNCTION("""COMPUTED_VALUE"""),"https://www.bintercanarias.com/en/contact-form")</f>
        <v>https://www.bintercanarias.com/en/contact-form</v>
      </c>
      <c r="F75" s="127" t="str">
        <f>IFERROR(__xludf.DUMMYFUNCTION("""COMPUTED_VALUE"""),"Passport")</f>
        <v>Passport</v>
      </c>
      <c r="G75" s="127"/>
      <c r="H75" s="127"/>
      <c r="I75" s="127"/>
      <c r="J75" s="127"/>
      <c r="K75" s="127"/>
      <c r="L75" s="127"/>
      <c r="M75" s="127"/>
      <c r="N75" s="127"/>
      <c r="O75" s="127"/>
      <c r="P75" s="127"/>
      <c r="Q75" s="127"/>
      <c r="R75" s="127"/>
      <c r="S75" s="127"/>
      <c r="T75" s="127"/>
      <c r="U75" s="127"/>
      <c r="V75" s="127"/>
      <c r="W75" s="127"/>
      <c r="X75" s="127"/>
      <c r="Y75" s="127"/>
      <c r="Z75" s="127"/>
      <c r="AA75" s="127"/>
      <c r="AB75" s="127"/>
    </row>
    <row r="76">
      <c r="A76" s="31" t="str">
        <f>IFERROR(__xludf.DUMMYFUNCTION("""COMPUTED_VALUE"""),"Bluebird Airways")</f>
        <v>Bluebird Airways</v>
      </c>
      <c r="B76" s="127"/>
      <c r="C76" s="128" t="str">
        <f>IFERROR(__xludf.DUMMYFUNCTION("""COMPUTED_VALUE"""),"commercial@bluebirdair.com")</f>
        <v>commercial@bluebirdair.com</v>
      </c>
      <c r="D76" s="129" t="str">
        <f>IFERROR(__xludf.DUMMYFUNCTION("""COMPUTED_VALUE"""),"email")</f>
        <v>email</v>
      </c>
      <c r="E76" s="129" t="str">
        <f>IFERROR(__xludf.DUMMYFUNCTION("""COMPUTED_VALUE"""),"bookings@bluebirdair.com")</f>
        <v>bookings@bluebirdair.com</v>
      </c>
      <c r="F76" s="127"/>
      <c r="G76" s="127"/>
      <c r="H76" s="127"/>
      <c r="I76" s="127"/>
      <c r="J76" s="127"/>
      <c r="K76" s="127"/>
      <c r="L76" s="127"/>
      <c r="M76" s="127"/>
      <c r="N76" s="127"/>
      <c r="O76" s="127"/>
      <c r="P76" s="127"/>
      <c r="Q76" s="127"/>
      <c r="R76" s="127"/>
      <c r="S76" s="127"/>
      <c r="T76" s="127"/>
      <c r="U76" s="127"/>
      <c r="V76" s="127"/>
      <c r="W76" s="127"/>
      <c r="X76" s="127"/>
      <c r="Y76" s="127"/>
      <c r="Z76" s="127"/>
      <c r="AA76" s="127"/>
      <c r="AB76" s="127"/>
    </row>
    <row r="77">
      <c r="A77" s="31" t="str">
        <f>IFERROR(__xludf.DUMMYFUNCTION("""COMPUTED_VALUE"""),"Blue Islands (SI)")</f>
        <v>Blue Islands (SI)</v>
      </c>
      <c r="B77" s="127" t="str">
        <f>IFERROR(__xludf.DUMMYFUNCTION("""COMPUTED_VALUE"""),"Ceased operations 17 Nov, 2025")</f>
        <v>Ceased operations 17 Nov, 2025</v>
      </c>
      <c r="C77" s="128" t="str">
        <f>IFERROR(__xludf.DUMMYFUNCTION("""COMPUTED_VALUE"""),"customercare@blueislands.com")</f>
        <v>customercare@blueislands.com</v>
      </c>
      <c r="D77" s="129" t="str">
        <f>IFERROR(__xludf.DUMMYFUNCTION("""COMPUTED_VALUE"""),"e-mail")</f>
        <v>e-mail</v>
      </c>
      <c r="E77" s="129" t="str">
        <f>IFERROR(__xludf.DUMMYFUNCTION("""COMPUTED_VALUE"""),"customercare@blueislands.com")</f>
        <v>customercare@blueislands.com</v>
      </c>
      <c r="F77" s="127" t="str">
        <f>IFERROR(__xludf.DUMMYFUNCTION("""COMPUTED_VALUE"""),"Ceased operations 17 Nov, 2025")</f>
        <v>Ceased operations 17 Nov, 2025</v>
      </c>
      <c r="G77" s="127"/>
      <c r="H77" s="127" t="str">
        <f>IFERROR(__xludf.DUMMYFUNCTION("""COMPUTED_VALUE"""),"Blue Islands Customer Care, Jersey Airport, St.Peter, Jersey, JE3 7BP")</f>
        <v>Blue Islands Customer Care, Jersey Airport, St.Peter, Jersey, JE3 7BP</v>
      </c>
      <c r="I77" s="127"/>
      <c r="J77" s="127"/>
      <c r="K77" s="127"/>
      <c r="L77" s="127"/>
      <c r="M77" s="127"/>
      <c r="N77" s="127"/>
      <c r="O77" s="127"/>
      <c r="P77" s="127"/>
      <c r="Q77" s="127"/>
      <c r="R77" s="127"/>
      <c r="S77" s="127"/>
      <c r="T77" s="127"/>
      <c r="U77" s="127"/>
      <c r="V77" s="127"/>
      <c r="W77" s="127"/>
      <c r="X77" s="127"/>
      <c r="Y77" s="127"/>
      <c r="Z77" s="127"/>
      <c r="AA77" s="127"/>
      <c r="AB77" s="127"/>
    </row>
    <row r="78">
      <c r="A78" s="31" t="str">
        <f>IFERROR(__xludf.DUMMYFUNCTION("""COMPUTED_VALUE"""),"Blue Air ")</f>
        <v>Blue Air </v>
      </c>
      <c r="B78" s="127" t="str">
        <f>IFERROR(__xludf.DUMMYFUNCTION("""COMPUTED_VALUE"""),"Ceased operation")</f>
        <v>Ceased operation</v>
      </c>
      <c r="C78" s="128"/>
      <c r="D78" s="129"/>
      <c r="E78" s="129"/>
      <c r="F78" s="127"/>
      <c r="G78" s="127"/>
      <c r="H78" s="127"/>
      <c r="I78" s="127"/>
      <c r="J78" s="127"/>
      <c r="K78" s="127"/>
      <c r="L78" s="127"/>
      <c r="M78" s="127"/>
      <c r="N78" s="127"/>
      <c r="O78" s="127"/>
      <c r="P78" s="127"/>
      <c r="Q78" s="127"/>
      <c r="R78" s="127"/>
      <c r="S78" s="127"/>
      <c r="T78" s="127"/>
      <c r="U78" s="127"/>
      <c r="V78" s="127"/>
      <c r="W78" s="127"/>
      <c r="X78" s="127"/>
      <c r="Y78" s="127"/>
      <c r="Z78" s="127"/>
      <c r="AA78" s="127"/>
      <c r="AB78" s="127"/>
    </row>
    <row r="79">
      <c r="A79" s="31" t="str">
        <f>IFERROR(__xludf.DUMMYFUNCTION("""COMPUTED_VALUE"""),"BoA Boliviana de Aviacion (OB)")</f>
        <v>BoA Boliviana de Aviacion (OB)</v>
      </c>
      <c r="B79" s="127"/>
      <c r="C79" s="128" t="str">
        <f>IFERROR(__xludf.DUMMYFUNCTION("""COMPUTED_VALUE"""),"ventasweb@boa.bo")</f>
        <v>ventasweb@boa.bo</v>
      </c>
      <c r="D79" s="129" t="str">
        <f>IFERROR(__xludf.DUMMYFUNCTION("""COMPUTED_VALUE"""),"e-mail")</f>
        <v>e-mail</v>
      </c>
      <c r="E79" s="129" t="str">
        <f>IFERROR(__xludf.DUMMYFUNCTION("""COMPUTED_VALUE"""),"ventasmia@boa.bo (USA), sac@boa.bo ( Bolivia), madsac@boa.bo (Spain)")</f>
        <v>ventasmia@boa.bo (USA), sac@boa.bo ( Bolivia), madsac@boa.bo (Spain)</v>
      </c>
      <c r="F79" s="127"/>
      <c r="G79" s="127"/>
      <c r="H79" s="127"/>
      <c r="I79" s="127"/>
      <c r="J79" s="127"/>
      <c r="K79" s="127"/>
      <c r="L79" s="127"/>
      <c r="M79" s="127"/>
      <c r="N79" s="127"/>
      <c r="O79" s="127"/>
      <c r="P79" s="127"/>
      <c r="Q79" s="127"/>
      <c r="R79" s="127"/>
      <c r="S79" s="127"/>
      <c r="T79" s="127"/>
      <c r="U79" s="127"/>
      <c r="V79" s="127"/>
      <c r="W79" s="127"/>
      <c r="X79" s="127"/>
      <c r="Y79" s="127"/>
      <c r="Z79" s="127"/>
      <c r="AA79" s="127"/>
      <c r="AB79" s="127"/>
    </row>
    <row r="80">
      <c r="A80" s="31" t="str">
        <f>IFERROR(__xludf.DUMMYFUNCTION("""COMPUTED_VALUE"""),"Braathens Regional")</f>
        <v>Braathens Regional</v>
      </c>
      <c r="B80" s="127"/>
      <c r="C80" s="128" t="str">
        <f>IFERROR(__xludf.DUMMYFUNCTION("""COMPUTED_VALUE"""),"kundcenter@flygbra.se")</f>
        <v>kundcenter@flygbra.se</v>
      </c>
      <c r="D80" s="129" t="str">
        <f>IFERROR(__xludf.DUMMYFUNCTION("""COMPUTED_VALUE"""),"webform")</f>
        <v>webform</v>
      </c>
      <c r="E80" s="131" t="str">
        <f>IFERROR(__xludf.DUMMYFUNCTION("""COMPUTED_VALUE"""),"https://artvise.flygbra.se/eservice/MyPages.aspx?page=Catalog&amp;menuitemid=mainmenuitem_00000000000000000000000000000001")</f>
        <v>https://artvise.flygbra.se/eservice/MyPages.aspx?page=Catalog&amp;menuitemid=mainmenuitem_00000000000000000000000000000001</v>
      </c>
      <c r="F80" s="127"/>
      <c r="G80" s="127"/>
      <c r="H80" s="127"/>
      <c r="I80" s="127"/>
      <c r="J80" s="127"/>
      <c r="K80" s="127"/>
      <c r="L80" s="127"/>
      <c r="M80" s="127"/>
      <c r="N80" s="127"/>
      <c r="O80" s="127"/>
      <c r="P80" s="127"/>
      <c r="Q80" s="127"/>
      <c r="R80" s="127"/>
      <c r="S80" s="127"/>
      <c r="T80" s="127"/>
      <c r="U80" s="127"/>
      <c r="V80" s="127"/>
      <c r="W80" s="127"/>
      <c r="X80" s="127"/>
      <c r="Y80" s="127"/>
      <c r="Z80" s="127"/>
      <c r="AA80" s="127"/>
      <c r="AB80" s="127"/>
    </row>
    <row r="81">
      <c r="A81" s="31" t="str">
        <f>IFERROR(__xludf.DUMMYFUNCTION("""COMPUTED_VALUE"""),"British Airways (BA)")</f>
        <v>British Airways (BA)</v>
      </c>
      <c r="B81" s="127"/>
      <c r="C81" s="128" t="str">
        <f>IFERROR(__xludf.DUMMYFUNCTION("""COMPUTED_VALUE"""),"gsrreplies@contact.britishairways.com")</f>
        <v>gsrreplies@contact.britishairways.com</v>
      </c>
      <c r="D81" s="129" t="str">
        <f>IFERROR(__xludf.DUMMYFUNCTION("""COMPUTED_VALUE"""),"webform w/ attachment")</f>
        <v>webform w/ attachment</v>
      </c>
      <c r="E81" s="129" t="str">
        <f>IFERROR(__xludf.DUMMYFUNCTION("""COMPUTED_VALUE"""),"https://www.britishairways.com/travel/feedbackclaims/public/en_es/select   For tracking old case: https://www.britishairways.com/travel/feedbackclaims/public/en_es/select")</f>
        <v>https://www.britishairways.com/travel/feedbackclaims/public/en_es/select   For tracking old case: https://www.britishairways.com/travel/feedbackclaims/public/en_es/select</v>
      </c>
      <c r="F81" s="127"/>
      <c r="G81" s="127" t="str">
        <f>IFERROR(__xludf.DUMMYFUNCTION("""COMPUTED_VALUE"""),"PL,HU,CZ,SK: British Airways Customer Relations
 Stefanikova 22
 811 05 Bratislava
 Slovak Republic UK-US-DK: British Airways
 Customer Relations (S506)
 PO Box 5619
 Sudbury
 Suffolk
 CO10 2PG")</f>
        <v>PL,HU,CZ,SK: British Airways Customer Relations
 Stefanikova 22
 811 05 Bratislava
 Slovak Republic UK-US-DK: British Airways
 Customer Relations (S506)
 PO Box 5619
 Sudbury
 Suffolk
 CO10 2PG</v>
      </c>
      <c r="H81" s="127" t="str">
        <f>IFERROR(__xludf.DUMMYFUNCTION("""COMPUTED_VALUE"""),"To claim compensation for flights operated by our franchisee, SUN-AIR (flight numbers BA8200 to BA8299), please write to:
 SUN-AIR of Scandinavia A/S
 Customer Relations
 Cumulusvej 10
 Billund DK-7190
 Denmark")</f>
        <v>To claim compensation for flights operated by our franchisee, SUN-AIR (flight numbers BA8200 to BA8299), please write to:
 SUN-AIR of Scandinavia A/S
 Customer Relations
 Cumulusvej 10
 Billund DK-7190
 Denmark</v>
      </c>
      <c r="I81" s="127"/>
      <c r="J81" s="127"/>
      <c r="K81" s="127"/>
      <c r="L81" s="127"/>
      <c r="M81" s="127"/>
      <c r="N81" s="127"/>
      <c r="O81" s="127"/>
      <c r="P81" s="127"/>
      <c r="Q81" s="127"/>
      <c r="R81" s="127"/>
      <c r="S81" s="127"/>
      <c r="T81" s="127"/>
      <c r="U81" s="127"/>
      <c r="V81" s="127"/>
      <c r="W81" s="127"/>
      <c r="X81" s="127"/>
      <c r="Y81" s="127"/>
      <c r="Z81" s="127"/>
      <c r="AA81" s="127"/>
      <c r="AB81" s="127"/>
    </row>
    <row r="82">
      <c r="A82" s="31" t="str">
        <f>IFERROR(__xludf.DUMMYFUNCTION("""COMPUTED_VALUE"""),"Brussels Airlines (SN)")</f>
        <v>Brussels Airlines (SN)</v>
      </c>
      <c r="B82" s="127"/>
      <c r="C82" s="128" t="str">
        <f>IFERROR(__xludf.DUMMYFUNCTION("""COMPUTED_VALUE"""),"customer.relations@brusselsairlines.com")</f>
        <v>customer.relations@brusselsairlines.com</v>
      </c>
      <c r="D82" s="129" t="str">
        <f>IFERROR(__xludf.DUMMYFUNCTION("""COMPUTED_VALUE"""),"webform w/ attachment")</f>
        <v>webform w/ attachment</v>
      </c>
      <c r="E82" s="131" t="str">
        <f>IFERROR(__xludf.DUMMYFUNCTION("""COMPUTED_VALUE"""),"https://www.brusselsairlines.com/be/en/contact/feedback/general/delays-and-cancellation")</f>
        <v>https://www.brusselsairlines.com/be/en/contact/feedback/general/delays-and-cancellation</v>
      </c>
      <c r="F82" s="127"/>
      <c r="G82" s="127"/>
      <c r="H82" s="127"/>
      <c r="I82" s="127"/>
      <c r="J82" s="127"/>
      <c r="K82" s="127"/>
      <c r="L82" s="127"/>
      <c r="M82" s="127"/>
      <c r="N82" s="127"/>
      <c r="O82" s="127"/>
      <c r="P82" s="127"/>
      <c r="Q82" s="127"/>
      <c r="R82" s="127"/>
      <c r="S82" s="127"/>
      <c r="T82" s="127"/>
      <c r="U82" s="127"/>
      <c r="V82" s="127"/>
      <c r="W82" s="127"/>
      <c r="X82" s="127"/>
      <c r="Y82" s="127"/>
      <c r="Z82" s="127"/>
      <c r="AA82" s="127"/>
      <c r="AB82" s="127"/>
    </row>
    <row r="83">
      <c r="A83" s="31" t="str">
        <f>IFERROR(__xludf.DUMMYFUNCTION("""COMPUTED_VALUE"""),"Bulgaria Air (FB)")</f>
        <v>Bulgaria Air (FB)</v>
      </c>
      <c r="B83" s="127"/>
      <c r="C83" s="128" t="str">
        <f>IFERROR(__xludf.DUMMYFUNCTION("""COMPUTED_VALUE"""),"crFB@air.bg")</f>
        <v>crFB@air.bg</v>
      </c>
      <c r="D83" s="129" t="str">
        <f>IFERROR(__xludf.DUMMYFUNCTION("""COMPUTED_VALUE"""),"webform w/ attachment")</f>
        <v>webform w/ attachment</v>
      </c>
      <c r="E83" s="131" t="str">
        <f>IFERROR(__xludf.DUMMYFUNCTION("""COMPUTED_VALUE"""),"https://claims.air.bg/")</f>
        <v>https://claims.air.bg/</v>
      </c>
      <c r="F83" s="127" t="str">
        <f>IFERROR(__xludf.DUMMYFUNCTION("""COMPUTED_VALUE"""),"Log in: legal@refly.org Password: Fkk4erdF")</f>
        <v>Log in: legal@refly.org Password: Fkk4erdF</v>
      </c>
      <c r="G83" s="127"/>
      <c r="H83" s="127"/>
      <c r="I83" s="127"/>
      <c r="J83" s="127"/>
      <c r="K83" s="127"/>
      <c r="L83" s="127"/>
      <c r="M83" s="127"/>
      <c r="N83" s="127"/>
      <c r="O83" s="127"/>
      <c r="P83" s="127"/>
      <c r="Q83" s="127"/>
      <c r="R83" s="127"/>
      <c r="S83" s="127"/>
      <c r="T83" s="127"/>
      <c r="U83" s="127"/>
      <c r="V83" s="127"/>
      <c r="W83" s="127"/>
      <c r="X83" s="127"/>
      <c r="Y83" s="127"/>
      <c r="Z83" s="127"/>
      <c r="AA83" s="127"/>
      <c r="AB83" s="127"/>
    </row>
    <row r="84">
      <c r="A84" s="31" t="str">
        <f>IFERROR(__xludf.DUMMYFUNCTION("""COMPUTED_VALUE"""),"Buzz airlines")</f>
        <v>Buzz airlines</v>
      </c>
      <c r="B84" s="127"/>
      <c r="C84" s="128" t="str">
        <f>IFERROR(__xludf.DUMMYFUNCTION("""COMPUTED_VALUE"""),"cssupport.ryanairsun@ryanair.com")</f>
        <v>cssupport.ryanairsun@ryanair.com</v>
      </c>
      <c r="D84" s="129" t="str">
        <f>IFERROR(__xludf.DUMMYFUNCTION("""COMPUTED_VALUE"""),"webform w/o attachment")</f>
        <v>webform w/o attachment</v>
      </c>
      <c r="E84" s="131" t="str">
        <f>IFERROR(__xludf.DUMMYFUNCTION("""COMPUTED_VALUE"""),"https://onlineform.buzzair.com/us/en/eu-261")</f>
        <v>https://onlineform.buzzair.com/us/en/eu-261</v>
      </c>
      <c r="F84" s="127"/>
      <c r="G84" s="127"/>
      <c r="H84" s="127"/>
      <c r="I84" s="127"/>
      <c r="J84" s="127"/>
      <c r="K84" s="127"/>
      <c r="L84" s="127"/>
      <c r="M84" s="127"/>
      <c r="N84" s="127"/>
      <c r="O84" s="127"/>
      <c r="P84" s="127"/>
      <c r="Q84" s="127"/>
      <c r="R84" s="127"/>
      <c r="S84" s="127"/>
      <c r="T84" s="127"/>
      <c r="U84" s="127"/>
      <c r="V84" s="127"/>
      <c r="W84" s="127"/>
      <c r="X84" s="127"/>
      <c r="Y84" s="127"/>
      <c r="Z84" s="127"/>
      <c r="AA84" s="127"/>
      <c r="AB84" s="127"/>
    </row>
    <row r="85">
      <c r="A85" s="31" t="str">
        <f>IFERROR(__xludf.DUMMYFUNCTION("""COMPUTED_VALUE"""),"Camair-Co (QC)")</f>
        <v>Camair-Co (QC)</v>
      </c>
      <c r="B85" s="127"/>
      <c r="C85" s="128" t="str">
        <f>IFERROR(__xludf.DUMMYFUNCTION("""COMPUTED_VALUE"""),"customerservice@camair-co.net")</f>
        <v>customerservice@camair-co.net</v>
      </c>
      <c r="D85" s="129" t="str">
        <f>IFERROR(__xludf.DUMMYFUNCTION("""COMPUTED_VALUE"""),"e-mail")</f>
        <v>e-mail</v>
      </c>
      <c r="E85" s="129" t="str">
        <f>IFERROR(__xludf.DUMMYFUNCTION("""COMPUTED_VALUE"""),"customerservice@camair-co.net")</f>
        <v>customerservice@camair-co.net</v>
      </c>
      <c r="F85" s="127"/>
      <c r="G85" s="127"/>
      <c r="H85" s="127"/>
      <c r="I85" s="127"/>
      <c r="J85" s="127"/>
      <c r="K85" s="127"/>
      <c r="L85" s="127"/>
      <c r="M85" s="127"/>
      <c r="N85" s="127"/>
      <c r="O85" s="127"/>
      <c r="P85" s="127"/>
      <c r="Q85" s="127"/>
      <c r="R85" s="127"/>
      <c r="S85" s="127"/>
      <c r="T85" s="127"/>
      <c r="U85" s="127"/>
      <c r="V85" s="127"/>
      <c r="W85" s="127"/>
      <c r="X85" s="127"/>
      <c r="Y85" s="127"/>
      <c r="Z85" s="127"/>
      <c r="AA85" s="127"/>
      <c r="AB85" s="127"/>
    </row>
    <row r="86">
      <c r="A86" s="31" t="str">
        <f>IFERROR(__xludf.DUMMYFUNCTION("""COMPUTED_VALUE"""),"Canaryfly")</f>
        <v>Canaryfly</v>
      </c>
      <c r="B86" s="127"/>
      <c r="C86" s="128" t="str">
        <f>IFERROR(__xludf.DUMMYFUNCTION("""COMPUTED_VALUE"""),"rrss@canaryfly.es")</f>
        <v>rrss@canaryfly.es</v>
      </c>
      <c r="D86" s="129" t="str">
        <f>IFERROR(__xludf.DUMMYFUNCTION("""COMPUTED_VALUE"""),"webform w/ attachment")</f>
        <v>webform w/ attachment</v>
      </c>
      <c r="E86" s="131" t="str">
        <f>IFERROR(__xludf.DUMMYFUNCTION("""COMPUTED_VALUE"""),"https://www.canaryfly.es/informacion#nosotros4")</f>
        <v>https://www.canaryfly.es/informacion#nosotros4</v>
      </c>
      <c r="F86" s="127" t="str">
        <f>IFERROR(__xludf.DUMMYFUNCTION("""COMPUTED_VALUE"""),"ID/Passport number")</f>
        <v>ID/Passport number</v>
      </c>
      <c r="G86" s="127"/>
      <c r="H86" s="127"/>
      <c r="I86" s="127"/>
      <c r="J86" s="127"/>
      <c r="K86" s="127"/>
      <c r="L86" s="127"/>
      <c r="M86" s="127"/>
      <c r="N86" s="127"/>
      <c r="O86" s="127"/>
      <c r="P86" s="127"/>
      <c r="Q86" s="127"/>
      <c r="R86" s="127"/>
      <c r="S86" s="127"/>
      <c r="T86" s="127"/>
      <c r="U86" s="127"/>
      <c r="V86" s="127"/>
      <c r="W86" s="127"/>
      <c r="X86" s="127"/>
      <c r="Y86" s="127"/>
      <c r="Z86" s="127"/>
      <c r="AA86" s="127"/>
      <c r="AB86" s="127"/>
    </row>
    <row r="87">
      <c r="A87" s="31" t="str">
        <f>IFERROR(__xludf.DUMMYFUNCTION("""COMPUTED_VALUE"""),"Cathay Pacific (CX)")</f>
        <v>Cathay Pacific (CX)</v>
      </c>
      <c r="B87" s="127"/>
      <c r="C87" s="128" t="str">
        <f>IFERROR(__xludf.DUMMYFUNCTION("""COMPUTED_VALUE"""),"eservice@cathaypacific.com")</f>
        <v>eservice@cathaypacific.com</v>
      </c>
      <c r="D87" s="129" t="str">
        <f>IFERROR(__xludf.DUMMYFUNCTION("""COMPUTED_VALUE"""),"webform w/o attachment")</f>
        <v>webform w/o attachment</v>
      </c>
      <c r="E87" s="131" t="str">
        <f>IFERROR(__xludf.DUMMYFUNCTION("""COMPUTED_VALUE"""),"https://www.cathaypacific.com/cx/en_US/contact-us/complaints-and-suggestions.html")</f>
        <v>https://www.cathaypacific.com/cx/en_US/contact-us/complaints-and-suggestions.html</v>
      </c>
      <c r="F87" s="127"/>
      <c r="G87" s="127"/>
      <c r="H87" s="127"/>
      <c r="I87" s="127"/>
      <c r="J87" s="127"/>
      <c r="K87" s="127"/>
      <c r="L87" s="127"/>
      <c r="M87" s="127"/>
      <c r="N87" s="127"/>
      <c r="O87" s="127"/>
      <c r="P87" s="127"/>
      <c r="Q87" s="127"/>
      <c r="R87" s="127"/>
      <c r="S87" s="127"/>
      <c r="T87" s="127"/>
      <c r="U87" s="127"/>
      <c r="V87" s="127"/>
      <c r="W87" s="127"/>
      <c r="X87" s="127"/>
      <c r="Y87" s="127"/>
      <c r="Z87" s="127"/>
      <c r="AA87" s="127"/>
      <c r="AB87" s="127"/>
    </row>
    <row r="88">
      <c r="A88" s="31" t="str">
        <f>IFERROR(__xludf.DUMMYFUNCTION("""COMPUTED_VALUE"""),"Chair airlines")</f>
        <v>Chair airlines</v>
      </c>
      <c r="B88" s="127"/>
      <c r="C88" s="128" t="str">
        <f>IFERROR(__xludf.DUMMYFUNCTION("""COMPUTED_VALUE"""),"servicecenter@chair.ch")</f>
        <v>servicecenter@chair.ch</v>
      </c>
      <c r="D88" s="129" t="str">
        <f>IFERROR(__xludf.DUMMYFUNCTION("""COMPUTED_VALUE"""),"webform w/o attachment")</f>
        <v>webform w/o attachment</v>
      </c>
      <c r="E88" s="131" t="str">
        <f>IFERROR(__xludf.DUMMYFUNCTION("""COMPUTED_VALUE"""),"https://www.chair.ch/en/ngcommons/ngcontact/")</f>
        <v>https://www.chair.ch/en/ngcommons/ngcontact/</v>
      </c>
      <c r="F88" s="127"/>
      <c r="G88" s="127"/>
      <c r="H88" s="127"/>
      <c r="I88" s="127"/>
      <c r="J88" s="127"/>
      <c r="K88" s="127"/>
      <c r="L88" s="127"/>
      <c r="M88" s="127"/>
      <c r="N88" s="127"/>
      <c r="O88" s="127"/>
      <c r="P88" s="127"/>
      <c r="Q88" s="127"/>
      <c r="R88" s="127"/>
      <c r="S88" s="127"/>
      <c r="T88" s="127"/>
      <c r="U88" s="127"/>
      <c r="V88" s="127"/>
      <c r="W88" s="127"/>
      <c r="X88" s="127"/>
      <c r="Y88" s="127"/>
      <c r="Z88" s="127"/>
      <c r="AA88" s="127"/>
      <c r="AB88" s="127"/>
    </row>
    <row r="89">
      <c r="A89" s="31" t="str">
        <f>IFERROR(__xludf.DUMMYFUNCTION("""COMPUTED_VALUE"""),"China Eastern Airlines")</f>
        <v>China Eastern Airlines</v>
      </c>
      <c r="B89" s="127"/>
      <c r="C89" s="128" t="str">
        <f>IFERROR(__xludf.DUMMYFUNCTION("""COMPUTED_VALUE"""),"lhrapmu@chinaeastern.co.uk")</f>
        <v>lhrapmu@chinaeastern.co.uk</v>
      </c>
      <c r="D89" s="129" t="str">
        <f>IFERROR(__xludf.DUMMYFUNCTION("""COMPUTED_VALUE"""),"webform w/ attachment")</f>
        <v>webform w/ attachment</v>
      </c>
      <c r="E89" s="131" t="str">
        <f>IFERROR(__xludf.DUMMYFUNCTION("""COMPUTED_VALUE"""),"https://us.ceair.com/en/online-consulting.html")</f>
        <v>https://us.ceair.com/en/online-consulting.html</v>
      </c>
      <c r="F89" s="127"/>
      <c r="G89" s="127"/>
      <c r="H89" s="127"/>
      <c r="I89" s="127"/>
      <c r="J89" s="127"/>
      <c r="K89" s="127"/>
      <c r="L89" s="127"/>
      <c r="M89" s="127"/>
      <c r="N89" s="127"/>
      <c r="O89" s="127"/>
      <c r="P89" s="127"/>
      <c r="Q89" s="127"/>
      <c r="R89" s="127"/>
      <c r="S89" s="127"/>
      <c r="T89" s="127"/>
      <c r="U89" s="127"/>
      <c r="V89" s="127"/>
      <c r="W89" s="127"/>
      <c r="X89" s="127"/>
      <c r="Y89" s="127"/>
      <c r="Z89" s="127"/>
      <c r="AA89" s="127"/>
      <c r="AB89" s="127"/>
    </row>
    <row r="90">
      <c r="A90" s="31" t="str">
        <f>IFERROR(__xludf.DUMMYFUNCTION("""COMPUTED_VALUE"""),"China Southern Airlines (CZ)")</f>
        <v>China Southern Airlines (CZ)</v>
      </c>
      <c r="B90" s="127"/>
      <c r="C90" s="128" t="str">
        <f>IFERROR(__xludf.DUMMYFUNCTION("""COMPUTED_VALUE"""),"95539@csair.com")</f>
        <v>95539@csair.com</v>
      </c>
      <c r="D90" s="129" t="str">
        <f>IFERROR(__xludf.DUMMYFUNCTION("""COMPUTED_VALUE"""),"e-mail")</f>
        <v>e-mail</v>
      </c>
      <c r="E90" s="129" t="str">
        <f>IFERROR(__xludf.DUMMYFUNCTION("""COMPUTED_VALUE"""),"95539@csair.com")</f>
        <v>95539@csair.com</v>
      </c>
      <c r="F90" s="127"/>
      <c r="G90" s="127"/>
      <c r="H90" s="127"/>
      <c r="I90" s="127"/>
      <c r="J90" s="127"/>
      <c r="K90" s="127"/>
      <c r="L90" s="127"/>
      <c r="M90" s="127"/>
      <c r="N90" s="127"/>
      <c r="O90" s="127"/>
      <c r="P90" s="127"/>
      <c r="Q90" s="127"/>
      <c r="R90" s="127"/>
      <c r="S90" s="127"/>
      <c r="T90" s="127"/>
      <c r="U90" s="127"/>
      <c r="V90" s="127"/>
      <c r="W90" s="127"/>
      <c r="X90" s="127"/>
      <c r="Y90" s="127"/>
      <c r="Z90" s="127"/>
      <c r="AA90" s="127"/>
      <c r="AB90" s="127"/>
    </row>
    <row r="91">
      <c r="A91" s="31" t="str">
        <f>IFERROR(__xludf.DUMMYFUNCTION("""COMPUTED_VALUE"""),"CHina Airlines (CI)")</f>
        <v>CHina Airlines (CI)</v>
      </c>
      <c r="B91" s="127"/>
      <c r="C91" s="128" t="str">
        <f>IFERROR(__xludf.DUMMYFUNCTION("""COMPUTED_VALUE"""),"customersvc.cal@china-airlines.com")</f>
        <v>customersvc.cal@china-airlines.com</v>
      </c>
      <c r="D91" s="129" t="str">
        <f>IFERROR(__xludf.DUMMYFUNCTION("""COMPUTED_VALUE"""),"webform w/ attachment")</f>
        <v>webform w/ attachment</v>
      </c>
      <c r="E91" s="131" t="str">
        <f>IFERROR(__xludf.DUMMYFUNCTION("""COMPUTED_VALUE"""),"https://calec.china-airlines.com/dot-experience/experience.aspx?lang=en-US&amp;country=us&amp;locale=en")</f>
        <v>https://calec.china-airlines.com/dot-experience/experience.aspx?lang=en-US&amp;country=us&amp;locale=en</v>
      </c>
      <c r="F91" s="127" t="str">
        <f>IFERROR(__xludf.DUMMYFUNCTION("""COMPUTED_VALUE"""),"Select NONE in Member information")</f>
        <v>Select NONE in Member information</v>
      </c>
      <c r="G91" s="127"/>
      <c r="H91" s="127"/>
      <c r="I91" s="127"/>
      <c r="J91" s="127"/>
      <c r="K91" s="127"/>
      <c r="L91" s="127"/>
      <c r="M91" s="127"/>
      <c r="N91" s="127"/>
      <c r="O91" s="127"/>
      <c r="P91" s="127"/>
      <c r="Q91" s="127"/>
      <c r="R91" s="127"/>
      <c r="S91" s="127"/>
      <c r="T91" s="127"/>
      <c r="U91" s="127"/>
      <c r="V91" s="127"/>
      <c r="W91" s="127"/>
      <c r="X91" s="127"/>
      <c r="Y91" s="127"/>
      <c r="Z91" s="127"/>
      <c r="AA91" s="127"/>
      <c r="AB91" s="127"/>
    </row>
    <row r="92">
      <c r="A92" s="31" t="str">
        <f>IFERROR(__xludf.DUMMYFUNCTION("""COMPUTED_VALUE"""),"CityJet (WX)")</f>
        <v>CityJet (WX)</v>
      </c>
      <c r="B92" s="127"/>
      <c r="C92" s="128" t="str">
        <f>IFERROR(__xludf.DUMMYFUNCTION("""COMPUTED_VALUE"""),"customercare@cityjet.com")</f>
        <v>customercare@cityjet.com</v>
      </c>
      <c r="D92" s="129" t="str">
        <f>IFERROR(__xludf.DUMMYFUNCTION("""COMPUTED_VALUE"""),"webform w/ attachment")</f>
        <v>webform w/ attachment</v>
      </c>
      <c r="E92" s="129"/>
      <c r="F92" s="127"/>
      <c r="G92" s="127"/>
      <c r="H92" s="127" t="str">
        <f>IFERROR(__xludf.DUMMYFUNCTION("""COMPUTED_VALUE"""),"Passengers travelling on services operated by CityJet for our customer airlines, including Air France, Aer Lingus, Brussels Airlines, Lufthansa or SAS Scandinavian Airlines, should contact that airline directly with any questions, claims or requests. Cont"&amp;"act details can be found of each airline's website.")</f>
        <v>Passengers travelling on services operated by CityJet for our customer airlines, including Air France, Aer Lingus, Brussels Airlines, Lufthansa or SAS Scandinavian Airlines, should contact that airline directly with any questions, claims or requests. Contact details can be found of each airline's website.</v>
      </c>
      <c r="I92" s="127"/>
      <c r="J92" s="127"/>
      <c r="K92" s="127"/>
      <c r="L92" s="127"/>
      <c r="M92" s="127"/>
      <c r="N92" s="127"/>
      <c r="O92" s="127"/>
      <c r="P92" s="127"/>
      <c r="Q92" s="127"/>
      <c r="R92" s="127"/>
      <c r="S92" s="127"/>
      <c r="T92" s="127"/>
      <c r="U92" s="127"/>
      <c r="V92" s="127"/>
      <c r="W92" s="127"/>
      <c r="X92" s="127"/>
      <c r="Y92" s="127"/>
      <c r="Z92" s="127"/>
      <c r="AA92" s="127"/>
      <c r="AB92" s="127"/>
    </row>
    <row r="93">
      <c r="A93" s="31" t="str">
        <f>IFERROR(__xludf.DUMMYFUNCTION("""COMPUTED_VALUE"""),"Condor (DE)")</f>
        <v>Condor (DE)</v>
      </c>
      <c r="B93" s="127"/>
      <c r="C93" s="128" t="str">
        <f>IFERROR(__xludf.DUMMYFUNCTION("""COMPUTED_VALUE"""),"kundenbetreuung@condor.com")</f>
        <v>kundenbetreuung@condor.com</v>
      </c>
      <c r="D93" s="129" t="str">
        <f>IFERROR(__xludf.DUMMYFUNCTION("""COMPUTED_VALUE"""),"webform w/o attachment")</f>
        <v>webform w/o attachment</v>
      </c>
      <c r="E93" s="131" t="str">
        <f>IFERROR(__xludf.DUMMYFUNCTION("""COMPUTED_VALUE"""),"https://www.condor.com/eu/help-contact/contact/customer-relations.jsp")</f>
        <v>https://www.condor.com/eu/help-contact/contact/customer-relations.jsp</v>
      </c>
      <c r="F93" s="127"/>
      <c r="G93" s="127" t="str">
        <f>IFERROR(__xludf.DUMMYFUNCTION("""COMPUTED_VALUE"""),"Condor Flugdienst GmbH
 Kundenbetreuung
 Thomas-Cook-Platz 1
 61440 Oberursel")</f>
        <v>Condor Flugdienst GmbH
 Kundenbetreuung
 Thomas-Cook-Platz 1
 61440 Oberursel</v>
      </c>
      <c r="H93" s="127"/>
      <c r="I93" s="127"/>
      <c r="J93" s="127"/>
      <c r="K93" s="127"/>
      <c r="L93" s="127"/>
      <c r="M93" s="127"/>
      <c r="N93" s="127"/>
      <c r="O93" s="127"/>
      <c r="P93" s="127"/>
      <c r="Q93" s="127"/>
      <c r="R93" s="127"/>
      <c r="S93" s="127"/>
      <c r="T93" s="127"/>
      <c r="U93" s="127"/>
      <c r="V93" s="127"/>
      <c r="W93" s="127"/>
      <c r="X93" s="127"/>
      <c r="Y93" s="127"/>
      <c r="Z93" s="127"/>
      <c r="AA93" s="127"/>
      <c r="AB93" s="127"/>
    </row>
    <row r="94">
      <c r="A94" s="31" t="str">
        <f>IFERROR(__xludf.DUMMYFUNCTION("""COMPUTED_VALUE"""),"Conviasa")</f>
        <v>Conviasa</v>
      </c>
      <c r="B94" s="127"/>
      <c r="C94" s="128" t="str">
        <f>IFERROR(__xludf.DUMMYFUNCTION("""COMPUTED_VALUE"""),"conviasa.clientes@conviasa.aero")</f>
        <v>conviasa.clientes@conviasa.aero</v>
      </c>
      <c r="D94" s="129" t="str">
        <f>IFERROR(__xludf.DUMMYFUNCTION("""COMPUTED_VALUE"""),"e-mail")</f>
        <v>e-mail</v>
      </c>
      <c r="E94" s="129" t="str">
        <f>IFERROR(__xludf.DUMMYFUNCTION("""COMPUTED_VALUE"""),"conviasa.clientes@conviasa.aero")</f>
        <v>conviasa.clientes@conviasa.aero</v>
      </c>
      <c r="F94" s="127"/>
      <c r="G94" s="127"/>
      <c r="H94" s="127"/>
      <c r="I94" s="127"/>
      <c r="J94" s="127"/>
      <c r="K94" s="127"/>
      <c r="L94" s="127"/>
      <c r="M94" s="127"/>
      <c r="N94" s="127"/>
      <c r="O94" s="127"/>
      <c r="P94" s="127"/>
      <c r="Q94" s="127"/>
      <c r="R94" s="127"/>
      <c r="S94" s="127"/>
      <c r="T94" s="127"/>
      <c r="U94" s="127"/>
      <c r="V94" s="127"/>
      <c r="W94" s="127"/>
      <c r="X94" s="127"/>
      <c r="Y94" s="127"/>
      <c r="Z94" s="127"/>
      <c r="AA94" s="127"/>
      <c r="AB94" s="127"/>
    </row>
    <row r="95">
      <c r="A95" s="31" t="str">
        <f>IFERROR(__xludf.DUMMYFUNCTION("""COMPUTED_VALUE"""),"Copa Airlines")</f>
        <v>Copa Airlines</v>
      </c>
      <c r="B95" s="127"/>
      <c r="C95" s="128"/>
      <c r="D95" s="129" t="str">
        <f>IFERROR(__xludf.DUMMYFUNCTION("""COMPUTED_VALUE"""),"webform w/ attachment")</f>
        <v>webform w/ attachment</v>
      </c>
      <c r="E95" s="131" t="str">
        <f>IFERROR(__xludf.DUMMYFUNCTION("""COMPUTED_VALUE"""),"https://help.copaair.com/hc/en-us/requests/new?tf_360045459154=tuve_un_problema_con_mi_boleto_o_mi_vuelo_y_debo_exponer_una_queja&amp;tf_5070193789719=___dc.servicios_adicionales_pagados_no_honrados__&amp;ticket_form_id=360004175854&amp;_gl=1*dwzblg*_ga*MTg4ODc5MjcwL"&amp;"jE3MTIyOTYzMTQ.*_ga_SEJ8DB2YNH*MTcxMjI5NjMxNC4xLjEuMTcxMjI5NjQyNS4yNC4wLjA.")</f>
        <v>https://help.copaair.com/hc/en-us/requests/new?tf_360045459154=tuve_un_problema_con_mi_boleto_o_mi_vuelo_y_debo_exponer_una_queja&amp;tf_5070193789719=___dc.servicios_adicionales_pagados_no_honrados__&amp;ticket_form_id=360004175854&amp;_gl=1*dwzblg*_ga*MTg4ODc5MjcwLjE3MTIyOTYzMTQ.*_ga_SEJ8DB2YNH*MTcxMjI5NjMxNC4xLjEuMTcxMjI5NjQyNS4yNC4wLjA.</v>
      </c>
      <c r="F95" s="127"/>
      <c r="G95" s="127"/>
      <c r="H95" s="127"/>
      <c r="I95" s="127"/>
      <c r="J95" s="127"/>
      <c r="K95" s="127"/>
      <c r="L95" s="127"/>
      <c r="M95" s="127"/>
      <c r="N95" s="127"/>
      <c r="O95" s="127"/>
      <c r="P95" s="127"/>
      <c r="Q95" s="127"/>
      <c r="R95" s="127"/>
      <c r="S95" s="127"/>
      <c r="T95" s="127"/>
      <c r="U95" s="127"/>
      <c r="V95" s="127"/>
      <c r="W95" s="127"/>
      <c r="X95" s="127"/>
      <c r="Y95" s="127"/>
      <c r="Z95" s="127"/>
      <c r="AA95" s="127"/>
      <c r="AB95" s="127"/>
    </row>
    <row r="96">
      <c r="A96" s="31" t="str">
        <f>IFERROR(__xludf.DUMMYFUNCTION("""COMPUTED_VALUE"""),"Corendon Airlines (XC)--check note pls")</f>
        <v>Corendon Airlines (XC)--check note pls</v>
      </c>
      <c r="B96" s="127"/>
      <c r="C96" s="128" t="str">
        <f>IFERROR(__xludf.DUMMYFUNCTION("""COMPUTED_VALUE"""),"ccs@corendonairlines.com")</f>
        <v>ccs@corendonairlines.com</v>
      </c>
      <c r="D96" s="129" t="str">
        <f>IFERROR(__xludf.DUMMYFUNCTION("""COMPUTED_VALUE"""),"Webform")</f>
        <v>Webform</v>
      </c>
      <c r="E96" s="131" t="str">
        <f>IFERROR(__xludf.DUMMYFUNCTION("""COMPUTED_VALUE"""),"https://ccs.corendonairlines.com/")</f>
        <v>https://ccs.corendonairlines.com/</v>
      </c>
      <c r="F96" s="127" t="str">
        <f>IFERROR(__xludf.DUMMYFUNCTION("""COMPUTED_VALUE"""),"Date of birth")</f>
        <v>Date of birth</v>
      </c>
      <c r="G96" s="127"/>
      <c r="H96" s="127" t="str">
        <f>IFERROR(__xludf.DUMMYFUNCTION("""COMPUTED_VALUE"""),"Username: legal@refly.org
Password: Fkk4erdF!")</f>
        <v>Username: legal@refly.org
Password: Fkk4erdF!</v>
      </c>
      <c r="I96" s="127"/>
      <c r="J96" s="127"/>
      <c r="K96" s="127"/>
      <c r="L96" s="127"/>
      <c r="M96" s="127"/>
      <c r="N96" s="127"/>
      <c r="O96" s="127"/>
      <c r="P96" s="127"/>
      <c r="Q96" s="127"/>
      <c r="R96" s="127"/>
      <c r="S96" s="127"/>
      <c r="T96" s="127"/>
      <c r="U96" s="127"/>
      <c r="V96" s="127"/>
      <c r="W96" s="127"/>
      <c r="X96" s="127"/>
      <c r="Y96" s="127"/>
      <c r="Z96" s="127"/>
      <c r="AA96" s="127"/>
      <c r="AB96" s="127"/>
    </row>
    <row r="97">
      <c r="A97" s="31" t="str">
        <f>IFERROR(__xludf.DUMMYFUNCTION("""COMPUTED_VALUE"""),"Corendon Dutch Airlines")</f>
        <v>Corendon Dutch Airlines</v>
      </c>
      <c r="B97" s="127"/>
      <c r="C97" s="128" t="str">
        <f>IFERROR(__xludf.DUMMYFUNCTION("""COMPUTED_VALUE"""),"airlinesupport@corendon.nl")</f>
        <v>airlinesupport@corendon.nl</v>
      </c>
      <c r="D97" s="129" t="str">
        <f>IFERROR(__xludf.DUMMYFUNCTION("""COMPUTED_VALUE"""),"Webform")</f>
        <v>Webform</v>
      </c>
      <c r="E97" s="131" t="str">
        <f>IFERROR(__xludf.DUMMYFUNCTION("""COMPUTED_VALUE"""),"https://ccs.corendonairlines.com/")</f>
        <v>https://ccs.corendonairlines.com/</v>
      </c>
      <c r="F97" s="127" t="str">
        <f>IFERROR(__xludf.DUMMYFUNCTION("""COMPUTED_VALUE"""),"Airline tickets, boarding passes, reservation confirmation and, if applicable, any correspondence with the tour operator and/or travel insurance")</f>
        <v>Airline tickets, boarding passes, reservation confirmation and, if applicable, any correspondence with the tour operator and/or travel insurance</v>
      </c>
      <c r="G97" s="127"/>
      <c r="H97" s="127" t="str">
        <f>IFERROR(__xludf.DUMMYFUNCTION("""COMPUTED_VALUE"""),"Username: legal@refly.org
Password: Fkk4erdF!")</f>
        <v>Username: legal@refly.org
Password: Fkk4erdF!</v>
      </c>
      <c r="I97" s="127"/>
      <c r="J97" s="127"/>
      <c r="K97" s="127"/>
      <c r="L97" s="127"/>
      <c r="M97" s="127"/>
      <c r="N97" s="127"/>
      <c r="O97" s="127"/>
      <c r="P97" s="127"/>
      <c r="Q97" s="127"/>
      <c r="R97" s="127"/>
      <c r="S97" s="127"/>
      <c r="T97" s="127"/>
      <c r="U97" s="127"/>
      <c r="V97" s="127"/>
      <c r="W97" s="127"/>
      <c r="X97" s="127"/>
      <c r="Y97" s="127"/>
      <c r="Z97" s="127"/>
      <c r="AA97" s="127"/>
      <c r="AB97" s="127"/>
    </row>
    <row r="98">
      <c r="A98" s="31" t="str">
        <f>IFERROR(__xludf.DUMMYFUNCTION("""COMPUTED_VALUE"""),"Corsair (SS)")</f>
        <v>Corsair (SS)</v>
      </c>
      <c r="B98" s="127"/>
      <c r="C98" s="128" t="str">
        <f>IFERROR(__xludf.DUMMYFUNCTION("""COMPUTED_VALUE"""),"savcorsair@corsair.fr")</f>
        <v>savcorsair@corsair.fr</v>
      </c>
      <c r="D98" s="129" t="str">
        <f>IFERROR(__xludf.DUMMYFUNCTION("""COMPUTED_VALUE"""),"webform w/ attach. or post")</f>
        <v>webform w/ attach. or post</v>
      </c>
      <c r="E98" s="131" t="str">
        <f>IFERROR(__xludf.DUMMYFUNCTION("""COMPUTED_VALUE"""),"https://www.flycorsair.com/en/make-demand")</f>
        <v>https://www.flycorsair.com/en/make-demand</v>
      </c>
      <c r="F98" s="127" t="str">
        <f>IFERROR(__xludf.DUMMYFUNCTION("""COMPUTED_VALUE"""),"Ticket number / DOB")</f>
        <v>Ticket number / DOB</v>
      </c>
      <c r="G98" s="127" t="str">
        <f>IFERROR(__xludf.DUMMYFUNCTION("""COMPUTED_VALUE"""),"savcorsair@corsair.fr")</f>
        <v>savcorsair@corsair.fr</v>
      </c>
      <c r="H98" s="127"/>
      <c r="I98" s="127"/>
      <c r="J98" s="127"/>
      <c r="K98" s="127"/>
      <c r="L98" s="127"/>
      <c r="M98" s="127"/>
      <c r="N98" s="127"/>
      <c r="O98" s="127"/>
      <c r="P98" s="127"/>
      <c r="Q98" s="127"/>
      <c r="R98" s="127"/>
      <c r="S98" s="127"/>
      <c r="T98" s="127"/>
      <c r="U98" s="127"/>
      <c r="V98" s="127"/>
      <c r="W98" s="127"/>
      <c r="X98" s="127"/>
      <c r="Y98" s="127"/>
      <c r="Z98" s="127"/>
      <c r="AA98" s="127"/>
      <c r="AB98" s="127"/>
    </row>
    <row r="99">
      <c r="A99" s="31" t="str">
        <f>IFERROR(__xludf.DUMMYFUNCTION("""COMPUTED_VALUE"""),"Croatia Airlines (OU)")</f>
        <v>Croatia Airlines (OU)</v>
      </c>
      <c r="B99" s="127"/>
      <c r="C99" s="128" t="str">
        <f>IFERROR(__xludf.DUMMYFUNCTION("""COMPUTED_VALUE"""),"customer.rel@croatiaairlines.hr")</f>
        <v>customer.rel@croatiaairlines.hr</v>
      </c>
      <c r="D99" s="129" t="str">
        <f>IFERROR(__xludf.DUMMYFUNCTION("""COMPUTED_VALUE"""),"webform w/o attachment")</f>
        <v>webform w/o attachment</v>
      </c>
      <c r="E99" s="131" t="str">
        <f>IFERROR(__xludf.DUMMYFUNCTION("""COMPUTED_VALUE"""),"https://www.croatiaairlines.com/en/customer/request-type")</f>
        <v>https://www.croatiaairlines.com/en/customer/request-type</v>
      </c>
      <c r="F99" s="127" t="str">
        <f>IFERROR(__xludf.DUMMYFUNCTION("""COMPUTED_VALUE"""),"Can be sent via email if webform does not work")</f>
        <v>Can be sent via email if webform does not work</v>
      </c>
      <c r="G99" s="127"/>
      <c r="H99" s="127"/>
      <c r="I99" s="127"/>
      <c r="J99" s="127"/>
      <c r="K99" s="127"/>
      <c r="L99" s="127"/>
      <c r="M99" s="127"/>
      <c r="N99" s="127"/>
      <c r="O99" s="127"/>
      <c r="P99" s="127"/>
      <c r="Q99" s="127"/>
      <c r="R99" s="127"/>
      <c r="S99" s="127"/>
      <c r="T99" s="127"/>
      <c r="U99" s="127"/>
      <c r="V99" s="127"/>
      <c r="W99" s="127"/>
      <c r="X99" s="127"/>
      <c r="Y99" s="127"/>
      <c r="Z99" s="127"/>
      <c r="AA99" s="127"/>
      <c r="AB99" s="127"/>
    </row>
    <row r="100">
      <c r="A100" s="31" t="str">
        <f>IFERROR(__xludf.DUMMYFUNCTION("""COMPUTED_VALUE"""),"Cubana")</f>
        <v>Cubana</v>
      </c>
      <c r="B100" s="127"/>
      <c r="C100" s="128"/>
      <c r="D100" s="129" t="str">
        <f>IFERROR(__xludf.DUMMYFUNCTION("""COMPUTED_VALUE"""),"e-mail")</f>
        <v>e-mail</v>
      </c>
      <c r="E100" s="129" t="str">
        <f>IFERROR(__xludf.DUMMYFUNCTION("""COMPUTED_VALUE"""),"ventas_online@cubana.avianet.cu")</f>
        <v>ventas_online@cubana.avianet.cu</v>
      </c>
      <c r="F100" s="127"/>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row>
    <row r="101">
      <c r="A101" s="31" t="str">
        <f>IFERROR(__xludf.DUMMYFUNCTION("""COMPUTED_VALUE"""),"Cyprus Airways (CY)")</f>
        <v>Cyprus Airways (CY)</v>
      </c>
      <c r="B101" s="127"/>
      <c r="C101" s="128" t="str">
        <f>IFERROR(__xludf.DUMMYFUNCTION("""COMPUTED_VALUE"""),"marketing@cyprusair.com")</f>
        <v>marketing@cyprusair.com</v>
      </c>
      <c r="D101" s="129" t="str">
        <f>IFERROR(__xludf.DUMMYFUNCTION("""COMPUTED_VALUE"""),"webform w/ attach. or post")</f>
        <v>webform w/ attach. or post</v>
      </c>
      <c r="E101" s="131" t="str">
        <f>IFERROR(__xludf.DUMMYFUNCTION("""COMPUTED_VALUE"""),"https://www.cyprusairways.com/about/contactus.dot")</f>
        <v>https://www.cyprusairways.com/about/contactus.dot</v>
      </c>
      <c r="F101" s="127"/>
      <c r="G101" s="127" t="str">
        <f>IFERROR(__xludf.DUMMYFUNCTION("""COMPUTED_VALUE"""),"21, Alkeou Street, Nicosia 1514, Cyprus - PO box 21903")</f>
        <v>21, Alkeou Street, Nicosia 1514, Cyprus - PO box 21903</v>
      </c>
      <c r="H101" s="127"/>
      <c r="I101" s="127"/>
      <c r="J101" s="127"/>
      <c r="K101" s="127"/>
      <c r="L101" s="127"/>
      <c r="M101" s="127"/>
      <c r="N101" s="127"/>
      <c r="O101" s="127"/>
      <c r="P101" s="127"/>
      <c r="Q101" s="127"/>
      <c r="R101" s="127"/>
      <c r="S101" s="127"/>
      <c r="T101" s="127"/>
      <c r="U101" s="127"/>
      <c r="V101" s="127"/>
      <c r="W101" s="127"/>
      <c r="X101" s="127"/>
      <c r="Y101" s="127"/>
      <c r="Z101" s="127"/>
      <c r="AA101" s="127"/>
      <c r="AB101" s="127"/>
    </row>
    <row r="102">
      <c r="A102" s="31" t="str">
        <f>IFERROR(__xludf.DUMMYFUNCTION("""COMPUTED_VALUE"""),"Czech Airlines (OK)")</f>
        <v>Czech Airlines (OK)</v>
      </c>
      <c r="B102" s="127"/>
      <c r="C102" s="128" t="str">
        <f>IFERROR(__xludf.DUMMYFUNCTION("""COMPUTED_VALUE"""),"Call.Centre@csa.cz")</f>
        <v>Call.Centre@csa.cz</v>
      </c>
      <c r="D102" s="129" t="str">
        <f>IFERROR(__xludf.DUMMYFUNCTION("""COMPUTED_VALUE"""),"webform w/ attachment")</f>
        <v>webform w/ attachment</v>
      </c>
      <c r="E102" s="131" t="str">
        <f>IFERROR(__xludf.DUMMYFUNCTION("""COMPUTED_VALUE"""),"https://www.csa.cz/cz-en/contact-form/#current_ask-form-2")</f>
        <v>https://www.csa.cz/cz-en/contact-form/#current_ask-form-2</v>
      </c>
      <c r="F102" s="127"/>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row>
    <row r="103">
      <c r="A103" s="31" t="str">
        <f>IFERROR(__xludf.DUMMYFUNCTION("""COMPUTED_VALUE"""),"Danish Air Transport (DX)")</f>
        <v>Danish Air Transport (DX)</v>
      </c>
      <c r="B103" s="127" t="str">
        <f>IFERROR(__xludf.DUMMYFUNCTION("""COMPUTED_VALUE"""),"Vamdrup, Denmark")</f>
        <v>Vamdrup, Denmark</v>
      </c>
      <c r="C103" s="128" t="str">
        <f>IFERROR(__xludf.DUMMYFUNCTION("""COMPUTED_VALUE"""),"support@dat-support.zendesk.com")</f>
        <v>support@dat-support.zendesk.com</v>
      </c>
      <c r="D103" s="129" t="str">
        <f>IFERROR(__xludf.DUMMYFUNCTION("""COMPUTED_VALUE"""),"e-mail")</f>
        <v>e-mail</v>
      </c>
      <c r="E103" s="131" t="str">
        <f>IFERROR(__xludf.DUMMYFUNCTION("""COMPUTED_VALUE"""),"https://dat.formstack.com/forms/compensation_claim")</f>
        <v>https://dat.formstack.com/forms/compensation_claim</v>
      </c>
      <c r="F103" s="127" t="str">
        <f>IFERROR(__xludf.DUMMYFUNCTION("""COMPUTED_VALUE"""),"ID-Boarding Pass")</f>
        <v>ID-Boarding Pass</v>
      </c>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row>
    <row r="104">
      <c r="A104" s="31" t="str">
        <f>IFERROR(__xludf.DUMMYFUNCTION("""COMPUTED_VALUE"""),"DAN AIR")</f>
        <v>DAN AIR</v>
      </c>
      <c r="B104" s="127"/>
      <c r="C104" s="128" t="str">
        <f>IFERROR(__xludf.DUMMYFUNCTION("""COMPUTED_VALUE"""),"support@danair.zendesk.com")</f>
        <v>support@danair.zendesk.com</v>
      </c>
      <c r="D104" s="129" t="str">
        <f>IFERROR(__xludf.DUMMYFUNCTION("""COMPUTED_VALUE"""),"webform w/o attachment")</f>
        <v>webform w/o attachment</v>
      </c>
      <c r="E104" s="131" t="str">
        <f>IFERROR(__xludf.DUMMYFUNCTION("""COMPUTED_VALUE"""),"https://danair.ro/en/contact")</f>
        <v>https://danair.ro/en/contact</v>
      </c>
      <c r="F104" s="127" t="str">
        <f>IFERROR(__xludf.DUMMYFUNCTION("""COMPUTED_VALUE"""),"ID-Boarding Pass")</f>
        <v>ID-Boarding Pass</v>
      </c>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row>
    <row r="105">
      <c r="A105" s="31" t="str">
        <f>IFERROR(__xludf.DUMMYFUNCTION("""COMPUTED_VALUE"""),"Dana Air")</f>
        <v>Dana Air</v>
      </c>
      <c r="B105" s="127" t="str">
        <f>IFERROR(__xludf.DUMMYFUNCTION("""COMPUTED_VALUE"""),"Sends reference in Zendesk/email")</f>
        <v>Sends reference in Zendesk/email</v>
      </c>
      <c r="C105" s="128" t="str">
        <f>IFERROR(__xludf.DUMMYFUNCTION("""COMPUTED_VALUE"""),"contact@flydanaair.com")</f>
        <v>contact@flydanaair.com</v>
      </c>
      <c r="D105" s="129" t="str">
        <f>IFERROR(__xludf.DUMMYFUNCTION("""COMPUTED_VALUE"""),"webform w/o attachment")</f>
        <v>webform w/o attachment</v>
      </c>
      <c r="E105" s="131" t="str">
        <f>IFERROR(__xludf.DUMMYFUNCTION("""COMPUTED_VALUE"""),"https://flydanaair.com/contact-us/")</f>
        <v>https://flydanaair.com/contact-us/</v>
      </c>
      <c r="F105" s="127"/>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row>
    <row r="106">
      <c r="A106" s="31" t="str">
        <f>IFERROR(__xludf.DUMMYFUNCTION("""COMPUTED_VALUE"""),"Delta Air Lines (DL)")</f>
        <v>Delta Air Lines (DL)</v>
      </c>
      <c r="B106" s="127"/>
      <c r="C106" s="128" t="str">
        <f>IFERROR(__xludf.DUMMYFUNCTION("""COMPUTED_VALUE"""),"wecare@delta.com")</f>
        <v>wecare@delta.com</v>
      </c>
      <c r="D106" s="129" t="str">
        <f>IFERROR(__xludf.DUMMYFUNCTION("""COMPUTED_VALUE"""),"webform w/o attachment")</f>
        <v>webform w/o attachment</v>
      </c>
      <c r="E106" s="131" t="str">
        <f>IFERROR(__xludf.DUMMYFUNCTION("""COMPUTED_VALUE"""),"https://www.delta.com/apac/en/need-help/overview?commentComplaintsForm")</f>
        <v>https://www.delta.com/apac/en/need-help/overview?commentComplaintsForm</v>
      </c>
      <c r="F106" s="127" t="str">
        <f>IFERROR(__xludf.DUMMYFUNCTION("""COMPUTED_VALUE"""),"Ticket number, ID")</f>
        <v>Ticket number, ID</v>
      </c>
      <c r="G106" s="127" t="str">
        <f>IFERROR(__xludf.DUMMYFUNCTION("""COMPUTED_VALUE"""),"Delta Europe Customer Care Centre
 TSA 21235
 75564 PARIS Cedex 12
 FRANCE")</f>
        <v>Delta Europe Customer Care Centre
 TSA 21235
 75564 PARIS Cedex 12
 FRANCE</v>
      </c>
      <c r="H106" s="127" t="str">
        <f>IFERROR(__xludf.DUMMYFUNCTION("""COMPUTED_VALUE"""),"user name: ReflyLimited
Pass: gIzhe1-pingoj
Skymiles: 9887976893")</f>
        <v>user name: ReflyLimited
Pass: gIzhe1-pingoj
Skymiles: 9887976893</v>
      </c>
      <c r="I106" s="127"/>
      <c r="J106" s="127"/>
      <c r="K106" s="127"/>
      <c r="L106" s="127"/>
      <c r="M106" s="127"/>
      <c r="N106" s="127"/>
      <c r="O106" s="127"/>
      <c r="P106" s="127"/>
      <c r="Q106" s="127"/>
      <c r="R106" s="127"/>
      <c r="S106" s="127"/>
      <c r="T106" s="127"/>
      <c r="U106" s="127"/>
      <c r="V106" s="127"/>
      <c r="W106" s="127"/>
      <c r="X106" s="127"/>
      <c r="Y106" s="127"/>
      <c r="Z106" s="127"/>
      <c r="AA106" s="127"/>
      <c r="AB106" s="127"/>
    </row>
    <row r="107">
      <c r="A107" s="31" t="str">
        <f>IFERROR(__xludf.DUMMYFUNCTION("""COMPUTED_VALUE"""),"Discover Airlines / Eurowings Discover (4Y)")</f>
        <v>Discover Airlines / Eurowings Discover (4Y)</v>
      </c>
      <c r="B107" s="127"/>
      <c r="C107" s="128" t="str">
        <f>IFERROR(__xludf.DUMMYFUNCTION("""COMPUTED_VALUE"""),"discover-airlines@lufthansa-group.com")</f>
        <v>discover-airlines@lufthansa-group.com</v>
      </c>
      <c r="D107" s="129" t="str">
        <f>IFERROR(__xludf.DUMMYFUNCTION("""COMPUTED_VALUE"""),"webform w/ attachment")</f>
        <v>webform w/ attachment</v>
      </c>
      <c r="E107" s="131" t="str">
        <f>IFERROR(__xludf.DUMMYFUNCTION("""COMPUTED_VALUE"""),"https://www.discover-airlines.com/en/customer-service/contact-form/")</f>
        <v>https://www.discover-airlines.com/en/customer-service/contact-form/</v>
      </c>
      <c r="F107" s="127"/>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row>
    <row r="108">
      <c r="A108" s="31" t="str">
        <f>IFERROR(__xludf.DUMMYFUNCTION("""COMPUTED_VALUE"""),"Djibouti Airlines (D8)")</f>
        <v>Djibouti Airlines (D8)</v>
      </c>
      <c r="B108" s="127"/>
      <c r="C108" s="128" t="str">
        <f>IFERROR(__xludf.DUMMYFUNCTION("""COMPUTED_VALUE"""),"customerservice@air-djibouti.com")</f>
        <v>customerservice@air-djibouti.com</v>
      </c>
      <c r="D108" s="129" t="str">
        <f>IFERROR(__xludf.DUMMYFUNCTION("""COMPUTED_VALUE"""),"e-mail")</f>
        <v>e-mail</v>
      </c>
      <c r="E108" s="129" t="str">
        <f>IFERROR(__xludf.DUMMYFUNCTION("""COMPUTED_VALUE"""),"customerservice@air-djibouti.com")</f>
        <v>customerservice@air-djibouti.com</v>
      </c>
      <c r="F108" s="127"/>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row>
    <row r="109">
      <c r="A109" s="31" t="str">
        <f>IFERROR(__xludf.DUMMYFUNCTION("""COMPUTED_VALUE"""),"Eastern Airways (T3)")</f>
        <v>Eastern Airways (T3)</v>
      </c>
      <c r="B109" s="127"/>
      <c r="C109" s="128" t="str">
        <f>IFERROR(__xludf.DUMMYFUNCTION("""COMPUTED_VALUE"""),"customerrelations@easternairways.com")</f>
        <v>customerrelations@easternairways.com</v>
      </c>
      <c r="D109" s="129" t="str">
        <f>IFERROR(__xludf.DUMMYFUNCTION("""COMPUTED_VALUE"""),"webform w/ attachment")</f>
        <v>webform w/ attachment</v>
      </c>
      <c r="E109" s="131" t="str">
        <f>IFERROR(__xludf.DUMMYFUNCTION("""COMPUTED_VALUE"""),"https://form.jotform.com/222552670822353")</f>
        <v>https://form.jotform.com/222552670822353</v>
      </c>
      <c r="F109" s="127" t="str">
        <f>IFERROR(__xludf.DUMMYFUNCTION("""COMPUTED_VALUE"""),"Ceased operations since October 27, 2025")</f>
        <v>Ceased operations since October 27, 2025</v>
      </c>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row>
    <row r="110">
      <c r="A110" s="31" t="str">
        <f>IFERROR(__xludf.DUMMYFUNCTION("""COMPUTED_VALUE"""),"easyJet (U2/EZY)")</f>
        <v>easyJet (U2/EZY)</v>
      </c>
      <c r="B110" s="127" t="str">
        <f>IFERROR(__xludf.DUMMYFUNCTION("""COMPUTED_VALUE"""),"London")</f>
        <v>London</v>
      </c>
      <c r="C110" s="128" t="str">
        <f>IFERROR(__xludf.DUMMYFUNCTION("""COMPUTED_VALUE"""),"customer.support@easyjet.com")</f>
        <v>customer.support@easyjet.com</v>
      </c>
      <c r="D110" s="129" t="str">
        <f>IFERROR(__xludf.DUMMYFUNCTION("""COMPUTED_VALUE"""),"webform w/ attachment and e-mail")</f>
        <v>webform w/ attachment and e-mail</v>
      </c>
      <c r="E110" s="131" t="str">
        <f>IFERROR(__xludf.DUMMYFUNCTION("""COMPUTED_VALUE"""),"https://www.easyjet.com/en/claim/eu261")</f>
        <v>https://www.easyjet.com/en/claim/eu261</v>
      </c>
      <c r="F110" s="127"/>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row>
    <row r="111">
      <c r="A111" s="31" t="str">
        <f>IFERROR(__xludf.DUMMYFUNCTION("""COMPUTED_VALUE"""),"Edelweiss Air (WK)")</f>
        <v>Edelweiss Air (WK)</v>
      </c>
      <c r="B111" s="127"/>
      <c r="C111" s="128" t="str">
        <f>IFERROR(__xludf.DUMMYFUNCTION("""COMPUTED_VALUE"""),"customerservice@flyedelweiss.com")</f>
        <v>customerservice@flyedelweiss.com</v>
      </c>
      <c r="D111" s="129" t="str">
        <f>IFERROR(__xludf.DUMMYFUNCTION("""COMPUTED_VALUE"""),"webform w/o attachment")</f>
        <v>webform w/o attachment</v>
      </c>
      <c r="E111" s="131" t="str">
        <f>IFERROR(__xludf.DUMMYFUNCTION("""COMPUTED_VALUE"""),"https://www.flyedelweiss.com/ch/en/customer-service/eu261-compensation-form.html")</f>
        <v>https://www.flyedelweiss.com/ch/en/customer-service/eu261-compensation-form.html</v>
      </c>
      <c r="F111" s="127"/>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row>
    <row r="112">
      <c r="A112" s="31" t="str">
        <f>IFERROR(__xludf.DUMMYFUNCTION("""COMPUTED_VALUE"""),"Egyptair (MS)")</f>
        <v>Egyptair (MS)</v>
      </c>
      <c r="B112" s="127"/>
      <c r="C112" s="128" t="str">
        <f>IFERROR(__xludf.DUMMYFUNCTION("""COMPUTED_VALUE"""),"wecare@egyptair.com")</f>
        <v>wecare@egyptair.com</v>
      </c>
      <c r="D112" s="129" t="str">
        <f>IFERROR(__xludf.DUMMYFUNCTION("""COMPUTED_VALUE"""),"e-mail")</f>
        <v>e-mail</v>
      </c>
      <c r="E112" s="129" t="str">
        <f>IFERROR(__xludf.DUMMYFUNCTION("""COMPUTED_VALUE"""),"wecare@egyptair.com")</f>
        <v>wecare@egyptair.com</v>
      </c>
      <c r="F112" s="127" t="str">
        <f>IFERROR(__xludf.DUMMYFUNCTION("""COMPUTED_VALUE"""),"Ticket, ID")</f>
        <v>Ticket, ID</v>
      </c>
      <c r="G112" s="127" t="str">
        <f>IFERROR(__xludf.DUMMYFUNCTION("""COMPUTED_VALUE"""),"( Paris_DM@egyptair.com ) ( Paris_TO@egyptair.com ) ")</f>
        <v>( Paris_DM@egyptair.com ) ( Paris_TO@egyptair.com ) </v>
      </c>
      <c r="H112" s="127"/>
      <c r="I112" s="127"/>
      <c r="J112" s="127"/>
      <c r="K112" s="127"/>
      <c r="L112" s="127"/>
      <c r="M112" s="127"/>
      <c r="N112" s="127"/>
      <c r="O112" s="127"/>
      <c r="P112" s="127"/>
      <c r="Q112" s="127"/>
      <c r="R112" s="127"/>
      <c r="S112" s="127"/>
      <c r="T112" s="127"/>
      <c r="U112" s="127"/>
      <c r="V112" s="127"/>
      <c r="W112" s="127"/>
      <c r="X112" s="127"/>
      <c r="Y112" s="127"/>
      <c r="Z112" s="127"/>
      <c r="AA112" s="127"/>
      <c r="AB112" s="127"/>
    </row>
    <row r="113">
      <c r="A113" s="31" t="str">
        <f>IFERROR(__xludf.DUMMYFUNCTION("""COMPUTED_VALUE"""),"EL AL Israel Airlines (LY)")</f>
        <v>EL AL Israel Airlines (LY)</v>
      </c>
      <c r="B113" s="127"/>
      <c r="C113" s="128" t="str">
        <f>IFERROR(__xludf.DUMMYFUNCTION("""COMPUTED_VALUE"""),"crhq@elal.co.il")</f>
        <v>crhq@elal.co.il</v>
      </c>
      <c r="D113" s="129" t="str">
        <f>IFERROR(__xludf.DUMMYFUNCTION("""COMPUTED_VALUE"""),"webform w/o attachment")</f>
        <v>webform w/o attachment</v>
      </c>
      <c r="E113" s="131" t="str">
        <f>IFERROR(__xludf.DUMMYFUNCTION("""COMPUTED_VALUE"""),"https://contactus.elal.com/contactus/page0/0?lang=en&amp;rid=3OY9-9CWsKE")</f>
        <v>https://contactus.elal.com/contactus/page0/0?lang=en&amp;rid=3OY9-9CWsKE</v>
      </c>
      <c r="F113" s="127" t="str">
        <f>IFERROR(__xludf.DUMMYFUNCTION("""COMPUTED_VALUE"""),"ID")</f>
        <v>ID</v>
      </c>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row>
    <row r="114">
      <c r="A114" s="31" t="str">
        <f>IFERROR(__xludf.DUMMYFUNCTION("""COMPUTED_VALUE"""),"Electra Airways")</f>
        <v>Electra Airways</v>
      </c>
      <c r="B114" s="127"/>
      <c r="C114" s="128" t="str">
        <f>IFERROR(__xludf.DUMMYFUNCTION("""COMPUTED_VALUE"""),"office@electra-airways.com")</f>
        <v>office@electra-airways.com</v>
      </c>
      <c r="D114" s="129" t="str">
        <f>IFERROR(__xludf.DUMMYFUNCTION("""COMPUTED_VALUE"""),"webform w/o attachment")</f>
        <v>webform w/o attachment</v>
      </c>
      <c r="E114" s="131" t="str">
        <f>IFERROR(__xludf.DUMMYFUNCTION("""COMPUTED_VALUE"""),"https://www.electra-airways.com/about-us/")</f>
        <v>https://www.electra-airways.com/about-us/</v>
      </c>
      <c r="F114" s="127"/>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row>
    <row r="115">
      <c r="A115" s="31" t="str">
        <f>IFERROR(__xludf.DUMMYFUNCTION("""COMPUTED_VALUE"""),"Emerald Airlines")</f>
        <v>Emerald Airlines</v>
      </c>
      <c r="B115" s="127"/>
      <c r="C115" s="128" t="str">
        <f>IFERROR(__xludf.DUMMYFUNCTION("""COMPUTED_VALUE"""),"customerclaims@emeraldairlines.com")</f>
        <v>customerclaims@emeraldairlines.com</v>
      </c>
      <c r="D115" s="129" t="str">
        <f>IFERROR(__xludf.DUMMYFUNCTION("""COMPUTED_VALUE"""),"email")</f>
        <v>email</v>
      </c>
      <c r="E115" s="129" t="str">
        <f>IFERROR(__xludf.DUMMYFUNCTION("""COMPUTED_VALUE"""),"customerclaims@emeraldairlines.com")</f>
        <v>customerclaims@emeraldairlines.com</v>
      </c>
      <c r="F115" s="127"/>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row>
    <row r="116">
      <c r="A116" s="31" t="str">
        <f>IFERROR(__xludf.DUMMYFUNCTION("""COMPUTED_VALUE"""),"Emirates (EK)")</f>
        <v>Emirates (EK)</v>
      </c>
      <c r="B116" s="127"/>
      <c r="C116" s="128" t="str">
        <f>IFERROR(__xludf.DUMMYFUNCTION("""COMPUTED_VALUE"""),"customer.affairs@emirates.com")</f>
        <v>customer.affairs@emirates.com</v>
      </c>
      <c r="D116" s="129" t="str">
        <f>IFERROR(__xludf.DUMMYFUNCTION("""COMPUTED_VALUE"""),"webform w/ attachment")</f>
        <v>webform w/ attachment</v>
      </c>
      <c r="E116" s="131" t="str">
        <f>IFERROR(__xludf.DUMMYFUNCTION("""COMPUTED_VALUE"""),"https://www.emirates.com/english/help/forms/complaint/")</f>
        <v>https://www.emirates.com/english/help/forms/complaint/</v>
      </c>
      <c r="F116" s="127" t="str">
        <f>IFERROR(__xludf.DUMMYFUNCTION("""COMPUTED_VALUE"""),"Ticket number, Passport")</f>
        <v>Ticket number, Passport</v>
      </c>
      <c r="G116" s="127" t="str">
        <f>IFERROR(__xludf.DUMMYFUNCTION("""COMPUTED_VALUE"""),"CMCEUclaims@emirates.com")</f>
        <v>CMCEUclaims@emirates.com</v>
      </c>
      <c r="H116" s="127"/>
      <c r="I116" s="127"/>
      <c r="J116" s="127"/>
      <c r="K116" s="127"/>
      <c r="L116" s="127"/>
      <c r="M116" s="127"/>
      <c r="N116" s="127"/>
      <c r="O116" s="127"/>
      <c r="P116" s="127"/>
      <c r="Q116" s="127"/>
      <c r="R116" s="127"/>
      <c r="S116" s="127"/>
      <c r="T116" s="127"/>
      <c r="U116" s="127"/>
      <c r="V116" s="127"/>
      <c r="W116" s="127"/>
      <c r="X116" s="127"/>
      <c r="Y116" s="127"/>
      <c r="Z116" s="127"/>
      <c r="AA116" s="127"/>
      <c r="AB116" s="127"/>
    </row>
    <row r="117">
      <c r="A117" s="31" t="str">
        <f>IFERROR(__xludf.DUMMYFUNCTION("""COMPUTED_VALUE"""),"Endeavor Air (9E)")</f>
        <v>Endeavor Air (9E)</v>
      </c>
      <c r="B117" s="127"/>
      <c r="C117" s="128"/>
      <c r="D117" s="129"/>
      <c r="E117" s="129" t="str">
        <f>IFERROR(__xludf.DUMMYFUNCTION("""COMPUTED_VALUE"""),"Need to be sent to Delta")</f>
        <v>Need to be sent to Delta</v>
      </c>
      <c r="F117" s="127"/>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row>
    <row r="118">
      <c r="A118" s="31" t="str">
        <f>IFERROR(__xludf.DUMMYFUNCTION("""COMPUTED_VALUE"""),"Enter Air")</f>
        <v>Enter Air</v>
      </c>
      <c r="B118" s="127"/>
      <c r="C118" s="128" t="str">
        <f>IFERROR(__xludf.DUMMYFUNCTION("""COMPUTED_VALUE"""),"customercare@enterair.pl")</f>
        <v>customercare@enterair.pl</v>
      </c>
      <c r="D118" s="129" t="str">
        <f>IFERROR(__xludf.DUMMYFUNCTION("""COMPUTED_VALUE"""),"webform w/ attachment")</f>
        <v>webform w/ attachment</v>
      </c>
      <c r="E118" s="131" t="str">
        <f>IFERROR(__xludf.DUMMYFUNCTION("""COMPUTED_VALUE"""),"https://reklamacje.enterair.pl/#/flightcomplaint")</f>
        <v>https://reklamacje.enterair.pl/#/flightcomplaint</v>
      </c>
      <c r="F118" s="127" t="str">
        <f>IFERROR(__xludf.DUMMYFUNCTION("""COMPUTED_VALUE"""),"Birth certificate required for minors")</f>
        <v>Birth certificate required for minors</v>
      </c>
      <c r="G118" s="127" t="str">
        <f>IFERROR(__xludf.DUMMYFUNCTION("""COMPUTED_VALUE"""),"Enter Air Sp. z o.o.
 ul. 17 Stycznia 45B 
 02-146 Warszawa POLAND")</f>
        <v>Enter Air Sp. z o.o.
 ul. 17 Stycznia 45B 
 02-146 Warszawa POLAND</v>
      </c>
      <c r="H118" s="127"/>
      <c r="I118" s="127"/>
      <c r="J118" s="127"/>
      <c r="K118" s="127"/>
      <c r="L118" s="127"/>
      <c r="M118" s="127"/>
      <c r="N118" s="127"/>
      <c r="O118" s="127"/>
      <c r="P118" s="127"/>
      <c r="Q118" s="127"/>
      <c r="R118" s="127"/>
      <c r="S118" s="127"/>
      <c r="T118" s="127"/>
      <c r="U118" s="127"/>
      <c r="V118" s="127"/>
      <c r="W118" s="127"/>
      <c r="X118" s="127"/>
      <c r="Y118" s="127"/>
      <c r="Z118" s="127"/>
      <c r="AA118" s="127"/>
      <c r="AB118" s="127"/>
    </row>
    <row r="119">
      <c r="A119" s="31" t="str">
        <f>IFERROR(__xludf.DUMMYFUNCTION("""COMPUTED_VALUE"""),"Envoy Air (MQ / ENY)")</f>
        <v>Envoy Air (MQ / ENY)</v>
      </c>
      <c r="B119" s="127"/>
      <c r="C119" s="128" t="str">
        <f>IFERROR(__xludf.DUMMYFUNCTION("""COMPUTED_VALUE"""),"info@envoyair.com (e-mail is onlr for making child ticket)")</f>
        <v>info@envoyair.com (e-mail is onlr for making child ticket)</v>
      </c>
      <c r="D119" s="129" t="str">
        <f>IFERROR(__xludf.DUMMYFUNCTION("""COMPUTED_VALUE"""),"post")</f>
        <v>post</v>
      </c>
      <c r="E119" s="129" t="str">
        <f>IFERROR(__xludf.DUMMYFUNCTION("""COMPUTED_VALUE"""),"Need to be sent to American Airlines")</f>
        <v>Need to be sent to American Airlines</v>
      </c>
      <c r="F119" s="127"/>
      <c r="G119" s="127" t="str">
        <f>IFERROR(__xludf.DUMMYFUNCTION("""COMPUTED_VALUE"""),"Envoy Air Inc.4333 Amon Carter BlvdFort Worth, TX 76155")</f>
        <v>Envoy Air Inc.4333 Amon Carter BlvdFort Worth, TX 76155</v>
      </c>
      <c r="H119" s="127"/>
      <c r="I119" s="127"/>
      <c r="J119" s="127"/>
      <c r="K119" s="127"/>
      <c r="L119" s="127"/>
      <c r="M119" s="127"/>
      <c r="N119" s="127"/>
      <c r="O119" s="127"/>
      <c r="P119" s="127"/>
      <c r="Q119" s="127"/>
      <c r="R119" s="127"/>
      <c r="S119" s="127"/>
      <c r="T119" s="127"/>
      <c r="U119" s="127"/>
      <c r="V119" s="127"/>
      <c r="W119" s="127"/>
      <c r="X119" s="127"/>
      <c r="Y119" s="127"/>
      <c r="Z119" s="127"/>
      <c r="AA119" s="127"/>
      <c r="AB119" s="127"/>
    </row>
    <row r="120">
      <c r="A120" s="31" t="str">
        <f>IFERROR(__xludf.DUMMYFUNCTION("""COMPUTED_VALUE"""),"Ethiopian Airlines (ET)")</f>
        <v>Ethiopian Airlines (ET)</v>
      </c>
      <c r="B120" s="127"/>
      <c r="C120" s="128" t="str">
        <f>IFERROR(__xludf.DUMMYFUNCTION("""COMPUTED_VALUE"""),"customerrelations@ethiopianairlines.com")</f>
        <v>customerrelations@ethiopianairlines.com</v>
      </c>
      <c r="D120" s="129" t="str">
        <f>IFERROR(__xludf.DUMMYFUNCTION("""COMPUTED_VALUE"""),"e-mail")</f>
        <v>e-mail</v>
      </c>
      <c r="E120" s="129" t="str">
        <f>IFERROR(__xludf.DUMMYFUNCTION("""COMPUTED_VALUE"""),"customerrelations@ethiopianairlines.com")</f>
        <v>customerrelations@ethiopianairlines.com</v>
      </c>
      <c r="F120" s="127" t="str">
        <f>IFERROR(__xludf.DUMMYFUNCTION("""COMPUTED_VALUE"""),"Ticket number, ID")</f>
        <v>Ticket number, ID</v>
      </c>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row>
    <row r="121">
      <c r="A121" s="31" t="str">
        <f>IFERROR(__xludf.DUMMYFUNCTION("""COMPUTED_VALUE"""),"Etihad Airways (EY)")</f>
        <v>Etihad Airways (EY)</v>
      </c>
      <c r="B121" s="127"/>
      <c r="C121" s="128" t="str">
        <f>IFERROR(__xludf.DUMMYFUNCTION("""COMPUTED_VALUE"""),"info@etihad.ae")</f>
        <v>info@etihad.ae</v>
      </c>
      <c r="D121" s="129" t="str">
        <f>IFERROR(__xludf.DUMMYFUNCTION("""COMPUTED_VALUE"""),"webform w/ attachment")</f>
        <v>webform w/ attachment</v>
      </c>
      <c r="E121" s="131" t="str">
        <f>IFERROR(__xludf.DUMMYFUNCTION("""COMPUTED_VALUE"""),"https://www.etihad.com/en-us/help/share-feedback/claim-form?intcid=Share_Feedback_Page")</f>
        <v>https://www.etihad.com/en-us/help/share-feedback/claim-form?intcid=Share_Feedback_Page</v>
      </c>
      <c r="F121" s="127" t="str">
        <f>IFERROR(__xludf.DUMMYFUNCTION("""COMPUTED_VALUE"""),"Ticket number")</f>
        <v>Ticket number</v>
      </c>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row>
    <row r="122">
      <c r="A122" s="31" t="str">
        <f>IFERROR(__xludf.DUMMYFUNCTION("""COMPUTED_VALUE"""),"Euro Atlantic Airways (YU)")</f>
        <v>Euro Atlantic Airways (YU)</v>
      </c>
      <c r="B122" s="127"/>
      <c r="C122" s="128" t="str">
        <f>IFERROR(__xludf.DUMMYFUNCTION("""COMPUTED_VALUE"""),"dov@euroatlantic.pt")</f>
        <v>dov@euroatlantic.pt</v>
      </c>
      <c r="D122" s="129" t="str">
        <f>IFERROR(__xludf.DUMMYFUNCTION("""COMPUTED_VALUE"""),"e-mail")</f>
        <v>e-mail</v>
      </c>
      <c r="E122" s="129" t="str">
        <f>IFERROR(__xludf.DUMMYFUNCTION("""COMPUTED_VALUE"""),"dov@euroatlantic.pt")</f>
        <v>dov@euroatlantic.pt</v>
      </c>
      <c r="F122" s="127"/>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row>
    <row r="123">
      <c r="A123" s="31" t="str">
        <f>IFERROR(__xludf.DUMMYFUNCTION("""COMPUTED_VALUE"""),"Euroairlines S.L.")</f>
        <v>Euroairlines S.L.</v>
      </c>
      <c r="B123" s="127"/>
      <c r="C123" s="128" t="str">
        <f>IFERROR(__xludf.DUMMYFUNCTION("""COMPUTED_VALUE"""),"legal@euroairlines.es")</f>
        <v>legal@euroairlines.es</v>
      </c>
      <c r="D123" s="129" t="str">
        <f>IFERROR(__xludf.DUMMYFUNCTION("""COMPUTED_VALUE"""),"email")</f>
        <v>email</v>
      </c>
      <c r="E123" s="129" t="str">
        <f>IFERROR(__xludf.DUMMYFUNCTION("""COMPUTED_VALUE"""),"legal@euroairlines.es")</f>
        <v>legal@euroairlines.es</v>
      </c>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row>
    <row r="124">
      <c r="A124" s="31" t="str">
        <f>IFERROR(__xludf.DUMMYFUNCTION("""COMPUTED_VALUE"""),"ASL Airlines France")</f>
        <v>ASL Airlines France</v>
      </c>
      <c r="B124" s="127"/>
      <c r="C124" s="133" t="str">
        <f>IFERROR(__xludf.DUMMYFUNCTION("""COMPUTED_VALUE"""),"supportclient@aslairlines.com")</f>
        <v>supportclient@aslairlines.com</v>
      </c>
      <c r="D124" s="129" t="str">
        <f>IFERROR(__xludf.DUMMYFUNCTION("""COMPUTED_VALUE"""),"e-mail Password for log in website: 123456")</f>
        <v>e-mail Password for log in website: 123456</v>
      </c>
      <c r="E124" s="131" t="str">
        <f>IFERROR(__xludf.DUMMYFUNCTION("""COMPUTED_VALUE"""),"https://support.aslairlines.fr/en/form/identification/")</f>
        <v>https://support.aslairlines.fr/en/form/identification/</v>
      </c>
      <c r="F124" s="127" t="str">
        <f>IFERROR(__xludf.DUMMYFUNCTION("""COMPUTED_VALUE"""),"Boarding. ID")</f>
        <v>Boarding. ID</v>
      </c>
      <c r="G124" s="127" t="str">
        <f>IFERROR(__xludf.DUMMYFUNCTION("""COMPUTED_VALUE"""),"ASL AIRLINES France
 Service Réclamations
 15 rue du Haut de Laval
 CS 14454 (Tremblay en France)
 95708 Roissy CDG Cédex
 FRANCE")</f>
        <v>ASL AIRLINES France
 Service Réclamations
 15 rue du Haut de Laval
 CS 14454 (Tremblay en France)
 95708 Roissy CDG Cédex
 FRANCE</v>
      </c>
      <c r="H124" s="127" t="str">
        <f>IFERROR(__xludf.DUMMYFUNCTION("""COMPUTED_VALUE"""),"Have to make profile first.")</f>
        <v>Have to make profile first.</v>
      </c>
      <c r="I124" s="127"/>
      <c r="J124" s="127"/>
      <c r="K124" s="127"/>
      <c r="L124" s="127"/>
      <c r="M124" s="127"/>
      <c r="N124" s="127"/>
      <c r="O124" s="127"/>
      <c r="P124" s="127"/>
      <c r="Q124" s="127"/>
      <c r="R124" s="127"/>
      <c r="S124" s="127"/>
      <c r="T124" s="127"/>
      <c r="U124" s="127"/>
      <c r="V124" s="127"/>
      <c r="W124" s="127"/>
      <c r="X124" s="127"/>
      <c r="Y124" s="127"/>
      <c r="Z124" s="127"/>
      <c r="AA124" s="127"/>
      <c r="AB124" s="127"/>
    </row>
    <row r="125">
      <c r="A125" s="31" t="str">
        <f>IFERROR(__xludf.DUMMYFUNCTION("""COMPUTED_VALUE"""),"Eurowings (EW)")</f>
        <v>Eurowings (EW)</v>
      </c>
      <c r="B125" s="127"/>
      <c r="C125" s="128" t="str">
        <f>IFERROR(__xludf.DUMMYFUNCTION("""COMPUTED_VALUE"""),"dccm@eurowings.com")</f>
        <v>dccm@eurowings.com</v>
      </c>
      <c r="D125" s="129" t="str">
        <f>IFERROR(__xludf.DUMMYFUNCTION("""COMPUTED_VALUE"""),"webform w/o attachment")</f>
        <v>webform w/o attachment</v>
      </c>
      <c r="E125" s="131" t="str">
        <f>IFERROR(__xludf.DUMMYFUNCTION("""COMPUTED_VALUE"""),"https://www.eurowings.com/en/faq/flight-disruptions/claims-and-compensation.html")</f>
        <v>https://www.eurowings.com/en/faq/flight-disruptions/claims-and-compensation.html</v>
      </c>
      <c r="F125" s="127"/>
      <c r="G125" s="132" t="str">
        <f>IFERROR(__xludf.DUMMYFUNCTION("""COMPUTED_VALUE"""),"https://www.eurowings.com/claimtool")</f>
        <v>https://www.eurowings.com/claimtool</v>
      </c>
      <c r="H125" s="127"/>
      <c r="I125" s="127"/>
      <c r="J125" s="127"/>
      <c r="K125" s="127"/>
      <c r="L125" s="127"/>
      <c r="M125" s="127"/>
      <c r="N125" s="127"/>
      <c r="O125" s="127"/>
      <c r="P125" s="127"/>
      <c r="Q125" s="127"/>
      <c r="R125" s="127"/>
      <c r="S125" s="127"/>
      <c r="T125" s="127"/>
      <c r="U125" s="127"/>
      <c r="V125" s="127"/>
      <c r="W125" s="127"/>
      <c r="X125" s="127"/>
      <c r="Y125" s="127"/>
      <c r="Z125" s="127"/>
      <c r="AA125" s="127"/>
      <c r="AB125" s="127"/>
    </row>
    <row r="126">
      <c r="A126" s="31" t="str">
        <f>IFERROR(__xludf.DUMMYFUNCTION("""COMPUTED_VALUE"""),"EVA Airways")</f>
        <v>EVA Airways</v>
      </c>
      <c r="B126" s="127"/>
      <c r="C126" s="128" t="str">
        <f>IFERROR(__xludf.DUMMYFUNCTION("""COMPUTED_VALUE"""),"miltt@evaair.com")</f>
        <v>miltt@evaair.com</v>
      </c>
      <c r="D126" s="129" t="str">
        <f>IFERROR(__xludf.DUMMYFUNCTION("""COMPUTED_VALUE"""),"webform w/ attachment")</f>
        <v>webform w/ attachment</v>
      </c>
      <c r="E126" s="131" t="str">
        <f>IFERROR(__xludf.DUMMYFUNCTION("""COMPUTED_VALUE"""),"https://booking.evaair.com/flyeva/EVA/B2C/feedback.aspx")</f>
        <v>https://booking.evaair.com/flyeva/EVA/B2C/feedback.aspx</v>
      </c>
      <c r="F126" s="127"/>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row>
    <row r="127">
      <c r="A127" s="31" t="str">
        <f>IFERROR(__xludf.DUMMYFUNCTION("""COMPUTED_VALUE"""),"Ewa Air (EWR)")</f>
        <v>Ewa Air (EWR)</v>
      </c>
      <c r="B127" s="127"/>
      <c r="C127" s="128" t="str">
        <f>IFERROR(__xludf.DUMMYFUNCTION("""COMPUTED_VALUE"""),"eservices@ewa-air.com")</f>
        <v>eservices@ewa-air.com</v>
      </c>
      <c r="D127" s="129" t="str">
        <f>IFERROR(__xludf.DUMMYFUNCTION("""COMPUTED_VALUE"""),"webform w/ attachment")</f>
        <v>webform w/ attachment</v>
      </c>
      <c r="E127" s="131" t="str">
        <f>IFERROR(__xludf.DUMMYFUNCTION("""COMPUTED_VALUE"""),"https://sav.ewa-air.com/fr/complaints/new")</f>
        <v>https://sav.ewa-air.com/fr/complaints/new</v>
      </c>
      <c r="F127" s="127"/>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row>
    <row r="128">
      <c r="A128" s="31" t="str">
        <f>IFERROR(__xludf.DUMMYFUNCTION("""COMPUTED_VALUE"""),"Finnair (AY)")</f>
        <v>Finnair (AY)</v>
      </c>
      <c r="B128" s="127"/>
      <c r="C128" s="128" t="str">
        <f>IFERROR(__xludf.DUMMYFUNCTION("""COMPUTED_VALUE"""),"finnair@finnair.com")</f>
        <v>finnair@finnair.com</v>
      </c>
      <c r="D128" s="129" t="str">
        <f>IFERROR(__xludf.DUMMYFUNCTION("""COMPUTED_VALUE"""),"webform w/o attachment")</f>
        <v>webform w/o attachment</v>
      </c>
      <c r="E128" s="131" t="str">
        <f>IFERROR(__xludf.DUMMYFUNCTION("""COMPUTED_VALUE"""),"https://www.finnair.com/en/customer-care-and-contact-information/contact-and-request-forms/feedback-and-compensation")</f>
        <v>https://www.finnair.com/en/customer-care-and-contact-information/contact-and-request-forms/feedback-and-compensation</v>
      </c>
      <c r="F128" s="127"/>
      <c r="G128" s="127" t="str">
        <f>IFERROR(__xludf.DUMMYFUNCTION("""COMPUTED_VALUE"""),"Finnair Plc, 
 Customer Relations SL/403, 
 01053 Finnair, 
 Finland")</f>
        <v>Finnair Plc, 
 Customer Relations SL/403, 
 01053 Finnair, 
 Finland</v>
      </c>
      <c r="H128" s="127"/>
      <c r="I128" s="127"/>
      <c r="J128" s="127"/>
      <c r="K128" s="127"/>
      <c r="L128" s="127"/>
      <c r="M128" s="127"/>
      <c r="N128" s="127"/>
      <c r="O128" s="127"/>
      <c r="P128" s="127"/>
      <c r="Q128" s="127"/>
      <c r="R128" s="127"/>
      <c r="S128" s="127"/>
      <c r="T128" s="127"/>
      <c r="U128" s="127"/>
      <c r="V128" s="127"/>
      <c r="W128" s="127"/>
      <c r="X128" s="127"/>
      <c r="Y128" s="127"/>
      <c r="Z128" s="127"/>
      <c r="AA128" s="127"/>
      <c r="AB128" s="127"/>
    </row>
    <row r="129">
      <c r="A129" s="31" t="str">
        <f>IFERROR(__xludf.DUMMYFUNCTION("""COMPUTED_VALUE"""),"FlexFlight (W2)")</f>
        <v>FlexFlight (W2)</v>
      </c>
      <c r="B129" s="127"/>
      <c r="C129" s="128" t="str">
        <f>IFERROR(__xludf.DUMMYFUNCTION("""COMPUTED_VALUE"""),"info@flexflight.dk")</f>
        <v>info@flexflight.dk</v>
      </c>
      <c r="D129" s="129" t="str">
        <f>IFERROR(__xludf.DUMMYFUNCTION("""COMPUTED_VALUE"""),"e-mail")</f>
        <v>e-mail</v>
      </c>
      <c r="E129" s="129" t="str">
        <f>IFERROR(__xludf.DUMMYFUNCTION("""COMPUTED_VALUE"""),"info@flexflight.dk")</f>
        <v>info@flexflight.dk</v>
      </c>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row>
    <row r="130">
      <c r="A130" s="31" t="str">
        <f>IFERROR(__xludf.DUMMYFUNCTION("""COMPUTED_VALUE"""),"Fly Play ( FPY/ OG)")</f>
        <v>Fly Play ( FPY/ OG)</v>
      </c>
      <c r="B130" s="127" t="str">
        <f>IFERROR(__xludf.DUMMYFUNCTION("""COMPUTED_VALUE"""),"Ceased operations on 29-09-2025")</f>
        <v>Ceased operations on 29-09-2025</v>
      </c>
      <c r="C130" s="128" t="str">
        <f>IFERROR(__xludf.DUMMYFUNCTION("""COMPUTED_VALUE"""),"claims@flyplay.com")</f>
        <v>claims@flyplay.com</v>
      </c>
      <c r="D130" s="129" t="str">
        <f>IFERROR(__xludf.DUMMYFUNCTION("""COMPUTED_VALUE"""),"webform w/ attachment")</f>
        <v>webform w/ attachment</v>
      </c>
      <c r="E130" s="131" t="str">
        <f>IFERROR(__xludf.DUMMYFUNCTION("""COMPUTED_VALUE"""),"https://www.flyplay.com/en/claims")</f>
        <v>https://www.flyplay.com/en/claims</v>
      </c>
      <c r="F130" s="127"/>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row>
    <row r="131">
      <c r="A131" s="31" t="str">
        <f>IFERROR(__xludf.DUMMYFUNCTION("""COMPUTED_VALUE"""),"Fly Baghdad")</f>
        <v>Fly Baghdad</v>
      </c>
      <c r="B131" s="127"/>
      <c r="C131" s="128" t="str">
        <f>IFERROR(__xludf.DUMMYFUNCTION("""COMPUTED_VALUE"""),"moreinfo@flybaghdad.net")</f>
        <v>moreinfo@flybaghdad.net</v>
      </c>
      <c r="D131" s="129"/>
      <c r="E131" s="131" t="str">
        <f>IFERROR(__xludf.DUMMYFUNCTION("""COMPUTED_VALUE"""),"https://www.flybaghdad.iq/en/feedback/")</f>
        <v>https://www.flybaghdad.iq/en/feedback/</v>
      </c>
      <c r="F131" s="127"/>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row>
    <row r="132">
      <c r="A132" s="31" t="str">
        <f>IFERROR(__xludf.DUMMYFUNCTION("""COMPUTED_VALUE"""),"Flydubai")</f>
        <v>Flydubai</v>
      </c>
      <c r="B132" s="127"/>
      <c r="C132" s="128" t="str">
        <f>IFERROR(__xludf.DUMMYFUNCTION("""COMPUTED_VALUE"""),"letstalk@flydubai.com")</f>
        <v>letstalk@flydubai.com</v>
      </c>
      <c r="D132" s="129" t="str">
        <f>IFERROR(__xludf.DUMMYFUNCTION("""COMPUTED_VALUE"""),"webform w/ attachment")</f>
        <v>webform w/ attachment</v>
      </c>
      <c r="E132" s="131" t="str">
        <f>IFERROR(__xludf.DUMMYFUNCTION("""COMPUTED_VALUE"""),"https://www.flydubai.com/en/help/contact-us-form")</f>
        <v>https://www.flydubai.com/en/help/contact-us-form</v>
      </c>
      <c r="F132" s="127"/>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row>
    <row r="133">
      <c r="A133" s="31" t="str">
        <f>IFERROR(__xludf.DUMMYFUNCTION("""COMPUTED_VALUE"""),"FlyErbil")</f>
        <v>FlyErbil</v>
      </c>
      <c r="B133" s="127"/>
      <c r="C133" s="128"/>
      <c r="D133" s="129" t="str">
        <f>IFERROR(__xludf.DUMMYFUNCTION("""COMPUTED_VALUE"""),"webform w/o attachment")</f>
        <v>webform w/o attachment</v>
      </c>
      <c r="E133" s="131" t="str">
        <f>IFERROR(__xludf.DUMMYFUNCTION("""COMPUTED_VALUE"""),"https://www.flyebl.com/dussseldorf-office/")</f>
        <v>https://www.flyebl.com/dussseldorf-office/</v>
      </c>
      <c r="F133" s="127"/>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row>
    <row r="134">
      <c r="A134" s="31" t="str">
        <f>IFERROR(__xludf.DUMMYFUNCTION("""COMPUTED_VALUE"""),"Flyegypt")</f>
        <v>Flyegypt</v>
      </c>
      <c r="B134" s="127" t="str">
        <f>IFERROR(__xludf.DUMMYFUNCTION("""COMPUTED_VALUE"""),"Ceased operations on October 21, 2024")</f>
        <v>Ceased operations on October 21, 2024</v>
      </c>
      <c r="C134" s="128" t="str">
        <f>IFERROR(__xludf.DUMMYFUNCTION("""COMPUTED_VALUE"""),"reservations@flyegypt.com")</f>
        <v>reservations@flyegypt.com</v>
      </c>
      <c r="D134" s="129" t="str">
        <f>IFERROR(__xludf.DUMMYFUNCTION("""COMPUTED_VALUE""")," ")</f>
        <v> </v>
      </c>
      <c r="E134" s="129" t="str">
        <f>IFERROR(__xludf.DUMMYFUNCTION("""COMPUTED_VALUE"""),"reservations@flyegypt.com")</f>
        <v>reservations@flyegypt.com</v>
      </c>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row>
    <row r="135">
      <c r="A135" s="31" t="str">
        <f>IFERROR(__xludf.DUMMYFUNCTION("""COMPUTED_VALUE"""),"Fly Jinnah")</f>
        <v>Fly Jinnah</v>
      </c>
      <c r="B135" s="127"/>
      <c r="C135" s="128" t="str">
        <f>IFERROR(__xludf.DUMMYFUNCTION("""COMPUTED_VALUE"""),"contactus@flyjinnah.com")</f>
        <v>contactus@flyjinnah.com</v>
      </c>
      <c r="D135" s="129" t="str">
        <f>IFERROR(__xludf.DUMMYFUNCTION("""COMPUTED_VALUE"""),"E-mail")</f>
        <v>E-mail</v>
      </c>
      <c r="E135" s="129"/>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row>
    <row r="136">
      <c r="A136" s="31" t="str">
        <f>IFERROR(__xludf.DUMMYFUNCTION("""COMPUTED_VALUE"""),"Fly Level SL")</f>
        <v>Fly Level SL</v>
      </c>
      <c r="B136" s="127"/>
      <c r="C136" s="128" t="str">
        <f>IFERROR(__xludf.DUMMYFUNCTION("""COMPUTED_VALUE"""),"care@flylevel.com")</f>
        <v>care@flylevel.com</v>
      </c>
      <c r="D136" s="129"/>
      <c r="E136" s="131" t="str">
        <f>IFERROR(__xludf.DUMMYFUNCTION("""COMPUTED_VALUE"""),"https://webformlevel.bsqd.me/")</f>
        <v>https://webformlevel.bsqd.me/</v>
      </c>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row>
    <row r="137">
      <c r="A137" s="31" t="str">
        <f>IFERROR(__xludf.DUMMYFUNCTION("""COMPUTED_VALUE""")," FlyLili")</f>
        <v> FlyLili</v>
      </c>
      <c r="B137" s="127"/>
      <c r="C137" s="128" t="str">
        <f>IFERROR(__xludf.DUMMYFUNCTION("""COMPUTED_VALUE"""),"contact@flylili.com")</f>
        <v>contact@flylili.com</v>
      </c>
      <c r="D137" s="129" t="str">
        <f>IFERROR(__xludf.DUMMYFUNCTION("""COMPUTED_VALUE"""),"e-mail")</f>
        <v>e-mail</v>
      </c>
      <c r="E137" s="129" t="str">
        <f>IFERROR(__xludf.DUMMYFUNCTION("""COMPUTED_VALUE"""),"contact@flylili.com")</f>
        <v>contact@flylili.com</v>
      </c>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row>
    <row r="138">
      <c r="A138" s="31" t="str">
        <f>IFERROR(__xludf.DUMMYFUNCTION("""COMPUTED_VALUE"""),"Flynas")</f>
        <v>Flynas</v>
      </c>
      <c r="B138" s="127"/>
      <c r="C138" s="128" t="str">
        <f>IFERROR(__xludf.DUMMYFUNCTION("""COMPUTED_VALUE"""),"CSU@flynas.com")</f>
        <v>CSU@flynas.com</v>
      </c>
      <c r="D138" s="129" t="str">
        <f>IFERROR(__xludf.DUMMYFUNCTION("""COMPUTED_VALUE"""),"e-mail")</f>
        <v>e-mail</v>
      </c>
      <c r="E138" s="129" t="str">
        <f>IFERROR(__xludf.DUMMYFUNCTION("""COMPUTED_VALUE"""),"CSU@flynas.com")</f>
        <v>CSU@flynas.com</v>
      </c>
      <c r="F138" s="127"/>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row>
    <row r="139">
      <c r="A139" s="31" t="str">
        <f>IFERROR(__xludf.DUMMYFUNCTION("""COMPUTED_VALUE"""),"FlyOne")</f>
        <v>FlyOne</v>
      </c>
      <c r="B139" s="127" t="str">
        <f>IFERROR(__xludf.DUMMYFUNCTION("""COMPUTED_VALUE"""),"Sends reference in email after submission")</f>
        <v>Sends reference in email after submission</v>
      </c>
      <c r="C139" s="128" t="str">
        <f>IFERROR(__xludf.DUMMYFUNCTION("""COMPUTED_VALUE"""),"claims@flyone.eu")</f>
        <v>claims@flyone.eu</v>
      </c>
      <c r="D139" s="129" t="str">
        <f>IFERROR(__xludf.DUMMYFUNCTION("""COMPUTED_VALUE"""),"webform w/ attachment")</f>
        <v>webform w/ attachment</v>
      </c>
      <c r="E139" s="131" t="str">
        <f>IFERROR(__xludf.DUMMYFUNCTION("""COMPUTED_VALUE"""),"https://flyone.eu/en/Contact/Contact-us")</f>
        <v>https://flyone.eu/en/Contact/Contact-us</v>
      </c>
      <c r="F139" s="127"/>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row>
    <row r="140">
      <c r="A140" s="31" t="str">
        <f>IFERROR(__xludf.DUMMYFUNCTION("""COMPUTED_VALUE"""),"Fly2Sky")</f>
        <v>Fly2Sky</v>
      </c>
      <c r="B140" s="127"/>
      <c r="C140" s="128" t="str">
        <f>IFERROR(__xludf.DUMMYFUNCTION("""COMPUTED_VALUE"""),"feedback@fly2sky.aero")</f>
        <v>feedback@fly2sky.aero</v>
      </c>
      <c r="D140" s="129" t="str">
        <f>IFERROR(__xludf.DUMMYFUNCTION("""COMPUTED_VALUE"""),"e-mail")</f>
        <v>e-mail</v>
      </c>
      <c r="E140" s="129" t="str">
        <f>IFERROR(__xludf.DUMMYFUNCTION("""COMPUTED_VALUE"""),"feedback@fly2sky.aero")</f>
        <v>feedback@fly2sky.aero</v>
      </c>
      <c r="F140" s="127"/>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row>
    <row r="141">
      <c r="A141" s="31" t="str">
        <f>IFERROR(__xludf.DUMMYFUNCTION("""COMPUTED_VALUE"""),"FreeBird (FH)")</f>
        <v>FreeBird (FH)</v>
      </c>
      <c r="B141" s="127"/>
      <c r="C141" s="128" t="str">
        <f>IFERROR(__xludf.DUMMYFUNCTION("""COMPUTED_VALUE"""),"customerservices@freebirdairlines.com")</f>
        <v>customerservices@freebirdairlines.com</v>
      </c>
      <c r="D141" s="129" t="str">
        <f>IFERROR(__xludf.DUMMYFUNCTION("""COMPUTED_VALUE"""),"webform w/ attachment")</f>
        <v>webform w/ attachment</v>
      </c>
      <c r="E141" s="131" t="str">
        <f>IFERROR(__xludf.DUMMYFUNCTION("""COMPUTED_VALUE"""),"https://www.freebirdairlines.com/customer-relations")</f>
        <v>https://www.freebirdairlines.com/customer-relations</v>
      </c>
      <c r="F141" s="127" t="str">
        <f>IFERROR(__xludf.DUMMYFUNCTION("""COMPUTED_VALUE"""),"Currently using email as Webform not working")</f>
        <v>Currently using email as Webform not working</v>
      </c>
      <c r="G141" s="127" t="str">
        <f>IFERROR(__xludf.DUMMYFUNCTION("""COMPUTED_VALUE"""),"If webform does not work, have use the email")</f>
        <v>If webform does not work, have use the email</v>
      </c>
      <c r="H141" s="127"/>
      <c r="I141" s="127"/>
      <c r="J141" s="127"/>
      <c r="K141" s="127"/>
      <c r="L141" s="127"/>
      <c r="M141" s="127"/>
      <c r="N141" s="127"/>
      <c r="O141" s="127"/>
      <c r="P141" s="127"/>
      <c r="Q141" s="127"/>
      <c r="R141" s="127"/>
      <c r="S141" s="127"/>
      <c r="T141" s="127"/>
      <c r="U141" s="127"/>
      <c r="V141" s="127"/>
      <c r="W141" s="127"/>
      <c r="X141" s="127"/>
      <c r="Y141" s="127"/>
      <c r="Z141" s="127"/>
      <c r="AA141" s="127"/>
      <c r="AB141" s="127"/>
    </row>
    <row r="142">
      <c r="A142" s="31" t="str">
        <f>IFERROR(__xludf.DUMMYFUNCTION("""COMPUTED_VALUE"""),"French Bee")</f>
        <v>French Bee</v>
      </c>
      <c r="B142" s="127"/>
      <c r="C142" s="128" t="str">
        <f>IFERROR(__xludf.DUMMYFUNCTION("""COMPUTED_VALUE"""),"customercare@frenchbee.com")</f>
        <v>customercare@frenchbee.com</v>
      </c>
      <c r="D142" s="129"/>
      <c r="E142" s="131" t="str">
        <f>IFERROR(__xludf.DUMMYFUNCTION("""COMPUTED_VALUE"""),"https://www.frenchbee.com/en/claims")</f>
        <v>https://www.frenchbee.com/en/claims</v>
      </c>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row>
    <row r="143">
      <c r="A143" s="31" t="str">
        <f>IFERROR(__xludf.DUMMYFUNCTION("""COMPUTED_VALUE"""),"Frontier airlines (F9)")</f>
        <v>Frontier airlines (F9)</v>
      </c>
      <c r="B143" s="127"/>
      <c r="C143" s="128" t="str">
        <f>IFERROR(__xludf.DUMMYFUNCTION("""COMPUTED_VALUE"""),"frontierairlines@mailca.custhelp.com")</f>
        <v>frontierairlines@mailca.custhelp.com</v>
      </c>
      <c r="D143" s="129" t="str">
        <f>IFERROR(__xludf.DUMMYFUNCTION("""COMPUTED_VALUE"""),"webform w/ attachment")</f>
        <v>webform w/ attachment</v>
      </c>
      <c r="E143" s="131" t="str">
        <f>IFERROR(__xludf.DUMMYFUNCTION("""COMPUTED_VALUE"""),"https://frontiercswprod.powerappsportals.com/contact-us/request-complaint-form/")</f>
        <v>https://frontiercswprod.powerappsportals.com/contact-us/request-complaint-form/</v>
      </c>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row>
    <row r="144">
      <c r="A144" s="31" t="str">
        <f>IFERROR(__xludf.DUMMYFUNCTION("""COMPUTED_VALUE"""),"German Airways")</f>
        <v>German Airways</v>
      </c>
      <c r="B144" s="127"/>
      <c r="C144" s="128" t="str">
        <f>IFERROR(__xludf.DUMMYFUNCTION("""COMPUTED_VALUE"""),"info@germanairways.com")</f>
        <v>info@germanairways.com</v>
      </c>
      <c r="D144" s="129"/>
      <c r="E144" s="131" t="str">
        <f>IFERROR(__xludf.DUMMYFUNCTION("""COMPUTED_VALUE"""),"https://germanairways.com/kontakt")</f>
        <v>https://germanairways.com/kontakt</v>
      </c>
      <c r="F144" s="127"/>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row>
    <row r="145">
      <c r="A145" s="31" t="str">
        <f>IFERROR(__xludf.DUMMYFUNCTION("""COMPUTED_VALUE"""),"Getjet (GW)")</f>
        <v>Getjet (GW)</v>
      </c>
      <c r="B145" s="127"/>
      <c r="C145" s="128" t="str">
        <f>IFERROR(__xludf.DUMMYFUNCTION("""COMPUTED_VALUE"""),"passengers@getjet.aero")</f>
        <v>passengers@getjet.aero</v>
      </c>
      <c r="D145" s="129" t="str">
        <f>IFERROR(__xludf.DUMMYFUNCTION("""COMPUTED_VALUE"""),"e-mail")</f>
        <v>e-mail</v>
      </c>
      <c r="E145" s="129" t="str">
        <f>IFERROR(__xludf.DUMMYFUNCTION("""COMPUTED_VALUE"""),"passengers@getjet.aero")</f>
        <v>passengers@getjet.aero</v>
      </c>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row>
    <row r="146">
      <c r="A146" s="31" t="str">
        <f>IFERROR(__xludf.DUMMYFUNCTION("""COMPUTED_VALUE"""),"GOL (G3)")</f>
        <v>GOL (G3)</v>
      </c>
      <c r="B146" s="127"/>
      <c r="C146" s="128" t="str">
        <f>IFERROR(__xludf.DUMMYFUNCTION("""COMPUTED_VALUE"""),"agencia.inter@voegol.com.br")</f>
        <v>agencia.inter@voegol.com.br</v>
      </c>
      <c r="D146" s="129" t="str">
        <f>IFERROR(__xludf.DUMMYFUNCTION("""COMPUTED_VALUE"""),"e-mail")</f>
        <v>e-mail</v>
      </c>
      <c r="E146" s="129" t="str">
        <f>IFERROR(__xludf.DUMMYFUNCTION("""COMPUTED_VALUE"""),"agencia.inter@voegol.com.br")</f>
        <v>agencia.inter@voegol.com.br</v>
      </c>
      <c r="F146" s="127"/>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row>
    <row r="147">
      <c r="A147" s="31" t="str">
        <f>IFERROR(__xludf.DUMMYFUNCTION("""COMPUTED_VALUE"""),"GP Aviation Switzerland GmbH")</f>
        <v>GP Aviation Switzerland GmbH</v>
      </c>
      <c r="B147" s="127"/>
      <c r="C147" s="128" t="str">
        <f>IFERROR(__xludf.DUMMYFUNCTION("""COMPUTED_VALUE"""),"service.center@gp-aviation.net")</f>
        <v>service.center@gp-aviation.net</v>
      </c>
      <c r="D147" s="129" t="str">
        <f>IFERROR(__xludf.DUMMYFUNCTION("""COMPUTED_VALUE"""),"email")</f>
        <v>email</v>
      </c>
      <c r="E147" s="131" t="str">
        <f>IFERROR(__xludf.DUMMYFUNCTION("""COMPUTED_VALUE"""),"https://gp-aviation.ch/refund-claims/")</f>
        <v>https://gp-aviation.ch/refund-claims/</v>
      </c>
      <c r="F147" s="127"/>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row>
    <row r="148">
      <c r="A148" s="31" t="str">
        <f>IFERROR(__xludf.DUMMYFUNCTION("""COMPUTED_VALUE"""),"Grupo Taca (TA)")</f>
        <v>Grupo Taca (TA)</v>
      </c>
      <c r="B148" s="127"/>
      <c r="C148" s="128" t="str">
        <f>IFERROR(__xludf.DUMMYFUNCTION("""COMPUTED_VALUE"""),"e_solutions@centrosolucionavianca.com")</f>
        <v>e_solutions@centrosolucionavianca.com</v>
      </c>
      <c r="D148" s="129" t="str">
        <f>IFERROR(__xludf.DUMMYFUNCTION("""COMPUTED_VALUE"""),"webform w/o attachment")</f>
        <v>webform w/o attachment</v>
      </c>
      <c r="E148" s="129"/>
      <c r="F148" s="127"/>
      <c r="G148" s="127"/>
      <c r="H148" s="127" t="str">
        <f>IFERROR(__xludf.DUMMYFUNCTION("""COMPUTED_VALUE"""),"Merged with the Colombian airline Avianca")</f>
        <v>Merged with the Colombian airline Avianca</v>
      </c>
      <c r="I148" s="127"/>
      <c r="J148" s="127"/>
      <c r="K148" s="127"/>
      <c r="L148" s="127"/>
      <c r="M148" s="127"/>
      <c r="N148" s="127"/>
      <c r="O148" s="127"/>
      <c r="P148" s="127"/>
      <c r="Q148" s="127"/>
      <c r="R148" s="127"/>
      <c r="S148" s="127"/>
      <c r="T148" s="127"/>
      <c r="U148" s="127"/>
      <c r="V148" s="127"/>
      <c r="W148" s="127"/>
      <c r="X148" s="127"/>
      <c r="Y148" s="127"/>
      <c r="Z148" s="127"/>
      <c r="AA148" s="127"/>
      <c r="AB148" s="127"/>
    </row>
    <row r="149">
      <c r="A149" s="31" t="str">
        <f>IFERROR(__xludf.DUMMYFUNCTION("""COMPUTED_VALUE"""),"Gulf Air (GF)")</f>
        <v>Gulf Air (GF)</v>
      </c>
      <c r="B149" s="127"/>
      <c r="C149" s="128" t="str">
        <f>IFERROR(__xludf.DUMMYFUNCTION("""COMPUTED_VALUE"""),"e.customercare@gulfair.com, wwcc.support@gulfair.com, 
 customer.care@gulfair.com")</f>
        <v>e.customercare@gulfair.com, wwcc.support@gulfair.com, 
 customer.care@gulfair.com</v>
      </c>
      <c r="D149" s="129" t="str">
        <f>IFERROR(__xludf.DUMMYFUNCTION("""COMPUTED_VALUE"""),"webform w/o attachment")</f>
        <v>webform w/o attachment</v>
      </c>
      <c r="E149" s="131" t="str">
        <f>IFERROR(__xludf.DUMMYFUNCTION("""COMPUTED_VALUE"""),"https://falconflyer.gulfair.com/#/feedback?_gl=1*1aohqop*_ga*MTg1MTU2OTQwMi4xNzAzMjcwMzc5*_ga_0QVNSNCG0T*MTcwMzI3MDM3OC4xLjEuMTcwMzI3MDUxNi4yNS4wLjA.")</f>
        <v>https://falconflyer.gulfair.com/#/feedback?_gl=1*1aohqop*_ga*MTg1MTU2OTQwMi4xNzAzMjcwMzc5*_ga_0QVNSNCG0T*MTcwMzI3MDM3OC4xLjEuMTcwMzI3MDUxNi4yNS4wLjA.</v>
      </c>
      <c r="F149" s="127"/>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row>
    <row r="150">
      <c r="A150" s="31" t="str">
        <f>IFERROR(__xludf.DUMMYFUNCTION("""COMPUTED_VALUE"""),"Hainan Airlines")</f>
        <v>Hainan Airlines</v>
      </c>
      <c r="B150" s="127"/>
      <c r="C150" s="128" t="str">
        <f>IFERROR(__xludf.DUMMYFUNCTION("""COMPUTED_VALUE"""),"bzchbcl@hnair.com")</f>
        <v>bzchbcl@hnair.com</v>
      </c>
      <c r="D150" s="129" t="str">
        <f>IFERROR(__xludf.DUMMYFUNCTION("""COMPUTED_VALUE"""),"e-mail")</f>
        <v>e-mail</v>
      </c>
      <c r="E150" s="129" t="str">
        <f>IFERROR(__xludf.DUMMYFUNCTION("""COMPUTED_VALUE"""),"bzchbcl@hnair.com")</f>
        <v>bzchbcl@hnair.com</v>
      </c>
      <c r="F150" s="127"/>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row>
    <row r="151">
      <c r="A151" s="31" t="str">
        <f>IFERROR(__xludf.DUMMYFUNCTION("""COMPUTED_VALUE"""),"Hayways")</f>
        <v>Hayways</v>
      </c>
      <c r="B151" s="127"/>
      <c r="C151" s="128" t="str">
        <f>IFERROR(__xludf.DUMMYFUNCTION("""COMPUTED_VALUE"""),"info@hayways.aero")</f>
        <v>info@hayways.aero</v>
      </c>
      <c r="D151" s="129" t="str">
        <f>IFERROR(__xludf.DUMMYFUNCTION("""COMPUTED_VALUE"""),"webform w/o attachment")</f>
        <v>webform w/o attachment</v>
      </c>
      <c r="E151" s="131" t="str">
        <f>IFERROR(__xludf.DUMMYFUNCTION("""COMPUTED_VALUE"""),"https://hayways.aero/#[object%20Object]")</f>
        <v>https://hayways.aero/#[object%20Object]</v>
      </c>
      <c r="F151" s="127"/>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row>
    <row r="152">
      <c r="A152" s="31" t="str">
        <f>IFERROR(__xludf.DUMMYFUNCTION("""COMPUTED_VALUE"""),"Helvetic Airways (SL)")</f>
        <v>Helvetic Airways (SL)</v>
      </c>
      <c r="B152" s="127"/>
      <c r="C152" s="133" t="str">
        <f>IFERROR(__xludf.DUMMYFUNCTION("""COMPUTED_VALUE"""),"https://www.helvetic.com/en/contact/servicecenter")</f>
        <v>https://www.helvetic.com/en/contact/servicecenter</v>
      </c>
      <c r="D152" s="129" t="str">
        <f>IFERROR(__xludf.DUMMYFUNCTION("""COMPUTED_VALUE"""),"webform w/o attachment")</f>
        <v>webform w/o attachment</v>
      </c>
      <c r="E152" s="129" t="str">
        <f>IFERROR(__xludf.DUMMYFUNCTION("""COMPUTED_VALUE"""),"info@helvetic.com")</f>
        <v>info@helvetic.com</v>
      </c>
      <c r="F152" s="127"/>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row>
    <row r="153">
      <c r="A153" s="31" t="str">
        <f>IFERROR(__xludf.DUMMYFUNCTION("""COMPUTED_VALUE"""),"Hi Fly (5K)")</f>
        <v>Hi Fly (5K)</v>
      </c>
      <c r="B153" s="127"/>
      <c r="C153" s="128" t="str">
        <f>IFERROR(__xludf.DUMMYFUNCTION("""COMPUTED_VALUE"""),"dov@hifly.aero")</f>
        <v>dov@hifly.aero</v>
      </c>
      <c r="D153" s="129" t="str">
        <f>IFERROR(__xludf.DUMMYFUNCTION("""COMPUTED_VALUE"""),"e-mail")</f>
        <v>e-mail</v>
      </c>
      <c r="E153" s="129" t="str">
        <f>IFERROR(__xludf.DUMMYFUNCTION("""COMPUTED_VALUE"""),"hifly@hifly.aero")</f>
        <v>hifly@hifly.aero</v>
      </c>
      <c r="F153" s="127"/>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row>
    <row r="154">
      <c r="A154" s="31" t="str">
        <f>IFERROR(__xludf.DUMMYFUNCTION("""COMPUTED_VALUE"""),"Hisky Europe Srl")</f>
        <v>Hisky Europe Srl</v>
      </c>
      <c r="B154" s="127"/>
      <c r="C154" s="128" t="str">
        <f>IFERROR(__xludf.DUMMYFUNCTION("""COMPUTED_VALUE"""),"claims@hisky.aero")</f>
        <v>claims@hisky.aero</v>
      </c>
      <c r="D154" s="129" t="str">
        <f>IFERROR(__xludf.DUMMYFUNCTION("""COMPUTED_VALUE"""),"claims@hisky.aero")</f>
        <v>claims@hisky.aero</v>
      </c>
      <c r="E154" s="129" t="str">
        <f>IFERROR(__xludf.DUMMYFUNCTION("""COMPUTED_VALUE"""),"claims@hisky.aero")</f>
        <v>claims@hisky.aero</v>
      </c>
      <c r="F154" s="127"/>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row>
    <row r="155">
      <c r="A155" s="31" t="str">
        <f>IFERROR(__xludf.DUMMYFUNCTION("""COMPUTED_VALUE"""),"HOP!-Regional (A5)")</f>
        <v>HOP!-Regional (A5)</v>
      </c>
      <c r="B155" s="127"/>
      <c r="C155" s="128" t="str">
        <f>IFERROR(__xludf.DUMMYFUNCTION("""COMPUTED_VALUE"""),"groupes@hop.fr")</f>
        <v>groupes@hop.fr</v>
      </c>
      <c r="D155" s="129" t="str">
        <f>IFERROR(__xludf.DUMMYFUNCTION("""COMPUTED_VALUE"""),"webform w/ attachment")</f>
        <v>webform w/ attachment</v>
      </c>
      <c r="E155" s="129" t="str">
        <f>IFERROR(__xludf.DUMMYFUNCTION("""COMPUTED_VALUE"""),"Have to send to Air France")</f>
        <v>Have to send to Air France</v>
      </c>
      <c r="F155" s="127"/>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row>
    <row r="156">
      <c r="A156" s="31" t="str">
        <f>IFERROR(__xludf.DUMMYFUNCTION("""COMPUTED_VALUE"""),"Iberia (IB)")</f>
        <v>Iberia (IB)</v>
      </c>
      <c r="B156" s="127"/>
      <c r="C156" s="128" t="str">
        <f>IFERROR(__xludf.DUMMYFUNCTION("""COMPUTED_VALUE"""),"servicerecoveryteam@iberia.es")</f>
        <v>servicerecoveryteam@iberia.es</v>
      </c>
      <c r="D156" s="129" t="str">
        <f>IFERROR(__xludf.DUMMYFUNCTION("""COMPUTED_VALUE"""),"webform w/ attachment")</f>
        <v>webform w/ attachment</v>
      </c>
      <c r="E156" s="131" t="str">
        <f>IFERROR(__xludf.DUMMYFUNCTION("""COMPUTED_VALUE"""),"https://www.iberia.com/gb/customer-relations/")</f>
        <v>https://www.iberia.com/gb/customer-relations/</v>
      </c>
      <c r="F156" s="127" t="str">
        <f>IFERROR(__xludf.DUMMYFUNCTION("""COMPUTED_VALUE"""),"Ticket number, Passportnumber/ National Identity Card number/ Spanish Residence card number")</f>
        <v>Ticket number, Passportnumber/ National Identity Card number/ Spanish Residence card number</v>
      </c>
      <c r="G156" s="127" t="str">
        <f>IFERROR(__xludf.DUMMYFUNCTION("""COMPUTED_VALUE"""),"Needs ticket number")</f>
        <v>Needs ticket number</v>
      </c>
      <c r="H156" s="127"/>
      <c r="I156" s="127"/>
      <c r="J156" s="127"/>
      <c r="K156" s="127"/>
      <c r="L156" s="127"/>
      <c r="M156" s="127"/>
      <c r="N156" s="127"/>
      <c r="O156" s="127"/>
      <c r="P156" s="127"/>
      <c r="Q156" s="127"/>
      <c r="R156" s="127"/>
      <c r="S156" s="127"/>
      <c r="T156" s="127"/>
      <c r="U156" s="127"/>
      <c r="V156" s="127"/>
      <c r="W156" s="127"/>
      <c r="X156" s="127"/>
      <c r="Y156" s="127"/>
      <c r="Z156" s="127"/>
      <c r="AA156" s="127"/>
      <c r="AB156" s="127"/>
    </row>
    <row r="157">
      <c r="A157" s="31" t="str">
        <f>IFERROR(__xludf.DUMMYFUNCTION("""COMPUTED_VALUE"""),"Iberojet Airlines")</f>
        <v>Iberojet Airlines</v>
      </c>
      <c r="B157" s="127"/>
      <c r="C157" s="128" t="str">
        <f>IFERROR(__xludf.DUMMYFUNCTION("""COMPUTED_VALUE"""),"calidad@avoris.zendesk.com")</f>
        <v>calidad@avoris.zendesk.com</v>
      </c>
      <c r="D157" s="129" t="str">
        <f>IFERROR(__xludf.DUMMYFUNCTION("""COMPUTED_VALUE"""),"login email: legal@refly.org  /  Pass: Fkk4erdF2025")</f>
        <v>login email: legal@refly.org  /  Pass: Fkk4erdF2025</v>
      </c>
      <c r="E157" s="131" t="str">
        <f>IFERROR(__xludf.DUMMYFUNCTION("""COMPUTED_VALUE"""),"https://www.iberojet.com/en/claims")</f>
        <v>https://www.iberojet.com/en/claims</v>
      </c>
      <c r="F157" s="132" t="str">
        <f>IFERROR(__xludf.DUMMYFUNCTION("""COMPUTED_VALUE"""),"https://www.iberojet.com/es/solicitudes/reclamaciones")</f>
        <v>https://www.iberojet.com/es/solicitudes/reclamaciones</v>
      </c>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row>
    <row r="158">
      <c r="A158" s="31" t="str">
        <f>IFERROR(__xludf.DUMMYFUNCTION("""COMPUTED_VALUE"""),"Icelandair (FI)")</f>
        <v>Icelandair (FI)</v>
      </c>
      <c r="B158" s="127"/>
      <c r="C158" s="128" t="str">
        <f>IFERROR(__xludf.DUMMYFUNCTION("""COMPUTED_VALUE"""),"uk@icelandair.is denmark@icelandair.is")</f>
        <v>uk@icelandair.is denmark@icelandair.is</v>
      </c>
      <c r="D158" s="129" t="str">
        <f>IFERROR(__xludf.DUMMYFUNCTION("""COMPUTED_VALUE"""),"e-mail")</f>
        <v>e-mail</v>
      </c>
      <c r="E158" s="129" t="str">
        <f>IFERROR(__xludf.DUMMYFUNCTION("""COMPUTED_VALUE"""),"thirdpartyclaimsupport@icelandair.is")</f>
        <v>thirdpartyclaimsupport@icelandair.is</v>
      </c>
      <c r="F158" s="127"/>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row>
    <row r="159">
      <c r="A159" s="31" t="str">
        <f>IFERROR(__xludf.DUMMYFUNCTION("""COMPUTED_VALUE""")," IndiGo Airlines")</f>
        <v> IndiGo Airlines</v>
      </c>
      <c r="B159" s="127"/>
      <c r="C159" s="128" t="str">
        <f>IFERROR(__xludf.DUMMYFUNCTION("""COMPUTED_VALUE"""),"customer.experience@goindigo.in")</f>
        <v>customer.experience@goindigo.in</v>
      </c>
      <c r="D159" s="129" t="str">
        <f>IFERROR(__xludf.DUMMYFUNCTION("""COMPUTED_VALUE"""),"webform w/o attachment")</f>
        <v>webform w/o attachment</v>
      </c>
      <c r="E159" s="131" t="str">
        <f>IFERROR(__xludf.DUMMYFUNCTION("""COMPUTED_VALUE"""),"https://interglobe.my.site.com/claim/s/compensation-claim")</f>
        <v>https://interglobe.my.site.com/claim/s/compensation-claim</v>
      </c>
      <c r="F159" s="127" t="str">
        <f>IFERROR(__xludf.DUMMYFUNCTION("""COMPUTED_VALUE"""),"DOB")</f>
        <v>DOB</v>
      </c>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row>
    <row r="160">
      <c r="A160" s="31" t="str">
        <f>IFERROR(__xludf.DUMMYFUNCTION("""COMPUTED_VALUE"""),"Indonesia AirAsia (QZ)")</f>
        <v>Indonesia AirAsia (QZ)</v>
      </c>
      <c r="B160" s="127"/>
      <c r="C160" s="128" t="str">
        <f>IFERROR(__xludf.DUMMYFUNCTION("""COMPUTED_VALUE"""),"madeellen@airasia.com")</f>
        <v>madeellen@airasia.com</v>
      </c>
      <c r="D160" s="129"/>
      <c r="E160" s="129" t="str">
        <f>IFERROR(__xludf.DUMMYFUNCTION("""COMPUTED_VALUE"""),"Chat bot ( Hvae to check later)")</f>
        <v>Chat bot ( Hvae to check later)</v>
      </c>
      <c r="F160" s="127"/>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row>
    <row r="161">
      <c r="A161" s="31" t="str">
        <f>IFERROR(__xludf.DUMMYFUNCTION("""COMPUTED_VALUE"""),"InterCaribbean Airways (JY)")</f>
        <v>InterCaribbean Airways (JY)</v>
      </c>
      <c r="B161" s="127"/>
      <c r="C161" s="128" t="str">
        <f>IFERROR(__xludf.DUMMYFUNCTION("""COMPUTED_VALUE"""),"customerservice@intercaribbean.com")</f>
        <v>customerservice@intercaribbean.com</v>
      </c>
      <c r="D161" s="129" t="str">
        <f>IFERROR(__xludf.DUMMYFUNCTION("""COMPUTED_VALUE"""),"webform w/o attachment")</f>
        <v>webform w/o attachment</v>
      </c>
      <c r="E161" s="131" t="str">
        <f>IFERROR(__xludf.DUMMYFUNCTION("""COMPUTED_VALUE"""),"https://www.intercaribbean.com/contact-us.html")</f>
        <v>https://www.intercaribbean.com/contact-us.html</v>
      </c>
      <c r="F161" s="127"/>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row>
    <row r="162">
      <c r="A162" s="31" t="str">
        <f>IFERROR(__xludf.DUMMYFUNCTION("""COMPUTED_VALUE"""),"Iran Air (IR)")</f>
        <v>Iran Air (IR)</v>
      </c>
      <c r="B162" s="127"/>
      <c r="C162" s="128" t="str">
        <f>IFERROR(__xludf.DUMMYFUNCTION("""COMPUTED_VALUE"""),"pr@iranair.com")</f>
        <v>pr@iranair.com</v>
      </c>
      <c r="D162" s="129" t="str">
        <f>IFERROR(__xludf.DUMMYFUNCTION("""COMPUTED_VALUE"""),"e-mail")</f>
        <v>e-mail</v>
      </c>
      <c r="E162" s="129" t="str">
        <f>IFERROR(__xludf.DUMMYFUNCTION("""COMPUTED_VALUE"""),"Website not opening, have to check later")</f>
        <v>Website not opening, have to check later</v>
      </c>
      <c r="F162" s="127"/>
      <c r="G162" s="127" t="str">
        <f>IFERROR(__xludf.DUMMYFUNCTION("""COMPUTED_VALUE"""),"Iranair H.Q
 Mehrabad Airport
 P.O.Box 13185-775")</f>
        <v>Iranair H.Q
 Mehrabad Airport
 P.O.Box 13185-775</v>
      </c>
      <c r="H162" s="127"/>
      <c r="I162" s="127"/>
      <c r="J162" s="127"/>
      <c r="K162" s="127"/>
      <c r="L162" s="127"/>
      <c r="M162" s="127"/>
      <c r="N162" s="127"/>
      <c r="O162" s="127"/>
      <c r="P162" s="127"/>
      <c r="Q162" s="127"/>
      <c r="R162" s="127"/>
      <c r="S162" s="127"/>
      <c r="T162" s="127"/>
      <c r="U162" s="127"/>
      <c r="V162" s="127"/>
      <c r="W162" s="127"/>
      <c r="X162" s="127"/>
      <c r="Y162" s="127"/>
      <c r="Z162" s="127"/>
      <c r="AA162" s="127"/>
      <c r="AB162" s="127"/>
    </row>
    <row r="163">
      <c r="A163" s="31" t="str">
        <f>IFERROR(__xludf.DUMMYFUNCTION("""COMPUTED_VALUE"""),"Iraqi Airways (IA)")</f>
        <v>Iraqi Airways (IA)</v>
      </c>
      <c r="B163" s="127"/>
      <c r="C163" s="128"/>
      <c r="D163" s="129" t="str">
        <f>IFERROR(__xludf.DUMMYFUNCTION("""COMPUTED_VALUE"""),"webform w/o attachment")</f>
        <v>webform w/o attachment</v>
      </c>
      <c r="E163" s="131" t="str">
        <f>IFERROR(__xludf.DUMMYFUNCTION("""COMPUTED_VALUE"""),"https://customercarecontacts.com/submit-complaint/")</f>
        <v>https://customercarecontacts.com/submit-complaint/</v>
      </c>
      <c r="F163" s="127"/>
      <c r="G163" s="127" t="str">
        <f>IFERROR(__xludf.DUMMYFUNCTION("""COMPUTED_VALUE"""),"Address:
 Iraqi Airways
 Baghdad InternationalAirport
 Baghdad
 Iraq")</f>
        <v>Address:
 Iraqi Airways
 Baghdad InternationalAirport
 Baghdad
 Iraq</v>
      </c>
      <c r="H163" s="127"/>
      <c r="I163" s="127"/>
      <c r="J163" s="127"/>
      <c r="K163" s="127"/>
      <c r="L163" s="127"/>
      <c r="M163" s="127"/>
      <c r="N163" s="127"/>
      <c r="O163" s="127"/>
      <c r="P163" s="127"/>
      <c r="Q163" s="127"/>
      <c r="R163" s="127"/>
      <c r="S163" s="127"/>
      <c r="T163" s="127"/>
      <c r="U163" s="127"/>
      <c r="V163" s="127"/>
      <c r="W163" s="127"/>
      <c r="X163" s="127"/>
      <c r="Y163" s="127"/>
      <c r="Z163" s="127"/>
      <c r="AA163" s="127"/>
      <c r="AB163" s="127"/>
    </row>
    <row r="164">
      <c r="A164" s="31" t="str">
        <f>IFERROR(__xludf.DUMMYFUNCTION("""COMPUTED_VALUE"""),"Israir Airlines (6H)")</f>
        <v>Israir Airlines (6H)</v>
      </c>
      <c r="B164" s="127"/>
      <c r="C164" s="128" t="str">
        <f>IFERROR(__xludf.DUMMYFUNCTION("""COMPUTED_VALUE"""),"site@israir.co.il")</f>
        <v>site@israir.co.il</v>
      </c>
      <c r="D164" s="129" t="str">
        <f>IFERROR(__xludf.DUMMYFUNCTION("""COMPUTED_VALUE"""),"e-mail")</f>
        <v>e-mail</v>
      </c>
      <c r="E164" s="129" t="str">
        <f>IFERROR(__xludf.DUMMYFUNCTION("""COMPUTED_VALUE"""),"cxlresmeher@israir.co.il")</f>
        <v>cxlresmeher@israir.co.il</v>
      </c>
      <c r="F164" s="127"/>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row>
    <row r="165">
      <c r="A165" s="31" t="str">
        <f>IFERROR(__xludf.DUMMYFUNCTION("""COMPUTED_VALUE"""),"ITA Airways")</f>
        <v>ITA Airways</v>
      </c>
      <c r="B165" s="127"/>
      <c r="C165" s="128" t="str">
        <f>IFERROR(__xludf.DUMMYFUNCTION("""COMPUTED_VALUE"""),"customerrelations@ita-airways.com")</f>
        <v>customerrelations@ita-airways.com</v>
      </c>
      <c r="D165" s="129" t="str">
        <f>IFERROR(__xludf.DUMMYFUNCTION("""COMPUTED_VALUE"""),"webform w/ attachment")</f>
        <v>webform w/ attachment</v>
      </c>
      <c r="E165" s="131" t="str">
        <f>IFERROR(__xludf.DUMMYFUNCTION("""COMPUTED_VALUE"""),"https://www.complaint.ita-airways.com/s/complaint?language=en_US&amp;market=EN")</f>
        <v>https://www.complaint.ita-airways.com/s/complaint?language=en_US&amp;market=EN</v>
      </c>
      <c r="F165" s="127" t="str">
        <f>IFERROR(__xludf.DUMMYFUNCTION("""COMPUTED_VALUE"""),"Ticket number")</f>
        <v>Ticket number</v>
      </c>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row>
    <row r="166">
      <c r="A166" s="31" t="str">
        <f>IFERROR(__xludf.DUMMYFUNCTION("""COMPUTED_VALUE"""),"Alitalia")</f>
        <v>Alitalia</v>
      </c>
      <c r="B166" s="127"/>
      <c r="C166" s="128" t="str">
        <f>IFERROR(__xludf.DUMMYFUNCTION("""COMPUTED_VALUE"""),"customerrelations@ita-airways.com")</f>
        <v>customerrelations@ita-airways.com</v>
      </c>
      <c r="D166" s="129" t="str">
        <f>IFERROR(__xludf.DUMMYFUNCTION("""COMPUTED_VALUE"""),"webform w/ attachment")</f>
        <v>webform w/ attachment</v>
      </c>
      <c r="E166" s="131" t="str">
        <f>IFERROR(__xludf.DUMMYFUNCTION("""COMPUTED_VALUE"""),"https://www.complaint.ita-airways.com/s/complaint?language=en_US&amp;market=EN")</f>
        <v>https://www.complaint.ita-airways.com/s/complaint?language=en_US&amp;market=EN</v>
      </c>
      <c r="F166" s="127" t="str">
        <f>IFERROR(__xludf.DUMMYFUNCTION("""COMPUTED_VALUE"""),"Ticket number")</f>
        <v>Ticket number</v>
      </c>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row>
    <row r="167">
      <c r="A167" s="31" t="str">
        <f>IFERROR(__xludf.DUMMYFUNCTION("""COMPUTED_VALUE"""),"JAL/ Japan Airlines (JL)")</f>
        <v>JAL/ Japan Airlines (JL)</v>
      </c>
      <c r="B167" s="127"/>
      <c r="C167" s="128" t="str">
        <f>IFERROR(__xludf.DUMMYFUNCTION("""COMPUTED_VALUE"""),"jal_priority@ask.jal.co.jp")</f>
        <v>jal_priority@ask.jal.co.jp</v>
      </c>
      <c r="D167" s="129" t="str">
        <f>IFERROR(__xludf.DUMMYFUNCTION("""COMPUTED_VALUE"""),"email")</f>
        <v>email</v>
      </c>
      <c r="E167" s="129" t="str">
        <f>IFERROR(__xludf.DUMMYFUNCTION("""COMPUTED_VALUE"""),"jal_priority@ask.jal.co.jp")</f>
        <v>jal_priority@ask.jal.co.jp</v>
      </c>
      <c r="F167" s="127"/>
      <c r="G167" s="127"/>
      <c r="H167" s="127" t="str">
        <f>IFERROR(__xludf.DUMMYFUNCTION("""COMPUTED_VALUE"""),"0344-8-569-778")</f>
        <v>0344-8-569-778</v>
      </c>
      <c r="I167" s="127"/>
      <c r="J167" s="127"/>
      <c r="K167" s="127"/>
      <c r="L167" s="127"/>
      <c r="M167" s="127"/>
      <c r="N167" s="127"/>
      <c r="O167" s="127"/>
      <c r="P167" s="127"/>
      <c r="Q167" s="127"/>
      <c r="R167" s="127"/>
      <c r="S167" s="127"/>
      <c r="T167" s="127"/>
      <c r="U167" s="127"/>
      <c r="V167" s="127"/>
      <c r="W167" s="127"/>
      <c r="X167" s="127"/>
      <c r="Y167" s="127"/>
      <c r="Z167" s="127"/>
      <c r="AA167" s="127"/>
      <c r="AB167" s="127"/>
    </row>
    <row r="168">
      <c r="A168" s="31" t="str">
        <f>IFERROR(__xludf.DUMMYFUNCTION("""COMPUTED_VALUE"""),"Jat Airways / Air Serbia (Jat stopped operation in 2013 and got the name Air Serbia) (JU)")</f>
        <v>Jat Airways / Air Serbia (Jat stopped operation in 2013 and got the name Air Serbia) (JU)</v>
      </c>
      <c r="B168" s="127"/>
      <c r="C168" s="128" t="str">
        <f>IFERROR(__xludf.DUMMYFUNCTION("""COMPUTED_VALUE"""),"claims@airserbia.com")</f>
        <v>claims@airserbia.com</v>
      </c>
      <c r="D168" s="129" t="str">
        <f>IFERROR(__xludf.DUMMYFUNCTION("""COMPUTED_VALUE"""),"webform w/ attachment")</f>
        <v>webform w/ attachment</v>
      </c>
      <c r="E168" s="131" t="str">
        <f>IFERROR(__xludf.DUMMYFUNCTION("""COMPUTED_VALUE"""),"https://www.airserbia.com/en/feedback#drawer-modal-4")</f>
        <v>https://www.airserbia.com/en/feedback#drawer-modal-4</v>
      </c>
      <c r="F168" s="127"/>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row>
    <row r="169">
      <c r="A169" s="31" t="str">
        <f>IFERROR(__xludf.DUMMYFUNCTION("""COMPUTED_VALUE"""),"Jet2 . com (LBA)")</f>
        <v>Jet2 . com (LBA)</v>
      </c>
      <c r="B169" s="127"/>
      <c r="C169" s="128" t="str">
        <f>IFERROR(__xludf.DUMMYFUNCTION("""COMPUTED_VALUE"""),"customer.service@jet2.com")</f>
        <v>customer.service@jet2.com</v>
      </c>
      <c r="D169" s="129" t="str">
        <f>IFERROR(__xludf.DUMMYFUNCTION("""COMPUTED_VALUE"""),"webform w/ attachment")</f>
        <v>webform w/ attachment</v>
      </c>
      <c r="E169" s="131" t="str">
        <f>IFERROR(__xludf.DUMMYFUNCTION("""COMPUTED_VALUE"""),"https://www.jet2.com/delays-and-disruptions")</f>
        <v>https://www.jet2.com/delays-and-disruptions</v>
      </c>
      <c r="F169" s="127"/>
      <c r="G169" s="127" t="str">
        <f>IFERROR(__xludf.DUMMYFUNCTION("""COMPUTED_VALUE"""),"Customer Care Team, PO Box 314, Leeds, LS19 9EL, United Kingdom")</f>
        <v>Customer Care Team, PO Box 314, Leeds, LS19 9EL, United Kingdom</v>
      </c>
      <c r="H169" s="127"/>
      <c r="I169" s="127"/>
      <c r="J169" s="127"/>
      <c r="K169" s="127"/>
      <c r="L169" s="127"/>
      <c r="M169" s="127"/>
      <c r="N169" s="127"/>
      <c r="O169" s="127"/>
      <c r="P169" s="127"/>
      <c r="Q169" s="127"/>
      <c r="R169" s="127"/>
      <c r="S169" s="127"/>
      <c r="T169" s="127"/>
      <c r="U169" s="127"/>
      <c r="V169" s="127"/>
      <c r="W169" s="127"/>
      <c r="X169" s="127"/>
      <c r="Y169" s="127"/>
      <c r="Z169" s="127"/>
      <c r="AA169" s="127"/>
      <c r="AB169" s="127"/>
    </row>
    <row r="170">
      <c r="A170" s="31" t="str">
        <f>IFERROR(__xludf.DUMMYFUNCTION("""COMPUTED_VALUE"""),"Jetairfly (TB)")</f>
        <v>Jetairfly (TB)</v>
      </c>
      <c r="B170" s="127"/>
      <c r="C170" s="128" t="str">
        <f>IFERROR(__xludf.DUMMYFUNCTION("""COMPUTED_VALUE"""),"info@jetairfly.com")</f>
        <v>info@jetairfly.com</v>
      </c>
      <c r="D170" s="129" t="str">
        <f>IFERROR(__xludf.DUMMYFUNCTION("""COMPUTED_VALUE"""),"e-mail (webform w/ attach. needs checking once in a while)")</f>
        <v>e-mail (webform w/ attach. needs checking once in a while)</v>
      </c>
      <c r="E170" s="129"/>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row>
    <row r="171">
      <c r="A171" s="31" t="str">
        <f>IFERROR(__xludf.DUMMYFUNCTION("""COMPUTED_VALUE"""),"JetBlue Airways (B6)")</f>
        <v>JetBlue Airways (B6)</v>
      </c>
      <c r="B171" s="127"/>
      <c r="C171" s="128" t="str">
        <f>IFERROR(__xludf.DUMMYFUNCTION("""COMPUTED_VALUE"""),"dearjetblue@jetblue.com")</f>
        <v>dearjetblue@jetblue.com</v>
      </c>
      <c r="D171" s="129" t="str">
        <f>IFERROR(__xludf.DUMMYFUNCTION("""COMPUTED_VALUE"""),"e-mail &amp; post")</f>
        <v>e-mail &amp; post</v>
      </c>
      <c r="E171" s="131" t="str">
        <f>IFERROR(__xludf.DUMMYFUNCTION("""COMPUTED_VALUE"""),"https://jetbluevoc.co1.qualtrics.com/jfe/form/SV_6gQoaNYRuosY08l")</f>
        <v>https://jetbluevoc.co1.qualtrics.com/jfe/form/SV_6gQoaNYRuosY08l</v>
      </c>
      <c r="F171" s="127"/>
      <c r="G171" s="127" t="str">
        <f>IFERROR(__xludf.DUMMYFUNCTION("""COMPUTED_VALUE"""),"JetBlue Airways
 Attention:Customer Commitment
 P.O. Box 17435
 Salt Lake City, Utah 84117")</f>
        <v>JetBlue Airways
 Attention:Customer Commitment
 P.O. Box 17435
 Salt Lake City, Utah 84117</v>
      </c>
      <c r="H171" s="127"/>
      <c r="I171" s="127"/>
      <c r="J171" s="127"/>
      <c r="K171" s="127"/>
      <c r="L171" s="127"/>
      <c r="M171" s="127"/>
      <c r="N171" s="127"/>
      <c r="O171" s="127"/>
      <c r="P171" s="127"/>
      <c r="Q171" s="127"/>
      <c r="R171" s="127"/>
      <c r="S171" s="127"/>
      <c r="T171" s="127"/>
      <c r="U171" s="127"/>
      <c r="V171" s="127"/>
      <c r="W171" s="127"/>
      <c r="X171" s="127"/>
      <c r="Y171" s="127"/>
      <c r="Z171" s="127"/>
      <c r="AA171" s="127"/>
      <c r="AB171" s="127"/>
    </row>
    <row r="172">
      <c r="A172" s="31" t="str">
        <f>IFERROR(__xludf.DUMMYFUNCTION("""COMPUTED_VALUE"""),"Jet Sky Airways")</f>
        <v>Jet Sky Airways</v>
      </c>
      <c r="B172" s="127"/>
      <c r="C172" s="128" t="str">
        <f>IFERROR(__xludf.DUMMYFUNCTION("""COMPUTED_VALUE"""),"info@jetskyairways.com")</f>
        <v>info@jetskyairways.com</v>
      </c>
      <c r="D172" s="129" t="str">
        <f>IFERROR(__xludf.DUMMYFUNCTION("""COMPUTED_VALUE"""),"webform w/o attachment")</f>
        <v>webform w/o attachment</v>
      </c>
      <c r="E172" s="131" t="str">
        <f>IFERROR(__xludf.DUMMYFUNCTION("""COMPUTED_VALUE"""),"https://www.jetskyairways.com/contact")</f>
        <v>https://www.jetskyairways.com/contact</v>
      </c>
      <c r="F172" s="127"/>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row>
    <row r="173">
      <c r="A173" s="31" t="str">
        <f>IFERROR(__xludf.DUMMYFUNCTION("""COMPUTED_VALUE"""),"Jetstar Airways (JQ)")</f>
        <v>Jetstar Airways (JQ)</v>
      </c>
      <c r="B173" s="127"/>
      <c r="C173" s="128"/>
      <c r="D173" s="129"/>
      <c r="E173" s="129" t="str">
        <f>IFERROR(__xludf.DUMMYFUNCTION("""COMPUTED_VALUE"""),"Haven't got reliable anything")</f>
        <v>Haven't got reliable anything</v>
      </c>
      <c r="F173" s="127"/>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row>
    <row r="174">
      <c r="A174" s="31" t="str">
        <f>IFERROR(__xludf.DUMMYFUNCTION("""COMPUTED_VALUE"""),"Jettime (JG)")</f>
        <v>Jettime (JG)</v>
      </c>
      <c r="B174" s="127"/>
      <c r="C174" s="128" t="str">
        <f>IFERROR(__xludf.DUMMYFUNCTION("""COMPUTED_VALUE"""),"passagerservice@jet-time.dk")</f>
        <v>passagerservice@jet-time.dk</v>
      </c>
      <c r="D174" s="129" t="str">
        <f>IFERROR(__xludf.DUMMYFUNCTION("""COMPUTED_VALUE"""),"e-mail")</f>
        <v>e-mail</v>
      </c>
      <c r="E174" s="129" t="str">
        <f>IFERROR(__xludf.DUMMYFUNCTION("""COMPUTED_VALUE"""),"eu261service@jettime.com")</f>
        <v>eu261service@jettime.com</v>
      </c>
      <c r="F174" s="127"/>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row>
    <row r="175">
      <c r="A175" s="31" t="str">
        <f>IFERROR(__xludf.DUMMYFUNCTION("""COMPUTED_VALUE"""),"Juneyao Air (HO)")</f>
        <v>Juneyao Air (HO)</v>
      </c>
      <c r="B175" s="127"/>
      <c r="C175" s="128" t="str">
        <f>IFERROR(__xludf.DUMMYFUNCTION("""COMPUTED_VALUE"""),"customercare@juneyaoair.com")</f>
        <v>customercare@juneyaoair.com</v>
      </c>
      <c r="D175" s="129" t="str">
        <f>IFERROR(__xludf.DUMMYFUNCTION("""COMPUTED_VALUE"""),"e-mail")</f>
        <v>e-mail</v>
      </c>
      <c r="E175" s="129" t="str">
        <f>IFERROR(__xludf.DUMMYFUNCTION("""COMPUTED_VALUE"""),"customercare@juneyaoair.com")</f>
        <v>customercare@juneyaoair.com</v>
      </c>
      <c r="F175" s="127"/>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row>
    <row r="176">
      <c r="A176" s="31" t="str">
        <f>IFERROR(__xludf.DUMMYFUNCTION("""COMPUTED_VALUE"""),"Kenya Airways (KQ)")</f>
        <v>Kenya Airways (KQ)</v>
      </c>
      <c r="B176" s="127"/>
      <c r="C176" s="128" t="str">
        <f>IFERROR(__xludf.DUMMYFUNCTION("""COMPUTED_VALUE"""),"customer.relations@kenya-airways.com")</f>
        <v>customer.relations@kenya-airways.com</v>
      </c>
      <c r="D176" s="129" t="str">
        <f>IFERROR(__xludf.DUMMYFUNCTION("""COMPUTED_VALUE"""),"e-mail")</f>
        <v>e-mail</v>
      </c>
      <c r="E176" s="131" t="str">
        <f>IFERROR(__xludf.DUMMYFUNCTION("""COMPUTED_VALUE"""),"https://www.kenya-airways.com/en/help/make-an-enquiry/")</f>
        <v>https://www.kenya-airways.com/en/help/make-an-enquiry/</v>
      </c>
      <c r="F176" s="127" t="str">
        <f>IFERROR(__xludf.DUMMYFUNCTION("""COMPUTED_VALUE"""),"Ticket number")</f>
        <v>Ticket number</v>
      </c>
      <c r="G176" s="127" t="str">
        <f>IFERROR(__xludf.DUMMYFUNCTION("""COMPUTED_VALUE"""),"customer.relations@kenya-airways.com")</f>
        <v>customer.relations@kenya-airways.com</v>
      </c>
      <c r="H176" s="127"/>
      <c r="I176" s="127"/>
      <c r="J176" s="127"/>
      <c r="K176" s="127"/>
      <c r="L176" s="127"/>
      <c r="M176" s="127"/>
      <c r="N176" s="127"/>
      <c r="O176" s="127"/>
      <c r="P176" s="127"/>
      <c r="Q176" s="127"/>
      <c r="R176" s="127"/>
      <c r="S176" s="127"/>
      <c r="T176" s="127"/>
      <c r="U176" s="127"/>
      <c r="V176" s="127"/>
      <c r="W176" s="127"/>
      <c r="X176" s="127"/>
      <c r="Y176" s="127"/>
      <c r="Z176" s="127"/>
      <c r="AA176" s="127"/>
      <c r="AB176" s="127"/>
    </row>
    <row r="177">
      <c r="A177" s="31" t="str">
        <f>IFERROR(__xludf.DUMMYFUNCTION("""COMPUTED_VALUE"""),"KLM (KL)")</f>
        <v>KLM (KL)</v>
      </c>
      <c r="B177" s="127"/>
      <c r="C177" s="128" t="str">
        <f>IFERROR(__xludf.DUMMYFUNCTION("""COMPUTED_VALUE"""),"customer-care@klm.com")</f>
        <v>customer-care@klm.com</v>
      </c>
      <c r="D177" s="129" t="str">
        <f>IFERROR(__xludf.DUMMYFUNCTION("""COMPUTED_VALUE"""),"webform w/ attachment")</f>
        <v>webform w/ attachment</v>
      </c>
      <c r="E177" s="131" t="str">
        <f>IFERROR(__xludf.DUMMYFUNCTION("""COMPUTED_VALUE"""),"https://www.klm.nl/en/claim")</f>
        <v>https://www.klm.nl/en/claim</v>
      </c>
      <c r="F177" s="127" t="str">
        <f>IFERROR(__xludf.DUMMYFUNCTION("""COMPUTED_VALUE"""),"ID")</f>
        <v>ID</v>
      </c>
      <c r="G177" s="127" t="str">
        <f>IFERROR(__xludf.DUMMYFUNCTION("""COMPUTED_VALUE"""),"KLM Europe Customer Care Centre TSA 21235  75564 PARIS  Cedex 12 France")</f>
        <v>KLM Europe Customer Care Centre TSA 21235  75564 PARIS  Cedex 12 France</v>
      </c>
      <c r="H177" s="127"/>
      <c r="I177" s="127"/>
      <c r="J177" s="127"/>
      <c r="K177" s="127"/>
      <c r="L177" s="127"/>
      <c r="M177" s="127"/>
      <c r="N177" s="127"/>
      <c r="O177" s="127"/>
      <c r="P177" s="127"/>
      <c r="Q177" s="127"/>
      <c r="R177" s="127"/>
      <c r="S177" s="127"/>
      <c r="T177" s="127"/>
      <c r="U177" s="127"/>
      <c r="V177" s="127"/>
      <c r="W177" s="127"/>
      <c r="X177" s="127"/>
      <c r="Y177" s="127"/>
      <c r="Z177" s="127"/>
      <c r="AA177" s="127"/>
      <c r="AB177" s="127"/>
    </row>
    <row r="178">
      <c r="A178" s="31" t="str">
        <f>IFERROR(__xludf.DUMMYFUNCTION("""COMPUTED_VALUE"""),"Km Malta Airlines")</f>
        <v>Km Malta Airlines</v>
      </c>
      <c r="B178" s="127" t="str">
        <f>IFERROR(__xludf.DUMMYFUNCTION("""COMPUTED_VALUE"""),"customercare@kmmaltairlines.com")</f>
        <v>customercare@kmmaltairlines.com</v>
      </c>
      <c r="C178" s="128"/>
      <c r="D178" s="129" t="str">
        <f>IFERROR(__xludf.DUMMYFUNCTION("""COMPUTED_VALUE"""),"webform w/ attachment")</f>
        <v>webform w/ attachment</v>
      </c>
      <c r="E178" s="131" t="str">
        <f>IFERROR(__xludf.DUMMYFUNCTION("""COMPUTED_VALUE"""),"https://help.kmmaltairlines.com/s/")</f>
        <v>https://help.kmmaltairlines.com/s/</v>
      </c>
      <c r="F178" s="127"/>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row>
    <row r="179">
      <c r="A179" s="31" t="str">
        <f>IFERROR(__xludf.DUMMYFUNCTION("""COMPUTED_VALUE""")," Kosova Airlines")</f>
        <v> Kosova Airlines</v>
      </c>
      <c r="B179" s="127"/>
      <c r="C179" s="128"/>
      <c r="D179" s="129" t="str">
        <f>IFERROR(__xludf.DUMMYFUNCTION("""COMPUTED_VALUE"""),"e-mail")</f>
        <v>e-mail</v>
      </c>
      <c r="E179" s="129" t="str">
        <f>IFERROR(__xludf.DUMMYFUNCTION("""COMPUTED_VALUE"""),"info@kosovaairlines.com")</f>
        <v>info@kosovaairlines.com</v>
      </c>
      <c r="F179" s="127"/>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row>
    <row r="180">
      <c r="A180" s="31" t="str">
        <f>IFERROR(__xludf.DUMMYFUNCTION("""COMPUTED_VALUE"""),"Kuwait Airways (KU)")</f>
        <v>Kuwait Airways (KU)</v>
      </c>
      <c r="B180" s="127"/>
      <c r="C180" s="128" t="str">
        <f>IFERROR(__xludf.DUMMYFUNCTION("""COMPUTED_VALUE"""),"customer-relations@kuwaitairways.com")</f>
        <v>customer-relations@kuwaitairways.com</v>
      </c>
      <c r="D180" s="129" t="str">
        <f>IFERROR(__xludf.DUMMYFUNCTION("""COMPUTED_VALUE"""),"e-mail")</f>
        <v>e-mail</v>
      </c>
      <c r="E180" s="129" t="str">
        <f>IFERROR(__xludf.DUMMYFUNCTION("""COMPUTED_VALUE"""),"customer-relations@kuwaitairways.com")</f>
        <v>customer-relations@kuwaitairways.com</v>
      </c>
      <c r="F180" s="127"/>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row>
    <row r="181">
      <c r="A181" s="31" t="str">
        <f>IFERROR(__xludf.DUMMYFUNCTION("""COMPUTED_VALUE"""),"Lacsa")</f>
        <v>Lacsa</v>
      </c>
      <c r="B181" s="127"/>
      <c r="C181" s="128" t="str">
        <f>IFERROR(__xludf.DUMMYFUNCTION("""COMPUTED_VALUE"""),"info@avianca.com")</f>
        <v>info@avianca.com</v>
      </c>
      <c r="D181" s="129" t="str">
        <f>IFERROR(__xludf.DUMMYFUNCTION("""COMPUTED_VALUE"""),"webform w/ attachment")</f>
        <v>webform w/ attachment</v>
      </c>
      <c r="E181" s="131" t="str">
        <f>IFERROR(__xludf.DUMMYFUNCTION("""COMPUTED_VALUE"""),"https://ayuda.avianca.com/hc/en-us/requests/new?ticket_form_id=11745634200859")</f>
        <v>https://ayuda.avianca.com/hc/en-us/requests/new?ticket_form_id=11745634200859</v>
      </c>
      <c r="F181" s="127"/>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row>
    <row r="182">
      <c r="A182" s="31" t="str">
        <f>IFERROR(__xludf.DUMMYFUNCTION("""COMPUTED_VALUE"""),"La Compagnie")</f>
        <v>La Compagnie</v>
      </c>
      <c r="B182" s="127"/>
      <c r="C182" s="128" t="str">
        <f>IFERROR(__xludf.DUMMYFUNCTION("""COMPUTED_VALUE"""),"customercare@lacompagnie.com")</f>
        <v>customercare@lacompagnie.com</v>
      </c>
      <c r="D182" s="129" t="str">
        <f>IFERROR(__xludf.DUMMYFUNCTION("""COMPUTED_VALUE"""),"e-mail")</f>
        <v>e-mail</v>
      </c>
      <c r="E182" s="129" t="str">
        <f>IFERROR(__xludf.DUMMYFUNCTION("""COMPUTED_VALUE"""),"customercare@lacompagnie.com")</f>
        <v>customercare@lacompagnie.com</v>
      </c>
      <c r="F182" s="127"/>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row>
    <row r="183">
      <c r="A183" s="31" t="str">
        <f>IFERROR(__xludf.DUMMYFUNCTION("""COMPUTED_VALUE"""),"LAM Mozambique Airlines")</f>
        <v>LAM Mozambique Airlines</v>
      </c>
      <c r="B183" s="127"/>
      <c r="C183" s="128" t="str">
        <f>IFERROR(__xludf.DUMMYFUNCTION("""COMPUTED_VALUE"""),"Katia.Laxmidas@airmozambique.co.za")</f>
        <v>Katia.Laxmidas@airmozambique.co.za</v>
      </c>
      <c r="D183" s="129"/>
      <c r="E183" s="129" t="str">
        <f>IFERROR(__xludf.DUMMYFUNCTION("""COMPUTED_VALUE"""),"Katia.Laxmidas@airmozambique.co.za")</f>
        <v>Katia.Laxmidas@airmozambique.co.za</v>
      </c>
      <c r="F183" s="127"/>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row>
    <row r="184">
      <c r="A184" s="31" t="str">
        <f>IFERROR(__xludf.DUMMYFUNCTION("""COMPUTED_VALUE"""),"LAN Airlines (LA)/ LATAM")</f>
        <v>LAN Airlines (LA)/ LATAM</v>
      </c>
      <c r="B184" s="127"/>
      <c r="C184" s="128" t="str">
        <f>IFERROR(__xludf.DUMMYFUNCTION("""COMPUTED_VALUE"""),"customerservicelatam@lan.com")</f>
        <v>customerservicelatam@lan.com</v>
      </c>
      <c r="D184" s="129" t="str">
        <f>IFERROR(__xludf.DUMMYFUNCTION("""COMPUTED_VALUE"""),"webform w/ attachment")</f>
        <v>webform w/ attachment</v>
      </c>
      <c r="E184" s="131" t="str">
        <f>IFERROR(__xludf.DUMMYFUNCTION("""COMPUTED_VALUE"""),"https://www.latamairlines.com/ca/en/help-center/create-case")</f>
        <v>https://www.latamairlines.com/ca/en/help-center/create-case</v>
      </c>
      <c r="F184" s="127" t="str">
        <f>IFERROR(__xludf.DUMMYFUNCTION("""COMPUTED_VALUE"""),"ID / Passport")</f>
        <v>ID / Passport</v>
      </c>
      <c r="G184" s="127" t="str">
        <f>IFERROR(__xludf.DUMMYFUNCTION("""COMPUTED_VALUE"""),"LATAM need ID proof")</f>
        <v>LATAM need ID proof</v>
      </c>
      <c r="H184" s="127"/>
      <c r="I184" s="127"/>
      <c r="J184" s="127"/>
      <c r="K184" s="127"/>
      <c r="L184" s="127"/>
      <c r="M184" s="127"/>
      <c r="N184" s="127"/>
      <c r="O184" s="127"/>
      <c r="P184" s="127"/>
      <c r="Q184" s="127"/>
      <c r="R184" s="127"/>
      <c r="S184" s="127"/>
      <c r="T184" s="127"/>
      <c r="U184" s="127"/>
      <c r="V184" s="127"/>
      <c r="W184" s="127"/>
      <c r="X184" s="127"/>
      <c r="Y184" s="127"/>
      <c r="Z184" s="127"/>
      <c r="AA184" s="127"/>
      <c r="AB184" s="127"/>
    </row>
    <row r="185">
      <c r="A185" s="31" t="str">
        <f>IFERROR(__xludf.DUMMYFUNCTION("""COMPUTED_VALUE"""),"Laser Airlines (QL)")</f>
        <v>Laser Airlines (QL)</v>
      </c>
      <c r="B185" s="127" t="str">
        <f>IFERROR(__xludf.DUMMYFUNCTION("""COMPUTED_VALUE"""),"Caracas, Venezuela")</f>
        <v>Caracas, Venezuela</v>
      </c>
      <c r="C185" s="128" t="str">
        <f>IFERROR(__xludf.DUMMYFUNCTION("""COMPUTED_VALUE"""),"ventasweb@laser.com.ve")</f>
        <v>ventasweb@laser.com.ve</v>
      </c>
      <c r="D185" s="129"/>
      <c r="E185" s="129" t="str">
        <f>IFERROR(__xludf.DUMMYFUNCTION("""COMPUTED_VALUE"""),"ventasweb@laser.com.ve")</f>
        <v>ventasweb@laser.com.ve</v>
      </c>
      <c r="F185" s="127"/>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row>
    <row r="186">
      <c r="A186" s="31" t="str">
        <f>IFERROR(__xludf.DUMMYFUNCTION("""COMPUTED_VALUE"""),"Lion Air (JT)")</f>
        <v>Lion Air (JT)</v>
      </c>
      <c r="B186" s="127"/>
      <c r="C186" s="128" t="str">
        <f>IFERROR(__xludf.DUMMYFUNCTION("""COMPUTED_VALUE"""),"customercare@lionair.co.id")</f>
        <v>customercare@lionair.co.id</v>
      </c>
      <c r="D186" s="129" t="str">
        <f>IFERROR(__xludf.DUMMYFUNCTION("""COMPUTED_VALUE"""),"e-mail")</f>
        <v>e-mail</v>
      </c>
      <c r="E186" s="129" t="str">
        <f>IFERROR(__xludf.DUMMYFUNCTION("""COMPUTED_VALUE"""),"raymond@asuransisimasnet.com")</f>
        <v>raymond@asuransisimasnet.com</v>
      </c>
      <c r="F186" s="127"/>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row>
    <row r="187">
      <c r="A187" s="31" t="str">
        <f>IFERROR(__xludf.DUMMYFUNCTION("""COMPUTED_VALUE"""),"Logan Air")</f>
        <v>Logan Air</v>
      </c>
      <c r="B187" s="127"/>
      <c r="C187" s="128" t="str">
        <f>IFERROR(__xludf.DUMMYFUNCTION("""COMPUTED_VALUE"""),"orkneyres@loganair.co.uk")</f>
        <v>orkneyres@loganair.co.uk</v>
      </c>
      <c r="D187" s="129" t="str">
        <f>IFERROR(__xludf.DUMMYFUNCTION("""COMPUTED_VALUE"""),"webform w/ attachment")</f>
        <v>webform w/ attachment</v>
      </c>
      <c r="E187" s="131" t="str">
        <f>IFERROR(__xludf.DUMMYFUNCTION("""COMPUTED_VALUE"""),"https://loganaircrcc.zendesk.com/hc/en-gb/requests/new?ticket_form_id=360003099678")</f>
        <v>https://loganaircrcc.zendesk.com/hc/en-gb/requests/new?ticket_form_id=360003099678</v>
      </c>
      <c r="F187" s="127"/>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row>
    <row r="188">
      <c r="A188" s="31" t="str">
        <f>IFERROR(__xludf.DUMMYFUNCTION("""COMPUTED_VALUE"""),"Lufthansa (LH)")</f>
        <v>Lufthansa (LH)</v>
      </c>
      <c r="B188" s="127" t="str">
        <f>IFERROR(__xludf.DUMMYFUNCTION("""COMPUTED_VALUE"""),"For Discover airlines: discover-airlines@lufthansa-group.com")</f>
        <v>For Discover airlines: discover-airlines@lufthansa-group.com</v>
      </c>
      <c r="C188" s="128" t="str">
        <f>IFERROR(__xludf.DUMMYFUNCTION("""COMPUTED_VALUE"""),"customer.relations@lufthansa.com")</f>
        <v>customer.relations@lufthansa.com</v>
      </c>
      <c r="D188" s="129" t="str">
        <f>IFERROR(__xludf.DUMMYFUNCTION("""COMPUTED_VALUE"""),"Web form")</f>
        <v>Web form</v>
      </c>
      <c r="E188" s="131" t="str">
        <f>IFERROR(__xludf.DUMMYFUNCTION("""COMPUTED_VALUE"""),"https://www.lufthansa.com/de/en/fast-compensation.html")</f>
        <v>https://www.lufthansa.com/de/en/fast-compensation.html</v>
      </c>
      <c r="F188" s="127" t="str">
        <f>IFERROR(__xludf.DUMMYFUNCTION("""COMPUTED_VALUE"""),"During submission Lufthansa POA (And Ticket and Boarding when they accept the claim.)")</f>
        <v>During submission Lufthansa POA (And Ticket and Boarding when they accept the claim.)</v>
      </c>
      <c r="G188" s="127" t="str">
        <f>IFERROR(__xludf.DUMMYFUNCTION("""COMPUTED_VALUE"""),"Deutsche Lufthansa AG
 Customer Feedback
 Postfach 710234
 60492 Frankfurt
 Germany")</f>
        <v>Deutsche Lufthansa AG
 Customer Feedback
 Postfach 710234
 60492 Frankfurt
 Germany</v>
      </c>
      <c r="H188" s="127"/>
      <c r="I188" s="127"/>
      <c r="J188" s="127"/>
      <c r="K188" s="127"/>
      <c r="L188" s="127"/>
      <c r="M188" s="127"/>
      <c r="N188" s="127"/>
      <c r="O188" s="127"/>
      <c r="P188" s="127"/>
      <c r="Q188" s="127"/>
      <c r="R188" s="127"/>
      <c r="S188" s="127"/>
      <c r="T188" s="127"/>
      <c r="U188" s="127"/>
      <c r="V188" s="127"/>
      <c r="W188" s="127"/>
      <c r="X188" s="127"/>
      <c r="Y188" s="127"/>
      <c r="Z188" s="127"/>
      <c r="AA188" s="127"/>
      <c r="AB188" s="127"/>
    </row>
    <row r="189">
      <c r="A189" s="31" t="str">
        <f>IFERROR(__xludf.DUMMYFUNCTION("""COMPUTED_VALUE"""),"Lumiwings")</f>
        <v>Lumiwings</v>
      </c>
      <c r="B189" s="127"/>
      <c r="C189" s="128" t="str">
        <f>IFERROR(__xludf.DUMMYFUNCTION("""COMPUTED_VALUE"""),"care@lumiwings.com")</f>
        <v>care@lumiwings.com</v>
      </c>
      <c r="D189" s="129"/>
      <c r="E189" s="131" t="str">
        <f>IFERROR(__xludf.DUMMYFUNCTION("""COMPUTED_VALUE"""),"https://www.lumiwings.com/form/customer-care")</f>
        <v>https://www.lumiwings.com/form/customer-care</v>
      </c>
      <c r="F189" s="127"/>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row>
    <row r="190">
      <c r="A190" s="31" t="str">
        <f>IFERROR(__xludf.DUMMYFUNCTION("""COMPUTED_VALUE"""),"Luxair (LG)")</f>
        <v>Luxair (LG)</v>
      </c>
      <c r="B190" s="127"/>
      <c r="C190" s="128" t="str">
        <f>IFERROR(__xludf.DUMMYFUNCTION("""COMPUTED_VALUE"""),"customer.relations@luxair.lu")</f>
        <v>customer.relations@luxair.lu</v>
      </c>
      <c r="D190" s="129" t="str">
        <f>IFERROR(__xludf.DUMMYFUNCTION("""COMPUTED_VALUE"""),"webform w/ attachment")</f>
        <v>webform w/ attachment</v>
      </c>
      <c r="E190" s="131" t="str">
        <f>IFERROR(__xludf.DUMMYFUNCTION("""COMPUTED_VALUE"""),"https://www.luxair.lu/contact#/traveller")</f>
        <v>https://www.luxair.lu/contact#/traveller</v>
      </c>
      <c r="F190" s="127"/>
      <c r="G190" s="127" t="str">
        <f>IFERROR(__xludf.DUMMYFUNCTION("""COMPUTED_VALUE"""),"claims@luxair.lu")</f>
        <v>claims@luxair.lu</v>
      </c>
      <c r="H190" s="127"/>
      <c r="I190" s="127"/>
      <c r="J190" s="127"/>
      <c r="K190" s="127"/>
      <c r="L190" s="127"/>
      <c r="M190" s="127"/>
      <c r="N190" s="127"/>
      <c r="O190" s="127"/>
      <c r="P190" s="127"/>
      <c r="Q190" s="127"/>
      <c r="R190" s="127"/>
      <c r="S190" s="127"/>
      <c r="T190" s="127"/>
      <c r="U190" s="127"/>
      <c r="V190" s="127"/>
      <c r="W190" s="127"/>
      <c r="X190" s="127"/>
      <c r="Y190" s="127"/>
      <c r="Z190" s="127"/>
      <c r="AA190" s="127"/>
      <c r="AB190" s="127"/>
    </row>
    <row r="191">
      <c r="A191" s="31" t="str">
        <f>IFERROR(__xludf.DUMMYFUNCTION("""COMPUTED_VALUE"""),"Malaysia Airlines (MH)")</f>
        <v>Malaysia Airlines (MH)</v>
      </c>
      <c r="B191" s="127"/>
      <c r="C191" s="128" t="str">
        <f>IFERROR(__xludf.DUMMYFUNCTION("""COMPUTED_VALUE"""),"customer@malaysiaairlines.com enrich@malaysiaairlines.com")</f>
        <v>customer@malaysiaairlines.com enrich@malaysiaairlines.com</v>
      </c>
      <c r="D191" s="129" t="str">
        <f>IFERROR(__xludf.DUMMYFUNCTION("""COMPUTED_VALUE"""),"webform w/ attachment")</f>
        <v>webform w/ attachment</v>
      </c>
      <c r="E191" s="131" t="str">
        <f>IFERROR(__xludf.DUMMYFUNCTION("""COMPUTED_VALUE"""),"https://www.malaysiaairlines.com/my/en/askmh/contact-us-form.html")</f>
        <v>https://www.malaysiaairlines.com/my/en/askmh/contact-us-form.html</v>
      </c>
      <c r="F191" s="127"/>
      <c r="G191" s="127"/>
      <c r="H191" s="132" t="str">
        <f>IFERROR(__xludf.DUMMYFUNCTION("""COMPUTED_VALUE"""),"Have to fill up their Consent letter: https://www.malaysiaairlines.com/content/dam/mas/pdf/Consent_Letter_Malaysia_Airlines_Berhad.pdf")</f>
        <v>Have to fill up their Consent letter: https://www.malaysiaairlines.com/content/dam/mas/pdf/Consent_Letter_Malaysia_Airlines_Berhad.pdf</v>
      </c>
      <c r="I191" s="127"/>
      <c r="J191" s="127"/>
      <c r="K191" s="127"/>
      <c r="L191" s="127"/>
      <c r="M191" s="127"/>
      <c r="N191" s="127"/>
      <c r="O191" s="127"/>
      <c r="P191" s="127"/>
      <c r="Q191" s="127"/>
      <c r="R191" s="127"/>
      <c r="S191" s="127"/>
      <c r="T191" s="127"/>
      <c r="U191" s="127"/>
      <c r="V191" s="127"/>
      <c r="W191" s="127"/>
      <c r="X191" s="127"/>
      <c r="Y191" s="127"/>
      <c r="Z191" s="127"/>
      <c r="AA191" s="127"/>
      <c r="AB191" s="127"/>
    </row>
    <row r="192">
      <c r="A192" s="31" t="str">
        <f>IFERROR(__xludf.DUMMYFUNCTION("""COMPUTED_VALUE"""),"Maleth-Aero")</f>
        <v>Maleth-Aero</v>
      </c>
      <c r="B192" s="127"/>
      <c r="C192" s="128" t="str">
        <f>IFERROR(__xludf.DUMMYFUNCTION("""COMPUTED_VALUE"""),"customerservice@maleth-aero.com")</f>
        <v>customerservice@maleth-aero.com</v>
      </c>
      <c r="D192" s="129" t="str">
        <f>IFERROR(__xludf.DUMMYFUNCTION("""COMPUTED_VALUE"""),"e-mail")</f>
        <v>e-mail</v>
      </c>
      <c r="E192" s="129" t="str">
        <f>IFERROR(__xludf.DUMMYFUNCTION("""COMPUTED_VALUE"""),"customerservice@maleth-aero.com")</f>
        <v>customerservice@maleth-aero.com</v>
      </c>
      <c r="F192" s="127"/>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row>
    <row r="193">
      <c r="A193" s="31" t="str">
        <f>IFERROR(__xludf.DUMMYFUNCTION("""COMPUTED_VALUE"""),"Marabu (DI)")</f>
        <v>Marabu (DI)</v>
      </c>
      <c r="B193" s="127"/>
      <c r="C193" s="128" t="str">
        <f>IFERROR(__xludf.DUMMYFUNCTION("""COMPUTED_VALUE"""),"service@marabu.ee")</f>
        <v>service@marabu.ee</v>
      </c>
      <c r="D193" s="129"/>
      <c r="E193" s="131" t="str">
        <f>IFERROR(__xludf.DUMMYFUNCTION("""COMPUTED_VALUE"""),"https://flymarabu.com/en/contact/#complaintForm")</f>
        <v>https://flymarabu.com/en/contact/#complaintForm</v>
      </c>
      <c r="F193" s="127"/>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row>
    <row r="194">
      <c r="A194" s="31" t="str">
        <f>IFERROR(__xludf.DUMMYFUNCTION("""COMPUTED_VALUE"""),"Marathon Airlines")</f>
        <v>Marathon Airlines</v>
      </c>
      <c r="B194" s="127"/>
      <c r="C194" s="128" t="str">
        <f>IFERROR(__xludf.DUMMYFUNCTION("""COMPUTED_VALUE"""),"sales@flymarathon.aero")</f>
        <v>sales@flymarathon.aero</v>
      </c>
      <c r="D194" s="129" t="str">
        <f>IFERROR(__xludf.DUMMYFUNCTION("""COMPUTED_VALUE"""),"webform w/o attachment")</f>
        <v>webform w/o attachment</v>
      </c>
      <c r="E194" s="131" t="str">
        <f>IFERROR(__xludf.DUMMYFUNCTION("""COMPUTED_VALUE"""),"https://commercial.flymarathon.aero/contact-us/")</f>
        <v>https://commercial.flymarathon.aero/contact-us/</v>
      </c>
      <c r="F194" s="127"/>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row>
    <row r="195">
      <c r="A195" s="31" t="str">
        <f>IFERROR(__xludf.DUMMYFUNCTION("""COMPUTED_VALUE"""),"Mavi Gök Havacılık A.S.")</f>
        <v>Mavi Gök Havacılık A.S.</v>
      </c>
      <c r="B195" s="127"/>
      <c r="C195" s="128" t="str">
        <f>IFERROR(__xludf.DUMMYFUNCTION("""COMPUTED_VALUE"""),"mavigokhavacilikas@hs01.kep.tr")</f>
        <v>mavigokhavacilikas@hs01.kep.tr</v>
      </c>
      <c r="D195" s="129"/>
      <c r="E195" s="131" t="str">
        <f>IFERROR(__xludf.DUMMYFUNCTION("""COMPUTED_VALUE"""),"https://mga.aero/customer-services/help-and-contact")</f>
        <v>https://mga.aero/customer-services/help-and-contact</v>
      </c>
      <c r="F195" s="127"/>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row>
    <row r="196">
      <c r="A196" s="31" t="str">
        <f>IFERROR(__xludf.DUMMYFUNCTION("""COMPUTED_VALUE"""),"Middle East Airlines")</f>
        <v>Middle East Airlines</v>
      </c>
      <c r="B196" s="127"/>
      <c r="C196" s="128" t="str">
        <f>IFERROR(__xludf.DUMMYFUNCTION("""COMPUTED_VALUE"""),"saader@mea.com.lb")</f>
        <v>saader@mea.com.lb</v>
      </c>
      <c r="D196" s="129" t="str">
        <f>IFERROR(__xludf.DUMMYFUNCTION("""COMPUTED_VALUE"""),"webform w/ attachment")</f>
        <v>webform w/ attachment</v>
      </c>
      <c r="E196" s="131" t="str">
        <f>IFERROR(__xludf.DUMMYFUNCTION("""COMPUTED_VALUE"""),"https://www.mea.com.lb/english/support/contact-us")</f>
        <v>https://www.mea.com.lb/english/support/contact-us</v>
      </c>
      <c r="F196" s="127"/>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row>
    <row r="197">
      <c r="A197" s="31" t="str">
        <f>IFERROR(__xludf.DUMMYFUNCTION("""COMPUTED_VALUE"""),"Mistral Air (7M)")</f>
        <v>Mistral Air (7M)</v>
      </c>
      <c r="B197" s="127"/>
      <c r="C197" s="128" t="str">
        <f>IFERROR(__xludf.DUMMYFUNCTION("""COMPUTED_VALUE"""),"mistralcustomercare@posteitaliane.it")</f>
        <v>mistralcustomercare@posteitaliane.it</v>
      </c>
      <c r="D197" s="129" t="str">
        <f>IFERROR(__xludf.DUMMYFUNCTION("""COMPUTED_VALUE"""),"e-mail")</f>
        <v>e-mail</v>
      </c>
      <c r="E197" s="129" t="str">
        <f>IFERROR(__xludf.DUMMYFUNCTION("""COMPUTED_VALUE"""),"Haven't got anything in the website")</f>
        <v>Haven't got anything in the website</v>
      </c>
      <c r="F197" s="127"/>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row>
    <row r="198">
      <c r="A198" s="31" t="str">
        <f>IFERROR(__xludf.DUMMYFUNCTION("""COMPUTED_VALUE"""),"Monarch Airline")</f>
        <v>Monarch Airline</v>
      </c>
      <c r="B198" s="127" t="str">
        <f>IFERROR(__xludf.DUMMYFUNCTION("""COMPUTED_VALUE"""),"Ceased operations on October 2, 2017")</f>
        <v>Ceased operations on October 2, 2017</v>
      </c>
      <c r="C198" s="128"/>
      <c r="D198" s="129"/>
      <c r="E198" s="129"/>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row>
    <row r="199">
      <c r="A199" s="31" t="str">
        <f>IFERROR(__xludf.DUMMYFUNCTION("""COMPUTED_VALUE"""),"Neos Air")</f>
        <v>Neos Air</v>
      </c>
      <c r="B199" s="127"/>
      <c r="C199" s="128" t="str">
        <f>IFERROR(__xludf.DUMMYFUNCTION("""COMPUTED_VALUE"""),"customercare@neosair.it")</f>
        <v>customercare@neosair.it</v>
      </c>
      <c r="D199" s="129" t="str">
        <f>IFERROR(__xludf.DUMMYFUNCTION("""COMPUTED_VALUE"""),"Webform")</f>
        <v>Webform</v>
      </c>
      <c r="E199" s="131" t="str">
        <f>IFERROR(__xludf.DUMMYFUNCTION("""COMPUTED_VALUE"""),"https://customercare.neosair.it/")</f>
        <v>https://customercare.neosair.it/</v>
      </c>
      <c r="F199" s="127" t="str">
        <f>IFERROR(__xludf.DUMMYFUNCTION("""COMPUTED_VALUE"""),"Please collect all the data: Birth details, birth place, passport no. ,Codice Fiscale for Italian citizens")</f>
        <v>Please collect all the data: Birth details, birth place, passport no. ,Codice Fiscale for Italian citizens</v>
      </c>
      <c r="G199" s="127" t="str">
        <f>IFERROR(__xludf.DUMMYFUNCTION("""COMPUTED_VALUE"""),"Pass: Fkk4erdF!")</f>
        <v>Pass: Fkk4erdF!</v>
      </c>
      <c r="H199" s="127"/>
      <c r="I199" s="127"/>
      <c r="J199" s="127"/>
      <c r="K199" s="127"/>
      <c r="L199" s="127"/>
      <c r="M199" s="127"/>
      <c r="N199" s="127"/>
      <c r="O199" s="127"/>
      <c r="P199" s="127"/>
      <c r="Q199" s="127"/>
      <c r="R199" s="127"/>
      <c r="S199" s="127"/>
      <c r="T199" s="127"/>
      <c r="U199" s="127"/>
      <c r="V199" s="127"/>
      <c r="W199" s="127"/>
      <c r="X199" s="127"/>
      <c r="Y199" s="127"/>
      <c r="Z199" s="127"/>
      <c r="AA199" s="127"/>
      <c r="AB199" s="127"/>
    </row>
    <row r="200">
      <c r="A200" s="31" t="str">
        <f>IFERROR(__xludf.DUMMYFUNCTION("""COMPUTED_VALUE"""),"Nesma Airlines")</f>
        <v>Nesma Airlines</v>
      </c>
      <c r="B200" s="127"/>
      <c r="C200" s="128" t="str">
        <f>IFERROR(__xludf.DUMMYFUNCTION("""COMPUTED_VALUE"""),"claims@nesmaairlines.com  ")</f>
        <v>claims@nesmaairlines.com  </v>
      </c>
      <c r="D200" s="129" t="str">
        <f>IFERROR(__xludf.DUMMYFUNCTION("""COMPUTED_VALUE"""),"email")</f>
        <v>email</v>
      </c>
      <c r="E200" s="129" t="str">
        <f>IFERROR(__xludf.DUMMYFUNCTION("""COMPUTED_VALUE"""),"claims@nesmaairlines.com; For delay claim in Spain: atencioncliente@masterflights.net")</f>
        <v>claims@nesmaairlines.com; For delay claim in Spain: atencioncliente@masterflights.net</v>
      </c>
      <c r="F200" s="127"/>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row>
    <row r="201">
      <c r="A201" s="31" t="str">
        <f>IFERROR(__xludf.DUMMYFUNCTION("""COMPUTED_VALUE"""),"New England Airlines")</f>
        <v>New England Airlines</v>
      </c>
      <c r="B201" s="127"/>
      <c r="C201" s="128"/>
      <c r="D201" s="129"/>
      <c r="E201" s="129"/>
      <c r="F201" s="127"/>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row>
    <row r="202">
      <c r="A202" s="31" t="str">
        <f>IFERROR(__xludf.DUMMYFUNCTION("""COMPUTED_VALUE"""),"Nile Air")</f>
        <v>Nile Air</v>
      </c>
      <c r="B202" s="127"/>
      <c r="C202" s="128" t="str">
        <f>IFERROR(__xludf.DUMMYFUNCTION("""COMPUTED_VALUE"""),"csu@nileair.com")</f>
        <v>csu@nileair.com</v>
      </c>
      <c r="D202" s="129" t="str">
        <f>IFERROR(__xludf.DUMMYFUNCTION("""COMPUTED_VALUE"""),"We will us email first")</f>
        <v>We will us email first</v>
      </c>
      <c r="E202" s="131" t="str">
        <f>IFERROR(__xludf.DUMMYFUNCTION("""COMPUTED_VALUE"""),"https://www.nileair.com/contact-us")</f>
        <v>https://www.nileair.com/contact-us</v>
      </c>
      <c r="F202" s="127"/>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row>
    <row r="203">
      <c r="A203" s="31" t="str">
        <f>IFERROR(__xludf.DUMMYFUNCTION("""COMPUTED_VALUE"""),"Norse Atlantic Airways")</f>
        <v>Norse Atlantic Airways</v>
      </c>
      <c r="B203" s="127"/>
      <c r="C203" s="128" t="str">
        <f>IFERROR(__xludf.DUMMYFUNCTION("""COMPUTED_VALUE"""),"claims@flynorse.com")</f>
        <v>claims@flynorse.com</v>
      </c>
      <c r="D203" s="129" t="str">
        <f>IFERROR(__xludf.DUMMYFUNCTION("""COMPUTED_VALUE"""),"e-mail")</f>
        <v>e-mail</v>
      </c>
      <c r="E203" s="131" t="str">
        <f>IFERROR(__xludf.DUMMYFUNCTION("""COMPUTED_VALUE"""),"https://norseatlantic.typeform.com/compensation")</f>
        <v>https://norseatlantic.typeform.com/compensation</v>
      </c>
      <c r="F203" s="127"/>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row>
    <row r="204">
      <c r="A204" s="31" t="str">
        <f>IFERROR(__xludf.DUMMYFUNCTION("""COMPUTED_VALUE"""),"Norwegian (DY)")</f>
        <v>Norwegian (DY)</v>
      </c>
      <c r="B204" s="127"/>
      <c r="C204" s="128" t="str">
        <f>IFERROR(__xludf.DUMMYFUNCTION("""COMPUTED_VALUE"""),"customer.care@norwegian.com")</f>
        <v>customer.care@norwegian.com</v>
      </c>
      <c r="D204" s="129" t="str">
        <f>IFERROR(__xludf.DUMMYFUNCTION("""COMPUTED_VALUE"""),"webform")</f>
        <v>webform</v>
      </c>
      <c r="E204" s="131" t="str">
        <f>IFERROR(__xludf.DUMMYFUNCTION("""COMPUTED_VALUE"""),"https://www.norwegian.com/en/travel-info/delayed-and-cancelled-flights/")</f>
        <v>https://www.norwegian.com/en/travel-info/delayed-and-cancelled-flights/</v>
      </c>
      <c r="F204" s="127"/>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row>
    <row r="205">
      <c r="A205" s="31" t="str">
        <f>IFERROR(__xludf.DUMMYFUNCTION("""COMPUTED_VALUE"""),"Nouvel Air Tunise (BJ)")</f>
        <v>Nouvel Air Tunise (BJ)</v>
      </c>
      <c r="B205" s="127"/>
      <c r="C205" s="128" t="str">
        <f>IFERROR(__xludf.DUMMYFUNCTION("""COMPUTED_VALUE"""),"customer.service@nouvelair.com")</f>
        <v>customer.service@nouvelair.com</v>
      </c>
      <c r="D205" s="129" t="str">
        <f>IFERROR(__xludf.DUMMYFUNCTION("""COMPUTED_VALUE"""),"webform")</f>
        <v>webform</v>
      </c>
      <c r="E205" s="131" t="str">
        <f>IFERROR(__xludf.DUMMYFUNCTION("""COMPUTED_VALUE"""),"https://booking.nouvelair.com/ibe/feedback?lang-frfr")</f>
        <v>https://booking.nouvelair.com/ibe/feedback?lang-frfr</v>
      </c>
      <c r="F205" s="127"/>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row>
    <row r="206">
      <c r="A206" s="31" t="str">
        <f>IFERROR(__xludf.DUMMYFUNCTION("""COMPUTED_VALUE"""),"Olympic Air (OA)")</f>
        <v>Olympic Air (OA)</v>
      </c>
      <c r="B206" s="127"/>
      <c r="C206" s="128" t="str">
        <f>IFERROR(__xludf.DUMMYFUNCTION("""COMPUTED_VALUE"""),"contact@aegeanair.com")</f>
        <v>contact@aegeanair.com</v>
      </c>
      <c r="D206" s="129" t="str">
        <f>IFERROR(__xludf.DUMMYFUNCTION("""COMPUTED_VALUE"""),"webform w/ attachment")</f>
        <v>webform w/ attachment</v>
      </c>
      <c r="E206" s="131" t="str">
        <f>IFERROR(__xludf.DUMMYFUNCTION("""COMPUTED_VALUE"""),"https://olympicair.custhelp.com/app/ask/session/")</f>
        <v>https://olympicair.custhelp.com/app/ask/session/</v>
      </c>
      <c r="F206" s="127"/>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row>
    <row r="207">
      <c r="A207" s="31" t="str">
        <f>IFERROR(__xludf.DUMMYFUNCTION("""COMPUTED_VALUE"""),"Oman Air (WY)")</f>
        <v>Oman Air (WY)</v>
      </c>
      <c r="B207" s="127"/>
      <c r="C207" s="128" t="str">
        <f>IFERROR(__xludf.DUMMYFUNCTION("""COMPUTED_VALUE"""),"websalesrefund@omanair.com")</f>
        <v>websalesrefund@omanair.com</v>
      </c>
      <c r="D207" s="129" t="str">
        <f>IFERROR(__xludf.DUMMYFUNCTION("""COMPUTED_VALUE"""),"webform w/o attachment")</f>
        <v>webform w/o attachment</v>
      </c>
      <c r="E207" s="131" t="str">
        <f>IFERROR(__xludf.DUMMYFUNCTION("""COMPUTED_VALUE"""),"https://services.omanair.com/gbl/en/feedback")</f>
        <v>https://services.omanair.com/gbl/en/feedback</v>
      </c>
      <c r="F207" s="127" t="str">
        <f>IFERROR(__xludf.DUMMYFUNCTION("""COMPUTED_VALUE"""),"Ticket number")</f>
        <v>Ticket number</v>
      </c>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row>
    <row r="208">
      <c r="A208" s="31" t="str">
        <f>IFERROR(__xludf.DUMMYFUNCTION("""COMPUTED_VALUE"""),"Omni Air International (OY)")</f>
        <v>Omni Air International (OY)</v>
      </c>
      <c r="B208" s="127"/>
      <c r="C208" s="128" t="str">
        <f>IFERROR(__xludf.DUMMYFUNCTION("""COMPUTED_VALUE"""),"information@oai.aero")</f>
        <v>information@oai.aero</v>
      </c>
      <c r="D208" s="129" t="str">
        <f>IFERROR(__xludf.DUMMYFUNCTION("""COMPUTED_VALUE"""),"webform w/o attachment")</f>
        <v>webform w/o attachment</v>
      </c>
      <c r="E208" s="131" t="str">
        <f>IFERROR(__xludf.DUMMYFUNCTION("""COMPUTED_VALUE"""),"https://www.oai.aero/contact")</f>
        <v>https://www.oai.aero/contact</v>
      </c>
      <c r="F208" s="127"/>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row>
    <row r="209">
      <c r="A209" s="31" t="str">
        <f>IFERROR(__xludf.DUMMYFUNCTION("""COMPUTED_VALUE"""),"Pakistan International Airlines (PK)")</f>
        <v>Pakistan International Airlines (PK)</v>
      </c>
      <c r="B209" s="127"/>
      <c r="C209" s="128" t="str">
        <f>IFERROR(__xludf.DUMMYFUNCTION("""COMPUTED_VALUE"""),"khidwpk@piac.aero info@piac.aero")</f>
        <v>khidwpk@piac.aero info@piac.aero</v>
      </c>
      <c r="D209" s="129" t="str">
        <f>IFERROR(__xludf.DUMMYFUNCTION("""COMPUTED_VALUE"""),"e-mail")</f>
        <v>e-mail</v>
      </c>
      <c r="E209" s="129" t="str">
        <f>IFERROR(__xludf.DUMMYFUNCTION("""COMPUTED_VALUE"""),"lontopk@piac.aero")</f>
        <v>lontopk@piac.aero</v>
      </c>
      <c r="F209" s="127"/>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row>
    <row r="210">
      <c r="A210" s="31" t="str">
        <f>IFERROR(__xludf.DUMMYFUNCTION("""COMPUTED_VALUE"""),"Pegasus (PC)")</f>
        <v>Pegasus (PC)</v>
      </c>
      <c r="B210" s="127"/>
      <c r="C210" s="128" t="str">
        <f>IFERROR(__xludf.DUMMYFUNCTION("""COMPUTED_VALUE"""),"guestclaim@flypgs.com")</f>
        <v>guestclaim@flypgs.com</v>
      </c>
      <c r="D210" s="129" t="str">
        <f>IFERROR(__xludf.DUMMYFUNCTION("""COMPUTED_VALUE"""),"e-mail")</f>
        <v>e-mail</v>
      </c>
      <c r="E210" s="129" t="str">
        <f>IFERROR(__xludf.DUMMYFUNCTION("""COMPUTED_VALUE"""),"guestclaim@flypgs.com")</f>
        <v>guestclaim@flypgs.com</v>
      </c>
      <c r="F210" s="127"/>
      <c r="G210" s="132" t="str">
        <f>IFERROR(__xludf.DUMMYFUNCTION("""COMPUTED_VALUE"""),"https://www.flypgs.com/en/write-to-us/delays")</f>
        <v>https://www.flypgs.com/en/write-to-us/delays</v>
      </c>
      <c r="H210" s="127" t="str">
        <f>IFERROR(__xludf.DUMMYFUNCTION("""COMPUTED_VALUE"""),"Intermediaries filing claims on behalf of passengers are expected to apply to us with the request inscribed on a letterhead including the name, tax and commercial registry identification of the intermediary and accompanying flight details of the passenger"&amp;". The request should be signed by hand or electronically. Intermediaries should also provide us with a proper authorization document (Power of Attorney, Vollmacht, etc.) either in signed original form or with accompanying electronic signature log details "&amp;"for us to verify authorization of the intermediary to act on behalf of the passenger. We reserve our right to request any additional information/document that may be necessary to process claims.")</f>
        <v>Intermediaries filing claims on behalf of passengers are expected to apply to us with the request inscribed on a letterhead including the name, tax and commercial registry identification of the intermediary and accompanying flight details of the passenger. The request should be signed by hand or electronically. Intermediaries should also provide us with a proper authorization document (Power of Attorney, Vollmacht, etc.) either in signed original form or with accompanying electronic signature log details for us to verify authorization of the intermediary to act on behalf of the passenger. We reserve our right to request any additional information/document that may be necessary to process claims.</v>
      </c>
      <c r="I210" s="127"/>
      <c r="J210" s="127"/>
      <c r="K210" s="127"/>
      <c r="L210" s="127"/>
      <c r="M210" s="127"/>
      <c r="N210" s="127"/>
      <c r="O210" s="127"/>
      <c r="P210" s="127"/>
      <c r="Q210" s="127"/>
      <c r="R210" s="127"/>
      <c r="S210" s="127"/>
      <c r="T210" s="127"/>
      <c r="U210" s="127"/>
      <c r="V210" s="127"/>
      <c r="W210" s="127"/>
      <c r="X210" s="127"/>
      <c r="Y210" s="127"/>
      <c r="Z210" s="127"/>
      <c r="AA210" s="127"/>
      <c r="AB210" s="127"/>
    </row>
    <row r="211">
      <c r="A211" s="31" t="str">
        <f>IFERROR(__xludf.DUMMYFUNCTION("""COMPUTED_VALUE"""),"Philippine Airlines")</f>
        <v>Philippine Airlines</v>
      </c>
      <c r="B211" s="127"/>
      <c r="C211" s="128" t="str">
        <f>IFERROR(__xludf.DUMMYFUNCTION("""COMPUTED_VALUE"""),"wecare@philippineairlines.com")</f>
        <v>wecare@philippineairlines.com</v>
      </c>
      <c r="D211" s="129"/>
      <c r="E211" s="131" t="str">
        <f>IFERROR(__xludf.DUMMYFUNCTION("""COMPUTED_VALUE"""),"https://pal.my.site.com/s/submit-a-request")</f>
        <v>https://pal.my.site.com/s/submit-a-request</v>
      </c>
      <c r="F211" s="127"/>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row>
    <row r="212">
      <c r="A212" s="31" t="str">
        <f>IFERROR(__xludf.DUMMYFUNCTION("""COMPUTED_VALUE"""),"Plus Ultra")</f>
        <v>Plus Ultra</v>
      </c>
      <c r="B212" s="127"/>
      <c r="C212" s="128" t="str">
        <f>IFERROR(__xludf.DUMMYFUNCTION("""COMPUTED_VALUE"""),"atencioncliente@plusultra.com")</f>
        <v>atencioncliente@plusultra.com</v>
      </c>
      <c r="D212" s="129" t="str">
        <f>IFERROR(__xludf.DUMMYFUNCTION("""COMPUTED_VALUE"""),"e-mail")</f>
        <v>e-mail</v>
      </c>
      <c r="E212" s="129" t="str">
        <f>IFERROR(__xludf.DUMMYFUNCTION("""COMPUTED_VALUE"""),"atencioncliente@plusultra.com")</f>
        <v>atencioncliente@plusultra.com</v>
      </c>
      <c r="F212" s="127" t="str">
        <f>IFERROR(__xludf.DUMMYFUNCTION("""COMPUTED_VALUE"""),"Boarding, ID")</f>
        <v>Boarding, ID</v>
      </c>
      <c r="G212" s="132" t="str">
        <f>IFERROR(__xludf.DUMMYFUNCTION("""COMPUTED_VALUE"""),"Have their own form: https://static.plusultra.com/media/1003/formulario-reclamaciones-version-word_en.pdf")</f>
        <v>Have their own form: https://static.plusultra.com/media/1003/formulario-reclamaciones-version-word_en.pdf</v>
      </c>
      <c r="H212" s="127"/>
      <c r="I212" s="127"/>
      <c r="J212" s="127"/>
      <c r="K212" s="127"/>
      <c r="L212" s="127"/>
      <c r="M212" s="127"/>
      <c r="N212" s="127"/>
      <c r="O212" s="127"/>
      <c r="P212" s="127"/>
      <c r="Q212" s="127"/>
      <c r="R212" s="127"/>
      <c r="S212" s="127"/>
      <c r="T212" s="127"/>
      <c r="U212" s="127"/>
      <c r="V212" s="127"/>
      <c r="W212" s="127"/>
      <c r="X212" s="127"/>
      <c r="Y212" s="127"/>
      <c r="Z212" s="127"/>
      <c r="AA212" s="127"/>
      <c r="AB212" s="127"/>
    </row>
    <row r="213">
      <c r="A213" s="31" t="str">
        <f>IFERROR(__xludf.DUMMYFUNCTION("""COMPUTED_VALUE"""),"Polish Airlines (LO)")</f>
        <v>Polish Airlines (LO)</v>
      </c>
      <c r="B213" s="127"/>
      <c r="C213" s="128" t="str">
        <f>IFERROR(__xludf.DUMMYFUNCTION("""COMPUTED_VALUE"""),"passenger.claims@lot.pl")</f>
        <v>passenger.claims@lot.pl</v>
      </c>
      <c r="D213" s="129" t="str">
        <f>IFERROR(__xludf.DUMMYFUNCTION("""COMPUTED_VALUE"""),"LOT need hand wirtten signature on the POA / webform w/ attachment")</f>
        <v>LOT need hand wirtten signature on the POA / webform w/ attachment</v>
      </c>
      <c r="E213" s="131" t="str">
        <f>IFERROR(__xludf.DUMMYFUNCTION("""COMPUTED_VALUE"""),"https://www.lot.com/pl/en/help-center/contact/forms/form-claim-after-departure")</f>
        <v>https://www.lot.com/pl/en/help-center/contact/forms/form-claim-after-departure</v>
      </c>
      <c r="F213" s="127" t="str">
        <f>IFERROR(__xludf.DUMMYFUNCTION("""COMPUTED_VALUE"""),"LOT need hand wirtten signature on the POA / webform w/ attachment")</f>
        <v>LOT need hand wirtten signature on the POA / webform w/ attachment</v>
      </c>
      <c r="G213" s="127" t="str">
        <f>IFERROR(__xludf.DUMMYFUNCTION("""COMPUTED_VALUE"""),"f")</f>
        <v>f</v>
      </c>
      <c r="H213" s="132" t="str">
        <f>IFERROR(__xludf.DUMMYFUNCTION("""COMPUTED_VALUE"""),"POA link: https://www.lot.com/content/dam/lot/lot-com/documents/reklamacje-pasazerskie-poa/POA.pdf")</f>
        <v>POA link: https://www.lot.com/content/dam/lot/lot-com/documents/reklamacje-pasazerskie-poa/POA.pdf</v>
      </c>
      <c r="I213" s="127"/>
      <c r="J213" s="127"/>
      <c r="K213" s="127"/>
      <c r="L213" s="127"/>
      <c r="M213" s="127"/>
      <c r="N213" s="127"/>
      <c r="O213" s="127"/>
      <c r="P213" s="127"/>
      <c r="Q213" s="127"/>
      <c r="R213" s="127"/>
      <c r="S213" s="127"/>
      <c r="T213" s="127"/>
      <c r="U213" s="127"/>
      <c r="V213" s="127"/>
      <c r="W213" s="127"/>
      <c r="X213" s="127"/>
      <c r="Y213" s="127"/>
      <c r="Z213" s="127"/>
      <c r="AA213" s="127"/>
      <c r="AB213" s="127"/>
    </row>
    <row r="214">
      <c r="A214" s="31" t="str">
        <f>IFERROR(__xludf.DUMMYFUNCTION("""COMPUTED_VALUE""")," Porter Airlines (PD)")</f>
        <v> Porter Airlines (PD)</v>
      </c>
      <c r="B214" s="127"/>
      <c r="C214" s="128" t="str">
        <f>IFERROR(__xludf.DUMMYFUNCTION("""COMPUTED_VALUE"""),"info@flyporter.com")</f>
        <v>info@flyporter.com</v>
      </c>
      <c r="D214" s="129" t="str">
        <f>IFERROR(__xludf.DUMMYFUNCTION("""COMPUTED_VALUE"""),"Webform")</f>
        <v>Webform</v>
      </c>
      <c r="E214" s="131" t="str">
        <f>IFERROR(__xludf.DUMMYFUNCTION("""COMPUTED_VALUE"""),"https://www.flyporter.com/en-ca/customer-service/help-contact/claims/compensation-eligibility-check")</f>
        <v>https://www.flyporter.com/en-ca/customer-service/help-contact/claims/compensation-eligibility-check</v>
      </c>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row>
    <row r="215">
      <c r="A215" s="31" t="str">
        <f>IFERROR(__xludf.DUMMYFUNCTION("""COMPUTED_VALUE"""),"Portugalia Airlines (NI)")</f>
        <v>Portugalia Airlines (NI)</v>
      </c>
      <c r="B215" s="127"/>
      <c r="C215" s="128" t="str">
        <f>IFERROR(__xludf.DUMMYFUNCTION("""COMPUTED_VALUE"""),"comunicacao@pga.pt")</f>
        <v>comunicacao@pga.pt</v>
      </c>
      <c r="D215" s="129" t="str">
        <f>IFERROR(__xludf.DUMMYFUNCTION("""COMPUTED_VALUE"""),"e-mail")</f>
        <v>e-mail</v>
      </c>
      <c r="E215" s="129" t="str">
        <f>IFERROR(__xludf.DUMMYFUNCTION("""COMPUTED_VALUE"""),"Have to send to TAP")</f>
        <v>Have to send to TAP</v>
      </c>
      <c r="F215" s="127"/>
      <c r="G215" s="127"/>
      <c r="H215" s="127" t="str">
        <f>IFERROR(__xludf.DUMMYFUNCTION("""COMPUTED_VALUE"""),"On 14 January 2016, TAP Air Portugal announced that Portugália would be rebranded as TAP Express as of 27 March 2016 as part of the restructuring measures within the group. The division Portugália Airlines however was said to stay independent within the g"&amp;"roup.")</f>
        <v>On 14 January 2016, TAP Air Portugal announced that Portugália would be rebranded as TAP Express as of 27 March 2016 as part of the restructuring measures within the group. The division Portugália Airlines however was said to stay independent within the group.</v>
      </c>
      <c r="I215" s="127"/>
      <c r="J215" s="127"/>
      <c r="K215" s="127"/>
      <c r="L215" s="127"/>
      <c r="M215" s="127"/>
      <c r="N215" s="127"/>
      <c r="O215" s="127"/>
      <c r="P215" s="127"/>
      <c r="Q215" s="127"/>
      <c r="R215" s="127"/>
      <c r="S215" s="127"/>
      <c r="T215" s="127"/>
      <c r="U215" s="127"/>
      <c r="V215" s="127"/>
      <c r="W215" s="127"/>
      <c r="X215" s="127"/>
      <c r="Y215" s="127"/>
      <c r="Z215" s="127"/>
      <c r="AA215" s="127"/>
      <c r="AB215" s="127"/>
    </row>
    <row r="216">
      <c r="A216" s="31" t="str">
        <f>IFERROR(__xludf.DUMMYFUNCTION("""COMPUTED_VALUE"""),"Precision air")</f>
        <v>Precision air</v>
      </c>
      <c r="B216" s="127"/>
      <c r="C216" s="128" t="str">
        <f>IFERROR(__xludf.DUMMYFUNCTION("""COMPUTED_VALUE"""),"contactcentre@precisionairtz.com")</f>
        <v>contactcentre@precisionairtz.com</v>
      </c>
      <c r="D216" s="129" t="str">
        <f>IFERROR(__xludf.DUMMYFUNCTION("""COMPUTED_VALUE"""),"e-mail")</f>
        <v>e-mail</v>
      </c>
      <c r="E216" s="129" t="str">
        <f>IFERROR(__xludf.DUMMYFUNCTION("""COMPUTED_VALUE"""),"contactcentre@precisionairtz.com
")</f>
        <v>contactcentre@precisionairtz.com
</v>
      </c>
      <c r="F216" s="127"/>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row>
    <row r="217">
      <c r="A217" s="31" t="str">
        <f>IFERROR(__xludf.DUMMYFUNCTION("""COMPUTED_VALUE"""),"PrivatAir")</f>
        <v>PrivatAir</v>
      </c>
      <c r="B217" s="127"/>
      <c r="C217" s="128" t="str">
        <f>IFERROR(__xludf.DUMMYFUNCTION("""COMPUTED_VALUE"""),"info@privatair.com")</f>
        <v>info@privatair.com</v>
      </c>
      <c r="D217" s="129" t="str">
        <f>IFERROR(__xludf.DUMMYFUNCTION("""COMPUTED_VALUE"""),"e-mail")</f>
        <v>e-mail</v>
      </c>
      <c r="E217" s="129"/>
      <c r="F217" s="127"/>
      <c r="G217" s="127"/>
      <c r="H217" s="127" t="str">
        <f>IFERROR(__xludf.DUMMYFUNCTION("""COMPUTED_VALUE"""),"Ceased operations 5 December 2018")</f>
        <v>Ceased operations 5 December 2018</v>
      </c>
      <c r="I217" s="127"/>
      <c r="J217" s="127"/>
      <c r="K217" s="127"/>
      <c r="L217" s="127"/>
      <c r="M217" s="127"/>
      <c r="N217" s="127"/>
      <c r="O217" s="127"/>
      <c r="P217" s="127"/>
      <c r="Q217" s="127"/>
      <c r="R217" s="127"/>
      <c r="S217" s="127"/>
      <c r="T217" s="127"/>
      <c r="U217" s="127"/>
      <c r="V217" s="127"/>
      <c r="W217" s="127"/>
      <c r="X217" s="127"/>
      <c r="Y217" s="127"/>
      <c r="Z217" s="127"/>
      <c r="AA217" s="127"/>
      <c r="AB217" s="127"/>
    </row>
    <row r="218">
      <c r="A218" s="31" t="str">
        <f>IFERROR(__xludf.DUMMYFUNCTION("""COMPUTED_VALUE"""),"Privilege Style")</f>
        <v>Privilege Style</v>
      </c>
      <c r="B218" s="127"/>
      <c r="C218" s="128" t="str">
        <f>IFERROR(__xludf.DUMMYFUNCTION("""COMPUTED_VALUE"""),"privilegestyle@privilegestyle.com")</f>
        <v>privilegestyle@privilegestyle.com</v>
      </c>
      <c r="D218" s="129" t="str">
        <f>IFERROR(__xludf.DUMMYFUNCTION("""COMPUTED_VALUE"""),"e-mail")</f>
        <v>e-mail</v>
      </c>
      <c r="E218" s="129" t="str">
        <f>IFERROR(__xludf.DUMMYFUNCTION("""COMPUTED_VALUE"""),"privilege@privilegestyle.com")</f>
        <v>privilege@privilegestyle.com</v>
      </c>
      <c r="F218" s="127"/>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row>
    <row r="219">
      <c r="A219" s="31" t="str">
        <f>IFERROR(__xludf.DUMMYFUNCTION("""COMPUTED_VALUE"""),"Pullmantur Air (EB) ( New name: Wamos Air)")</f>
        <v>Pullmantur Air (EB) ( New name: Wamos Air)</v>
      </c>
      <c r="B219" s="127"/>
      <c r="C219" s="128" t="str">
        <f>IFERROR(__xludf.DUMMYFUNCTION("""COMPUTED_VALUE"""),"reclamaciones@pullmanturair.com")</f>
        <v>reclamaciones@pullmanturair.com</v>
      </c>
      <c r="D219" s="129" t="str">
        <f>IFERROR(__xludf.DUMMYFUNCTION("""COMPUTED_VALUE"""),"e-mail")</f>
        <v>e-mail</v>
      </c>
      <c r="E219" s="129" t="str">
        <f>IFERROR(__xludf.DUMMYFUNCTION("""COMPUTED_VALUE"""),"hola@wamosair.com")</f>
        <v>hola@wamosair.com</v>
      </c>
      <c r="F219" s="127"/>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row>
    <row r="220">
      <c r="A220" s="31" t="str">
        <f>IFERROR(__xludf.DUMMYFUNCTION("""COMPUTED_VALUE"""),"Qantas (QF)")</f>
        <v>Qantas (QF)</v>
      </c>
      <c r="B220" s="127"/>
      <c r="C220" s="128" t="str">
        <f>IFERROR(__xludf.DUMMYFUNCTION("""COMPUTED_VALUE"""),"qantasbenelux@mindpearl.com")</f>
        <v>qantasbenelux@mindpearl.com</v>
      </c>
      <c r="D220" s="129" t="str">
        <f>IFERROR(__xludf.DUMMYFUNCTION("""COMPUTED_VALUE"""),"webform w/o attachment")</f>
        <v>webform w/o attachment</v>
      </c>
      <c r="E220" s="131" t="str">
        <f>IFERROR(__xludf.DUMMYFUNCTION("""COMPUTED_VALUE"""),"https://www.qantas.com/au/en/support/contact-us/customer-care-feedback-form.html")</f>
        <v>https://www.qantas.com/au/en/support/contact-us/customer-care-feedback-form.html</v>
      </c>
      <c r="F220" s="127"/>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row>
    <row r="221">
      <c r="A221" s="31" t="str">
        <f>IFERROR(__xludf.DUMMYFUNCTION("""COMPUTED_VALUE"""),"Qatar Airways (QR)")</f>
        <v>Qatar Airways (QR)</v>
      </c>
      <c r="B221" s="127"/>
      <c r="C221" s="128" t="str">
        <f>IFERROR(__xludf.DUMMYFUNCTION("""COMPUTED_VALUE"""),"tell-us@qatarairways.com.qa")</f>
        <v>tell-us@qatarairways.com.qa</v>
      </c>
      <c r="D221" s="129" t="str">
        <f>IFERROR(__xludf.DUMMYFUNCTION("""COMPUTED_VALUE"""),"webform w/o attachment")</f>
        <v>webform w/o attachment</v>
      </c>
      <c r="E221" s="131" t="str">
        <f>IFERROR(__xludf.DUMMYFUNCTION("""COMPUTED_VALUE"""),"https://www.qatarairways.com/en/help/feedback.html")</f>
        <v>https://www.qatarairways.com/en/help/feedback.html</v>
      </c>
      <c r="F221" s="132" t="str">
        <f>IFERROR(__xludf.DUMMYFUNCTION("""COMPUTED_VALUE"""),"https://www.qatarairways.com/en/help/contact-us.html?iid=ALL74246290")</f>
        <v>https://www.qatarairways.com/en/help/contact-us.html?iid=ALL74246290</v>
      </c>
      <c r="G221" s="132" t="str">
        <f>IFERROR(__xludf.DUMMYFUNCTION("""COMPUTED_VALUE"""),"https://www.qatarairways.com/en/help/contact-us.html?iid=ALL74246290")</f>
        <v>https://www.qatarairways.com/en/help/contact-us.html?iid=ALL74246290</v>
      </c>
      <c r="H221" s="127"/>
      <c r="I221" s="127"/>
      <c r="J221" s="127"/>
      <c r="K221" s="127"/>
      <c r="L221" s="127"/>
      <c r="M221" s="127"/>
      <c r="N221" s="127"/>
      <c r="O221" s="127"/>
      <c r="P221" s="127"/>
      <c r="Q221" s="127"/>
      <c r="R221" s="127"/>
      <c r="S221" s="127"/>
      <c r="T221" s="127"/>
      <c r="U221" s="127"/>
      <c r="V221" s="127"/>
      <c r="W221" s="127"/>
      <c r="X221" s="127"/>
      <c r="Y221" s="127"/>
      <c r="Z221" s="127"/>
      <c r="AA221" s="127"/>
      <c r="AB221" s="127"/>
    </row>
    <row r="222">
      <c r="A222" s="31" t="str">
        <f>IFERROR(__xludf.DUMMYFUNCTION("""COMPUTED_VALUE"""),"Res Sea Airlines")</f>
        <v>Res Sea Airlines</v>
      </c>
      <c r="B222" s="127"/>
      <c r="C222" s="128" t="str">
        <f>IFERROR(__xludf.DUMMYFUNCTION("""COMPUTED_VALUE"""),"commercial.manager@redseaairlines.com")</f>
        <v>commercial.manager@redseaairlines.com</v>
      </c>
      <c r="D222" s="129" t="str">
        <f>IFERROR(__xludf.DUMMYFUNCTION("""COMPUTED_VALUE"""),"e-mail")</f>
        <v>e-mail</v>
      </c>
      <c r="E222" s="129" t="str">
        <f>IFERROR(__xludf.DUMMYFUNCTION("""COMPUTED_VALUE"""),"commercial.manager@redseaairlines.com")</f>
        <v>commercial.manager@redseaairlines.com</v>
      </c>
      <c r="F222" s="127"/>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row>
    <row r="223">
      <c r="A223" s="31" t="str">
        <f>IFERROR(__xludf.DUMMYFUNCTION("""COMPUTED_VALUE"""),"Rossiya airlines")</f>
        <v>Rossiya airlines</v>
      </c>
      <c r="B223" s="127"/>
      <c r="C223" s="128" t="str">
        <f>IFERROR(__xludf.DUMMYFUNCTION("""COMPUTED_VALUE"""),"Openline@rossiya-airlines.com")</f>
        <v>Openline@rossiya-airlines.com</v>
      </c>
      <c r="D223" s="129" t="str">
        <f>IFERROR(__xludf.DUMMYFUNCTION("""COMPUTED_VALUE"""),"webform w/ attachment")</f>
        <v>webform w/ attachment</v>
      </c>
      <c r="E223" s="131" t="str">
        <f>IFERROR(__xludf.DUMMYFUNCTION("""COMPUTED_VALUE"""),"https://www.rossiya-airlines.com/en/about/contacts/feedback/help/?THEME_ID=61084")</f>
        <v>https://www.rossiya-airlines.com/en/about/contacts/feedback/help/?THEME_ID=61084</v>
      </c>
      <c r="F223" s="127"/>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row>
    <row r="224">
      <c r="A224" s="31" t="str">
        <f>IFERROR(__xludf.DUMMYFUNCTION("""COMPUTED_VALUE"""),"Royal Air Maroc (AT)")</f>
        <v>Royal Air Maroc (AT)</v>
      </c>
      <c r="B224" s="127"/>
      <c r="C224" s="128" t="str">
        <f>IFERROR(__xludf.DUMMYFUNCTION("""COMPUTED_VALUE"""),"serviceclient@royalairmaroc.com")</f>
        <v>serviceclient@royalairmaroc.com</v>
      </c>
      <c r="D224" s="129" t="str">
        <f>IFERROR(__xludf.DUMMYFUNCTION("""COMPUTED_VALUE"""),"webform w/o attachment")</f>
        <v>webform w/o attachment</v>
      </c>
      <c r="E224" s="131" t="str">
        <f>IFERROR(__xludf.DUMMYFUNCTION("""COMPUTED_VALUE"""),"https://www.royalairmaroc.com/int-en/information/service-claims")</f>
        <v>https://www.royalairmaroc.com/int-en/information/service-claims</v>
      </c>
      <c r="F224" s="127" t="str">
        <f>IFERROR(__xludf.DUMMYFUNCTION("""COMPUTED_VALUE"""),"Ticket No")</f>
        <v>Ticket No</v>
      </c>
      <c r="G224" s="127" t="str">
        <f>IFERROR(__xludf.DUMMYFUNCTION("""COMPUTED_VALUE"""),"To follow up your case, kindly use the following e-mail address: serviceclient@royalairmaroc.com by responding to the present email while keeping the same subject.")</f>
        <v>To follow up your case, kindly use the following e-mail address: serviceclient@royalairmaroc.com by responding to the present email while keeping the same subject.</v>
      </c>
      <c r="H224" s="127"/>
      <c r="I224" s="127"/>
      <c r="J224" s="127"/>
      <c r="K224" s="127"/>
      <c r="L224" s="127"/>
      <c r="M224" s="127"/>
      <c r="N224" s="127"/>
      <c r="O224" s="127"/>
      <c r="P224" s="127"/>
      <c r="Q224" s="127"/>
      <c r="R224" s="127"/>
      <c r="S224" s="127"/>
      <c r="T224" s="127"/>
      <c r="U224" s="127"/>
      <c r="V224" s="127"/>
      <c r="W224" s="127"/>
      <c r="X224" s="127"/>
      <c r="Y224" s="127"/>
      <c r="Z224" s="127"/>
      <c r="AA224" s="127"/>
      <c r="AB224" s="127"/>
    </row>
    <row r="225">
      <c r="A225" s="31" t="str">
        <f>IFERROR(__xludf.DUMMYFUNCTION("""COMPUTED_VALUE"""),"Royal Jordanian")</f>
        <v>Royal Jordanian</v>
      </c>
      <c r="B225" s="127"/>
      <c r="C225" s="128" t="str">
        <f>IFERROR(__xludf.DUMMYFUNCTION("""COMPUTED_VALUE"""),"customer.services@rj.com")</f>
        <v>customer.services@rj.com</v>
      </c>
      <c r="D225" s="129"/>
      <c r="E225" s="131" t="str">
        <f>IFERROR(__xludf.DUMMYFUNCTION("""COMPUTED_VALUE"""),"https://feedback.rj.com/createcase/")</f>
        <v>https://feedback.rj.com/createcase/</v>
      </c>
      <c r="F225" s="127"/>
      <c r="G225" s="127" t="str">
        <f>IFERROR(__xludf.DUMMYFUNCTION("""COMPUTED_VALUE"""),"Pass: Fkk4erdF")</f>
        <v>Pass: Fkk4erdF</v>
      </c>
      <c r="H225" s="127"/>
      <c r="I225" s="127"/>
      <c r="J225" s="127"/>
      <c r="K225" s="127"/>
      <c r="L225" s="127"/>
      <c r="M225" s="127"/>
      <c r="N225" s="127"/>
      <c r="O225" s="127"/>
      <c r="P225" s="127"/>
      <c r="Q225" s="127"/>
      <c r="R225" s="127"/>
      <c r="S225" s="127"/>
      <c r="T225" s="127"/>
      <c r="U225" s="127"/>
      <c r="V225" s="127"/>
      <c r="W225" s="127"/>
      <c r="X225" s="127"/>
      <c r="Y225" s="127"/>
      <c r="Z225" s="127"/>
      <c r="AA225" s="127"/>
      <c r="AB225" s="127"/>
    </row>
    <row r="226">
      <c r="A226" s="31" t="str">
        <f>IFERROR(__xludf.DUMMYFUNCTION("""COMPUTED_VALUE"""),"Rwandair")</f>
        <v>Rwandair</v>
      </c>
      <c r="B226" s="127"/>
      <c r="C226" s="128" t="str">
        <f>IFERROR(__xludf.DUMMYFUNCTION("""COMPUTED_VALUE"""),"customerrelationsclaims@rwandair.com")</f>
        <v>customerrelationsclaims@rwandair.com</v>
      </c>
      <c r="D226" s="129"/>
      <c r="E226" s="129" t="str">
        <f>IFERROR(__xludf.DUMMYFUNCTION("""COMPUTED_VALUE"""),"customerrelationsclaims@rwandair.com")</f>
        <v>customerrelationsclaims@rwandair.com</v>
      </c>
      <c r="F226" s="127"/>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row>
    <row r="227">
      <c r="A227" s="31" t="str">
        <f>IFERROR(__xludf.DUMMYFUNCTION("""COMPUTED_VALUE"""),"Ryanair (FR)")</f>
        <v>Ryanair (FR)</v>
      </c>
      <c r="B227" s="127"/>
      <c r="C227" s="133" t="str">
        <f>IFERROR(__xludf.DUMMYFUNCTION("""COMPUTED_VALUE"""),"cs.support@ryanair.com")</f>
        <v>cs.support@ryanair.com</v>
      </c>
      <c r="D227" s="129" t="str">
        <f>IFERROR(__xludf.DUMMYFUNCTION("""COMPUTED_VALUE"""),"webform &amp; post (webform w/ attach. needs checking once in a while)")</f>
        <v>webform &amp; post (webform w/ attach. needs checking once in a while)</v>
      </c>
      <c r="E227" s="131" t="str">
        <f>IFERROR(__xludf.DUMMYFUNCTION("""COMPUTED_VALUE"""),"https://www.ryanair.com/ie/en/myryanair/requests/new/eu-261/form/retrieve-booking")</f>
        <v>https://www.ryanair.com/ie/en/myryanair/requests/new/eu-261/form/retrieve-booking</v>
      </c>
      <c r="F227" s="127" t="str">
        <f>IFERROR(__xludf.DUMMYFUNCTION("""COMPUTED_VALUE"""),"Log in details: legal@refly.org Pass: Fkk4erdF")</f>
        <v>Log in details: legal@refly.org Pass: Fkk4erdF</v>
      </c>
      <c r="G227" s="127" t="str">
        <f>IFERROR(__xludf.DUMMYFUNCTION("""COMPUTED_VALUE"""),"Customer Service Department
 PO Box 11451
 Swords
 Co Dublin
 Ireland")</f>
        <v>Customer Service Department
 PO Box 11451
 Swords
 Co Dublin
 Ireland</v>
      </c>
      <c r="H227" s="127"/>
      <c r="I227" s="127"/>
      <c r="J227" s="127"/>
      <c r="K227" s="127"/>
      <c r="L227" s="127"/>
      <c r="M227" s="127"/>
      <c r="N227" s="127"/>
      <c r="O227" s="127"/>
      <c r="P227" s="127"/>
      <c r="Q227" s="127"/>
      <c r="R227" s="127"/>
      <c r="S227" s="127"/>
      <c r="T227" s="127"/>
      <c r="U227" s="127"/>
      <c r="V227" s="127"/>
      <c r="W227" s="127"/>
      <c r="X227" s="127"/>
      <c r="Y227" s="127"/>
      <c r="Z227" s="127"/>
      <c r="AA227" s="127"/>
      <c r="AB227" s="127"/>
    </row>
    <row r="228">
      <c r="A228" s="31" t="str">
        <f>IFERROR(__xludf.DUMMYFUNCTION("""COMPUTED_VALUE"""),"S7 Airlines (Siberia Airlines) (S7)")</f>
        <v>S7 Airlines (Siberia Airlines) (S7)</v>
      </c>
      <c r="B228" s="127"/>
      <c r="C228" s="128" t="str">
        <f>IFERROR(__xludf.DUMMYFUNCTION("""COMPUTED_VALUE"""),"info@s7.ru")</f>
        <v>info@s7.ru</v>
      </c>
      <c r="D228" s="129" t="str">
        <f>IFERROR(__xludf.DUMMYFUNCTION("""COMPUTED_VALUE"""),"webform w/ attachment")</f>
        <v>webform w/ attachment</v>
      </c>
      <c r="E228" s="131" t="str">
        <f>IFERROR(__xludf.DUMMYFUNCTION("""COMPUTED_VALUE"""),"http://www.s7.ru/home/about/contactus.dot")</f>
        <v>http://www.s7.ru/home/about/contactus.dot</v>
      </c>
      <c r="F228" s="127"/>
      <c r="G228" s="127" t="str">
        <f>IFERROR(__xludf.DUMMYFUNCTION("""COMPUTED_VALUE"""),"Juridical Department at address Russia 633104, Ob-4
 Novosibirsk region, OJSC Siberia Airlines, to CEO Obedkov Vladimir Nikolaevich")</f>
        <v>Juridical Department at address Russia 633104, Ob-4
 Novosibirsk region, OJSC Siberia Airlines, to CEO Obedkov Vladimir Nikolaevich</v>
      </c>
      <c r="H228" s="127"/>
      <c r="I228" s="127"/>
      <c r="J228" s="127"/>
      <c r="K228" s="127"/>
      <c r="L228" s="127"/>
      <c r="M228" s="127"/>
      <c r="N228" s="127"/>
      <c r="O228" s="127"/>
      <c r="P228" s="127"/>
      <c r="Q228" s="127"/>
      <c r="R228" s="127"/>
      <c r="S228" s="127"/>
      <c r="T228" s="127"/>
      <c r="U228" s="127"/>
      <c r="V228" s="127"/>
      <c r="W228" s="127"/>
      <c r="X228" s="127"/>
      <c r="Y228" s="127"/>
      <c r="Z228" s="127"/>
      <c r="AA228" s="127"/>
      <c r="AB228" s="127"/>
    </row>
    <row r="229">
      <c r="A229" s="31" t="str">
        <f>IFERROR(__xludf.DUMMYFUNCTION("""COMPUTED_VALUE"""),"SAS (SK)")</f>
        <v>SAS (SK)</v>
      </c>
      <c r="B229" s="127"/>
      <c r="C229" s="128" t="str">
        <f>IFERROR(__xludf.DUMMYFUNCTION("""COMPUTED_VALUE"""),"care@sas.se, customercareeurope@sas.se")</f>
        <v>care@sas.se, customercareeurope@sas.se</v>
      </c>
      <c r="D229" s="129" t="str">
        <f>IFERROR(__xludf.DUMMYFUNCTION("""COMPUTED_VALUE"""),"webform w/ attachment")</f>
        <v>webform w/ attachment</v>
      </c>
      <c r="E229" s="131" t="str">
        <f>IFERROR(__xludf.DUMMYFUNCTION("""COMPUTED_VALUE"""),"https://www.flysas.com/en/customer-service/contact/forms/claim-eu261/")</f>
        <v>https://www.flysas.com/en/customer-service/contact/forms/claim-eu261/</v>
      </c>
      <c r="F229" s="127"/>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row>
    <row r="230">
      <c r="A230" s="31" t="str">
        <f>IFERROR(__xludf.DUMMYFUNCTION("""COMPUTED_VALUE"""),"Sata (S4) ( Azores Airlines)")</f>
        <v>Sata (S4) ( Azores Airlines)</v>
      </c>
      <c r="B230" s="127"/>
      <c r="C230" s="128" t="str">
        <f>IFERROR(__xludf.DUMMYFUNCTION("""COMPUTED_VALUE"""),"customer.care@sata.pt")</f>
        <v>customer.care@sata.pt</v>
      </c>
      <c r="D230" s="129" t="str">
        <f>IFERROR(__xludf.DUMMYFUNCTION("""COMPUTED_VALUE"""),"webform w/o attachment")</f>
        <v>webform w/o attachment</v>
      </c>
      <c r="E230" s="131" t="str">
        <f>IFERROR(__xludf.DUMMYFUNCTION("""COMPUTED_VALUE"""),"https://www.azoresairlines.pt/en/support/contact-us/claim")</f>
        <v>https://www.azoresairlines.pt/en/support/contact-us/claim</v>
      </c>
      <c r="F230" s="127"/>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row>
    <row r="231">
      <c r="A231" s="31" t="str">
        <f>IFERROR(__xludf.DUMMYFUNCTION("""COMPUTED_VALUE"""),"Saudi Airlines (SV)")</f>
        <v>Saudi Airlines (SV)</v>
      </c>
      <c r="B231" s="127"/>
      <c r="C231" s="128" t="str">
        <f>IFERROR(__xludf.DUMMYFUNCTION("""COMPUTED_VALUE"""),"gccbackoffice@saudia.com")</f>
        <v>gccbackoffice@saudia.com</v>
      </c>
      <c r="D231" s="129" t="str">
        <f>IFERROR(__xludf.DUMMYFUNCTION("""COMPUTED_VALUE"""),"webform w/ attachment")</f>
        <v>webform w/ attachment</v>
      </c>
      <c r="E231" s="131" t="str">
        <f>IFERROR(__xludf.DUMMYFUNCTION("""COMPUTED_VALUE"""),"https://www.saudia.com/pages/help/contact-us/guest-relations/contact-form")</f>
        <v>https://www.saudia.com/pages/help/contact-us/guest-relations/contact-form</v>
      </c>
      <c r="F231" s="127" t="str">
        <f>IFERROR(__xludf.DUMMYFUNCTION("""COMPUTED_VALUE"""),"Ticket number, passport/ ID no ** Attachment should not exceed 2 MB")</f>
        <v>Ticket number, passport/ ID no ** Attachment should not exceed 2 MB</v>
      </c>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row>
    <row r="232">
      <c r="A232" s="31" t="str">
        <f>IFERROR(__xludf.DUMMYFUNCTION("""COMPUTED_VALUE"""),"Scoot")</f>
        <v>Scoot</v>
      </c>
      <c r="B232" s="127"/>
      <c r="C232" s="128" t="str">
        <f>IFERROR(__xludf.DUMMYFUNCTION("""COMPUTED_VALUE"""),"guest.experience@flyscoot.com")</f>
        <v>guest.experience@flyscoot.com</v>
      </c>
      <c r="D232" s="129" t="str">
        <f>IFERROR(__xludf.DUMMYFUNCTION("""COMPUTED_VALUE"""),"webform w/ attachment")</f>
        <v>webform w/ attachment</v>
      </c>
      <c r="E232" s="131" t="str">
        <f>IFERROR(__xludf.DUMMYFUNCTION("""COMPUTED_VALUE"""),"https://os.flyscoot.com/customerserviceform/")</f>
        <v>https://os.flyscoot.com/customerserviceform/</v>
      </c>
      <c r="F232" s="127"/>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row>
    <row r="233">
      <c r="A233" s="31" t="str">
        <f>IFERROR(__xludf.DUMMYFUNCTION("""COMPUTED_VALUE"""),"Shenzhen Airlines")</f>
        <v>Shenzhen Airlines</v>
      </c>
      <c r="B233" s="127"/>
      <c r="C233" s="128" t="str">
        <f>IFERROR(__xludf.DUMMYFUNCTION("""COMPUTED_VALUE"""),"szaservice315@shenzhenair.com")</f>
        <v>szaservice315@shenzhenair.com</v>
      </c>
      <c r="D233" s="129" t="str">
        <f>IFERROR(__xludf.DUMMYFUNCTION("""COMPUTED_VALUE"""),"E-mail")</f>
        <v>E-mail</v>
      </c>
      <c r="E233" s="129" t="str">
        <f>IFERROR(__xludf.DUMMYFUNCTION("""COMPUTED_VALUE"""),"szaservice315@shenzhenair.com")</f>
        <v>szaservice315@shenzhenair.com</v>
      </c>
      <c r="F233" s="127"/>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row>
    <row r="234">
      <c r="A234" s="31" t="str">
        <f>IFERROR(__xludf.DUMMYFUNCTION("""COMPUTED_VALUE"""),"Singapore Airlines (SQ)")</f>
        <v>Singapore Airlines (SQ)</v>
      </c>
      <c r="B234" s="127"/>
      <c r="C234" s="128" t="str">
        <f>IFERROR(__xludf.DUMMYFUNCTION("""COMPUTED_VALUE"""),"CPH_Airport@singaporeair.com.sg")</f>
        <v>CPH_Airport@singaporeair.com.sg</v>
      </c>
      <c r="D234" s="129" t="str">
        <f>IFERROR(__xludf.DUMMYFUNCTION("""COMPUTED_VALUE"""),"webform w/ attachment")</f>
        <v>webform w/ attachment</v>
      </c>
      <c r="E234" s="131" t="str">
        <f>IFERROR(__xludf.DUMMYFUNCTION("""COMPUTED_VALUE"""),"https://www.singaporeair.com/feedback-form/FeedbackContent")</f>
        <v>https://www.singaporeair.com/feedback-form/FeedbackContent</v>
      </c>
      <c r="F234" s="127"/>
      <c r="G234" s="127"/>
      <c r="H234" s="132" t="str">
        <f>IFERROR(__xludf.DUMMYFUNCTION("""COMPUTED_VALUE"""),"Letter of Authorisation to be completed: https://www.singaporeair.com/saar5/pdf/Letter-of-Authorisation.pdf")</f>
        <v>Letter of Authorisation to be completed: https://www.singaporeair.com/saar5/pdf/Letter-of-Authorisation.pdf</v>
      </c>
      <c r="I234" s="127"/>
      <c r="J234" s="127"/>
      <c r="K234" s="127"/>
      <c r="L234" s="127"/>
      <c r="M234" s="127"/>
      <c r="N234" s="127"/>
      <c r="O234" s="127"/>
      <c r="P234" s="127"/>
      <c r="Q234" s="127"/>
      <c r="R234" s="127"/>
      <c r="S234" s="127"/>
      <c r="T234" s="127"/>
      <c r="U234" s="127"/>
      <c r="V234" s="127"/>
      <c r="W234" s="127"/>
      <c r="X234" s="127"/>
      <c r="Y234" s="127"/>
      <c r="Z234" s="127"/>
      <c r="AA234" s="127"/>
      <c r="AB234" s="127"/>
    </row>
    <row r="235">
      <c r="A235" s="31" t="str">
        <f>IFERROR(__xludf.DUMMYFUNCTION("""COMPUTED_VALUE"""),"Skyalps")</f>
        <v>Skyalps</v>
      </c>
      <c r="B235" s="127"/>
      <c r="C235" s="128" t="str">
        <f>IFERROR(__xludf.DUMMYFUNCTION("""COMPUTED_VALUE"""),"info@skyalps.com")</f>
        <v>info@skyalps.com</v>
      </c>
      <c r="D235" s="129" t="str">
        <f>IFERROR(__xludf.DUMMYFUNCTION("""COMPUTED_VALUE"""),"email")</f>
        <v>email</v>
      </c>
      <c r="E235" s="129" t="str">
        <f>IFERROR(__xludf.DUMMYFUNCTION("""COMPUTED_VALUE"""),"info@skyalps.com")</f>
        <v>info@skyalps.com</v>
      </c>
      <c r="F235" s="127"/>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row>
    <row r="236">
      <c r="A236" s="31" t="str">
        <f>IFERROR(__xludf.DUMMYFUNCTION("""COMPUTED_VALUE"""),"Sky Express S.A. (GQ)")</f>
        <v>Sky Express S.A. (GQ)</v>
      </c>
      <c r="B236" s="127"/>
      <c r="C236" s="128" t="str">
        <f>IFERROR(__xludf.DUMMYFUNCTION("""COMPUTED_VALUE"""),"customercare@skyexpress.com")</f>
        <v>customercare@skyexpress.com</v>
      </c>
      <c r="D236" s="129"/>
      <c r="E236" s="129" t="str">
        <f>IFERROR(__xludf.DUMMYFUNCTION("""COMPUTED_VALUE"""),"customercare@skyexpress.com")</f>
        <v>customercare@skyexpress.com</v>
      </c>
      <c r="F236" s="127"/>
      <c r="G236" s="127" t="str">
        <f>IFERROR(__xludf.DUMMYFUNCTION("""COMPUTED_VALUE"""),"customercare@skyexpress.gr")</f>
        <v>customercare@skyexpress.gr</v>
      </c>
      <c r="H236" s="127"/>
      <c r="I236" s="127"/>
      <c r="J236" s="127"/>
      <c r="K236" s="127"/>
      <c r="L236" s="127"/>
      <c r="M236" s="127"/>
      <c r="N236" s="127"/>
      <c r="O236" s="127"/>
      <c r="P236" s="127"/>
      <c r="Q236" s="127"/>
      <c r="R236" s="127"/>
      <c r="S236" s="127"/>
      <c r="T236" s="127"/>
      <c r="U236" s="127"/>
      <c r="V236" s="127"/>
      <c r="W236" s="127"/>
      <c r="X236" s="127"/>
      <c r="Y236" s="127"/>
      <c r="Z236" s="127"/>
      <c r="AA236" s="127"/>
      <c r="AB236" s="127"/>
    </row>
    <row r="237">
      <c r="A237" s="31" t="str">
        <f>IFERROR(__xludf.DUMMYFUNCTION("""COMPUTED_VALUE"""),"Sky Europe")</f>
        <v>Sky Europe</v>
      </c>
      <c r="B237" s="127"/>
      <c r="C237" s="128" t="str">
        <f>IFERROR(__xludf.DUMMYFUNCTION("""COMPUTED_VALUE"""),"noemail@Sky Europe")</f>
        <v>noemail@Sky Europe</v>
      </c>
      <c r="D237" s="129" t="str">
        <f>IFERROR(__xludf.DUMMYFUNCTION("""COMPUTED_VALUE"""),"webform w/ attachment")</f>
        <v>webform w/ attachment</v>
      </c>
      <c r="E237" s="131" t="str">
        <f>IFERROR(__xludf.DUMMYFUNCTION("""COMPUTED_VALUE"""),"https://www.esky.eu/about-us/contact#improper-execution-of-service?flight")</f>
        <v>https://www.esky.eu/about-us/contact#improper-execution-of-service?flight</v>
      </c>
      <c r="F237" s="127"/>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row>
    <row r="238">
      <c r="A238" s="31" t="str">
        <f>IFERROR(__xludf.DUMMYFUNCTION("""COMPUTED_VALUE"""),"Skyline Express Airlines/ Azur Air Ukraine (QU)")</f>
        <v>Skyline Express Airlines/ Azur Air Ukraine (QU)</v>
      </c>
      <c r="B238" s="127"/>
      <c r="C238" s="128" t="str">
        <f>IFERROR(__xludf.DUMMYFUNCTION("""COMPUTED_VALUE"""),"office@skylineexpress.aero")</f>
        <v>office@skylineexpress.aero</v>
      </c>
      <c r="D238" s="129" t="str">
        <f>IFERROR(__xludf.DUMMYFUNCTION("""COMPUTED_VALUE"""),"email")</f>
        <v>email</v>
      </c>
      <c r="E238" s="129" t="str">
        <f>IFERROR(__xludf.DUMMYFUNCTION("""COMPUTED_VALUE"""),"office@skylineexpress.aero")</f>
        <v>office@skylineexpress.aero</v>
      </c>
      <c r="F238" s="127"/>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row>
    <row r="239">
      <c r="A239" s="31" t="str">
        <f>IFERROR(__xludf.DUMMYFUNCTION("""COMPUTED_VALUE"""),"SkyWest Airlines")</f>
        <v>SkyWest Airlines</v>
      </c>
      <c r="B239" s="127"/>
      <c r="C239" s="128" t="str">
        <f>IFERROR(__xludf.DUMMYFUNCTION("""COMPUTED_VALUE"""),"info@skywest.com")</f>
        <v>info@skywest.com</v>
      </c>
      <c r="D239" s="129" t="str">
        <f>IFERROR(__xludf.DUMMYFUNCTION("""COMPUTED_VALUE"""),"e-mail")</f>
        <v>e-mail</v>
      </c>
      <c r="E239" s="129" t="str">
        <f>IFERROR(__xludf.DUMMYFUNCTION("""COMPUTED_VALUE"""),"info@skywest.com")</f>
        <v>info@skywest.com</v>
      </c>
      <c r="F239" s="127"/>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row>
    <row r="240">
      <c r="A240" s="31" t="str">
        <f>IFERROR(__xludf.DUMMYFUNCTION("""COMPUTED_VALUE"""),"SkyUP Airlines (U5)")</f>
        <v>SkyUP Airlines (U5)</v>
      </c>
      <c r="B240" s="127"/>
      <c r="C240" s="128" t="str">
        <f>IFERROR(__xludf.DUMMYFUNCTION("""COMPUTED_VALUE"""),"letstalk@skyup.aero, For Skyup MT: contact@skymalta.aero")</f>
        <v>letstalk@skyup.aero, For Skyup MT: contact@skymalta.aero</v>
      </c>
      <c r="D240" s="129" t="str">
        <f>IFERROR(__xludf.DUMMYFUNCTION("""COMPUTED_VALUE"""),"webform w/ attachment")</f>
        <v>webform w/ attachment</v>
      </c>
      <c r="E240" s="131" t="str">
        <f>IFERROR(__xludf.DUMMYFUNCTION("""COMPUTED_VALUE"""),"https://skyup.aero/en/faq")</f>
        <v>https://skyup.aero/en/faq</v>
      </c>
      <c r="F240" s="127" t="str">
        <f>IFERROR(__xludf.DUMMYFUNCTION("""COMPUTED_VALUE"""),"Boarding pass, Passport")</f>
        <v>Boarding pass, Passport</v>
      </c>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row>
    <row r="241">
      <c r="A241" s="31" t="str">
        <f>IFERROR(__xludf.DUMMYFUNCTION("""COMPUTED_VALUE"""),"Smart Lynx Airlines (6Y)")</f>
        <v>Smart Lynx Airlines (6Y)</v>
      </c>
      <c r="B241" s="127"/>
      <c r="C241" s="128" t="str">
        <f>IFERROR(__xludf.DUMMYFUNCTION("""COMPUTED_VALUE"""),"info@smart-lynx.com")</f>
        <v>info@smart-lynx.com</v>
      </c>
      <c r="D241" s="129" t="str">
        <f>IFERROR(__xludf.DUMMYFUNCTION("""COMPUTED_VALUE"""),"webform w/ attachment")</f>
        <v>webform w/ attachment</v>
      </c>
      <c r="E241" s="131" t="str">
        <f>IFERROR(__xludf.DUMMYFUNCTION("""COMPUTED_VALUE"""),"https://www.smartlynx.aero/en/passengers/claims")</f>
        <v>https://www.smartlynx.aero/en/passengers/claims</v>
      </c>
      <c r="F241" s="127"/>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row>
    <row r="242">
      <c r="A242" s="31" t="str">
        <f>IFERROR(__xludf.DUMMYFUNCTION("""COMPUTED_VALUE"""),"SmartWings / Travel Service (QS)")</f>
        <v>SmartWings / Travel Service (QS)</v>
      </c>
      <c r="B242" s="127"/>
      <c r="C242" s="128" t="str">
        <f>IFERROR(__xludf.DUMMYFUNCTION("""COMPUTED_VALUE"""),"customercare@travelservice.aero")</f>
        <v>customercare@travelservice.aero</v>
      </c>
      <c r="D242" s="129" t="str">
        <f>IFERROR(__xludf.DUMMYFUNCTION("""COMPUTED_VALUE"""),"webform w/o attachment")</f>
        <v>webform w/o attachment</v>
      </c>
      <c r="E242" s="131" t="str">
        <f>IFERROR(__xludf.DUMMYFUNCTION("""COMPUTED_VALUE"""),"https://claim.smartwingsgroup.com/en/")</f>
        <v>https://claim.smartwingsgroup.com/en/</v>
      </c>
      <c r="F242" s="127"/>
      <c r="G242" s="127" t="str">
        <f>IFERROR(__xludf.DUMMYFUNCTION("""COMPUTED_VALUE"""),"Travel Service, a.s.
 Claim department
 P.O. 68 BOX 119
 160 08 Prague 6
 Czech Republic")</f>
        <v>Travel Service, a.s.
 Claim department
 P.O. 68 BOX 119
 160 08 Prague 6
 Czech Republic</v>
      </c>
      <c r="H242" s="127"/>
      <c r="I242" s="127"/>
      <c r="J242" s="127"/>
      <c r="K242" s="127"/>
      <c r="L242" s="127"/>
      <c r="M242" s="127"/>
      <c r="N242" s="127"/>
      <c r="O242" s="127"/>
      <c r="P242" s="127"/>
      <c r="Q242" s="127"/>
      <c r="R242" s="127"/>
      <c r="S242" s="127"/>
      <c r="T242" s="127"/>
      <c r="U242" s="127"/>
      <c r="V242" s="127"/>
      <c r="W242" s="127"/>
      <c r="X242" s="127"/>
      <c r="Y242" s="127"/>
      <c r="Z242" s="127"/>
      <c r="AA242" s="127"/>
      <c r="AB242" s="127"/>
    </row>
    <row r="243">
      <c r="A243" s="31" t="str">
        <f>IFERROR(__xludf.DUMMYFUNCTION("""COMPUTED_VALUE"""),"Somon Air (SZ)")</f>
        <v>Somon Air (SZ)</v>
      </c>
      <c r="B243" s="127"/>
      <c r="C243" s="128" t="str">
        <f>IFERROR(__xludf.DUMMYFUNCTION("""COMPUTED_VALUE"""),"claims@somonair.com")</f>
        <v>claims@somonair.com</v>
      </c>
      <c r="D243" s="129" t="str">
        <f>IFERROR(__xludf.DUMMYFUNCTION("""COMPUTED_VALUE"""),"e-mail")</f>
        <v>e-mail</v>
      </c>
      <c r="E243" s="129" t="str">
        <f>IFERROR(__xludf.DUMMYFUNCTION("""COMPUTED_VALUE"""),"claims@somonair.com")</f>
        <v>claims@somonair.com</v>
      </c>
      <c r="F243" s="127"/>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row>
    <row r="244">
      <c r="A244" s="31" t="str">
        <f>IFERROR(__xludf.DUMMYFUNCTION("""COMPUTED_VALUE"""),"South African Airways (SA)")</f>
        <v>South African Airways (SA)</v>
      </c>
      <c r="B244" s="127"/>
      <c r="C244" s="128" t="str">
        <f>IFERROR(__xludf.DUMMYFUNCTION("""COMPUTED_VALUE"""),"dineomabale@flysaa.com, SAAcustomerservice@flysaa.com e-commerceonlinerefunds@flysaa.com")</f>
        <v>dineomabale@flysaa.com, SAAcustomerservice@flysaa.com e-commerceonlinerefunds@flysaa.com</v>
      </c>
      <c r="D244" s="129" t="str">
        <f>IFERROR(__xludf.DUMMYFUNCTION("""COMPUTED_VALUE"""),"webform w/o attachment")</f>
        <v>webform w/o attachment</v>
      </c>
      <c r="E244" s="131" t="str">
        <f>IFERROR(__xludf.DUMMYFUNCTION("""COMPUTED_VALUE"""),"https://www.flysaa.com/about-us/leading-carrier/our-vision/customer-service-charter")</f>
        <v>https://www.flysaa.com/about-us/leading-carrier/our-vision/customer-service-charter</v>
      </c>
      <c r="F244" s="127"/>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row>
    <row r="245">
      <c r="A245" s="31" t="str">
        <f>IFERROR(__xludf.DUMMYFUNCTION("""COMPUTED_VALUE"""),"Southwest Airlines")</f>
        <v>Southwest Airlines</v>
      </c>
      <c r="B245" s="127"/>
      <c r="C245" s="128" t="str">
        <f>IFERROR(__xludf.DUMMYFUNCTION("""COMPUTED_VALUE"""),"customerservice@southwest.com (This e-mail is fake! Only use for making child ticket)")</f>
        <v>customerservice@southwest.com (This e-mail is fake! Only use for making child ticket)</v>
      </c>
      <c r="D245" s="129" t="str">
        <f>IFERROR(__xludf.DUMMYFUNCTION("""COMPUTED_VALUE"""),"webform w/ attachment")</f>
        <v>webform w/ attachment</v>
      </c>
      <c r="E245" s="131" t="str">
        <f>IFERROR(__xludf.DUMMYFUNCTION("""COMPUTED_VALUE"""),"https://support.southwest.com/email-us/s/")</f>
        <v>https://support.southwest.com/email-us/s/</v>
      </c>
      <c r="F245" s="127"/>
      <c r="G245" s="127" t="str">
        <f>IFERROR(__xludf.DUMMYFUNCTION("""COMPUTED_VALUE"""),"Southwest Airlines
 P.O. Box 36647-1CR
 Dallas, Texas 75235")</f>
        <v>Southwest Airlines
 P.O. Box 36647-1CR
 Dallas, Texas 75235</v>
      </c>
      <c r="H245" s="127"/>
      <c r="I245" s="127"/>
      <c r="J245" s="127"/>
      <c r="K245" s="127"/>
      <c r="L245" s="127"/>
      <c r="M245" s="127"/>
      <c r="N245" s="127"/>
      <c r="O245" s="127"/>
      <c r="P245" s="127"/>
      <c r="Q245" s="127"/>
      <c r="R245" s="127"/>
      <c r="S245" s="127"/>
      <c r="T245" s="127"/>
      <c r="U245" s="127"/>
      <c r="V245" s="127"/>
      <c r="W245" s="127"/>
      <c r="X245" s="127"/>
      <c r="Y245" s="127"/>
      <c r="Z245" s="127"/>
      <c r="AA245" s="127"/>
      <c r="AB245" s="127"/>
    </row>
    <row r="246">
      <c r="A246" s="31" t="str">
        <f>IFERROR(__xludf.DUMMYFUNCTION("""COMPUTED_VALUE"""),"Southwind Airlines")</f>
        <v>Southwind Airlines</v>
      </c>
      <c r="B246" s="127"/>
      <c r="C246" s="128"/>
      <c r="D246" s="129" t="str">
        <f>IFERROR(__xludf.DUMMYFUNCTION("""COMPUTED_VALUE"""),"webform w/ attachment")</f>
        <v>webform w/ attachment</v>
      </c>
      <c r="E246" s="131" t="str">
        <f>IFERROR(__xludf.DUMMYFUNCTION("""COMPUTED_VALUE"""),"https://help.southwindairlines.com/forms/claim")</f>
        <v>https://help.southwindairlines.com/forms/claim</v>
      </c>
      <c r="F246" s="127"/>
      <c r="G246" s="127"/>
      <c r="H246" s="127" t="str">
        <f>IFERROR(__xludf.DUMMYFUNCTION("""COMPUTED_VALUE"""),"Need senders ID, Bank details cannot be matched ")</f>
        <v>Need senders ID, Bank details cannot be matched </v>
      </c>
      <c r="I246" s="127"/>
      <c r="J246" s="127"/>
      <c r="K246" s="127"/>
      <c r="L246" s="127"/>
      <c r="M246" s="127"/>
      <c r="N246" s="127"/>
      <c r="O246" s="127"/>
      <c r="P246" s="127"/>
      <c r="Q246" s="127"/>
      <c r="R246" s="127"/>
      <c r="S246" s="127"/>
      <c r="T246" s="127"/>
      <c r="U246" s="127"/>
      <c r="V246" s="127"/>
      <c r="W246" s="127"/>
      <c r="X246" s="127"/>
      <c r="Y246" s="127"/>
      <c r="Z246" s="127"/>
      <c r="AA246" s="127"/>
      <c r="AB246" s="127"/>
    </row>
    <row r="247">
      <c r="A247" s="31" t="str">
        <f>IFERROR(__xludf.DUMMYFUNCTION("""COMPUTED_VALUE"""),"Spirit Airlines")</f>
        <v>Spirit Airlines</v>
      </c>
      <c r="B247" s="127"/>
      <c r="C247" s="128" t="str">
        <f>IFERROR(__xludf.DUMMYFUNCTION("""COMPUTED_VALUE"""),"CustomerSupport@Spirit.com")</f>
        <v>CustomerSupport@Spirit.com</v>
      </c>
      <c r="D247" s="129" t="str">
        <f>IFERROR(__xludf.DUMMYFUNCTION("""COMPUTED_VALUE"""),"Via chatbot")</f>
        <v>Via chatbot</v>
      </c>
      <c r="E247" s="131" t="str">
        <f>IFERROR(__xludf.DUMMYFUNCTION("""COMPUTED_VALUE"""),"http://customersupport.spirit.com/create-case")</f>
        <v>http://customersupport.spirit.com/create-case</v>
      </c>
      <c r="F247" s="127"/>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row>
    <row r="248">
      <c r="A248" s="31" t="str">
        <f>IFERROR(__xludf.DUMMYFUNCTION("""COMPUTED_VALUE"""),"SriLankan Airlines")</f>
        <v>SriLankan Airlines</v>
      </c>
      <c r="B248" s="127"/>
      <c r="C248" s="128" t="str">
        <f>IFERROR(__xludf.DUMMYFUNCTION("""COMPUTED_VALUE"""),"customer@srilankan.com")</f>
        <v>customer@srilankan.com</v>
      </c>
      <c r="D248" s="129" t="str">
        <f>IFERROR(__xludf.DUMMYFUNCTION("""COMPUTED_VALUE"""),"e-mail")</f>
        <v>e-mail</v>
      </c>
      <c r="E248" s="129" t="str">
        <f>IFERROR(__xludf.DUMMYFUNCTION("""COMPUTED_VALUE"""),"customer@srilankan.com")</f>
        <v>customer@srilankan.com</v>
      </c>
      <c r="F248" s="127"/>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row>
    <row r="249">
      <c r="A249" s="31" t="str">
        <f>IFERROR(__xludf.DUMMYFUNCTION("""COMPUTED_VALUE"""),"Star Air")</f>
        <v>Star Air</v>
      </c>
      <c r="B249" s="127"/>
      <c r="C249" s="128" t="str">
        <f>IFERROR(__xludf.DUMMYFUNCTION("""COMPUTED_VALUE"""),"refunds@starair.in")</f>
        <v>refunds@starair.in</v>
      </c>
      <c r="D249" s="129" t="str">
        <f>IFERROR(__xludf.DUMMYFUNCTION("""COMPUTED_VALUE"""),"have to send via email")</f>
        <v>have to send via email</v>
      </c>
      <c r="E249" s="129"/>
      <c r="F249" s="127"/>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row>
    <row r="250">
      <c r="A250" s="31" t="str">
        <f>IFERROR(__xludf.DUMMYFUNCTION("""COMPUTED_VALUE"""),"STAR EAST AIRLINES")</f>
        <v>STAR EAST AIRLINES</v>
      </c>
      <c r="B250" s="127"/>
      <c r="C250" s="128" t="str">
        <f>IFERROR(__xludf.DUMMYFUNCTION("""COMPUTED_VALUE"""),"customercare@swissgroupinternational.com")</f>
        <v>customercare@swissgroupinternational.com</v>
      </c>
      <c r="D250" s="129"/>
      <c r="E250" s="129"/>
      <c r="F250" s="127"/>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row>
    <row r="251">
      <c r="A251" s="31" t="str">
        <f>IFERROR(__xludf.DUMMYFUNCTION("""COMPUTED_VALUE"""),"STP Airways")</f>
        <v>STP Airways</v>
      </c>
      <c r="B251" s="127"/>
      <c r="C251" s="133" t="str">
        <f>IFERROR(__xludf.DUMMYFUNCTION("""COMPUTED_VALUE"""),"reservationslis@stpairways.st")</f>
        <v>reservationslis@stpairways.st</v>
      </c>
      <c r="D251" s="129"/>
      <c r="E251" s="129"/>
      <c r="F251" s="127"/>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row>
    <row r="252">
      <c r="A252" s="31" t="str">
        <f>IFERROR(__xludf.DUMMYFUNCTION("""COMPUTED_VALUE"""),"SUN-AIR of Scandinavia A/S (EZ)")</f>
        <v>SUN-AIR of Scandinavia A/S (EZ)</v>
      </c>
      <c r="B252" s="127"/>
      <c r="C252" s="128" t="str">
        <f>IFERROR(__xludf.DUMMYFUNCTION("""COMPUTED_VALUE"""),"Customer.Relations@sunair.dk")</f>
        <v>Customer.Relations@sunair.dk</v>
      </c>
      <c r="D252" s="129" t="str">
        <f>IFERROR(__xludf.DUMMYFUNCTION("""COMPUTED_VALUE"""),"e-mail")</f>
        <v>e-mail</v>
      </c>
      <c r="E252" s="129" t="str">
        <f>IFERROR(__xludf.DUMMYFUNCTION("""COMPUTED_VALUE"""),"cr@sunair.dk")</f>
        <v>cr@sunair.dk</v>
      </c>
      <c r="F252" s="127"/>
      <c r="G252" s="127" t="str">
        <f>IFERROR(__xludf.DUMMYFUNCTION("""COMPUTED_VALUE"""),"SUN-AIR of Scandinavia A/S
 Customer Relations
 Cumulusvej 10
 DK-7190 Billund
 Denmark")</f>
        <v>SUN-AIR of Scandinavia A/S
 Customer Relations
 Cumulusvej 10
 DK-7190 Billund
 Denmark</v>
      </c>
      <c r="H252" s="127"/>
      <c r="I252" s="127"/>
      <c r="J252" s="127"/>
      <c r="K252" s="127"/>
      <c r="L252" s="127"/>
      <c r="M252" s="127"/>
      <c r="N252" s="127"/>
      <c r="O252" s="127"/>
      <c r="P252" s="127"/>
      <c r="Q252" s="127"/>
      <c r="R252" s="127"/>
      <c r="S252" s="127"/>
      <c r="T252" s="127"/>
      <c r="U252" s="127"/>
      <c r="V252" s="127"/>
      <c r="W252" s="127"/>
      <c r="X252" s="127"/>
      <c r="Y252" s="127"/>
      <c r="Z252" s="127"/>
      <c r="AA252" s="127"/>
      <c r="AB252" s="127"/>
    </row>
    <row r="253">
      <c r="A253" s="31" t="str">
        <f>IFERROR(__xludf.DUMMYFUNCTION("""COMPUTED_VALUE"""),"Sundair")</f>
        <v>Sundair</v>
      </c>
      <c r="B253" s="127"/>
      <c r="C253" s="128" t="str">
        <f>IFERROR(__xludf.DUMMYFUNCTION("""COMPUTED_VALUE"""),"CRM@SUNDAIR.com ")</f>
        <v>CRM@SUNDAIR.com </v>
      </c>
      <c r="D253" s="129"/>
      <c r="E253" s="129" t="str">
        <f>IFERROR(__xludf.DUMMYFUNCTION("""COMPUTED_VALUE"""),"CRM@SUNDAIR.com ")</f>
        <v>CRM@SUNDAIR.com </v>
      </c>
      <c r="F253" s="127"/>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row>
    <row r="254">
      <c r="A254" s="31" t="str">
        <f>IFERROR(__xludf.DUMMYFUNCTION("""COMPUTED_VALUE"""),"Sunexpress (XQ)")</f>
        <v>Sunexpress (XQ)</v>
      </c>
      <c r="B254" s="127"/>
      <c r="C254" s="128" t="str">
        <f>IFERROR(__xludf.DUMMYFUNCTION("""COMPUTED_VALUE"""),"service.claim@sunexpress.com")</f>
        <v>service.claim@sunexpress.com</v>
      </c>
      <c r="D254" s="129" t="str">
        <f>IFERROR(__xludf.DUMMYFUNCTION("""COMPUTED_VALUE"""),"webform w/o attachment")</f>
        <v>webform w/o attachment</v>
      </c>
      <c r="E254" s="131" t="str">
        <f>IFERROR(__xludf.DUMMYFUNCTION("""COMPUTED_VALUE"""),"https://customerservices.sunexpress.com/s/?language=en_US&amp;_gl=1*1yc3nzu*_up*MQ..*_ga*MjAxMDAyMjk5OC4xNzAzNDE1NTcy*_ga_4VKC9RR1V5*MTcwMzQxNTU3Mi4xLjEuMTcwMzQxNTk5My4wLjAuMA..                        ")</f>
        <v>https://customerservices.sunexpress.com/s/?language=en_US&amp;_gl=1*1yc3nzu*_up*MQ..*_ga*MjAxMDAyMjk5OC4xNzAzNDE1NTcy*_ga_4VKC9RR1V5*MTcwMzQxNTU3Mi4xLjEuMTcwMzQxNTk5My4wLjAuMA..                        </v>
      </c>
      <c r="F254" s="127" t="str">
        <f>IFERROR(__xludf.DUMMYFUNCTION("""COMPUTED_VALUE"""),"ID")</f>
        <v>ID</v>
      </c>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row>
    <row r="255">
      <c r="A255" s="31" t="str">
        <f>IFERROR(__xludf.DUMMYFUNCTION("""COMPUTED_VALUE"""),"Sunclass Airlines (DK)")</f>
        <v>Sunclass Airlines (DK)</v>
      </c>
      <c r="B255" s="127"/>
      <c r="C255" s="128" t="str">
        <f>IFERROR(__xludf.DUMMYFUNCTION("""COMPUTED_VALUE"""),"customerservice@sunclass.dk")</f>
        <v>customerservice@sunclass.dk</v>
      </c>
      <c r="D255" s="129" t="str">
        <f>IFERROR(__xludf.DUMMYFUNCTION("""COMPUTED_VALUE"""),"webform")</f>
        <v>webform</v>
      </c>
      <c r="E255" s="131" t="str">
        <f>IFERROR(__xludf.DUMMYFUNCTION("""COMPUTED_VALUE"""),"https://nltg.jotform.com/212292644592358?language=da")</f>
        <v>https://nltg.jotform.com/212292644592358?language=da</v>
      </c>
      <c r="F255" s="127"/>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row>
    <row r="256">
      <c r="A256" s="31" t="str">
        <f>IFERROR(__xludf.DUMMYFUNCTION("""COMPUTED_VALUE"""),"Sunwing (WG)")</f>
        <v>Sunwing (WG)</v>
      </c>
      <c r="B256" s="127"/>
      <c r="C256" s="128" t="str">
        <f>IFERROR(__xludf.DUMMYFUNCTION("""COMPUTED_VALUE"""),"customerservice@sunwing.ca")</f>
        <v>customerservice@sunwing.ca</v>
      </c>
      <c r="D256" s="129" t="str">
        <f>IFERROR(__xludf.DUMMYFUNCTION("""COMPUTED_VALUE"""),"e-mail")</f>
        <v>e-mail</v>
      </c>
      <c r="E256" s="131" t="str">
        <f>IFERROR(__xludf.DUMMYFUNCTION("""COMPUTED_VALUE"""),"https://www.sunwing.ca/en/sunwing-airlines/delay-claim")</f>
        <v>https://www.sunwing.ca/en/sunwing-airlines/delay-claim</v>
      </c>
      <c r="F256" s="127"/>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row>
    <row r="257">
      <c r="A257" s="31" t="str">
        <f>IFERROR(__xludf.DUMMYFUNCTION("""COMPUTED_VALUE"""),"Surinam Airways (PY)")</f>
        <v>Surinam Airways (PY)</v>
      </c>
      <c r="B257" s="127"/>
      <c r="C257" s="128" t="str">
        <f>IFERROR(__xludf.DUMMYFUNCTION("""COMPUTED_VALUE"""),"customerservice@flyslm.com")</f>
        <v>customerservice@flyslm.com</v>
      </c>
      <c r="D257" s="129" t="str">
        <f>IFERROR(__xludf.DUMMYFUNCTION("""COMPUTED_VALUE"""),"webform w/ attachment")</f>
        <v>webform w/ attachment</v>
      </c>
      <c r="E257" s="131" t="str">
        <f>IFERROR(__xludf.DUMMYFUNCTION("""COMPUTED_VALUE"""),"https://www.flyslm.com/support-center/contact-us/claims-complains")</f>
        <v>https://www.flyslm.com/support-center/contact-us/claims-complains</v>
      </c>
      <c r="F257" s="127"/>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row>
    <row r="258">
      <c r="A258" s="31" t="str">
        <f>IFERROR(__xludf.DUMMYFUNCTION("""COMPUTED_VALUE"""),"Swift Air")</f>
        <v>Swift Air</v>
      </c>
      <c r="B258" s="127"/>
      <c r="C258" s="128" t="str">
        <f>IFERROR(__xludf.DUMMYFUNCTION("""COMPUTED_VALUE"""),"aircomp@aircomp.aero")</f>
        <v>aircomp@aircomp.aero</v>
      </c>
      <c r="D258" s="129" t="str">
        <f>IFERROR(__xludf.DUMMYFUNCTION("""COMPUTED_VALUE"""),"webform w/ attachment")</f>
        <v>webform w/ attachment</v>
      </c>
      <c r="E258" s="131" t="str">
        <f>IFERROR(__xludf.DUMMYFUNCTION("""COMPUTED_VALUE"""),"https://www.swiftair.com/canal-de-denuncias/")</f>
        <v>https://www.swiftair.com/canal-de-denuncias/</v>
      </c>
      <c r="F258" s="127"/>
      <c r="G258" s="127" t="str">
        <f>IFERROR(__xludf.DUMMYFUNCTION("""COMPUTED_VALUE"""),"Ingeniero Torres Quevedo, 14 | Pol. Ind. “Fin de Semana” Crta. Madrid/Barcelona Km. 13.100 | 28022 - Madrid")</f>
        <v>Ingeniero Torres Quevedo, 14 | Pol. Ind. “Fin de Semana” Crta. Madrid/Barcelona Km. 13.100 | 28022 - Madrid</v>
      </c>
      <c r="H258" s="127"/>
      <c r="I258" s="127"/>
      <c r="J258" s="127"/>
      <c r="K258" s="127"/>
      <c r="L258" s="127"/>
      <c r="M258" s="127"/>
      <c r="N258" s="127"/>
      <c r="O258" s="127"/>
      <c r="P258" s="127"/>
      <c r="Q258" s="127"/>
      <c r="R258" s="127"/>
      <c r="S258" s="127"/>
      <c r="T258" s="127"/>
      <c r="U258" s="127"/>
      <c r="V258" s="127"/>
      <c r="W258" s="127"/>
      <c r="X258" s="127"/>
      <c r="Y258" s="127"/>
      <c r="Z258" s="127"/>
      <c r="AA258" s="127"/>
      <c r="AB258" s="127"/>
    </row>
    <row r="259">
      <c r="A259" s="31" t="str">
        <f>IFERROR(__xludf.DUMMYFUNCTION("""COMPUTED_VALUE"""),"Swiss International Airlines (LX)")</f>
        <v>Swiss International Airlines (LX)</v>
      </c>
      <c r="B259" s="127"/>
      <c r="C259" s="128" t="str">
        <f>IFERROR(__xludf.DUMMYFUNCTION("""COMPUTED_VALUE"""),"customerfeedback@swiss.com")</f>
        <v>customerfeedback@swiss.com</v>
      </c>
      <c r="D259" s="129" t="str">
        <f>IFERROR(__xludf.DUMMYFUNCTION("""COMPUTED_VALUE"""),"webform w/ attachment")</f>
        <v>webform w/ attachment</v>
      </c>
      <c r="E259" s="131" t="str">
        <f>IFERROR(__xludf.DUMMYFUNCTION("""COMPUTED_VALUE"""),"https://www.swiss.com/hu/en/customer-support/contact-us/feedback-past-flight")</f>
        <v>https://www.swiss.com/hu/en/customer-support/contact-us/feedback-past-flight</v>
      </c>
      <c r="F259" s="127" t="str">
        <f>IFERROR(__xludf.DUMMYFUNCTION("""COMPUTED_VALUE"""),"Ticket, confirmation email copy/ Boarding pass- not during submission, they ask it later")</f>
        <v>Ticket, confirmation email copy/ Boarding pass- not during submission, they ask it later</v>
      </c>
      <c r="G259" s="127" t="str">
        <f>IFERROR(__xludf.DUMMYFUNCTION("""COMPUTED_VALUE"""),"Authorisation form :https://www.swiss.com/content/dam/lx/global/documents/customer-support/travel-and-corona/power-of-attorney-en-fr.pdf")</f>
        <v>Authorisation form :https://www.swiss.com/content/dam/lx/global/documents/customer-support/travel-and-corona/power-of-attorney-en-fr.pdf</v>
      </c>
      <c r="H259" s="127"/>
      <c r="I259" s="127" t="str">
        <f>IFERROR(__xludf.DUMMYFUNCTION("""COMPUTED_VALUE"""),"Need ticket number")</f>
        <v>Need ticket number</v>
      </c>
      <c r="J259" s="127"/>
      <c r="K259" s="127"/>
      <c r="L259" s="127"/>
      <c r="M259" s="127"/>
      <c r="N259" s="127"/>
      <c r="O259" s="127"/>
      <c r="P259" s="127"/>
      <c r="Q259" s="127"/>
      <c r="R259" s="127"/>
      <c r="S259" s="127"/>
      <c r="T259" s="127"/>
      <c r="U259" s="127"/>
      <c r="V259" s="127"/>
      <c r="W259" s="127"/>
      <c r="X259" s="127"/>
      <c r="Y259" s="127"/>
      <c r="Z259" s="127"/>
      <c r="AA259" s="127"/>
      <c r="AB259" s="127"/>
    </row>
    <row r="260">
      <c r="A260" s="31" t="str">
        <f>IFERROR(__xludf.DUMMYFUNCTION("""COMPUTED_VALUE"""),"TAAG - Angola Airlines")</f>
        <v>TAAG - Angola Airlines</v>
      </c>
      <c r="B260" s="127"/>
      <c r="C260" s="128" t="str">
        <f>IFERROR(__xludf.DUMMYFUNCTION("""COMPUTED_VALUE"""),"customercare@flytaag.com")</f>
        <v>customercare@flytaag.com</v>
      </c>
      <c r="D260" s="129" t="str">
        <f>IFERROR(__xludf.DUMMYFUNCTION("""COMPUTED_VALUE"""),"e-mail")</f>
        <v>e-mail</v>
      </c>
      <c r="E260" s="129" t="str">
        <f>IFERROR(__xludf.DUMMYFUNCTION("""COMPUTED_VALUE"""),"customercare@flytaag.com")</f>
        <v>customercare@flytaag.com</v>
      </c>
      <c r="F260" s="127"/>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row>
    <row r="261">
      <c r="A261" s="31" t="str">
        <f>IFERROR(__xludf.DUMMYFUNCTION("""COMPUTED_VALUE"""),"TACV Cabo Verde Airlines (VR)")</f>
        <v>TACV Cabo Verde Airlines (VR)</v>
      </c>
      <c r="B261" s="127"/>
      <c r="C261" s="128" t="str">
        <f>IFERROR(__xludf.DUMMYFUNCTION("""COMPUTED_VALUE"""),"falecomtacv@tacv.aero")</f>
        <v>falecomtacv@tacv.aero</v>
      </c>
      <c r="D261" s="129" t="str">
        <f>IFERROR(__xludf.DUMMYFUNCTION("""COMPUTED_VALUE"""),"e-mail")</f>
        <v>e-mail</v>
      </c>
      <c r="E261" s="129" t="str">
        <f>IFERROR(__xludf.DUMMYFUNCTION("""COMPUTED_VALUE"""),"claims@caboverdeairlines.com")</f>
        <v>claims@caboverdeairlines.com</v>
      </c>
      <c r="F261" s="127"/>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row>
    <row r="262">
      <c r="A262" s="31" t="str">
        <f>IFERROR(__xludf.DUMMYFUNCTION("""COMPUTED_VALUE"""),"Tailwind Air")</f>
        <v>Tailwind Air</v>
      </c>
      <c r="B262" s="127"/>
      <c r="C262" s="128"/>
      <c r="D262" s="129"/>
      <c r="E262" s="129" t="str">
        <f>IFERROR(__xludf.DUMMYFUNCTION("""COMPUTED_VALUE"""),"customer@tailwind.com.tr")</f>
        <v>customer@tailwind.com.tr</v>
      </c>
      <c r="F262" s="127"/>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row>
    <row r="263">
      <c r="A263" s="31" t="str">
        <f>IFERROR(__xludf.DUMMYFUNCTION("""COMPUTED_VALUE"""),"Tam Brazilian Airlines (JJ)")</f>
        <v>Tam Brazilian Airlines (JJ)</v>
      </c>
      <c r="B263" s="127"/>
      <c r="C263" s="128" t="str">
        <f>IFERROR(__xludf.DUMMYFUNCTION("""COMPUTED_VALUE"""),"USA: talktous.usa@tam.com.br EUROPE: talktous.uk@tam.com.br / hableconnosotros.esp@tam.com.br")</f>
        <v>USA: talktous.usa@tam.com.br EUROPE: talktous.uk@tam.com.br / hableconnosotros.esp@tam.com.br</v>
      </c>
      <c r="D263" s="129" t="str">
        <f>IFERROR(__xludf.DUMMYFUNCTION("""COMPUTED_VALUE"""),"webform w/ attachment")</f>
        <v>webform w/ attachment</v>
      </c>
      <c r="E263" s="131" t="str">
        <f>IFERROR(__xludf.DUMMYFUNCTION("""COMPUTED_VALUE"""),"https://www.latamairlines.com/ca/en/help-center/create-case")</f>
        <v>https://www.latamairlines.com/ca/en/help-center/create-case</v>
      </c>
      <c r="F263" s="127"/>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row>
    <row r="264">
      <c r="A264" s="31" t="str">
        <f>IFERROR(__xludf.DUMMYFUNCTION("""COMPUTED_VALUE"""),"Titan Airways")</f>
        <v>Titan Airways</v>
      </c>
      <c r="B264" s="127"/>
      <c r="C264" s="128" t="str">
        <f>IFERROR(__xludf.DUMMYFUNCTION("""COMPUTED_VALUE"""),"charter@titan-airways.co.uk")</f>
        <v>charter@titan-airways.co.uk</v>
      </c>
      <c r="D264" s="129" t="str">
        <f>IFERROR(__xludf.DUMMYFUNCTION("""COMPUTED_VALUE"""),"email")</f>
        <v>email</v>
      </c>
      <c r="E264" s="129" t="str">
        <f>IFERROR(__xludf.DUMMYFUNCTION("""COMPUTED_VALUE"""),"charter@titan-airways.co.uk")</f>
        <v>charter@titan-airways.co.uk</v>
      </c>
      <c r="F264" s="127"/>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row>
    <row r="265">
      <c r="A265" s="31" t="str">
        <f>IFERROR(__xludf.DUMMYFUNCTION("""COMPUTED_VALUE"""),"Tap Portugal / Tap Airlines (TP)")</f>
        <v>Tap Portugal / Tap Airlines (TP)</v>
      </c>
      <c r="B265" s="127"/>
      <c r="C265" s="128" t="str">
        <f>IFERROR(__xludf.DUMMYFUNCTION("""COMPUTED_VALUE"""),"feedback.fc@crmtap.pt , CC: fc.claimrep@tap.pt")</f>
        <v>feedback.fc@crmtap.pt , CC: fc.claimrep@tap.pt</v>
      </c>
      <c r="D265" s="129" t="str">
        <f>IFERROR(__xludf.DUMMYFUNCTION("""COMPUTED_VALUE"""),"email")</f>
        <v>email</v>
      </c>
      <c r="E265" s="129" t="str">
        <f>IFERROR(__xludf.DUMMYFUNCTION("""COMPUTED_VALUE"""),"feedback.fc@crmtap.pt")</f>
        <v>feedback.fc@crmtap.pt</v>
      </c>
      <c r="F265" s="127"/>
      <c r="G265" s="127" t="str">
        <f>IFERROR(__xludf.DUMMYFUNCTION("""COMPUTED_VALUE"""),"For corresponding old claims: fc.claimrep@tap.pt")</f>
        <v>For corresponding old claims: fc.claimrep@tap.pt</v>
      </c>
      <c r="H265" s="127"/>
      <c r="I265" s="127"/>
      <c r="J265" s="127"/>
      <c r="K265" s="127"/>
      <c r="L265" s="127"/>
      <c r="M265" s="127"/>
      <c r="N265" s="127"/>
      <c r="O265" s="127"/>
      <c r="P265" s="127"/>
      <c r="Q265" s="127"/>
      <c r="R265" s="127"/>
      <c r="S265" s="127"/>
      <c r="T265" s="127"/>
      <c r="U265" s="127"/>
      <c r="V265" s="127"/>
      <c r="W265" s="127"/>
      <c r="X265" s="127"/>
      <c r="Y265" s="127"/>
      <c r="Z265" s="127"/>
      <c r="AA265" s="127"/>
      <c r="AB265" s="127"/>
    </row>
    <row r="266">
      <c r="A266" s="31" t="str">
        <f>IFERROR(__xludf.DUMMYFUNCTION("""COMPUTED_VALUE"""),"Tarom (RO)")</f>
        <v>Tarom (RO)</v>
      </c>
      <c r="B266" s="127"/>
      <c r="C266" s="128" t="str">
        <f>IFERROR(__xludf.DUMMYFUNCTION("""COMPUTED_VALUE"""),"customer.service@tarom.ro")</f>
        <v>customer.service@tarom.ro</v>
      </c>
      <c r="D266" s="129" t="str">
        <f>IFERROR(__xludf.DUMMYFUNCTION("""COMPUTED_VALUE"""),"currently by email")</f>
        <v>currently by email</v>
      </c>
      <c r="E266" s="129" t="str">
        <f>IFERROR(__xludf.DUMMYFUNCTION("""COMPUTED_VALUE"""),"customer.service@tarom.ro")</f>
        <v>customer.service@tarom.ro</v>
      </c>
      <c r="F266" s="127" t="str">
        <f>IFERROR(__xludf.DUMMYFUNCTION("""COMPUTED_VALUE"""),"Ticket number        (They don't accept PDF file as attachment)")</f>
        <v>Ticket number        (They don't accept PDF file as attachment)</v>
      </c>
      <c r="G266" s="127" t="str">
        <f>IFERROR(__xludf.DUMMYFUNCTION("""COMPUTED_VALUE"""),"TAROM Customer Relations
 Address: Calea Bucurestilor nr. 224 F
 Bucharest Henri Coanda International Airport
 Otopeni, Ilfov County
 Romania")</f>
        <v>TAROM Customer Relations
 Address: Calea Bucurestilor nr. 224 F
 Bucharest Henri Coanda International Airport
 Otopeni, Ilfov County
 Romania</v>
      </c>
      <c r="H266" s="127"/>
      <c r="I266" s="132" t="str">
        <f>IFERROR(__xludf.DUMMYFUNCTION("""COMPUTED_VALUE"""),"https://www.tarom.ro/en/complaints-related-flights")</f>
        <v>https://www.tarom.ro/en/complaints-related-flights</v>
      </c>
      <c r="J266" s="127"/>
      <c r="K266" s="127"/>
      <c r="L266" s="127"/>
      <c r="M266" s="127"/>
      <c r="N266" s="127"/>
      <c r="O266" s="127"/>
      <c r="P266" s="127"/>
      <c r="Q266" s="127"/>
      <c r="R266" s="127"/>
      <c r="S266" s="127"/>
      <c r="T266" s="127"/>
      <c r="U266" s="127"/>
      <c r="V266" s="127"/>
      <c r="W266" s="127"/>
      <c r="X266" s="127"/>
      <c r="Y266" s="127"/>
      <c r="Z266" s="127"/>
      <c r="AA266" s="127"/>
      <c r="AB266" s="127"/>
    </row>
    <row r="267">
      <c r="A267" s="31" t="str">
        <f>IFERROR(__xludf.DUMMYFUNCTION("""COMPUTED_VALUE"""),"Thai Airlines (TG)")</f>
        <v>Thai Airlines (TG)</v>
      </c>
      <c r="B267" s="127"/>
      <c r="C267" s="128" t="str">
        <f>IFERROR(__xludf.DUMMYFUNCTION("""COMPUTED_VALUE"""),"customer@thaiairways.com,contact@service.thaiairways.com, customer@thaiairways.com")</f>
        <v>customer@thaiairways.com,contact@service.thaiairways.com, customer@thaiairways.com</v>
      </c>
      <c r="D267" s="129" t="str">
        <f>IFERROR(__xludf.DUMMYFUNCTION("""COMPUTED_VALUE"""),"e-mail")</f>
        <v>e-mail</v>
      </c>
      <c r="E267" s="129" t="str">
        <f>IFERROR(__xludf.DUMMYFUNCTION("""COMPUTED_VALUE"""),"customerservices@thaiairways.co.uk (Only flight depart from UK) ")</f>
        <v>customerservices@thaiairways.co.uk (Only flight depart from UK) </v>
      </c>
      <c r="F267" s="127"/>
      <c r="G267" s="127" t="str">
        <f>IFERROR(__xludf.DUMMYFUNCTION("""COMPUTED_VALUE"""),"Residents of USA, Canada &amp; the Americas ONLY, please forward to laxclaim@thaiairwaysusa.com")</f>
        <v>Residents of USA, Canada &amp; the Americas ONLY, please forward to laxclaim@thaiairwaysusa.com</v>
      </c>
      <c r="H267" s="127"/>
      <c r="I267" s="127"/>
      <c r="J267" s="127"/>
      <c r="K267" s="127"/>
      <c r="L267" s="127"/>
      <c r="M267" s="127"/>
      <c r="N267" s="127"/>
      <c r="O267" s="127"/>
      <c r="P267" s="127"/>
      <c r="Q267" s="127"/>
      <c r="R267" s="127"/>
      <c r="S267" s="127"/>
      <c r="T267" s="127"/>
      <c r="U267" s="127"/>
      <c r="V267" s="127"/>
      <c r="W267" s="127"/>
      <c r="X267" s="127"/>
      <c r="Y267" s="127"/>
      <c r="Z267" s="127"/>
      <c r="AA267" s="127"/>
      <c r="AB267" s="127"/>
    </row>
    <row r="268">
      <c r="A268" s="31" t="str">
        <f>IFERROR(__xludf.DUMMYFUNCTION("""COMPUTED_VALUE"""),"Tassili Airlines")</f>
        <v>Tassili Airlines</v>
      </c>
      <c r="B268" s="127"/>
      <c r="C268" s="128" t="str">
        <f>IFERROR(__xludf.DUMMYFUNCTION("""COMPUTED_VALUE"""),"reclamation@tassiliairlines.dz")</f>
        <v>reclamation@tassiliairlines.dz</v>
      </c>
      <c r="D268" s="129" t="str">
        <f>IFERROR(__xludf.DUMMYFUNCTION("""COMPUTED_VALUE"""),"e-mail")</f>
        <v>e-mail</v>
      </c>
      <c r="E268" s="129" t="str">
        <f>IFERROR(__xludf.DUMMYFUNCTION("""COMPUTED_VALUE"""),"reclamation@tassiliairlines.dz")</f>
        <v>reclamation@tassiliairlines.dz</v>
      </c>
      <c r="F268" s="127"/>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row>
    <row r="269">
      <c r="A269" s="31" t="str">
        <f>IFERROR(__xludf.DUMMYFUNCTION("""COMPUTED_VALUE"""),"Thomas Cook Airlines Scandinavia (DK)---New name: Sunclass Airlines")</f>
        <v>Thomas Cook Airlines Scandinavia (DK)---New name: Sunclass Airlines</v>
      </c>
      <c r="B269" s="127"/>
      <c r="C269" s="128" t="str">
        <f>IFERROR(__xludf.DUMMYFUNCTION("""COMPUTED_VALUE"""),"Thomascookairlines@thomascook.dk, customerservice@thomascook.dk")</f>
        <v>Thomascookairlines@thomascook.dk, customerservice@thomascook.dk</v>
      </c>
      <c r="D269" s="129" t="str">
        <f>IFERROR(__xludf.DUMMYFUNCTION("""COMPUTED_VALUE"""),"Webform")</f>
        <v>Webform</v>
      </c>
      <c r="E269" s="131" t="str">
        <f>IFERROR(__xludf.DUMMYFUNCTION("""COMPUTED_VALUE"""),"https://nltg.jotform.com/212292644592358?data-lang=DA")</f>
        <v>https://nltg.jotform.com/212292644592358?data-lang=DA</v>
      </c>
      <c r="F269" s="127"/>
      <c r="G269" s="127" t="str">
        <f>IFERROR(__xludf.DUMMYFUNCTION("""COMPUTED_VALUE"""),"Thomas Cook Airlines Scandinavia
 Copenhagen Airport South
 2791 Dragør
 Denmark
 Att: Customerservice")</f>
        <v>Thomas Cook Airlines Scandinavia
 Copenhagen Airport South
 2791 Dragør
 Denmark
 Att: Customerservice</v>
      </c>
      <c r="H269" s="127"/>
      <c r="I269" s="127"/>
      <c r="J269" s="127"/>
      <c r="K269" s="127"/>
      <c r="L269" s="127"/>
      <c r="M269" s="127"/>
      <c r="N269" s="127"/>
      <c r="O269" s="127"/>
      <c r="P269" s="127"/>
      <c r="Q269" s="127"/>
      <c r="R269" s="127"/>
      <c r="S269" s="127"/>
      <c r="T269" s="127"/>
      <c r="U269" s="127"/>
      <c r="V269" s="127"/>
      <c r="W269" s="127"/>
      <c r="X269" s="127"/>
      <c r="Y269" s="127"/>
      <c r="Z269" s="127"/>
      <c r="AA269" s="127"/>
      <c r="AB269" s="127"/>
    </row>
    <row r="270">
      <c r="A270" s="31" t="str">
        <f>IFERROR(__xludf.DUMMYFUNCTION("""COMPUTED_VALUE"""),"Thomas Cook Ireland (MT)")</f>
        <v>Thomas Cook Ireland (MT)</v>
      </c>
      <c r="B270" s="127"/>
      <c r="C270" s="128" t="str">
        <f>IFERROR(__xludf.DUMMYFUNCTION("""COMPUTED_VALUE"""),"customer.services@thomascook.ie")</f>
        <v>customer.services@thomascook.ie</v>
      </c>
      <c r="D270" s="129" t="str">
        <f>IFERROR(__xludf.DUMMYFUNCTION("""COMPUTED_VALUE"""),"e-mail")</f>
        <v>e-mail</v>
      </c>
      <c r="E270" s="129" t="str">
        <f>IFERROR(__xludf.DUMMYFUNCTION("""COMPUTED_VALUE"""),"Page not opening")</f>
        <v>Page not opening</v>
      </c>
      <c r="F270" s="127"/>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row>
    <row r="271">
      <c r="A271" s="31" t="str">
        <f>IFERROR(__xludf.DUMMYFUNCTION("""COMPUTED_VALUE"""),"Thomson Airways (TOM)--New name TUI Airways")</f>
        <v>Thomson Airways (TOM)--New name TUI Airways</v>
      </c>
      <c r="B271" s="127"/>
      <c r="C271" s="128" t="str">
        <f>IFERROR(__xludf.DUMMYFUNCTION("""COMPUTED_VALUE"""),"Claims.flightdelay@tui.co.uk")</f>
        <v>Claims.flightdelay@tui.co.uk</v>
      </c>
      <c r="D271" s="129" t="str">
        <f>IFERROR(__xludf.DUMMYFUNCTION("""COMPUTED_VALUE"""),"E-mail")</f>
        <v>E-mail</v>
      </c>
      <c r="E271" s="131" t="str">
        <f>IFERROR(__xludf.DUMMYFUNCTION("""COMPUTED_VALUE"""),"Claims.flightdelay@tui.co.uk")</f>
        <v>Claims.flightdelay@tui.co.uk</v>
      </c>
      <c r="F271" s="127"/>
      <c r="G271" s="127" t="str">
        <f>IFERROR(__xludf.DUMMYFUNCTION("""COMPUTED_VALUE"""),"aftertraveladmin@thomson.co.uk ")</f>
        <v>aftertraveladmin@thomson.co.uk </v>
      </c>
      <c r="H271" s="127" t="str">
        <f>IFERROR(__xludf.DUMMYFUNCTION("""COMPUTED_VALUE"""),"All TUI flight numbers include ‘TOM’ or ‘BY")</f>
        <v>All TUI flight numbers include ‘TOM’ or ‘BY</v>
      </c>
      <c r="I271" s="127"/>
      <c r="J271" s="127"/>
      <c r="K271" s="127"/>
      <c r="L271" s="127"/>
      <c r="M271" s="127"/>
      <c r="N271" s="127"/>
      <c r="O271" s="127"/>
      <c r="P271" s="127"/>
      <c r="Q271" s="127"/>
      <c r="R271" s="127"/>
      <c r="S271" s="127"/>
      <c r="T271" s="127"/>
      <c r="U271" s="127"/>
      <c r="V271" s="127"/>
      <c r="W271" s="127"/>
      <c r="X271" s="127"/>
      <c r="Y271" s="127"/>
      <c r="Z271" s="127"/>
      <c r="AA271" s="127"/>
      <c r="AB271" s="127"/>
    </row>
    <row r="272">
      <c r="A272" s="31" t="str">
        <f>IFERROR(__xludf.DUMMYFUNCTION("""COMPUTED_VALUE"""),"Transavia / Transavia Denmark (HV)")</f>
        <v>Transavia / Transavia Denmark (HV)</v>
      </c>
      <c r="B272" s="127"/>
      <c r="C272" s="128" t="str">
        <f>IFERROR(__xludf.DUMMYFUNCTION("""COMPUTED_VALUE"""),"tip@transavia.com")</f>
        <v>tip@transavia.com</v>
      </c>
      <c r="D272" s="129" t="str">
        <f>IFERROR(__xludf.DUMMYFUNCTION("""COMPUTED_VALUE"""),"webform")</f>
        <v>webform</v>
      </c>
      <c r="E272" s="131" t="str">
        <f>IFERROR(__xludf.DUMMYFUNCTION("""COMPUTED_VALUE"""),"https://www.transavia.com/claims")</f>
        <v>https://www.transavia.com/claims</v>
      </c>
      <c r="F272" s="127"/>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row>
    <row r="273">
      <c r="A273" s="31" t="str">
        <f>IFERROR(__xludf.DUMMYFUNCTION("""COMPUTED_VALUE"""),"Travel Service A/S (QS)")</f>
        <v>Travel Service A/S (QS)</v>
      </c>
      <c r="B273" s="127"/>
      <c r="C273" s="128"/>
      <c r="D273" s="129" t="str">
        <f>IFERROR(__xludf.DUMMYFUNCTION("""COMPUTED_VALUE"""),"webform w/o attachment")</f>
        <v>webform w/o attachment</v>
      </c>
      <c r="E273" s="131" t="str">
        <f>IFERROR(__xludf.DUMMYFUNCTION("""COMPUTED_VALUE"""),"https://www.smartwings.com/en/contact-form")</f>
        <v>https://www.smartwings.com/en/contact-form</v>
      </c>
      <c r="F273" s="127"/>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row>
    <row r="274">
      <c r="A274" s="31" t="str">
        <f>IFERROR(__xludf.DUMMYFUNCTION("""COMPUTED_VALUE"""),"Trade Air Ltd")</f>
        <v>Trade Air Ltd</v>
      </c>
      <c r="B274" s="127"/>
      <c r="C274" s="133" t="str">
        <f>IFERROR(__xludf.DUMMYFUNCTION("""COMPUTED_VALUE"""),"putnici@trade-air.com")</f>
        <v>putnici@trade-air.com</v>
      </c>
      <c r="D274" s="129"/>
      <c r="E274" s="129"/>
      <c r="F274" s="127"/>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row>
    <row r="275">
      <c r="A275" s="31" t="str">
        <f>IFERROR(__xludf.DUMMYFUNCTION("""COMPUTED_VALUE"""),"Tui Airways (TOM/ BY)")</f>
        <v>Tui Airways (TOM/ BY)</v>
      </c>
      <c r="B275" s="127"/>
      <c r="C275" s="128" t="str">
        <f>IFERROR(__xludf.DUMMYFUNCTION("""COMPUTED_VALUE"""),"ec261.tui@nortonrosefulbright.com")</f>
        <v>ec261.tui@nortonrosefulbright.com</v>
      </c>
      <c r="D275" s="129" t="str">
        <f>IFERROR(__xludf.DUMMYFUNCTION("""COMPUTED_VALUE"""),"webform w/o attachment")</f>
        <v>webform w/o attachment</v>
      </c>
      <c r="E275" s="131" t="str">
        <f>IFERROR(__xludf.DUMMYFUNCTION("""COMPUTED_VALUE"""),"https://www.tui.co.uk/destinations/contact-us/flight-delays")</f>
        <v>https://www.tui.co.uk/destinations/contact-us/flight-delays</v>
      </c>
      <c r="F275" s="127" t="str">
        <f>IFERROR(__xludf.DUMMYFUNCTION("""COMPUTED_VALUE"""),"Date of birth, mobile number")</f>
        <v>Date of birth, mobile number</v>
      </c>
      <c r="G275" s="127" t="str">
        <f>IFERROR(__xludf.DUMMYFUNCTION("""COMPUTED_VALUE"""),"Claims.flightdelay@tui.co.uk")</f>
        <v>Claims.flightdelay@tui.co.uk</v>
      </c>
      <c r="H275" s="127"/>
      <c r="I275" s="127"/>
      <c r="J275" s="127"/>
      <c r="K275" s="127"/>
      <c r="L275" s="127"/>
      <c r="M275" s="127"/>
      <c r="N275" s="127"/>
      <c r="O275" s="127"/>
      <c r="P275" s="127"/>
      <c r="Q275" s="127"/>
      <c r="R275" s="127"/>
      <c r="S275" s="127"/>
      <c r="T275" s="127"/>
      <c r="U275" s="127"/>
      <c r="V275" s="127"/>
      <c r="W275" s="127"/>
      <c r="X275" s="127"/>
      <c r="Y275" s="127"/>
      <c r="Z275" s="127"/>
      <c r="AA275" s="127"/>
      <c r="AB275" s="127"/>
    </row>
    <row r="276">
      <c r="A276" s="31" t="str">
        <f>IFERROR(__xludf.DUMMYFUNCTION("""COMPUTED_VALUE"""),"TUIFly (X3)")</f>
        <v>TUIFly (X3)</v>
      </c>
      <c r="B276" s="127"/>
      <c r="C276" s="128" t="str">
        <f>IFERROR(__xludf.DUMMYFUNCTION("""COMPUTED_VALUE"""),"kundenservice@tuifly.com")</f>
        <v>kundenservice@tuifly.com</v>
      </c>
      <c r="D276" s="129" t="str">
        <f>IFERROR(__xludf.DUMMYFUNCTION("""COMPUTED_VALUE"""),"webform")</f>
        <v>webform</v>
      </c>
      <c r="E276" s="131" t="str">
        <f>IFERROR(__xludf.DUMMYFUNCTION("""COMPUTED_VALUE"""),"https://claims.tuifly.com/tuifly/v1/claims/choose_claimant_type")</f>
        <v>https://claims.tuifly.com/tuifly/v1/claims/choose_claimant_type</v>
      </c>
      <c r="F276" s="127"/>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row>
    <row r="277">
      <c r="A277" s="31" t="str">
        <f>IFERROR(__xludf.DUMMYFUNCTION("""COMPUTED_VALUE"""),"TUIfly Belgium (TB/JAF)")</f>
        <v>TUIfly Belgium (TB/JAF)</v>
      </c>
      <c r="B277" s="127"/>
      <c r="C277" s="128" t="str">
        <f>IFERROR(__xludf.DUMMYFUNCTION("""COMPUTED_VALUE"""),"frontoffice.zav@tui.be")</f>
        <v>frontoffice.zav@tui.be</v>
      </c>
      <c r="D277" s="129" t="str">
        <f>IFERROR(__xludf.DUMMYFUNCTION("""COMPUTED_VALUE"""),"webform")</f>
        <v>webform</v>
      </c>
      <c r="E277" s="131" t="str">
        <f>IFERROR(__xludf.DUMMYFUNCTION("""COMPUTED_VALUE"""),"https://www.tuifly.be/en/complaint-others")</f>
        <v>https://www.tuifly.be/en/complaint-others</v>
      </c>
      <c r="F277" s="127"/>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row>
    <row r="278">
      <c r="A278" s="31" t="str">
        <f>IFERROR(__xludf.DUMMYFUNCTION("""COMPUTED_VALUE"""),"TUIfly Netherlands / ArkeFly (OR)")</f>
        <v>TUIfly Netherlands / ArkeFly (OR)</v>
      </c>
      <c r="B278" s="127"/>
      <c r="C278" s="128" t="str">
        <f>IFERROR(__xludf.DUMMYFUNCTION("""COMPUTED_VALUE"""),"fdc@tui.nl")</f>
        <v>fdc@tui.nl</v>
      </c>
      <c r="D278" s="129" t="str">
        <f>IFERROR(__xludf.DUMMYFUNCTION("""COMPUTED_VALUE"""),"webform")</f>
        <v>webform</v>
      </c>
      <c r="E278" s="131" t="str">
        <f>IFERROR(__xludf.DUMMYFUNCTION("""COMPUTED_VALUE"""),"fdc@tui.nl")</f>
        <v>fdc@tui.nl</v>
      </c>
      <c r="F278" s="127"/>
      <c r="G278" s="127" t="str">
        <f>IFERROR(__xludf.DUMMYFUNCTION("""COMPUTED_VALUE"""),"info@arkefly.nl")</f>
        <v>info@arkefly.nl</v>
      </c>
      <c r="H278" s="127"/>
      <c r="I278" s="127"/>
      <c r="J278" s="127"/>
      <c r="K278" s="127"/>
      <c r="L278" s="127"/>
      <c r="M278" s="127"/>
      <c r="N278" s="127"/>
      <c r="O278" s="127"/>
      <c r="P278" s="127"/>
      <c r="Q278" s="127"/>
      <c r="R278" s="127"/>
      <c r="S278" s="127"/>
      <c r="T278" s="127"/>
      <c r="U278" s="127"/>
      <c r="V278" s="127"/>
      <c r="W278" s="127"/>
      <c r="X278" s="127"/>
      <c r="Y278" s="127"/>
      <c r="Z278" s="127"/>
      <c r="AA278" s="127"/>
      <c r="AB278" s="127"/>
    </row>
    <row r="279">
      <c r="A279" s="31" t="str">
        <f>IFERROR(__xludf.DUMMYFUNCTION("""COMPUTED_VALUE"""),"TUIfly Nordic (6B/ BLX)")</f>
        <v>TUIfly Nordic (6B/ BLX)</v>
      </c>
      <c r="B279" s="127"/>
      <c r="C279" s="128" t="str">
        <f>IFERROR(__xludf.DUMMYFUNCTION("""COMPUTED_VALUE"""),"reklamation@tuiflynordic.se")</f>
        <v>reklamation@tuiflynordic.se</v>
      </c>
      <c r="D279" s="129" t="str">
        <f>IFERROR(__xludf.DUMMYFUNCTION("""COMPUTED_VALUE"""),"webform w/ attachment")</f>
        <v>webform w/ attachment</v>
      </c>
      <c r="E279" s="131" t="str">
        <f>IFERROR(__xludf.DUMMYFUNCTION("""COMPUTED_VALUE"""),"https://www.tuiflynordic.se/forseningar-och-reklamationer/formular/")</f>
        <v>https://www.tuiflynordic.se/forseningar-och-reklamationer/formular/</v>
      </c>
      <c r="F279" s="127"/>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row>
    <row r="280">
      <c r="A280" s="31" t="str">
        <f>IFERROR(__xludf.DUMMYFUNCTION("""COMPUTED_VALUE"""),"Tunis Air (TU)")</f>
        <v>Tunis Air (TU)</v>
      </c>
      <c r="B280" s="127"/>
      <c r="C280" s="128" t="str">
        <f>IFERROR(__xludf.DUMMYFUNCTION("""COMPUTED_VALUE"""),"ecoute.client@tunisairexpress.com.tn")</f>
        <v>ecoute.client@tunisairexpress.com.tn</v>
      </c>
      <c r="D280" s="129" t="str">
        <f>IFERROR(__xludf.DUMMYFUNCTION("""COMPUTED_VALUE"""),"webform w/ attachment")</f>
        <v>webform w/ attachment</v>
      </c>
      <c r="E280" s="131" t="str">
        <f>IFERROR(__xludf.DUMMYFUNCTION("""COMPUTED_VALUE"""),"https://www.tunisair.com/fr/reclamation?category_id=1")</f>
        <v>https://www.tunisair.com/fr/reclamation?category_id=1</v>
      </c>
      <c r="F280" s="127" t="str">
        <f>IFERROR(__xludf.DUMMYFUNCTION("""COMPUTED_VALUE"""),"Ticket number")</f>
        <v>Ticket number</v>
      </c>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row>
    <row r="281">
      <c r="A281" s="31" t="str">
        <f>IFERROR(__xludf.DUMMYFUNCTION("""COMPUTED_VALUE"""),"Tunis Air Express(UG)")</f>
        <v>Tunis Air Express(UG)</v>
      </c>
      <c r="B281" s="127"/>
      <c r="C281" s="128" t="str">
        <f>IFERROR(__xludf.DUMMYFUNCTION("""COMPUTED_VALUE"""),"ecoute.client@tunisairexpress.com.tn")</f>
        <v>ecoute.client@tunisairexpress.com.tn</v>
      </c>
      <c r="D281" s="129" t="str">
        <f>IFERROR(__xludf.DUMMYFUNCTION("""COMPUTED_VALUE"""),"webform w/o attachment")</f>
        <v>webform w/o attachment</v>
      </c>
      <c r="E281" s="131" t="str">
        <f>IFERROR(__xludf.DUMMYFUNCTION("""COMPUTED_VALUE"""),"https://www.tunisairexpress.net/en/complaints-and-customer-assistance/")</f>
        <v>https://www.tunisairexpress.net/en/complaints-and-customer-assistance/</v>
      </c>
      <c r="F281" s="127"/>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row>
    <row r="282">
      <c r="A282" s="31" t="str">
        <f>IFERROR(__xludf.DUMMYFUNCTION("""COMPUTED_VALUE"""),"Turkish Airlines (TK)")</f>
        <v>Turkish Airlines (TK)</v>
      </c>
      <c r="B282" s="127"/>
      <c r="C282" s="128" t="str">
        <f>IFERROR(__xludf.DUMMYFUNCTION("""COMPUTED_VALUE"""),"customer2@thy.com")</f>
        <v>customer2@thy.com</v>
      </c>
      <c r="D282" s="129" t="str">
        <f>IFERROR(__xludf.DUMMYFUNCTION("""COMPUTED_VALUE"""),"webform w/ attachment")</f>
        <v>webform w/ attachment</v>
      </c>
      <c r="E282" s="131" t="str">
        <f>IFERROR(__xludf.DUMMYFUNCTION("""COMPUTED_VALUE"""),"https://www.turkishairlines.com/en-int/any-questions/customer-relations/feedback/")</f>
        <v>https://www.turkishairlines.com/en-int/any-questions/customer-relations/feedback/</v>
      </c>
      <c r="F282" s="127" t="str">
        <f>IFERROR(__xludf.DUMMYFUNCTION("""COMPUTED_VALUE"""),"ID")</f>
        <v>ID</v>
      </c>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row>
    <row r="283">
      <c r="A283" s="31" t="str">
        <f>IFERROR(__xludf.DUMMYFUNCTION("""COMPUTED_VALUE"""),"Turkmenistan Airlines")</f>
        <v>Turkmenistan Airlines</v>
      </c>
      <c r="B283" s="127"/>
      <c r="C283" s="128" t="str">
        <f>IFERROR(__xludf.DUMMYFUNCTION("""COMPUTED_VALUE"""),"legaldep@turkmenistanairlines.tm")</f>
        <v>legaldep@turkmenistanairlines.tm</v>
      </c>
      <c r="D283" s="129" t="str">
        <f>IFERROR(__xludf.DUMMYFUNCTION("""COMPUTED_VALUE"""),"e-mail")</f>
        <v>e-mail</v>
      </c>
      <c r="E283" s="129" t="str">
        <f>IFERROR(__xludf.DUMMYFUNCTION("""COMPUTED_VALUE"""),"legaldep@turkmenistanairlines.tm")</f>
        <v>legaldep@turkmenistanairlines.tm</v>
      </c>
      <c r="F283" s="127"/>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row>
    <row r="284">
      <c r="A284" s="31" t="str">
        <f>IFERROR(__xludf.DUMMYFUNCTION("""COMPUTED_VALUE"""),"TUS Airways")</f>
        <v>TUS Airways</v>
      </c>
      <c r="B284" s="127"/>
      <c r="C284" s="128" t="str">
        <f>IFERROR(__xludf.DUMMYFUNCTION("""COMPUTED_VALUE"""),"claims@tusairways.com, claims@tusairways.com")</f>
        <v>claims@tusairways.com, claims@tusairways.com</v>
      </c>
      <c r="D284" s="129" t="str">
        <f>IFERROR(__xludf.DUMMYFUNCTION("""COMPUTED_VALUE"""),"e-mail")</f>
        <v>e-mail</v>
      </c>
      <c r="E284" s="129" t="str">
        <f>IFERROR(__xludf.DUMMYFUNCTION("""COMPUTED_VALUE"""),"claims@tusairways.com")</f>
        <v>claims@tusairways.com</v>
      </c>
      <c r="F284" s="127"/>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row>
    <row r="285">
      <c r="A285" s="31" t="str">
        <f>IFERROR(__xludf.DUMMYFUNCTION("""COMPUTED_VALUE"""),"T'way Air")</f>
        <v>T'way Air</v>
      </c>
      <c r="B285" s="127"/>
      <c r="C285" s="133" t="str">
        <f>IFERROR(__xludf.DUMMYFUNCTION("""COMPUTED_VALUE"""),"twayairit@gmail.com")</f>
        <v>twayairit@gmail.com</v>
      </c>
      <c r="D285" s="129"/>
      <c r="E285" s="129"/>
      <c r="F285" s="127"/>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row>
    <row r="286">
      <c r="A286" s="31" t="str">
        <f>IFERROR(__xludf.DUMMYFUNCTION("""COMPUTED_VALUE"""),"Uganda Airlines")</f>
        <v>Uganda Airlines</v>
      </c>
      <c r="B286" s="127"/>
      <c r="C286" s="128" t="str">
        <f>IFERROR(__xludf.DUMMYFUNCTION("""COMPUTED_VALUE"""),"reservations@ugandairlines.com")</f>
        <v>reservations@ugandairlines.com</v>
      </c>
      <c r="D286" s="129" t="str">
        <f>IFERROR(__xludf.DUMMYFUNCTION("""COMPUTED_VALUE"""),"e-mail")</f>
        <v>e-mail</v>
      </c>
      <c r="E286" s="129" t="str">
        <f>IFERROR(__xludf.DUMMYFUNCTION("""COMPUTED_VALUE"""),"reservations@ugandairlines.com")</f>
        <v>reservations@ugandairlines.com</v>
      </c>
      <c r="F286" s="127"/>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row>
    <row r="287">
      <c r="A287" s="31" t="str">
        <f>IFERROR(__xludf.DUMMYFUNCTION("""COMPUTED_VALUE"""),"Ukraine International Airlines (PS)")</f>
        <v>Ukraine International Airlines (PS)</v>
      </c>
      <c r="B287" s="127"/>
      <c r="C287" s="128" t="str">
        <f>IFERROR(__xludf.DUMMYFUNCTION("""COMPUTED_VALUE"""),"uia@flyuia.com")</f>
        <v>uia@flyuia.com</v>
      </c>
      <c r="D287" s="129" t="str">
        <f>IFERROR(__xludf.DUMMYFUNCTION("""COMPUTED_VALUE"""),"e-mail")</f>
        <v>e-mail</v>
      </c>
      <c r="E287" s="129"/>
      <c r="F287" s="127"/>
      <c r="G287" s="127"/>
      <c r="H287" s="127" t="str">
        <f>IFERROR(__xludf.DUMMYFUNCTION("""COMPUTED_VALUE"""),"Ceased operations: 24 February 2022 (only temporarily until the end of the war")</f>
        <v>Ceased operations: 24 February 2022 (only temporarily until the end of the war</v>
      </c>
      <c r="I287" s="127"/>
      <c r="J287" s="127"/>
      <c r="K287" s="127"/>
      <c r="L287" s="127"/>
      <c r="M287" s="127"/>
      <c r="N287" s="127"/>
      <c r="O287" s="127"/>
      <c r="P287" s="127"/>
      <c r="Q287" s="127"/>
      <c r="R287" s="127"/>
      <c r="S287" s="127"/>
      <c r="T287" s="127"/>
      <c r="U287" s="127"/>
      <c r="V287" s="127"/>
      <c r="W287" s="127"/>
      <c r="X287" s="127"/>
      <c r="Y287" s="127"/>
      <c r="Z287" s="127"/>
      <c r="AA287" s="127"/>
      <c r="AB287" s="127"/>
    </row>
    <row r="288">
      <c r="A288" s="31" t="str">
        <f>IFERROR(__xludf.DUMMYFUNCTION("""COMPUTED_VALUE"""),"United Airlines (UA)")</f>
        <v>United Airlines (UA)</v>
      </c>
      <c r="B288" s="127"/>
      <c r="C288" s="128" t="str">
        <f>IFERROR(__xludf.DUMMYFUNCTION("""COMPUTED_VALUE"""),"customer.care@united.com")</f>
        <v>customer.care@united.com</v>
      </c>
      <c r="D288" s="129" t="str">
        <f>IFERROR(__xludf.DUMMYFUNCTION("""COMPUTED_VALUE"""),"webform w/ attachment")</f>
        <v>webform w/ attachment</v>
      </c>
      <c r="E288" s="131" t="str">
        <f>IFERROR(__xludf.DUMMYFUNCTION("""COMPUTED_VALUE"""),"https://www.united.com/en/us/customercare")</f>
        <v>https://www.united.com/en/us/customercare</v>
      </c>
      <c r="F288" s="127"/>
      <c r="G288" s="132" t="str">
        <f>IFERROR(__xludf.DUMMYFUNCTION("""COMPUTED_VALUE"""),"https://www.united.com/en/us/refunds")</f>
        <v>https://www.united.com/en/us/refunds</v>
      </c>
      <c r="H288" s="127"/>
      <c r="I288" s="127"/>
      <c r="J288" s="127"/>
      <c r="K288" s="127"/>
      <c r="L288" s="127"/>
      <c r="M288" s="127"/>
      <c r="N288" s="127"/>
      <c r="O288" s="127"/>
      <c r="P288" s="127"/>
      <c r="Q288" s="127"/>
      <c r="R288" s="127"/>
      <c r="S288" s="127"/>
      <c r="T288" s="127"/>
      <c r="U288" s="127"/>
      <c r="V288" s="127"/>
      <c r="W288" s="127"/>
      <c r="X288" s="127"/>
      <c r="Y288" s="127"/>
      <c r="Z288" s="127"/>
      <c r="AA288" s="127"/>
      <c r="AB288" s="127"/>
    </row>
    <row r="289">
      <c r="A289" s="31" t="str">
        <f>IFERROR(__xludf.DUMMYFUNCTION("""COMPUTED_VALUE"""),"Universal Air (VO)")</f>
        <v>Universal Air (VO)</v>
      </c>
      <c r="B289" s="127"/>
      <c r="C289" s="128" t="str">
        <f>IFERROR(__xludf.DUMMYFUNCTION("""COMPUTED_VALUE"""),"hello@flyuniversalair.com")</f>
        <v>hello@flyuniversalair.com</v>
      </c>
      <c r="D289" s="129"/>
      <c r="E289" s="129" t="str">
        <f>IFERROR(__xludf.DUMMYFUNCTION("""COMPUTED_VALUE"""),"hello@flyuniversalair.com")</f>
        <v>hello@flyuniversalair.com</v>
      </c>
      <c r="F289" s="127"/>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row>
    <row r="290">
      <c r="A290" s="31" t="str">
        <f>IFERROR(__xludf.DUMMYFUNCTION("""COMPUTED_VALUE"""),"Ural Airlines (U6)")</f>
        <v>Ural Airlines (U6)</v>
      </c>
      <c r="B290" s="127"/>
      <c r="C290" s="128" t="str">
        <f>IFERROR(__xludf.DUMMYFUNCTION("""COMPUTED_VALUE"""),"company@uralairlines.ru")</f>
        <v>company@uralairlines.ru</v>
      </c>
      <c r="D290" s="129" t="str">
        <f>IFERROR(__xludf.DUMMYFUNCTION("""COMPUTED_VALUE"""),"By post")</f>
        <v>By post</v>
      </c>
      <c r="E290" s="129" t="str">
        <f>IFERROR(__xludf.DUMMYFUNCTION("""COMPUTED_VALUE"""),"620025 Yekaterinburg, Utrenny lane 1G")</f>
        <v>620025 Yekaterinburg, Utrenny lane 1G</v>
      </c>
      <c r="F290" s="127"/>
      <c r="G290" s="127"/>
      <c r="H290" s="132" t="str">
        <f>IFERROR(__xludf.DUMMYFUNCTION("""COMPUTED_VALUE"""),"Claim form: https://www.uralairlines.ru/upload/vozvrat.docx")</f>
        <v>Claim form: https://www.uralairlines.ru/upload/vozvrat.docx</v>
      </c>
      <c r="I290" s="127"/>
      <c r="J290" s="127"/>
      <c r="K290" s="127"/>
      <c r="L290" s="127"/>
      <c r="M290" s="127"/>
      <c r="N290" s="127"/>
      <c r="O290" s="127"/>
      <c r="P290" s="127"/>
      <c r="Q290" s="127"/>
      <c r="R290" s="127"/>
      <c r="S290" s="127"/>
      <c r="T290" s="127"/>
      <c r="U290" s="127"/>
      <c r="V290" s="127"/>
      <c r="W290" s="127"/>
      <c r="X290" s="127"/>
      <c r="Y290" s="127"/>
      <c r="Z290" s="127"/>
      <c r="AA290" s="127"/>
      <c r="AB290" s="127"/>
    </row>
    <row r="291">
      <c r="A291" s="31" t="str">
        <f>IFERROR(__xludf.DUMMYFUNCTION("""COMPUTED_VALUE"""),"UTair (UT)")</f>
        <v>UTair (UT)</v>
      </c>
      <c r="B291" s="127"/>
      <c r="C291" s="128" t="str">
        <f>IFERROR(__xludf.DUMMYFUNCTION("""COMPUTED_VALUE"""),"status@utair.ru")</f>
        <v>status@utair.ru</v>
      </c>
      <c r="D291" s="129" t="str">
        <f>IFERROR(__xludf.DUMMYFUNCTION("""COMPUTED_VALUE"""),"e-mail")</f>
        <v>e-mail</v>
      </c>
      <c r="E291" s="129" t="str">
        <f>IFERROR(__xludf.DUMMYFUNCTION("""COMPUTED_VALUE"""),"office@utair.ru")</f>
        <v>office@utair.ru</v>
      </c>
      <c r="F291" s="127"/>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row>
    <row r="292">
      <c r="A292" s="31" t="str">
        <f>IFERROR(__xludf.DUMMYFUNCTION("""COMPUTED_VALUE"""),"Uzbekistan Airways")</f>
        <v>Uzbekistan Airways</v>
      </c>
      <c r="B292" s="127"/>
      <c r="C292" s="128"/>
      <c r="D292" s="129" t="str">
        <f>IFERROR(__xludf.DUMMYFUNCTION("""COMPUTED_VALUE"""),"webform w/ attachment")</f>
        <v>webform w/ attachment</v>
      </c>
      <c r="E292" s="131" t="str">
        <f>IFERROR(__xludf.DUMMYFUNCTION("""COMPUTED_VALUE"""),"https://www.uzairways.com/en/contact/pretenzii")</f>
        <v>https://www.uzairways.com/en/contact/pretenzii</v>
      </c>
      <c r="F292" s="127"/>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row>
    <row r="293">
      <c r="A293" s="31" t="str">
        <f>IFERROR(__xludf.DUMMYFUNCTION("""COMPUTED_VALUE"""),"Vietnam Airlines (VN)")</f>
        <v>Vietnam Airlines (VN)</v>
      </c>
      <c r="B293" s="127"/>
      <c r="C293" s="128" t="str">
        <f>IFERROR(__xludf.DUMMYFUNCTION("""COMPUTED_VALUE"""),"vna.uk@vietnamairlines.com")</f>
        <v>vna.uk@vietnamairlines.com</v>
      </c>
      <c r="D293" s="129" t="str">
        <f>IFERROR(__xludf.DUMMYFUNCTION("""COMPUTED_VALUE"""),"e-mail")</f>
        <v>e-mail</v>
      </c>
      <c r="E293" s="129" t="str">
        <f>IFERROR(__xludf.DUMMYFUNCTION("""COMPUTED_VALUE"""),"customercare.uk@vietnamairlines.com")</f>
        <v>customercare.uk@vietnamairlines.com</v>
      </c>
      <c r="F293" s="127"/>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row>
    <row r="294">
      <c r="A294" s="31" t="str">
        <f>IFERROR(__xludf.DUMMYFUNCTION("""COMPUTED_VALUE"""),"Virgin Atlantic (VS)")</f>
        <v>Virgin Atlantic (VS)</v>
      </c>
      <c r="B294" s="127"/>
      <c r="C294" s="128" t="str">
        <f>IFERROR(__xludf.DUMMYFUNCTION("""COMPUTED_VALUE"""),"customer.relations@fly.virgin.com")</f>
        <v>customer.relations@fly.virgin.com</v>
      </c>
      <c r="D294" s="129" t="str">
        <f>IFERROR(__xludf.DUMMYFUNCTION("""COMPUTED_VALUE"""),"webform w/o attachment")</f>
        <v>webform w/o attachment</v>
      </c>
      <c r="E294" s="131" t="str">
        <f>IFERROR(__xludf.DUMMYFUNCTION("""COMPUTED_VALUE"""),"https://help.virginatlantic.com/gb/en/contact-forms.html?webform=feedback--i-need-to-claim-compensation-due-to-a-delay-or-cancelled-flight")</f>
        <v>https://help.virginatlantic.com/gb/en/contact-forms.html?webform=feedback--i-need-to-claim-compensation-due-to-a-delay-or-cancelled-flight</v>
      </c>
      <c r="F294" s="127" t="str">
        <f>IFERROR(__xludf.DUMMYFUNCTION("""COMPUTED_VALUE"""),"Date of birth, ")</f>
        <v>Date of birth, </v>
      </c>
      <c r="G294" s="127" t="str">
        <f>IFERROR(__xludf.DUMMYFUNCTION("""COMPUTED_VALUE"""),"Virgin Atlantic Airways Ltd EU Application PO Box 4525 Dunstable LU6 9QT UK")</f>
        <v>Virgin Atlantic Airways Ltd EU Application PO Box 4525 Dunstable LU6 9QT UK</v>
      </c>
      <c r="H294" s="127"/>
      <c r="I294" s="127"/>
      <c r="J294" s="127"/>
      <c r="K294" s="127"/>
      <c r="L294" s="127"/>
      <c r="M294" s="127"/>
      <c r="N294" s="127"/>
      <c r="O294" s="127"/>
      <c r="P294" s="127"/>
      <c r="Q294" s="127"/>
      <c r="R294" s="127"/>
      <c r="S294" s="127"/>
      <c r="T294" s="127"/>
      <c r="U294" s="127"/>
      <c r="V294" s="127"/>
      <c r="W294" s="127"/>
      <c r="X294" s="127"/>
      <c r="Y294" s="127"/>
      <c r="Z294" s="127"/>
      <c r="AA294" s="127"/>
      <c r="AB294" s="127"/>
    </row>
    <row r="295">
      <c r="A295" s="31" t="str">
        <f>IFERROR(__xludf.DUMMYFUNCTION("""COMPUTED_VALUE"""),"Vistara")</f>
        <v>Vistara</v>
      </c>
      <c r="B295" s="127"/>
      <c r="C295" s="128" t="str">
        <f>IFERROR(__xludf.DUMMYFUNCTION("""COMPUTED_VALUE"""),"custrelations@airvistara.com")</f>
        <v>custrelations@airvistara.com</v>
      </c>
      <c r="D295" s="129"/>
      <c r="E295" s="131" t="str">
        <f>IFERROR(__xludf.DUMMYFUNCTION("""COMPUTED_VALUE"""),"https://www.airvistara.com/in/en/eu-claim-form")</f>
        <v>https://www.airvistara.com/in/en/eu-claim-form</v>
      </c>
      <c r="F295" s="127" t="str">
        <f>IFERROR(__xludf.DUMMYFUNCTION("""COMPUTED_VALUE"""),"Merged with Air India, so claim need to be sent to Air India, also pls use Air India email for making child ticket")</f>
        <v>Merged with Air India, so claim need to be sent to Air India, also pls use Air India email for making child ticket</v>
      </c>
      <c r="G295" s="132" t="str">
        <f>IFERROR(__xludf.DUMMYFUNCTION("""COMPUTED_VALUE"""),"https://www.airvistara.com/bd/en/vistara-help")</f>
        <v>https://www.airvistara.com/bd/en/vistara-help</v>
      </c>
      <c r="H295" s="127"/>
      <c r="I295" s="127"/>
      <c r="J295" s="127"/>
      <c r="K295" s="127"/>
      <c r="L295" s="127"/>
      <c r="M295" s="127"/>
      <c r="N295" s="127"/>
      <c r="O295" s="127"/>
      <c r="P295" s="127"/>
      <c r="Q295" s="127"/>
      <c r="R295" s="127"/>
      <c r="S295" s="127"/>
      <c r="T295" s="127"/>
      <c r="U295" s="127"/>
      <c r="V295" s="127"/>
      <c r="W295" s="127"/>
      <c r="X295" s="127"/>
      <c r="Y295" s="127"/>
      <c r="Z295" s="127"/>
      <c r="AA295" s="127"/>
      <c r="AB295" s="127"/>
    </row>
    <row r="296">
      <c r="A296" s="31" t="str">
        <f>IFERROR(__xludf.DUMMYFUNCTION("""COMPUTED_VALUE"""),"Volotea")</f>
        <v>Volotea</v>
      </c>
      <c r="B296" s="127"/>
      <c r="C296" s="128" t="str">
        <f>IFERROR(__xludf.DUMMYFUNCTION("""COMPUTED_VALUE"""),"customer.care@volotea.com info@volotea.com")</f>
        <v>customer.care@volotea.com info@volotea.com</v>
      </c>
      <c r="D296" s="129" t="str">
        <f>IFERROR(__xludf.DUMMYFUNCTION("""COMPUTED_VALUE"""),"webform w/ attachment")</f>
        <v>webform w/ attachment</v>
      </c>
      <c r="E296" s="131" t="str">
        <f>IFERROR(__xludf.DUMMYFUNCTION("""COMPUTED_VALUE"""),"https://www.volotea.com/en/contact/complaints-delay/")</f>
        <v>https://www.volotea.com/en/contact/complaints-delay/</v>
      </c>
      <c r="F296" s="127" t="str">
        <f>IFERROR(__xludf.DUMMYFUNCTION("""COMPUTED_VALUE"""),"Boarding, ID")</f>
        <v>Boarding, ID</v>
      </c>
      <c r="G296" s="127" t="str">
        <f>IFERROR(__xludf.DUMMYFUNCTION("""COMPUTED_VALUE"""),"Travessera de Gracia 56, 08006, Barcelona")</f>
        <v>Travessera de Gracia 56, 08006, Barcelona</v>
      </c>
      <c r="H296" s="127"/>
      <c r="I296" s="127"/>
      <c r="J296" s="127"/>
      <c r="K296" s="127"/>
      <c r="L296" s="127"/>
      <c r="M296" s="127"/>
      <c r="N296" s="127"/>
      <c r="O296" s="127"/>
      <c r="P296" s="127"/>
      <c r="Q296" s="127"/>
      <c r="R296" s="127"/>
      <c r="S296" s="127"/>
      <c r="T296" s="127"/>
      <c r="U296" s="127"/>
      <c r="V296" s="127"/>
      <c r="W296" s="127"/>
      <c r="X296" s="127"/>
      <c r="Y296" s="127"/>
      <c r="Z296" s="127"/>
      <c r="AA296" s="127"/>
      <c r="AB296" s="127"/>
    </row>
    <row r="297">
      <c r="A297" s="31" t="str">
        <f>IFERROR(__xludf.DUMMYFUNCTION("""COMPUTED_VALUE"""),"Vueling Airways (VY)")</f>
        <v>Vueling Airways (VY)</v>
      </c>
      <c r="B297" s="127"/>
      <c r="C297" s="128" t="str">
        <f>IFERROR(__xludf.DUMMYFUNCTION("""COMPUTED_VALUE"""),"particularcustomervy@vueling.com")</f>
        <v>particularcustomervy@vueling.com</v>
      </c>
      <c r="D297" s="129" t="str">
        <f>IFERROR(__xludf.DUMMYFUNCTION("""COMPUTED_VALUE"""),"webform w/ attachment")</f>
        <v>webform w/ attachment</v>
      </c>
      <c r="E297" s="131" t="str">
        <f>IFERROR(__xludf.DUMMYFUNCTION("""COMPUTED_VALUE"""),"https://www.vueling.com/en/we-are-vueling/contact")</f>
        <v>https://www.vueling.com/en/we-are-vueling/contact</v>
      </c>
      <c r="F297" s="127" t="str">
        <f>IFERROR(__xludf.DUMMYFUNCTION("""COMPUTED_VALUE"""),"ID")</f>
        <v>ID</v>
      </c>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row>
    <row r="298">
      <c r="A298" s="31" t="str">
        <f>IFERROR(__xludf.DUMMYFUNCTION("""COMPUTED_VALUE"""),"WestJet")</f>
        <v>WestJet</v>
      </c>
      <c r="B298" s="127"/>
      <c r="C298" s="128" t="str">
        <f>IFERROR(__xludf.DUMMYFUNCTION("""COMPUTED_VALUE"""),"apprclaim@westjet.com")</f>
        <v>apprclaim@westjet.com</v>
      </c>
      <c r="D298" s="129" t="str">
        <f>IFERROR(__xludf.DUMMYFUNCTION("""COMPUTED_VALUE"""),"webform w/o attachment")</f>
        <v>webform w/o attachment</v>
      </c>
      <c r="E298" s="131" t="str">
        <f>IFERROR(__xludf.DUMMYFUNCTION("""COMPUTED_VALUE"""),"https://www.westjet.com/en-ca/interruptions/eu-alternate-dispute/european-regulation")</f>
        <v>https://www.westjet.com/en-ca/interruptions/eu-alternate-dispute/european-regulation</v>
      </c>
      <c r="F298" s="127"/>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row>
    <row r="299">
      <c r="A299" s="31" t="str">
        <f>IFERROR(__xludf.DUMMYFUNCTION("""COMPUTED_VALUE"""),"White Airways")</f>
        <v>White Airways</v>
      </c>
      <c r="B299" s="127"/>
      <c r="C299" s="128" t="str">
        <f>IFERROR(__xludf.DUMMYFUNCTION("""COMPUTED_VALUE"""),"whiteforyou@flywhite.com")</f>
        <v>whiteforyou@flywhite.com</v>
      </c>
      <c r="D299" s="129"/>
      <c r="E299" s="131" t="str">
        <f>IFERROR(__xludf.DUMMYFUNCTION("""COMPUTED_VALUE"""),"https://www.flywhite.com/services")</f>
        <v>https://www.flywhite.com/services</v>
      </c>
      <c r="F299" s="127"/>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row>
    <row r="300">
      <c r="A300" s="31" t="str">
        <f>IFERROR(__xludf.DUMMYFUNCTION("""COMPUTED_VALUE"""),"Wideroe (WF)")</f>
        <v>Wideroe (WF)</v>
      </c>
      <c r="B300" s="127"/>
      <c r="C300" s="128" t="str">
        <f>IFERROR(__xludf.DUMMYFUNCTION("""COMPUTED_VALUE"""),"claims@wideroe.no")</f>
        <v>claims@wideroe.no</v>
      </c>
      <c r="D300" s="129" t="str">
        <f>IFERROR(__xludf.DUMMYFUNCTION("""COMPUTED_VALUE"""),"email")</f>
        <v>email</v>
      </c>
      <c r="E300" s="129" t="str">
        <f>IFERROR(__xludf.DUMMYFUNCTION("""COMPUTED_VALUE"""),"claims@wideroe.no")</f>
        <v>claims@wideroe.no</v>
      </c>
      <c r="F300" s="127"/>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row>
    <row r="301">
      <c r="A301" s="31" t="str">
        <f>IFERROR(__xludf.DUMMYFUNCTION("""COMPUTED_VALUE"""),"Winair (WM)")</f>
        <v>Winair (WM)</v>
      </c>
      <c r="B301" s="127"/>
      <c r="C301" s="128" t="str">
        <f>IFERROR(__xludf.DUMMYFUNCTION("""COMPUTED_VALUE"""),"customerrelations@fly-winair.com")</f>
        <v>customerrelations@fly-winair.com</v>
      </c>
      <c r="D301" s="129" t="str">
        <f>IFERROR(__xludf.DUMMYFUNCTION("""COMPUTED_VALUE"""),"e-mail")</f>
        <v>e-mail</v>
      </c>
      <c r="E301" s="129" t="str">
        <f>IFERROR(__xludf.DUMMYFUNCTION("""COMPUTED_VALUE"""),"customerrelations@fly-winair.com")</f>
        <v>customerrelations@fly-winair.com</v>
      </c>
      <c r="F301" s="127"/>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row>
    <row r="302">
      <c r="A302" s="31" t="str">
        <f>IFERROR(__xludf.DUMMYFUNCTION("""COMPUTED_VALUE"""),"Wind Jet (IV)")</f>
        <v>Wind Jet (IV)</v>
      </c>
      <c r="B302" s="127" t="str">
        <f>IFERROR(__xludf.DUMMYFUNCTION("""COMPUTED_VALUE"""),"11 August 2012 ceased operations until further notice")</f>
        <v>11 August 2012 ceased operations until further notice</v>
      </c>
      <c r="C302" s="128"/>
      <c r="D302" s="129" t="str">
        <f>IFERROR(__xludf.DUMMYFUNCTION("""COMPUTED_VALUE"""),"to be sent to Alitalia")</f>
        <v>to be sent to Alitalia</v>
      </c>
      <c r="E302" s="129"/>
      <c r="F302" s="127"/>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row>
    <row r="303">
      <c r="A303" s="31" t="str">
        <f>IFERROR(__xludf.DUMMYFUNCTION("""COMPUTED_VALUE"""),"Wizz")</f>
        <v>Wizz</v>
      </c>
      <c r="B303" s="127"/>
      <c r="C303" s="128" t="str">
        <f>IFERROR(__xludf.DUMMYFUNCTION("""COMPUTED_VALUE"""),"customerrelations1@customerservices.wizzair.com")</f>
        <v>customerrelations1@customerservices.wizzair.com</v>
      </c>
      <c r="D303" s="129" t="str">
        <f>IFERROR(__xludf.DUMMYFUNCTION("""COMPUTED_VALUE"""),"webform w/ attachment")</f>
        <v>webform w/ attachment</v>
      </c>
      <c r="E303" s="131" t="str">
        <f>IFERROR(__xludf.DUMMYFUNCTION("""COMPUTED_VALUE"""),"https://claim.wizzair.com/ClaimCompanies")</f>
        <v>https://claim.wizzair.com/ClaimCompanies</v>
      </c>
      <c r="F303" s="127" t="str">
        <f>IFERROR(__xludf.DUMMYFUNCTION("""COMPUTED_VALUE"""),"""Wizz Air Denied Boarding Compensation Form"" in denied boarding cases ID: legal@refly.org Pass: Fkk4erdF!")</f>
        <v>"Wizz Air Denied Boarding Compensation Form" in denied boarding cases ID: legal@refly.org Pass: Fkk4erdF!</v>
      </c>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row>
    <row r="304">
      <c r="A304" s="31" t="str">
        <f>IFERROR(__xludf.DUMMYFUNCTION("""COMPUTED_VALUE"""),"World2Fly")</f>
        <v>World2Fly</v>
      </c>
      <c r="B304" s="127"/>
      <c r="C304" s="128" t="str">
        <f>IFERROR(__xludf.DUMMYFUNCTION("""COMPUTED_VALUE"""),"customer.care@w2fly.es")</f>
        <v>customer.care@w2fly.es</v>
      </c>
      <c r="D304" s="129" t="str">
        <f>IFERROR(__xludf.DUMMYFUNCTION("""COMPUTED_VALUE"""),"webform w/ attachment")</f>
        <v>webform w/ attachment</v>
      </c>
      <c r="E304" s="131" t="str">
        <f>IFERROR(__xludf.DUMMYFUNCTION("""COMPUTED_VALUE"""),"https://www.w2fly.es/es-es/centro-de-atencion")</f>
        <v>https://www.w2fly.es/es-es/centro-de-atencion</v>
      </c>
      <c r="F304" s="127" t="str">
        <f>IFERROR(__xludf.DUMMYFUNCTION("""COMPUTED_VALUE"""),"ID/Passport number mandatory")</f>
        <v>ID/Passport number mandatory</v>
      </c>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row>
    <row r="305">
      <c r="A305" s="31" t="str">
        <f>IFERROR(__xludf.DUMMYFUNCTION("""COMPUTED_VALUE"""),"Wow Air (WW)")</f>
        <v>Wow Air (WW)</v>
      </c>
      <c r="B305" s="127"/>
      <c r="C305" s="128" t="str">
        <f>IFERROR(__xludf.DUMMYFUNCTION("""COMPUTED_VALUE"""),"wow@wow.is")</f>
        <v>wow@wow.is</v>
      </c>
      <c r="D305" s="129" t="str">
        <f>IFERROR(__xludf.DUMMYFUNCTION("""COMPUTED_VALUE"""),"e-mail")</f>
        <v>e-mail</v>
      </c>
      <c r="E305" s="129" t="str">
        <f>IFERROR(__xludf.DUMMYFUNCTION("""COMPUTED_VALUE"""),"wowair@wowair.com")</f>
        <v>wowair@wowair.com</v>
      </c>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row>
    <row r="306">
      <c r="A306" s="31" t="str">
        <f>IFERROR(__xludf.DUMMYFUNCTION("""COMPUTED_VALUE"""),"Xiamen Airlines")</f>
        <v>Xiamen Airlines</v>
      </c>
      <c r="B306" s="127"/>
      <c r="C306" s="128" t="str">
        <f>IFERROR(__xludf.DUMMYFUNCTION("""COMPUTED_VALUE"""),"mf@xiamenair.com")</f>
        <v>mf@xiamenair.com</v>
      </c>
      <c r="D306" s="129" t="str">
        <f>IFERROR(__xludf.DUMMYFUNCTION("""COMPUTED_VALUE"""),"e-mail")</f>
        <v>e-mail</v>
      </c>
      <c r="E306" s="129" t="str">
        <f>IFERROR(__xludf.DUMMYFUNCTION("""COMPUTED_VALUE"""),"mf@xiamenair.com")</f>
        <v>mf@xiamenair.com</v>
      </c>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row>
    <row r="307">
      <c r="A307" s="31" t="str">
        <f>IFERROR(__xludf.DUMMYFUNCTION("""COMPUTED_VALUE"""),"Xfly")</f>
        <v>Xfly</v>
      </c>
      <c r="B307" s="127"/>
      <c r="C307" s="128" t="str">
        <f>IFERROR(__xludf.DUMMYFUNCTION("""COMPUTED_VALUE"""),"commercial@xfly.ee")</f>
        <v>commercial@xfly.ee</v>
      </c>
      <c r="D307" s="129" t="str">
        <f>IFERROR(__xludf.DUMMYFUNCTION("""COMPUTED_VALUE"""),"e-mail")</f>
        <v>e-mail</v>
      </c>
      <c r="E307" s="129" t="str">
        <f>IFERROR(__xludf.DUMMYFUNCTION("""COMPUTED_VALUE"""),"commercial@xfly.ee")</f>
        <v>commercial@xfly.ee</v>
      </c>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row>
    <row r="308">
      <c r="A308" s="31"/>
      <c r="B308" s="127"/>
      <c r="C308" s="128"/>
      <c r="D308" s="129"/>
      <c r="E308" s="129"/>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row>
    <row r="309">
      <c r="A309" s="31"/>
      <c r="B309" s="127"/>
      <c r="C309" s="128"/>
      <c r="D309" s="129"/>
      <c r="E309" s="129"/>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row>
    <row r="310">
      <c r="A310" s="31"/>
      <c r="B310" s="127"/>
      <c r="C310" s="128"/>
      <c r="D310" s="129"/>
      <c r="E310" s="129"/>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row>
    <row r="311">
      <c r="A311" s="31"/>
      <c r="B311" s="127"/>
      <c r="C311" s="128"/>
      <c r="D311" s="129"/>
      <c r="E311" s="129"/>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row>
    <row r="312">
      <c r="A312" s="31"/>
      <c r="B312" s="127"/>
      <c r="C312" s="128"/>
      <c r="D312" s="129"/>
      <c r="E312" s="129"/>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row>
    <row r="313">
      <c r="A313" s="31"/>
      <c r="B313" s="127"/>
      <c r="C313" s="128"/>
      <c r="D313" s="129"/>
      <c r="E313" s="129"/>
      <c r="F313" s="127"/>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row>
    <row r="314">
      <c r="A314" s="31"/>
      <c r="B314" s="127"/>
      <c r="C314" s="128"/>
      <c r="D314" s="129"/>
      <c r="E314" s="129"/>
      <c r="F314" s="127"/>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row>
    <row r="315">
      <c r="A315" s="31"/>
      <c r="B315" s="127"/>
      <c r="C315" s="128"/>
      <c r="D315" s="129"/>
      <c r="E315" s="129"/>
      <c r="F315" s="127"/>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row>
    <row r="316">
      <c r="A316" s="31"/>
      <c r="B316" s="127"/>
      <c r="C316" s="128"/>
      <c r="D316" s="129"/>
      <c r="E316" s="129"/>
      <c r="F316" s="127"/>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row>
    <row r="317">
      <c r="A317" s="31"/>
      <c r="B317" s="127"/>
      <c r="C317" s="128"/>
      <c r="D317" s="129"/>
      <c r="E317" s="129"/>
      <c r="F317" s="127"/>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row>
    <row r="318">
      <c r="A318" s="31"/>
      <c r="B318" s="127"/>
      <c r="C318" s="128"/>
      <c r="D318" s="129"/>
      <c r="E318" s="129"/>
      <c r="F318" s="127"/>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row>
    <row r="319">
      <c r="A319" s="31"/>
      <c r="B319" s="127"/>
      <c r="C319" s="128"/>
      <c r="D319" s="129"/>
      <c r="E319" s="129"/>
      <c r="F319" s="127"/>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row>
    <row r="320">
      <c r="A320" s="31"/>
      <c r="B320" s="127"/>
      <c r="C320" s="128"/>
      <c r="D320" s="129"/>
      <c r="E320" s="129"/>
      <c r="F320" s="127"/>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row>
    <row r="321">
      <c r="A321" s="31"/>
      <c r="B321" s="127"/>
      <c r="C321" s="128"/>
      <c r="D321" s="129"/>
      <c r="E321" s="129"/>
      <c r="F321" s="127"/>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row>
    <row r="322">
      <c r="A322" s="31"/>
      <c r="B322" s="127"/>
      <c r="C322" s="128"/>
      <c r="D322" s="129"/>
      <c r="E322" s="129"/>
      <c r="F322" s="127"/>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row>
    <row r="323">
      <c r="A323" s="31"/>
      <c r="B323" s="127"/>
      <c r="C323" s="128"/>
      <c r="D323" s="129"/>
      <c r="E323" s="129"/>
      <c r="F323" s="127"/>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row>
    <row r="324">
      <c r="A324" s="31"/>
      <c r="B324" s="127"/>
      <c r="C324" s="128"/>
      <c r="D324" s="129"/>
      <c r="E324" s="129"/>
      <c r="F324" s="127"/>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row>
    <row r="325">
      <c r="A325" s="31"/>
      <c r="B325" s="127"/>
      <c r="C325" s="128"/>
      <c r="D325" s="129"/>
      <c r="E325" s="129"/>
      <c r="F325" s="127"/>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row>
    <row r="326">
      <c r="A326" s="31"/>
      <c r="B326" s="127"/>
      <c r="C326" s="128"/>
      <c r="D326" s="129"/>
      <c r="E326" s="129"/>
      <c r="F326" s="127"/>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row>
    <row r="327">
      <c r="A327" s="31"/>
      <c r="B327" s="127"/>
      <c r="C327" s="128"/>
      <c r="D327" s="129"/>
      <c r="E327" s="129"/>
      <c r="F327" s="127"/>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row>
    <row r="328">
      <c r="A328" s="31"/>
      <c r="B328" s="127"/>
      <c r="C328" s="128"/>
      <c r="D328" s="129"/>
      <c r="E328" s="129"/>
      <c r="F328" s="127"/>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row>
    <row r="329">
      <c r="A329" s="31"/>
      <c r="B329" s="127"/>
      <c r="C329" s="128"/>
      <c r="D329" s="129"/>
      <c r="E329" s="129"/>
      <c r="F329" s="127"/>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row>
    <row r="330">
      <c r="A330" s="31"/>
      <c r="B330" s="127"/>
      <c r="C330" s="128"/>
      <c r="D330" s="129"/>
      <c r="E330" s="129"/>
      <c r="F330" s="127"/>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row>
    <row r="331">
      <c r="A331" s="31"/>
      <c r="B331" s="127"/>
      <c r="C331" s="128"/>
      <c r="D331" s="129"/>
      <c r="E331" s="129"/>
      <c r="F331" s="127"/>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row>
    <row r="332">
      <c r="A332" s="31"/>
      <c r="B332" s="127"/>
      <c r="C332" s="128"/>
      <c r="D332" s="129"/>
      <c r="E332" s="129"/>
      <c r="F332" s="127"/>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row>
    <row r="333">
      <c r="A333" s="31"/>
      <c r="B333" s="127"/>
      <c r="C333" s="128"/>
      <c r="D333" s="129"/>
      <c r="E333" s="129"/>
      <c r="F333" s="127"/>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row>
    <row r="334">
      <c r="A334" s="31"/>
      <c r="B334" s="127"/>
      <c r="C334" s="128"/>
      <c r="D334" s="129"/>
      <c r="E334" s="129"/>
      <c r="F334" s="127"/>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row>
    <row r="335">
      <c r="A335" s="31"/>
      <c r="B335" s="127"/>
      <c r="C335" s="128"/>
      <c r="D335" s="129"/>
      <c r="E335" s="129"/>
      <c r="F335" s="127"/>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row>
    <row r="336">
      <c r="A336" s="31"/>
      <c r="B336" s="127"/>
      <c r="C336" s="128"/>
      <c r="D336" s="129"/>
      <c r="E336" s="129"/>
      <c r="F336" s="127"/>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row>
    <row r="337">
      <c r="A337" s="31"/>
      <c r="B337" s="127"/>
      <c r="C337" s="128"/>
      <c r="D337" s="129"/>
      <c r="E337" s="129"/>
      <c r="F337" s="127"/>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row>
    <row r="338">
      <c r="A338" s="31"/>
      <c r="B338" s="127"/>
      <c r="C338" s="128"/>
      <c r="D338" s="129"/>
      <c r="E338" s="129"/>
      <c r="F338" s="127"/>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row>
    <row r="339">
      <c r="A339" s="31"/>
      <c r="B339" s="127"/>
      <c r="C339" s="128"/>
      <c r="D339" s="129"/>
      <c r="E339" s="129"/>
      <c r="F339" s="127"/>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row>
    <row r="340">
      <c r="A340" s="31"/>
      <c r="B340" s="127"/>
      <c r="C340" s="128"/>
      <c r="D340" s="129"/>
      <c r="E340" s="129"/>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row>
    <row r="341">
      <c r="A341" s="31"/>
      <c r="B341" s="127"/>
      <c r="C341" s="128"/>
      <c r="D341" s="129"/>
      <c r="E341" s="129"/>
      <c r="F341" s="127"/>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row>
    <row r="342">
      <c r="A342" s="31"/>
      <c r="B342" s="127"/>
      <c r="C342" s="128"/>
      <c r="D342" s="129"/>
      <c r="E342" s="129"/>
      <c r="F342" s="127"/>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row>
    <row r="343">
      <c r="A343" s="31"/>
      <c r="B343" s="127"/>
      <c r="C343" s="128"/>
      <c r="D343" s="129"/>
      <c r="E343" s="129"/>
      <c r="F343" s="127"/>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row>
    <row r="344">
      <c r="A344" s="31"/>
      <c r="B344" s="127"/>
      <c r="C344" s="128"/>
      <c r="D344" s="129"/>
      <c r="E344" s="129"/>
      <c r="F344" s="127"/>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row>
    <row r="345">
      <c r="A345" s="31"/>
      <c r="B345" s="127"/>
      <c r="C345" s="128"/>
      <c r="D345" s="129"/>
      <c r="E345" s="129"/>
      <c r="F345" s="127"/>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row>
    <row r="346">
      <c r="A346" s="31"/>
      <c r="B346" s="127"/>
      <c r="C346" s="128"/>
      <c r="D346" s="129"/>
      <c r="E346" s="129"/>
      <c r="F346" s="127"/>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row>
    <row r="347">
      <c r="A347" s="31"/>
      <c r="B347" s="127"/>
      <c r="C347" s="128"/>
      <c r="D347" s="129"/>
      <c r="E347" s="129"/>
      <c r="F347" s="127"/>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row>
    <row r="348">
      <c r="A348" s="31"/>
      <c r="B348" s="127"/>
      <c r="C348" s="128"/>
      <c r="D348" s="129"/>
      <c r="E348" s="129"/>
      <c r="F348" s="127"/>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row>
    <row r="349">
      <c r="A349" s="31"/>
      <c r="B349" s="127"/>
      <c r="C349" s="128"/>
      <c r="D349" s="129"/>
      <c r="E349" s="129"/>
      <c r="F349" s="127"/>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row>
    <row r="350">
      <c r="A350" s="31"/>
      <c r="B350" s="127"/>
      <c r="C350" s="128"/>
      <c r="D350" s="129"/>
      <c r="E350" s="129"/>
      <c r="F350" s="127"/>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row>
    <row r="351">
      <c r="A351" s="31"/>
      <c r="B351" s="127"/>
      <c r="C351" s="128"/>
      <c r="D351" s="129"/>
      <c r="E351" s="129"/>
      <c r="F351" s="127"/>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row>
    <row r="352">
      <c r="A352" s="31"/>
      <c r="B352" s="127"/>
      <c r="C352" s="128"/>
      <c r="D352" s="129"/>
      <c r="E352" s="129"/>
      <c r="F352" s="127"/>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row>
    <row r="353">
      <c r="A353" s="31"/>
      <c r="B353" s="127"/>
      <c r="C353" s="128"/>
      <c r="D353" s="129"/>
      <c r="E353" s="129"/>
      <c r="F353" s="127"/>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row>
    <row r="354">
      <c r="A354" s="31"/>
      <c r="B354" s="127"/>
      <c r="C354" s="128"/>
      <c r="D354" s="129"/>
      <c r="E354" s="129"/>
      <c r="F354" s="127"/>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row>
    <row r="355">
      <c r="A355" s="31"/>
      <c r="B355" s="127"/>
      <c r="C355" s="128"/>
      <c r="D355" s="129"/>
      <c r="E355" s="129"/>
      <c r="F355" s="127"/>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row>
    <row r="356">
      <c r="A356" s="31"/>
      <c r="B356" s="127"/>
      <c r="C356" s="128"/>
      <c r="D356" s="129"/>
      <c r="E356" s="129"/>
      <c r="F356" s="127"/>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row>
    <row r="357">
      <c r="A357" s="31"/>
      <c r="B357" s="127"/>
      <c r="C357" s="128"/>
      <c r="D357" s="129"/>
      <c r="E357" s="129"/>
      <c r="F357" s="127"/>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row>
    <row r="358">
      <c r="A358" s="31"/>
      <c r="B358" s="127"/>
      <c r="C358" s="128"/>
      <c r="D358" s="129"/>
      <c r="E358" s="129"/>
      <c r="F358" s="127"/>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row>
    <row r="359">
      <c r="A359" s="31"/>
      <c r="B359" s="127"/>
      <c r="C359" s="128"/>
      <c r="D359" s="129"/>
      <c r="E359" s="129"/>
      <c r="F359" s="127"/>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row>
    <row r="360">
      <c r="A360" s="31"/>
      <c r="B360" s="127"/>
      <c r="C360" s="128"/>
      <c r="D360" s="129"/>
      <c r="E360" s="129"/>
      <c r="F360" s="127"/>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row>
    <row r="361">
      <c r="A361" s="31"/>
      <c r="B361" s="127"/>
      <c r="C361" s="128"/>
      <c r="D361" s="129"/>
      <c r="E361" s="129"/>
      <c r="F361" s="127"/>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row>
    <row r="362">
      <c r="A362" s="31"/>
      <c r="B362" s="127"/>
      <c r="C362" s="128"/>
      <c r="D362" s="129"/>
      <c r="E362" s="129"/>
      <c r="F362" s="127"/>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row>
    <row r="363">
      <c r="A363" s="31"/>
      <c r="B363" s="127"/>
      <c r="C363" s="128"/>
      <c r="D363" s="129"/>
      <c r="E363" s="129"/>
      <c r="F363" s="127"/>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row>
    <row r="364">
      <c r="A364" s="31"/>
      <c r="B364" s="127"/>
      <c r="C364" s="128"/>
      <c r="D364" s="129"/>
      <c r="E364" s="129"/>
      <c r="F364" s="127"/>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row>
    <row r="365">
      <c r="A365" s="31"/>
      <c r="B365" s="127"/>
      <c r="C365" s="128"/>
      <c r="D365" s="129"/>
      <c r="E365" s="129"/>
      <c r="F365" s="127"/>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row>
    <row r="366">
      <c r="A366" s="31"/>
      <c r="B366" s="127"/>
      <c r="C366" s="128"/>
      <c r="D366" s="129"/>
      <c r="E366" s="129"/>
      <c r="F366" s="127"/>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row>
    <row r="367">
      <c r="A367" s="31"/>
      <c r="B367" s="127"/>
      <c r="C367" s="128"/>
      <c r="D367" s="129"/>
      <c r="E367" s="129"/>
      <c r="F367" s="127"/>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row>
    <row r="368">
      <c r="A368" s="31"/>
      <c r="B368" s="127"/>
      <c r="C368" s="128"/>
      <c r="D368" s="129"/>
      <c r="E368" s="129"/>
      <c r="F368" s="127"/>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row>
    <row r="369">
      <c r="A369" s="31"/>
      <c r="B369" s="127"/>
      <c r="C369" s="128"/>
      <c r="D369" s="129"/>
      <c r="E369" s="129"/>
      <c r="F369" s="127"/>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row>
    <row r="370">
      <c r="A370" s="31"/>
      <c r="B370" s="127"/>
      <c r="C370" s="128"/>
      <c r="D370" s="129"/>
      <c r="E370" s="129"/>
      <c r="F370" s="127"/>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row>
    <row r="371">
      <c r="A371" s="31"/>
      <c r="B371" s="127"/>
      <c r="C371" s="128"/>
      <c r="D371" s="129"/>
      <c r="E371" s="129"/>
      <c r="F371" s="127"/>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row>
    <row r="372">
      <c r="A372" s="31"/>
      <c r="B372" s="127"/>
      <c r="C372" s="128"/>
      <c r="D372" s="129"/>
      <c r="E372" s="129"/>
      <c r="F372" s="127"/>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row>
    <row r="373">
      <c r="A373" s="31"/>
      <c r="B373" s="127"/>
      <c r="C373" s="128"/>
      <c r="D373" s="129"/>
      <c r="E373" s="129"/>
      <c r="F373" s="127"/>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row>
    <row r="374">
      <c r="A374" s="31"/>
      <c r="B374" s="127"/>
      <c r="C374" s="128"/>
      <c r="D374" s="129"/>
      <c r="E374" s="129"/>
      <c r="F374" s="127"/>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row>
    <row r="375">
      <c r="A375" s="31"/>
      <c r="B375" s="127"/>
      <c r="C375" s="128"/>
      <c r="D375" s="129"/>
      <c r="E375" s="129"/>
      <c r="F375" s="127"/>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row>
    <row r="376">
      <c r="A376" s="31"/>
      <c r="B376" s="127"/>
      <c r="C376" s="128"/>
      <c r="D376" s="129"/>
      <c r="E376" s="129"/>
      <c r="F376" s="127"/>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row>
    <row r="377">
      <c r="A377" s="31"/>
      <c r="B377" s="127"/>
      <c r="C377" s="128"/>
      <c r="D377" s="129"/>
      <c r="E377" s="129"/>
      <c r="F377" s="127"/>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row>
    <row r="378">
      <c r="A378" s="31"/>
      <c r="B378" s="127"/>
      <c r="C378" s="128"/>
      <c r="D378" s="129"/>
      <c r="E378" s="129"/>
      <c r="F378" s="127"/>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row>
    <row r="379">
      <c r="A379" s="31"/>
      <c r="B379" s="127"/>
      <c r="C379" s="128"/>
      <c r="D379" s="129"/>
      <c r="E379" s="129"/>
      <c r="F379" s="127"/>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row>
    <row r="380">
      <c r="A380" s="31"/>
      <c r="B380" s="127"/>
      <c r="C380" s="128"/>
      <c r="D380" s="129"/>
      <c r="E380" s="129"/>
      <c r="F380" s="127"/>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row>
    <row r="381">
      <c r="A381" s="31"/>
      <c r="B381" s="127"/>
      <c r="C381" s="128"/>
      <c r="D381" s="129"/>
      <c r="E381" s="129"/>
      <c r="F381" s="127"/>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row>
    <row r="382">
      <c r="A382" s="31"/>
      <c r="B382" s="127"/>
      <c r="C382" s="128"/>
      <c r="D382" s="129"/>
      <c r="E382" s="129"/>
      <c r="F382" s="127"/>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row>
    <row r="383">
      <c r="A383" s="31"/>
      <c r="B383" s="127"/>
      <c r="C383" s="128"/>
      <c r="D383" s="129"/>
      <c r="E383" s="129"/>
      <c r="F383" s="127"/>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row>
    <row r="384">
      <c r="A384" s="31"/>
      <c r="B384" s="127"/>
      <c r="C384" s="128"/>
      <c r="D384" s="129"/>
      <c r="E384" s="129"/>
      <c r="F384" s="127"/>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row>
    <row r="385">
      <c r="A385" s="31"/>
      <c r="B385" s="127"/>
      <c r="C385" s="128"/>
      <c r="D385" s="129"/>
      <c r="E385" s="129"/>
      <c r="F385" s="127"/>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row>
    <row r="386">
      <c r="A386" s="31"/>
      <c r="B386" s="127"/>
      <c r="C386" s="128"/>
      <c r="D386" s="129"/>
      <c r="E386" s="129"/>
      <c r="F386" s="127"/>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row>
    <row r="387">
      <c r="A387" s="31"/>
      <c r="B387" s="127"/>
      <c r="C387" s="128"/>
      <c r="D387" s="129"/>
      <c r="E387" s="129"/>
      <c r="F387" s="127"/>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row>
    <row r="388">
      <c r="A388" s="31"/>
      <c r="B388" s="127"/>
      <c r="C388" s="128"/>
      <c r="D388" s="129"/>
      <c r="E388" s="129"/>
      <c r="F388" s="127"/>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row>
    <row r="389">
      <c r="A389" s="31"/>
      <c r="B389" s="127"/>
      <c r="C389" s="128"/>
      <c r="D389" s="129"/>
      <c r="E389" s="129"/>
      <c r="F389" s="127"/>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row>
    <row r="390">
      <c r="A390" s="31"/>
      <c r="B390" s="127"/>
      <c r="C390" s="128"/>
      <c r="D390" s="129"/>
      <c r="E390" s="129"/>
      <c r="F390" s="127"/>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row>
    <row r="391">
      <c r="A391" s="31"/>
      <c r="B391" s="127"/>
      <c r="C391" s="128"/>
      <c r="D391" s="129"/>
      <c r="E391" s="129"/>
      <c r="F391" s="127"/>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row>
    <row r="392">
      <c r="A392" s="31"/>
      <c r="B392" s="127"/>
      <c r="C392" s="128"/>
      <c r="D392" s="129"/>
      <c r="E392" s="129"/>
      <c r="F392" s="127"/>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row>
    <row r="393">
      <c r="A393" s="31"/>
      <c r="B393" s="127"/>
      <c r="C393" s="128"/>
      <c r="D393" s="129"/>
      <c r="E393" s="129"/>
      <c r="F393" s="127"/>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row>
    <row r="394">
      <c r="A394" s="31"/>
      <c r="B394" s="127"/>
      <c r="C394" s="128"/>
      <c r="D394" s="129"/>
      <c r="E394" s="129"/>
      <c r="F394" s="127"/>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row>
    <row r="395">
      <c r="A395" s="31"/>
      <c r="B395" s="127"/>
      <c r="C395" s="128"/>
      <c r="D395" s="129"/>
      <c r="E395" s="129"/>
      <c r="F395" s="127"/>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row>
    <row r="396">
      <c r="A396" s="31"/>
      <c r="B396" s="127"/>
      <c r="C396" s="128"/>
      <c r="D396" s="129"/>
      <c r="E396" s="129"/>
      <c r="F396" s="127"/>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row>
    <row r="397">
      <c r="A397" s="31"/>
      <c r="B397" s="127"/>
      <c r="C397" s="128"/>
      <c r="D397" s="129"/>
      <c r="E397" s="129"/>
      <c r="F397" s="127"/>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row>
    <row r="398">
      <c r="A398" s="31"/>
      <c r="B398" s="127"/>
      <c r="C398" s="128"/>
      <c r="D398" s="129"/>
      <c r="E398" s="129"/>
      <c r="F398" s="127"/>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row>
    <row r="399">
      <c r="A399" s="31"/>
      <c r="B399" s="127"/>
      <c r="C399" s="128"/>
      <c r="D399" s="129"/>
      <c r="E399" s="129"/>
      <c r="F399" s="127"/>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row>
    <row r="400">
      <c r="A400" s="31"/>
      <c r="B400" s="127"/>
      <c r="C400" s="128"/>
      <c r="D400" s="129"/>
      <c r="E400" s="129"/>
      <c r="F400" s="127"/>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row>
    <row r="401">
      <c r="A401" s="31"/>
      <c r="B401" s="127"/>
      <c r="C401" s="128"/>
      <c r="D401" s="129"/>
      <c r="E401" s="129"/>
      <c r="F401" s="127"/>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row>
    <row r="402">
      <c r="A402" s="31"/>
      <c r="B402" s="127"/>
      <c r="C402" s="128"/>
      <c r="D402" s="129"/>
      <c r="E402" s="129"/>
      <c r="F402" s="127"/>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row>
    <row r="403">
      <c r="A403" s="31"/>
      <c r="B403" s="127"/>
      <c r="C403" s="128"/>
      <c r="D403" s="129"/>
      <c r="E403" s="129"/>
      <c r="F403" s="127"/>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row>
    <row r="404">
      <c r="A404" s="31"/>
      <c r="B404" s="127"/>
      <c r="C404" s="128"/>
      <c r="D404" s="129"/>
      <c r="E404" s="129"/>
      <c r="F404" s="127"/>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row>
    <row r="405">
      <c r="A405" s="31"/>
      <c r="B405" s="127"/>
      <c r="C405" s="128"/>
      <c r="D405" s="129"/>
      <c r="E405" s="129"/>
      <c r="F405" s="127"/>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row>
    <row r="406">
      <c r="A406" s="31"/>
      <c r="B406" s="127"/>
      <c r="C406" s="128"/>
      <c r="D406" s="129"/>
      <c r="E406" s="129"/>
      <c r="F406" s="127"/>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row>
    <row r="407">
      <c r="A407" s="31"/>
      <c r="B407" s="127"/>
      <c r="C407" s="128"/>
      <c r="D407" s="129"/>
      <c r="E407" s="129"/>
      <c r="F407" s="127"/>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row>
    <row r="408">
      <c r="A408" s="31"/>
      <c r="B408" s="127"/>
      <c r="C408" s="128"/>
      <c r="D408" s="129"/>
      <c r="E408" s="129"/>
      <c r="F408" s="127"/>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row>
    <row r="409">
      <c r="A409" s="31"/>
      <c r="B409" s="127"/>
      <c r="C409" s="128"/>
      <c r="D409" s="129"/>
      <c r="E409" s="129"/>
      <c r="F409" s="127"/>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row>
    <row r="410">
      <c r="A410" s="31"/>
      <c r="B410" s="127"/>
      <c r="C410" s="128"/>
      <c r="D410" s="129"/>
      <c r="E410" s="129"/>
      <c r="F410" s="127"/>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row>
    <row r="411">
      <c r="A411" s="31"/>
      <c r="B411" s="127"/>
      <c r="C411" s="128"/>
      <c r="D411" s="129"/>
      <c r="E411" s="129"/>
      <c r="F411" s="127"/>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row>
    <row r="412">
      <c r="A412" s="31"/>
      <c r="B412" s="127"/>
      <c r="C412" s="128"/>
      <c r="D412" s="129"/>
      <c r="E412" s="129"/>
      <c r="F412" s="127"/>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row>
    <row r="413">
      <c r="A413" s="31"/>
      <c r="B413" s="127"/>
      <c r="C413" s="128"/>
      <c r="D413" s="129"/>
      <c r="E413" s="129"/>
      <c r="F413" s="127"/>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row>
    <row r="414">
      <c r="A414" s="31"/>
      <c r="B414" s="127"/>
      <c r="C414" s="128"/>
      <c r="D414" s="129"/>
      <c r="E414" s="129"/>
      <c r="F414" s="127"/>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row>
    <row r="415">
      <c r="A415" s="31"/>
      <c r="B415" s="127"/>
      <c r="C415" s="128"/>
      <c r="D415" s="129"/>
      <c r="E415" s="129"/>
      <c r="F415" s="127"/>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row>
    <row r="416">
      <c r="A416" s="31"/>
      <c r="B416" s="127"/>
      <c r="C416" s="128"/>
      <c r="D416" s="129"/>
      <c r="E416" s="129"/>
      <c r="F416" s="127"/>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row>
    <row r="417">
      <c r="A417" s="31"/>
      <c r="B417" s="127"/>
      <c r="C417" s="128"/>
      <c r="D417" s="129"/>
      <c r="E417" s="129"/>
      <c r="F417" s="127"/>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row>
    <row r="418">
      <c r="A418" s="31"/>
      <c r="B418" s="127"/>
      <c r="C418" s="128"/>
      <c r="D418" s="129"/>
      <c r="E418" s="129"/>
      <c r="F418" s="127"/>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row>
    <row r="419">
      <c r="A419" s="31"/>
      <c r="B419" s="127"/>
      <c r="C419" s="128"/>
      <c r="D419" s="129"/>
      <c r="E419" s="129"/>
      <c r="F419" s="127"/>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row>
    <row r="420">
      <c r="A420" s="31"/>
      <c r="B420" s="127"/>
      <c r="C420" s="128"/>
      <c r="D420" s="129"/>
      <c r="E420" s="129"/>
      <c r="F420" s="127"/>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row>
    <row r="421">
      <c r="A421" s="31"/>
      <c r="B421" s="127"/>
      <c r="C421" s="128"/>
      <c r="D421" s="129"/>
      <c r="E421" s="129"/>
      <c r="F421" s="127"/>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row>
    <row r="422">
      <c r="A422" s="31"/>
      <c r="B422" s="127"/>
      <c r="C422" s="128"/>
      <c r="D422" s="129"/>
      <c r="E422" s="129"/>
      <c r="F422" s="127"/>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row>
    <row r="423">
      <c r="A423" s="31"/>
      <c r="B423" s="127"/>
      <c r="C423" s="128"/>
      <c r="D423" s="129"/>
      <c r="E423" s="129"/>
      <c r="F423" s="127"/>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row>
    <row r="424">
      <c r="A424" s="31"/>
      <c r="B424" s="127"/>
      <c r="C424" s="128"/>
      <c r="D424" s="129"/>
      <c r="E424" s="129"/>
      <c r="F424" s="127"/>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row>
    <row r="425">
      <c r="A425" s="31"/>
      <c r="B425" s="127"/>
      <c r="C425" s="128"/>
      <c r="D425" s="129"/>
      <c r="E425" s="129"/>
      <c r="F425" s="127"/>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row>
    <row r="426">
      <c r="A426" s="31"/>
      <c r="B426" s="127"/>
      <c r="C426" s="128"/>
      <c r="D426" s="129"/>
      <c r="E426" s="129"/>
      <c r="F426" s="127"/>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row>
    <row r="427">
      <c r="A427" s="31"/>
      <c r="B427" s="127"/>
      <c r="C427" s="128"/>
      <c r="D427" s="129"/>
      <c r="E427" s="129"/>
      <c r="F427" s="127"/>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row>
    <row r="428">
      <c r="A428" s="31"/>
      <c r="B428" s="127"/>
      <c r="C428" s="128"/>
      <c r="D428" s="129"/>
      <c r="E428" s="129"/>
      <c r="F428" s="127"/>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row>
    <row r="429">
      <c r="A429" s="31"/>
      <c r="B429" s="127"/>
      <c r="C429" s="128"/>
      <c r="D429" s="129"/>
      <c r="E429" s="129"/>
      <c r="F429" s="127"/>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row>
    <row r="430">
      <c r="A430" s="31"/>
      <c r="B430" s="127"/>
      <c r="C430" s="128"/>
      <c r="D430" s="129"/>
      <c r="E430" s="129"/>
      <c r="F430" s="127"/>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row>
    <row r="431">
      <c r="A431" s="31"/>
      <c r="B431" s="127"/>
      <c r="C431" s="128"/>
      <c r="D431" s="129"/>
      <c r="E431" s="129"/>
      <c r="F431" s="127"/>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row>
    <row r="432">
      <c r="A432" s="31"/>
      <c r="B432" s="127"/>
      <c r="C432" s="128"/>
      <c r="D432" s="129"/>
      <c r="E432" s="129"/>
      <c r="F432" s="127"/>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row>
    <row r="433">
      <c r="A433" s="31"/>
      <c r="B433" s="127"/>
      <c r="C433" s="128"/>
      <c r="D433" s="129"/>
      <c r="E433" s="129"/>
      <c r="F433" s="127"/>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row>
    <row r="434">
      <c r="A434" s="31"/>
      <c r="B434" s="127"/>
      <c r="C434" s="128"/>
      <c r="D434" s="129"/>
      <c r="E434" s="129"/>
      <c r="F434" s="127"/>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row>
    <row r="435">
      <c r="A435" s="31"/>
      <c r="B435" s="127"/>
      <c r="C435" s="128"/>
      <c r="D435" s="129"/>
      <c r="E435" s="129"/>
      <c r="F435" s="127"/>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row>
    <row r="436">
      <c r="A436" s="31"/>
      <c r="B436" s="127"/>
      <c r="C436" s="128"/>
      <c r="D436" s="129"/>
      <c r="E436" s="129"/>
      <c r="F436" s="127"/>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row>
    <row r="437">
      <c r="A437" s="31"/>
      <c r="B437" s="127"/>
      <c r="C437" s="128"/>
      <c r="D437" s="129"/>
      <c r="E437" s="129"/>
      <c r="F437" s="127"/>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row>
    <row r="438">
      <c r="A438" s="31"/>
      <c r="B438" s="127"/>
      <c r="C438" s="128"/>
      <c r="D438" s="129"/>
      <c r="E438" s="129"/>
      <c r="F438" s="127"/>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row>
    <row r="439">
      <c r="A439" s="31"/>
      <c r="B439" s="127"/>
      <c r="C439" s="128"/>
      <c r="D439" s="129"/>
      <c r="E439" s="129"/>
      <c r="F439" s="127"/>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row>
    <row r="440">
      <c r="A440" s="31"/>
      <c r="B440" s="127"/>
      <c r="C440" s="128"/>
      <c r="D440" s="129"/>
      <c r="E440" s="129"/>
      <c r="F440" s="127"/>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row>
    <row r="441">
      <c r="A441" s="31"/>
      <c r="B441" s="127"/>
      <c r="C441" s="128"/>
      <c r="D441" s="129"/>
      <c r="E441" s="129"/>
      <c r="F441" s="127"/>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row>
    <row r="442">
      <c r="A442" s="31"/>
      <c r="B442" s="127"/>
      <c r="C442" s="128"/>
      <c r="D442" s="129"/>
      <c r="E442" s="129"/>
      <c r="F442" s="127"/>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row>
    <row r="443">
      <c r="A443" s="31"/>
      <c r="B443" s="127"/>
      <c r="C443" s="128"/>
      <c r="D443" s="129"/>
      <c r="E443" s="129"/>
      <c r="F443" s="127"/>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row>
    <row r="444">
      <c r="A444" s="31"/>
      <c r="B444" s="127"/>
      <c r="C444" s="128"/>
      <c r="D444" s="129"/>
      <c r="E444" s="129"/>
      <c r="F444" s="127"/>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row>
    <row r="445">
      <c r="A445" s="31"/>
      <c r="B445" s="127"/>
      <c r="C445" s="128"/>
      <c r="D445" s="129"/>
      <c r="E445" s="129"/>
      <c r="F445" s="127"/>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row>
    <row r="446">
      <c r="A446" s="31"/>
      <c r="B446" s="127"/>
      <c r="C446" s="128"/>
      <c r="D446" s="129"/>
      <c r="E446" s="129"/>
      <c r="F446" s="127"/>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row>
    <row r="447">
      <c r="A447" s="31"/>
      <c r="B447" s="127"/>
      <c r="C447" s="128"/>
      <c r="D447" s="129"/>
      <c r="E447" s="129"/>
      <c r="F447" s="127"/>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row>
    <row r="448">
      <c r="A448" s="31"/>
      <c r="B448" s="127"/>
      <c r="C448" s="128"/>
      <c r="D448" s="129"/>
      <c r="E448" s="129"/>
      <c r="F448" s="127"/>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row>
    <row r="449">
      <c r="A449" s="31"/>
      <c r="B449" s="127"/>
      <c r="C449" s="128"/>
      <c r="D449" s="129"/>
      <c r="E449" s="129"/>
      <c r="F449" s="127"/>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row>
    <row r="450">
      <c r="A450" s="31"/>
      <c r="B450" s="127"/>
      <c r="C450" s="128"/>
      <c r="D450" s="129"/>
      <c r="E450" s="129"/>
      <c r="F450" s="127"/>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row>
    <row r="451">
      <c r="A451" s="31"/>
      <c r="B451" s="127"/>
      <c r="C451" s="128"/>
      <c r="D451" s="129"/>
      <c r="E451" s="129"/>
      <c r="F451" s="127"/>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row>
    <row r="452">
      <c r="A452" s="31"/>
      <c r="B452" s="127"/>
      <c r="C452" s="128"/>
      <c r="D452" s="129"/>
      <c r="E452" s="129"/>
      <c r="F452" s="127"/>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row>
    <row r="453">
      <c r="A453" s="31"/>
      <c r="B453" s="127"/>
      <c r="C453" s="128"/>
      <c r="D453" s="129"/>
      <c r="E453" s="129"/>
      <c r="F453" s="127"/>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row>
    <row r="454">
      <c r="A454" s="31"/>
      <c r="B454" s="127"/>
      <c r="C454" s="128"/>
      <c r="D454" s="129"/>
      <c r="E454" s="129"/>
      <c r="F454" s="127"/>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row>
    <row r="455">
      <c r="A455" s="31"/>
      <c r="B455" s="127"/>
      <c r="C455" s="128"/>
      <c r="D455" s="129"/>
      <c r="E455" s="129"/>
      <c r="F455" s="127"/>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row>
    <row r="456">
      <c r="A456" s="31"/>
      <c r="B456" s="127"/>
      <c r="C456" s="128"/>
      <c r="D456" s="129"/>
      <c r="E456" s="129"/>
      <c r="F456" s="127"/>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row>
    <row r="457">
      <c r="A457" s="31"/>
      <c r="B457" s="127"/>
      <c r="C457" s="128"/>
      <c r="D457" s="129"/>
      <c r="E457" s="129"/>
      <c r="F457" s="127"/>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row>
    <row r="458">
      <c r="A458" s="31"/>
      <c r="B458" s="127"/>
      <c r="C458" s="128"/>
      <c r="D458" s="129"/>
      <c r="E458" s="129"/>
      <c r="F458" s="127"/>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row>
    <row r="459">
      <c r="A459" s="31"/>
      <c r="B459" s="127"/>
      <c r="C459" s="128"/>
      <c r="D459" s="129"/>
      <c r="E459" s="129"/>
      <c r="F459" s="127"/>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row>
    <row r="460">
      <c r="A460" s="31"/>
      <c r="B460" s="127"/>
      <c r="C460" s="128"/>
      <c r="D460" s="129"/>
      <c r="E460" s="129"/>
      <c r="F460" s="127"/>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row>
    <row r="461">
      <c r="A461" s="31"/>
      <c r="B461" s="127"/>
      <c r="C461" s="128"/>
      <c r="D461" s="129"/>
      <c r="E461" s="129"/>
      <c r="F461" s="127"/>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row>
    <row r="462">
      <c r="A462" s="31"/>
      <c r="B462" s="127"/>
      <c r="C462" s="128"/>
      <c r="D462" s="129"/>
      <c r="E462" s="129"/>
      <c r="F462" s="127"/>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row>
    <row r="463">
      <c r="A463" s="31"/>
      <c r="B463" s="127"/>
      <c r="C463" s="128"/>
      <c r="D463" s="129"/>
      <c r="E463" s="129"/>
      <c r="F463" s="127"/>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row>
    <row r="464">
      <c r="A464" s="31"/>
      <c r="B464" s="127"/>
      <c r="C464" s="128"/>
      <c r="D464" s="129"/>
      <c r="E464" s="129"/>
      <c r="F464" s="127"/>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row>
    <row r="465">
      <c r="A465" s="31"/>
      <c r="B465" s="127"/>
      <c r="C465" s="128"/>
      <c r="D465" s="129"/>
      <c r="E465" s="129"/>
      <c r="F465" s="127"/>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row>
    <row r="466">
      <c r="A466" s="31"/>
      <c r="B466" s="127"/>
      <c r="C466" s="128"/>
      <c r="D466" s="129"/>
      <c r="E466" s="129"/>
      <c r="F466" s="127"/>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row>
    <row r="467">
      <c r="A467" s="31"/>
      <c r="B467" s="127"/>
      <c r="C467" s="128"/>
      <c r="D467" s="129"/>
      <c r="E467" s="129"/>
      <c r="F467" s="127"/>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row>
    <row r="468">
      <c r="A468" s="31"/>
      <c r="B468" s="127"/>
      <c r="C468" s="128"/>
      <c r="D468" s="129"/>
      <c r="E468" s="129"/>
      <c r="F468" s="127"/>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row>
    <row r="469">
      <c r="A469" s="31"/>
      <c r="B469" s="127"/>
      <c r="C469" s="128"/>
      <c r="D469" s="129"/>
      <c r="E469" s="129"/>
      <c r="F469" s="127"/>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row>
    <row r="470">
      <c r="A470" s="31"/>
      <c r="B470" s="127"/>
      <c r="C470" s="128"/>
      <c r="D470" s="129"/>
      <c r="E470" s="129"/>
      <c r="F470" s="127"/>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row>
    <row r="471">
      <c r="A471" s="31"/>
      <c r="B471" s="127"/>
      <c r="C471" s="128"/>
      <c r="D471" s="129"/>
      <c r="E471" s="129"/>
      <c r="F471" s="127"/>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row>
    <row r="472">
      <c r="A472" s="31"/>
      <c r="B472" s="127"/>
      <c r="C472" s="128"/>
      <c r="D472" s="129"/>
      <c r="E472" s="129"/>
      <c r="F472" s="127"/>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row>
    <row r="473">
      <c r="A473" s="31"/>
      <c r="B473" s="127"/>
      <c r="C473" s="128"/>
      <c r="D473" s="129"/>
      <c r="E473" s="129"/>
      <c r="F473" s="127"/>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row>
    <row r="474">
      <c r="A474" s="31"/>
      <c r="B474" s="127"/>
      <c r="C474" s="128"/>
      <c r="D474" s="129"/>
      <c r="E474" s="129"/>
      <c r="F474" s="127"/>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row>
    <row r="475">
      <c r="A475" s="31"/>
      <c r="B475" s="127"/>
      <c r="C475" s="128"/>
      <c r="D475" s="129"/>
      <c r="E475" s="129"/>
      <c r="F475" s="127"/>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row>
    <row r="476">
      <c r="A476" s="31"/>
      <c r="B476" s="127"/>
      <c r="C476" s="128"/>
      <c r="D476" s="129"/>
      <c r="E476" s="129"/>
      <c r="F476" s="127"/>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row>
    <row r="477">
      <c r="A477" s="31"/>
      <c r="B477" s="127"/>
      <c r="C477" s="128"/>
      <c r="D477" s="129"/>
      <c r="E477" s="129"/>
      <c r="F477" s="127"/>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row>
    <row r="478">
      <c r="A478" s="31"/>
      <c r="B478" s="127"/>
      <c r="C478" s="128"/>
      <c r="D478" s="129"/>
      <c r="E478" s="129"/>
      <c r="F478" s="127"/>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row>
    <row r="479">
      <c r="A479" s="31"/>
      <c r="B479" s="127"/>
      <c r="C479" s="128"/>
      <c r="D479" s="129"/>
      <c r="E479" s="129"/>
      <c r="F479" s="127"/>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row>
    <row r="480">
      <c r="A480" s="31"/>
      <c r="B480" s="127"/>
      <c r="C480" s="128"/>
      <c r="D480" s="129"/>
      <c r="E480" s="129"/>
      <c r="F480" s="127"/>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row>
    <row r="481">
      <c r="A481" s="31"/>
      <c r="B481" s="127"/>
      <c r="C481" s="128"/>
      <c r="D481" s="129"/>
      <c r="E481" s="129"/>
      <c r="F481" s="127"/>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row>
    <row r="482">
      <c r="A482" s="31"/>
      <c r="B482" s="127"/>
      <c r="C482" s="128"/>
      <c r="D482" s="129"/>
      <c r="E482" s="129"/>
      <c r="F482" s="127"/>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row>
    <row r="483">
      <c r="A483" s="31"/>
      <c r="B483" s="127"/>
      <c r="C483" s="128"/>
      <c r="D483" s="129"/>
      <c r="E483" s="129"/>
      <c r="F483" s="127"/>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row>
    <row r="484">
      <c r="A484" s="31"/>
      <c r="B484" s="127"/>
      <c r="C484" s="128"/>
      <c r="D484" s="129"/>
      <c r="E484" s="129"/>
      <c r="F484" s="127"/>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row>
    <row r="485">
      <c r="A485" s="31"/>
      <c r="B485" s="127"/>
      <c r="C485" s="128"/>
      <c r="D485" s="129"/>
      <c r="E485" s="129"/>
      <c r="F485" s="127"/>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row>
    <row r="486">
      <c r="A486" s="31"/>
      <c r="B486" s="127"/>
      <c r="C486" s="128"/>
      <c r="D486" s="129"/>
      <c r="E486" s="129"/>
      <c r="F486" s="127"/>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row>
    <row r="487">
      <c r="A487" s="31"/>
      <c r="B487" s="127"/>
      <c r="C487" s="128"/>
      <c r="D487" s="129"/>
      <c r="E487" s="129"/>
      <c r="F487" s="127"/>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row>
    <row r="488">
      <c r="A488" s="31"/>
      <c r="B488" s="127"/>
      <c r="C488" s="128"/>
      <c r="D488" s="129"/>
      <c r="E488" s="129"/>
      <c r="F488" s="127"/>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row>
    <row r="489">
      <c r="A489" s="31"/>
      <c r="B489" s="127"/>
      <c r="C489" s="128"/>
      <c r="D489" s="129"/>
      <c r="E489" s="129"/>
      <c r="F489" s="127"/>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row>
    <row r="490">
      <c r="A490" s="31"/>
      <c r="B490" s="127"/>
      <c r="C490" s="128"/>
      <c r="D490" s="129"/>
      <c r="E490" s="129"/>
      <c r="F490" s="127"/>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row>
    <row r="491">
      <c r="A491" s="31"/>
      <c r="B491" s="127"/>
      <c r="C491" s="128"/>
      <c r="D491" s="129"/>
      <c r="E491" s="129"/>
      <c r="F491" s="127"/>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row>
    <row r="492">
      <c r="A492" s="31"/>
      <c r="B492" s="127"/>
      <c r="C492" s="128"/>
      <c r="D492" s="129"/>
      <c r="E492" s="129"/>
      <c r="F492" s="127"/>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row>
    <row r="493">
      <c r="A493" s="31"/>
      <c r="B493" s="127"/>
      <c r="C493" s="128"/>
      <c r="D493" s="129"/>
      <c r="E493" s="129"/>
      <c r="F493" s="127"/>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row>
    <row r="494">
      <c r="A494" s="31"/>
      <c r="B494" s="127"/>
      <c r="C494" s="128"/>
      <c r="D494" s="129"/>
      <c r="E494" s="129"/>
      <c r="F494" s="127"/>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row>
    <row r="495">
      <c r="A495" s="31"/>
      <c r="B495" s="127"/>
      <c r="C495" s="128"/>
      <c r="D495" s="129"/>
      <c r="E495" s="129"/>
      <c r="F495" s="127"/>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row>
    <row r="496">
      <c r="A496" s="31"/>
      <c r="B496" s="127"/>
      <c r="C496" s="128"/>
      <c r="D496" s="129"/>
      <c r="E496" s="129"/>
      <c r="F496" s="127"/>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row>
    <row r="497">
      <c r="A497" s="31"/>
      <c r="B497" s="127"/>
      <c r="C497" s="128"/>
      <c r="D497" s="129"/>
      <c r="E497" s="129"/>
      <c r="F497" s="127"/>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row>
    <row r="498">
      <c r="A498" s="31"/>
      <c r="B498" s="127"/>
      <c r="C498" s="128"/>
      <c r="D498" s="129"/>
      <c r="E498" s="129"/>
      <c r="F498" s="127"/>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row>
    <row r="499">
      <c r="A499" s="31"/>
      <c r="B499" s="127"/>
      <c r="C499" s="128"/>
      <c r="D499" s="129"/>
      <c r="E499" s="129"/>
      <c r="F499" s="127"/>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row>
    <row r="500">
      <c r="A500" s="31"/>
      <c r="B500" s="127"/>
      <c r="C500" s="128"/>
      <c r="D500" s="129"/>
      <c r="E500" s="129"/>
      <c r="F500" s="127"/>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row>
    <row r="501">
      <c r="A501" s="31"/>
      <c r="B501" s="127"/>
      <c r="C501" s="128"/>
      <c r="D501" s="129"/>
      <c r="E501" s="129"/>
      <c r="F501" s="127"/>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row>
    <row r="502">
      <c r="A502" s="31"/>
      <c r="B502" s="127"/>
      <c r="C502" s="128"/>
      <c r="D502" s="129"/>
      <c r="E502" s="129"/>
      <c r="F502" s="127"/>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row>
    <row r="503">
      <c r="A503" s="31"/>
      <c r="B503" s="127"/>
      <c r="C503" s="128"/>
      <c r="D503" s="129"/>
      <c r="E503" s="129"/>
      <c r="F503" s="127"/>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row>
    <row r="504">
      <c r="A504" s="31"/>
      <c r="B504" s="127"/>
      <c r="C504" s="128"/>
      <c r="D504" s="129"/>
      <c r="E504" s="129"/>
      <c r="F504" s="127"/>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row>
    <row r="505">
      <c r="A505" s="31"/>
      <c r="B505" s="127"/>
      <c r="C505" s="128"/>
      <c r="D505" s="129"/>
      <c r="E505" s="129"/>
      <c r="F505" s="127"/>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row>
    <row r="506">
      <c r="A506" s="31"/>
      <c r="B506" s="127"/>
      <c r="C506" s="128"/>
      <c r="D506" s="129"/>
      <c r="E506" s="129"/>
      <c r="F506" s="127"/>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row>
    <row r="507">
      <c r="A507" s="31"/>
      <c r="B507" s="127"/>
      <c r="C507" s="128"/>
      <c r="D507" s="129"/>
      <c r="E507" s="129"/>
      <c r="F507" s="127"/>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row>
    <row r="508">
      <c r="A508" s="31"/>
      <c r="B508" s="127"/>
      <c r="C508" s="128"/>
      <c r="D508" s="129"/>
      <c r="E508" s="129"/>
      <c r="F508" s="127"/>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row>
    <row r="509">
      <c r="A509" s="31"/>
      <c r="B509" s="127"/>
      <c r="C509" s="128"/>
      <c r="D509" s="129"/>
      <c r="E509" s="129"/>
      <c r="F509" s="127"/>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row>
    <row r="510">
      <c r="A510" s="31"/>
      <c r="B510" s="127"/>
      <c r="C510" s="128"/>
      <c r="D510" s="129"/>
      <c r="E510" s="129"/>
      <c r="F510" s="127"/>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row>
    <row r="511">
      <c r="A511" s="31"/>
      <c r="B511" s="127"/>
      <c r="C511" s="128"/>
      <c r="D511" s="129"/>
      <c r="E511" s="129"/>
      <c r="F511" s="127"/>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row>
    <row r="512">
      <c r="A512" s="31"/>
      <c r="B512" s="127"/>
      <c r="C512" s="128"/>
      <c r="D512" s="129"/>
      <c r="E512" s="129"/>
      <c r="F512" s="127"/>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row>
    <row r="513">
      <c r="A513" s="31"/>
      <c r="B513" s="127"/>
      <c r="C513" s="128"/>
      <c r="D513" s="129"/>
      <c r="E513" s="129"/>
      <c r="F513" s="127"/>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row>
    <row r="514">
      <c r="A514" s="31"/>
      <c r="B514" s="127"/>
      <c r="C514" s="128"/>
      <c r="D514" s="129"/>
      <c r="E514" s="129"/>
      <c r="F514" s="127"/>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row>
    <row r="515">
      <c r="A515" s="31"/>
      <c r="B515" s="127"/>
      <c r="C515" s="128"/>
      <c r="D515" s="129"/>
      <c r="E515" s="129"/>
      <c r="F515" s="127"/>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row>
    <row r="516">
      <c r="A516" s="31"/>
      <c r="B516" s="127"/>
      <c r="C516" s="128"/>
      <c r="D516" s="129"/>
      <c r="E516" s="129"/>
      <c r="F516" s="127"/>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row>
    <row r="517">
      <c r="A517" s="31"/>
      <c r="B517" s="127"/>
      <c r="C517" s="128"/>
      <c r="D517" s="129"/>
      <c r="E517" s="129"/>
      <c r="F517" s="127"/>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row>
    <row r="518">
      <c r="A518" s="31"/>
      <c r="B518" s="127"/>
      <c r="C518" s="128"/>
      <c r="D518" s="129"/>
      <c r="E518" s="129"/>
      <c r="F518" s="127"/>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row>
    <row r="519">
      <c r="A519" s="31"/>
      <c r="B519" s="127"/>
      <c r="C519" s="128"/>
      <c r="D519" s="129"/>
      <c r="E519" s="129"/>
      <c r="F519" s="127"/>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row>
    <row r="520">
      <c r="A520" s="31"/>
      <c r="B520" s="127"/>
      <c r="C520" s="128"/>
      <c r="D520" s="129"/>
      <c r="E520" s="129"/>
      <c r="F520" s="127"/>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row>
    <row r="521">
      <c r="A521" s="31"/>
      <c r="B521" s="127"/>
      <c r="C521" s="128"/>
      <c r="D521" s="129"/>
      <c r="E521" s="129"/>
      <c r="F521" s="127"/>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row>
    <row r="522">
      <c r="A522" s="31"/>
      <c r="B522" s="127"/>
      <c r="C522" s="128"/>
      <c r="D522" s="129"/>
      <c r="E522" s="129"/>
      <c r="F522" s="127"/>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row>
    <row r="523">
      <c r="A523" s="31"/>
      <c r="B523" s="127"/>
      <c r="C523" s="128"/>
      <c r="D523" s="129"/>
      <c r="E523" s="129"/>
      <c r="F523" s="127"/>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row>
    <row r="524">
      <c r="A524" s="31"/>
      <c r="B524" s="127"/>
      <c r="C524" s="128"/>
      <c r="D524" s="129"/>
      <c r="E524" s="129"/>
      <c r="F524" s="127"/>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row>
    <row r="525">
      <c r="A525" s="31"/>
      <c r="B525" s="127"/>
      <c r="C525" s="128"/>
      <c r="D525" s="129"/>
      <c r="E525" s="129"/>
      <c r="F525" s="127"/>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row>
    <row r="526">
      <c r="A526" s="31"/>
      <c r="B526" s="127"/>
      <c r="C526" s="128"/>
      <c r="D526" s="129"/>
      <c r="E526" s="129"/>
      <c r="F526" s="127"/>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row>
    <row r="527">
      <c r="A527" s="31"/>
      <c r="B527" s="127"/>
      <c r="C527" s="128"/>
      <c r="D527" s="129"/>
      <c r="E527" s="129"/>
      <c r="F527" s="127"/>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row>
    <row r="528">
      <c r="A528" s="31"/>
      <c r="B528" s="127"/>
      <c r="C528" s="128"/>
      <c r="D528" s="129"/>
      <c r="E528" s="129"/>
      <c r="F528" s="127"/>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row>
    <row r="529">
      <c r="A529" s="31"/>
      <c r="B529" s="127"/>
      <c r="C529" s="128"/>
      <c r="D529" s="129"/>
      <c r="E529" s="129"/>
      <c r="F529" s="127"/>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row>
    <row r="530">
      <c r="A530" s="31"/>
      <c r="B530" s="127"/>
      <c r="C530" s="128"/>
      <c r="D530" s="129"/>
      <c r="E530" s="129"/>
      <c r="F530" s="127"/>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row>
    <row r="531">
      <c r="A531" s="31"/>
      <c r="B531" s="127"/>
      <c r="C531" s="128"/>
      <c r="D531" s="129"/>
      <c r="E531" s="129"/>
      <c r="F531" s="127"/>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row>
    <row r="532">
      <c r="A532" s="31"/>
      <c r="B532" s="127"/>
      <c r="C532" s="128"/>
      <c r="D532" s="129"/>
      <c r="E532" s="129"/>
      <c r="F532" s="127"/>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row>
    <row r="533">
      <c r="A533" s="31"/>
      <c r="B533" s="127"/>
      <c r="C533" s="128"/>
      <c r="D533" s="129"/>
      <c r="E533" s="129"/>
      <c r="F533" s="127"/>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row>
    <row r="534">
      <c r="A534" s="31"/>
      <c r="B534" s="127"/>
      <c r="C534" s="128"/>
      <c r="D534" s="129"/>
      <c r="E534" s="129"/>
      <c r="F534" s="127"/>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row>
    <row r="535">
      <c r="A535" s="31"/>
      <c r="B535" s="127"/>
      <c r="C535" s="128"/>
      <c r="D535" s="129"/>
      <c r="E535" s="129"/>
      <c r="F535" s="127"/>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row>
    <row r="536">
      <c r="A536" s="31"/>
      <c r="B536" s="127"/>
      <c r="C536" s="128"/>
      <c r="D536" s="129"/>
      <c r="E536" s="129"/>
      <c r="F536" s="127"/>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row>
    <row r="537">
      <c r="A537" s="31"/>
      <c r="B537" s="127"/>
      <c r="C537" s="128"/>
      <c r="D537" s="129"/>
      <c r="E537" s="129"/>
      <c r="F537" s="127"/>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row>
    <row r="538">
      <c r="A538" s="31"/>
      <c r="B538" s="127"/>
      <c r="C538" s="128"/>
      <c r="D538" s="129"/>
      <c r="E538" s="129"/>
      <c r="F538" s="127"/>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row>
    <row r="539">
      <c r="A539" s="31"/>
      <c r="B539" s="127"/>
      <c r="C539" s="128"/>
      <c r="D539" s="129"/>
      <c r="E539" s="129"/>
      <c r="F539" s="127"/>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row>
    <row r="540">
      <c r="A540" s="31"/>
      <c r="B540" s="127"/>
      <c r="C540" s="128"/>
      <c r="D540" s="129"/>
      <c r="E540" s="129"/>
      <c r="F540" s="127"/>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row>
    <row r="541">
      <c r="A541" s="31"/>
      <c r="B541" s="127"/>
      <c r="C541" s="128"/>
      <c r="D541" s="129"/>
      <c r="E541" s="129"/>
      <c r="F541" s="127"/>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row>
    <row r="542">
      <c r="A542" s="31"/>
      <c r="B542" s="127"/>
      <c r="C542" s="128"/>
      <c r="D542" s="129"/>
      <c r="E542" s="129"/>
      <c r="F542" s="127"/>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row>
    <row r="543">
      <c r="A543" s="31"/>
      <c r="B543" s="127"/>
      <c r="C543" s="128"/>
      <c r="D543" s="129"/>
      <c r="E543" s="129"/>
      <c r="F543" s="127"/>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row>
    <row r="544">
      <c r="A544" s="31"/>
      <c r="B544" s="127"/>
      <c r="C544" s="128"/>
      <c r="D544" s="129"/>
      <c r="E544" s="129"/>
      <c r="F544" s="127"/>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row>
    <row r="545">
      <c r="A545" s="31"/>
      <c r="B545" s="127"/>
      <c r="C545" s="128"/>
      <c r="D545" s="129"/>
      <c r="E545" s="129"/>
      <c r="F545" s="127"/>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row>
    <row r="546">
      <c r="A546" s="31"/>
      <c r="B546" s="127"/>
      <c r="C546" s="128"/>
      <c r="D546" s="129"/>
      <c r="E546" s="129"/>
      <c r="F546" s="127"/>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row>
    <row r="547">
      <c r="A547" s="31"/>
      <c r="B547" s="127"/>
      <c r="C547" s="128"/>
      <c r="D547" s="129"/>
      <c r="E547" s="129"/>
      <c r="F547" s="127"/>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row>
    <row r="548">
      <c r="A548" s="31"/>
      <c r="B548" s="127"/>
      <c r="C548" s="128"/>
      <c r="D548" s="129"/>
      <c r="E548" s="129"/>
      <c r="F548" s="127"/>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row>
    <row r="549">
      <c r="A549" s="31"/>
      <c r="B549" s="127"/>
      <c r="C549" s="128"/>
      <c r="D549" s="129"/>
      <c r="E549" s="129"/>
      <c r="F549" s="127"/>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row>
    <row r="550">
      <c r="A550" s="31"/>
      <c r="B550" s="127"/>
      <c r="C550" s="128"/>
      <c r="D550" s="129"/>
      <c r="E550" s="129"/>
      <c r="F550" s="127"/>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row>
    <row r="551">
      <c r="A551" s="31"/>
      <c r="B551" s="127"/>
      <c r="C551" s="128"/>
      <c r="D551" s="129"/>
      <c r="E551" s="129"/>
      <c r="F551" s="127"/>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row>
    <row r="552">
      <c r="A552" s="31"/>
      <c r="B552" s="127"/>
      <c r="C552" s="128"/>
      <c r="D552" s="129"/>
      <c r="E552" s="129"/>
      <c r="F552" s="127"/>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row>
    <row r="553">
      <c r="A553" s="31"/>
      <c r="B553" s="127"/>
      <c r="C553" s="128"/>
      <c r="D553" s="129"/>
      <c r="E553" s="129"/>
      <c r="F553" s="127"/>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row>
    <row r="554">
      <c r="A554" s="31"/>
      <c r="B554" s="127"/>
      <c r="C554" s="128"/>
      <c r="D554" s="129"/>
      <c r="E554" s="129"/>
      <c r="F554" s="127"/>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row>
    <row r="555">
      <c r="A555" s="31"/>
      <c r="B555" s="127"/>
      <c r="C555" s="128"/>
      <c r="D555" s="129"/>
      <c r="E555" s="129"/>
      <c r="F555" s="127"/>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row>
    <row r="556">
      <c r="A556" s="31"/>
      <c r="B556" s="127"/>
      <c r="C556" s="128"/>
      <c r="D556" s="129"/>
      <c r="E556" s="129"/>
      <c r="F556" s="127"/>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row>
    <row r="557">
      <c r="A557" s="31"/>
      <c r="B557" s="127"/>
      <c r="C557" s="128"/>
      <c r="D557" s="129"/>
      <c r="E557" s="129"/>
      <c r="F557" s="127"/>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row>
    <row r="558">
      <c r="A558" s="31"/>
      <c r="B558" s="127"/>
      <c r="C558" s="128"/>
      <c r="D558" s="129"/>
      <c r="E558" s="129"/>
      <c r="F558" s="127"/>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row>
    <row r="559">
      <c r="A559" s="31"/>
      <c r="B559" s="127"/>
      <c r="C559" s="128"/>
      <c r="D559" s="129"/>
      <c r="E559" s="129"/>
      <c r="F559" s="127"/>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row>
    <row r="560">
      <c r="A560" s="31"/>
      <c r="B560" s="127"/>
      <c r="C560" s="128"/>
      <c r="D560" s="129"/>
      <c r="E560" s="129"/>
      <c r="F560" s="127"/>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row>
    <row r="561">
      <c r="A561" s="31"/>
      <c r="B561" s="127"/>
      <c r="C561" s="128"/>
      <c r="D561" s="129"/>
      <c r="E561" s="129"/>
      <c r="F561" s="127"/>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row>
    <row r="562">
      <c r="A562" s="31"/>
      <c r="B562" s="127"/>
      <c r="C562" s="128"/>
      <c r="D562" s="129"/>
      <c r="E562" s="129"/>
      <c r="F562" s="127"/>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row>
    <row r="563">
      <c r="A563" s="31"/>
      <c r="B563" s="127"/>
      <c r="C563" s="128"/>
      <c r="D563" s="129"/>
      <c r="E563" s="129"/>
      <c r="F563" s="127"/>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row>
    <row r="564">
      <c r="A564" s="31"/>
      <c r="B564" s="127"/>
      <c r="C564" s="128"/>
      <c r="D564" s="129"/>
      <c r="E564" s="129"/>
      <c r="F564" s="127"/>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row>
    <row r="565">
      <c r="A565" s="31"/>
      <c r="B565" s="127"/>
      <c r="C565" s="128"/>
      <c r="D565" s="129"/>
      <c r="E565" s="129"/>
      <c r="F565" s="127"/>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row>
    <row r="566">
      <c r="A566" s="31"/>
      <c r="B566" s="127"/>
      <c r="C566" s="128"/>
      <c r="D566" s="129"/>
      <c r="E566" s="129"/>
      <c r="F566" s="127"/>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row>
    <row r="567">
      <c r="A567" s="31"/>
      <c r="B567" s="127"/>
      <c r="C567" s="128"/>
      <c r="D567" s="129"/>
      <c r="E567" s="129"/>
      <c r="F567" s="127"/>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row>
    <row r="568">
      <c r="A568" s="31"/>
      <c r="B568" s="127"/>
      <c r="C568" s="128"/>
      <c r="D568" s="129"/>
      <c r="E568" s="129"/>
      <c r="F568" s="127"/>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row>
    <row r="569">
      <c r="A569" s="31"/>
      <c r="B569" s="127"/>
      <c r="C569" s="128"/>
      <c r="D569" s="129"/>
      <c r="E569" s="129"/>
      <c r="F569" s="127"/>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row>
    <row r="570">
      <c r="A570" s="31"/>
      <c r="B570" s="127"/>
      <c r="C570" s="128"/>
      <c r="D570" s="129"/>
      <c r="E570" s="129"/>
      <c r="F570" s="127"/>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row>
    <row r="571">
      <c r="A571" s="31"/>
      <c r="B571" s="127"/>
      <c r="C571" s="128"/>
      <c r="D571" s="129"/>
      <c r="E571" s="129"/>
      <c r="F571" s="127"/>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row>
    <row r="572">
      <c r="A572" s="31"/>
      <c r="B572" s="127"/>
      <c r="C572" s="128"/>
      <c r="D572" s="129"/>
      <c r="E572" s="129"/>
      <c r="F572" s="127"/>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row>
    <row r="573">
      <c r="A573" s="31"/>
      <c r="B573" s="127"/>
      <c r="C573" s="128"/>
      <c r="D573" s="129"/>
      <c r="E573" s="129"/>
      <c r="F573" s="127"/>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row>
    <row r="574">
      <c r="A574" s="31"/>
      <c r="B574" s="127"/>
      <c r="C574" s="128"/>
      <c r="D574" s="129"/>
      <c r="E574" s="129"/>
      <c r="F574" s="127"/>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row>
    <row r="575">
      <c r="A575" s="31"/>
      <c r="B575" s="127"/>
      <c r="C575" s="128"/>
      <c r="D575" s="129"/>
      <c r="E575" s="129"/>
      <c r="F575" s="127"/>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row>
    <row r="576">
      <c r="A576" s="31"/>
      <c r="B576" s="127"/>
      <c r="C576" s="128"/>
      <c r="D576" s="129"/>
      <c r="E576" s="129"/>
      <c r="F576" s="127"/>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row>
    <row r="577">
      <c r="A577" s="31"/>
      <c r="B577" s="127"/>
      <c r="C577" s="128"/>
      <c r="D577" s="129"/>
      <c r="E577" s="129"/>
      <c r="F577" s="127"/>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row>
    <row r="578">
      <c r="A578" s="31"/>
      <c r="B578" s="127"/>
      <c r="C578" s="128"/>
      <c r="D578" s="129"/>
      <c r="E578" s="129"/>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row>
    <row r="579">
      <c r="A579" s="31"/>
      <c r="B579" s="127"/>
      <c r="C579" s="128"/>
      <c r="D579" s="129"/>
      <c r="E579" s="129"/>
      <c r="F579" s="127"/>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row>
    <row r="580">
      <c r="A580" s="31"/>
      <c r="B580" s="127"/>
      <c r="C580" s="128"/>
      <c r="D580" s="129"/>
      <c r="E580" s="129"/>
      <c r="F580" s="127"/>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row>
    <row r="581">
      <c r="A581" s="31"/>
      <c r="B581" s="127"/>
      <c r="C581" s="128"/>
      <c r="D581" s="129"/>
      <c r="E581" s="129"/>
      <c r="F581" s="127"/>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row>
    <row r="582">
      <c r="A582" s="31"/>
      <c r="B582" s="127"/>
      <c r="C582" s="128"/>
      <c r="D582" s="129"/>
      <c r="E582" s="129"/>
      <c r="F582" s="127"/>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row>
    <row r="583">
      <c r="A583" s="31"/>
      <c r="B583" s="127"/>
      <c r="C583" s="128"/>
      <c r="D583" s="129"/>
      <c r="E583" s="129"/>
      <c r="F583" s="127"/>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row>
    <row r="584">
      <c r="A584" s="31"/>
      <c r="B584" s="127"/>
      <c r="C584" s="128"/>
      <c r="D584" s="129"/>
      <c r="E584" s="129"/>
      <c r="F584" s="127"/>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row>
    <row r="585">
      <c r="A585" s="31"/>
      <c r="B585" s="127"/>
      <c r="C585" s="128"/>
      <c r="D585" s="129"/>
      <c r="E585" s="129"/>
      <c r="F585" s="127"/>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row>
    <row r="586">
      <c r="A586" s="31"/>
      <c r="B586" s="127"/>
      <c r="C586" s="128"/>
      <c r="D586" s="129"/>
      <c r="E586" s="129"/>
      <c r="F586" s="127"/>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row>
    <row r="587">
      <c r="A587" s="31"/>
      <c r="B587" s="127"/>
      <c r="C587" s="128"/>
      <c r="D587" s="129"/>
      <c r="E587" s="129"/>
      <c r="F587" s="127"/>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row>
    <row r="588">
      <c r="A588" s="31"/>
      <c r="B588" s="127"/>
      <c r="C588" s="128"/>
      <c r="D588" s="129"/>
      <c r="E588" s="129"/>
      <c r="F588" s="127"/>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row>
    <row r="589">
      <c r="A589" s="31"/>
      <c r="B589" s="127"/>
      <c r="C589" s="128"/>
      <c r="D589" s="129"/>
      <c r="E589" s="129"/>
      <c r="F589" s="127"/>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row>
    <row r="590">
      <c r="A590" s="31"/>
      <c r="B590" s="127"/>
      <c r="C590" s="128"/>
      <c r="D590" s="129"/>
      <c r="E590" s="129"/>
      <c r="F590" s="127"/>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row>
    <row r="591">
      <c r="A591" s="31"/>
      <c r="B591" s="127"/>
      <c r="C591" s="128"/>
      <c r="D591" s="129"/>
      <c r="E591" s="129"/>
      <c r="F591" s="127"/>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row>
    <row r="592">
      <c r="A592" s="31"/>
      <c r="B592" s="127"/>
      <c r="C592" s="128"/>
      <c r="D592" s="129"/>
      <c r="E592" s="129"/>
      <c r="F592" s="127"/>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row>
    <row r="593">
      <c r="A593" s="31"/>
      <c r="B593" s="127"/>
      <c r="C593" s="128"/>
      <c r="D593" s="129"/>
      <c r="E593" s="129"/>
      <c r="F593" s="127"/>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row>
    <row r="594">
      <c r="A594" s="31"/>
      <c r="B594" s="127"/>
      <c r="C594" s="128"/>
      <c r="D594" s="129"/>
      <c r="E594" s="129"/>
      <c r="F594" s="127"/>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row>
    <row r="595">
      <c r="A595" s="31"/>
      <c r="B595" s="127"/>
      <c r="C595" s="128"/>
      <c r="D595" s="129"/>
      <c r="E595" s="129"/>
      <c r="F595" s="127"/>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row>
    <row r="596">
      <c r="A596" s="31"/>
      <c r="B596" s="127"/>
      <c r="C596" s="128"/>
      <c r="D596" s="129"/>
      <c r="E596" s="129"/>
      <c r="F596" s="127"/>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row>
    <row r="597">
      <c r="A597" s="31"/>
      <c r="B597" s="127"/>
      <c r="C597" s="128"/>
      <c r="D597" s="129"/>
      <c r="E597" s="129"/>
      <c r="F597" s="127"/>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row>
    <row r="598">
      <c r="A598" s="31"/>
      <c r="B598" s="127"/>
      <c r="C598" s="128"/>
      <c r="D598" s="129"/>
      <c r="E598" s="129"/>
      <c r="F598" s="127"/>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row>
    <row r="599">
      <c r="A599" s="31"/>
      <c r="B599" s="127"/>
      <c r="C599" s="128"/>
      <c r="D599" s="129"/>
      <c r="E599" s="129"/>
      <c r="F599" s="127"/>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row>
    <row r="600">
      <c r="A600" s="31"/>
      <c r="B600" s="127"/>
      <c r="C600" s="128"/>
      <c r="D600" s="129"/>
      <c r="E600" s="129"/>
      <c r="F600" s="127"/>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row>
    <row r="601">
      <c r="A601" s="31"/>
      <c r="B601" s="127"/>
      <c r="C601" s="128"/>
      <c r="D601" s="129"/>
      <c r="E601" s="129"/>
      <c r="F601" s="127"/>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row>
    <row r="602">
      <c r="A602" s="31"/>
      <c r="B602" s="127"/>
      <c r="C602" s="128"/>
      <c r="D602" s="129"/>
      <c r="E602" s="129"/>
      <c r="F602" s="127"/>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row>
    <row r="603">
      <c r="A603" s="31"/>
      <c r="B603" s="127"/>
      <c r="C603" s="128"/>
      <c r="D603" s="129"/>
      <c r="E603" s="129"/>
      <c r="F603" s="127"/>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row>
    <row r="604">
      <c r="A604" s="31"/>
      <c r="B604" s="127"/>
      <c r="C604" s="128"/>
      <c r="D604" s="129"/>
      <c r="E604" s="129"/>
      <c r="F604" s="127"/>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row>
    <row r="605">
      <c r="A605" s="31"/>
      <c r="B605" s="127"/>
      <c r="C605" s="128"/>
      <c r="D605" s="129"/>
      <c r="E605" s="129"/>
      <c r="F605" s="127"/>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row>
    <row r="606">
      <c r="A606" s="31"/>
      <c r="B606" s="127"/>
      <c r="C606" s="128"/>
      <c r="D606" s="129"/>
      <c r="E606" s="129"/>
      <c r="F606" s="127"/>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row>
    <row r="607">
      <c r="A607" s="31"/>
      <c r="B607" s="127"/>
      <c r="C607" s="128"/>
      <c r="D607" s="129"/>
      <c r="E607" s="129"/>
      <c r="F607" s="127"/>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row>
    <row r="608">
      <c r="A608" s="31"/>
      <c r="B608" s="127"/>
      <c r="C608" s="128"/>
      <c r="D608" s="129"/>
      <c r="E608" s="129"/>
      <c r="F608" s="127"/>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row>
    <row r="609">
      <c r="A609" s="31"/>
      <c r="B609" s="127"/>
      <c r="C609" s="128"/>
      <c r="D609" s="129"/>
      <c r="E609" s="129"/>
      <c r="F609" s="127"/>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row>
    <row r="610">
      <c r="A610" s="31"/>
      <c r="B610" s="127"/>
      <c r="C610" s="128"/>
      <c r="D610" s="129"/>
      <c r="E610" s="129"/>
      <c r="F610" s="127"/>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row>
    <row r="611">
      <c r="A611" s="31"/>
      <c r="B611" s="127"/>
      <c r="C611" s="128"/>
      <c r="D611" s="129"/>
      <c r="E611" s="129"/>
      <c r="F611" s="127"/>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row>
    <row r="612">
      <c r="A612" s="31"/>
      <c r="B612" s="127"/>
      <c r="C612" s="128"/>
      <c r="D612" s="129"/>
      <c r="E612" s="129"/>
      <c r="F612" s="127"/>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row>
    <row r="613">
      <c r="A613" s="31"/>
      <c r="B613" s="127"/>
      <c r="C613" s="128"/>
      <c r="D613" s="129"/>
      <c r="E613" s="129"/>
      <c r="F613" s="127"/>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row>
    <row r="614">
      <c r="A614" s="31"/>
      <c r="B614" s="127"/>
      <c r="C614" s="128"/>
      <c r="D614" s="129"/>
      <c r="E614" s="129"/>
      <c r="F614" s="127"/>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row>
    <row r="615">
      <c r="A615" s="31"/>
      <c r="B615" s="127"/>
      <c r="C615" s="128"/>
      <c r="D615" s="129"/>
      <c r="E615" s="129"/>
      <c r="F615" s="127"/>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row>
    <row r="616">
      <c r="A616" s="31"/>
      <c r="B616" s="127"/>
      <c r="C616" s="128"/>
      <c r="D616" s="129"/>
      <c r="E616" s="129"/>
      <c r="F616" s="127"/>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row>
    <row r="617">
      <c r="A617" s="31"/>
      <c r="B617" s="127"/>
      <c r="C617" s="128"/>
      <c r="D617" s="129"/>
      <c r="E617" s="129"/>
      <c r="F617" s="127"/>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row>
    <row r="618">
      <c r="A618" s="31"/>
      <c r="B618" s="127"/>
      <c r="C618" s="128"/>
      <c r="D618" s="129"/>
      <c r="E618" s="129"/>
      <c r="F618" s="127"/>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row>
    <row r="619">
      <c r="A619" s="31"/>
      <c r="B619" s="127"/>
      <c r="C619" s="128"/>
      <c r="D619" s="129"/>
      <c r="E619" s="129"/>
      <c r="F619" s="127"/>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row>
    <row r="620">
      <c r="A620" s="31"/>
      <c r="B620" s="127"/>
      <c r="C620" s="128"/>
      <c r="D620" s="129"/>
      <c r="E620" s="129"/>
      <c r="F620" s="127"/>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row>
    <row r="621">
      <c r="A621" s="31"/>
      <c r="B621" s="127"/>
      <c r="C621" s="128"/>
      <c r="D621" s="129"/>
      <c r="E621" s="129"/>
      <c r="F621" s="127"/>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row>
    <row r="622">
      <c r="A622" s="31"/>
      <c r="B622" s="127"/>
      <c r="C622" s="128"/>
      <c r="D622" s="129"/>
      <c r="E622" s="129"/>
      <c r="F622" s="127"/>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row>
    <row r="623">
      <c r="A623" s="31"/>
      <c r="B623" s="127"/>
      <c r="C623" s="128"/>
      <c r="D623" s="129"/>
      <c r="E623" s="129"/>
      <c r="F623" s="127"/>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row>
    <row r="624">
      <c r="A624" s="31"/>
      <c r="B624" s="127"/>
      <c r="C624" s="128"/>
      <c r="D624" s="129"/>
      <c r="E624" s="129"/>
      <c r="F624" s="127"/>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row>
    <row r="625">
      <c r="A625" s="31"/>
      <c r="B625" s="127"/>
      <c r="C625" s="128"/>
      <c r="D625" s="129"/>
      <c r="E625" s="129"/>
      <c r="F625" s="127"/>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row>
    <row r="626">
      <c r="A626" s="31"/>
      <c r="B626" s="127"/>
      <c r="C626" s="128"/>
      <c r="D626" s="129"/>
      <c r="E626" s="129"/>
      <c r="F626" s="127"/>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row>
    <row r="627">
      <c r="A627" s="31"/>
      <c r="B627" s="127"/>
      <c r="C627" s="128"/>
      <c r="D627" s="129"/>
      <c r="E627" s="129"/>
      <c r="F627" s="127"/>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row>
    <row r="628">
      <c r="A628" s="31"/>
      <c r="B628" s="127"/>
      <c r="C628" s="128"/>
      <c r="D628" s="129"/>
      <c r="E628" s="129"/>
      <c r="F628" s="127"/>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row>
    <row r="629">
      <c r="A629" s="31"/>
      <c r="B629" s="127"/>
      <c r="C629" s="128"/>
      <c r="D629" s="129"/>
      <c r="E629" s="129"/>
      <c r="F629" s="127"/>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row>
    <row r="630">
      <c r="A630" s="31"/>
      <c r="B630" s="127"/>
      <c r="C630" s="128"/>
      <c r="D630" s="129"/>
      <c r="E630" s="129"/>
      <c r="F630" s="127"/>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row>
    <row r="631">
      <c r="A631" s="31"/>
      <c r="B631" s="127"/>
      <c r="C631" s="128"/>
      <c r="D631" s="129"/>
      <c r="E631" s="129"/>
      <c r="F631" s="127"/>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row>
    <row r="632">
      <c r="A632" s="31"/>
      <c r="B632" s="127"/>
      <c r="C632" s="128"/>
      <c r="D632" s="129"/>
      <c r="E632" s="129"/>
      <c r="F632" s="127"/>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row>
    <row r="633">
      <c r="A633" s="31"/>
      <c r="B633" s="127"/>
      <c r="C633" s="128"/>
      <c r="D633" s="129"/>
      <c r="E633" s="129"/>
      <c r="F633" s="127"/>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row>
    <row r="634">
      <c r="A634" s="31"/>
      <c r="B634" s="127"/>
      <c r="C634" s="128"/>
      <c r="D634" s="129"/>
      <c r="E634" s="129"/>
      <c r="F634" s="127"/>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row>
    <row r="635">
      <c r="A635" s="31"/>
      <c r="B635" s="127"/>
      <c r="C635" s="128"/>
      <c r="D635" s="129"/>
      <c r="E635" s="129"/>
      <c r="F635" s="127"/>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row>
    <row r="636">
      <c r="A636" s="31"/>
      <c r="B636" s="127"/>
      <c r="C636" s="128"/>
      <c r="D636" s="129"/>
      <c r="E636" s="129"/>
      <c r="F636" s="127"/>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row>
    <row r="637">
      <c r="A637" s="31"/>
      <c r="B637" s="127"/>
      <c r="C637" s="128"/>
      <c r="D637" s="129"/>
      <c r="E637" s="129"/>
      <c r="F637" s="127"/>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row>
    <row r="638">
      <c r="A638" s="31"/>
      <c r="B638" s="127"/>
      <c r="C638" s="128"/>
      <c r="D638" s="129"/>
      <c r="E638" s="129"/>
      <c r="F638" s="127"/>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row>
    <row r="639">
      <c r="A639" s="31"/>
      <c r="B639" s="127"/>
      <c r="C639" s="128"/>
      <c r="D639" s="129"/>
      <c r="E639" s="129"/>
      <c r="F639" s="127"/>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row>
    <row r="640">
      <c r="A640" s="31"/>
      <c r="B640" s="127"/>
      <c r="C640" s="128"/>
      <c r="D640" s="129"/>
      <c r="E640" s="129"/>
      <c r="F640" s="127"/>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row>
    <row r="641">
      <c r="A641" s="31"/>
      <c r="B641" s="127"/>
      <c r="C641" s="128"/>
      <c r="D641" s="129"/>
      <c r="E641" s="129"/>
      <c r="F641" s="127"/>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row>
    <row r="642">
      <c r="A642" s="31"/>
      <c r="B642" s="127"/>
      <c r="C642" s="128"/>
      <c r="D642" s="129"/>
      <c r="E642" s="129"/>
      <c r="F642" s="127"/>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row>
    <row r="643">
      <c r="A643" s="31"/>
      <c r="B643" s="127"/>
      <c r="C643" s="128"/>
      <c r="D643" s="129"/>
      <c r="E643" s="129"/>
      <c r="F643" s="127"/>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row>
    <row r="644">
      <c r="A644" s="31"/>
      <c r="B644" s="127"/>
      <c r="C644" s="128"/>
      <c r="D644" s="129"/>
      <c r="E644" s="129"/>
      <c r="F644" s="127"/>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row>
    <row r="645">
      <c r="A645" s="31"/>
      <c r="B645" s="127"/>
      <c r="C645" s="128"/>
      <c r="D645" s="129"/>
      <c r="E645" s="129"/>
      <c r="F645" s="127"/>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row>
    <row r="646">
      <c r="A646" s="31"/>
      <c r="B646" s="127"/>
      <c r="C646" s="128"/>
      <c r="D646" s="129"/>
      <c r="E646" s="129"/>
      <c r="F646" s="127"/>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row>
    <row r="647">
      <c r="A647" s="31"/>
      <c r="B647" s="127"/>
      <c r="C647" s="128"/>
      <c r="D647" s="129"/>
      <c r="E647" s="129"/>
      <c r="F647" s="127"/>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row>
    <row r="648">
      <c r="A648" s="31"/>
      <c r="B648" s="127"/>
      <c r="C648" s="128"/>
      <c r="D648" s="129"/>
      <c r="E648" s="129"/>
      <c r="F648" s="127"/>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row>
    <row r="649">
      <c r="A649" s="31"/>
      <c r="B649" s="127"/>
      <c r="C649" s="128"/>
      <c r="D649" s="129"/>
      <c r="E649" s="129"/>
      <c r="F649" s="127"/>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row>
    <row r="650">
      <c r="A650" s="31"/>
      <c r="B650" s="127"/>
      <c r="C650" s="128"/>
      <c r="D650" s="129"/>
      <c r="E650" s="129"/>
      <c r="F650" s="127"/>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row>
    <row r="651">
      <c r="A651" s="31"/>
      <c r="B651" s="127"/>
      <c r="C651" s="128"/>
      <c r="D651" s="129"/>
      <c r="E651" s="129"/>
      <c r="F651" s="127"/>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row>
    <row r="652">
      <c r="A652" s="31"/>
      <c r="B652" s="127"/>
      <c r="C652" s="128"/>
      <c r="D652" s="129"/>
      <c r="E652" s="129"/>
      <c r="F652" s="127"/>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row>
    <row r="653">
      <c r="A653" s="31"/>
      <c r="B653" s="127"/>
      <c r="C653" s="128"/>
      <c r="D653" s="129"/>
      <c r="E653" s="129"/>
      <c r="F653" s="127"/>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row>
    <row r="654">
      <c r="A654" s="31"/>
      <c r="B654" s="127"/>
      <c r="C654" s="128"/>
      <c r="D654" s="129"/>
      <c r="E654" s="129"/>
      <c r="F654" s="127"/>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row>
    <row r="655">
      <c r="A655" s="31"/>
      <c r="B655" s="127"/>
      <c r="C655" s="128"/>
      <c r="D655" s="129"/>
      <c r="E655" s="129"/>
      <c r="F655" s="127"/>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row>
    <row r="656">
      <c r="A656" s="31"/>
      <c r="B656" s="127"/>
      <c r="C656" s="128"/>
      <c r="D656" s="129"/>
      <c r="E656" s="129"/>
      <c r="F656" s="127"/>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row>
    <row r="657">
      <c r="A657" s="31"/>
      <c r="B657" s="127"/>
      <c r="C657" s="128"/>
      <c r="D657" s="129"/>
      <c r="E657" s="129"/>
      <c r="F657" s="127"/>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row>
    <row r="658">
      <c r="A658" s="31"/>
      <c r="B658" s="127"/>
      <c r="C658" s="128"/>
      <c r="D658" s="129"/>
      <c r="E658" s="129"/>
      <c r="F658" s="127"/>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row>
    <row r="659">
      <c r="A659" s="31"/>
      <c r="B659" s="127"/>
      <c r="C659" s="128"/>
      <c r="D659" s="129"/>
      <c r="E659" s="129"/>
      <c r="F659" s="127"/>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row>
    <row r="660">
      <c r="A660" s="31"/>
      <c r="B660" s="127"/>
      <c r="C660" s="128"/>
      <c r="D660" s="129"/>
      <c r="E660" s="129"/>
      <c r="F660" s="127"/>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row>
    <row r="661">
      <c r="A661" s="31"/>
      <c r="B661" s="127"/>
      <c r="C661" s="128"/>
      <c r="D661" s="129"/>
      <c r="E661" s="129"/>
      <c r="F661" s="127"/>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row>
    <row r="662">
      <c r="A662" s="31"/>
      <c r="B662" s="127"/>
      <c r="C662" s="128"/>
      <c r="D662" s="129"/>
      <c r="E662" s="129"/>
      <c r="F662" s="127"/>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row>
    <row r="663">
      <c r="A663" s="31"/>
      <c r="B663" s="127"/>
      <c r="C663" s="128"/>
      <c r="D663" s="129"/>
      <c r="E663" s="129"/>
      <c r="F663" s="127"/>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row>
    <row r="664">
      <c r="A664" s="31"/>
      <c r="B664" s="127"/>
      <c r="C664" s="128"/>
      <c r="D664" s="129"/>
      <c r="E664" s="129"/>
      <c r="F664" s="127"/>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row>
    <row r="665">
      <c r="A665" s="31"/>
      <c r="B665" s="127"/>
      <c r="C665" s="128"/>
      <c r="D665" s="129"/>
      <c r="E665" s="129"/>
      <c r="F665" s="127"/>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row>
    <row r="666">
      <c r="A666" s="31"/>
      <c r="B666" s="127"/>
      <c r="C666" s="128"/>
      <c r="D666" s="129"/>
      <c r="E666" s="129"/>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row>
    <row r="667">
      <c r="A667" s="31"/>
      <c r="B667" s="127"/>
      <c r="C667" s="128"/>
      <c r="D667" s="129"/>
      <c r="E667" s="129"/>
      <c r="F667" s="127"/>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row>
    <row r="668">
      <c r="A668" s="31"/>
      <c r="B668" s="127"/>
      <c r="C668" s="128"/>
      <c r="D668" s="129"/>
      <c r="E668" s="129"/>
      <c r="F668" s="127"/>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row>
    <row r="669">
      <c r="A669" s="31"/>
      <c r="B669" s="127"/>
      <c r="C669" s="128"/>
      <c r="D669" s="129"/>
      <c r="E669" s="129"/>
      <c r="F669" s="127"/>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row>
    <row r="670">
      <c r="A670" s="31"/>
      <c r="B670" s="127"/>
      <c r="C670" s="128"/>
      <c r="D670" s="129"/>
      <c r="E670" s="129"/>
      <c r="F670" s="127"/>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row>
    <row r="671">
      <c r="A671" s="31"/>
      <c r="B671" s="127"/>
      <c r="C671" s="128"/>
      <c r="D671" s="129"/>
      <c r="E671" s="129"/>
      <c r="F671" s="127"/>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row>
    <row r="672">
      <c r="A672" s="31"/>
      <c r="B672" s="127"/>
      <c r="C672" s="128"/>
      <c r="D672" s="129"/>
      <c r="E672" s="129"/>
      <c r="F672" s="127"/>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row>
    <row r="673">
      <c r="A673" s="31"/>
      <c r="B673" s="127"/>
      <c r="C673" s="128"/>
      <c r="D673" s="129"/>
      <c r="E673" s="129"/>
      <c r="F673" s="127"/>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row>
    <row r="674">
      <c r="A674" s="31"/>
      <c r="B674" s="127"/>
      <c r="C674" s="128"/>
      <c r="D674" s="129"/>
      <c r="E674" s="129"/>
      <c r="F674" s="127"/>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row>
    <row r="675">
      <c r="A675" s="31"/>
      <c r="B675" s="127"/>
      <c r="C675" s="128"/>
      <c r="D675" s="129"/>
      <c r="E675" s="129"/>
      <c r="F675" s="127"/>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row>
    <row r="676">
      <c r="A676" s="31"/>
      <c r="B676" s="127"/>
      <c r="C676" s="128"/>
      <c r="D676" s="129"/>
      <c r="E676" s="129"/>
      <c r="F676" s="127"/>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row>
    <row r="677">
      <c r="A677" s="31"/>
      <c r="B677" s="127"/>
      <c r="C677" s="128"/>
      <c r="D677" s="129"/>
      <c r="E677" s="129"/>
      <c r="F677" s="127"/>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row>
    <row r="678">
      <c r="A678" s="31"/>
      <c r="B678" s="127"/>
      <c r="C678" s="128"/>
      <c r="D678" s="129"/>
      <c r="E678" s="129"/>
      <c r="F678" s="127"/>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row>
    <row r="679">
      <c r="A679" s="31"/>
      <c r="B679" s="127"/>
      <c r="C679" s="128"/>
      <c r="D679" s="129"/>
      <c r="E679" s="129"/>
      <c r="F679" s="127"/>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row>
    <row r="680">
      <c r="A680" s="31"/>
      <c r="B680" s="127"/>
      <c r="C680" s="128"/>
      <c r="D680" s="129"/>
      <c r="E680" s="129"/>
      <c r="F680" s="127"/>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row>
    <row r="681">
      <c r="A681" s="31"/>
      <c r="B681" s="127"/>
      <c r="C681" s="128"/>
      <c r="D681" s="129"/>
      <c r="E681" s="129"/>
      <c r="F681" s="127"/>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row>
    <row r="682">
      <c r="A682" s="31"/>
      <c r="B682" s="127"/>
      <c r="C682" s="128"/>
      <c r="D682" s="129"/>
      <c r="E682" s="129"/>
      <c r="F682" s="127"/>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row>
    <row r="683">
      <c r="A683" s="31"/>
      <c r="B683" s="127"/>
      <c r="C683" s="128"/>
      <c r="D683" s="129"/>
      <c r="E683" s="129"/>
      <c r="F683" s="127"/>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row>
    <row r="684">
      <c r="A684" s="31"/>
      <c r="B684" s="127"/>
      <c r="C684" s="128"/>
      <c r="D684" s="129"/>
      <c r="E684" s="129"/>
      <c r="F684" s="127"/>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row>
    <row r="685">
      <c r="A685" s="31"/>
      <c r="B685" s="127"/>
      <c r="C685" s="128"/>
      <c r="D685" s="129"/>
      <c r="E685" s="129"/>
      <c r="F685" s="127"/>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row>
    <row r="686">
      <c r="A686" s="31"/>
      <c r="B686" s="127"/>
      <c r="C686" s="128"/>
      <c r="D686" s="129"/>
      <c r="E686" s="129"/>
      <c r="F686" s="127"/>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row>
    <row r="687">
      <c r="A687" s="31"/>
      <c r="B687" s="127"/>
      <c r="C687" s="128"/>
      <c r="D687" s="129"/>
      <c r="E687" s="129"/>
      <c r="F687" s="127"/>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row>
    <row r="688">
      <c r="A688" s="31"/>
      <c r="B688" s="127"/>
      <c r="C688" s="128"/>
      <c r="D688" s="129"/>
      <c r="E688" s="129"/>
      <c r="F688" s="127"/>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row>
    <row r="689">
      <c r="A689" s="31"/>
      <c r="B689" s="127"/>
      <c r="C689" s="128"/>
      <c r="D689" s="129"/>
      <c r="E689" s="129"/>
      <c r="F689" s="127"/>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row>
    <row r="690">
      <c r="A690" s="31"/>
      <c r="B690" s="127"/>
      <c r="C690" s="128"/>
      <c r="D690" s="129"/>
      <c r="E690" s="129"/>
      <c r="F690" s="127"/>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row>
    <row r="691">
      <c r="A691" s="31"/>
      <c r="B691" s="127"/>
      <c r="C691" s="128"/>
      <c r="D691" s="129"/>
      <c r="E691" s="129"/>
      <c r="F691" s="127"/>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row>
    <row r="692">
      <c r="A692" s="31"/>
      <c r="B692" s="127"/>
      <c r="C692" s="128"/>
      <c r="D692" s="129"/>
      <c r="E692" s="129"/>
      <c r="F692" s="127"/>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row>
    <row r="693">
      <c r="A693" s="31"/>
      <c r="B693" s="127"/>
      <c r="C693" s="128"/>
      <c r="D693" s="129"/>
      <c r="E693" s="129"/>
      <c r="F693" s="127"/>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row>
    <row r="694">
      <c r="A694" s="31"/>
      <c r="B694" s="127"/>
      <c r="C694" s="128"/>
      <c r="D694" s="129"/>
      <c r="E694" s="129"/>
      <c r="F694" s="127"/>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row>
    <row r="695">
      <c r="A695" s="31"/>
      <c r="B695" s="127"/>
      <c r="C695" s="128"/>
      <c r="D695" s="129"/>
      <c r="E695" s="129"/>
      <c r="F695" s="127"/>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row>
    <row r="696">
      <c r="A696" s="31"/>
      <c r="B696" s="127"/>
      <c r="C696" s="128"/>
      <c r="D696" s="129"/>
      <c r="E696" s="129"/>
      <c r="F696" s="127"/>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row>
    <row r="697">
      <c r="A697" s="31"/>
      <c r="B697" s="127"/>
      <c r="C697" s="128"/>
      <c r="D697" s="129"/>
      <c r="E697" s="129"/>
      <c r="F697" s="127"/>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row>
    <row r="698">
      <c r="A698" s="31"/>
      <c r="B698" s="127"/>
      <c r="C698" s="128"/>
      <c r="D698" s="129"/>
      <c r="E698" s="129"/>
      <c r="F698" s="127"/>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row>
    <row r="699">
      <c r="A699" s="31"/>
      <c r="B699" s="127"/>
      <c r="C699" s="128"/>
      <c r="D699" s="129"/>
      <c r="E699" s="129"/>
      <c r="F699" s="127"/>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row>
    <row r="700">
      <c r="A700" s="31"/>
      <c r="B700" s="127"/>
      <c r="C700" s="128"/>
      <c r="D700" s="129"/>
      <c r="E700" s="129"/>
      <c r="F700" s="127"/>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row>
    <row r="701">
      <c r="A701" s="31"/>
      <c r="B701" s="127"/>
      <c r="C701" s="128"/>
      <c r="D701" s="129"/>
      <c r="E701" s="129"/>
      <c r="F701" s="127"/>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row>
    <row r="702">
      <c r="A702" s="31"/>
      <c r="B702" s="127"/>
      <c r="C702" s="128"/>
      <c r="D702" s="129"/>
      <c r="E702" s="129"/>
      <c r="F702" s="127"/>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row>
    <row r="703">
      <c r="A703" s="31"/>
      <c r="B703" s="127"/>
      <c r="C703" s="128"/>
      <c r="D703" s="129"/>
      <c r="E703" s="129"/>
      <c r="F703" s="127"/>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row>
    <row r="704">
      <c r="A704" s="31"/>
      <c r="B704" s="127"/>
      <c r="C704" s="128"/>
      <c r="D704" s="129"/>
      <c r="E704" s="129"/>
      <c r="F704" s="127"/>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row>
    <row r="705">
      <c r="A705" s="31"/>
      <c r="B705" s="127"/>
      <c r="C705" s="128"/>
      <c r="D705" s="129"/>
      <c r="E705" s="129"/>
      <c r="F705" s="127"/>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row>
    <row r="706">
      <c r="A706" s="31"/>
      <c r="B706" s="127"/>
      <c r="C706" s="128"/>
      <c r="D706" s="129"/>
      <c r="E706" s="129"/>
      <c r="F706" s="127"/>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row>
    <row r="707">
      <c r="A707" s="31"/>
      <c r="B707" s="127"/>
      <c r="C707" s="128"/>
      <c r="D707" s="129"/>
      <c r="E707" s="129"/>
      <c r="F707" s="127"/>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row>
    <row r="708">
      <c r="A708" s="31"/>
      <c r="B708" s="127"/>
      <c r="C708" s="128"/>
      <c r="D708" s="129"/>
      <c r="E708" s="129"/>
      <c r="F708" s="127"/>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row>
    <row r="709">
      <c r="A709" s="31"/>
      <c r="B709" s="127"/>
      <c r="C709" s="128"/>
      <c r="D709" s="129"/>
      <c r="E709" s="129"/>
      <c r="F709" s="127"/>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row>
    <row r="710">
      <c r="A710" s="31"/>
      <c r="B710" s="127"/>
      <c r="C710" s="128"/>
      <c r="D710" s="129"/>
      <c r="E710" s="129"/>
      <c r="F710" s="127"/>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row>
    <row r="711">
      <c r="A711" s="31"/>
      <c r="B711" s="127"/>
      <c r="C711" s="128"/>
      <c r="D711" s="129"/>
      <c r="E711" s="129"/>
      <c r="F711" s="127"/>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row>
    <row r="712">
      <c r="A712" s="31"/>
      <c r="B712" s="127"/>
      <c r="C712" s="128"/>
      <c r="D712" s="129"/>
      <c r="E712" s="129"/>
      <c r="F712" s="127"/>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row>
    <row r="713">
      <c r="A713" s="31"/>
      <c r="B713" s="127"/>
      <c r="C713" s="128"/>
      <c r="D713" s="129"/>
      <c r="E713" s="129"/>
      <c r="F713" s="127"/>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row>
    <row r="714">
      <c r="A714" s="31"/>
      <c r="B714" s="127"/>
      <c r="C714" s="128"/>
      <c r="D714" s="129"/>
      <c r="E714" s="129"/>
      <c r="F714" s="127"/>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row>
    <row r="715">
      <c r="A715" s="31"/>
      <c r="B715" s="127"/>
      <c r="C715" s="128"/>
      <c r="D715" s="129"/>
      <c r="E715" s="129"/>
      <c r="F715" s="127"/>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row>
    <row r="716">
      <c r="A716" s="31"/>
      <c r="B716" s="127"/>
      <c r="C716" s="128"/>
      <c r="D716" s="129"/>
      <c r="E716" s="129"/>
      <c r="F716" s="127"/>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row>
    <row r="717">
      <c r="A717" s="31"/>
      <c r="B717" s="127"/>
      <c r="C717" s="128"/>
      <c r="D717" s="129"/>
      <c r="E717" s="129"/>
      <c r="F717" s="127"/>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row>
    <row r="718">
      <c r="A718" s="31"/>
      <c r="B718" s="127"/>
      <c r="C718" s="128"/>
      <c r="D718" s="129"/>
      <c r="E718" s="129"/>
      <c r="F718" s="127"/>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row>
    <row r="719">
      <c r="A719" s="31"/>
      <c r="B719" s="127"/>
      <c r="C719" s="128"/>
      <c r="D719" s="129"/>
      <c r="E719" s="129"/>
      <c r="F719" s="127"/>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row>
    <row r="720">
      <c r="A720" s="31"/>
      <c r="B720" s="127"/>
      <c r="C720" s="128"/>
      <c r="D720" s="129"/>
      <c r="E720" s="129"/>
      <c r="F720" s="127"/>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row>
    <row r="721">
      <c r="A721" s="31"/>
      <c r="B721" s="127"/>
      <c r="C721" s="128"/>
      <c r="D721" s="129"/>
      <c r="E721" s="129"/>
      <c r="F721" s="127"/>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row>
    <row r="722">
      <c r="A722" s="31"/>
      <c r="B722" s="127"/>
      <c r="C722" s="128"/>
      <c r="D722" s="129"/>
      <c r="E722" s="129"/>
      <c r="F722" s="127"/>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row>
    <row r="723">
      <c r="A723" s="31"/>
      <c r="B723" s="127"/>
      <c r="C723" s="128"/>
      <c r="D723" s="129"/>
      <c r="E723" s="129"/>
      <c r="F723" s="127"/>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row>
    <row r="724">
      <c r="A724" s="31"/>
      <c r="B724" s="127"/>
      <c r="C724" s="128"/>
      <c r="D724" s="129"/>
      <c r="E724" s="129"/>
      <c r="F724" s="127"/>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row>
    <row r="725">
      <c r="A725" s="31"/>
      <c r="B725" s="127"/>
      <c r="C725" s="128"/>
      <c r="D725" s="129"/>
      <c r="E725" s="129"/>
      <c r="F725" s="127"/>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row>
    <row r="726">
      <c r="A726" s="31"/>
      <c r="B726" s="127"/>
      <c r="C726" s="128"/>
      <c r="D726" s="129"/>
      <c r="E726" s="129"/>
      <c r="F726" s="127"/>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row>
    <row r="727">
      <c r="A727" s="31"/>
      <c r="B727" s="127"/>
      <c r="C727" s="128"/>
      <c r="D727" s="129"/>
      <c r="E727" s="129"/>
      <c r="F727" s="127"/>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row>
    <row r="728">
      <c r="A728" s="31"/>
      <c r="B728" s="127"/>
      <c r="C728" s="128"/>
      <c r="D728" s="129"/>
      <c r="E728" s="129"/>
      <c r="F728" s="127"/>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row>
    <row r="729">
      <c r="A729" s="31"/>
      <c r="B729" s="127"/>
      <c r="C729" s="128"/>
      <c r="D729" s="129"/>
      <c r="E729" s="129"/>
      <c r="F729" s="127"/>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row>
    <row r="730">
      <c r="A730" s="31"/>
      <c r="B730" s="127"/>
      <c r="C730" s="128"/>
      <c r="D730" s="129"/>
      <c r="E730" s="129"/>
      <c r="F730" s="127"/>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row>
    <row r="731">
      <c r="A731" s="31"/>
      <c r="B731" s="127"/>
      <c r="C731" s="128"/>
      <c r="D731" s="129"/>
      <c r="E731" s="129"/>
      <c r="F731" s="127"/>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row>
    <row r="732">
      <c r="A732" s="31"/>
      <c r="B732" s="127"/>
      <c r="C732" s="128"/>
      <c r="D732" s="129"/>
      <c r="E732" s="129"/>
      <c r="F732" s="127"/>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row>
    <row r="733">
      <c r="A733" s="31"/>
      <c r="B733" s="127"/>
      <c r="C733" s="128"/>
      <c r="D733" s="129"/>
      <c r="E733" s="129"/>
      <c r="F733" s="127"/>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row>
    <row r="734">
      <c r="A734" s="31"/>
      <c r="B734" s="127"/>
      <c r="C734" s="128"/>
      <c r="D734" s="129"/>
      <c r="E734" s="129"/>
      <c r="F734" s="127"/>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row>
    <row r="735">
      <c r="A735" s="31"/>
      <c r="B735" s="127"/>
      <c r="C735" s="128"/>
      <c r="D735" s="129"/>
      <c r="E735" s="129"/>
      <c r="F735" s="127"/>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row>
    <row r="736">
      <c r="A736" s="31"/>
      <c r="B736" s="127"/>
      <c r="C736" s="128"/>
      <c r="D736" s="129"/>
      <c r="E736" s="129"/>
      <c r="F736" s="127"/>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row>
    <row r="737">
      <c r="A737" s="31"/>
      <c r="B737" s="127"/>
      <c r="C737" s="128"/>
      <c r="D737" s="129"/>
      <c r="E737" s="129"/>
      <c r="F737" s="127"/>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row>
    <row r="738">
      <c r="A738" s="31"/>
      <c r="B738" s="127"/>
      <c r="C738" s="128"/>
      <c r="D738" s="129"/>
      <c r="E738" s="129"/>
      <c r="F738" s="127"/>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row>
    <row r="739">
      <c r="A739" s="31"/>
      <c r="B739" s="127"/>
      <c r="C739" s="128"/>
      <c r="D739" s="129"/>
      <c r="E739" s="129"/>
      <c r="F739" s="127"/>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row>
    <row r="740">
      <c r="A740" s="31"/>
      <c r="B740" s="127"/>
      <c r="C740" s="128"/>
      <c r="D740" s="129"/>
      <c r="E740" s="129"/>
      <c r="F740" s="127"/>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row>
    <row r="741">
      <c r="A741" s="31"/>
      <c r="B741" s="127"/>
      <c r="C741" s="128"/>
      <c r="D741" s="129"/>
      <c r="E741" s="129"/>
      <c r="F741" s="127"/>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row>
    <row r="742">
      <c r="A742" s="31"/>
      <c r="B742" s="127"/>
      <c r="C742" s="128"/>
      <c r="D742" s="129"/>
      <c r="E742" s="129"/>
      <c r="F742" s="127"/>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row>
    <row r="743">
      <c r="A743" s="31"/>
      <c r="B743" s="127"/>
      <c r="C743" s="128"/>
      <c r="D743" s="129"/>
      <c r="E743" s="129"/>
      <c r="F743" s="127"/>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row>
    <row r="744">
      <c r="A744" s="31"/>
      <c r="B744" s="127"/>
      <c r="C744" s="128"/>
      <c r="D744" s="129"/>
      <c r="E744" s="129"/>
      <c r="F744" s="127"/>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row>
    <row r="745">
      <c r="A745" s="31"/>
      <c r="B745" s="127"/>
      <c r="C745" s="128"/>
      <c r="D745" s="129"/>
      <c r="E745" s="129"/>
      <c r="F745" s="127"/>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row>
    <row r="746">
      <c r="A746" s="31"/>
      <c r="B746" s="127"/>
      <c r="C746" s="128"/>
      <c r="D746" s="129"/>
      <c r="E746" s="129"/>
      <c r="F746" s="127"/>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row>
    <row r="747">
      <c r="A747" s="31"/>
      <c r="B747" s="127"/>
      <c r="C747" s="128"/>
      <c r="D747" s="129"/>
      <c r="E747" s="129"/>
      <c r="F747" s="127"/>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row>
    <row r="748">
      <c r="A748" s="31"/>
      <c r="B748" s="127"/>
      <c r="C748" s="128"/>
      <c r="D748" s="129"/>
      <c r="E748" s="129"/>
      <c r="F748" s="127"/>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row>
    <row r="749">
      <c r="A749" s="31"/>
      <c r="B749" s="127"/>
      <c r="C749" s="128"/>
      <c r="D749" s="129"/>
      <c r="E749" s="129"/>
      <c r="F749" s="127"/>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row>
    <row r="750">
      <c r="A750" s="31"/>
      <c r="B750" s="127"/>
      <c r="C750" s="128"/>
      <c r="D750" s="129"/>
      <c r="E750" s="129"/>
      <c r="F750" s="127"/>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row>
    <row r="751">
      <c r="A751" s="31"/>
      <c r="B751" s="127"/>
      <c r="C751" s="128"/>
      <c r="D751" s="129"/>
      <c r="E751" s="129"/>
      <c r="F751" s="127"/>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row>
    <row r="752">
      <c r="A752" s="31"/>
      <c r="B752" s="127"/>
      <c r="C752" s="128"/>
      <c r="D752" s="129"/>
      <c r="E752" s="129"/>
      <c r="F752" s="127"/>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row>
    <row r="753">
      <c r="A753" s="31"/>
      <c r="B753" s="127"/>
      <c r="C753" s="128"/>
      <c r="D753" s="129"/>
      <c r="E753" s="129"/>
      <c r="F753" s="127"/>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row>
    <row r="754">
      <c r="A754" s="31"/>
      <c r="B754" s="127"/>
      <c r="C754" s="128"/>
      <c r="D754" s="129"/>
      <c r="E754" s="129"/>
      <c r="F754" s="127"/>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row>
    <row r="755">
      <c r="A755" s="31"/>
      <c r="B755" s="127"/>
      <c r="C755" s="128"/>
      <c r="D755" s="129"/>
      <c r="E755" s="129"/>
      <c r="F755" s="127"/>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row>
    <row r="756">
      <c r="A756" s="31"/>
      <c r="B756" s="127"/>
      <c r="C756" s="128"/>
      <c r="D756" s="129"/>
      <c r="E756" s="129"/>
      <c r="F756" s="127"/>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row>
    <row r="757">
      <c r="A757" s="31"/>
      <c r="B757" s="127"/>
      <c r="C757" s="128"/>
      <c r="D757" s="129"/>
      <c r="E757" s="129"/>
      <c r="F757" s="127"/>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row>
    <row r="758">
      <c r="A758" s="31"/>
      <c r="B758" s="127"/>
      <c r="C758" s="128"/>
      <c r="D758" s="129"/>
      <c r="E758" s="129"/>
      <c r="F758" s="127"/>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row>
    <row r="759">
      <c r="A759" s="31"/>
      <c r="B759" s="127"/>
      <c r="C759" s="128"/>
      <c r="D759" s="129"/>
      <c r="E759" s="129"/>
      <c r="F759" s="127"/>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row>
    <row r="760">
      <c r="A760" s="31"/>
      <c r="B760" s="127"/>
      <c r="C760" s="128"/>
      <c r="D760" s="129"/>
      <c r="E760" s="129"/>
      <c r="F760" s="127"/>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row>
    <row r="761">
      <c r="A761" s="31"/>
      <c r="B761" s="127"/>
      <c r="C761" s="128"/>
      <c r="D761" s="129"/>
      <c r="E761" s="129"/>
      <c r="F761" s="127"/>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row>
    <row r="762">
      <c r="A762" s="31"/>
      <c r="B762" s="127"/>
      <c r="C762" s="128"/>
      <c r="D762" s="129"/>
      <c r="E762" s="129"/>
      <c r="F762" s="127"/>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row>
    <row r="763">
      <c r="A763" s="31"/>
      <c r="B763" s="127"/>
      <c r="C763" s="128"/>
      <c r="D763" s="129"/>
      <c r="E763" s="129"/>
      <c r="F763" s="127"/>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row>
    <row r="764">
      <c r="A764" s="31"/>
      <c r="B764" s="127"/>
      <c r="C764" s="128"/>
      <c r="D764" s="129"/>
      <c r="E764" s="129"/>
      <c r="F764" s="127"/>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row>
    <row r="765">
      <c r="A765" s="31"/>
      <c r="B765" s="127"/>
      <c r="C765" s="128"/>
      <c r="D765" s="129"/>
      <c r="E765" s="129"/>
      <c r="F765" s="127"/>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row>
    <row r="766">
      <c r="A766" s="31"/>
      <c r="B766" s="127"/>
      <c r="C766" s="128"/>
      <c r="D766" s="129"/>
      <c r="E766" s="129"/>
      <c r="F766" s="127"/>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row>
    <row r="767">
      <c r="A767" s="31"/>
      <c r="B767" s="127"/>
      <c r="C767" s="128"/>
      <c r="D767" s="129"/>
      <c r="E767" s="129"/>
      <c r="F767" s="127"/>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row>
    <row r="768">
      <c r="A768" s="31"/>
      <c r="B768" s="127"/>
      <c r="C768" s="128"/>
      <c r="D768" s="129"/>
      <c r="E768" s="129"/>
      <c r="F768" s="127"/>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row>
    <row r="769">
      <c r="A769" s="31"/>
      <c r="B769" s="127"/>
      <c r="C769" s="128"/>
      <c r="D769" s="129"/>
      <c r="E769" s="129"/>
      <c r="F769" s="127"/>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row>
    <row r="770">
      <c r="A770" s="31"/>
      <c r="B770" s="127"/>
      <c r="C770" s="128"/>
      <c r="D770" s="129"/>
      <c r="E770" s="129"/>
      <c r="F770" s="127"/>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row>
    <row r="771">
      <c r="A771" s="31"/>
      <c r="B771" s="127"/>
      <c r="C771" s="128"/>
      <c r="D771" s="129"/>
      <c r="E771" s="129"/>
      <c r="F771" s="127"/>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row>
    <row r="772">
      <c r="A772" s="31"/>
      <c r="B772" s="127"/>
      <c r="C772" s="128"/>
      <c r="D772" s="129"/>
      <c r="E772" s="129"/>
      <c r="F772" s="127"/>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row>
    <row r="773">
      <c r="A773" s="31"/>
      <c r="B773" s="127"/>
      <c r="C773" s="128"/>
      <c r="D773" s="129"/>
      <c r="E773" s="129"/>
      <c r="F773" s="127"/>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row>
    <row r="774">
      <c r="A774" s="31"/>
      <c r="B774" s="127"/>
      <c r="C774" s="128"/>
      <c r="D774" s="129"/>
      <c r="E774" s="129"/>
      <c r="F774" s="127"/>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row>
    <row r="775">
      <c r="A775" s="31"/>
      <c r="B775" s="127"/>
      <c r="C775" s="128"/>
      <c r="D775" s="129"/>
      <c r="E775" s="129"/>
      <c r="F775" s="127"/>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row>
    <row r="776">
      <c r="A776" s="31"/>
      <c r="B776" s="127"/>
      <c r="C776" s="128"/>
      <c r="D776" s="129"/>
      <c r="E776" s="129"/>
      <c r="F776" s="127"/>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row>
    <row r="777">
      <c r="A777" s="31"/>
      <c r="B777" s="127"/>
      <c r="C777" s="128"/>
      <c r="D777" s="129"/>
      <c r="E777" s="129"/>
      <c r="F777" s="127"/>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row>
    <row r="778">
      <c r="A778" s="31"/>
      <c r="B778" s="127"/>
      <c r="C778" s="128"/>
      <c r="D778" s="129"/>
      <c r="E778" s="129"/>
      <c r="F778" s="127"/>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row>
    <row r="779">
      <c r="A779" s="31"/>
      <c r="B779" s="127"/>
      <c r="C779" s="128"/>
      <c r="D779" s="129"/>
      <c r="E779" s="129"/>
      <c r="F779" s="127"/>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row>
    <row r="780">
      <c r="A780" s="31"/>
      <c r="B780" s="127"/>
      <c r="C780" s="128"/>
      <c r="D780" s="129"/>
      <c r="E780" s="129"/>
      <c r="F780" s="127"/>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row>
    <row r="781">
      <c r="A781" s="31"/>
      <c r="B781" s="127"/>
      <c r="C781" s="128"/>
      <c r="D781" s="129"/>
      <c r="E781" s="129"/>
      <c r="F781" s="127"/>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row>
    <row r="782">
      <c r="A782" s="31"/>
      <c r="B782" s="127"/>
      <c r="C782" s="128"/>
      <c r="D782" s="129"/>
      <c r="E782" s="129"/>
      <c r="F782" s="127"/>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row>
    <row r="783">
      <c r="A783" s="31"/>
      <c r="B783" s="127"/>
      <c r="C783" s="128"/>
      <c r="D783" s="129"/>
      <c r="E783" s="129"/>
      <c r="F783" s="127"/>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row>
    <row r="784">
      <c r="A784" s="31"/>
      <c r="B784" s="127"/>
      <c r="C784" s="128"/>
      <c r="D784" s="129"/>
      <c r="E784" s="129"/>
      <c r="F784" s="127"/>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row>
    <row r="785">
      <c r="A785" s="31"/>
      <c r="B785" s="127"/>
      <c r="C785" s="128"/>
      <c r="D785" s="129"/>
      <c r="E785" s="129"/>
      <c r="F785" s="127"/>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row>
    <row r="786">
      <c r="A786" s="31"/>
      <c r="B786" s="127"/>
      <c r="C786" s="128"/>
      <c r="D786" s="129"/>
      <c r="E786" s="129"/>
      <c r="F786" s="127"/>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row>
    <row r="787">
      <c r="A787" s="31"/>
      <c r="B787" s="127"/>
      <c r="C787" s="128"/>
      <c r="D787" s="129"/>
      <c r="E787" s="129"/>
      <c r="F787" s="127"/>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row>
    <row r="788">
      <c r="A788" s="31"/>
      <c r="B788" s="127"/>
      <c r="C788" s="128"/>
      <c r="D788" s="129"/>
      <c r="E788" s="129"/>
      <c r="F788" s="127"/>
      <c r="G788" s="127"/>
      <c r="H788" s="127"/>
      <c r="I788" s="127"/>
      <c r="J788" s="127"/>
      <c r="K788" s="127"/>
      <c r="L788" s="127"/>
      <c r="M788" s="127"/>
      <c r="N788" s="127"/>
      <c r="O788" s="127"/>
      <c r="P788" s="127"/>
      <c r="Q788" s="127"/>
      <c r="R788" s="127"/>
      <c r="S788" s="127"/>
      <c r="T788" s="127"/>
      <c r="U788" s="127"/>
      <c r="V788" s="127"/>
      <c r="W788" s="127"/>
      <c r="X788" s="127"/>
      <c r="Y788" s="127"/>
      <c r="Z788" s="127"/>
      <c r="AA788" s="127"/>
      <c r="AB788" s="127"/>
    </row>
    <row r="789">
      <c r="A789" s="31"/>
      <c r="B789" s="127"/>
      <c r="C789" s="128"/>
      <c r="D789" s="129"/>
      <c r="E789" s="129"/>
      <c r="F789" s="127"/>
      <c r="G789" s="127"/>
      <c r="H789" s="127"/>
      <c r="I789" s="127"/>
      <c r="J789" s="127"/>
      <c r="K789" s="127"/>
      <c r="L789" s="127"/>
      <c r="M789" s="127"/>
      <c r="N789" s="127"/>
      <c r="O789" s="127"/>
      <c r="P789" s="127"/>
      <c r="Q789" s="127"/>
      <c r="R789" s="127"/>
      <c r="S789" s="127"/>
      <c r="T789" s="127"/>
      <c r="U789" s="127"/>
      <c r="V789" s="127"/>
      <c r="W789" s="127"/>
      <c r="X789" s="127"/>
      <c r="Y789" s="127"/>
      <c r="Z789" s="127"/>
      <c r="AA789" s="127"/>
      <c r="AB789" s="127"/>
    </row>
    <row r="790">
      <c r="A790" s="31"/>
      <c r="B790" s="127"/>
      <c r="C790" s="128"/>
      <c r="D790" s="129"/>
      <c r="E790" s="129"/>
      <c r="F790" s="127"/>
      <c r="G790" s="127"/>
      <c r="H790" s="127"/>
      <c r="I790" s="127"/>
      <c r="J790" s="127"/>
      <c r="K790" s="127"/>
      <c r="L790" s="127"/>
      <c r="M790" s="127"/>
      <c r="N790" s="127"/>
      <c r="O790" s="127"/>
      <c r="P790" s="127"/>
      <c r="Q790" s="127"/>
      <c r="R790" s="127"/>
      <c r="S790" s="127"/>
      <c r="T790" s="127"/>
      <c r="U790" s="127"/>
      <c r="V790" s="127"/>
      <c r="W790" s="127"/>
      <c r="X790" s="127"/>
      <c r="Y790" s="127"/>
      <c r="Z790" s="127"/>
      <c r="AA790" s="127"/>
      <c r="AB790" s="127"/>
    </row>
    <row r="791">
      <c r="A791" s="31"/>
      <c r="B791" s="127"/>
      <c r="C791" s="128"/>
      <c r="D791" s="129"/>
      <c r="E791" s="129"/>
      <c r="F791" s="127"/>
      <c r="G791" s="127"/>
      <c r="H791" s="127"/>
      <c r="I791" s="127"/>
      <c r="J791" s="127"/>
      <c r="K791" s="127"/>
      <c r="L791" s="127"/>
      <c r="M791" s="127"/>
      <c r="N791" s="127"/>
      <c r="O791" s="127"/>
      <c r="P791" s="127"/>
      <c r="Q791" s="127"/>
      <c r="R791" s="127"/>
      <c r="S791" s="127"/>
      <c r="T791" s="127"/>
      <c r="U791" s="127"/>
      <c r="V791" s="127"/>
      <c r="W791" s="127"/>
      <c r="X791" s="127"/>
      <c r="Y791" s="127"/>
      <c r="Z791" s="127"/>
      <c r="AA791" s="127"/>
      <c r="AB791" s="127"/>
    </row>
    <row r="792">
      <c r="A792" s="31"/>
      <c r="B792" s="127"/>
      <c r="C792" s="128"/>
      <c r="D792" s="129"/>
      <c r="E792" s="129"/>
      <c r="F792" s="127"/>
      <c r="G792" s="127"/>
      <c r="H792" s="127"/>
      <c r="I792" s="127"/>
      <c r="J792" s="127"/>
      <c r="K792" s="127"/>
      <c r="L792" s="127"/>
      <c r="M792" s="127"/>
      <c r="N792" s="127"/>
      <c r="O792" s="127"/>
      <c r="P792" s="127"/>
      <c r="Q792" s="127"/>
      <c r="R792" s="127"/>
      <c r="S792" s="127"/>
      <c r="T792" s="127"/>
      <c r="U792" s="127"/>
      <c r="V792" s="127"/>
      <c r="W792" s="127"/>
      <c r="X792" s="127"/>
      <c r="Y792" s="127"/>
      <c r="Z792" s="127"/>
      <c r="AA792" s="127"/>
      <c r="AB792" s="127"/>
    </row>
    <row r="793">
      <c r="A793" s="31"/>
      <c r="B793" s="127"/>
      <c r="C793" s="128"/>
      <c r="D793" s="129"/>
      <c r="E793" s="129"/>
      <c r="F793" s="127"/>
      <c r="G793" s="127"/>
      <c r="H793" s="127"/>
      <c r="I793" s="127"/>
      <c r="J793" s="127"/>
      <c r="K793" s="127"/>
      <c r="L793" s="127"/>
      <c r="M793" s="127"/>
      <c r="N793" s="127"/>
      <c r="O793" s="127"/>
      <c r="P793" s="127"/>
      <c r="Q793" s="127"/>
      <c r="R793" s="127"/>
      <c r="S793" s="127"/>
      <c r="T793" s="127"/>
      <c r="U793" s="127"/>
      <c r="V793" s="127"/>
      <c r="W793" s="127"/>
      <c r="X793" s="127"/>
      <c r="Y793" s="127"/>
      <c r="Z793" s="127"/>
      <c r="AA793" s="127"/>
      <c r="AB793" s="127"/>
    </row>
    <row r="794">
      <c r="A794" s="31"/>
      <c r="B794" s="127"/>
      <c r="C794" s="128"/>
      <c r="D794" s="129"/>
      <c r="E794" s="129"/>
      <c r="F794" s="127"/>
      <c r="G794" s="127"/>
      <c r="H794" s="127"/>
      <c r="I794" s="127"/>
      <c r="J794" s="127"/>
      <c r="K794" s="127"/>
      <c r="L794" s="127"/>
      <c r="M794" s="127"/>
      <c r="N794" s="127"/>
      <c r="O794" s="127"/>
      <c r="P794" s="127"/>
      <c r="Q794" s="127"/>
      <c r="R794" s="127"/>
      <c r="S794" s="127"/>
      <c r="T794" s="127"/>
      <c r="U794" s="127"/>
      <c r="V794" s="127"/>
      <c r="W794" s="127"/>
      <c r="X794" s="127"/>
      <c r="Y794" s="127"/>
      <c r="Z794" s="127"/>
      <c r="AA794" s="127"/>
      <c r="AB794" s="127"/>
    </row>
    <row r="795">
      <c r="A795" s="31"/>
      <c r="B795" s="127"/>
      <c r="C795" s="128"/>
      <c r="D795" s="129"/>
      <c r="E795" s="129"/>
      <c r="F795" s="127"/>
      <c r="G795" s="127"/>
      <c r="H795" s="127"/>
      <c r="I795" s="127"/>
      <c r="J795" s="127"/>
      <c r="K795" s="127"/>
      <c r="L795" s="127"/>
      <c r="M795" s="127"/>
      <c r="N795" s="127"/>
      <c r="O795" s="127"/>
      <c r="P795" s="127"/>
      <c r="Q795" s="127"/>
      <c r="R795" s="127"/>
      <c r="S795" s="127"/>
      <c r="T795" s="127"/>
      <c r="U795" s="127"/>
      <c r="V795" s="127"/>
      <c r="W795" s="127"/>
      <c r="X795" s="127"/>
      <c r="Y795" s="127"/>
      <c r="Z795" s="127"/>
      <c r="AA795" s="127"/>
      <c r="AB795" s="127"/>
    </row>
    <row r="796">
      <c r="A796" s="31"/>
      <c r="B796" s="127"/>
      <c r="C796" s="128"/>
      <c r="D796" s="129"/>
      <c r="E796" s="129"/>
      <c r="F796" s="127"/>
      <c r="G796" s="127"/>
      <c r="H796" s="127"/>
      <c r="I796" s="127"/>
      <c r="J796" s="127"/>
      <c r="K796" s="127"/>
      <c r="L796" s="127"/>
      <c r="M796" s="127"/>
      <c r="N796" s="127"/>
      <c r="O796" s="127"/>
      <c r="P796" s="127"/>
      <c r="Q796" s="127"/>
      <c r="R796" s="127"/>
      <c r="S796" s="127"/>
      <c r="T796" s="127"/>
      <c r="U796" s="127"/>
      <c r="V796" s="127"/>
      <c r="W796" s="127"/>
      <c r="X796" s="127"/>
      <c r="Y796" s="127"/>
      <c r="Z796" s="127"/>
      <c r="AA796" s="127"/>
      <c r="AB796" s="127"/>
    </row>
    <row r="797">
      <c r="A797" s="31"/>
      <c r="B797" s="127"/>
      <c r="C797" s="128"/>
      <c r="D797" s="129"/>
      <c r="E797" s="129"/>
      <c r="F797" s="127"/>
      <c r="G797" s="127"/>
      <c r="H797" s="127"/>
      <c r="I797" s="127"/>
      <c r="J797" s="127"/>
      <c r="K797" s="127"/>
      <c r="L797" s="127"/>
      <c r="M797" s="127"/>
      <c r="N797" s="127"/>
      <c r="O797" s="127"/>
      <c r="P797" s="127"/>
      <c r="Q797" s="127"/>
      <c r="R797" s="127"/>
      <c r="S797" s="127"/>
      <c r="T797" s="127"/>
      <c r="U797" s="127"/>
      <c r="V797" s="127"/>
      <c r="W797" s="127"/>
      <c r="X797" s="127"/>
      <c r="Y797" s="127"/>
      <c r="Z797" s="127"/>
      <c r="AA797" s="127"/>
      <c r="AB797" s="127"/>
    </row>
    <row r="798">
      <c r="A798" s="31"/>
      <c r="B798" s="127"/>
      <c r="C798" s="128"/>
      <c r="D798" s="129"/>
      <c r="E798" s="129"/>
      <c r="F798" s="127"/>
      <c r="G798" s="127"/>
      <c r="H798" s="127"/>
      <c r="I798" s="127"/>
      <c r="J798" s="127"/>
      <c r="K798" s="127"/>
      <c r="L798" s="127"/>
      <c r="M798" s="127"/>
      <c r="N798" s="127"/>
      <c r="O798" s="127"/>
      <c r="P798" s="127"/>
      <c r="Q798" s="127"/>
      <c r="R798" s="127"/>
      <c r="S798" s="127"/>
      <c r="T798" s="127"/>
      <c r="U798" s="127"/>
      <c r="V798" s="127"/>
      <c r="W798" s="127"/>
      <c r="X798" s="127"/>
      <c r="Y798" s="127"/>
      <c r="Z798" s="127"/>
      <c r="AA798" s="127"/>
      <c r="AB798" s="127"/>
    </row>
    <row r="799">
      <c r="A799" s="31"/>
      <c r="B799" s="127"/>
      <c r="C799" s="128"/>
      <c r="D799" s="129"/>
      <c r="E799" s="129"/>
      <c r="F799" s="127"/>
      <c r="G799" s="127"/>
      <c r="H799" s="127"/>
      <c r="I799" s="127"/>
      <c r="J799" s="127"/>
      <c r="K799" s="127"/>
      <c r="L799" s="127"/>
      <c r="M799" s="127"/>
      <c r="N799" s="127"/>
      <c r="O799" s="127"/>
      <c r="P799" s="127"/>
      <c r="Q799" s="127"/>
      <c r="R799" s="127"/>
      <c r="S799" s="127"/>
      <c r="T799" s="127"/>
      <c r="U799" s="127"/>
      <c r="V799" s="127"/>
      <c r="W799" s="127"/>
      <c r="X799" s="127"/>
      <c r="Y799" s="127"/>
      <c r="Z799" s="127"/>
      <c r="AA799" s="127"/>
      <c r="AB799" s="127"/>
    </row>
    <row r="800">
      <c r="A800" s="31"/>
      <c r="B800" s="127"/>
      <c r="C800" s="128"/>
      <c r="D800" s="129"/>
      <c r="E800" s="129"/>
      <c r="F800" s="127"/>
      <c r="G800" s="127"/>
      <c r="H800" s="127"/>
      <c r="I800" s="127"/>
      <c r="J800" s="127"/>
      <c r="K800" s="127"/>
      <c r="L800" s="127"/>
      <c r="M800" s="127"/>
      <c r="N800" s="127"/>
      <c r="O800" s="127"/>
      <c r="P800" s="127"/>
      <c r="Q800" s="127"/>
      <c r="R800" s="127"/>
      <c r="S800" s="127"/>
      <c r="T800" s="127"/>
      <c r="U800" s="127"/>
      <c r="V800" s="127"/>
      <c r="W800" s="127"/>
      <c r="X800" s="127"/>
      <c r="Y800" s="127"/>
      <c r="Z800" s="127"/>
      <c r="AA800" s="127"/>
      <c r="AB800" s="127"/>
    </row>
    <row r="801">
      <c r="A801" s="31"/>
      <c r="B801" s="127"/>
      <c r="C801" s="128"/>
      <c r="D801" s="129"/>
      <c r="E801" s="129"/>
      <c r="F801" s="127"/>
      <c r="G801" s="127"/>
      <c r="H801" s="127"/>
      <c r="I801" s="127"/>
      <c r="J801" s="127"/>
      <c r="K801" s="127"/>
      <c r="L801" s="127"/>
      <c r="M801" s="127"/>
      <c r="N801" s="127"/>
      <c r="O801" s="127"/>
      <c r="P801" s="127"/>
      <c r="Q801" s="127"/>
      <c r="R801" s="127"/>
      <c r="S801" s="127"/>
      <c r="T801" s="127"/>
      <c r="U801" s="127"/>
      <c r="V801" s="127"/>
      <c r="W801" s="127"/>
      <c r="X801" s="127"/>
      <c r="Y801" s="127"/>
      <c r="Z801" s="127"/>
      <c r="AA801" s="127"/>
      <c r="AB801" s="127"/>
    </row>
  </sheetData>
  <mergeCells count="1">
    <mergeCell ref="D2:E2"/>
  </mergeCells>
  <hyperlinks>
    <hyperlink r:id="rId1" ref="E4"/>
    <hyperlink r:id="rId2" ref="E6"/>
    <hyperlink r:id="rId3" ref="E8"/>
    <hyperlink r:id="rId4" ref="E9"/>
    <hyperlink r:id="rId5" ref="E10"/>
    <hyperlink r:id="rId6" ref="E11"/>
    <hyperlink r:id="rId7" ref="G11"/>
    <hyperlink r:id="rId8" ref="G13"/>
    <hyperlink r:id="rId9" ref="D15"/>
    <hyperlink r:id="rId10" ref="E16"/>
    <hyperlink r:id="rId11" location="_ga=2.249539591.182630977.1708601110-785941630.1708601109" ref="E18"/>
    <hyperlink r:id="rId12" ref="C19"/>
    <hyperlink r:id="rId13" ref="E19"/>
    <hyperlink r:id="rId14" ref="E20"/>
    <hyperlink r:id="rId15" ref="E21"/>
    <hyperlink r:id="rId16" ref="E23"/>
    <hyperlink r:id="rId17" ref="E25"/>
    <hyperlink r:id="rId18" ref="E26"/>
    <hyperlink r:id="rId19" ref="E28"/>
    <hyperlink r:id="rId20" location="/Page/SVC_CATALOG@item-4--2" ref="E30"/>
    <hyperlink r:id="rId21" ref="E31"/>
    <hyperlink r:id="rId22" ref="E32"/>
    <hyperlink r:id="rId23" ref="G32"/>
    <hyperlink r:id="rId24" ref="H32"/>
    <hyperlink r:id="rId25" ref="I32"/>
    <hyperlink r:id="rId26" ref="E33"/>
    <hyperlink r:id="rId27" ref="H33"/>
    <hyperlink r:id="rId28" ref="E34"/>
    <hyperlink r:id="rId29" ref="H35"/>
    <hyperlink r:id="rId30" ref="E36"/>
    <hyperlink r:id="rId31" ref="E38"/>
    <hyperlink r:id="rId32" ref="D39"/>
    <hyperlink r:id="rId33" ref="E39"/>
    <hyperlink r:id="rId34" ref="E40"/>
    <hyperlink r:id="rId35" ref="E41"/>
    <hyperlink r:id="rId36" ref="F43"/>
    <hyperlink r:id="rId37" ref="E44"/>
    <hyperlink r:id="rId38" ref="E45"/>
    <hyperlink r:id="rId39" ref="E46"/>
    <hyperlink r:id="rId40" ref="E48"/>
    <hyperlink r:id="rId41" ref="E50"/>
    <hyperlink r:id="rId42" ref="E51"/>
    <hyperlink r:id="rId43" location="/file" ref="E52"/>
    <hyperlink r:id="rId44" ref="E54"/>
    <hyperlink r:id="rId45" ref="E55"/>
    <hyperlink r:id="rId46" ref="E56"/>
    <hyperlink r:id="rId47" ref="E57"/>
    <hyperlink r:id="rId48" ref="E58"/>
    <hyperlink r:id="rId49" location="/" ref="H59"/>
    <hyperlink r:id="rId50" ref="E62"/>
    <hyperlink r:id="rId51" ref="F62"/>
    <hyperlink r:id="rId52" ref="H63"/>
    <hyperlink r:id="rId53" ref="E65"/>
    <hyperlink r:id="rId54" ref="E66"/>
    <hyperlink r:id="rId55" ref="E69"/>
    <hyperlink r:id="rId56" ref="E70"/>
    <hyperlink r:id="rId57" ref="E75"/>
    <hyperlink r:id="rId58" ref="E80"/>
    <hyperlink r:id="rId59" ref="E82"/>
    <hyperlink r:id="rId60" ref="E83"/>
    <hyperlink r:id="rId61" ref="E84"/>
    <hyperlink r:id="rId62" location="nosotros4" ref="E86"/>
    <hyperlink r:id="rId63" ref="E87"/>
    <hyperlink r:id="rId64" ref="E88"/>
    <hyperlink r:id="rId65" ref="E89"/>
    <hyperlink r:id="rId66" ref="E91"/>
    <hyperlink r:id="rId67" ref="E93"/>
    <hyperlink r:id="rId68" ref="E95"/>
    <hyperlink r:id="rId69" ref="E96"/>
    <hyperlink r:id="rId70" ref="E97"/>
    <hyperlink r:id="rId71" ref="E98"/>
    <hyperlink r:id="rId72" ref="E99"/>
    <hyperlink r:id="rId73" ref="E101"/>
    <hyperlink r:id="rId74" location="current_ask-form-2" ref="E102"/>
    <hyperlink r:id="rId75" ref="E103"/>
    <hyperlink r:id="rId76" ref="E104"/>
    <hyperlink r:id="rId77" ref="E105"/>
    <hyperlink r:id="rId78" ref="E106"/>
    <hyperlink r:id="rId79" ref="E107"/>
    <hyperlink r:id="rId80" ref="E109"/>
    <hyperlink r:id="rId81" ref="E110"/>
    <hyperlink r:id="rId82" ref="E111"/>
    <hyperlink r:id="rId83" ref="E113"/>
    <hyperlink r:id="rId84" ref="E114"/>
    <hyperlink r:id="rId85" ref="E116"/>
    <hyperlink r:id="rId86" location="/flightcomplaint" ref="E118"/>
    <hyperlink r:id="rId87" ref="E121"/>
    <hyperlink r:id="rId88" ref="C124"/>
    <hyperlink r:id="rId89" ref="E124"/>
    <hyperlink r:id="rId90" ref="E125"/>
    <hyperlink r:id="rId91" ref="G125"/>
    <hyperlink r:id="rId92" ref="E126"/>
    <hyperlink r:id="rId93" ref="E127"/>
    <hyperlink r:id="rId94" ref="E128"/>
    <hyperlink r:id="rId95" ref="E130"/>
    <hyperlink r:id="rId96" ref="E131"/>
    <hyperlink r:id="rId97" ref="E132"/>
    <hyperlink r:id="rId98" ref="E133"/>
    <hyperlink r:id="rId99" ref="E136"/>
    <hyperlink r:id="rId100" ref="E139"/>
    <hyperlink r:id="rId101" ref="E141"/>
    <hyperlink r:id="rId102" ref="E142"/>
    <hyperlink r:id="rId103" ref="E143"/>
    <hyperlink r:id="rId104" ref="E144"/>
    <hyperlink r:id="rId105" ref="E147"/>
    <hyperlink r:id="rId106" location="/feedback?_gl=1*1aohqop*_ga*MTg1MTU2OTQwMi4xNzAzMjcwMzc5*_ga_0QVNSNCG0T*MTcwMzI3MDM3OC4xLjEuMTcwMzI3MDUxNi4yNS4wLjA." ref="E149"/>
    <hyperlink r:id="rId107" location="[object%20Object]" ref="E151"/>
    <hyperlink r:id="rId108" ref="C152"/>
    <hyperlink r:id="rId109" ref="E156"/>
    <hyperlink r:id="rId110" ref="E157"/>
    <hyperlink r:id="rId111" ref="F157"/>
    <hyperlink r:id="rId112" ref="E159"/>
    <hyperlink r:id="rId113" ref="E161"/>
    <hyperlink r:id="rId114" ref="E163"/>
    <hyperlink r:id="rId115" ref="E165"/>
    <hyperlink r:id="rId116" ref="E166"/>
    <hyperlink r:id="rId117" location="drawer-modal-4" ref="E168"/>
    <hyperlink r:id="rId118" ref="E169"/>
    <hyperlink r:id="rId119" ref="E171"/>
    <hyperlink r:id="rId120" ref="E172"/>
    <hyperlink r:id="rId121" ref="E176"/>
    <hyperlink r:id="rId122" ref="E177"/>
    <hyperlink r:id="rId123" ref="E178"/>
    <hyperlink r:id="rId124" ref="E181"/>
    <hyperlink r:id="rId125" ref="E184"/>
    <hyperlink r:id="rId126" ref="E187"/>
    <hyperlink r:id="rId127" ref="E188"/>
    <hyperlink r:id="rId128" ref="E189"/>
    <hyperlink r:id="rId129" location="/traveller" ref="E190"/>
    <hyperlink r:id="rId130" ref="E191"/>
    <hyperlink r:id="rId131" ref="H191"/>
    <hyperlink r:id="rId132" location="complaintForm" ref="E193"/>
    <hyperlink r:id="rId133" ref="E194"/>
    <hyperlink r:id="rId134" ref="E195"/>
    <hyperlink r:id="rId135" ref="E196"/>
    <hyperlink r:id="rId136" ref="E199"/>
    <hyperlink r:id="rId137" ref="E202"/>
    <hyperlink r:id="rId138" ref="E203"/>
    <hyperlink r:id="rId139" ref="E204"/>
    <hyperlink r:id="rId140" ref="E205"/>
    <hyperlink r:id="rId141" ref="E206"/>
    <hyperlink r:id="rId142" ref="E207"/>
    <hyperlink r:id="rId143" ref="E208"/>
    <hyperlink r:id="rId144" ref="G210"/>
    <hyperlink r:id="rId145" ref="E211"/>
    <hyperlink r:id="rId146" ref="G212"/>
    <hyperlink r:id="rId147" ref="E213"/>
    <hyperlink r:id="rId148" ref="H213"/>
    <hyperlink r:id="rId149" ref="E214"/>
    <hyperlink r:id="rId150" ref="E220"/>
    <hyperlink r:id="rId151" ref="E221"/>
    <hyperlink r:id="rId152" ref="F221"/>
    <hyperlink r:id="rId153" ref="G221"/>
    <hyperlink r:id="rId154" ref="E223"/>
    <hyperlink r:id="rId155" ref="E224"/>
    <hyperlink r:id="rId156" ref="E225"/>
    <hyperlink r:id="rId157" ref="C227"/>
    <hyperlink r:id="rId158" ref="E227"/>
    <hyperlink r:id="rId159" ref="E228"/>
    <hyperlink r:id="rId160" ref="E229"/>
    <hyperlink r:id="rId161" ref="E230"/>
    <hyperlink r:id="rId162" ref="E231"/>
    <hyperlink r:id="rId163" ref="E232"/>
    <hyperlink r:id="rId164" ref="E234"/>
    <hyperlink r:id="rId165" ref="H234"/>
    <hyperlink r:id="rId166" location="improper-execution-of-service?flight" ref="E237"/>
    <hyperlink r:id="rId167" ref="E240"/>
    <hyperlink r:id="rId168" ref="E241"/>
    <hyperlink r:id="rId169" ref="E242"/>
    <hyperlink r:id="rId170" ref="E244"/>
    <hyperlink r:id="rId171" ref="E245"/>
    <hyperlink r:id="rId172" ref="E246"/>
    <hyperlink r:id="rId173" ref="E247"/>
    <hyperlink r:id="rId174" ref="C251"/>
    <hyperlink r:id="rId175" ref="E254"/>
    <hyperlink r:id="rId176" ref="E255"/>
    <hyperlink r:id="rId177" ref="E256"/>
    <hyperlink r:id="rId178" ref="E257"/>
    <hyperlink r:id="rId179" ref="E258"/>
    <hyperlink r:id="rId180" ref="E259"/>
    <hyperlink r:id="rId181" ref="E263"/>
    <hyperlink r:id="rId182" ref="I266"/>
    <hyperlink r:id="rId183" ref="E269"/>
    <hyperlink r:id="rId184" ref="E271"/>
    <hyperlink r:id="rId185" ref="E272"/>
    <hyperlink r:id="rId186" ref="E273"/>
    <hyperlink r:id="rId187" ref="C274"/>
    <hyperlink r:id="rId188" ref="E275"/>
    <hyperlink r:id="rId189" ref="E276"/>
    <hyperlink r:id="rId190" ref="E277"/>
    <hyperlink r:id="rId191" ref="E278"/>
    <hyperlink r:id="rId192" ref="E279"/>
    <hyperlink r:id="rId193" ref="E280"/>
    <hyperlink r:id="rId194" ref="E281"/>
    <hyperlink r:id="rId195" ref="E282"/>
    <hyperlink r:id="rId196" ref="C285"/>
    <hyperlink r:id="rId197" ref="E288"/>
    <hyperlink r:id="rId198" ref="G288"/>
    <hyperlink r:id="rId199" ref="H290"/>
    <hyperlink r:id="rId200" ref="E292"/>
    <hyperlink r:id="rId201" ref="E294"/>
    <hyperlink r:id="rId202" ref="E295"/>
    <hyperlink r:id="rId203" ref="G295"/>
    <hyperlink r:id="rId204" ref="E296"/>
    <hyperlink r:id="rId205" ref="E297"/>
    <hyperlink r:id="rId206" ref="E298"/>
    <hyperlink r:id="rId207" ref="E299"/>
    <hyperlink r:id="rId208" ref="E303"/>
    <hyperlink r:id="rId209" ref="E304"/>
  </hyperlinks>
  <drawing r:id="rId2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4" t="str">
        <f>IFERROR(__xludf.DUMMYFUNCTION("IMPORTRANGE(""https://docs.google.com/spreadsheets/d/1v24u0ycDMAN6KyPmcvGCkhszdC0i8StNaYU-fRzJxvM/edit?gid=818865393#gid=818865393"",""Airports DB!A:F"")"),"City name")</f>
        <v>City name</v>
      </c>
      <c r="B1" s="120" t="str">
        <f>IFERROR(__xludf.DUMMYFUNCTION("""COMPUTED_VALUE"""),"Airport Code")</f>
        <v>Airport Code</v>
      </c>
      <c r="C1" s="120" t="str">
        <f>IFERROR(__xludf.DUMMYFUNCTION("""COMPUTED_VALUE"""),"Airport Name")</f>
        <v>Airport Name</v>
      </c>
      <c r="D1" s="120" t="str">
        <f>IFERROR(__xludf.DUMMYFUNCTION("""COMPUTED_VALUE"""),"Country name")</f>
        <v>Country name</v>
      </c>
      <c r="E1" s="135"/>
      <c r="F1" s="31"/>
      <c r="I1" s="134"/>
      <c r="J1" s="120"/>
      <c r="K1" s="120"/>
      <c r="L1" s="120"/>
      <c r="M1" s="135"/>
      <c r="O1" s="136"/>
    </row>
    <row r="2">
      <c r="A2" s="134" t="str">
        <f>IFERROR(__xludf.DUMMYFUNCTION("""COMPUTED_VALUE"""),"108 Mile Ranch")</f>
        <v>108 Mile Ranch</v>
      </c>
      <c r="B2" s="120" t="str">
        <f>IFERROR(__xludf.DUMMYFUNCTION("""COMPUTED_VALUE"""),"ZMH")</f>
        <v>ZMH</v>
      </c>
      <c r="C2" s="120" t="str">
        <f>IFERROR(__xludf.DUMMYFUNCTION("""COMPUTED_VALUE"""),"108 Mile Ranch")</f>
        <v>108 Mile Ranch</v>
      </c>
      <c r="D2" s="120" t="str">
        <f>IFERROR(__xludf.DUMMYFUNCTION("""COMPUTED_VALUE"""),"Canada")</f>
        <v>Canada</v>
      </c>
      <c r="E2" s="135"/>
      <c r="F2" s="31"/>
    </row>
    <row r="3">
      <c r="A3" s="134" t="str">
        <f>IFERROR(__xludf.DUMMYFUNCTION("""COMPUTED_VALUE"""),"Aachen")</f>
        <v>Aachen</v>
      </c>
      <c r="B3" s="120" t="str">
        <f>IFERROR(__xludf.DUMMYFUNCTION("""COMPUTED_VALUE"""),"AAH")</f>
        <v>AAH</v>
      </c>
      <c r="C3" s="120" t="str">
        <f>IFERROR(__xludf.DUMMYFUNCTION("""COMPUTED_VALUE"""),"Aachen/Merzbruck")</f>
        <v>Aachen/Merzbruck</v>
      </c>
      <c r="D3" s="120" t="str">
        <f>IFERROR(__xludf.DUMMYFUNCTION("""COMPUTED_VALUE"""),"Germany")</f>
        <v>Germany</v>
      </c>
      <c r="E3" s="135"/>
      <c r="F3" s="31"/>
    </row>
    <row r="4">
      <c r="A4" s="134" t="str">
        <f>IFERROR(__xludf.DUMMYFUNCTION("""COMPUTED_VALUE"""),"Aachen")</f>
        <v>Aachen</v>
      </c>
      <c r="B4" s="120" t="str">
        <f>IFERROR(__xludf.DUMMYFUNCTION("""COMPUTED_VALUE"""),"ZIU")</f>
        <v>ZIU</v>
      </c>
      <c r="C4" s="120" t="str">
        <f>IFERROR(__xludf.DUMMYFUNCTION("""COMPUTED_VALUE"""),"Railway")</f>
        <v>Railway</v>
      </c>
      <c r="D4" s="120" t="str">
        <f>IFERROR(__xludf.DUMMYFUNCTION("""COMPUTED_VALUE"""),"Germany")</f>
        <v>Germany</v>
      </c>
      <c r="E4" s="135"/>
      <c r="F4" s="31"/>
    </row>
    <row r="5">
      <c r="A5" s="134" t="str">
        <f>IFERROR(__xludf.DUMMYFUNCTION("""COMPUTED_VALUE"""),"Aalborg")</f>
        <v>Aalborg</v>
      </c>
      <c r="B5" s="120" t="str">
        <f>IFERROR(__xludf.DUMMYFUNCTION("""COMPUTED_VALUE"""),"AAL")</f>
        <v>AAL</v>
      </c>
      <c r="C5" s="120" t="str">
        <f>IFERROR(__xludf.DUMMYFUNCTION("""COMPUTED_VALUE"""),"Aalborg")</f>
        <v>Aalborg</v>
      </c>
      <c r="D5" s="120" t="str">
        <f>IFERROR(__xludf.DUMMYFUNCTION("""COMPUTED_VALUE"""),"Denmark")</f>
        <v>Denmark</v>
      </c>
      <c r="E5" s="135"/>
      <c r="F5" s="31"/>
    </row>
    <row r="6">
      <c r="A6" s="134" t="str">
        <f>IFERROR(__xludf.DUMMYFUNCTION("""COMPUTED_VALUE"""),"Aalesund")</f>
        <v>Aalesund</v>
      </c>
      <c r="B6" s="120" t="str">
        <f>IFERROR(__xludf.DUMMYFUNCTION("""COMPUTED_VALUE"""),"AES")</f>
        <v>AES</v>
      </c>
      <c r="C6" s="120" t="str">
        <f>IFERROR(__xludf.DUMMYFUNCTION("""COMPUTED_VALUE"""),"Vigra")</f>
        <v>Vigra</v>
      </c>
      <c r="D6" s="120" t="str">
        <f>IFERROR(__xludf.DUMMYFUNCTION("""COMPUTED_VALUE"""),"Norway")</f>
        <v>Norway</v>
      </c>
      <c r="E6" s="135"/>
      <c r="F6" s="31"/>
    </row>
    <row r="7">
      <c r="A7" s="134" t="str">
        <f>IFERROR(__xludf.DUMMYFUNCTION("""COMPUTED_VALUE"""),"Aarhus")</f>
        <v>Aarhus</v>
      </c>
      <c r="B7" s="120" t="str">
        <f>IFERROR(__xludf.DUMMYFUNCTION("""COMPUTED_VALUE"""),"AAR")</f>
        <v>AAR</v>
      </c>
      <c r="C7" s="120" t="str">
        <f>IFERROR(__xludf.DUMMYFUNCTION("""COMPUTED_VALUE"""),"Tirstrup")</f>
        <v>Tirstrup</v>
      </c>
      <c r="D7" s="120" t="str">
        <f>IFERROR(__xludf.DUMMYFUNCTION("""COMPUTED_VALUE"""),"Denmark")</f>
        <v>Denmark</v>
      </c>
      <c r="E7" s="135"/>
      <c r="F7" s="31"/>
    </row>
    <row r="8">
      <c r="A8" s="134" t="str">
        <f>IFERROR(__xludf.DUMMYFUNCTION("""COMPUTED_VALUE"""),"Aarhus Limo")</f>
        <v>Aarhus Limo</v>
      </c>
      <c r="B8" s="120" t="str">
        <f>IFERROR(__xludf.DUMMYFUNCTION("""COMPUTED_VALUE"""),"ZBU")</f>
        <v>ZBU</v>
      </c>
      <c r="C8" s="120" t="str">
        <f>IFERROR(__xludf.DUMMYFUNCTION("""COMPUTED_VALUE"""),"Aarhus Limo")</f>
        <v>Aarhus Limo</v>
      </c>
      <c r="D8" s="120" t="str">
        <f>IFERROR(__xludf.DUMMYFUNCTION("""COMPUTED_VALUE"""),"Denmark")</f>
        <v>Denmark</v>
      </c>
      <c r="E8" s="135"/>
      <c r="F8" s="31"/>
    </row>
    <row r="9">
      <c r="A9" s="134" t="str">
        <f>IFERROR(__xludf.DUMMYFUNCTION("""COMPUTED_VALUE"""),"Aasiaat")</f>
        <v>Aasiaat</v>
      </c>
      <c r="B9" s="120" t="str">
        <f>IFERROR(__xludf.DUMMYFUNCTION("""COMPUTED_VALUE"""),"JEG")</f>
        <v>JEG</v>
      </c>
      <c r="C9" s="120" t="str">
        <f>IFERROR(__xludf.DUMMYFUNCTION("""COMPUTED_VALUE"""),"Aasiaat")</f>
        <v>Aasiaat</v>
      </c>
      <c r="D9" s="120" t="str">
        <f>IFERROR(__xludf.DUMMYFUNCTION("""COMPUTED_VALUE"""),"Greenland")</f>
        <v>Greenland</v>
      </c>
      <c r="E9" s="135"/>
      <c r="F9" s="31"/>
    </row>
    <row r="10">
      <c r="A10" s="134" t="str">
        <f>IFERROR(__xludf.DUMMYFUNCTION("""COMPUTED_VALUE"""),"Abadan")</f>
        <v>Abadan</v>
      </c>
      <c r="B10" s="120" t="str">
        <f>IFERROR(__xludf.DUMMYFUNCTION("""COMPUTED_VALUE"""),"ABD")</f>
        <v>ABD</v>
      </c>
      <c r="C10" s="120" t="str">
        <f>IFERROR(__xludf.DUMMYFUNCTION("""COMPUTED_VALUE"""),"Abadan")</f>
        <v>Abadan</v>
      </c>
      <c r="D10" s="120" t="str">
        <f>IFERROR(__xludf.DUMMYFUNCTION("""COMPUTED_VALUE"""),"Iran")</f>
        <v>Iran</v>
      </c>
      <c r="E10" s="135"/>
      <c r="F10" s="31"/>
    </row>
    <row r="11">
      <c r="A11" s="134" t="str">
        <f>IFERROR(__xludf.DUMMYFUNCTION("""COMPUTED_VALUE"""),"Abaiang")</f>
        <v>Abaiang</v>
      </c>
      <c r="B11" s="120" t="str">
        <f>IFERROR(__xludf.DUMMYFUNCTION("""COMPUTED_VALUE"""),"ABF")</f>
        <v>ABF</v>
      </c>
      <c r="C11" s="120" t="str">
        <f>IFERROR(__xludf.DUMMYFUNCTION("""COMPUTED_VALUE"""),"Abaiang")</f>
        <v>Abaiang</v>
      </c>
      <c r="D11" s="120" t="str">
        <f>IFERROR(__xludf.DUMMYFUNCTION("""COMPUTED_VALUE"""),"Kiribati")</f>
        <v>Kiribati</v>
      </c>
      <c r="E11" s="135"/>
      <c r="F11" s="31"/>
    </row>
    <row r="12">
      <c r="A12" s="134" t="str">
        <f>IFERROR(__xludf.DUMMYFUNCTION("""COMPUTED_VALUE"""),"Abakan")</f>
        <v>Abakan</v>
      </c>
      <c r="B12" s="120" t="str">
        <f>IFERROR(__xludf.DUMMYFUNCTION("""COMPUTED_VALUE"""),"ABA")</f>
        <v>ABA</v>
      </c>
      <c r="C12" s="120" t="str">
        <f>IFERROR(__xludf.DUMMYFUNCTION("""COMPUTED_VALUE"""),"Abakan")</f>
        <v>Abakan</v>
      </c>
      <c r="D12" s="120" t="str">
        <f>IFERROR(__xludf.DUMMYFUNCTION("""COMPUTED_VALUE"""),"Russia")</f>
        <v>Russia</v>
      </c>
      <c r="E12" s="135"/>
      <c r="F12" s="31"/>
    </row>
    <row r="13">
      <c r="A13" s="134" t="str">
        <f>IFERROR(__xludf.DUMMYFUNCTION("""COMPUTED_VALUE"""),"Abau")</f>
        <v>Abau</v>
      </c>
      <c r="B13" s="120" t="str">
        <f>IFERROR(__xludf.DUMMYFUNCTION("""COMPUTED_VALUE"""),"ABW")</f>
        <v>ABW</v>
      </c>
      <c r="C13" s="120" t="str">
        <f>IFERROR(__xludf.DUMMYFUNCTION("""COMPUTED_VALUE"""),"Abau")</f>
        <v>Abau</v>
      </c>
      <c r="D13" s="120" t="str">
        <f>IFERROR(__xludf.DUMMYFUNCTION("""COMPUTED_VALUE"""),"Papua New Guinea")</f>
        <v>Papua New Guinea</v>
      </c>
      <c r="E13" s="135"/>
      <c r="F13" s="31"/>
    </row>
    <row r="14">
      <c r="A14" s="134" t="str">
        <f>IFERROR(__xludf.DUMMYFUNCTION("""COMPUTED_VALUE"""),"Abbotsford")</f>
        <v>Abbotsford</v>
      </c>
      <c r="B14" s="120" t="str">
        <f>IFERROR(__xludf.DUMMYFUNCTION("""COMPUTED_VALUE"""),"YXX")</f>
        <v>YXX</v>
      </c>
      <c r="C14" s="120" t="str">
        <f>IFERROR(__xludf.DUMMYFUNCTION("""COMPUTED_VALUE"""),"Abbotsford")</f>
        <v>Abbotsford</v>
      </c>
      <c r="D14" s="120" t="str">
        <f>IFERROR(__xludf.DUMMYFUNCTION("""COMPUTED_VALUE"""),"Canada")</f>
        <v>Canada</v>
      </c>
      <c r="E14" s="135"/>
      <c r="F14" s="31"/>
    </row>
    <row r="15">
      <c r="A15" s="134" t="str">
        <f>IFERROR(__xludf.DUMMYFUNCTION("""COMPUTED_VALUE"""),"Abbottabad")</f>
        <v>Abbottabad</v>
      </c>
      <c r="B15" s="120" t="str">
        <f>IFERROR(__xludf.DUMMYFUNCTION("""COMPUTED_VALUE"""),"AAW")</f>
        <v>AAW</v>
      </c>
      <c r="C15" s="120" t="str">
        <f>IFERROR(__xludf.DUMMYFUNCTION("""COMPUTED_VALUE"""),"Mumbai")</f>
        <v>Mumbai</v>
      </c>
      <c r="D15" s="120" t="str">
        <f>IFERROR(__xludf.DUMMYFUNCTION("""COMPUTED_VALUE"""),"Pakistan")</f>
        <v>Pakistan</v>
      </c>
      <c r="E15" s="135"/>
      <c r="F15" s="31"/>
    </row>
    <row r="16">
      <c r="A16" s="134" t="str">
        <f>IFERROR(__xludf.DUMMYFUNCTION("""COMPUTED_VALUE"""),"Abbse")</f>
        <v>Abbse</v>
      </c>
      <c r="B16" s="120" t="str">
        <f>IFERROR(__xludf.DUMMYFUNCTION("""COMPUTED_VALUE"""),"EAB")</f>
        <v>EAB</v>
      </c>
      <c r="C16" s="120" t="str">
        <f>IFERROR(__xludf.DUMMYFUNCTION("""COMPUTED_VALUE"""),"Abbse")</f>
        <v>Abbse</v>
      </c>
      <c r="D16" s="120" t="str">
        <f>IFERROR(__xludf.DUMMYFUNCTION("""COMPUTED_VALUE"""),"Yemen")</f>
        <v>Yemen</v>
      </c>
      <c r="E16" s="135"/>
      <c r="F16" s="31"/>
    </row>
    <row r="17">
      <c r="A17" s="134" t="str">
        <f>IFERROR(__xludf.DUMMYFUNCTION("""COMPUTED_VALUE"""),"Abecher")</f>
        <v>Abecher</v>
      </c>
      <c r="B17" s="120" t="str">
        <f>IFERROR(__xludf.DUMMYFUNCTION("""COMPUTED_VALUE"""),"AEH")</f>
        <v>AEH</v>
      </c>
      <c r="C17" s="120" t="str">
        <f>IFERROR(__xludf.DUMMYFUNCTION("""COMPUTED_VALUE"""),"Abecher")</f>
        <v>Abecher</v>
      </c>
      <c r="D17" s="120" t="str">
        <f>IFERROR(__xludf.DUMMYFUNCTION("""COMPUTED_VALUE"""),"Chad")</f>
        <v>Chad</v>
      </c>
      <c r="E17" s="135"/>
      <c r="F17" s="31"/>
    </row>
    <row r="18">
      <c r="A18" s="134" t="str">
        <f>IFERROR(__xludf.DUMMYFUNCTION("""COMPUTED_VALUE"""),"Abemama Atoll")</f>
        <v>Abemama Atoll</v>
      </c>
      <c r="B18" s="120" t="str">
        <f>IFERROR(__xludf.DUMMYFUNCTION("""COMPUTED_VALUE"""),"AEA")</f>
        <v>AEA</v>
      </c>
      <c r="C18" s="120" t="str">
        <f>IFERROR(__xludf.DUMMYFUNCTION("""COMPUTED_VALUE"""),"Abemama Atoll")</f>
        <v>Abemama Atoll</v>
      </c>
      <c r="D18" s="120" t="str">
        <f>IFERROR(__xludf.DUMMYFUNCTION("""COMPUTED_VALUE"""),"Kiribati")</f>
        <v>Kiribati</v>
      </c>
      <c r="E18" s="135"/>
      <c r="F18" s="31"/>
    </row>
    <row r="19">
      <c r="A19" s="134" t="str">
        <f>IFERROR(__xludf.DUMMYFUNCTION("""COMPUTED_VALUE"""),"Abengourou")</f>
        <v>Abengourou</v>
      </c>
      <c r="B19" s="120" t="str">
        <f>IFERROR(__xludf.DUMMYFUNCTION("""COMPUTED_VALUE"""),"OGO")</f>
        <v>OGO</v>
      </c>
      <c r="C19" s="120" t="str">
        <f>IFERROR(__xludf.DUMMYFUNCTION("""COMPUTED_VALUE"""),"Abengourou")</f>
        <v>Abengourou</v>
      </c>
      <c r="D19" s="120" t="str">
        <f>IFERROR(__xludf.DUMMYFUNCTION("""COMPUTED_VALUE"""),"Cote D'Ivoire (Ivory Coast)")</f>
        <v>Cote D'Ivoire (Ivory Coast)</v>
      </c>
      <c r="E19" s="135"/>
      <c r="F19" s="31"/>
    </row>
    <row r="20">
      <c r="A20" s="134" t="str">
        <f>IFERROR(__xludf.DUMMYFUNCTION("""COMPUTED_VALUE"""),"Aberdeen")</f>
        <v>Aberdeen</v>
      </c>
      <c r="B20" s="120" t="str">
        <f>IFERROR(__xludf.DUMMYFUNCTION("""COMPUTED_VALUE"""),"ABZ")</f>
        <v>ABZ</v>
      </c>
      <c r="C20" s="120" t="str">
        <f>IFERROR(__xludf.DUMMYFUNCTION("""COMPUTED_VALUE"""),"Dyce")</f>
        <v>Dyce</v>
      </c>
      <c r="D20" s="120" t="str">
        <f>IFERROR(__xludf.DUMMYFUNCTION("""COMPUTED_VALUE"""),"United Kingdom")</f>
        <v>United Kingdom</v>
      </c>
      <c r="E20" s="135"/>
      <c r="F20" s="31"/>
    </row>
    <row r="21">
      <c r="A21" s="134" t="str">
        <f>IFERROR(__xludf.DUMMYFUNCTION("""COMPUTED_VALUE"""),"Aberdeen")</f>
        <v>Aberdeen</v>
      </c>
      <c r="B21" s="120" t="str">
        <f>IFERROR(__xludf.DUMMYFUNCTION("""COMPUTED_VALUE"""),"APG")</f>
        <v>APG</v>
      </c>
      <c r="C21" s="120" t="str">
        <f>IFERROR(__xludf.DUMMYFUNCTION("""COMPUTED_VALUE"""),"Phillips AAF")</f>
        <v>Phillips AAF</v>
      </c>
      <c r="D21" s="120" t="str">
        <f>IFERROR(__xludf.DUMMYFUNCTION("""COMPUTED_VALUE"""),"United States")</f>
        <v>United States</v>
      </c>
      <c r="E21" s="135"/>
      <c r="F21" s="31"/>
    </row>
    <row r="22">
      <c r="A22" s="134" t="str">
        <f>IFERROR(__xludf.DUMMYFUNCTION("""COMPUTED_VALUE"""),"Aberdeen")</f>
        <v>Aberdeen</v>
      </c>
      <c r="B22" s="120" t="str">
        <f>IFERROR(__xludf.DUMMYFUNCTION("""COMPUTED_VALUE"""),"ABR")</f>
        <v>ABR</v>
      </c>
      <c r="C22" s="120" t="str">
        <f>IFERROR(__xludf.DUMMYFUNCTION("""COMPUTED_VALUE"""),"Municipal")</f>
        <v>Municipal</v>
      </c>
      <c r="D22" s="120" t="str">
        <f>IFERROR(__xludf.DUMMYFUNCTION("""COMPUTED_VALUE"""),"United States")</f>
        <v>United States</v>
      </c>
      <c r="E22" s="135"/>
      <c r="F22" s="31"/>
    </row>
    <row r="23">
      <c r="A23" s="134" t="str">
        <f>IFERROR(__xludf.DUMMYFUNCTION("""COMPUTED_VALUE"""),"Abha")</f>
        <v>Abha</v>
      </c>
      <c r="B23" s="120" t="str">
        <f>IFERROR(__xludf.DUMMYFUNCTION("""COMPUTED_VALUE"""),"AHB")</f>
        <v>AHB</v>
      </c>
      <c r="C23" s="120" t="str">
        <f>IFERROR(__xludf.DUMMYFUNCTION("""COMPUTED_VALUE"""),"Abha")</f>
        <v>Abha</v>
      </c>
      <c r="D23" s="120" t="str">
        <f>IFERROR(__xludf.DUMMYFUNCTION("""COMPUTED_VALUE"""),"Saudi Arabia")</f>
        <v>Saudi Arabia</v>
      </c>
      <c r="E23" s="135"/>
      <c r="F23" s="31"/>
    </row>
    <row r="24">
      <c r="A24" s="134" t="str">
        <f>IFERROR(__xludf.DUMMYFUNCTION("""COMPUTED_VALUE"""),"Abilene")</f>
        <v>Abilene</v>
      </c>
      <c r="B24" s="120" t="str">
        <f>IFERROR(__xludf.DUMMYFUNCTION("""COMPUTED_VALUE"""),"DYS")</f>
        <v>DYS</v>
      </c>
      <c r="C24" s="120" t="str">
        <f>IFERROR(__xludf.DUMMYFUNCTION("""COMPUTED_VALUE"""),"Dyess AFB")</f>
        <v>Dyess AFB</v>
      </c>
      <c r="D24" s="120" t="str">
        <f>IFERROR(__xludf.DUMMYFUNCTION("""COMPUTED_VALUE"""),"United States")</f>
        <v>United States</v>
      </c>
      <c r="E24" s="135"/>
      <c r="F24" s="31"/>
    </row>
    <row r="25">
      <c r="A25" s="134" t="str">
        <f>IFERROR(__xludf.DUMMYFUNCTION("""COMPUTED_VALUE"""),"Abilene")</f>
        <v>Abilene</v>
      </c>
      <c r="B25" s="120" t="str">
        <f>IFERROR(__xludf.DUMMYFUNCTION("""COMPUTED_VALUE"""),"ABI")</f>
        <v>ABI</v>
      </c>
      <c r="C25" s="120" t="str">
        <f>IFERROR(__xludf.DUMMYFUNCTION("""COMPUTED_VALUE"""),"Municipal")</f>
        <v>Municipal</v>
      </c>
      <c r="D25" s="120" t="str">
        <f>IFERROR(__xludf.DUMMYFUNCTION("""COMPUTED_VALUE"""),"United States")</f>
        <v>United States</v>
      </c>
      <c r="E25" s="135"/>
      <c r="F25" s="31"/>
    </row>
    <row r="26">
      <c r="A26" s="134" t="str">
        <f>IFERROR(__xludf.DUMMYFUNCTION("""COMPUTED_VALUE"""),"Abingdon")</f>
        <v>Abingdon</v>
      </c>
      <c r="B26" s="120" t="str">
        <f>IFERROR(__xludf.DUMMYFUNCTION("""COMPUTED_VALUE"""),"ABB")</f>
        <v>ABB</v>
      </c>
      <c r="C26" s="120" t="str">
        <f>IFERROR(__xludf.DUMMYFUNCTION("""COMPUTED_VALUE"""),"RAF Station")</f>
        <v>RAF Station</v>
      </c>
      <c r="D26" s="120" t="str">
        <f>IFERROR(__xludf.DUMMYFUNCTION("""COMPUTED_VALUE"""),"United Kingdom")</f>
        <v>United Kingdom</v>
      </c>
      <c r="E26" s="135"/>
      <c r="F26" s="31"/>
    </row>
    <row r="27">
      <c r="A27" s="134" t="str">
        <f>IFERROR(__xludf.DUMMYFUNCTION("""COMPUTED_VALUE"""),"Abingdon")</f>
        <v>Abingdon</v>
      </c>
      <c r="B27" s="120" t="str">
        <f>IFERROR(__xludf.DUMMYFUNCTION("""COMPUTED_VALUE"""),"ABG")</f>
        <v>ABG</v>
      </c>
      <c r="C27" s="120" t="str">
        <f>IFERROR(__xludf.DUMMYFUNCTION("""COMPUTED_VALUE"""),"Abingdon")</f>
        <v>Abingdon</v>
      </c>
      <c r="D27" s="120" t="str">
        <f>IFERROR(__xludf.DUMMYFUNCTION("""COMPUTED_VALUE"""),"Australia")</f>
        <v>Australia</v>
      </c>
      <c r="E27" s="135"/>
      <c r="F27" s="31"/>
    </row>
    <row r="28">
      <c r="A28" s="134" t="str">
        <f>IFERROR(__xludf.DUMMYFUNCTION("""COMPUTED_VALUE"""),"Abingdon")</f>
        <v>Abingdon</v>
      </c>
      <c r="B28" s="120" t="str">
        <f>IFERROR(__xludf.DUMMYFUNCTION("""COMPUTED_VALUE"""),"VJI")</f>
        <v>VJI</v>
      </c>
      <c r="C28" s="120" t="str">
        <f>IFERROR(__xludf.DUMMYFUNCTION("""COMPUTED_VALUE"""),"Virginia Highlands")</f>
        <v>Virginia Highlands</v>
      </c>
      <c r="D28" s="120" t="str">
        <f>IFERROR(__xludf.DUMMYFUNCTION("""COMPUTED_VALUE"""),"United States")</f>
        <v>United States</v>
      </c>
      <c r="E28" s="135"/>
      <c r="F28" s="31"/>
    </row>
    <row r="29">
      <c r="A29" s="134" t="str">
        <f>IFERROR(__xludf.DUMMYFUNCTION("""COMPUTED_VALUE"""),"Aboisso")</f>
        <v>Aboisso</v>
      </c>
      <c r="B29" s="120" t="str">
        <f>IFERROR(__xludf.DUMMYFUNCTION("""COMPUTED_VALUE"""),"ABO")</f>
        <v>ABO</v>
      </c>
      <c r="C29" s="120" t="str">
        <f>IFERROR(__xludf.DUMMYFUNCTION("""COMPUTED_VALUE"""),"Aboisso")</f>
        <v>Aboisso</v>
      </c>
      <c r="D29" s="120" t="str">
        <f>IFERROR(__xludf.DUMMYFUNCTION("""COMPUTED_VALUE"""),"Cote D'Ivoire (Ivory Coast)")</f>
        <v>Cote D'Ivoire (Ivory Coast)</v>
      </c>
      <c r="E29" s="135"/>
      <c r="F29" s="31"/>
    </row>
    <row r="30">
      <c r="A30" s="134" t="str">
        <f>IFERROR(__xludf.DUMMYFUNCTION("""COMPUTED_VALUE"""),"Abou Deia")</f>
        <v>Abou Deia</v>
      </c>
      <c r="B30" s="120" t="str">
        <f>IFERROR(__xludf.DUMMYFUNCTION("""COMPUTED_VALUE"""),"AOD")</f>
        <v>AOD</v>
      </c>
      <c r="C30" s="120" t="str">
        <f>IFERROR(__xludf.DUMMYFUNCTION("""COMPUTED_VALUE"""),"Abou Deia")</f>
        <v>Abou Deia</v>
      </c>
      <c r="D30" s="120" t="str">
        <f>IFERROR(__xludf.DUMMYFUNCTION("""COMPUTED_VALUE"""),"Chad")</f>
        <v>Chad</v>
      </c>
      <c r="E30" s="135"/>
      <c r="F30" s="31"/>
    </row>
    <row r="31">
      <c r="A31" s="134" t="str">
        <f>IFERROR(__xludf.DUMMYFUNCTION("""COMPUTED_VALUE"""),"Abreojos")</f>
        <v>Abreojos</v>
      </c>
      <c r="B31" s="120" t="str">
        <f>IFERROR(__xludf.DUMMYFUNCTION("""COMPUTED_VALUE"""),"AJS")</f>
        <v>AJS</v>
      </c>
      <c r="C31" s="120" t="str">
        <f>IFERROR(__xludf.DUMMYFUNCTION("""COMPUTED_VALUE"""),"Abreojos")</f>
        <v>Abreojos</v>
      </c>
      <c r="D31" s="120" t="str">
        <f>IFERROR(__xludf.DUMMYFUNCTION("""COMPUTED_VALUE"""),"Mexico")</f>
        <v>Mexico</v>
      </c>
      <c r="E31" s="135"/>
      <c r="F31" s="31"/>
    </row>
    <row r="32">
      <c r="A32" s="134" t="str">
        <f>IFERROR(__xludf.DUMMYFUNCTION("""COMPUTED_VALUE"""),"Abu Dhabi")</f>
        <v>Abu Dhabi</v>
      </c>
      <c r="B32" s="120" t="str">
        <f>IFERROR(__xludf.DUMMYFUNCTION("""COMPUTED_VALUE"""),"AUH")</f>
        <v>AUH</v>
      </c>
      <c r="C32" s="120" t="str">
        <f>IFERROR(__xludf.DUMMYFUNCTION("""COMPUTED_VALUE"""),"Abu Dhabi Intl")</f>
        <v>Abu Dhabi Intl</v>
      </c>
      <c r="D32" s="120" t="str">
        <f>IFERROR(__xludf.DUMMYFUNCTION("""COMPUTED_VALUE"""),"United Arab Emirates")</f>
        <v>United Arab Emirates</v>
      </c>
      <c r="E32" s="135"/>
      <c r="F32" s="31"/>
    </row>
    <row r="33">
      <c r="A33" s="134" t="str">
        <f>IFERROR(__xludf.DUMMYFUNCTION("""COMPUTED_VALUE"""),"Abu Dhabi")</f>
        <v>Abu Dhabi</v>
      </c>
      <c r="B33" s="120" t="str">
        <f>IFERROR(__xludf.DUMMYFUNCTION("""COMPUTED_VALUE"""),"DHF")</f>
        <v>DHF</v>
      </c>
      <c r="C33" s="120" t="str">
        <f>IFERROR(__xludf.DUMMYFUNCTION("""COMPUTED_VALUE"""),"Al Dhafra Military Apt")</f>
        <v>Al Dhafra Military Apt</v>
      </c>
      <c r="D33" s="120" t="str">
        <f>IFERROR(__xludf.DUMMYFUNCTION("""COMPUTED_VALUE"""),"United Arab Emirates")</f>
        <v>United Arab Emirates</v>
      </c>
      <c r="E33" s="135"/>
      <c r="F33" s="31"/>
    </row>
    <row r="34">
      <c r="A34" s="134" t="str">
        <f>IFERROR(__xludf.DUMMYFUNCTION("""COMPUTED_VALUE"""),"Abu Dhabi")</f>
        <v>Abu Dhabi</v>
      </c>
      <c r="B34" s="120" t="str">
        <f>IFERROR(__xludf.DUMMYFUNCTION("""COMPUTED_VALUE"""),"AZI")</f>
        <v>AZI</v>
      </c>
      <c r="C34" s="120" t="str">
        <f>IFERROR(__xludf.DUMMYFUNCTION("""COMPUTED_VALUE"""),"Bateen")</f>
        <v>Bateen</v>
      </c>
      <c r="D34" s="120" t="str">
        <f>IFERROR(__xludf.DUMMYFUNCTION("""COMPUTED_VALUE"""),"United Arab Emirates")</f>
        <v>United Arab Emirates</v>
      </c>
      <c r="E34" s="135"/>
      <c r="F34" s="31"/>
    </row>
    <row r="35">
      <c r="A35" s="134" t="str">
        <f>IFERROR(__xludf.DUMMYFUNCTION("""COMPUTED_VALUE"""),"Abu Musa")</f>
        <v>Abu Musa</v>
      </c>
      <c r="B35" s="120" t="str">
        <f>IFERROR(__xludf.DUMMYFUNCTION("""COMPUTED_VALUE"""),"AEU")</f>
        <v>AEU</v>
      </c>
      <c r="C35" s="120" t="str">
        <f>IFERROR(__xludf.DUMMYFUNCTION("""COMPUTED_VALUE"""),"Abu Musa")</f>
        <v>Abu Musa</v>
      </c>
      <c r="D35" s="120" t="str">
        <f>IFERROR(__xludf.DUMMYFUNCTION("""COMPUTED_VALUE"""),"Iran")</f>
        <v>Iran</v>
      </c>
      <c r="E35" s="135"/>
      <c r="F35" s="31"/>
    </row>
    <row r="36">
      <c r="A36" s="134" t="str">
        <f>IFERROR(__xludf.DUMMYFUNCTION("""COMPUTED_VALUE"""),"Abu Rudeis")</f>
        <v>Abu Rudeis</v>
      </c>
      <c r="B36" s="120" t="str">
        <f>IFERROR(__xludf.DUMMYFUNCTION("""COMPUTED_VALUE"""),"AUE")</f>
        <v>AUE</v>
      </c>
      <c r="C36" s="120" t="str">
        <f>IFERROR(__xludf.DUMMYFUNCTION("""COMPUTED_VALUE"""),"Abu Rudeis")</f>
        <v>Abu Rudeis</v>
      </c>
      <c r="D36" s="120" t="str">
        <f>IFERROR(__xludf.DUMMYFUNCTION("""COMPUTED_VALUE"""),"Egypt")</f>
        <v>Egypt</v>
      </c>
      <c r="E36" s="135"/>
      <c r="F36" s="31"/>
    </row>
    <row r="37">
      <c r="A37" s="134" t="str">
        <f>IFERROR(__xludf.DUMMYFUNCTION("""COMPUTED_VALUE"""),"Abu Simbel")</f>
        <v>Abu Simbel</v>
      </c>
      <c r="B37" s="120" t="str">
        <f>IFERROR(__xludf.DUMMYFUNCTION("""COMPUTED_VALUE"""),"ABS")</f>
        <v>ABS</v>
      </c>
      <c r="C37" s="120" t="str">
        <f>IFERROR(__xludf.DUMMYFUNCTION("""COMPUTED_VALUE"""),"Abu Simbel")</f>
        <v>Abu Simbel</v>
      </c>
      <c r="D37" s="120" t="str">
        <f>IFERROR(__xludf.DUMMYFUNCTION("""COMPUTED_VALUE"""),"Egypt")</f>
        <v>Egypt</v>
      </c>
      <c r="E37" s="135"/>
      <c r="F37" s="31"/>
    </row>
    <row r="38">
      <c r="A38" s="134" t="str">
        <f>IFERROR(__xludf.DUMMYFUNCTION("""COMPUTED_VALUE"""),"Abuja")</f>
        <v>Abuja</v>
      </c>
      <c r="B38" s="120" t="str">
        <f>IFERROR(__xludf.DUMMYFUNCTION("""COMPUTED_VALUE"""),"ABV")</f>
        <v>ABV</v>
      </c>
      <c r="C38" s="120" t="str">
        <f>IFERROR(__xludf.DUMMYFUNCTION("""COMPUTED_VALUE"""),"International")</f>
        <v>International</v>
      </c>
      <c r="D38" s="120" t="str">
        <f>IFERROR(__xludf.DUMMYFUNCTION("""COMPUTED_VALUE"""),"Nigeria")</f>
        <v>Nigeria</v>
      </c>
      <c r="E38" s="135"/>
      <c r="F38" s="31"/>
    </row>
    <row r="39">
      <c r="A39" s="134" t="str">
        <f>IFERROR(__xludf.DUMMYFUNCTION("""COMPUTED_VALUE"""),"Acandi")</f>
        <v>Acandi</v>
      </c>
      <c r="B39" s="120" t="str">
        <f>IFERROR(__xludf.DUMMYFUNCTION("""COMPUTED_VALUE"""),"ACD")</f>
        <v>ACD</v>
      </c>
      <c r="C39" s="120" t="str">
        <f>IFERROR(__xludf.DUMMYFUNCTION("""COMPUTED_VALUE"""),"Acandi")</f>
        <v>Acandi</v>
      </c>
      <c r="D39" s="120" t="str">
        <f>IFERROR(__xludf.DUMMYFUNCTION("""COMPUTED_VALUE"""),"Colombia")</f>
        <v>Colombia</v>
      </c>
      <c r="E39" s="135"/>
      <c r="F39" s="31"/>
    </row>
    <row r="40">
      <c r="A40" s="134" t="str">
        <f>IFERROR(__xludf.DUMMYFUNCTION("""COMPUTED_VALUE"""),"Acaricuara")</f>
        <v>Acaricuara</v>
      </c>
      <c r="B40" s="120" t="str">
        <f>IFERROR(__xludf.DUMMYFUNCTION("""COMPUTED_VALUE"""),"ARF")</f>
        <v>ARF</v>
      </c>
      <c r="C40" s="120" t="str">
        <f>IFERROR(__xludf.DUMMYFUNCTION("""COMPUTED_VALUE"""),"Acaricuara")</f>
        <v>Acaricuara</v>
      </c>
      <c r="D40" s="120" t="str">
        <f>IFERROR(__xludf.DUMMYFUNCTION("""COMPUTED_VALUE"""),"Colombia")</f>
        <v>Colombia</v>
      </c>
      <c r="E40" s="135"/>
      <c r="F40" s="31"/>
    </row>
    <row r="41">
      <c r="A41" s="134" t="str">
        <f>IFERROR(__xludf.DUMMYFUNCTION("""COMPUTED_VALUE"""),"Acarigua")</f>
        <v>Acarigua</v>
      </c>
      <c r="B41" s="120" t="str">
        <f>IFERROR(__xludf.DUMMYFUNCTION("""COMPUTED_VALUE"""),"AGV")</f>
        <v>AGV</v>
      </c>
      <c r="C41" s="120" t="str">
        <f>IFERROR(__xludf.DUMMYFUNCTION("""COMPUTED_VALUE"""),"Acarigua")</f>
        <v>Acarigua</v>
      </c>
      <c r="D41" s="120" t="str">
        <f>IFERROR(__xludf.DUMMYFUNCTION("""COMPUTED_VALUE"""),"Venezuela")</f>
        <v>Venezuela</v>
      </c>
      <c r="E41" s="135"/>
      <c r="F41" s="31"/>
    </row>
    <row r="42">
      <c r="A42" s="134" t="str">
        <f>IFERROR(__xludf.DUMMYFUNCTION("""COMPUTED_VALUE"""),"Accra")</f>
        <v>Accra</v>
      </c>
      <c r="B42" s="120" t="str">
        <f>IFERROR(__xludf.DUMMYFUNCTION("""COMPUTED_VALUE"""),"ACC")</f>
        <v>ACC</v>
      </c>
      <c r="C42" s="120" t="str">
        <f>IFERROR(__xludf.DUMMYFUNCTION("""COMPUTED_VALUE"""),"Kotoka")</f>
        <v>Kotoka</v>
      </c>
      <c r="D42" s="120" t="str">
        <f>IFERROR(__xludf.DUMMYFUNCTION("""COMPUTED_VALUE"""),"Ghana")</f>
        <v>Ghana</v>
      </c>
      <c r="E42" s="135"/>
      <c r="F42" s="31"/>
    </row>
    <row r="43">
      <c r="A43" s="134" t="str">
        <f>IFERROR(__xludf.DUMMYFUNCTION("""COMPUTED_VALUE"""),"Achinsk")</f>
        <v>Achinsk</v>
      </c>
      <c r="B43" s="120" t="str">
        <f>IFERROR(__xludf.DUMMYFUNCTION("""COMPUTED_VALUE"""),"ACS")</f>
        <v>ACS</v>
      </c>
      <c r="C43" s="120" t="str">
        <f>IFERROR(__xludf.DUMMYFUNCTION("""COMPUTED_VALUE"""),"Achinsk")</f>
        <v>Achinsk</v>
      </c>
      <c r="D43" s="120" t="str">
        <f>IFERROR(__xludf.DUMMYFUNCTION("""COMPUTED_VALUE"""),"Russia")</f>
        <v>Russia</v>
      </c>
      <c r="E43" s="135"/>
      <c r="F43" s="31"/>
    </row>
    <row r="44">
      <c r="A44" s="134" t="str">
        <f>IFERROR(__xludf.DUMMYFUNCTION("""COMPUTED_VALUE"""),"Achutupo")</f>
        <v>Achutupo</v>
      </c>
      <c r="B44" s="120" t="str">
        <f>IFERROR(__xludf.DUMMYFUNCTION("""COMPUTED_VALUE"""),"ACU")</f>
        <v>ACU</v>
      </c>
      <c r="C44" s="120" t="str">
        <f>IFERROR(__xludf.DUMMYFUNCTION("""COMPUTED_VALUE"""),"Achutupo")</f>
        <v>Achutupo</v>
      </c>
      <c r="D44" s="120" t="str">
        <f>IFERROR(__xludf.DUMMYFUNCTION("""COMPUTED_VALUE"""),"Panama")</f>
        <v>Panama</v>
      </c>
      <c r="E44" s="135"/>
      <c r="F44" s="31"/>
    </row>
    <row r="45">
      <c r="A45" s="134" t="str">
        <f>IFERROR(__xludf.DUMMYFUNCTION("""COMPUTED_VALUE"""),"Ada")</f>
        <v>Ada</v>
      </c>
      <c r="B45" s="120" t="str">
        <f>IFERROR(__xludf.DUMMYFUNCTION("""COMPUTED_VALUE"""),"ADT")</f>
        <v>ADT</v>
      </c>
      <c r="C45" s="120" t="str">
        <f>IFERROR(__xludf.DUMMYFUNCTION("""COMPUTED_VALUE"""),"Ada")</f>
        <v>Ada</v>
      </c>
      <c r="D45" s="120" t="str">
        <f>IFERROR(__xludf.DUMMYFUNCTION("""COMPUTED_VALUE"""),"United States")</f>
        <v>United States</v>
      </c>
      <c r="E45" s="135"/>
      <c r="F45" s="31"/>
    </row>
    <row r="46">
      <c r="A46" s="134" t="str">
        <f>IFERROR(__xludf.DUMMYFUNCTION("""COMPUTED_VALUE"""),"Adak Island")</f>
        <v>Adak Island</v>
      </c>
      <c r="B46" s="120" t="str">
        <f>IFERROR(__xludf.DUMMYFUNCTION("""COMPUTED_VALUE"""),"ADK")</f>
        <v>ADK</v>
      </c>
      <c r="C46" s="120" t="str">
        <f>IFERROR(__xludf.DUMMYFUNCTION("""COMPUTED_VALUE"""),"Adak Island NS")</f>
        <v>Adak Island NS</v>
      </c>
      <c r="D46" s="120" t="str">
        <f>IFERROR(__xludf.DUMMYFUNCTION("""COMPUTED_VALUE"""),"United States")</f>
        <v>United States</v>
      </c>
      <c r="E46" s="135"/>
      <c r="F46" s="31"/>
    </row>
    <row r="47">
      <c r="A47" s="134" t="str">
        <f>IFERROR(__xludf.DUMMYFUNCTION("""COMPUTED_VALUE"""),"Adana")</f>
        <v>Adana</v>
      </c>
      <c r="B47" s="120" t="str">
        <f>IFERROR(__xludf.DUMMYFUNCTION("""COMPUTED_VALUE"""),"ADA")</f>
        <v>ADA</v>
      </c>
      <c r="C47" s="120" t="str">
        <f>IFERROR(__xludf.DUMMYFUNCTION("""COMPUTED_VALUE"""),"Adana")</f>
        <v>Adana</v>
      </c>
      <c r="D47" s="120" t="str">
        <f>IFERROR(__xludf.DUMMYFUNCTION("""COMPUTED_VALUE"""),"Turkey")</f>
        <v>Turkey</v>
      </c>
      <c r="E47" s="135"/>
      <c r="F47" s="31"/>
    </row>
    <row r="48">
      <c r="A48" s="134" t="str">
        <f>IFERROR(__xludf.DUMMYFUNCTION("""COMPUTED_VALUE"""),"Adana")</f>
        <v>Adana</v>
      </c>
      <c r="B48" s="120" t="str">
        <f>IFERROR(__xludf.DUMMYFUNCTION("""COMPUTED_VALUE"""),"UAB")</f>
        <v>UAB</v>
      </c>
      <c r="C48" s="120" t="str">
        <f>IFERROR(__xludf.DUMMYFUNCTION("""COMPUTED_VALUE"""),"Adana-Incirlik Airbase")</f>
        <v>Adana-Incirlik Airbase</v>
      </c>
      <c r="D48" s="120" t="str">
        <f>IFERROR(__xludf.DUMMYFUNCTION("""COMPUTED_VALUE"""),"Turkey")</f>
        <v>Turkey</v>
      </c>
      <c r="E48" s="135"/>
      <c r="F48" s="31"/>
    </row>
    <row r="49">
      <c r="A49" s="134" t="str">
        <f>IFERROR(__xludf.DUMMYFUNCTION("""COMPUTED_VALUE"""),"Ad-Dabbah")</f>
        <v>Ad-Dabbah</v>
      </c>
      <c r="B49" s="120" t="str">
        <f>IFERROR(__xludf.DUMMYFUNCTION("""COMPUTED_VALUE"""),"AAD")</f>
        <v>AAD</v>
      </c>
      <c r="C49" s="120" t="str">
        <f>IFERROR(__xludf.DUMMYFUNCTION("""COMPUTED_VALUE"""),"Ad-Dabbah")</f>
        <v>Ad-Dabbah</v>
      </c>
      <c r="D49" s="120" t="str">
        <f>IFERROR(__xludf.DUMMYFUNCTION("""COMPUTED_VALUE"""),"Sudan")</f>
        <v>Sudan</v>
      </c>
      <c r="E49" s="135"/>
      <c r="F49" s="31"/>
    </row>
    <row r="50">
      <c r="A50" s="134" t="str">
        <f>IFERROR(__xludf.DUMMYFUNCTION("""COMPUTED_VALUE"""),"Addis Ababa")</f>
        <v>Addis Ababa</v>
      </c>
      <c r="B50" s="120" t="str">
        <f>IFERROR(__xludf.DUMMYFUNCTION("""COMPUTED_VALUE"""),"ADD")</f>
        <v>ADD</v>
      </c>
      <c r="C50" s="120" t="str">
        <f>IFERROR(__xludf.DUMMYFUNCTION("""COMPUTED_VALUE"""),"Bole")</f>
        <v>Bole</v>
      </c>
      <c r="D50" s="120" t="str">
        <f>IFERROR(__xludf.DUMMYFUNCTION("""COMPUTED_VALUE"""),"Ethiopia")</f>
        <v>Ethiopia</v>
      </c>
      <c r="E50" s="135"/>
      <c r="F50" s="31"/>
    </row>
    <row r="51">
      <c r="A51" s="134" t="str">
        <f>IFERROR(__xludf.DUMMYFUNCTION("""COMPUTED_VALUE"""),"Adelaide")</f>
        <v>Adelaide</v>
      </c>
      <c r="B51" s="120" t="str">
        <f>IFERROR(__xludf.DUMMYFUNCTION("""COMPUTED_VALUE"""),"ADL")</f>
        <v>ADL</v>
      </c>
      <c r="C51" s="120" t="str">
        <f>IFERROR(__xludf.DUMMYFUNCTION("""COMPUTED_VALUE"""),"Adelaide")</f>
        <v>Adelaide</v>
      </c>
      <c r="D51" s="120" t="str">
        <f>IFERROR(__xludf.DUMMYFUNCTION("""COMPUTED_VALUE"""),"Australia")</f>
        <v>Australia</v>
      </c>
      <c r="E51" s="135"/>
      <c r="F51" s="31"/>
    </row>
    <row r="52">
      <c r="A52" s="134" t="str">
        <f>IFERROR(__xludf.DUMMYFUNCTION("""COMPUTED_VALUE"""),"Adelaide")</f>
        <v>Adelaide</v>
      </c>
      <c r="B52" s="120" t="str">
        <f>IFERROR(__xludf.DUMMYFUNCTION("""COMPUTED_VALUE"""),"XHX")</f>
        <v>XHX</v>
      </c>
      <c r="C52" s="120" t="str">
        <f>IFERROR(__xludf.DUMMYFUNCTION("""COMPUTED_VALUE"""),"Adelaide Keswick Rail")</f>
        <v>Adelaide Keswick Rail</v>
      </c>
      <c r="D52" s="120" t="str">
        <f>IFERROR(__xludf.DUMMYFUNCTION("""COMPUTED_VALUE"""),"Australia")</f>
        <v>Australia</v>
      </c>
      <c r="E52" s="135"/>
      <c r="F52" s="31"/>
    </row>
    <row r="53">
      <c r="A53" s="134" t="str">
        <f>IFERROR(__xludf.DUMMYFUNCTION("""COMPUTED_VALUE"""),"Aden")</f>
        <v>Aden</v>
      </c>
      <c r="B53" s="120" t="str">
        <f>IFERROR(__xludf.DUMMYFUNCTION("""COMPUTED_VALUE"""),"ADE")</f>
        <v>ADE</v>
      </c>
      <c r="C53" s="120" t="str">
        <f>IFERROR(__xludf.DUMMYFUNCTION("""COMPUTED_VALUE"""),"International")</f>
        <v>International</v>
      </c>
      <c r="D53" s="120" t="str">
        <f>IFERROR(__xludf.DUMMYFUNCTION("""COMPUTED_VALUE"""),"Yemen")</f>
        <v>Yemen</v>
      </c>
      <c r="E53" s="135"/>
      <c r="F53" s="31"/>
    </row>
    <row r="54">
      <c r="A54" s="134" t="str">
        <f>IFERROR(__xludf.DUMMYFUNCTION("""COMPUTED_VALUE"""),"Adiyaman")</f>
        <v>Adiyaman</v>
      </c>
      <c r="B54" s="120" t="str">
        <f>IFERROR(__xludf.DUMMYFUNCTION("""COMPUTED_VALUE"""),"ADF")</f>
        <v>ADF</v>
      </c>
      <c r="C54" s="120" t="str">
        <f>IFERROR(__xludf.DUMMYFUNCTION("""COMPUTED_VALUE"""),"Adiyaman")</f>
        <v>Adiyaman</v>
      </c>
      <c r="D54" s="120" t="str">
        <f>IFERROR(__xludf.DUMMYFUNCTION("""COMPUTED_VALUE"""),"Turkey")</f>
        <v>Turkey</v>
      </c>
      <c r="E54" s="135"/>
      <c r="F54" s="31"/>
    </row>
    <row r="55">
      <c r="A55" s="134" t="str">
        <f>IFERROR(__xludf.DUMMYFUNCTION("""COMPUTED_VALUE"""),"Adler/Sochi")</f>
        <v>Adler/Sochi</v>
      </c>
      <c r="B55" s="120" t="str">
        <f>IFERROR(__xludf.DUMMYFUNCTION("""COMPUTED_VALUE"""),"AER")</f>
        <v>AER</v>
      </c>
      <c r="C55" s="120" t="str">
        <f>IFERROR(__xludf.DUMMYFUNCTION("""COMPUTED_VALUE"""),"Adler/Sochi")</f>
        <v>Adler/Sochi</v>
      </c>
      <c r="D55" s="120" t="str">
        <f>IFERROR(__xludf.DUMMYFUNCTION("""COMPUTED_VALUE"""),"Russia")</f>
        <v>Russia</v>
      </c>
      <c r="E55" s="135"/>
      <c r="F55" s="31"/>
    </row>
    <row r="56">
      <c r="A56" s="134" t="str">
        <f>IFERROR(__xludf.DUMMYFUNCTION("""COMPUTED_VALUE"""),"Adrar")</f>
        <v>Adrar</v>
      </c>
      <c r="B56" s="120" t="str">
        <f>IFERROR(__xludf.DUMMYFUNCTION("""COMPUTED_VALUE"""),"AZR")</f>
        <v>AZR</v>
      </c>
      <c r="C56" s="120" t="str">
        <f>IFERROR(__xludf.DUMMYFUNCTION("""COMPUTED_VALUE"""),"Adrar")</f>
        <v>Adrar</v>
      </c>
      <c r="D56" s="120" t="str">
        <f>IFERROR(__xludf.DUMMYFUNCTION("""COMPUTED_VALUE"""),"Algeria")</f>
        <v>Algeria</v>
      </c>
      <c r="E56" s="135"/>
      <c r="F56" s="31"/>
    </row>
    <row r="57">
      <c r="A57" s="134" t="str">
        <f>IFERROR(__xludf.DUMMYFUNCTION("""COMPUTED_VALUE"""),"Adrian")</f>
        <v>Adrian</v>
      </c>
      <c r="B57" s="120" t="str">
        <f>IFERROR(__xludf.DUMMYFUNCTION("""COMPUTED_VALUE"""),"ADG")</f>
        <v>ADG</v>
      </c>
      <c r="C57" s="120" t="str">
        <f>IFERROR(__xludf.DUMMYFUNCTION("""COMPUTED_VALUE"""),"Lenawee County")</f>
        <v>Lenawee County</v>
      </c>
      <c r="D57" s="120" t="str">
        <f>IFERROR(__xludf.DUMMYFUNCTION("""COMPUTED_VALUE"""),"United States")</f>
        <v>United States</v>
      </c>
      <c r="E57" s="135"/>
      <c r="F57" s="31"/>
    </row>
    <row r="58">
      <c r="A58" s="134" t="str">
        <f>IFERROR(__xludf.DUMMYFUNCTION("""COMPUTED_VALUE"""),"Aek Godang")</f>
        <v>Aek Godang</v>
      </c>
      <c r="B58" s="120" t="str">
        <f>IFERROR(__xludf.DUMMYFUNCTION("""COMPUTED_VALUE"""),"AEG")</f>
        <v>AEG</v>
      </c>
      <c r="C58" s="120" t="str">
        <f>IFERROR(__xludf.DUMMYFUNCTION("""COMPUTED_VALUE"""),"Aek Godang")</f>
        <v>Aek Godang</v>
      </c>
      <c r="D58" s="120" t="str">
        <f>IFERROR(__xludf.DUMMYFUNCTION("""COMPUTED_VALUE"""),"Indonesia")</f>
        <v>Indonesia</v>
      </c>
      <c r="E58" s="135"/>
      <c r="F58" s="31"/>
    </row>
    <row r="59">
      <c r="A59" s="134" t="str">
        <f>IFERROR(__xludf.DUMMYFUNCTION("""COMPUTED_VALUE"""),"Afore")</f>
        <v>Afore</v>
      </c>
      <c r="B59" s="120" t="str">
        <f>IFERROR(__xludf.DUMMYFUNCTION("""COMPUTED_VALUE"""),"AFR")</f>
        <v>AFR</v>
      </c>
      <c r="C59" s="120" t="str">
        <f>IFERROR(__xludf.DUMMYFUNCTION("""COMPUTED_VALUE"""),"Afore")</f>
        <v>Afore</v>
      </c>
      <c r="D59" s="120" t="str">
        <f>IFERROR(__xludf.DUMMYFUNCTION("""COMPUTED_VALUE"""),"Papua New Guinea")</f>
        <v>Papua New Guinea</v>
      </c>
      <c r="E59" s="135"/>
      <c r="F59" s="31"/>
    </row>
    <row r="60">
      <c r="A60" s="134" t="str">
        <f>IFERROR(__xludf.DUMMYFUNCTION("""COMPUTED_VALUE"""),"Afton")</f>
        <v>Afton</v>
      </c>
      <c r="B60" s="120" t="str">
        <f>IFERROR(__xludf.DUMMYFUNCTION("""COMPUTED_VALUE"""),"AFO")</f>
        <v>AFO</v>
      </c>
      <c r="C60" s="120" t="str">
        <f>IFERROR(__xludf.DUMMYFUNCTION("""COMPUTED_VALUE"""),"Municipal")</f>
        <v>Municipal</v>
      </c>
      <c r="D60" s="120" t="str">
        <f>IFERROR(__xludf.DUMMYFUNCTION("""COMPUTED_VALUE"""),"United States")</f>
        <v>United States</v>
      </c>
      <c r="E60" s="135"/>
      <c r="F60" s="31"/>
    </row>
    <row r="61">
      <c r="A61" s="134" t="str">
        <f>IFERROR(__xludf.DUMMYFUNCTION("""COMPUTED_VALUE"""),"Afutara")</f>
        <v>Afutara</v>
      </c>
      <c r="B61" s="120" t="str">
        <f>IFERROR(__xludf.DUMMYFUNCTION("""COMPUTED_VALUE"""),"AFT")</f>
        <v>AFT</v>
      </c>
      <c r="C61" s="120" t="str">
        <f>IFERROR(__xludf.DUMMYFUNCTION("""COMPUTED_VALUE"""),"Afutara Aerodrome")</f>
        <v>Afutara Aerodrome</v>
      </c>
      <c r="D61" s="120" t="str">
        <f>IFERROR(__xludf.DUMMYFUNCTION("""COMPUTED_VALUE"""),"Solomon Islands")</f>
        <v>Solomon Islands</v>
      </c>
      <c r="E61" s="135"/>
      <c r="F61" s="31"/>
    </row>
    <row r="62">
      <c r="A62" s="134" t="str">
        <f>IFERROR(__xludf.DUMMYFUNCTION("""COMPUTED_VALUE"""),"Afyon")</f>
        <v>Afyon</v>
      </c>
      <c r="B62" s="120" t="str">
        <f>IFERROR(__xludf.DUMMYFUNCTION("""COMPUTED_VALUE"""),"AFY")</f>
        <v>AFY</v>
      </c>
      <c r="C62" s="120" t="str">
        <f>IFERROR(__xludf.DUMMYFUNCTION("""COMPUTED_VALUE"""),"Afyon")</f>
        <v>Afyon</v>
      </c>
      <c r="D62" s="120" t="str">
        <f>IFERROR(__xludf.DUMMYFUNCTION("""COMPUTED_VALUE"""),"Turkey")</f>
        <v>Turkey</v>
      </c>
      <c r="E62" s="135"/>
      <c r="F62" s="31"/>
    </row>
    <row r="63">
      <c r="A63" s="134" t="str">
        <f>IFERROR(__xludf.DUMMYFUNCTION("""COMPUTED_VALUE"""),"Agades")</f>
        <v>Agades</v>
      </c>
      <c r="B63" s="120" t="str">
        <f>IFERROR(__xludf.DUMMYFUNCTION("""COMPUTED_VALUE"""),"AJY")</f>
        <v>AJY</v>
      </c>
      <c r="C63" s="120" t="str">
        <f>IFERROR(__xludf.DUMMYFUNCTION("""COMPUTED_VALUE"""),"Agades")</f>
        <v>Agades</v>
      </c>
      <c r="D63" s="120" t="str">
        <f>IFERROR(__xludf.DUMMYFUNCTION("""COMPUTED_VALUE"""),"Niger")</f>
        <v>Niger</v>
      </c>
      <c r="E63" s="135"/>
      <c r="F63" s="31"/>
    </row>
    <row r="64">
      <c r="A64" s="134" t="str">
        <f>IFERROR(__xludf.DUMMYFUNCTION("""COMPUTED_VALUE"""),"Agadir")</f>
        <v>Agadir</v>
      </c>
      <c r="B64" s="120" t="str">
        <f>IFERROR(__xludf.DUMMYFUNCTION("""COMPUTED_VALUE"""),"AGA")</f>
        <v>AGA</v>
      </c>
      <c r="C64" s="137" t="str">
        <f>IFERROR(__xludf.DUMMYFUNCTION("""COMPUTED_VALUE"""),"Agadir Almassira")</f>
        <v>Agadir Almassira</v>
      </c>
      <c r="D64" s="120" t="str">
        <f>IFERROR(__xludf.DUMMYFUNCTION("""COMPUTED_VALUE"""),"Morocco")</f>
        <v>Morocco</v>
      </c>
      <c r="E64" s="135"/>
      <c r="F64" s="31"/>
    </row>
    <row r="65">
      <c r="A65" s="134" t="str">
        <f>IFERROR(__xludf.DUMMYFUNCTION("""COMPUTED_VALUE"""),"Agartala")</f>
        <v>Agartala</v>
      </c>
      <c r="B65" s="120" t="str">
        <f>IFERROR(__xludf.DUMMYFUNCTION("""COMPUTED_VALUE"""),"IXA")</f>
        <v>IXA</v>
      </c>
      <c r="C65" s="120" t="str">
        <f>IFERROR(__xludf.DUMMYFUNCTION("""COMPUTED_VALUE"""),"Singerbhil")</f>
        <v>Singerbhil</v>
      </c>
      <c r="D65" s="120" t="str">
        <f>IFERROR(__xludf.DUMMYFUNCTION("""COMPUTED_VALUE"""),"India")</f>
        <v>India</v>
      </c>
      <c r="E65" s="135"/>
      <c r="F65" s="31"/>
    </row>
    <row r="66">
      <c r="A66" s="134" t="str">
        <f>IFERROR(__xludf.DUMMYFUNCTION("""COMPUTED_VALUE"""),"Agatti Island")</f>
        <v>Agatti Island</v>
      </c>
      <c r="B66" s="120" t="str">
        <f>IFERROR(__xludf.DUMMYFUNCTION("""COMPUTED_VALUE"""),"AGX")</f>
        <v>AGX</v>
      </c>
      <c r="C66" s="120" t="str">
        <f>IFERROR(__xludf.DUMMYFUNCTION("""COMPUTED_VALUE"""),"Agatti Island")</f>
        <v>Agatti Island</v>
      </c>
      <c r="D66" s="120" t="str">
        <f>IFERROR(__xludf.DUMMYFUNCTION("""COMPUTED_VALUE"""),"India")</f>
        <v>India</v>
      </c>
      <c r="E66" s="135"/>
      <c r="F66" s="31"/>
    </row>
    <row r="67">
      <c r="A67" s="134" t="str">
        <f>IFERROR(__xludf.DUMMYFUNCTION("""COMPUTED_VALUE"""),"Agaun")</f>
        <v>Agaun</v>
      </c>
      <c r="B67" s="120" t="str">
        <f>IFERROR(__xludf.DUMMYFUNCTION("""COMPUTED_VALUE"""),"AUP")</f>
        <v>AUP</v>
      </c>
      <c r="C67" s="120" t="str">
        <f>IFERROR(__xludf.DUMMYFUNCTION("""COMPUTED_VALUE"""),"Agaun")</f>
        <v>Agaun</v>
      </c>
      <c r="D67" s="120" t="str">
        <f>IFERROR(__xludf.DUMMYFUNCTION("""COMPUTED_VALUE"""),"Papua New Guinea")</f>
        <v>Papua New Guinea</v>
      </c>
      <c r="E67" s="135"/>
      <c r="F67" s="31"/>
    </row>
    <row r="68">
      <c r="A68" s="134" t="str">
        <f>IFERROR(__xludf.DUMMYFUNCTION("""COMPUTED_VALUE"""),"Agen")</f>
        <v>Agen</v>
      </c>
      <c r="B68" s="120" t="str">
        <f>IFERROR(__xludf.DUMMYFUNCTION("""COMPUTED_VALUE"""),"AGF")</f>
        <v>AGF</v>
      </c>
      <c r="C68" s="120" t="str">
        <f>IFERROR(__xludf.DUMMYFUNCTION("""COMPUTED_VALUE"""),"La Garenne")</f>
        <v>La Garenne</v>
      </c>
      <c r="D68" s="120" t="str">
        <f>IFERROR(__xludf.DUMMYFUNCTION("""COMPUTED_VALUE"""),"France")</f>
        <v>France</v>
      </c>
      <c r="E68" s="135"/>
      <c r="F68" s="31"/>
    </row>
    <row r="69">
      <c r="A69" s="134" t="str">
        <f>IFERROR(__xludf.DUMMYFUNCTION("""COMPUTED_VALUE"""),"Aggeneys")</f>
        <v>Aggeneys</v>
      </c>
      <c r="B69" s="120" t="str">
        <f>IFERROR(__xludf.DUMMYFUNCTION("""COMPUTED_VALUE"""),"AGZ")</f>
        <v>AGZ</v>
      </c>
      <c r="C69" s="120" t="str">
        <f>IFERROR(__xludf.DUMMYFUNCTION("""COMPUTED_VALUE"""),"Aggeneys")</f>
        <v>Aggeneys</v>
      </c>
      <c r="D69" s="120" t="str">
        <f>IFERROR(__xludf.DUMMYFUNCTION("""COMPUTED_VALUE"""),"South Africa")</f>
        <v>South Africa</v>
      </c>
      <c r="E69" s="135"/>
      <c r="F69" s="31"/>
    </row>
    <row r="70">
      <c r="A70" s="134" t="str">
        <f>IFERROR(__xludf.DUMMYFUNCTION("""COMPUTED_VALUE"""),"Aghajari")</f>
        <v>Aghajari</v>
      </c>
      <c r="B70" s="120" t="str">
        <f>IFERROR(__xludf.DUMMYFUNCTION("""COMPUTED_VALUE"""),"AKW")</f>
        <v>AKW</v>
      </c>
      <c r="C70" s="120" t="str">
        <f>IFERROR(__xludf.DUMMYFUNCTION("""COMPUTED_VALUE"""),"Aghajari")</f>
        <v>Aghajari</v>
      </c>
      <c r="D70" s="120" t="str">
        <f>IFERROR(__xludf.DUMMYFUNCTION("""COMPUTED_VALUE"""),"Iran")</f>
        <v>Iran</v>
      </c>
      <c r="E70" s="135"/>
      <c r="F70" s="31"/>
    </row>
    <row r="71">
      <c r="A71" s="134" t="str">
        <f>IFERROR(__xludf.DUMMYFUNCTION("""COMPUTED_VALUE"""),"Agnew")</f>
        <v>Agnew</v>
      </c>
      <c r="B71" s="120" t="str">
        <f>IFERROR(__xludf.DUMMYFUNCTION("""COMPUTED_VALUE"""),"AGW")</f>
        <v>AGW</v>
      </c>
      <c r="C71" s="120" t="str">
        <f>IFERROR(__xludf.DUMMYFUNCTION("""COMPUTED_VALUE"""),"Agnew")</f>
        <v>Agnew</v>
      </c>
      <c r="D71" s="120" t="str">
        <f>IFERROR(__xludf.DUMMYFUNCTION("""COMPUTED_VALUE"""),"Australia")</f>
        <v>Australia</v>
      </c>
      <c r="E71" s="135"/>
      <c r="F71" s="31"/>
    </row>
    <row r="72">
      <c r="A72" s="134" t="str">
        <f>IFERROR(__xludf.DUMMYFUNCTION("""COMPUTED_VALUE"""),"Agra")</f>
        <v>Agra</v>
      </c>
      <c r="B72" s="120" t="str">
        <f>IFERROR(__xludf.DUMMYFUNCTION("""COMPUTED_VALUE"""),"AGR")</f>
        <v>AGR</v>
      </c>
      <c r="C72" s="120" t="str">
        <f>IFERROR(__xludf.DUMMYFUNCTION("""COMPUTED_VALUE"""),"Kheria")</f>
        <v>Kheria</v>
      </c>
      <c r="D72" s="120" t="str">
        <f>IFERROR(__xludf.DUMMYFUNCTION("""COMPUTED_VALUE"""),"India")</f>
        <v>India</v>
      </c>
      <c r="E72" s="135"/>
      <c r="F72" s="31"/>
    </row>
    <row r="73">
      <c r="A73" s="134" t="str">
        <f>IFERROR(__xludf.DUMMYFUNCTION("""COMPUTED_VALUE"""),"Agri")</f>
        <v>Agri</v>
      </c>
      <c r="B73" s="120" t="str">
        <f>IFERROR(__xludf.DUMMYFUNCTION("""COMPUTED_VALUE"""),"AJI")</f>
        <v>AJI</v>
      </c>
      <c r="C73" s="120" t="str">
        <f>IFERROR(__xludf.DUMMYFUNCTION("""COMPUTED_VALUE"""),"Ağri")</f>
        <v>Ağri</v>
      </c>
      <c r="D73" s="120" t="str">
        <f>IFERROR(__xludf.DUMMYFUNCTION("""COMPUTED_VALUE"""),"Turkey")</f>
        <v>Turkey</v>
      </c>
      <c r="E73" s="135"/>
      <c r="F73" s="31"/>
    </row>
    <row r="74">
      <c r="A74" s="134" t="str">
        <f>IFERROR(__xludf.DUMMYFUNCTION("""COMPUTED_VALUE"""),"Agrinion")</f>
        <v>Agrinion</v>
      </c>
      <c r="B74" s="120" t="str">
        <f>IFERROR(__xludf.DUMMYFUNCTION("""COMPUTED_VALUE"""),"AGQ")</f>
        <v>AGQ</v>
      </c>
      <c r="C74" s="120" t="str">
        <f>IFERROR(__xludf.DUMMYFUNCTION("""COMPUTED_VALUE"""),"Agrinion")</f>
        <v>Agrinion</v>
      </c>
      <c r="D74" s="120" t="str">
        <f>IFERROR(__xludf.DUMMYFUNCTION("""COMPUTED_VALUE"""),"Greece")</f>
        <v>Greece</v>
      </c>
      <c r="E74" s="135"/>
      <c r="F74" s="31"/>
    </row>
    <row r="75">
      <c r="A75" s="134" t="str">
        <f>IFERROR(__xludf.DUMMYFUNCTION("""COMPUTED_VALUE"""),"Aguaclara")</f>
        <v>Aguaclara</v>
      </c>
      <c r="B75" s="120" t="str">
        <f>IFERROR(__xludf.DUMMYFUNCTION("""COMPUTED_VALUE"""),"ACL")</f>
        <v>ACL</v>
      </c>
      <c r="C75" s="120" t="str">
        <f>IFERROR(__xludf.DUMMYFUNCTION("""COMPUTED_VALUE"""),"Aguaclara")</f>
        <v>Aguaclara</v>
      </c>
      <c r="D75" s="120" t="str">
        <f>IFERROR(__xludf.DUMMYFUNCTION("""COMPUTED_VALUE"""),"Colombia")</f>
        <v>Colombia</v>
      </c>
      <c r="E75" s="135"/>
      <c r="F75" s="31"/>
    </row>
    <row r="76">
      <c r="A76" s="134" t="str">
        <f>IFERROR(__xludf.DUMMYFUNCTION("""COMPUTED_VALUE"""),"Aguadilla")</f>
        <v>Aguadilla</v>
      </c>
      <c r="B76" s="120" t="str">
        <f>IFERROR(__xludf.DUMMYFUNCTION("""COMPUTED_VALUE"""),"BQN")</f>
        <v>BQN</v>
      </c>
      <c r="C76" s="120" t="str">
        <f>IFERROR(__xludf.DUMMYFUNCTION("""COMPUTED_VALUE"""),"Borinquen")</f>
        <v>Borinquen</v>
      </c>
      <c r="D76" s="120" t="str">
        <f>IFERROR(__xludf.DUMMYFUNCTION("""COMPUTED_VALUE"""),"Puerto Rico")</f>
        <v>Puerto Rico</v>
      </c>
      <c r="E76" s="135"/>
      <c r="F76" s="31"/>
    </row>
    <row r="77">
      <c r="A77" s="134" t="str">
        <f>IFERROR(__xludf.DUMMYFUNCTION("""COMPUTED_VALUE"""),"Aguascalientes")</f>
        <v>Aguascalientes</v>
      </c>
      <c r="B77" s="120" t="str">
        <f>IFERROR(__xludf.DUMMYFUNCTION("""COMPUTED_VALUE"""),"AGU")</f>
        <v>AGU</v>
      </c>
      <c r="C77" s="120" t="str">
        <f>IFERROR(__xludf.DUMMYFUNCTION("""COMPUTED_VALUE"""),"Aguascalients")</f>
        <v>Aguascalients</v>
      </c>
      <c r="D77" s="120" t="str">
        <f>IFERROR(__xludf.DUMMYFUNCTION("""COMPUTED_VALUE"""),"Mexico")</f>
        <v>Mexico</v>
      </c>
      <c r="E77" s="135"/>
      <c r="F77" s="31"/>
    </row>
    <row r="78">
      <c r="A78" s="134" t="str">
        <f>IFERROR(__xludf.DUMMYFUNCTION("""COMPUTED_VALUE"""),"Aguni")</f>
        <v>Aguni</v>
      </c>
      <c r="B78" s="120" t="str">
        <f>IFERROR(__xludf.DUMMYFUNCTION("""COMPUTED_VALUE"""),"AGJ")</f>
        <v>AGJ</v>
      </c>
      <c r="C78" s="120" t="str">
        <f>IFERROR(__xludf.DUMMYFUNCTION("""COMPUTED_VALUE"""),"Aguni")</f>
        <v>Aguni</v>
      </c>
      <c r="D78" s="120" t="str">
        <f>IFERROR(__xludf.DUMMYFUNCTION("""COMPUTED_VALUE"""),"Japan")</f>
        <v>Japan</v>
      </c>
      <c r="E78" s="135"/>
      <c r="F78" s="31"/>
    </row>
    <row r="79">
      <c r="A79" s="134" t="str">
        <f>IFERROR(__xludf.DUMMYFUNCTION("""COMPUTED_VALUE"""),"Ahe")</f>
        <v>Ahe</v>
      </c>
      <c r="B79" s="120" t="str">
        <f>IFERROR(__xludf.DUMMYFUNCTION("""COMPUTED_VALUE"""),"AHE")</f>
        <v>AHE</v>
      </c>
      <c r="C79" s="120" t="str">
        <f>IFERROR(__xludf.DUMMYFUNCTION("""COMPUTED_VALUE"""),"Ahe Airport")</f>
        <v>Ahe Airport</v>
      </c>
      <c r="D79" s="120" t="str">
        <f>IFERROR(__xludf.DUMMYFUNCTION("""COMPUTED_VALUE"""),"French Polynesia")</f>
        <v>French Polynesia</v>
      </c>
      <c r="E79" s="135"/>
      <c r="F79" s="31"/>
    </row>
    <row r="80">
      <c r="A80" s="134" t="str">
        <f>IFERROR(__xludf.DUMMYFUNCTION("""COMPUTED_VALUE"""),"Ahmed Al Jaber")</f>
        <v>Ahmed Al Jaber</v>
      </c>
      <c r="B80" s="120" t="str">
        <f>IFERROR(__xludf.DUMMYFUNCTION("""COMPUTED_VALUE"""),"XIJ")</f>
        <v>XIJ</v>
      </c>
      <c r="C80" s="120" t="str">
        <f>IFERROR(__xludf.DUMMYFUNCTION("""COMPUTED_VALUE"""),"Ahmed Al Jaber")</f>
        <v>Ahmed Al Jaber</v>
      </c>
      <c r="D80" s="120" t="str">
        <f>IFERROR(__xludf.DUMMYFUNCTION("""COMPUTED_VALUE"""),"Kuwait")</f>
        <v>Kuwait</v>
      </c>
      <c r="E80" s="135"/>
      <c r="F80" s="31"/>
    </row>
    <row r="81">
      <c r="A81" s="134" t="str">
        <f>IFERROR(__xludf.DUMMYFUNCTION("""COMPUTED_VALUE"""),"Ahmedabad")</f>
        <v>Ahmedabad</v>
      </c>
      <c r="B81" s="120" t="str">
        <f>IFERROR(__xludf.DUMMYFUNCTION("""COMPUTED_VALUE"""),"AMD")</f>
        <v>AMD</v>
      </c>
      <c r="C81" s="120" t="str">
        <f>IFERROR(__xludf.DUMMYFUNCTION("""COMPUTED_VALUE"""),"Ahmedabad")</f>
        <v>Ahmedabad</v>
      </c>
      <c r="D81" s="120" t="str">
        <f>IFERROR(__xludf.DUMMYFUNCTION("""COMPUTED_VALUE"""),"India")</f>
        <v>India</v>
      </c>
      <c r="E81" s="135"/>
      <c r="F81" s="31"/>
    </row>
    <row r="82">
      <c r="A82" s="134" t="str">
        <f>IFERROR(__xludf.DUMMYFUNCTION("""COMPUTED_VALUE"""),"Ahuas")</f>
        <v>Ahuas</v>
      </c>
      <c r="B82" s="120" t="str">
        <f>IFERROR(__xludf.DUMMYFUNCTION("""COMPUTED_VALUE"""),"AHS")</f>
        <v>AHS</v>
      </c>
      <c r="C82" s="120" t="str">
        <f>IFERROR(__xludf.DUMMYFUNCTION("""COMPUTED_VALUE"""),"Ahuas")</f>
        <v>Ahuas</v>
      </c>
      <c r="D82" s="120" t="str">
        <f>IFERROR(__xludf.DUMMYFUNCTION("""COMPUTED_VALUE"""),"Honduras")</f>
        <v>Honduras</v>
      </c>
      <c r="E82" s="135"/>
      <c r="F82" s="31"/>
    </row>
    <row r="83">
      <c r="A83" s="134" t="str">
        <f>IFERROR(__xludf.DUMMYFUNCTION("""COMPUTED_VALUE"""),"Ahwaz")</f>
        <v>Ahwaz</v>
      </c>
      <c r="B83" s="120" t="str">
        <f>IFERROR(__xludf.DUMMYFUNCTION("""COMPUTED_VALUE"""),"AWZ")</f>
        <v>AWZ</v>
      </c>
      <c r="C83" s="120" t="str">
        <f>IFERROR(__xludf.DUMMYFUNCTION("""COMPUTED_VALUE"""),"Ahwaz")</f>
        <v>Ahwaz</v>
      </c>
      <c r="D83" s="120" t="str">
        <f>IFERROR(__xludf.DUMMYFUNCTION("""COMPUTED_VALUE"""),"Iran")</f>
        <v>Iran</v>
      </c>
      <c r="E83" s="135"/>
      <c r="F83" s="31"/>
    </row>
    <row r="84">
      <c r="A84" s="134" t="str">
        <f>IFERROR(__xludf.DUMMYFUNCTION("""COMPUTED_VALUE"""),"Ai-Ais")</f>
        <v>Ai-Ais</v>
      </c>
      <c r="B84" s="120" t="str">
        <f>IFERROR(__xludf.DUMMYFUNCTION("""COMPUTED_VALUE"""),"AIW")</f>
        <v>AIW</v>
      </c>
      <c r="C84" s="120" t="str">
        <f>IFERROR(__xludf.DUMMYFUNCTION("""COMPUTED_VALUE"""),"Ai-Ais")</f>
        <v>Ai-Ais</v>
      </c>
      <c r="D84" s="120" t="str">
        <f>IFERROR(__xludf.DUMMYFUNCTION("""COMPUTED_VALUE"""),"Namibia")</f>
        <v>Namibia</v>
      </c>
      <c r="E84" s="135"/>
      <c r="F84" s="31"/>
    </row>
    <row r="85">
      <c r="A85" s="134" t="str">
        <f>IFERROR(__xludf.DUMMYFUNCTION("""COMPUTED_VALUE"""),"Aiambak")</f>
        <v>Aiambak</v>
      </c>
      <c r="B85" s="120" t="str">
        <f>IFERROR(__xludf.DUMMYFUNCTION("""COMPUTED_VALUE"""),"AIH")</f>
        <v>AIH</v>
      </c>
      <c r="C85" s="120" t="str">
        <f>IFERROR(__xludf.DUMMYFUNCTION("""COMPUTED_VALUE"""),"Aiambak")</f>
        <v>Aiambak</v>
      </c>
      <c r="D85" s="120" t="str">
        <f>IFERROR(__xludf.DUMMYFUNCTION("""COMPUTED_VALUE"""),"Papua New Guinea")</f>
        <v>Papua New Guinea</v>
      </c>
      <c r="E85" s="135"/>
      <c r="F85" s="31"/>
    </row>
    <row r="86">
      <c r="A86" s="134" t="str">
        <f>IFERROR(__xludf.DUMMYFUNCTION("""COMPUTED_VALUE"""),"Aiken")</f>
        <v>Aiken</v>
      </c>
      <c r="B86" s="120" t="str">
        <f>IFERROR(__xludf.DUMMYFUNCTION("""COMPUTED_VALUE"""),"AIK")</f>
        <v>AIK</v>
      </c>
      <c r="C86" s="120" t="str">
        <f>IFERROR(__xludf.DUMMYFUNCTION("""COMPUTED_VALUE"""),"Municipal")</f>
        <v>Municipal</v>
      </c>
      <c r="D86" s="120" t="str">
        <f>IFERROR(__xludf.DUMMYFUNCTION("""COMPUTED_VALUE"""),"United States")</f>
        <v>United States</v>
      </c>
      <c r="E86" s="135"/>
      <c r="F86" s="31"/>
    </row>
    <row r="87">
      <c r="A87" s="134" t="str">
        <f>IFERROR(__xludf.DUMMYFUNCTION("""COMPUTED_VALUE"""),"Ailigandi")</f>
        <v>Ailigandi</v>
      </c>
      <c r="B87" s="120" t="str">
        <f>IFERROR(__xludf.DUMMYFUNCTION("""COMPUTED_VALUE"""),"AIL")</f>
        <v>AIL</v>
      </c>
      <c r="C87" s="120" t="str">
        <f>IFERROR(__xludf.DUMMYFUNCTION("""COMPUTED_VALUE"""),"Ailigandi")</f>
        <v>Ailigandi</v>
      </c>
      <c r="D87" s="120" t="str">
        <f>IFERROR(__xludf.DUMMYFUNCTION("""COMPUTED_VALUE"""),"Panama")</f>
        <v>Panama</v>
      </c>
      <c r="E87" s="135"/>
      <c r="F87" s="31"/>
    </row>
    <row r="88">
      <c r="A88" s="134" t="str">
        <f>IFERROR(__xludf.DUMMYFUNCTION("""COMPUTED_VALUE"""),"Ailinglapalap Island")</f>
        <v>Ailinglapalap Island</v>
      </c>
      <c r="B88" s="120" t="str">
        <f>IFERROR(__xludf.DUMMYFUNCTION("""COMPUTED_VALUE"""),"AIP")</f>
        <v>AIP</v>
      </c>
      <c r="C88" s="120" t="str">
        <f>IFERROR(__xludf.DUMMYFUNCTION("""COMPUTED_VALUE"""),"Ailinglapalap Island")</f>
        <v>Ailinglapalap Island</v>
      </c>
      <c r="D88" s="120" t="str">
        <f>IFERROR(__xludf.DUMMYFUNCTION("""COMPUTED_VALUE"""),"Marshall Islands")</f>
        <v>Marshall Islands</v>
      </c>
      <c r="E88" s="135"/>
      <c r="F88" s="31"/>
    </row>
    <row r="89">
      <c r="A89" s="134" t="str">
        <f>IFERROR(__xludf.DUMMYFUNCTION("""COMPUTED_VALUE"""),"Ailuk Island")</f>
        <v>Ailuk Island</v>
      </c>
      <c r="B89" s="120" t="str">
        <f>IFERROR(__xludf.DUMMYFUNCTION("""COMPUTED_VALUE"""),"AIM")</f>
        <v>AIM</v>
      </c>
      <c r="C89" s="137" t="str">
        <f>IFERROR(__xludf.DUMMYFUNCTION("""COMPUTED_VALUE"""),"Ailuk Island")</f>
        <v>Ailuk Island</v>
      </c>
      <c r="D89" s="120" t="str">
        <f>IFERROR(__xludf.DUMMYFUNCTION("""COMPUTED_VALUE"""),"Marshall Islands")</f>
        <v>Marshall Islands</v>
      </c>
      <c r="E89" s="135"/>
      <c r="F89" s="31"/>
    </row>
    <row r="90">
      <c r="A90" s="134" t="str">
        <f>IFERROR(__xludf.DUMMYFUNCTION("""COMPUTED_VALUE"""),"Ainsworth")</f>
        <v>Ainsworth</v>
      </c>
      <c r="B90" s="120" t="str">
        <f>IFERROR(__xludf.DUMMYFUNCTION("""COMPUTED_VALUE"""),"ANW")</f>
        <v>ANW</v>
      </c>
      <c r="C90" s="120" t="str">
        <f>IFERROR(__xludf.DUMMYFUNCTION("""COMPUTED_VALUE"""),"Ainsworth")</f>
        <v>Ainsworth</v>
      </c>
      <c r="D90" s="120" t="str">
        <f>IFERROR(__xludf.DUMMYFUNCTION("""COMPUTED_VALUE"""),"United States")</f>
        <v>United States</v>
      </c>
      <c r="E90" s="135"/>
      <c r="F90" s="31"/>
    </row>
    <row r="91">
      <c r="A91" s="134" t="str">
        <f>IFERROR(__xludf.DUMMYFUNCTION("""COMPUTED_VALUE"""),"Aiome")</f>
        <v>Aiome</v>
      </c>
      <c r="B91" s="120" t="str">
        <f>IFERROR(__xludf.DUMMYFUNCTION("""COMPUTED_VALUE"""),"AIE")</f>
        <v>AIE</v>
      </c>
      <c r="C91" s="120" t="str">
        <f>IFERROR(__xludf.DUMMYFUNCTION("""COMPUTED_VALUE"""),"Aiome")</f>
        <v>Aiome</v>
      </c>
      <c r="D91" s="120" t="str">
        <f>IFERROR(__xludf.DUMMYFUNCTION("""COMPUTED_VALUE"""),"Papua New Guinea")</f>
        <v>Papua New Guinea</v>
      </c>
      <c r="E91" s="135"/>
      <c r="F91" s="31"/>
    </row>
    <row r="92">
      <c r="A92" s="134" t="str">
        <f>IFERROR(__xludf.DUMMYFUNCTION("""COMPUTED_VALUE"""),"Aioun El Atrouss")</f>
        <v>Aioun El Atrouss</v>
      </c>
      <c r="B92" s="120" t="str">
        <f>IFERROR(__xludf.DUMMYFUNCTION("""COMPUTED_VALUE"""),"AEO")</f>
        <v>AEO</v>
      </c>
      <c r="C92" s="120" t="str">
        <f>IFERROR(__xludf.DUMMYFUNCTION("""COMPUTED_VALUE"""),"Aioun El Atrouss")</f>
        <v>Aioun El Atrouss</v>
      </c>
      <c r="D92" s="120" t="str">
        <f>IFERROR(__xludf.DUMMYFUNCTION("""COMPUTED_VALUE"""),"Mauritania")</f>
        <v>Mauritania</v>
      </c>
      <c r="E92" s="135"/>
      <c r="F92" s="31"/>
    </row>
    <row r="93">
      <c r="A93" s="134" t="str">
        <f>IFERROR(__xludf.DUMMYFUNCTION("""COMPUTED_VALUE"""),"Airlie Beach")</f>
        <v>Airlie Beach</v>
      </c>
      <c r="B93" s="120" t="str">
        <f>IFERROR(__xludf.DUMMYFUNCTION("""COMPUTED_VALUE"""),"WSY")</f>
        <v>WSY</v>
      </c>
      <c r="C93" s="120" t="str">
        <f>IFERROR(__xludf.DUMMYFUNCTION("""COMPUTED_VALUE"""),"Whitsunday Airstrip")</f>
        <v>Whitsunday Airstrip</v>
      </c>
      <c r="D93" s="120" t="str">
        <f>IFERROR(__xludf.DUMMYFUNCTION("""COMPUTED_VALUE"""),"Australia")</f>
        <v>Australia</v>
      </c>
      <c r="E93" s="135"/>
      <c r="F93" s="31"/>
    </row>
    <row r="94">
      <c r="A94" s="134" t="str">
        <f>IFERROR(__xludf.DUMMYFUNCTION("""COMPUTED_VALUE"""),"Airok")</f>
        <v>Airok</v>
      </c>
      <c r="B94" s="120" t="str">
        <f>IFERROR(__xludf.DUMMYFUNCTION("""COMPUTED_VALUE"""),"AIC")</f>
        <v>AIC</v>
      </c>
      <c r="C94" s="120" t="str">
        <f>IFERROR(__xludf.DUMMYFUNCTION("""COMPUTED_VALUE"""),"Airok")</f>
        <v>Airok</v>
      </c>
      <c r="D94" s="120" t="str">
        <f>IFERROR(__xludf.DUMMYFUNCTION("""COMPUTED_VALUE"""),"Marshall Islands")</f>
        <v>Marshall Islands</v>
      </c>
      <c r="E94" s="135"/>
      <c r="F94" s="31"/>
    </row>
    <row r="95">
      <c r="A95" s="134" t="str">
        <f>IFERROR(__xludf.DUMMYFUNCTION("""COMPUTED_VALUE"""),"Aishalton")</f>
        <v>Aishalton</v>
      </c>
      <c r="B95" s="120" t="str">
        <f>IFERROR(__xludf.DUMMYFUNCTION("""COMPUTED_VALUE"""),"AHL")</f>
        <v>AHL</v>
      </c>
      <c r="C95" s="120" t="str">
        <f>IFERROR(__xludf.DUMMYFUNCTION("""COMPUTED_VALUE"""),"Aishalton")</f>
        <v>Aishalton</v>
      </c>
      <c r="D95" s="120" t="str">
        <f>IFERROR(__xludf.DUMMYFUNCTION("""COMPUTED_VALUE"""),"Guyana")</f>
        <v>Guyana</v>
      </c>
      <c r="E95" s="135"/>
      <c r="F95" s="31"/>
    </row>
    <row r="96">
      <c r="A96" s="134" t="str">
        <f>IFERROR(__xludf.DUMMYFUNCTION("""COMPUTED_VALUE"""),"Aitape")</f>
        <v>Aitape</v>
      </c>
      <c r="B96" s="120" t="str">
        <f>IFERROR(__xludf.DUMMYFUNCTION("""COMPUTED_VALUE"""),"ATP")</f>
        <v>ATP</v>
      </c>
      <c r="C96" s="120" t="str">
        <f>IFERROR(__xludf.DUMMYFUNCTION("""COMPUTED_VALUE"""),"Airstrip")</f>
        <v>Airstrip</v>
      </c>
      <c r="D96" s="120" t="str">
        <f>IFERROR(__xludf.DUMMYFUNCTION("""COMPUTED_VALUE"""),"Papua New Guinea")</f>
        <v>Papua New Guinea</v>
      </c>
      <c r="E96" s="135"/>
      <c r="F96" s="31"/>
    </row>
    <row r="97">
      <c r="A97" s="134" t="str">
        <f>IFERROR(__xludf.DUMMYFUNCTION("""COMPUTED_VALUE"""),"Aitape")</f>
        <v>Aitape</v>
      </c>
      <c r="B97" s="120" t="str">
        <f>IFERROR(__xludf.DUMMYFUNCTION("""COMPUTED_VALUE"""),"TAJ")</f>
        <v>TAJ</v>
      </c>
      <c r="C97" s="120" t="str">
        <f>IFERROR(__xludf.DUMMYFUNCTION("""COMPUTED_VALUE"""),"Tadji")</f>
        <v>Tadji</v>
      </c>
      <c r="D97" s="120" t="str">
        <f>IFERROR(__xludf.DUMMYFUNCTION("""COMPUTED_VALUE"""),"Papua New Guinea")</f>
        <v>Papua New Guinea</v>
      </c>
      <c r="E97" s="135"/>
      <c r="F97" s="31"/>
    </row>
    <row r="98">
      <c r="A98" s="134" t="str">
        <f>IFERROR(__xludf.DUMMYFUNCTION("""COMPUTED_VALUE"""),"Aitutaki")</f>
        <v>Aitutaki</v>
      </c>
      <c r="B98" s="120" t="str">
        <f>IFERROR(__xludf.DUMMYFUNCTION("""COMPUTED_VALUE"""),"AIT")</f>
        <v>AIT</v>
      </c>
      <c r="C98" s="120" t="str">
        <f>IFERROR(__xludf.DUMMYFUNCTION("""COMPUTED_VALUE"""),"Aitutaki")</f>
        <v>Aitutaki</v>
      </c>
      <c r="D98" s="120" t="str">
        <f>IFERROR(__xludf.DUMMYFUNCTION("""COMPUTED_VALUE"""),"Cook Islands")</f>
        <v>Cook Islands</v>
      </c>
      <c r="E98" s="135"/>
      <c r="F98" s="31"/>
    </row>
    <row r="99">
      <c r="A99" s="134" t="str">
        <f>IFERROR(__xludf.DUMMYFUNCTION("""COMPUTED_VALUE"""),"Aix La Chapelle")</f>
        <v>Aix La Chapelle</v>
      </c>
      <c r="B99" s="120" t="str">
        <f>IFERROR(__xludf.DUMMYFUNCTION("""COMPUTED_VALUE"""),"XHJ")</f>
        <v>XHJ</v>
      </c>
      <c r="C99" s="120" t="str">
        <f>IFERROR(__xludf.DUMMYFUNCTION("""COMPUTED_VALUE"""),"Railway Station")</f>
        <v>Railway Station</v>
      </c>
      <c r="D99" s="120" t="str">
        <f>IFERROR(__xludf.DUMMYFUNCTION("""COMPUTED_VALUE"""),"Germany")</f>
        <v>Germany</v>
      </c>
      <c r="E99" s="135"/>
      <c r="F99" s="31"/>
    </row>
    <row r="100">
      <c r="A100" s="134" t="str">
        <f>IFERROR(__xludf.DUMMYFUNCTION("""COMPUTED_VALUE"""),"Aiyura")</f>
        <v>Aiyura</v>
      </c>
      <c r="B100" s="120" t="str">
        <f>IFERROR(__xludf.DUMMYFUNCTION("""COMPUTED_VALUE"""),"AYU")</f>
        <v>AYU</v>
      </c>
      <c r="C100" s="120" t="str">
        <f>IFERROR(__xludf.DUMMYFUNCTION("""COMPUTED_VALUE"""),"Aiyura")</f>
        <v>Aiyura</v>
      </c>
      <c r="D100" s="120" t="str">
        <f>IFERROR(__xludf.DUMMYFUNCTION("""COMPUTED_VALUE"""),"Papua New Guinea")</f>
        <v>Papua New Guinea</v>
      </c>
      <c r="E100" s="135"/>
      <c r="F100" s="31"/>
    </row>
    <row r="101">
      <c r="A101" s="134" t="str">
        <f>IFERROR(__xludf.DUMMYFUNCTION("""COMPUTED_VALUE"""),"Aizawl")</f>
        <v>Aizawl</v>
      </c>
      <c r="B101" s="120" t="str">
        <f>IFERROR(__xludf.DUMMYFUNCTION("""COMPUTED_VALUE"""),"AJL")</f>
        <v>AJL</v>
      </c>
      <c r="C101" s="120" t="str">
        <f>IFERROR(__xludf.DUMMYFUNCTION("""COMPUTED_VALUE"""),"Aizawl")</f>
        <v>Aizawl</v>
      </c>
      <c r="D101" s="120" t="str">
        <f>IFERROR(__xludf.DUMMYFUNCTION("""COMPUTED_VALUE"""),"India")</f>
        <v>India</v>
      </c>
      <c r="E101" s="135"/>
      <c r="F101" s="31"/>
    </row>
    <row r="102">
      <c r="A102" s="134" t="str">
        <f>IFERROR(__xludf.DUMMYFUNCTION("""COMPUTED_VALUE"""),"Ajaccio")</f>
        <v>Ajaccio</v>
      </c>
      <c r="B102" s="120" t="str">
        <f>IFERROR(__xludf.DUMMYFUNCTION("""COMPUTED_VALUE"""),"AJA")</f>
        <v>AJA</v>
      </c>
      <c r="C102" s="120" t="str">
        <f>IFERROR(__xludf.DUMMYFUNCTION("""COMPUTED_VALUE"""),"Campo Dell Oro")</f>
        <v>Campo Dell Oro</v>
      </c>
      <c r="D102" s="120" t="str">
        <f>IFERROR(__xludf.DUMMYFUNCTION("""COMPUTED_VALUE"""),"France")</f>
        <v>France</v>
      </c>
      <c r="E102" s="135"/>
      <c r="F102" s="31"/>
    </row>
    <row r="103">
      <c r="A103" s="134" t="str">
        <f>IFERROR(__xludf.DUMMYFUNCTION("""COMPUTED_VALUE"""),"Akhiok")</f>
        <v>Akhiok</v>
      </c>
      <c r="B103" s="120" t="str">
        <f>IFERROR(__xludf.DUMMYFUNCTION("""COMPUTED_VALUE"""),"AKK")</f>
        <v>AKK</v>
      </c>
      <c r="C103" s="120" t="str">
        <f>IFERROR(__xludf.DUMMYFUNCTION("""COMPUTED_VALUE"""),"Akhiok SPB")</f>
        <v>Akhiok SPB</v>
      </c>
      <c r="D103" s="120" t="str">
        <f>IFERROR(__xludf.DUMMYFUNCTION("""COMPUTED_VALUE"""),"United States")</f>
        <v>United States</v>
      </c>
      <c r="E103" s="135"/>
      <c r="F103" s="31"/>
    </row>
    <row r="104">
      <c r="A104" s="134" t="str">
        <f>IFERROR(__xludf.DUMMYFUNCTION("""COMPUTED_VALUE"""),"Akiachak")</f>
        <v>Akiachak</v>
      </c>
      <c r="B104" s="120" t="str">
        <f>IFERROR(__xludf.DUMMYFUNCTION("""COMPUTED_VALUE"""),"KKI")</f>
        <v>KKI</v>
      </c>
      <c r="C104" s="120" t="str">
        <f>IFERROR(__xludf.DUMMYFUNCTION("""COMPUTED_VALUE"""),"Spb")</f>
        <v>Spb</v>
      </c>
      <c r="D104" s="120" t="str">
        <f>IFERROR(__xludf.DUMMYFUNCTION("""COMPUTED_VALUE"""),"United States")</f>
        <v>United States</v>
      </c>
      <c r="E104" s="135"/>
      <c r="F104" s="31"/>
    </row>
    <row r="105">
      <c r="A105" s="134" t="str">
        <f>IFERROR(__xludf.DUMMYFUNCTION("""COMPUTED_VALUE"""),"Akiak")</f>
        <v>Akiak</v>
      </c>
      <c r="B105" s="120" t="str">
        <f>IFERROR(__xludf.DUMMYFUNCTION("""COMPUTED_VALUE"""),"AKI")</f>
        <v>AKI</v>
      </c>
      <c r="C105" s="120" t="str">
        <f>IFERROR(__xludf.DUMMYFUNCTION("""COMPUTED_VALUE"""),"Akiak")</f>
        <v>Akiak</v>
      </c>
      <c r="D105" s="120" t="str">
        <f>IFERROR(__xludf.DUMMYFUNCTION("""COMPUTED_VALUE"""),"United States")</f>
        <v>United States</v>
      </c>
      <c r="E105" s="135"/>
      <c r="F105" s="31"/>
    </row>
    <row r="106">
      <c r="A106" s="134" t="str">
        <f>IFERROR(__xludf.DUMMYFUNCTION("""COMPUTED_VALUE"""),"Akieni")</f>
        <v>Akieni</v>
      </c>
      <c r="B106" s="120" t="str">
        <f>IFERROR(__xludf.DUMMYFUNCTION("""COMPUTED_VALUE"""),"AKE")</f>
        <v>AKE</v>
      </c>
      <c r="C106" s="120" t="str">
        <f>IFERROR(__xludf.DUMMYFUNCTION("""COMPUTED_VALUE"""),"Akieni")</f>
        <v>Akieni</v>
      </c>
      <c r="D106" s="120" t="str">
        <f>IFERROR(__xludf.DUMMYFUNCTION("""COMPUTED_VALUE"""),"Gabon")</f>
        <v>Gabon</v>
      </c>
      <c r="E106" s="135"/>
      <c r="F106" s="31"/>
    </row>
    <row r="107">
      <c r="A107" s="134" t="str">
        <f>IFERROR(__xludf.DUMMYFUNCTION("""COMPUTED_VALUE"""),"Akita")</f>
        <v>Akita</v>
      </c>
      <c r="B107" s="120" t="str">
        <f>IFERROR(__xludf.DUMMYFUNCTION("""COMPUTED_VALUE"""),"AXT")</f>
        <v>AXT</v>
      </c>
      <c r="C107" s="120" t="str">
        <f>IFERROR(__xludf.DUMMYFUNCTION("""COMPUTED_VALUE"""),"Akita")</f>
        <v>Akita</v>
      </c>
      <c r="D107" s="120" t="str">
        <f>IFERROR(__xludf.DUMMYFUNCTION("""COMPUTED_VALUE"""),"Japan")</f>
        <v>Japan</v>
      </c>
      <c r="E107" s="135"/>
      <c r="F107" s="31"/>
    </row>
    <row r="108">
      <c r="A108" s="134" t="str">
        <f>IFERROR(__xludf.DUMMYFUNCTION("""COMPUTED_VALUE"""),"Akjoujt")</f>
        <v>Akjoujt</v>
      </c>
      <c r="B108" s="120" t="str">
        <f>IFERROR(__xludf.DUMMYFUNCTION("""COMPUTED_VALUE"""),"AJJ")</f>
        <v>AJJ</v>
      </c>
      <c r="C108" s="120" t="str">
        <f>IFERROR(__xludf.DUMMYFUNCTION("""COMPUTED_VALUE"""),"Akjoujt")</f>
        <v>Akjoujt</v>
      </c>
      <c r="D108" s="120" t="str">
        <f>IFERROR(__xludf.DUMMYFUNCTION("""COMPUTED_VALUE"""),"Mauritania")</f>
        <v>Mauritania</v>
      </c>
      <c r="E108" s="135"/>
      <c r="F108" s="31"/>
    </row>
    <row r="109">
      <c r="A109" s="134" t="str">
        <f>IFERROR(__xludf.DUMMYFUNCTION("""COMPUTED_VALUE"""),"Aklavik")</f>
        <v>Aklavik</v>
      </c>
      <c r="B109" s="120" t="str">
        <f>IFERROR(__xludf.DUMMYFUNCTION("""COMPUTED_VALUE"""),"LAK")</f>
        <v>LAK</v>
      </c>
      <c r="C109" s="120" t="str">
        <f>IFERROR(__xludf.DUMMYFUNCTION("""COMPUTED_VALUE"""),"Aklavik")</f>
        <v>Aklavik</v>
      </c>
      <c r="D109" s="120" t="str">
        <f>IFERROR(__xludf.DUMMYFUNCTION("""COMPUTED_VALUE"""),"Canada")</f>
        <v>Canada</v>
      </c>
      <c r="E109" s="135"/>
      <c r="F109" s="31"/>
    </row>
    <row r="110">
      <c r="A110" s="134" t="str">
        <f>IFERROR(__xludf.DUMMYFUNCTION("""COMPUTED_VALUE"""),"Akola")</f>
        <v>Akola</v>
      </c>
      <c r="B110" s="120" t="str">
        <f>IFERROR(__xludf.DUMMYFUNCTION("""COMPUTED_VALUE"""),"AKD")</f>
        <v>AKD</v>
      </c>
      <c r="C110" s="120" t="str">
        <f>IFERROR(__xludf.DUMMYFUNCTION("""COMPUTED_VALUE"""),"Akola")</f>
        <v>Akola</v>
      </c>
      <c r="D110" s="120" t="str">
        <f>IFERROR(__xludf.DUMMYFUNCTION("""COMPUTED_VALUE"""),"India")</f>
        <v>India</v>
      </c>
      <c r="E110" s="135"/>
      <c r="F110" s="31"/>
    </row>
    <row r="111">
      <c r="A111" s="134" t="str">
        <f>IFERROR(__xludf.DUMMYFUNCTION("""COMPUTED_VALUE"""),"Akron")</f>
        <v>Akron</v>
      </c>
      <c r="B111" s="120" t="str">
        <f>IFERROR(__xludf.DUMMYFUNCTION("""COMPUTED_VALUE"""),"AKO")</f>
        <v>AKO</v>
      </c>
      <c r="C111" s="120" t="str">
        <f>IFERROR(__xludf.DUMMYFUNCTION("""COMPUTED_VALUE"""),"Washington Co")</f>
        <v>Washington Co</v>
      </c>
      <c r="D111" s="120" t="str">
        <f>IFERROR(__xludf.DUMMYFUNCTION("""COMPUTED_VALUE"""),"United States")</f>
        <v>United States</v>
      </c>
      <c r="E111" s="135"/>
      <c r="F111" s="31"/>
    </row>
    <row r="112">
      <c r="A112" s="134" t="str">
        <f>IFERROR(__xludf.DUMMYFUNCTION("""COMPUTED_VALUE"""),"Akron/Canton")</f>
        <v>Akron/Canton</v>
      </c>
      <c r="B112" s="120" t="str">
        <f>IFERROR(__xludf.DUMMYFUNCTION("""COMPUTED_VALUE"""),"CAK")</f>
        <v>CAK</v>
      </c>
      <c r="C112" s="120" t="str">
        <f>IFERROR(__xludf.DUMMYFUNCTION("""COMPUTED_VALUE"""),"Akron/Canton Regional")</f>
        <v>Akron/Canton Regional</v>
      </c>
      <c r="D112" s="120" t="str">
        <f>IFERROR(__xludf.DUMMYFUNCTION("""COMPUTED_VALUE"""),"United States")</f>
        <v>United States</v>
      </c>
      <c r="E112" s="135"/>
      <c r="F112" s="31"/>
    </row>
    <row r="113">
      <c r="A113" s="134" t="str">
        <f>IFERROR(__xludf.DUMMYFUNCTION("""COMPUTED_VALUE"""),"Akron/Canton")</f>
        <v>Akron/Canton</v>
      </c>
      <c r="B113" s="120" t="str">
        <f>IFERROR(__xludf.DUMMYFUNCTION("""COMPUTED_VALUE"""),"AKC")</f>
        <v>AKC</v>
      </c>
      <c r="C113" s="120" t="str">
        <f>IFERROR(__xludf.DUMMYFUNCTION("""COMPUTED_VALUE"""),"Fulton International")</f>
        <v>Fulton International</v>
      </c>
      <c r="D113" s="120" t="str">
        <f>IFERROR(__xludf.DUMMYFUNCTION("""COMPUTED_VALUE"""),"United States")</f>
        <v>United States</v>
      </c>
      <c r="E113" s="135"/>
      <c r="F113" s="31"/>
    </row>
    <row r="114">
      <c r="A114" s="134" t="str">
        <f>IFERROR(__xludf.DUMMYFUNCTION("""COMPUTED_VALUE"""),"Akrotiri")</f>
        <v>Akrotiri</v>
      </c>
      <c r="B114" s="120" t="str">
        <f>IFERROR(__xludf.DUMMYFUNCTION("""COMPUTED_VALUE"""),"AKT")</f>
        <v>AKT</v>
      </c>
      <c r="C114" s="120" t="str">
        <f>IFERROR(__xludf.DUMMYFUNCTION("""COMPUTED_VALUE"""),"Akrotiri RAF")</f>
        <v>Akrotiri RAF</v>
      </c>
      <c r="D114" s="120" t="str">
        <f>IFERROR(__xludf.DUMMYFUNCTION("""COMPUTED_VALUE"""),"Cyprus")</f>
        <v>Cyprus</v>
      </c>
      <c r="E114" s="135"/>
      <c r="F114" s="31"/>
    </row>
    <row r="115">
      <c r="A115" s="134" t="str">
        <f>IFERROR(__xludf.DUMMYFUNCTION("""COMPUTED_VALUE"""),"Aksu")</f>
        <v>Aksu</v>
      </c>
      <c r="B115" s="120" t="str">
        <f>IFERROR(__xludf.DUMMYFUNCTION("""COMPUTED_VALUE"""),"AKU")</f>
        <v>AKU</v>
      </c>
      <c r="C115" s="120" t="str">
        <f>IFERROR(__xludf.DUMMYFUNCTION("""COMPUTED_VALUE"""),"Aksu")</f>
        <v>Aksu</v>
      </c>
      <c r="D115" s="120" t="str">
        <f>IFERROR(__xludf.DUMMYFUNCTION("""COMPUTED_VALUE"""),"China")</f>
        <v>China</v>
      </c>
      <c r="E115" s="135"/>
      <c r="F115" s="31"/>
    </row>
    <row r="116">
      <c r="A116" s="134" t="str">
        <f>IFERROR(__xludf.DUMMYFUNCTION("""COMPUTED_VALUE"""),"Aktau")</f>
        <v>Aktau</v>
      </c>
      <c r="B116" s="120" t="str">
        <f>IFERROR(__xludf.DUMMYFUNCTION("""COMPUTED_VALUE"""),"SCO")</f>
        <v>SCO</v>
      </c>
      <c r="C116" s="120" t="str">
        <f>IFERROR(__xludf.DUMMYFUNCTION("""COMPUTED_VALUE"""),"Aktau")</f>
        <v>Aktau</v>
      </c>
      <c r="D116" s="120" t="str">
        <f>IFERROR(__xludf.DUMMYFUNCTION("""COMPUTED_VALUE"""),"Kazakhstan")</f>
        <v>Kazakhstan</v>
      </c>
      <c r="E116" s="135"/>
      <c r="F116" s="31"/>
    </row>
    <row r="117">
      <c r="A117" s="134" t="str">
        <f>IFERROR(__xludf.DUMMYFUNCTION("""COMPUTED_VALUE"""),"Aktyubinsk")</f>
        <v>Aktyubinsk</v>
      </c>
      <c r="B117" s="120" t="str">
        <f>IFERROR(__xludf.DUMMYFUNCTION("""COMPUTED_VALUE"""),"AKX")</f>
        <v>AKX</v>
      </c>
      <c r="C117" s="120" t="str">
        <f>IFERROR(__xludf.DUMMYFUNCTION("""COMPUTED_VALUE"""),"Aktyubinsk")</f>
        <v>Aktyubinsk</v>
      </c>
      <c r="D117" s="120" t="str">
        <f>IFERROR(__xludf.DUMMYFUNCTION("""COMPUTED_VALUE"""),"Kazakhstan")</f>
        <v>Kazakhstan</v>
      </c>
      <c r="E117" s="135"/>
      <c r="F117" s="31"/>
    </row>
    <row r="118">
      <c r="A118" s="134" t="str">
        <f>IFERROR(__xludf.DUMMYFUNCTION("""COMPUTED_VALUE"""),"Akulivik")</f>
        <v>Akulivik</v>
      </c>
      <c r="B118" s="120" t="str">
        <f>IFERROR(__xludf.DUMMYFUNCTION("""COMPUTED_VALUE"""),"AKV")</f>
        <v>AKV</v>
      </c>
      <c r="C118" s="120" t="str">
        <f>IFERROR(__xludf.DUMMYFUNCTION("""COMPUTED_VALUE"""),"Akulivik")</f>
        <v>Akulivik</v>
      </c>
      <c r="D118" s="120" t="str">
        <f>IFERROR(__xludf.DUMMYFUNCTION("""COMPUTED_VALUE"""),"Canada")</f>
        <v>Canada</v>
      </c>
      <c r="E118" s="135"/>
      <c r="F118" s="31"/>
    </row>
    <row r="119">
      <c r="A119" s="134" t="str">
        <f>IFERROR(__xludf.DUMMYFUNCTION("""COMPUTED_VALUE"""),"Akunnaaq")</f>
        <v>Akunnaaq</v>
      </c>
      <c r="B119" s="120" t="str">
        <f>IFERROR(__xludf.DUMMYFUNCTION("""COMPUTED_VALUE"""),"QCU")</f>
        <v>QCU</v>
      </c>
      <c r="C119" s="120" t="str">
        <f>IFERROR(__xludf.DUMMYFUNCTION("""COMPUTED_VALUE"""),"Heliport")</f>
        <v>Heliport</v>
      </c>
      <c r="D119" s="120" t="str">
        <f>IFERROR(__xludf.DUMMYFUNCTION("""COMPUTED_VALUE"""),"Greenland")</f>
        <v>Greenland</v>
      </c>
      <c r="E119" s="135"/>
      <c r="F119" s="31"/>
    </row>
    <row r="120">
      <c r="A120" s="134" t="str">
        <f>IFERROR(__xludf.DUMMYFUNCTION("""COMPUTED_VALUE"""),"Akure")</f>
        <v>Akure</v>
      </c>
      <c r="B120" s="120" t="str">
        <f>IFERROR(__xludf.DUMMYFUNCTION("""COMPUTED_VALUE"""),"AKR")</f>
        <v>AKR</v>
      </c>
      <c r="C120" s="120" t="str">
        <f>IFERROR(__xludf.DUMMYFUNCTION("""COMPUTED_VALUE"""),"Akure")</f>
        <v>Akure</v>
      </c>
      <c r="D120" s="120" t="str">
        <f>IFERROR(__xludf.DUMMYFUNCTION("""COMPUTED_VALUE"""),"Nigeria")</f>
        <v>Nigeria</v>
      </c>
      <c r="E120" s="135"/>
      <c r="F120" s="31"/>
    </row>
    <row r="121">
      <c r="A121" s="134" t="str">
        <f>IFERROR(__xludf.DUMMYFUNCTION("""COMPUTED_VALUE"""),"Akureyri")</f>
        <v>Akureyri</v>
      </c>
      <c r="B121" s="120" t="str">
        <f>IFERROR(__xludf.DUMMYFUNCTION("""COMPUTED_VALUE"""),"AEY")</f>
        <v>AEY</v>
      </c>
      <c r="C121" s="120" t="str">
        <f>IFERROR(__xludf.DUMMYFUNCTION("""COMPUTED_VALUE"""),"Akureyri")</f>
        <v>Akureyri</v>
      </c>
      <c r="D121" s="120" t="str">
        <f>IFERROR(__xludf.DUMMYFUNCTION("""COMPUTED_VALUE"""),"Iceland")</f>
        <v>Iceland</v>
      </c>
      <c r="E121" s="135"/>
      <c r="F121" s="31"/>
    </row>
    <row r="122">
      <c r="A122" s="134" t="str">
        <f>IFERROR(__xludf.DUMMYFUNCTION("""COMPUTED_VALUE"""),"Akutan")</f>
        <v>Akutan</v>
      </c>
      <c r="B122" s="120" t="str">
        <f>IFERROR(__xludf.DUMMYFUNCTION("""COMPUTED_VALUE"""),"KQA")</f>
        <v>KQA</v>
      </c>
      <c r="C122" s="120" t="str">
        <f>IFERROR(__xludf.DUMMYFUNCTION("""COMPUTED_VALUE"""),"Akutan")</f>
        <v>Akutan</v>
      </c>
      <c r="D122" s="120" t="str">
        <f>IFERROR(__xludf.DUMMYFUNCTION("""COMPUTED_VALUE"""),"United States")</f>
        <v>United States</v>
      </c>
      <c r="E122" s="135"/>
      <c r="F122" s="31"/>
    </row>
    <row r="123">
      <c r="A123" s="134" t="str">
        <f>IFERROR(__xludf.DUMMYFUNCTION("""COMPUTED_VALUE"""),"Al")</f>
        <v>Al</v>
      </c>
      <c r="B123" s="120" t="str">
        <f>IFERROR(__xludf.DUMMYFUNCTION("""COMPUTED_VALUE"""),"XXR")</f>
        <v>XXR</v>
      </c>
      <c r="C123" s="120" t="str">
        <f>IFERROR(__xludf.DUMMYFUNCTION("""COMPUTED_VALUE"""),"Al Railway")</f>
        <v>Al Railway</v>
      </c>
      <c r="D123" s="120" t="str">
        <f>IFERROR(__xludf.DUMMYFUNCTION("""COMPUTED_VALUE"""),"Norway")</f>
        <v>Norway</v>
      </c>
      <c r="E123" s="135"/>
      <c r="F123" s="31"/>
    </row>
    <row r="124">
      <c r="A124" s="134" t="str">
        <f>IFERROR(__xludf.DUMMYFUNCTION("""COMPUTED_VALUE"""),"Al Ain")</f>
        <v>Al Ain</v>
      </c>
      <c r="B124" s="120" t="str">
        <f>IFERROR(__xludf.DUMMYFUNCTION("""COMPUTED_VALUE"""),"AAN")</f>
        <v>AAN</v>
      </c>
      <c r="C124" s="120" t="str">
        <f>IFERROR(__xludf.DUMMYFUNCTION("""COMPUTED_VALUE"""),"Al Ain")</f>
        <v>Al Ain</v>
      </c>
      <c r="D124" s="120" t="str">
        <f>IFERROR(__xludf.DUMMYFUNCTION("""COMPUTED_VALUE"""),"United Arab Emirates")</f>
        <v>United Arab Emirates</v>
      </c>
      <c r="E124" s="135"/>
      <c r="F124" s="31"/>
    </row>
    <row r="125">
      <c r="A125" s="134" t="str">
        <f>IFERROR(__xludf.DUMMYFUNCTION("""COMPUTED_VALUE"""),"Al Arish")</f>
        <v>Al Arish</v>
      </c>
      <c r="B125" s="120" t="str">
        <f>IFERROR(__xludf.DUMMYFUNCTION("""COMPUTED_VALUE"""),"AAC")</f>
        <v>AAC</v>
      </c>
      <c r="C125" s="120" t="str">
        <f>IFERROR(__xludf.DUMMYFUNCTION("""COMPUTED_VALUE"""),"Al Arish")</f>
        <v>Al Arish</v>
      </c>
      <c r="D125" s="120" t="str">
        <f>IFERROR(__xludf.DUMMYFUNCTION("""COMPUTED_VALUE"""),"Egypt")</f>
        <v>Egypt</v>
      </c>
      <c r="E125" s="135"/>
      <c r="F125" s="31"/>
    </row>
    <row r="126">
      <c r="A126" s="134" t="str">
        <f>IFERROR(__xludf.DUMMYFUNCTION("""COMPUTED_VALUE"""),"Al Ghaydah")</f>
        <v>Al Ghaydah</v>
      </c>
      <c r="B126" s="120" t="str">
        <f>IFERROR(__xludf.DUMMYFUNCTION("""COMPUTED_VALUE"""),"AAY")</f>
        <v>AAY</v>
      </c>
      <c r="C126" s="120" t="str">
        <f>IFERROR(__xludf.DUMMYFUNCTION("""COMPUTED_VALUE"""),"Al Ghaydah")</f>
        <v>Al Ghaydah</v>
      </c>
      <c r="D126" s="120" t="str">
        <f>IFERROR(__xludf.DUMMYFUNCTION("""COMPUTED_VALUE"""),"Yemen")</f>
        <v>Yemen</v>
      </c>
      <c r="E126" s="135"/>
      <c r="F126" s="31"/>
    </row>
    <row r="127">
      <c r="A127" s="134" t="str">
        <f>IFERROR(__xludf.DUMMYFUNCTION("""COMPUTED_VALUE"""),"Al Hoceima")</f>
        <v>Al Hoceima</v>
      </c>
      <c r="B127" s="120" t="str">
        <f>IFERROR(__xludf.DUMMYFUNCTION("""COMPUTED_VALUE"""),"AHU")</f>
        <v>AHU</v>
      </c>
      <c r="C127" s="120" t="str">
        <f>IFERROR(__xludf.DUMMYFUNCTION("""COMPUTED_VALUE"""),"Charif Al Idrissi")</f>
        <v>Charif Al Idrissi</v>
      </c>
      <c r="D127" s="120" t="str">
        <f>IFERROR(__xludf.DUMMYFUNCTION("""COMPUTED_VALUE"""),"Morocco")</f>
        <v>Morocco</v>
      </c>
      <c r="E127" s="135"/>
      <c r="F127" s="31"/>
    </row>
    <row r="128">
      <c r="A128" s="134" t="str">
        <f>IFERROR(__xludf.DUMMYFUNCTION("""COMPUTED_VALUE"""),"Al Kharj")</f>
        <v>Al Kharj</v>
      </c>
      <c r="B128" s="120" t="str">
        <f>IFERROR(__xludf.DUMMYFUNCTION("""COMPUTED_VALUE"""),"AKH")</f>
        <v>AKH</v>
      </c>
      <c r="C128" s="120" t="str">
        <f>IFERROR(__xludf.DUMMYFUNCTION("""COMPUTED_VALUE"""),"Prince Sultan Air Base")</f>
        <v>Prince Sultan Air Base</v>
      </c>
      <c r="D128" s="120" t="str">
        <f>IFERROR(__xludf.DUMMYFUNCTION("""COMPUTED_VALUE"""),"Saudi Arabia")</f>
        <v>Saudi Arabia</v>
      </c>
      <c r="E128" s="135"/>
      <c r="F128" s="31"/>
    </row>
    <row r="129">
      <c r="A129" s="134" t="str">
        <f>IFERROR(__xludf.DUMMYFUNCTION("""COMPUTED_VALUE"""),"Al Koude")</f>
        <v>Al Koude</v>
      </c>
      <c r="B129" s="120" t="str">
        <f>IFERROR(__xludf.DUMMYFUNCTION("""COMPUTED_VALUE"""),"WWG")</f>
        <v>WWG</v>
      </c>
      <c r="C129" s="120" t="str">
        <f>IFERROR(__xludf.DUMMYFUNCTION("""COMPUTED_VALUE"""),"Al Koude")</f>
        <v>Al Koude</v>
      </c>
      <c r="D129" s="120" t="str">
        <f>IFERROR(__xludf.DUMMYFUNCTION("""COMPUTED_VALUE"""),"Oman")</f>
        <v>Oman</v>
      </c>
      <c r="E129" s="135"/>
      <c r="F129" s="31"/>
    </row>
    <row r="130">
      <c r="A130" s="134" t="str">
        <f>IFERROR(__xludf.DUMMYFUNCTION("""COMPUTED_VALUE"""),"Al Thaurah")</f>
        <v>Al Thaurah</v>
      </c>
      <c r="B130" s="120" t="str">
        <f>IFERROR(__xludf.DUMMYFUNCTION("""COMPUTED_VALUE"""),"SOR")</f>
        <v>SOR</v>
      </c>
      <c r="C130" s="120" t="str">
        <f>IFERROR(__xludf.DUMMYFUNCTION("""COMPUTED_VALUE"""),"Al Thaurah")</f>
        <v>Al Thaurah</v>
      </c>
      <c r="D130" s="120" t="str">
        <f>IFERROR(__xludf.DUMMYFUNCTION("""COMPUTED_VALUE"""),"Syria")</f>
        <v>Syria</v>
      </c>
      <c r="E130" s="135"/>
      <c r="F130" s="31"/>
    </row>
    <row r="131">
      <c r="A131" s="134" t="str">
        <f>IFERROR(__xludf.DUMMYFUNCTION("""COMPUTED_VALUE"""),"Al Udeid")</f>
        <v>Al Udeid</v>
      </c>
      <c r="B131" s="120" t="str">
        <f>IFERROR(__xludf.DUMMYFUNCTION("""COMPUTED_VALUE"""),"XJD")</f>
        <v>XJD</v>
      </c>
      <c r="C131" s="120" t="str">
        <f>IFERROR(__xludf.DUMMYFUNCTION("""COMPUTED_VALUE"""),"Al Udeid")</f>
        <v>Al Udeid</v>
      </c>
      <c r="D131" s="120" t="str">
        <f>IFERROR(__xludf.DUMMYFUNCTION("""COMPUTED_VALUE"""),"Qatar")</f>
        <v>Qatar</v>
      </c>
      <c r="E131" s="135"/>
      <c r="F131" s="31"/>
    </row>
    <row r="132">
      <c r="A132" s="134" t="str">
        <f>IFERROR(__xludf.DUMMYFUNCTION("""COMPUTED_VALUE"""),"Alah")</f>
        <v>Alah</v>
      </c>
      <c r="B132" s="120" t="str">
        <f>IFERROR(__xludf.DUMMYFUNCTION("""COMPUTED_VALUE"""),"AAV")</f>
        <v>AAV</v>
      </c>
      <c r="C132" s="120" t="str">
        <f>IFERROR(__xludf.DUMMYFUNCTION("""COMPUTED_VALUE"""),"Alah")</f>
        <v>Alah</v>
      </c>
      <c r="D132" s="120" t="str">
        <f>IFERROR(__xludf.DUMMYFUNCTION("""COMPUTED_VALUE"""),"Philippines")</f>
        <v>Philippines</v>
      </c>
      <c r="E132" s="135"/>
      <c r="F132" s="31"/>
    </row>
    <row r="133">
      <c r="A133" s="134" t="str">
        <f>IFERROR(__xludf.DUMMYFUNCTION("""COMPUTED_VALUE"""),"Alahsa")</f>
        <v>Alahsa</v>
      </c>
      <c r="B133" s="120" t="str">
        <f>IFERROR(__xludf.DUMMYFUNCTION("""COMPUTED_VALUE"""),"HOF")</f>
        <v>HOF</v>
      </c>
      <c r="C133" s="120" t="str">
        <f>IFERROR(__xludf.DUMMYFUNCTION("""COMPUTED_VALUE"""),"Alahsa")</f>
        <v>Alahsa</v>
      </c>
      <c r="D133" s="120" t="str">
        <f>IFERROR(__xludf.DUMMYFUNCTION("""COMPUTED_VALUE"""),"Saudi Arabia")</f>
        <v>Saudi Arabia</v>
      </c>
      <c r="E133" s="135"/>
      <c r="F133" s="31"/>
    </row>
    <row r="134">
      <c r="A134" s="134" t="str">
        <f>IFERROR(__xludf.DUMMYFUNCTION("""COMPUTED_VALUE"""),"Alakanuk")</f>
        <v>Alakanuk</v>
      </c>
      <c r="B134" s="120" t="str">
        <f>IFERROR(__xludf.DUMMYFUNCTION("""COMPUTED_VALUE"""),"AUK")</f>
        <v>AUK</v>
      </c>
      <c r="C134" s="120" t="str">
        <f>IFERROR(__xludf.DUMMYFUNCTION("""COMPUTED_VALUE"""),"Alakanuk")</f>
        <v>Alakanuk</v>
      </c>
      <c r="D134" s="120" t="str">
        <f>IFERROR(__xludf.DUMMYFUNCTION("""COMPUTED_VALUE"""),"United States")</f>
        <v>United States</v>
      </c>
      <c r="E134" s="135"/>
      <c r="F134" s="31"/>
    </row>
    <row r="135">
      <c r="A135" s="134" t="str">
        <f>IFERROR(__xludf.DUMMYFUNCTION("""COMPUTED_VALUE"""),"Alameda")</f>
        <v>Alameda</v>
      </c>
      <c r="B135" s="120" t="str">
        <f>IFERROR(__xludf.DUMMYFUNCTION("""COMPUTED_VALUE"""),"NGZ")</f>
        <v>NGZ</v>
      </c>
      <c r="C135" s="120" t="str">
        <f>IFERROR(__xludf.DUMMYFUNCTION("""COMPUTED_VALUE"""),"NAS")</f>
        <v>NAS</v>
      </c>
      <c r="D135" s="120" t="str">
        <f>IFERROR(__xludf.DUMMYFUNCTION("""COMPUTED_VALUE"""),"United States")</f>
        <v>United States</v>
      </c>
      <c r="E135" s="135"/>
      <c r="F135" s="31"/>
    </row>
    <row r="136">
      <c r="A136" s="134" t="str">
        <f>IFERROR(__xludf.DUMMYFUNCTION("""COMPUTED_VALUE"""),"Alamogordo")</f>
        <v>Alamogordo</v>
      </c>
      <c r="B136" s="120" t="str">
        <f>IFERROR(__xludf.DUMMYFUNCTION("""COMPUTED_VALUE"""),"HMN")</f>
        <v>HMN</v>
      </c>
      <c r="C136" s="120" t="str">
        <f>IFERROR(__xludf.DUMMYFUNCTION("""COMPUTED_VALUE"""),"Holloman AFB")</f>
        <v>Holloman AFB</v>
      </c>
      <c r="D136" s="120" t="str">
        <f>IFERROR(__xludf.DUMMYFUNCTION("""COMPUTED_VALUE"""),"United States")</f>
        <v>United States</v>
      </c>
      <c r="E136" s="135"/>
      <c r="F136" s="31"/>
    </row>
    <row r="137">
      <c r="A137" s="134" t="str">
        <f>IFERROR(__xludf.DUMMYFUNCTION("""COMPUTED_VALUE"""),"Alamogordo")</f>
        <v>Alamogordo</v>
      </c>
      <c r="B137" s="120" t="str">
        <f>IFERROR(__xludf.DUMMYFUNCTION("""COMPUTED_VALUE"""),"ALM")</f>
        <v>ALM</v>
      </c>
      <c r="C137" s="120" t="str">
        <f>IFERROR(__xludf.DUMMYFUNCTION("""COMPUTED_VALUE"""),"Municipal")</f>
        <v>Municipal</v>
      </c>
      <c r="D137" s="120" t="str">
        <f>IFERROR(__xludf.DUMMYFUNCTION("""COMPUTED_VALUE"""),"United States")</f>
        <v>United States</v>
      </c>
      <c r="E137" s="135"/>
      <c r="F137" s="31"/>
    </row>
    <row r="138">
      <c r="A138" s="134" t="str">
        <f>IFERROR(__xludf.DUMMYFUNCTION("""COMPUTED_VALUE"""),"Alamos")</f>
        <v>Alamos</v>
      </c>
      <c r="B138" s="120" t="str">
        <f>IFERROR(__xludf.DUMMYFUNCTION("""COMPUTED_VALUE"""),"XAL")</f>
        <v>XAL</v>
      </c>
      <c r="C138" s="120" t="str">
        <f>IFERROR(__xludf.DUMMYFUNCTION("""COMPUTED_VALUE"""),"Alamos")</f>
        <v>Alamos</v>
      </c>
      <c r="D138" s="120" t="str">
        <f>IFERROR(__xludf.DUMMYFUNCTION("""COMPUTED_VALUE"""),"Mexico")</f>
        <v>Mexico</v>
      </c>
      <c r="E138" s="135"/>
      <c r="F138" s="31"/>
    </row>
    <row r="139">
      <c r="A139" s="134" t="str">
        <f>IFERROR(__xludf.DUMMYFUNCTION("""COMPUTED_VALUE"""),"Alamosa")</f>
        <v>Alamosa</v>
      </c>
      <c r="B139" s="120" t="str">
        <f>IFERROR(__xludf.DUMMYFUNCTION("""COMPUTED_VALUE"""),"ALS")</f>
        <v>ALS</v>
      </c>
      <c r="C139" s="120" t="str">
        <f>IFERROR(__xludf.DUMMYFUNCTION("""COMPUTED_VALUE"""),"Municipal")</f>
        <v>Municipal</v>
      </c>
      <c r="D139" s="120" t="str">
        <f>IFERROR(__xludf.DUMMYFUNCTION("""COMPUTED_VALUE"""),"United States")</f>
        <v>United States</v>
      </c>
      <c r="E139" s="135"/>
      <c r="F139" s="31"/>
    </row>
    <row r="140">
      <c r="A140" s="134" t="str">
        <f>IFERROR(__xludf.DUMMYFUNCTION("""COMPUTED_VALUE"""),"Albacete")</f>
        <v>Albacete</v>
      </c>
      <c r="B140" s="120" t="str">
        <f>IFERROR(__xludf.DUMMYFUNCTION("""COMPUTED_VALUE"""),"ABC")</f>
        <v>ABC</v>
      </c>
      <c r="C140" s="120" t="str">
        <f>IFERROR(__xludf.DUMMYFUNCTION("""COMPUTED_VALUE"""),"Los Llanos")</f>
        <v>Los Llanos</v>
      </c>
      <c r="D140" s="120" t="str">
        <f>IFERROR(__xludf.DUMMYFUNCTION("""COMPUTED_VALUE"""),"Spain")</f>
        <v>Spain</v>
      </c>
      <c r="E140" s="135"/>
      <c r="F140" s="31"/>
    </row>
    <row r="141">
      <c r="A141" s="134" t="str">
        <f>IFERROR(__xludf.DUMMYFUNCTION("""COMPUTED_VALUE"""),"Al-Baha")</f>
        <v>Al-Baha</v>
      </c>
      <c r="B141" s="120" t="str">
        <f>IFERROR(__xludf.DUMMYFUNCTION("""COMPUTED_VALUE"""),"ABT")</f>
        <v>ABT</v>
      </c>
      <c r="C141" s="137" t="str">
        <f>IFERROR(__xludf.DUMMYFUNCTION("""COMPUTED_VALUE"""),"Al-Aqiq")</f>
        <v>Al-Aqiq</v>
      </c>
      <c r="D141" s="120" t="str">
        <f>IFERROR(__xludf.DUMMYFUNCTION("""COMPUTED_VALUE"""),"Saudi Arabia")</f>
        <v>Saudi Arabia</v>
      </c>
      <c r="E141" s="135"/>
      <c r="F141" s="31"/>
    </row>
    <row r="142">
      <c r="A142" s="134" t="str">
        <f>IFERROR(__xludf.DUMMYFUNCTION("""COMPUTED_VALUE"""),"Albany")</f>
        <v>Albany</v>
      </c>
      <c r="B142" s="120" t="str">
        <f>IFERROR(__xludf.DUMMYFUNCTION("""COMPUTED_VALUE"""),"NAB")</f>
        <v>NAB</v>
      </c>
      <c r="C142" s="120" t="str">
        <f>IFERROR(__xludf.DUMMYFUNCTION("""COMPUTED_VALUE"""),"Albany NAS")</f>
        <v>Albany NAS</v>
      </c>
      <c r="D142" s="120" t="str">
        <f>IFERROR(__xludf.DUMMYFUNCTION("""COMPUTED_VALUE"""),"United States")</f>
        <v>United States</v>
      </c>
      <c r="E142" s="135"/>
      <c r="F142" s="31"/>
    </row>
    <row r="143">
      <c r="A143" s="134" t="str">
        <f>IFERROR(__xludf.DUMMYFUNCTION("""COMPUTED_VALUE"""),"Albany")</f>
        <v>Albany</v>
      </c>
      <c r="B143" s="120" t="str">
        <f>IFERROR(__xludf.DUMMYFUNCTION("""COMPUTED_VALUE"""),"ABY")</f>
        <v>ABY</v>
      </c>
      <c r="C143" s="120" t="str">
        <f>IFERROR(__xludf.DUMMYFUNCTION("""COMPUTED_VALUE"""),"Dougherty County")</f>
        <v>Dougherty County</v>
      </c>
      <c r="D143" s="120" t="str">
        <f>IFERROR(__xludf.DUMMYFUNCTION("""COMPUTED_VALUE"""),"United States")</f>
        <v>United States</v>
      </c>
      <c r="E143" s="135"/>
      <c r="F143" s="31"/>
    </row>
    <row r="144">
      <c r="A144" s="134" t="str">
        <f>IFERROR(__xludf.DUMMYFUNCTION("""COMPUTED_VALUE"""),"Albany")</f>
        <v>Albany</v>
      </c>
      <c r="B144" s="120" t="str">
        <f>IFERROR(__xludf.DUMMYFUNCTION("""COMPUTED_VALUE"""),"ALB")</f>
        <v>ALB</v>
      </c>
      <c r="C144" s="120" t="str">
        <f>IFERROR(__xludf.DUMMYFUNCTION("""COMPUTED_VALUE"""),"Albany International")</f>
        <v>Albany International</v>
      </c>
      <c r="D144" s="120" t="str">
        <f>IFERROR(__xludf.DUMMYFUNCTION("""COMPUTED_VALUE"""),"United States")</f>
        <v>United States</v>
      </c>
      <c r="E144" s="135"/>
      <c r="F144" s="31"/>
    </row>
    <row r="145">
      <c r="A145" s="134" t="str">
        <f>IFERROR(__xludf.DUMMYFUNCTION("""COMPUTED_VALUE"""),"Albany")</f>
        <v>Albany</v>
      </c>
      <c r="B145" s="120" t="str">
        <f>IFERROR(__xludf.DUMMYFUNCTION("""COMPUTED_VALUE"""),"ZLY")</f>
        <v>ZLY</v>
      </c>
      <c r="C145" s="120" t="str">
        <f>IFERROR(__xludf.DUMMYFUNCTION("""COMPUTED_VALUE"""),"Albany NY Rail")</f>
        <v>Albany NY Rail</v>
      </c>
      <c r="D145" s="120" t="str">
        <f>IFERROR(__xludf.DUMMYFUNCTION("""COMPUTED_VALUE"""),"United States")</f>
        <v>United States</v>
      </c>
      <c r="E145" s="135"/>
      <c r="F145" s="31"/>
    </row>
    <row r="146">
      <c r="A146" s="134" t="str">
        <f>IFERROR(__xludf.DUMMYFUNCTION("""COMPUTED_VALUE"""),"Albany")</f>
        <v>Albany</v>
      </c>
      <c r="B146" s="120" t="str">
        <f>IFERROR(__xludf.DUMMYFUNCTION("""COMPUTED_VALUE"""),"CVO")</f>
        <v>CVO</v>
      </c>
      <c r="C146" s="120" t="str">
        <f>IFERROR(__xludf.DUMMYFUNCTION("""COMPUTED_VALUE"""),"Albany")</f>
        <v>Albany</v>
      </c>
      <c r="D146" s="120" t="str">
        <f>IFERROR(__xludf.DUMMYFUNCTION("""COMPUTED_VALUE"""),"United States")</f>
        <v>United States</v>
      </c>
      <c r="E146" s="135"/>
      <c r="F146" s="31"/>
    </row>
    <row r="147">
      <c r="A147" s="134" t="str">
        <f>IFERROR(__xludf.DUMMYFUNCTION("""COMPUTED_VALUE"""),"Albany")</f>
        <v>Albany</v>
      </c>
      <c r="B147" s="120" t="str">
        <f>IFERROR(__xludf.DUMMYFUNCTION("""COMPUTED_VALUE"""),"ALH")</f>
        <v>ALH</v>
      </c>
      <c r="C147" s="120" t="str">
        <f>IFERROR(__xludf.DUMMYFUNCTION("""COMPUTED_VALUE"""),"Albany")</f>
        <v>Albany</v>
      </c>
      <c r="D147" s="120" t="str">
        <f>IFERROR(__xludf.DUMMYFUNCTION("""COMPUTED_VALUE"""),"Australia")</f>
        <v>Australia</v>
      </c>
      <c r="E147" s="135"/>
      <c r="F147" s="31"/>
    </row>
    <row r="148">
      <c r="A148" s="134" t="str">
        <f>IFERROR(__xludf.DUMMYFUNCTION("""COMPUTED_VALUE"""),"Albenga")</f>
        <v>Albenga</v>
      </c>
      <c r="B148" s="120" t="str">
        <f>IFERROR(__xludf.DUMMYFUNCTION("""COMPUTED_VALUE"""),"ALL")</f>
        <v>ALL</v>
      </c>
      <c r="C148" s="120" t="str">
        <f>IFERROR(__xludf.DUMMYFUNCTION("""COMPUTED_VALUE"""),"Albenga")</f>
        <v>Albenga</v>
      </c>
      <c r="D148" s="120" t="str">
        <f>IFERROR(__xludf.DUMMYFUNCTION("""COMPUTED_VALUE"""),"Italy")</f>
        <v>Italy</v>
      </c>
      <c r="E148" s="135"/>
      <c r="F148" s="31"/>
    </row>
    <row r="149">
      <c r="A149" s="134" t="str">
        <f>IFERROR(__xludf.DUMMYFUNCTION("""COMPUTED_VALUE"""),"Albert Lea")</f>
        <v>Albert Lea</v>
      </c>
      <c r="B149" s="120" t="str">
        <f>IFERROR(__xludf.DUMMYFUNCTION("""COMPUTED_VALUE"""),"AEL")</f>
        <v>AEL</v>
      </c>
      <c r="C149" s="120" t="str">
        <f>IFERROR(__xludf.DUMMYFUNCTION("""COMPUTED_VALUE"""),"Albert Lea")</f>
        <v>Albert Lea</v>
      </c>
      <c r="D149" s="120" t="str">
        <f>IFERROR(__xludf.DUMMYFUNCTION("""COMPUTED_VALUE"""),"United States")</f>
        <v>United States</v>
      </c>
      <c r="E149" s="135"/>
      <c r="F149" s="31"/>
    </row>
    <row r="150">
      <c r="A150" s="134" t="str">
        <f>IFERROR(__xludf.DUMMYFUNCTION("""COMPUTED_VALUE"""),"Albi")</f>
        <v>Albi</v>
      </c>
      <c r="B150" s="120" t="str">
        <f>IFERROR(__xludf.DUMMYFUNCTION("""COMPUTED_VALUE"""),"LBI")</f>
        <v>LBI</v>
      </c>
      <c r="C150" s="120" t="str">
        <f>IFERROR(__xludf.DUMMYFUNCTION("""COMPUTED_VALUE"""),"Le Sequestre")</f>
        <v>Le Sequestre</v>
      </c>
      <c r="D150" s="120" t="str">
        <f>IFERROR(__xludf.DUMMYFUNCTION("""COMPUTED_VALUE"""),"France")</f>
        <v>France</v>
      </c>
      <c r="E150" s="135"/>
      <c r="F150" s="31"/>
    </row>
    <row r="151">
      <c r="A151" s="134" t="str">
        <f>IFERROR(__xludf.DUMMYFUNCTION("""COMPUTED_VALUE"""),"Albina")</f>
        <v>Albina</v>
      </c>
      <c r="B151" s="120" t="str">
        <f>IFERROR(__xludf.DUMMYFUNCTION("""COMPUTED_VALUE"""),"ABN")</f>
        <v>ABN</v>
      </c>
      <c r="C151" s="120" t="str">
        <f>IFERROR(__xludf.DUMMYFUNCTION("""COMPUTED_VALUE"""),"Albina")</f>
        <v>Albina</v>
      </c>
      <c r="D151" s="120" t="str">
        <f>IFERROR(__xludf.DUMMYFUNCTION("""COMPUTED_VALUE"""),"Suriname")</f>
        <v>Suriname</v>
      </c>
      <c r="E151" s="135"/>
      <c r="F151" s="31"/>
    </row>
    <row r="152">
      <c r="A152" s="134" t="str">
        <f>IFERROR(__xludf.DUMMYFUNCTION("""COMPUTED_VALUE"""),"Albuq")</f>
        <v>Albuq</v>
      </c>
      <c r="B152" s="120" t="str">
        <f>IFERROR(__xludf.DUMMYFUNCTION("""COMPUTED_VALUE"""),"BUK")</f>
        <v>BUK</v>
      </c>
      <c r="C152" s="120" t="str">
        <f>IFERROR(__xludf.DUMMYFUNCTION("""COMPUTED_VALUE"""),"Albuq")</f>
        <v>Albuq</v>
      </c>
      <c r="D152" s="120" t="str">
        <f>IFERROR(__xludf.DUMMYFUNCTION("""COMPUTED_VALUE"""),"Yemen")</f>
        <v>Yemen</v>
      </c>
      <c r="E152" s="135"/>
      <c r="F152" s="31"/>
    </row>
    <row r="153">
      <c r="A153" s="134" t="str">
        <f>IFERROR(__xludf.DUMMYFUNCTION("""COMPUTED_VALUE"""),"Albuquerque")</f>
        <v>Albuquerque</v>
      </c>
      <c r="B153" s="120" t="str">
        <f>IFERROR(__xludf.DUMMYFUNCTION("""COMPUTED_VALUE"""),"ABQ")</f>
        <v>ABQ</v>
      </c>
      <c r="C153" s="120" t="str">
        <f>IFERROR(__xludf.DUMMYFUNCTION("""COMPUTED_VALUE"""),"Albuquerque International")</f>
        <v>Albuquerque International</v>
      </c>
      <c r="D153" s="120" t="str">
        <f>IFERROR(__xludf.DUMMYFUNCTION("""COMPUTED_VALUE"""),"United States")</f>
        <v>United States</v>
      </c>
      <c r="E153" s="135"/>
      <c r="F153" s="31"/>
    </row>
    <row r="154">
      <c r="A154" s="134" t="str">
        <f>IFERROR(__xludf.DUMMYFUNCTION("""COMPUTED_VALUE"""),"Albury")</f>
        <v>Albury</v>
      </c>
      <c r="B154" s="120" t="str">
        <f>IFERROR(__xludf.DUMMYFUNCTION("""COMPUTED_VALUE"""),"ABX")</f>
        <v>ABX</v>
      </c>
      <c r="C154" s="120" t="str">
        <f>IFERROR(__xludf.DUMMYFUNCTION("""COMPUTED_VALUE"""),"Albury")</f>
        <v>Albury</v>
      </c>
      <c r="D154" s="120" t="str">
        <f>IFERROR(__xludf.DUMMYFUNCTION("""COMPUTED_VALUE"""),"Australia")</f>
        <v>Australia</v>
      </c>
      <c r="E154" s="135"/>
      <c r="F154" s="31"/>
    </row>
    <row r="155">
      <c r="A155" s="134" t="str">
        <f>IFERROR(__xludf.DUMMYFUNCTION("""COMPUTED_VALUE"""),"Alconbury")</f>
        <v>Alconbury</v>
      </c>
      <c r="B155" s="120" t="str">
        <f>IFERROR(__xludf.DUMMYFUNCTION("""COMPUTED_VALUE"""),"AYH")</f>
        <v>AYH</v>
      </c>
      <c r="C155" s="120" t="str">
        <f>IFERROR(__xludf.DUMMYFUNCTION("""COMPUTED_VALUE"""),"RAF Station")</f>
        <v>RAF Station</v>
      </c>
      <c r="D155" s="120" t="str">
        <f>IFERROR(__xludf.DUMMYFUNCTION("""COMPUTED_VALUE"""),"United Kingdom")</f>
        <v>United Kingdom</v>
      </c>
      <c r="E155" s="135"/>
      <c r="F155" s="31"/>
    </row>
    <row r="156">
      <c r="A156" s="134" t="str">
        <f>IFERROR(__xludf.DUMMYFUNCTION("""COMPUTED_VALUE"""),"Aldan")</f>
        <v>Aldan</v>
      </c>
      <c r="B156" s="120" t="str">
        <f>IFERROR(__xludf.DUMMYFUNCTION("""COMPUTED_VALUE"""),"ADH")</f>
        <v>ADH</v>
      </c>
      <c r="C156" s="120" t="str">
        <f>IFERROR(__xludf.DUMMYFUNCTION("""COMPUTED_VALUE"""),"Aldan")</f>
        <v>Aldan</v>
      </c>
      <c r="D156" s="120" t="str">
        <f>IFERROR(__xludf.DUMMYFUNCTION("""COMPUTED_VALUE"""),"Russia")</f>
        <v>Russia</v>
      </c>
      <c r="E156" s="135"/>
      <c r="F156" s="31"/>
    </row>
    <row r="157">
      <c r="A157" s="134" t="str">
        <f>IFERROR(__xludf.DUMMYFUNCTION("""COMPUTED_VALUE"""),"Alderney")</f>
        <v>Alderney</v>
      </c>
      <c r="B157" s="120" t="str">
        <f>IFERROR(__xludf.DUMMYFUNCTION("""COMPUTED_VALUE"""),"ACI")</f>
        <v>ACI</v>
      </c>
      <c r="C157" s="120" t="str">
        <f>IFERROR(__xludf.DUMMYFUNCTION("""COMPUTED_VALUE"""),"The Blaye")</f>
        <v>The Blaye</v>
      </c>
      <c r="D157" s="120" t="str">
        <f>IFERROR(__xludf.DUMMYFUNCTION("""COMPUTED_VALUE"""),"United Kingdom")</f>
        <v>United Kingdom</v>
      </c>
      <c r="E157" s="135"/>
      <c r="F157" s="31"/>
    </row>
    <row r="158">
      <c r="A158" s="134" t="str">
        <f>IFERROR(__xludf.DUMMYFUNCTION("""COMPUTED_VALUE"""),"Aleg")</f>
        <v>Aleg</v>
      </c>
      <c r="B158" s="120" t="str">
        <f>IFERROR(__xludf.DUMMYFUNCTION("""COMPUTED_VALUE"""),"LEG")</f>
        <v>LEG</v>
      </c>
      <c r="C158" s="120" t="str">
        <f>IFERROR(__xludf.DUMMYFUNCTION("""COMPUTED_VALUE"""),"Aleg")</f>
        <v>Aleg</v>
      </c>
      <c r="D158" s="120" t="str">
        <f>IFERROR(__xludf.DUMMYFUNCTION("""COMPUTED_VALUE"""),"Mauritania")</f>
        <v>Mauritania</v>
      </c>
      <c r="E158" s="135"/>
      <c r="F158" s="31"/>
    </row>
    <row r="159">
      <c r="A159" s="134" t="str">
        <f>IFERROR(__xludf.DUMMYFUNCTION("""COMPUTED_VALUE"""),"Alegrete")</f>
        <v>Alegrete</v>
      </c>
      <c r="B159" s="120" t="str">
        <f>IFERROR(__xludf.DUMMYFUNCTION("""COMPUTED_VALUE"""),"ALQ")</f>
        <v>ALQ</v>
      </c>
      <c r="C159" s="137" t="str">
        <f>IFERROR(__xludf.DUMMYFUNCTION("""COMPUTED_VALUE"""),"Federal")</f>
        <v>Federal</v>
      </c>
      <c r="D159" s="120" t="str">
        <f>IFERROR(__xludf.DUMMYFUNCTION("""COMPUTED_VALUE"""),"Brazil")</f>
        <v>Brazil</v>
      </c>
      <c r="E159" s="135"/>
      <c r="F159" s="31"/>
    </row>
    <row r="160">
      <c r="A160" s="134" t="str">
        <f>IFERROR(__xludf.DUMMYFUNCTION("""COMPUTED_VALUE"""),"Aleknagik")</f>
        <v>Aleknagik</v>
      </c>
      <c r="B160" s="120" t="str">
        <f>IFERROR(__xludf.DUMMYFUNCTION("""COMPUTED_VALUE"""),"WKK")</f>
        <v>WKK</v>
      </c>
      <c r="C160" s="120" t="str">
        <f>IFERROR(__xludf.DUMMYFUNCTION("""COMPUTED_VALUE"""),"Aleknagik")</f>
        <v>Aleknagik</v>
      </c>
      <c r="D160" s="120" t="str">
        <f>IFERROR(__xludf.DUMMYFUNCTION("""COMPUTED_VALUE"""),"United States")</f>
        <v>United States</v>
      </c>
      <c r="E160" s="135"/>
      <c r="F160" s="31"/>
    </row>
    <row r="161">
      <c r="A161" s="134" t="str">
        <f>IFERROR(__xludf.DUMMYFUNCTION("""COMPUTED_VALUE"""),"Aleneva")</f>
        <v>Aleneva</v>
      </c>
      <c r="B161" s="120" t="str">
        <f>IFERROR(__xludf.DUMMYFUNCTION("""COMPUTED_VALUE"""),"AED")</f>
        <v>AED</v>
      </c>
      <c r="C161" s="120" t="str">
        <f>IFERROR(__xludf.DUMMYFUNCTION("""COMPUTED_VALUE"""),"Aleneva")</f>
        <v>Aleneva</v>
      </c>
      <c r="D161" s="120" t="str">
        <f>IFERROR(__xludf.DUMMYFUNCTION("""COMPUTED_VALUE"""),"United States")</f>
        <v>United States</v>
      </c>
      <c r="E161" s="135"/>
      <c r="F161" s="31"/>
    </row>
    <row r="162">
      <c r="A162" s="134" t="str">
        <f>IFERROR(__xludf.DUMMYFUNCTION("""COMPUTED_VALUE"""),"Alenquer")</f>
        <v>Alenquer</v>
      </c>
      <c r="B162" s="120" t="str">
        <f>IFERROR(__xludf.DUMMYFUNCTION("""COMPUTED_VALUE"""),"ALT")</f>
        <v>ALT</v>
      </c>
      <c r="C162" s="120" t="str">
        <f>IFERROR(__xludf.DUMMYFUNCTION("""COMPUTED_VALUE"""),"Alenquer")</f>
        <v>Alenquer</v>
      </c>
      <c r="D162" s="120" t="str">
        <f>IFERROR(__xludf.DUMMYFUNCTION("""COMPUTED_VALUE"""),"Brazil")</f>
        <v>Brazil</v>
      </c>
      <c r="E162" s="135"/>
      <c r="F162" s="31"/>
    </row>
    <row r="163">
      <c r="A163" s="134" t="str">
        <f>IFERROR(__xludf.DUMMYFUNCTION("""COMPUTED_VALUE"""),"Aleppo")</f>
        <v>Aleppo</v>
      </c>
      <c r="B163" s="120" t="str">
        <f>IFERROR(__xludf.DUMMYFUNCTION("""COMPUTED_VALUE"""),"ALP")</f>
        <v>ALP</v>
      </c>
      <c r="C163" s="120" t="str">
        <f>IFERROR(__xludf.DUMMYFUNCTION("""COMPUTED_VALUE"""),"Nejrab")</f>
        <v>Nejrab</v>
      </c>
      <c r="D163" s="120" t="str">
        <f>IFERROR(__xludf.DUMMYFUNCTION("""COMPUTED_VALUE"""),"Syria")</f>
        <v>Syria</v>
      </c>
      <c r="E163" s="135"/>
      <c r="F163" s="31"/>
    </row>
    <row r="164">
      <c r="A164" s="134" t="str">
        <f>IFERROR(__xludf.DUMMYFUNCTION("""COMPUTED_VALUE"""),"Alert")</f>
        <v>Alert</v>
      </c>
      <c r="B164" s="120" t="str">
        <f>IFERROR(__xludf.DUMMYFUNCTION("""COMPUTED_VALUE"""),"YLT")</f>
        <v>YLT</v>
      </c>
      <c r="C164" s="120" t="str">
        <f>IFERROR(__xludf.DUMMYFUNCTION("""COMPUTED_VALUE"""),"Alert")</f>
        <v>Alert</v>
      </c>
      <c r="D164" s="120" t="str">
        <f>IFERROR(__xludf.DUMMYFUNCTION("""COMPUTED_VALUE"""),"Canada")</f>
        <v>Canada</v>
      </c>
      <c r="E164" s="135"/>
      <c r="F164" s="31"/>
    </row>
    <row r="165">
      <c r="A165" s="134" t="str">
        <f>IFERROR(__xludf.DUMMYFUNCTION("""COMPUTED_VALUE"""),"Alert Bay")</f>
        <v>Alert Bay</v>
      </c>
      <c r="B165" s="120" t="str">
        <f>IFERROR(__xludf.DUMMYFUNCTION("""COMPUTED_VALUE"""),"YAL")</f>
        <v>YAL</v>
      </c>
      <c r="C165" s="120" t="str">
        <f>IFERROR(__xludf.DUMMYFUNCTION("""COMPUTED_VALUE"""),"Alert Bay")</f>
        <v>Alert Bay</v>
      </c>
      <c r="D165" s="120" t="str">
        <f>IFERROR(__xludf.DUMMYFUNCTION("""COMPUTED_VALUE"""),"Canada")</f>
        <v>Canada</v>
      </c>
      <c r="E165" s="135"/>
      <c r="F165" s="31"/>
    </row>
    <row r="166">
      <c r="A166" s="134" t="str">
        <f>IFERROR(__xludf.DUMMYFUNCTION("""COMPUTED_VALUE"""),"Alerta")</f>
        <v>Alerta</v>
      </c>
      <c r="B166" s="120" t="str">
        <f>IFERROR(__xludf.DUMMYFUNCTION("""COMPUTED_VALUE"""),"ALD")</f>
        <v>ALD</v>
      </c>
      <c r="C166" s="120" t="str">
        <f>IFERROR(__xludf.DUMMYFUNCTION("""COMPUTED_VALUE"""),"Alerta")</f>
        <v>Alerta</v>
      </c>
      <c r="D166" s="120" t="str">
        <f>IFERROR(__xludf.DUMMYFUNCTION("""COMPUTED_VALUE"""),"Peru")</f>
        <v>Peru</v>
      </c>
      <c r="E166" s="135"/>
      <c r="F166" s="31"/>
    </row>
    <row r="167">
      <c r="A167" s="134" t="str">
        <f>IFERROR(__xludf.DUMMYFUNCTION("""COMPUTED_VALUE"""),"Alexander Bay")</f>
        <v>Alexander Bay</v>
      </c>
      <c r="B167" s="120" t="str">
        <f>IFERROR(__xludf.DUMMYFUNCTION("""COMPUTED_VALUE"""),"ALJ")</f>
        <v>ALJ</v>
      </c>
      <c r="C167" s="120" t="str">
        <f>IFERROR(__xludf.DUMMYFUNCTION("""COMPUTED_VALUE"""),"Kortdoorn")</f>
        <v>Kortdoorn</v>
      </c>
      <c r="D167" s="120" t="str">
        <f>IFERROR(__xludf.DUMMYFUNCTION("""COMPUTED_VALUE"""),"South Africa")</f>
        <v>South Africa</v>
      </c>
      <c r="E167" s="135"/>
      <c r="F167" s="31"/>
    </row>
    <row r="168">
      <c r="A168" s="134" t="str">
        <f>IFERROR(__xludf.DUMMYFUNCTION("""COMPUTED_VALUE"""),"Alexander City")</f>
        <v>Alexander City</v>
      </c>
      <c r="B168" s="120" t="str">
        <f>IFERROR(__xludf.DUMMYFUNCTION("""COMPUTED_VALUE"""),"ALX")</f>
        <v>ALX</v>
      </c>
      <c r="C168" s="120" t="str">
        <f>IFERROR(__xludf.DUMMYFUNCTION("""COMPUTED_VALUE"""),"Thomas C Russell Fld")</f>
        <v>Thomas C Russell Fld</v>
      </c>
      <c r="D168" s="120" t="str">
        <f>IFERROR(__xludf.DUMMYFUNCTION("""COMPUTED_VALUE"""),"United States")</f>
        <v>United States</v>
      </c>
      <c r="E168" s="135"/>
      <c r="F168" s="31"/>
    </row>
    <row r="169">
      <c r="A169" s="134" t="str">
        <f>IFERROR(__xludf.DUMMYFUNCTION("""COMPUTED_VALUE"""),"Alexandra")</f>
        <v>Alexandra</v>
      </c>
      <c r="B169" s="120" t="str">
        <f>IFERROR(__xludf.DUMMYFUNCTION("""COMPUTED_VALUE"""),"ALR")</f>
        <v>ALR</v>
      </c>
      <c r="C169" s="120" t="str">
        <f>IFERROR(__xludf.DUMMYFUNCTION("""COMPUTED_VALUE"""),"Alexandra")</f>
        <v>Alexandra</v>
      </c>
      <c r="D169" s="120" t="str">
        <f>IFERROR(__xludf.DUMMYFUNCTION("""COMPUTED_VALUE"""),"New Zealand (Aotearoa)")</f>
        <v>New Zealand (Aotearoa)</v>
      </c>
      <c r="E169" s="135"/>
      <c r="F169" s="31"/>
    </row>
    <row r="170">
      <c r="A170" s="134" t="str">
        <f>IFERROR(__xludf.DUMMYFUNCTION("""COMPUTED_VALUE"""),"Alexandria")</f>
        <v>Alexandria</v>
      </c>
      <c r="B170" s="120" t="str">
        <f>IFERROR(__xludf.DUMMYFUNCTION("""COMPUTED_VALUE"""),"HBE")</f>
        <v>HBE</v>
      </c>
      <c r="C170" s="120" t="str">
        <f>IFERROR(__xludf.DUMMYFUNCTION("""COMPUTED_VALUE"""),"Borg El Arab")</f>
        <v>Borg El Arab</v>
      </c>
      <c r="D170" s="120" t="str">
        <f>IFERROR(__xludf.DUMMYFUNCTION("""COMPUTED_VALUE"""),"Egypt")</f>
        <v>Egypt</v>
      </c>
      <c r="E170" s="135"/>
      <c r="F170" s="31"/>
    </row>
    <row r="171">
      <c r="A171" s="134" t="str">
        <f>IFERROR(__xludf.DUMMYFUNCTION("""COMPUTED_VALUE"""),"Alexandria")</f>
        <v>Alexandria</v>
      </c>
      <c r="B171" s="120" t="str">
        <f>IFERROR(__xludf.DUMMYFUNCTION("""COMPUTED_VALUE"""),"ALY")</f>
        <v>ALY</v>
      </c>
      <c r="C171" s="120" t="str">
        <f>IFERROR(__xludf.DUMMYFUNCTION("""COMPUTED_VALUE"""),"El Nohza")</f>
        <v>El Nohza</v>
      </c>
      <c r="D171" s="120" t="str">
        <f>IFERROR(__xludf.DUMMYFUNCTION("""COMPUTED_VALUE"""),"Egypt")</f>
        <v>Egypt</v>
      </c>
      <c r="E171" s="135"/>
      <c r="F171" s="31"/>
    </row>
    <row r="172">
      <c r="A172" s="134" t="str">
        <f>IFERROR(__xludf.DUMMYFUNCTION("""COMPUTED_VALUE"""),"Alexandria")</f>
        <v>Alexandria</v>
      </c>
      <c r="B172" s="120" t="str">
        <f>IFERROR(__xludf.DUMMYFUNCTION("""COMPUTED_VALUE"""),"AEX")</f>
        <v>AEX</v>
      </c>
      <c r="C172" s="120" t="str">
        <f>IFERROR(__xludf.DUMMYFUNCTION("""COMPUTED_VALUE"""),"Alexandria Internation")</f>
        <v>Alexandria Internation</v>
      </c>
      <c r="D172" s="120" t="str">
        <f>IFERROR(__xludf.DUMMYFUNCTION("""COMPUTED_VALUE"""),"United States")</f>
        <v>United States</v>
      </c>
      <c r="E172" s="135"/>
      <c r="F172" s="31"/>
    </row>
    <row r="173">
      <c r="A173" s="134" t="str">
        <f>IFERROR(__xludf.DUMMYFUNCTION("""COMPUTED_VALUE"""),"Alexandria")</f>
        <v>Alexandria</v>
      </c>
      <c r="B173" s="120" t="str">
        <f>IFERROR(__xludf.DUMMYFUNCTION("""COMPUTED_VALUE"""),"ESF")</f>
        <v>ESF</v>
      </c>
      <c r="C173" s="120" t="str">
        <f>IFERROR(__xludf.DUMMYFUNCTION("""COMPUTED_VALUE"""),"Esler Field")</f>
        <v>Esler Field</v>
      </c>
      <c r="D173" s="120" t="str">
        <f>IFERROR(__xludf.DUMMYFUNCTION("""COMPUTED_VALUE"""),"United States")</f>
        <v>United States</v>
      </c>
      <c r="E173" s="135"/>
      <c r="F173" s="31"/>
    </row>
    <row r="174">
      <c r="A174" s="134" t="str">
        <f>IFERROR(__xludf.DUMMYFUNCTION("""COMPUTED_VALUE"""),"Alexandria")</f>
        <v>Alexandria</v>
      </c>
      <c r="B174" s="120" t="str">
        <f>IFERROR(__xludf.DUMMYFUNCTION("""COMPUTED_VALUE"""),"AXN")</f>
        <v>AXN</v>
      </c>
      <c r="C174" s="120" t="str">
        <f>IFERROR(__xludf.DUMMYFUNCTION("""COMPUTED_VALUE"""),"Alexandria")</f>
        <v>Alexandria</v>
      </c>
      <c r="D174" s="120" t="str">
        <f>IFERROR(__xludf.DUMMYFUNCTION("""COMPUTED_VALUE"""),"United States")</f>
        <v>United States</v>
      </c>
      <c r="E174" s="135"/>
      <c r="F174" s="31"/>
    </row>
    <row r="175">
      <c r="A175" s="134" t="str">
        <f>IFERROR(__xludf.DUMMYFUNCTION("""COMPUTED_VALUE"""),"Alexandria")</f>
        <v>Alexandria</v>
      </c>
      <c r="B175" s="120" t="str">
        <f>IFERROR(__xludf.DUMMYFUNCTION("""COMPUTED_VALUE"""),"AXL")</f>
        <v>AXL</v>
      </c>
      <c r="C175" s="120" t="str">
        <f>IFERROR(__xludf.DUMMYFUNCTION("""COMPUTED_VALUE"""),"Alexandria")</f>
        <v>Alexandria</v>
      </c>
      <c r="D175" s="120" t="str">
        <f>IFERROR(__xludf.DUMMYFUNCTION("""COMPUTED_VALUE"""),"Australia")</f>
        <v>Australia</v>
      </c>
      <c r="E175" s="135"/>
      <c r="F175" s="31"/>
    </row>
    <row r="176">
      <c r="A176" s="134" t="str">
        <f>IFERROR(__xludf.DUMMYFUNCTION("""COMPUTED_VALUE"""),"Alexandria Bay")</f>
        <v>Alexandria Bay</v>
      </c>
      <c r="B176" s="120" t="str">
        <f>IFERROR(__xludf.DUMMYFUNCTION("""COMPUTED_VALUE"""),"AXB")</f>
        <v>AXB</v>
      </c>
      <c r="C176" s="120" t="str">
        <f>IFERROR(__xludf.DUMMYFUNCTION("""COMPUTED_VALUE"""),"Alexandria Bay")</f>
        <v>Alexandria Bay</v>
      </c>
      <c r="D176" s="120" t="str">
        <f>IFERROR(__xludf.DUMMYFUNCTION("""COMPUTED_VALUE"""),"United States")</f>
        <v>United States</v>
      </c>
      <c r="E176" s="135"/>
      <c r="F176" s="31"/>
    </row>
    <row r="177">
      <c r="A177" s="134" t="str">
        <f>IFERROR(__xludf.DUMMYFUNCTION("""COMPUTED_VALUE"""),"Alexandroupolis")</f>
        <v>Alexandroupolis</v>
      </c>
      <c r="B177" s="120" t="str">
        <f>IFERROR(__xludf.DUMMYFUNCTION("""COMPUTED_VALUE"""),"AXD")</f>
        <v>AXD</v>
      </c>
      <c r="C177" s="120" t="str">
        <f>IFERROR(__xludf.DUMMYFUNCTION("""COMPUTED_VALUE"""),"Demokritos Airport")</f>
        <v>Demokritos Airport</v>
      </c>
      <c r="D177" s="120" t="str">
        <f>IFERROR(__xludf.DUMMYFUNCTION("""COMPUTED_VALUE"""),"Greece")</f>
        <v>Greece</v>
      </c>
      <c r="E177" s="135"/>
      <c r="F177" s="31"/>
    </row>
    <row r="178">
      <c r="A178" s="134" t="str">
        <f>IFERROR(__xludf.DUMMYFUNCTION("""COMPUTED_VALUE"""),"Al-Fujairah")</f>
        <v>Al-Fujairah</v>
      </c>
      <c r="B178" s="120" t="str">
        <f>IFERROR(__xludf.DUMMYFUNCTION("""COMPUTED_VALUE"""),"FJR")</f>
        <v>FJR</v>
      </c>
      <c r="C178" s="120" t="str">
        <f>IFERROR(__xludf.DUMMYFUNCTION("""COMPUTED_VALUE"""),"Fujairah Intl Arpt")</f>
        <v>Fujairah Intl Arpt</v>
      </c>
      <c r="D178" s="120" t="str">
        <f>IFERROR(__xludf.DUMMYFUNCTION("""COMPUTED_VALUE"""),"United Arab Emirates")</f>
        <v>United Arab Emirates</v>
      </c>
      <c r="E178" s="135"/>
      <c r="F178" s="31"/>
    </row>
    <row r="179">
      <c r="A179" s="134" t="str">
        <f>IFERROR(__xludf.DUMMYFUNCTION("""COMPUTED_VALUE"""),"Algeciras")</f>
        <v>Algeciras</v>
      </c>
      <c r="B179" s="120" t="str">
        <f>IFERROR(__xludf.DUMMYFUNCTION("""COMPUTED_VALUE"""),"AEI")</f>
        <v>AEI</v>
      </c>
      <c r="C179" s="120" t="str">
        <f>IFERROR(__xludf.DUMMYFUNCTION("""COMPUTED_VALUE"""),"Algeciras")</f>
        <v>Algeciras</v>
      </c>
      <c r="D179" s="120" t="str">
        <f>IFERROR(__xludf.DUMMYFUNCTION("""COMPUTED_VALUE"""),"Spain")</f>
        <v>Spain</v>
      </c>
      <c r="E179" s="135"/>
      <c r="F179" s="31"/>
    </row>
    <row r="180">
      <c r="A180" s="134" t="str">
        <f>IFERROR(__xludf.DUMMYFUNCTION("""COMPUTED_VALUE"""),"Alghero")</f>
        <v>Alghero</v>
      </c>
      <c r="B180" s="120" t="str">
        <f>IFERROR(__xludf.DUMMYFUNCTION("""COMPUTED_VALUE"""),"AHO")</f>
        <v>AHO</v>
      </c>
      <c r="C180" s="120" t="str">
        <f>IFERROR(__xludf.DUMMYFUNCTION("""COMPUTED_VALUE"""),"Fertilia")</f>
        <v>Fertilia</v>
      </c>
      <c r="D180" s="120" t="str">
        <f>IFERROR(__xludf.DUMMYFUNCTION("""COMPUTED_VALUE"""),"Italy")</f>
        <v>Italy</v>
      </c>
      <c r="E180" s="135"/>
      <c r="F180" s="31"/>
    </row>
    <row r="181">
      <c r="A181" s="134" t="str">
        <f>IFERROR(__xludf.DUMMYFUNCTION("""COMPUTED_VALUE"""),"Algiers")</f>
        <v>Algiers</v>
      </c>
      <c r="B181" s="120" t="str">
        <f>IFERROR(__xludf.DUMMYFUNCTION("""COMPUTED_VALUE"""),"ALG")</f>
        <v>ALG</v>
      </c>
      <c r="C181" s="120" t="str">
        <f>IFERROR(__xludf.DUMMYFUNCTION("""COMPUTED_VALUE"""),"Houari Boumediene")</f>
        <v>Houari Boumediene</v>
      </c>
      <c r="D181" s="120" t="str">
        <f>IFERROR(__xludf.DUMMYFUNCTION("""COMPUTED_VALUE"""),"Algeria")</f>
        <v>Algeria</v>
      </c>
      <c r="E181" s="135"/>
      <c r="F181" s="31"/>
    </row>
    <row r="182">
      <c r="A182" s="134" t="str">
        <f>IFERROR(__xludf.DUMMYFUNCTION("""COMPUTED_VALUE"""),"Algona")</f>
        <v>Algona</v>
      </c>
      <c r="B182" s="120" t="str">
        <f>IFERROR(__xludf.DUMMYFUNCTION("""COMPUTED_VALUE"""),"AXG")</f>
        <v>AXG</v>
      </c>
      <c r="C182" s="120" t="str">
        <f>IFERROR(__xludf.DUMMYFUNCTION("""COMPUTED_VALUE"""),"Algona")</f>
        <v>Algona</v>
      </c>
      <c r="D182" s="120" t="str">
        <f>IFERROR(__xludf.DUMMYFUNCTION("""COMPUTED_VALUE"""),"United States")</f>
        <v>United States</v>
      </c>
      <c r="E182" s="135"/>
      <c r="F182" s="31"/>
    </row>
    <row r="183">
      <c r="A183" s="134" t="str">
        <f>IFERROR(__xludf.DUMMYFUNCTION("""COMPUTED_VALUE"""),"Alicante")</f>
        <v>Alicante</v>
      </c>
      <c r="B183" s="120" t="str">
        <f>IFERROR(__xludf.DUMMYFUNCTION("""COMPUTED_VALUE"""),"ALC")</f>
        <v>ALC</v>
      </c>
      <c r="C183" s="120" t="str">
        <f>IFERROR(__xludf.DUMMYFUNCTION("""COMPUTED_VALUE"""),"Alicante")</f>
        <v>Alicante</v>
      </c>
      <c r="D183" s="120" t="str">
        <f>IFERROR(__xludf.DUMMYFUNCTION("""COMPUTED_VALUE"""),"Spain")</f>
        <v>Spain</v>
      </c>
      <c r="E183" s="135"/>
      <c r="F183" s="31"/>
    </row>
    <row r="184">
      <c r="A184" s="134" t="str">
        <f>IFERROR(__xludf.DUMMYFUNCTION("""COMPUTED_VALUE"""),"Alice")</f>
        <v>Alice</v>
      </c>
      <c r="B184" s="120" t="str">
        <f>IFERROR(__xludf.DUMMYFUNCTION("""COMPUTED_VALUE"""),"ALI")</f>
        <v>ALI</v>
      </c>
      <c r="C184" s="120" t="str">
        <f>IFERROR(__xludf.DUMMYFUNCTION("""COMPUTED_VALUE"""),"International")</f>
        <v>International</v>
      </c>
      <c r="D184" s="120" t="str">
        <f>IFERROR(__xludf.DUMMYFUNCTION("""COMPUTED_VALUE"""),"United States")</f>
        <v>United States</v>
      </c>
      <c r="E184" s="135"/>
      <c r="F184" s="31"/>
    </row>
    <row r="185">
      <c r="A185" s="134" t="str">
        <f>IFERROR(__xludf.DUMMYFUNCTION("""COMPUTED_VALUE"""),"Alice Arm")</f>
        <v>Alice Arm</v>
      </c>
      <c r="B185" s="120" t="str">
        <f>IFERROR(__xludf.DUMMYFUNCTION("""COMPUTED_VALUE"""),"ZAA")</f>
        <v>ZAA</v>
      </c>
      <c r="C185" s="120" t="str">
        <f>IFERROR(__xludf.DUMMYFUNCTION("""COMPUTED_VALUE"""),"Alice Arm")</f>
        <v>Alice Arm</v>
      </c>
      <c r="D185" s="120" t="str">
        <f>IFERROR(__xludf.DUMMYFUNCTION("""COMPUTED_VALUE"""),"Canada")</f>
        <v>Canada</v>
      </c>
      <c r="E185" s="135"/>
      <c r="F185" s="31"/>
    </row>
    <row r="186">
      <c r="A186" s="134" t="str">
        <f>IFERROR(__xludf.DUMMYFUNCTION("""COMPUTED_VALUE"""),"Alice Springs")</f>
        <v>Alice Springs</v>
      </c>
      <c r="B186" s="120" t="str">
        <f>IFERROR(__xludf.DUMMYFUNCTION("""COMPUTED_VALUE"""),"ASP")</f>
        <v>ASP</v>
      </c>
      <c r="C186" s="120" t="str">
        <f>IFERROR(__xludf.DUMMYFUNCTION("""COMPUTED_VALUE"""),"Alice Springs")</f>
        <v>Alice Springs</v>
      </c>
      <c r="D186" s="120" t="str">
        <f>IFERROR(__xludf.DUMMYFUNCTION("""COMPUTED_VALUE"""),"Australia")</f>
        <v>Australia</v>
      </c>
      <c r="E186" s="135"/>
      <c r="F186" s="31"/>
    </row>
    <row r="187">
      <c r="A187" s="134" t="str">
        <f>IFERROR(__xludf.DUMMYFUNCTION("""COMPUTED_VALUE"""),"Alice Springs")</f>
        <v>Alice Springs</v>
      </c>
      <c r="B187" s="120" t="str">
        <f>IFERROR(__xludf.DUMMYFUNCTION("""COMPUTED_VALUE"""),"XHW")</f>
        <v>XHW</v>
      </c>
      <c r="C187" s="120" t="str">
        <f>IFERROR(__xludf.DUMMYFUNCTION("""COMPUTED_VALUE"""),"Alice Springs Railway")</f>
        <v>Alice Springs Railway</v>
      </c>
      <c r="D187" s="120" t="str">
        <f>IFERROR(__xludf.DUMMYFUNCTION("""COMPUTED_VALUE"""),"Australia")</f>
        <v>Australia</v>
      </c>
      <c r="E187" s="135"/>
      <c r="F187" s="31"/>
    </row>
    <row r="188">
      <c r="A188" s="134" t="str">
        <f>IFERROR(__xludf.DUMMYFUNCTION("""COMPUTED_VALUE"""),"Aliceville")</f>
        <v>Aliceville</v>
      </c>
      <c r="B188" s="120" t="str">
        <f>IFERROR(__xludf.DUMMYFUNCTION("""COMPUTED_VALUE"""),"AIV")</f>
        <v>AIV</v>
      </c>
      <c r="C188" s="120" t="str">
        <f>IFERROR(__xludf.DUMMYFUNCTION("""COMPUTED_VALUE"""),"George Downer")</f>
        <v>George Downer</v>
      </c>
      <c r="D188" s="120" t="str">
        <f>IFERROR(__xludf.DUMMYFUNCTION("""COMPUTED_VALUE"""),"United States")</f>
        <v>United States</v>
      </c>
      <c r="E188" s="135"/>
      <c r="F188" s="31"/>
    </row>
    <row r="189">
      <c r="A189" s="134" t="str">
        <f>IFERROR(__xludf.DUMMYFUNCTION("""COMPUTED_VALUE"""),"Alisabieh")</f>
        <v>Alisabieh</v>
      </c>
      <c r="B189" s="120" t="str">
        <f>IFERROR(__xludf.DUMMYFUNCTION("""COMPUTED_VALUE"""),"AII")</f>
        <v>AII</v>
      </c>
      <c r="C189" s="120" t="str">
        <f>IFERROR(__xludf.DUMMYFUNCTION("""COMPUTED_VALUE"""),"Alisabieh")</f>
        <v>Alisabieh</v>
      </c>
      <c r="D189" s="120" t="str">
        <f>IFERROR(__xludf.DUMMYFUNCTION("""COMPUTED_VALUE"""),"Djibouti")</f>
        <v>Djibouti</v>
      </c>
      <c r="E189" s="135"/>
      <c r="F189" s="31"/>
    </row>
    <row r="190">
      <c r="A190" s="134" t="str">
        <f>IFERROR(__xludf.DUMMYFUNCTION("""COMPUTED_VALUE"""),"Alitak")</f>
        <v>Alitak</v>
      </c>
      <c r="B190" s="120" t="str">
        <f>IFERROR(__xludf.DUMMYFUNCTION("""COMPUTED_VALUE"""),"ALZ")</f>
        <v>ALZ</v>
      </c>
      <c r="C190" s="120" t="str">
        <f>IFERROR(__xludf.DUMMYFUNCTION("""COMPUTED_VALUE"""),"Alitak SPB")</f>
        <v>Alitak SPB</v>
      </c>
      <c r="D190" s="120" t="str">
        <f>IFERROR(__xludf.DUMMYFUNCTION("""COMPUTED_VALUE"""),"United States")</f>
        <v>United States</v>
      </c>
      <c r="E190" s="135"/>
      <c r="F190" s="31"/>
    </row>
    <row r="191">
      <c r="A191" s="134" t="str">
        <f>IFERROR(__xludf.DUMMYFUNCTION("""COMPUTED_VALUE"""),"Aljouf")</f>
        <v>Aljouf</v>
      </c>
      <c r="B191" s="120" t="str">
        <f>IFERROR(__xludf.DUMMYFUNCTION("""COMPUTED_VALUE"""),"AJO")</f>
        <v>AJO</v>
      </c>
      <c r="C191" s="120" t="str">
        <f>IFERROR(__xludf.DUMMYFUNCTION("""COMPUTED_VALUE"""),"Aljouf")</f>
        <v>Aljouf</v>
      </c>
      <c r="D191" s="120" t="str">
        <f>IFERROR(__xludf.DUMMYFUNCTION("""COMPUTED_VALUE"""),"Yemen")</f>
        <v>Yemen</v>
      </c>
      <c r="E191" s="135"/>
      <c r="F191" s="31"/>
    </row>
    <row r="192">
      <c r="A192" s="134" t="str">
        <f>IFERROR(__xludf.DUMMYFUNCTION("""COMPUTED_VALUE"""),"Allahabad")</f>
        <v>Allahabad</v>
      </c>
      <c r="B192" s="120" t="str">
        <f>IFERROR(__xludf.DUMMYFUNCTION("""COMPUTED_VALUE"""),"IXD")</f>
        <v>IXD</v>
      </c>
      <c r="C192" s="137" t="str">
        <f>IFERROR(__xludf.DUMMYFUNCTION("""COMPUTED_VALUE"""),"Bamrauli")</f>
        <v>Bamrauli</v>
      </c>
      <c r="D192" s="120" t="str">
        <f>IFERROR(__xludf.DUMMYFUNCTION("""COMPUTED_VALUE"""),"India")</f>
        <v>India</v>
      </c>
      <c r="E192" s="135"/>
      <c r="F192" s="31"/>
    </row>
    <row r="193">
      <c r="A193" s="134" t="str">
        <f>IFERROR(__xludf.DUMMYFUNCTION("""COMPUTED_VALUE"""),"Allakaket")</f>
        <v>Allakaket</v>
      </c>
      <c r="B193" s="120" t="str">
        <f>IFERROR(__xludf.DUMMYFUNCTION("""COMPUTED_VALUE"""),"AET")</f>
        <v>AET</v>
      </c>
      <c r="C193" s="120" t="str">
        <f>IFERROR(__xludf.DUMMYFUNCTION("""COMPUTED_VALUE"""),"Allakaket")</f>
        <v>Allakaket</v>
      </c>
      <c r="D193" s="120" t="str">
        <f>IFERROR(__xludf.DUMMYFUNCTION("""COMPUTED_VALUE"""),"United States")</f>
        <v>United States</v>
      </c>
      <c r="E193" s="135"/>
      <c r="F193" s="31"/>
    </row>
    <row r="194">
      <c r="A194" s="134" t="str">
        <f>IFERROR(__xludf.DUMMYFUNCTION("""COMPUTED_VALUE"""),"Alldays")</f>
        <v>Alldays</v>
      </c>
      <c r="B194" s="120" t="str">
        <f>IFERROR(__xludf.DUMMYFUNCTION("""COMPUTED_VALUE"""),"ADY")</f>
        <v>ADY</v>
      </c>
      <c r="C194" s="120" t="str">
        <f>IFERROR(__xludf.DUMMYFUNCTION("""COMPUTED_VALUE"""),"Alldays")</f>
        <v>Alldays</v>
      </c>
      <c r="D194" s="120" t="str">
        <f>IFERROR(__xludf.DUMMYFUNCTION("""COMPUTED_VALUE"""),"South Africa")</f>
        <v>South Africa</v>
      </c>
      <c r="E194" s="135"/>
      <c r="F194" s="31"/>
    </row>
    <row r="195">
      <c r="A195" s="134" t="str">
        <f>IFERROR(__xludf.DUMMYFUNCTION("""COMPUTED_VALUE"""),"Alliance")</f>
        <v>Alliance</v>
      </c>
      <c r="B195" s="120" t="str">
        <f>IFERROR(__xludf.DUMMYFUNCTION("""COMPUTED_VALUE"""),"AIA")</f>
        <v>AIA</v>
      </c>
      <c r="C195" s="120" t="str">
        <f>IFERROR(__xludf.DUMMYFUNCTION("""COMPUTED_VALUE"""),"Alliance")</f>
        <v>Alliance</v>
      </c>
      <c r="D195" s="120" t="str">
        <f>IFERROR(__xludf.DUMMYFUNCTION("""COMPUTED_VALUE"""),"United States")</f>
        <v>United States</v>
      </c>
      <c r="E195" s="135"/>
      <c r="F195" s="31"/>
    </row>
    <row r="196">
      <c r="A196" s="134" t="str">
        <f>IFERROR(__xludf.DUMMYFUNCTION("""COMPUTED_VALUE"""),"Alluitsup Paa")</f>
        <v>Alluitsup Paa</v>
      </c>
      <c r="B196" s="120" t="str">
        <f>IFERROR(__xludf.DUMMYFUNCTION("""COMPUTED_VALUE"""),"LLU")</f>
        <v>LLU</v>
      </c>
      <c r="C196" s="120" t="str">
        <f>IFERROR(__xludf.DUMMYFUNCTION("""COMPUTED_VALUE"""),"Alluitsup Paa")</f>
        <v>Alluitsup Paa</v>
      </c>
      <c r="D196" s="120" t="str">
        <f>IFERROR(__xludf.DUMMYFUNCTION("""COMPUTED_VALUE"""),"Greenland")</f>
        <v>Greenland</v>
      </c>
      <c r="E196" s="135"/>
      <c r="F196" s="31"/>
    </row>
    <row r="197">
      <c r="A197" s="134" t="str">
        <f>IFERROR(__xludf.DUMMYFUNCTION("""COMPUTED_VALUE"""),"Alma")</f>
        <v>Alma</v>
      </c>
      <c r="B197" s="120" t="str">
        <f>IFERROR(__xludf.DUMMYFUNCTION("""COMPUTED_VALUE"""),"AMN")</f>
        <v>AMN</v>
      </c>
      <c r="C197" s="120" t="str">
        <f>IFERROR(__xludf.DUMMYFUNCTION("""COMPUTED_VALUE"""),"Gratiot Community")</f>
        <v>Gratiot Community</v>
      </c>
      <c r="D197" s="120" t="str">
        <f>IFERROR(__xludf.DUMMYFUNCTION("""COMPUTED_VALUE"""),"United States")</f>
        <v>United States</v>
      </c>
      <c r="E197" s="135"/>
      <c r="F197" s="31"/>
    </row>
    <row r="198">
      <c r="A198" s="134" t="str">
        <f>IFERROR(__xludf.DUMMYFUNCTION("""COMPUTED_VALUE"""),"Alma")</f>
        <v>Alma</v>
      </c>
      <c r="B198" s="120" t="str">
        <f>IFERROR(__xludf.DUMMYFUNCTION("""COMPUTED_VALUE"""),"YTF")</f>
        <v>YTF</v>
      </c>
      <c r="C198" s="120" t="str">
        <f>IFERROR(__xludf.DUMMYFUNCTION("""COMPUTED_VALUE"""),"Alma")</f>
        <v>Alma</v>
      </c>
      <c r="D198" s="120" t="str">
        <f>IFERROR(__xludf.DUMMYFUNCTION("""COMPUTED_VALUE"""),"Canada")</f>
        <v>Canada</v>
      </c>
      <c r="E198" s="135"/>
      <c r="F198" s="31"/>
    </row>
    <row r="199">
      <c r="A199" s="134" t="str">
        <f>IFERROR(__xludf.DUMMYFUNCTION("""COMPUTED_VALUE"""),"Almaty")</f>
        <v>Almaty</v>
      </c>
      <c r="B199" s="120" t="str">
        <f>IFERROR(__xludf.DUMMYFUNCTION("""COMPUTED_VALUE"""),"ALA")</f>
        <v>ALA</v>
      </c>
      <c r="C199" s="120" t="str">
        <f>IFERROR(__xludf.DUMMYFUNCTION("""COMPUTED_VALUE"""),"Almaty")</f>
        <v>Almaty</v>
      </c>
      <c r="D199" s="120" t="str">
        <f>IFERROR(__xludf.DUMMYFUNCTION("""COMPUTED_VALUE"""),"Kazakhstan")</f>
        <v>Kazakhstan</v>
      </c>
      <c r="E199" s="135"/>
      <c r="F199" s="31"/>
    </row>
    <row r="200">
      <c r="A200" s="134" t="str">
        <f>IFERROR(__xludf.DUMMYFUNCTION("""COMPUTED_VALUE"""),"Almenara")</f>
        <v>Almenara</v>
      </c>
      <c r="B200" s="120" t="str">
        <f>IFERROR(__xludf.DUMMYFUNCTION("""COMPUTED_VALUE"""),"AMJ")</f>
        <v>AMJ</v>
      </c>
      <c r="C200" s="120" t="str">
        <f>IFERROR(__xludf.DUMMYFUNCTION("""COMPUTED_VALUE"""),"Almenara")</f>
        <v>Almenara</v>
      </c>
      <c r="D200" s="120" t="str">
        <f>IFERROR(__xludf.DUMMYFUNCTION("""COMPUTED_VALUE"""),"Brazil")</f>
        <v>Brazil</v>
      </c>
      <c r="E200" s="135"/>
      <c r="F200" s="31"/>
    </row>
    <row r="201">
      <c r="A201" s="134" t="str">
        <f>IFERROR(__xludf.DUMMYFUNCTION("""COMPUTED_VALUE"""),"Almeria")</f>
        <v>Almeria</v>
      </c>
      <c r="B201" s="120" t="str">
        <f>IFERROR(__xludf.DUMMYFUNCTION("""COMPUTED_VALUE"""),"LEI")</f>
        <v>LEI</v>
      </c>
      <c r="C201" s="120" t="str">
        <f>IFERROR(__xludf.DUMMYFUNCTION("""COMPUTED_VALUE"""),"Almeria")</f>
        <v>Almeria</v>
      </c>
      <c r="D201" s="120" t="str">
        <f>IFERROR(__xludf.DUMMYFUNCTION("""COMPUTED_VALUE"""),"Spain")</f>
        <v>Spain</v>
      </c>
      <c r="E201" s="135"/>
      <c r="F201" s="31"/>
    </row>
    <row r="202">
      <c r="A202" s="134" t="str">
        <f>IFERROR(__xludf.DUMMYFUNCTION("""COMPUTED_VALUE"""),"Along")</f>
        <v>Along</v>
      </c>
      <c r="B202" s="120" t="str">
        <f>IFERROR(__xludf.DUMMYFUNCTION("""COMPUTED_VALUE"""),"IXV")</f>
        <v>IXV</v>
      </c>
      <c r="C202" s="120" t="str">
        <f>IFERROR(__xludf.DUMMYFUNCTION("""COMPUTED_VALUE"""),"Along")</f>
        <v>Along</v>
      </c>
      <c r="D202" s="120" t="str">
        <f>IFERROR(__xludf.DUMMYFUNCTION("""COMPUTED_VALUE"""),"India")</f>
        <v>India</v>
      </c>
      <c r="E202" s="135"/>
      <c r="F202" s="31"/>
    </row>
    <row r="203">
      <c r="A203" s="134" t="str">
        <f>IFERROR(__xludf.DUMMYFUNCTION("""COMPUTED_VALUE"""),"Alor Island")</f>
        <v>Alor Island</v>
      </c>
      <c r="B203" s="120" t="str">
        <f>IFERROR(__xludf.DUMMYFUNCTION("""COMPUTED_VALUE"""),"ARD")</f>
        <v>ARD</v>
      </c>
      <c r="C203" s="120" t="str">
        <f>IFERROR(__xludf.DUMMYFUNCTION("""COMPUTED_VALUE"""),"Alor Island")</f>
        <v>Alor Island</v>
      </c>
      <c r="D203" s="120" t="str">
        <f>IFERROR(__xludf.DUMMYFUNCTION("""COMPUTED_VALUE"""),"Indonesia")</f>
        <v>Indonesia</v>
      </c>
      <c r="E203" s="135"/>
      <c r="F203" s="31"/>
    </row>
    <row r="204">
      <c r="A204" s="134" t="str">
        <f>IFERROR(__xludf.DUMMYFUNCTION("""COMPUTED_VALUE"""),"Alor Setar")</f>
        <v>Alor Setar</v>
      </c>
      <c r="B204" s="120" t="str">
        <f>IFERROR(__xludf.DUMMYFUNCTION("""COMPUTED_VALUE"""),"AOR")</f>
        <v>AOR</v>
      </c>
      <c r="C204" s="120" t="str">
        <f>IFERROR(__xludf.DUMMYFUNCTION("""COMPUTED_VALUE"""),"Alor Setar")</f>
        <v>Alor Setar</v>
      </c>
      <c r="D204" s="120" t="str">
        <f>IFERROR(__xludf.DUMMYFUNCTION("""COMPUTED_VALUE"""),"Malaysia")</f>
        <v>Malaysia</v>
      </c>
      <c r="E204" s="135"/>
      <c r="F204" s="31"/>
    </row>
    <row r="205">
      <c r="A205" s="134" t="str">
        <f>IFERROR(__xludf.DUMMYFUNCTION("""COMPUTED_VALUE"""),"Alotau")</f>
        <v>Alotau</v>
      </c>
      <c r="B205" s="120" t="str">
        <f>IFERROR(__xludf.DUMMYFUNCTION("""COMPUTED_VALUE"""),"GUR")</f>
        <v>GUR</v>
      </c>
      <c r="C205" s="120" t="str">
        <f>IFERROR(__xludf.DUMMYFUNCTION("""COMPUTED_VALUE"""),"Gurney")</f>
        <v>Gurney</v>
      </c>
      <c r="D205" s="120" t="str">
        <f>IFERROR(__xludf.DUMMYFUNCTION("""COMPUTED_VALUE"""),"Papua New Guinea")</f>
        <v>Papua New Guinea</v>
      </c>
      <c r="E205" s="135"/>
      <c r="F205" s="31"/>
    </row>
    <row r="206">
      <c r="A206" s="134" t="str">
        <f>IFERROR(__xludf.DUMMYFUNCTION("""COMPUTED_VALUE"""),"Alowe")</f>
        <v>Alowe</v>
      </c>
      <c r="B206" s="120" t="str">
        <f>IFERROR(__xludf.DUMMYFUNCTION("""COMPUTED_VALUE"""),"AWE")</f>
        <v>AWE</v>
      </c>
      <c r="C206" s="120" t="str">
        <f>IFERROR(__xludf.DUMMYFUNCTION("""COMPUTED_VALUE"""),"Alowe")</f>
        <v>Alowe</v>
      </c>
      <c r="D206" s="120" t="str">
        <f>IFERROR(__xludf.DUMMYFUNCTION("""COMPUTED_VALUE"""),"Gabon")</f>
        <v>Gabon</v>
      </c>
      <c r="E206" s="135"/>
      <c r="F206" s="31"/>
    </row>
    <row r="207">
      <c r="A207" s="134" t="str">
        <f>IFERROR(__xludf.DUMMYFUNCTION("""COMPUTED_VALUE"""),"Alpe D Huez")</f>
        <v>Alpe D Huez</v>
      </c>
      <c r="B207" s="120" t="str">
        <f>IFERROR(__xludf.DUMMYFUNCTION("""COMPUTED_VALUE"""),"AHZ")</f>
        <v>AHZ</v>
      </c>
      <c r="C207" s="120" t="str">
        <f>IFERROR(__xludf.DUMMYFUNCTION("""COMPUTED_VALUE"""),"Alpe D Huez")</f>
        <v>Alpe D Huez</v>
      </c>
      <c r="D207" s="120" t="str">
        <f>IFERROR(__xludf.DUMMYFUNCTION("""COMPUTED_VALUE"""),"France")</f>
        <v>France</v>
      </c>
      <c r="E207" s="135"/>
      <c r="F207" s="31"/>
    </row>
    <row r="208">
      <c r="A208" s="134" t="str">
        <f>IFERROR(__xludf.DUMMYFUNCTION("""COMPUTED_VALUE"""),"Alpena")</f>
        <v>Alpena</v>
      </c>
      <c r="B208" s="120" t="str">
        <f>IFERROR(__xludf.DUMMYFUNCTION("""COMPUTED_VALUE"""),"APN")</f>
        <v>APN</v>
      </c>
      <c r="C208" s="120" t="str">
        <f>IFERROR(__xludf.DUMMYFUNCTION("""COMPUTED_VALUE"""),"Alpena County Regional")</f>
        <v>Alpena County Regional</v>
      </c>
      <c r="D208" s="120" t="str">
        <f>IFERROR(__xludf.DUMMYFUNCTION("""COMPUTED_VALUE"""),"United States")</f>
        <v>United States</v>
      </c>
      <c r="E208" s="135"/>
      <c r="F208" s="31"/>
    </row>
    <row r="209">
      <c r="A209" s="134" t="str">
        <f>IFERROR(__xludf.DUMMYFUNCTION("""COMPUTED_VALUE"""),"Alpha")</f>
        <v>Alpha</v>
      </c>
      <c r="B209" s="120" t="str">
        <f>IFERROR(__xludf.DUMMYFUNCTION("""COMPUTED_VALUE"""),"ABH")</f>
        <v>ABH</v>
      </c>
      <c r="C209" s="120" t="str">
        <f>IFERROR(__xludf.DUMMYFUNCTION("""COMPUTED_VALUE"""),"Alpha")</f>
        <v>Alpha</v>
      </c>
      <c r="D209" s="120" t="str">
        <f>IFERROR(__xludf.DUMMYFUNCTION("""COMPUTED_VALUE"""),"Australia")</f>
        <v>Australia</v>
      </c>
      <c r="E209" s="135"/>
      <c r="F209" s="31"/>
    </row>
    <row r="210">
      <c r="A210" s="134" t="str">
        <f>IFERROR(__xludf.DUMMYFUNCTION("""COMPUTED_VALUE"""),"Alpine")</f>
        <v>Alpine</v>
      </c>
      <c r="B210" s="120" t="str">
        <f>IFERROR(__xludf.DUMMYFUNCTION("""COMPUTED_VALUE"""),"ALE")</f>
        <v>ALE</v>
      </c>
      <c r="C210" s="120" t="str">
        <f>IFERROR(__xludf.DUMMYFUNCTION("""COMPUTED_VALUE"""),"Alpine")</f>
        <v>Alpine</v>
      </c>
      <c r="D210" s="120" t="str">
        <f>IFERROR(__xludf.DUMMYFUNCTION("""COMPUTED_VALUE"""),"United States")</f>
        <v>United States</v>
      </c>
      <c r="E210" s="135"/>
      <c r="F210" s="31"/>
    </row>
    <row r="211">
      <c r="A211" s="134" t="str">
        <f>IFERROR(__xludf.DUMMYFUNCTION("""COMPUTED_VALUE"""),"Alroy Downs")</f>
        <v>Alroy Downs</v>
      </c>
      <c r="B211" s="120" t="str">
        <f>IFERROR(__xludf.DUMMYFUNCTION("""COMPUTED_VALUE"""),"AYD")</f>
        <v>AYD</v>
      </c>
      <c r="C211" s="120" t="str">
        <f>IFERROR(__xludf.DUMMYFUNCTION("""COMPUTED_VALUE"""),"Alroy Downs")</f>
        <v>Alroy Downs</v>
      </c>
      <c r="D211" s="120" t="str">
        <f>IFERROR(__xludf.DUMMYFUNCTION("""COMPUTED_VALUE"""),"Australia")</f>
        <v>Australia</v>
      </c>
      <c r="E211" s="135"/>
      <c r="F211" s="31"/>
    </row>
    <row r="212">
      <c r="A212" s="134" t="str">
        <f>IFERROR(__xludf.DUMMYFUNCTION("""COMPUTED_VALUE"""),"Alta")</f>
        <v>Alta</v>
      </c>
      <c r="B212" s="120" t="str">
        <f>IFERROR(__xludf.DUMMYFUNCTION("""COMPUTED_VALUE"""),"ALF")</f>
        <v>ALF</v>
      </c>
      <c r="C212" s="120" t="str">
        <f>IFERROR(__xludf.DUMMYFUNCTION("""COMPUTED_VALUE"""),"Alta")</f>
        <v>Alta</v>
      </c>
      <c r="D212" s="120" t="str">
        <f>IFERROR(__xludf.DUMMYFUNCTION("""COMPUTED_VALUE"""),"Norway")</f>
        <v>Norway</v>
      </c>
      <c r="E212" s="135"/>
      <c r="F212" s="31"/>
    </row>
    <row r="213">
      <c r="A213" s="134" t="str">
        <f>IFERROR(__xludf.DUMMYFUNCTION("""COMPUTED_VALUE"""),"Alta Floresta")</f>
        <v>Alta Floresta</v>
      </c>
      <c r="B213" s="120" t="str">
        <f>IFERROR(__xludf.DUMMYFUNCTION("""COMPUTED_VALUE"""),"AFL")</f>
        <v>AFL</v>
      </c>
      <c r="C213" s="120" t="str">
        <f>IFERROR(__xludf.DUMMYFUNCTION("""COMPUTED_VALUE"""),"Alta Floresta")</f>
        <v>Alta Floresta</v>
      </c>
      <c r="D213" s="120" t="str">
        <f>IFERROR(__xludf.DUMMYFUNCTION("""COMPUTED_VALUE"""),"Brazil")</f>
        <v>Brazil</v>
      </c>
      <c r="E213" s="135"/>
      <c r="F213" s="31"/>
    </row>
    <row r="214">
      <c r="A214" s="134" t="str">
        <f>IFERROR(__xludf.DUMMYFUNCTION("""COMPUTED_VALUE"""),"Alta Lake")</f>
        <v>Alta Lake</v>
      </c>
      <c r="B214" s="120" t="str">
        <f>IFERROR(__xludf.DUMMYFUNCTION("""COMPUTED_VALUE"""),"YAE")</f>
        <v>YAE</v>
      </c>
      <c r="C214" s="120" t="str">
        <f>IFERROR(__xludf.DUMMYFUNCTION("""COMPUTED_VALUE"""),"Alta Lake")</f>
        <v>Alta Lake</v>
      </c>
      <c r="D214" s="120" t="str">
        <f>IFERROR(__xludf.DUMMYFUNCTION("""COMPUTED_VALUE"""),"Canada")</f>
        <v>Canada</v>
      </c>
      <c r="E214" s="135"/>
      <c r="F214" s="31"/>
    </row>
    <row r="215">
      <c r="A215" s="134" t="str">
        <f>IFERROR(__xludf.DUMMYFUNCTION("""COMPUTED_VALUE"""),"Altai")</f>
        <v>Altai</v>
      </c>
      <c r="B215" s="120" t="str">
        <f>IFERROR(__xludf.DUMMYFUNCTION("""COMPUTED_VALUE"""),"LTI")</f>
        <v>LTI</v>
      </c>
      <c r="C215" s="120" t="str">
        <f>IFERROR(__xludf.DUMMYFUNCTION("""COMPUTED_VALUE"""),"Altai")</f>
        <v>Altai</v>
      </c>
      <c r="D215" s="120" t="str">
        <f>IFERROR(__xludf.DUMMYFUNCTION("""COMPUTED_VALUE"""),"Mongolia")</f>
        <v>Mongolia</v>
      </c>
      <c r="E215" s="135"/>
      <c r="F215" s="31"/>
    </row>
    <row r="216">
      <c r="A216" s="134" t="str">
        <f>IFERROR(__xludf.DUMMYFUNCTION("""COMPUTED_VALUE"""),"Altamira")</f>
        <v>Altamira</v>
      </c>
      <c r="B216" s="120" t="str">
        <f>IFERROR(__xludf.DUMMYFUNCTION("""COMPUTED_VALUE"""),"ATM")</f>
        <v>ATM</v>
      </c>
      <c r="C216" s="120" t="str">
        <f>IFERROR(__xludf.DUMMYFUNCTION("""COMPUTED_VALUE"""),"Altamira")</f>
        <v>Altamira</v>
      </c>
      <c r="D216" s="120" t="str">
        <f>IFERROR(__xludf.DUMMYFUNCTION("""COMPUTED_VALUE"""),"Brazil")</f>
        <v>Brazil</v>
      </c>
      <c r="E216" s="135"/>
      <c r="F216" s="31"/>
    </row>
    <row r="217">
      <c r="A217" s="134" t="str">
        <f>IFERROR(__xludf.DUMMYFUNCTION("""COMPUTED_VALUE"""),"Altay")</f>
        <v>Altay</v>
      </c>
      <c r="B217" s="120" t="str">
        <f>IFERROR(__xludf.DUMMYFUNCTION("""COMPUTED_VALUE"""),"AAT")</f>
        <v>AAT</v>
      </c>
      <c r="C217" s="120" t="str">
        <f>IFERROR(__xludf.DUMMYFUNCTION("""COMPUTED_VALUE"""),"Altay")</f>
        <v>Altay</v>
      </c>
      <c r="D217" s="120" t="str">
        <f>IFERROR(__xludf.DUMMYFUNCTION("""COMPUTED_VALUE"""),"China")</f>
        <v>China</v>
      </c>
      <c r="E217" s="135"/>
      <c r="F217" s="31"/>
    </row>
    <row r="218">
      <c r="A218" s="134" t="str">
        <f>IFERROR(__xludf.DUMMYFUNCTION("""COMPUTED_VALUE"""),"Altenburg")</f>
        <v>Altenburg</v>
      </c>
      <c r="B218" s="120" t="str">
        <f>IFERROR(__xludf.DUMMYFUNCTION("""COMPUTED_VALUE"""),"AOC")</f>
        <v>AOC</v>
      </c>
      <c r="C218" s="120" t="str">
        <f>IFERROR(__xludf.DUMMYFUNCTION("""COMPUTED_VALUE"""),"Altenburg Nobitz")</f>
        <v>Altenburg Nobitz</v>
      </c>
      <c r="D218" s="120" t="str">
        <f>IFERROR(__xludf.DUMMYFUNCTION("""COMPUTED_VALUE"""),"Germany")</f>
        <v>Germany</v>
      </c>
      <c r="E218" s="135"/>
      <c r="F218" s="31"/>
    </row>
    <row r="219">
      <c r="A219" s="134" t="str">
        <f>IFERROR(__xludf.DUMMYFUNCTION("""COMPUTED_VALUE"""),"Altenrhein")</f>
        <v>Altenrhein</v>
      </c>
      <c r="B219" s="120" t="str">
        <f>IFERROR(__xludf.DUMMYFUNCTION("""COMPUTED_VALUE"""),"ACH")</f>
        <v>ACH</v>
      </c>
      <c r="C219" s="120" t="str">
        <f>IFERROR(__xludf.DUMMYFUNCTION("""COMPUTED_VALUE"""),"Altenrhein")</f>
        <v>Altenrhein</v>
      </c>
      <c r="D219" s="120" t="str">
        <f>IFERROR(__xludf.DUMMYFUNCTION("""COMPUTED_VALUE"""),"Switzerland")</f>
        <v>Switzerland</v>
      </c>
      <c r="E219" s="135"/>
      <c r="F219" s="31"/>
    </row>
    <row r="220">
      <c r="A220" s="134" t="str">
        <f>IFERROR(__xludf.DUMMYFUNCTION("""COMPUTED_VALUE"""),"Alto Molocue")</f>
        <v>Alto Molocue</v>
      </c>
      <c r="B220" s="120" t="str">
        <f>IFERROR(__xludf.DUMMYFUNCTION("""COMPUTED_VALUE"""),"AME")</f>
        <v>AME</v>
      </c>
      <c r="C220" s="120" t="str">
        <f>IFERROR(__xludf.DUMMYFUNCTION("""COMPUTED_VALUE"""),"Alto Molocue")</f>
        <v>Alto Molocue</v>
      </c>
      <c r="D220" s="120" t="str">
        <f>IFERROR(__xludf.DUMMYFUNCTION("""COMPUTED_VALUE"""),"Mozambique")</f>
        <v>Mozambique</v>
      </c>
      <c r="E220" s="135"/>
      <c r="F220" s="31"/>
    </row>
    <row r="221">
      <c r="A221" s="134" t="str">
        <f>IFERROR(__xludf.DUMMYFUNCTION("""COMPUTED_VALUE"""),"Alto Palena")</f>
        <v>Alto Palena</v>
      </c>
      <c r="B221" s="120" t="str">
        <f>IFERROR(__xludf.DUMMYFUNCTION("""COMPUTED_VALUE"""),"WAP")</f>
        <v>WAP</v>
      </c>
      <c r="C221" s="120" t="str">
        <f>IFERROR(__xludf.DUMMYFUNCTION("""COMPUTED_VALUE"""),"Alto Palena")</f>
        <v>Alto Palena</v>
      </c>
      <c r="D221" s="120" t="str">
        <f>IFERROR(__xludf.DUMMYFUNCTION("""COMPUTED_VALUE"""),"Chile")</f>
        <v>Chile</v>
      </c>
      <c r="E221" s="135"/>
      <c r="F221" s="31"/>
    </row>
    <row r="222">
      <c r="A222" s="134" t="str">
        <f>IFERROR(__xludf.DUMMYFUNCTION("""COMPUTED_VALUE"""),"Alto Parnaiba")</f>
        <v>Alto Parnaiba</v>
      </c>
      <c r="B222" s="120" t="str">
        <f>IFERROR(__xludf.DUMMYFUNCTION("""COMPUTED_VALUE"""),"APY")</f>
        <v>APY</v>
      </c>
      <c r="C222" s="120" t="str">
        <f>IFERROR(__xludf.DUMMYFUNCTION("""COMPUTED_VALUE"""),"Alto Parnaiba")</f>
        <v>Alto Parnaiba</v>
      </c>
      <c r="D222" s="120" t="str">
        <f>IFERROR(__xludf.DUMMYFUNCTION("""COMPUTED_VALUE"""),"Brazil")</f>
        <v>Brazil</v>
      </c>
      <c r="E222" s="135"/>
      <c r="F222" s="31"/>
    </row>
    <row r="223">
      <c r="A223" s="134" t="str">
        <f>IFERROR(__xludf.DUMMYFUNCTION("""COMPUTED_VALUE"""),"Alto Rio Senguerr")</f>
        <v>Alto Rio Senguerr</v>
      </c>
      <c r="B223" s="120" t="str">
        <f>IFERROR(__xludf.DUMMYFUNCTION("""COMPUTED_VALUE"""),"ARR")</f>
        <v>ARR</v>
      </c>
      <c r="C223" s="120" t="str">
        <f>IFERROR(__xludf.DUMMYFUNCTION("""COMPUTED_VALUE"""),"Alto Rio Senguerr")</f>
        <v>Alto Rio Senguerr</v>
      </c>
      <c r="D223" s="120" t="str">
        <f>IFERROR(__xludf.DUMMYFUNCTION("""COMPUTED_VALUE"""),"Argentina")</f>
        <v>Argentina</v>
      </c>
      <c r="E223" s="135"/>
      <c r="F223" s="31"/>
    </row>
    <row r="224">
      <c r="A224" s="134" t="str">
        <f>IFERROR(__xludf.DUMMYFUNCTION("""COMPUTED_VALUE"""),"Alton")</f>
        <v>Alton</v>
      </c>
      <c r="B224" s="120" t="str">
        <f>IFERROR(__xludf.DUMMYFUNCTION("""COMPUTED_VALUE"""),"ALN")</f>
        <v>ALN</v>
      </c>
      <c r="C224" s="120" t="str">
        <f>IFERROR(__xludf.DUMMYFUNCTION("""COMPUTED_VALUE"""),"Alton")</f>
        <v>Alton</v>
      </c>
      <c r="D224" s="120" t="str">
        <f>IFERROR(__xludf.DUMMYFUNCTION("""COMPUTED_VALUE"""),"United States")</f>
        <v>United States</v>
      </c>
      <c r="E224" s="135"/>
      <c r="F224" s="31"/>
    </row>
    <row r="225">
      <c r="A225" s="134" t="str">
        <f>IFERROR(__xludf.DUMMYFUNCTION("""COMPUTED_VALUE"""),"Alton Downs")</f>
        <v>Alton Downs</v>
      </c>
      <c r="B225" s="120" t="str">
        <f>IFERROR(__xludf.DUMMYFUNCTION("""COMPUTED_VALUE"""),"AWN")</f>
        <v>AWN</v>
      </c>
      <c r="C225" s="120" t="str">
        <f>IFERROR(__xludf.DUMMYFUNCTION("""COMPUTED_VALUE"""),"Alton Downs")</f>
        <v>Alton Downs</v>
      </c>
      <c r="D225" s="120" t="str">
        <f>IFERROR(__xludf.DUMMYFUNCTION("""COMPUTED_VALUE"""),"Australia")</f>
        <v>Australia</v>
      </c>
      <c r="E225" s="135"/>
      <c r="F225" s="31"/>
    </row>
    <row r="226">
      <c r="A226" s="134" t="str">
        <f>IFERROR(__xludf.DUMMYFUNCTION("""COMPUTED_VALUE"""),"Altus")</f>
        <v>Altus</v>
      </c>
      <c r="B226" s="120" t="str">
        <f>IFERROR(__xludf.DUMMYFUNCTION("""COMPUTED_VALUE"""),"LTS")</f>
        <v>LTS</v>
      </c>
      <c r="C226" s="120" t="str">
        <f>IFERROR(__xludf.DUMMYFUNCTION("""COMPUTED_VALUE"""),"Altus AFB")</f>
        <v>Altus AFB</v>
      </c>
      <c r="D226" s="120" t="str">
        <f>IFERROR(__xludf.DUMMYFUNCTION("""COMPUTED_VALUE"""),"United States")</f>
        <v>United States</v>
      </c>
      <c r="E226" s="135"/>
      <c r="F226" s="31"/>
    </row>
    <row r="227">
      <c r="A227" s="134" t="str">
        <f>IFERROR(__xludf.DUMMYFUNCTION("""COMPUTED_VALUE"""),"Altus")</f>
        <v>Altus</v>
      </c>
      <c r="B227" s="120" t="str">
        <f>IFERROR(__xludf.DUMMYFUNCTION("""COMPUTED_VALUE"""),"AXS")</f>
        <v>AXS</v>
      </c>
      <c r="C227" s="120" t="str">
        <f>IFERROR(__xludf.DUMMYFUNCTION("""COMPUTED_VALUE"""),"Municipal")</f>
        <v>Municipal</v>
      </c>
      <c r="D227" s="120" t="str">
        <f>IFERROR(__xludf.DUMMYFUNCTION("""COMPUTED_VALUE"""),"United States")</f>
        <v>United States</v>
      </c>
      <c r="E227" s="135"/>
      <c r="F227" s="31"/>
    </row>
    <row r="228">
      <c r="A228" s="134" t="str">
        <f>IFERROR(__xludf.DUMMYFUNCTION("""COMPUTED_VALUE"""),"Alula")</f>
        <v>Alula</v>
      </c>
      <c r="B228" s="120" t="str">
        <f>IFERROR(__xludf.DUMMYFUNCTION("""COMPUTED_VALUE"""),"ALU")</f>
        <v>ALU</v>
      </c>
      <c r="C228" s="120" t="str">
        <f>IFERROR(__xludf.DUMMYFUNCTION("""COMPUTED_VALUE"""),"Alula")</f>
        <v>Alula</v>
      </c>
      <c r="D228" s="120" t="str">
        <f>IFERROR(__xludf.DUMMYFUNCTION("""COMPUTED_VALUE"""),"Somalia")</f>
        <v>Somalia</v>
      </c>
      <c r="E228" s="135"/>
      <c r="F228" s="31"/>
    </row>
    <row r="229">
      <c r="A229" s="134" t="str">
        <f>IFERROR(__xludf.DUMMYFUNCTION("""COMPUTED_VALUE"""),"Alvdal")</f>
        <v>Alvdal</v>
      </c>
      <c r="B229" s="120" t="str">
        <f>IFERROR(__xludf.DUMMYFUNCTION("""COMPUTED_VALUE"""),"XJA")</f>
        <v>XJA</v>
      </c>
      <c r="C229" s="120" t="str">
        <f>IFERROR(__xludf.DUMMYFUNCTION("""COMPUTED_VALUE"""),"Railway")</f>
        <v>Railway</v>
      </c>
      <c r="D229" s="120" t="str">
        <f>IFERROR(__xludf.DUMMYFUNCTION("""COMPUTED_VALUE"""),"Norway")</f>
        <v>Norway</v>
      </c>
      <c r="E229" s="135"/>
      <c r="F229" s="31"/>
    </row>
    <row r="230">
      <c r="A230" s="134" t="str">
        <f>IFERROR(__xludf.DUMMYFUNCTION("""COMPUTED_VALUE"""),"Alvesta")</f>
        <v>Alvesta</v>
      </c>
      <c r="B230" s="120" t="str">
        <f>IFERROR(__xludf.DUMMYFUNCTION("""COMPUTED_VALUE"""),"XXA")</f>
        <v>XXA</v>
      </c>
      <c r="C230" s="120" t="str">
        <f>IFERROR(__xludf.DUMMYFUNCTION("""COMPUTED_VALUE"""),"Alvesta")</f>
        <v>Alvesta</v>
      </c>
      <c r="D230" s="120" t="str">
        <f>IFERROR(__xludf.DUMMYFUNCTION("""COMPUTED_VALUE"""),"Sweden")</f>
        <v>Sweden</v>
      </c>
      <c r="E230" s="135"/>
      <c r="F230" s="31"/>
    </row>
    <row r="231">
      <c r="A231" s="134" t="str">
        <f>IFERROR(__xludf.DUMMYFUNCTION("""COMPUTED_VALUE"""),"Alyeska")</f>
        <v>Alyeska</v>
      </c>
      <c r="B231" s="120" t="str">
        <f>IFERROR(__xludf.DUMMYFUNCTION("""COMPUTED_VALUE"""),"AQY")</f>
        <v>AQY</v>
      </c>
      <c r="C231" s="120" t="str">
        <f>IFERROR(__xludf.DUMMYFUNCTION("""COMPUTED_VALUE"""),"Alyeska")</f>
        <v>Alyeska</v>
      </c>
      <c r="D231" s="120" t="str">
        <f>IFERROR(__xludf.DUMMYFUNCTION("""COMPUTED_VALUE"""),"United States")</f>
        <v>United States</v>
      </c>
      <c r="E231" s="135"/>
      <c r="F231" s="31"/>
    </row>
    <row r="232">
      <c r="A232" s="134" t="str">
        <f>IFERROR(__xludf.DUMMYFUNCTION("""COMPUTED_VALUE"""),"Am Timan")</f>
        <v>Am Timan</v>
      </c>
      <c r="B232" s="120" t="str">
        <f>IFERROR(__xludf.DUMMYFUNCTION("""COMPUTED_VALUE"""),"AMC")</f>
        <v>AMC</v>
      </c>
      <c r="C232" s="120" t="str">
        <f>IFERROR(__xludf.DUMMYFUNCTION("""COMPUTED_VALUE"""),"Am Timan")</f>
        <v>Am Timan</v>
      </c>
      <c r="D232" s="120" t="str">
        <f>IFERROR(__xludf.DUMMYFUNCTION("""COMPUTED_VALUE"""),"Guam")</f>
        <v>Guam</v>
      </c>
      <c r="E232" s="135"/>
      <c r="F232" s="31"/>
    </row>
    <row r="233">
      <c r="A233" s="134" t="str">
        <f>IFERROR(__xludf.DUMMYFUNCTION("""COMPUTED_VALUE"""),"Ama")</f>
        <v>Ama</v>
      </c>
      <c r="B233" s="120" t="str">
        <f>IFERROR(__xludf.DUMMYFUNCTION("""COMPUTED_VALUE"""),"AMF")</f>
        <v>AMF</v>
      </c>
      <c r="C233" s="120" t="str">
        <f>IFERROR(__xludf.DUMMYFUNCTION("""COMPUTED_VALUE"""),"Ama")</f>
        <v>Ama</v>
      </c>
      <c r="D233" s="120" t="str">
        <f>IFERROR(__xludf.DUMMYFUNCTION("""COMPUTED_VALUE"""),"Papua New Guinea")</f>
        <v>Papua New Guinea</v>
      </c>
      <c r="E233" s="135"/>
      <c r="F233" s="31"/>
    </row>
    <row r="234">
      <c r="A234" s="134" t="str">
        <f>IFERROR(__xludf.DUMMYFUNCTION("""COMPUTED_VALUE"""),"Amahai")</f>
        <v>Amahai</v>
      </c>
      <c r="B234" s="120" t="str">
        <f>IFERROR(__xludf.DUMMYFUNCTION("""COMPUTED_VALUE"""),"AHI")</f>
        <v>AHI</v>
      </c>
      <c r="C234" s="120" t="str">
        <f>IFERROR(__xludf.DUMMYFUNCTION("""COMPUTED_VALUE"""),"Amahai")</f>
        <v>Amahai</v>
      </c>
      <c r="D234" s="120" t="str">
        <f>IFERROR(__xludf.DUMMYFUNCTION("""COMPUTED_VALUE"""),"Indonesia")</f>
        <v>Indonesia</v>
      </c>
      <c r="E234" s="135"/>
      <c r="F234" s="31"/>
    </row>
    <row r="235">
      <c r="A235" s="134" t="str">
        <f>IFERROR(__xludf.DUMMYFUNCTION("""COMPUTED_VALUE"""),"Amalfi")</f>
        <v>Amalfi</v>
      </c>
      <c r="B235" s="120" t="str">
        <f>IFERROR(__xludf.DUMMYFUNCTION("""COMPUTED_VALUE"""),"AFI")</f>
        <v>AFI</v>
      </c>
      <c r="C235" s="120" t="str">
        <f>IFERROR(__xludf.DUMMYFUNCTION("""COMPUTED_VALUE"""),"Amalfi")</f>
        <v>Amalfi</v>
      </c>
      <c r="D235" s="120" t="str">
        <f>IFERROR(__xludf.DUMMYFUNCTION("""COMPUTED_VALUE"""),"Colombia")</f>
        <v>Colombia</v>
      </c>
      <c r="E235" s="135"/>
      <c r="F235" s="31"/>
    </row>
    <row r="236">
      <c r="A236" s="134" t="str">
        <f>IFERROR(__xludf.DUMMYFUNCTION("""COMPUTED_VALUE"""),"Amami O Shima")</f>
        <v>Amami O Shima</v>
      </c>
      <c r="B236" s="120" t="str">
        <f>IFERROR(__xludf.DUMMYFUNCTION("""COMPUTED_VALUE"""),"ASJ")</f>
        <v>ASJ</v>
      </c>
      <c r="C236" s="120" t="str">
        <f>IFERROR(__xludf.DUMMYFUNCTION("""COMPUTED_VALUE"""),"Amami O Shima")</f>
        <v>Amami O Shima</v>
      </c>
      <c r="D236" s="120" t="str">
        <f>IFERROR(__xludf.DUMMYFUNCTION("""COMPUTED_VALUE"""),"Japan")</f>
        <v>Japan</v>
      </c>
      <c r="E236" s="135"/>
      <c r="F236" s="31"/>
    </row>
    <row r="237">
      <c r="A237" s="134" t="str">
        <f>IFERROR(__xludf.DUMMYFUNCTION("""COMPUTED_VALUE"""),"Amanab")</f>
        <v>Amanab</v>
      </c>
      <c r="B237" s="120" t="str">
        <f>IFERROR(__xludf.DUMMYFUNCTION("""COMPUTED_VALUE"""),"AMU")</f>
        <v>AMU</v>
      </c>
      <c r="C237" s="120" t="str">
        <f>IFERROR(__xludf.DUMMYFUNCTION("""COMPUTED_VALUE"""),"Amanab")</f>
        <v>Amanab</v>
      </c>
      <c r="D237" s="120" t="str">
        <f>IFERROR(__xludf.DUMMYFUNCTION("""COMPUTED_VALUE"""),"Papua New Guinea")</f>
        <v>Papua New Guinea</v>
      </c>
      <c r="E237" s="135"/>
      <c r="F237" s="31"/>
    </row>
    <row r="238">
      <c r="A238" s="134" t="str">
        <f>IFERROR(__xludf.DUMMYFUNCTION("""COMPUTED_VALUE"""),"Amarillo")</f>
        <v>Amarillo</v>
      </c>
      <c r="B238" s="120" t="str">
        <f>IFERROR(__xludf.DUMMYFUNCTION("""COMPUTED_VALUE"""),"AMA")</f>
        <v>AMA</v>
      </c>
      <c r="C238" s="120" t="str">
        <f>IFERROR(__xludf.DUMMYFUNCTION("""COMPUTED_VALUE"""),"International")</f>
        <v>International</v>
      </c>
      <c r="D238" s="120" t="str">
        <f>IFERROR(__xludf.DUMMYFUNCTION("""COMPUTED_VALUE"""),"United States")</f>
        <v>United States</v>
      </c>
      <c r="E238" s="135"/>
      <c r="F238" s="31"/>
    </row>
    <row r="239">
      <c r="A239" s="134" t="str">
        <f>IFERROR(__xludf.DUMMYFUNCTION("""COMPUTED_VALUE"""),"Amarillo")</f>
        <v>Amarillo</v>
      </c>
      <c r="B239" s="120" t="str">
        <f>IFERROR(__xludf.DUMMYFUNCTION("""COMPUTED_VALUE"""),"TDW")</f>
        <v>TDW</v>
      </c>
      <c r="C239" s="120" t="str">
        <f>IFERROR(__xludf.DUMMYFUNCTION("""COMPUTED_VALUE"""),"Tradewind")</f>
        <v>Tradewind</v>
      </c>
      <c r="D239" s="120" t="str">
        <f>IFERROR(__xludf.DUMMYFUNCTION("""COMPUTED_VALUE"""),"United States")</f>
        <v>United States</v>
      </c>
      <c r="E239" s="135"/>
      <c r="F239" s="31"/>
    </row>
    <row r="240">
      <c r="A240" s="134" t="str">
        <f>IFERROR(__xludf.DUMMYFUNCTION("""COMPUTED_VALUE"""),"Amata")</f>
        <v>Amata</v>
      </c>
      <c r="B240" s="120" t="str">
        <f>IFERROR(__xludf.DUMMYFUNCTION("""COMPUTED_VALUE"""),"AMT")</f>
        <v>AMT</v>
      </c>
      <c r="C240" s="120" t="str">
        <f>IFERROR(__xludf.DUMMYFUNCTION("""COMPUTED_VALUE"""),"Amata")</f>
        <v>Amata</v>
      </c>
      <c r="D240" s="120" t="str">
        <f>IFERROR(__xludf.DUMMYFUNCTION("""COMPUTED_VALUE"""),"Australia")</f>
        <v>Australia</v>
      </c>
      <c r="E240" s="135"/>
      <c r="F240" s="31"/>
    </row>
    <row r="241">
      <c r="A241" s="134" t="str">
        <f>IFERROR(__xludf.DUMMYFUNCTION("""COMPUTED_VALUE"""),"Amazon Bay")</f>
        <v>Amazon Bay</v>
      </c>
      <c r="B241" s="120" t="str">
        <f>IFERROR(__xludf.DUMMYFUNCTION("""COMPUTED_VALUE"""),"AZB")</f>
        <v>AZB</v>
      </c>
      <c r="C241" s="120" t="str">
        <f>IFERROR(__xludf.DUMMYFUNCTION("""COMPUTED_VALUE"""),"Amazon Bay")</f>
        <v>Amazon Bay</v>
      </c>
      <c r="D241" s="120" t="str">
        <f>IFERROR(__xludf.DUMMYFUNCTION("""COMPUTED_VALUE"""),"Papua New Guinea")</f>
        <v>Papua New Guinea</v>
      </c>
      <c r="E241" s="135"/>
      <c r="F241" s="31"/>
    </row>
    <row r="242">
      <c r="A242" s="134" t="str">
        <f>IFERROR(__xludf.DUMMYFUNCTION("""COMPUTED_VALUE"""),"Ambanja")</f>
        <v>Ambanja</v>
      </c>
      <c r="B242" s="120" t="str">
        <f>IFERROR(__xludf.DUMMYFUNCTION("""COMPUTED_VALUE"""),"IVA")</f>
        <v>IVA</v>
      </c>
      <c r="C242" s="120" t="str">
        <f>IFERROR(__xludf.DUMMYFUNCTION("""COMPUTED_VALUE"""),"Ambanja")</f>
        <v>Ambanja</v>
      </c>
      <c r="D242" s="120" t="str">
        <f>IFERROR(__xludf.DUMMYFUNCTION("""COMPUTED_VALUE"""),"Madagascar")</f>
        <v>Madagascar</v>
      </c>
      <c r="E242" s="135"/>
      <c r="F242" s="31"/>
    </row>
    <row r="243">
      <c r="A243" s="134" t="str">
        <f>IFERROR(__xludf.DUMMYFUNCTION("""COMPUTED_VALUE"""),"Ambato")</f>
        <v>Ambato</v>
      </c>
      <c r="B243" s="120" t="str">
        <f>IFERROR(__xludf.DUMMYFUNCTION("""COMPUTED_VALUE"""),"ATF")</f>
        <v>ATF</v>
      </c>
      <c r="C243" s="120" t="str">
        <f>IFERROR(__xludf.DUMMYFUNCTION("""COMPUTED_VALUE"""),"Chachoan")</f>
        <v>Chachoan</v>
      </c>
      <c r="D243" s="120" t="str">
        <f>IFERROR(__xludf.DUMMYFUNCTION("""COMPUTED_VALUE"""),"Ecuador")</f>
        <v>Ecuador</v>
      </c>
      <c r="E243" s="135"/>
      <c r="F243" s="31"/>
    </row>
    <row r="244">
      <c r="A244" s="134" t="str">
        <f>IFERROR(__xludf.DUMMYFUNCTION("""COMPUTED_VALUE"""),"Ambatolahy")</f>
        <v>Ambatolahy</v>
      </c>
      <c r="B244" s="120" t="str">
        <f>IFERROR(__xludf.DUMMYFUNCTION("""COMPUTED_VALUE"""),"AHY")</f>
        <v>AHY</v>
      </c>
      <c r="C244" s="120" t="str">
        <f>IFERROR(__xludf.DUMMYFUNCTION("""COMPUTED_VALUE"""),"Ambatolahy")</f>
        <v>Ambatolahy</v>
      </c>
      <c r="D244" s="120" t="str">
        <f>IFERROR(__xludf.DUMMYFUNCTION("""COMPUTED_VALUE"""),"Madagascar")</f>
        <v>Madagascar</v>
      </c>
      <c r="E244" s="135"/>
      <c r="F244" s="31"/>
    </row>
    <row r="245">
      <c r="A245" s="134" t="str">
        <f>IFERROR(__xludf.DUMMYFUNCTION("""COMPUTED_VALUE"""),"Ambatomainty")</f>
        <v>Ambatomainty</v>
      </c>
      <c r="B245" s="120" t="str">
        <f>IFERROR(__xludf.DUMMYFUNCTION("""COMPUTED_VALUE"""),"AMY")</f>
        <v>AMY</v>
      </c>
      <c r="C245" s="120" t="str">
        <f>IFERROR(__xludf.DUMMYFUNCTION("""COMPUTED_VALUE"""),"Ambatomainty")</f>
        <v>Ambatomainty</v>
      </c>
      <c r="D245" s="120" t="str">
        <f>IFERROR(__xludf.DUMMYFUNCTION("""COMPUTED_VALUE"""),"Madagascar")</f>
        <v>Madagascar</v>
      </c>
      <c r="E245" s="135"/>
      <c r="F245" s="31"/>
    </row>
    <row r="246">
      <c r="A246" s="134" t="str">
        <f>IFERROR(__xludf.DUMMYFUNCTION("""COMPUTED_VALUE"""),"Ambatondrazaka")</f>
        <v>Ambatondrazaka</v>
      </c>
      <c r="B246" s="120" t="str">
        <f>IFERROR(__xludf.DUMMYFUNCTION("""COMPUTED_VALUE"""),"WAM")</f>
        <v>WAM</v>
      </c>
      <c r="C246" s="120" t="str">
        <f>IFERROR(__xludf.DUMMYFUNCTION("""COMPUTED_VALUE"""),"Ambatondrazaka")</f>
        <v>Ambatondrazaka</v>
      </c>
      <c r="D246" s="120" t="str">
        <f>IFERROR(__xludf.DUMMYFUNCTION("""COMPUTED_VALUE"""),"Madagascar")</f>
        <v>Madagascar</v>
      </c>
      <c r="E246" s="135"/>
      <c r="F246" s="31"/>
    </row>
    <row r="247">
      <c r="A247" s="134" t="str">
        <f>IFERROR(__xludf.DUMMYFUNCTION("""COMPUTED_VALUE"""),"Ambilobe")</f>
        <v>Ambilobe</v>
      </c>
      <c r="B247" s="120" t="str">
        <f>IFERROR(__xludf.DUMMYFUNCTION("""COMPUTED_VALUE"""),"AMB")</f>
        <v>AMB</v>
      </c>
      <c r="C247" s="120" t="str">
        <f>IFERROR(__xludf.DUMMYFUNCTION("""COMPUTED_VALUE"""),"Ambilobe")</f>
        <v>Ambilobe</v>
      </c>
      <c r="D247" s="120" t="str">
        <f>IFERROR(__xludf.DUMMYFUNCTION("""COMPUTED_VALUE"""),"Madagascar")</f>
        <v>Madagascar</v>
      </c>
      <c r="E247" s="135"/>
      <c r="F247" s="31"/>
    </row>
    <row r="248">
      <c r="A248" s="134" t="str">
        <f>IFERROR(__xludf.DUMMYFUNCTION("""COMPUTED_VALUE"""),"Ambler")</f>
        <v>Ambler</v>
      </c>
      <c r="B248" s="120" t="str">
        <f>IFERROR(__xludf.DUMMYFUNCTION("""COMPUTED_VALUE"""),"ABL")</f>
        <v>ABL</v>
      </c>
      <c r="C248" s="120" t="str">
        <f>IFERROR(__xludf.DUMMYFUNCTION("""COMPUTED_VALUE"""),"Ambler")</f>
        <v>Ambler</v>
      </c>
      <c r="D248" s="120" t="str">
        <f>IFERROR(__xludf.DUMMYFUNCTION("""COMPUTED_VALUE"""),"United States")</f>
        <v>United States</v>
      </c>
      <c r="E248" s="135"/>
      <c r="F248" s="31"/>
    </row>
    <row r="249">
      <c r="A249" s="134" t="str">
        <f>IFERROR(__xludf.DUMMYFUNCTION("""COMPUTED_VALUE"""),"Amboin")</f>
        <v>Amboin</v>
      </c>
      <c r="B249" s="120" t="str">
        <f>IFERROR(__xludf.DUMMYFUNCTION("""COMPUTED_VALUE"""),"AMG")</f>
        <v>AMG</v>
      </c>
      <c r="C249" s="120" t="str">
        <f>IFERROR(__xludf.DUMMYFUNCTION("""COMPUTED_VALUE"""),"Amboin")</f>
        <v>Amboin</v>
      </c>
      <c r="D249" s="120" t="str">
        <f>IFERROR(__xludf.DUMMYFUNCTION("""COMPUTED_VALUE"""),"Papua New Guinea")</f>
        <v>Papua New Guinea</v>
      </c>
      <c r="E249" s="135"/>
      <c r="F249" s="31"/>
    </row>
    <row r="250">
      <c r="A250" s="134" t="str">
        <f>IFERROR(__xludf.DUMMYFUNCTION("""COMPUTED_VALUE"""),"Ambon")</f>
        <v>Ambon</v>
      </c>
      <c r="B250" s="120" t="str">
        <f>IFERROR(__xludf.DUMMYFUNCTION("""COMPUTED_VALUE"""),"AMQ")</f>
        <v>AMQ</v>
      </c>
      <c r="C250" s="120" t="str">
        <f>IFERROR(__xludf.DUMMYFUNCTION("""COMPUTED_VALUE"""),"Pattimura")</f>
        <v>Pattimura</v>
      </c>
      <c r="D250" s="120" t="str">
        <f>IFERROR(__xludf.DUMMYFUNCTION("""COMPUTED_VALUE"""),"Indonesia")</f>
        <v>Indonesia</v>
      </c>
      <c r="E250" s="135"/>
      <c r="F250" s="31"/>
    </row>
    <row r="251">
      <c r="A251" s="134" t="str">
        <f>IFERROR(__xludf.DUMMYFUNCTION("""COMPUTED_VALUE"""),"Amboseli")</f>
        <v>Amboseli</v>
      </c>
      <c r="B251" s="120" t="str">
        <f>IFERROR(__xludf.DUMMYFUNCTION("""COMPUTED_VALUE"""),"ASV")</f>
        <v>ASV</v>
      </c>
      <c r="C251" s="120" t="str">
        <f>IFERROR(__xludf.DUMMYFUNCTION("""COMPUTED_VALUE"""),"Amboseli")</f>
        <v>Amboseli</v>
      </c>
      <c r="D251" s="120" t="str">
        <f>IFERROR(__xludf.DUMMYFUNCTION("""COMPUTED_VALUE"""),"Kenya")</f>
        <v>Kenya</v>
      </c>
      <c r="E251" s="135"/>
      <c r="F251" s="31"/>
    </row>
    <row r="252">
      <c r="A252" s="134" t="str">
        <f>IFERROR(__xludf.DUMMYFUNCTION("""COMPUTED_VALUE"""),"Ambriz")</f>
        <v>Ambriz</v>
      </c>
      <c r="B252" s="120" t="str">
        <f>IFERROR(__xludf.DUMMYFUNCTION("""COMPUTED_VALUE"""),"AZZ")</f>
        <v>AZZ</v>
      </c>
      <c r="C252" s="120" t="str">
        <f>IFERROR(__xludf.DUMMYFUNCTION("""COMPUTED_VALUE"""),"Ambriz")</f>
        <v>Ambriz</v>
      </c>
      <c r="D252" s="120" t="str">
        <f>IFERROR(__xludf.DUMMYFUNCTION("""COMPUTED_VALUE"""),"Angola")</f>
        <v>Angola</v>
      </c>
      <c r="E252" s="135"/>
      <c r="F252" s="31"/>
    </row>
    <row r="253">
      <c r="A253" s="134" t="str">
        <f>IFERROR(__xludf.DUMMYFUNCTION("""COMPUTED_VALUE"""),"Ambunti")</f>
        <v>Ambunti</v>
      </c>
      <c r="B253" s="120" t="str">
        <f>IFERROR(__xludf.DUMMYFUNCTION("""COMPUTED_VALUE"""),"AUJ")</f>
        <v>AUJ</v>
      </c>
      <c r="C253" s="120" t="str">
        <f>IFERROR(__xludf.DUMMYFUNCTION("""COMPUTED_VALUE"""),"Ambunti")</f>
        <v>Ambunti</v>
      </c>
      <c r="D253" s="120" t="str">
        <f>IFERROR(__xludf.DUMMYFUNCTION("""COMPUTED_VALUE"""),"Papua New Guinea")</f>
        <v>Papua New Guinea</v>
      </c>
      <c r="E253" s="135"/>
      <c r="F253" s="31"/>
    </row>
    <row r="254">
      <c r="A254" s="134" t="str">
        <f>IFERROR(__xludf.DUMMYFUNCTION("""COMPUTED_VALUE"""),"Amchitka")</f>
        <v>Amchitka</v>
      </c>
      <c r="B254" s="120" t="str">
        <f>IFERROR(__xludf.DUMMYFUNCTION("""COMPUTED_VALUE"""),"AHT")</f>
        <v>AHT</v>
      </c>
      <c r="C254" s="120" t="str">
        <f>IFERROR(__xludf.DUMMYFUNCTION("""COMPUTED_VALUE"""),"Amchitka")</f>
        <v>Amchitka</v>
      </c>
      <c r="D254" s="120" t="str">
        <f>IFERROR(__xludf.DUMMYFUNCTION("""COMPUTED_VALUE"""),"United States")</f>
        <v>United States</v>
      </c>
      <c r="E254" s="135"/>
      <c r="F254" s="31"/>
    </row>
    <row r="255">
      <c r="A255" s="134" t="str">
        <f>IFERROR(__xludf.DUMMYFUNCTION("""COMPUTED_VALUE"""),"Amderma")</f>
        <v>Amderma</v>
      </c>
      <c r="B255" s="120" t="str">
        <f>IFERROR(__xludf.DUMMYFUNCTION("""COMPUTED_VALUE"""),"AMV")</f>
        <v>AMV</v>
      </c>
      <c r="C255" s="120" t="str">
        <f>IFERROR(__xludf.DUMMYFUNCTION("""COMPUTED_VALUE"""),"Amderma")</f>
        <v>Amderma</v>
      </c>
      <c r="D255" s="120" t="str">
        <f>IFERROR(__xludf.DUMMYFUNCTION("""COMPUTED_VALUE"""),"Russia")</f>
        <v>Russia</v>
      </c>
      <c r="E255" s="135"/>
      <c r="F255" s="31"/>
    </row>
    <row r="256">
      <c r="A256" s="134" t="str">
        <f>IFERROR(__xludf.DUMMYFUNCTION("""COMPUTED_VALUE"""),"American River")</f>
        <v>American River</v>
      </c>
      <c r="B256" s="120" t="str">
        <f>IFERROR(__xludf.DUMMYFUNCTION("""COMPUTED_VALUE"""),"RCN")</f>
        <v>RCN</v>
      </c>
      <c r="C256" s="120" t="str">
        <f>IFERROR(__xludf.DUMMYFUNCTION("""COMPUTED_VALUE"""),"American River")</f>
        <v>American River</v>
      </c>
      <c r="D256" s="120" t="str">
        <f>IFERROR(__xludf.DUMMYFUNCTION("""COMPUTED_VALUE"""),"Australia")</f>
        <v>Australia</v>
      </c>
      <c r="E256" s="135"/>
      <c r="F256" s="31"/>
    </row>
    <row r="257">
      <c r="A257" s="134" t="str">
        <f>IFERROR(__xludf.DUMMYFUNCTION("""COMPUTED_VALUE"""),"Amery")</f>
        <v>Amery</v>
      </c>
      <c r="B257" s="120" t="str">
        <f>IFERROR(__xludf.DUMMYFUNCTION("""COMPUTED_VALUE"""),"AHH")</f>
        <v>AHH</v>
      </c>
      <c r="C257" s="120" t="str">
        <f>IFERROR(__xludf.DUMMYFUNCTION("""COMPUTED_VALUE"""),"Municipal")</f>
        <v>Municipal</v>
      </c>
      <c r="D257" s="120" t="str">
        <f>IFERROR(__xludf.DUMMYFUNCTION("""COMPUTED_VALUE"""),"United States")</f>
        <v>United States</v>
      </c>
      <c r="E257" s="135"/>
      <c r="F257" s="31"/>
    </row>
    <row r="258">
      <c r="A258" s="134" t="str">
        <f>IFERROR(__xludf.DUMMYFUNCTION("""COMPUTED_VALUE"""),"Ames")</f>
        <v>Ames</v>
      </c>
      <c r="B258" s="120" t="str">
        <f>IFERROR(__xludf.DUMMYFUNCTION("""COMPUTED_VALUE"""),"AMW")</f>
        <v>AMW</v>
      </c>
      <c r="C258" s="120" t="str">
        <f>IFERROR(__xludf.DUMMYFUNCTION("""COMPUTED_VALUE"""),"Ames")</f>
        <v>Ames</v>
      </c>
      <c r="D258" s="120" t="str">
        <f>IFERROR(__xludf.DUMMYFUNCTION("""COMPUTED_VALUE"""),"United States")</f>
        <v>United States</v>
      </c>
      <c r="E258" s="135"/>
      <c r="F258" s="31"/>
    </row>
    <row r="259">
      <c r="A259" s="134" t="str">
        <f>IFERROR(__xludf.DUMMYFUNCTION("""COMPUTED_VALUE"""),"Amityville")</f>
        <v>Amityville</v>
      </c>
      <c r="B259" s="120" t="str">
        <f>IFERROR(__xludf.DUMMYFUNCTION("""COMPUTED_VALUE"""),"AYZ")</f>
        <v>AYZ</v>
      </c>
      <c r="C259" s="120" t="str">
        <f>IFERROR(__xludf.DUMMYFUNCTION("""COMPUTED_VALUE"""),"Zahns")</f>
        <v>Zahns</v>
      </c>
      <c r="D259" s="120" t="str">
        <f>IFERROR(__xludf.DUMMYFUNCTION("""COMPUTED_VALUE"""),"United States")</f>
        <v>United States</v>
      </c>
      <c r="E259" s="135"/>
      <c r="F259" s="31"/>
    </row>
    <row r="260">
      <c r="A260" s="134" t="str">
        <f>IFERROR(__xludf.DUMMYFUNCTION("""COMPUTED_VALUE"""),"Amman")</f>
        <v>Amman</v>
      </c>
      <c r="B260" s="120" t="str">
        <f>IFERROR(__xludf.DUMMYFUNCTION("""COMPUTED_VALUE"""),"ADJ")</f>
        <v>ADJ</v>
      </c>
      <c r="C260" s="120" t="str">
        <f>IFERROR(__xludf.DUMMYFUNCTION("""COMPUTED_VALUE"""),"Civil - Marka Airport")</f>
        <v>Civil - Marka Airport</v>
      </c>
      <c r="D260" s="120" t="str">
        <f>IFERROR(__xludf.DUMMYFUNCTION("""COMPUTED_VALUE"""),"Jordan")</f>
        <v>Jordan</v>
      </c>
      <c r="E260" s="135"/>
      <c r="F260" s="31"/>
    </row>
    <row r="261">
      <c r="A261" s="134" t="str">
        <f>IFERROR(__xludf.DUMMYFUNCTION("""COMPUTED_VALUE"""),"Amman")</f>
        <v>Amman</v>
      </c>
      <c r="B261" s="120" t="str">
        <f>IFERROR(__xludf.DUMMYFUNCTION("""COMPUTED_VALUE"""),"AMM")</f>
        <v>AMM</v>
      </c>
      <c r="C261" s="120" t="str">
        <f>IFERROR(__xludf.DUMMYFUNCTION("""COMPUTED_VALUE"""),"Queen Alia Intl")</f>
        <v>Queen Alia Intl</v>
      </c>
      <c r="D261" s="120" t="str">
        <f>IFERROR(__xludf.DUMMYFUNCTION("""COMPUTED_VALUE"""),"Jordan")</f>
        <v>Jordan</v>
      </c>
      <c r="E261" s="135"/>
      <c r="F261" s="31"/>
    </row>
    <row r="262">
      <c r="A262" s="134" t="str">
        <f>IFERROR(__xludf.DUMMYFUNCTION("""COMPUTED_VALUE"""),"Ammaroo")</f>
        <v>Ammaroo</v>
      </c>
      <c r="B262" s="120" t="str">
        <f>IFERROR(__xludf.DUMMYFUNCTION("""COMPUTED_VALUE"""),"AMX")</f>
        <v>AMX</v>
      </c>
      <c r="C262" s="120" t="str">
        <f>IFERROR(__xludf.DUMMYFUNCTION("""COMPUTED_VALUE"""),"Ammaroo")</f>
        <v>Ammaroo</v>
      </c>
      <c r="D262" s="120" t="str">
        <f>IFERROR(__xludf.DUMMYFUNCTION("""COMPUTED_VALUE"""),"Australia")</f>
        <v>Australia</v>
      </c>
      <c r="E262" s="135"/>
      <c r="F262" s="31"/>
    </row>
    <row r="263">
      <c r="A263" s="134" t="str">
        <f>IFERROR(__xludf.DUMMYFUNCTION("""COMPUTED_VALUE"""),"Amook")</f>
        <v>Amook</v>
      </c>
      <c r="B263" s="120" t="str">
        <f>IFERROR(__xludf.DUMMYFUNCTION("""COMPUTED_VALUE"""),"AOS")</f>
        <v>AOS</v>
      </c>
      <c r="C263" s="120" t="str">
        <f>IFERROR(__xludf.DUMMYFUNCTION("""COMPUTED_VALUE"""),"Amook")</f>
        <v>Amook</v>
      </c>
      <c r="D263" s="120" t="str">
        <f>IFERROR(__xludf.DUMMYFUNCTION("""COMPUTED_VALUE"""),"United States")</f>
        <v>United States</v>
      </c>
      <c r="E263" s="135"/>
      <c r="F263" s="31"/>
    </row>
    <row r="264">
      <c r="A264" s="134" t="str">
        <f>IFERROR(__xludf.DUMMYFUNCTION("""COMPUTED_VALUE"""),"Amos")</f>
        <v>Amos</v>
      </c>
      <c r="B264" s="120" t="str">
        <f>IFERROR(__xludf.DUMMYFUNCTION("""COMPUTED_VALUE"""),"YEY")</f>
        <v>YEY</v>
      </c>
      <c r="C264" s="120" t="str">
        <f>IFERROR(__xludf.DUMMYFUNCTION("""COMPUTED_VALUE"""),"Amos")</f>
        <v>Amos</v>
      </c>
      <c r="D264" s="120" t="str">
        <f>IFERROR(__xludf.DUMMYFUNCTION("""COMPUTED_VALUE"""),"Canada")</f>
        <v>Canada</v>
      </c>
      <c r="E264" s="135"/>
      <c r="F264" s="31"/>
    </row>
    <row r="265">
      <c r="A265" s="134" t="str">
        <f>IFERROR(__xludf.DUMMYFUNCTION("""COMPUTED_VALUE"""),"Ampanihy")</f>
        <v>Ampanihy</v>
      </c>
      <c r="B265" s="120" t="str">
        <f>IFERROR(__xludf.DUMMYFUNCTION("""COMPUTED_VALUE"""),"AMP")</f>
        <v>AMP</v>
      </c>
      <c r="C265" s="120" t="str">
        <f>IFERROR(__xludf.DUMMYFUNCTION("""COMPUTED_VALUE"""),"Ampanihy")</f>
        <v>Ampanihy</v>
      </c>
      <c r="D265" s="120" t="str">
        <f>IFERROR(__xludf.DUMMYFUNCTION("""COMPUTED_VALUE"""),"Madagascar")</f>
        <v>Madagascar</v>
      </c>
      <c r="E265" s="135"/>
      <c r="F265" s="31"/>
    </row>
    <row r="266">
      <c r="A266" s="134" t="str">
        <f>IFERROR(__xludf.DUMMYFUNCTION("""COMPUTED_VALUE"""),"Ampara")</f>
        <v>Ampara</v>
      </c>
      <c r="B266" s="120" t="str">
        <f>IFERROR(__xludf.DUMMYFUNCTION("""COMPUTED_VALUE"""),"ADP")</f>
        <v>ADP</v>
      </c>
      <c r="C266" s="120" t="str">
        <f>IFERROR(__xludf.DUMMYFUNCTION("""COMPUTED_VALUE"""),"Ampara")</f>
        <v>Ampara</v>
      </c>
      <c r="D266" s="120" t="str">
        <f>IFERROR(__xludf.DUMMYFUNCTION("""COMPUTED_VALUE"""),"Sri Lanka")</f>
        <v>Sri Lanka</v>
      </c>
      <c r="E266" s="135"/>
      <c r="F266" s="31"/>
    </row>
    <row r="267">
      <c r="A267" s="134" t="str">
        <f>IFERROR(__xludf.DUMMYFUNCTION("""COMPUTED_VALUE"""),"Ampara")</f>
        <v>Ampara</v>
      </c>
      <c r="B267" s="120" t="str">
        <f>IFERROR(__xludf.DUMMYFUNCTION("""COMPUTED_VALUE"""),"AFK")</f>
        <v>AFK</v>
      </c>
      <c r="C267" s="120" t="str">
        <f>IFERROR(__xludf.DUMMYFUNCTION("""COMPUTED_VALUE"""),"Kondavattavan Tank")</f>
        <v>Kondavattavan Tank</v>
      </c>
      <c r="D267" s="120" t="str">
        <f>IFERROR(__xludf.DUMMYFUNCTION("""COMPUTED_VALUE"""),"Sri Lanka")</f>
        <v>Sri Lanka</v>
      </c>
      <c r="E267" s="135"/>
      <c r="F267" s="31"/>
    </row>
    <row r="268">
      <c r="A268" s="134" t="str">
        <f>IFERROR(__xludf.DUMMYFUNCTION("""COMPUTED_VALUE"""),"Amritsar")</f>
        <v>Amritsar</v>
      </c>
      <c r="B268" s="120" t="str">
        <f>IFERROR(__xludf.DUMMYFUNCTION("""COMPUTED_VALUE"""),"ATQ")</f>
        <v>ATQ</v>
      </c>
      <c r="C268" s="120" t="str">
        <f>IFERROR(__xludf.DUMMYFUNCTION("""COMPUTED_VALUE"""),"Raja Sansi")</f>
        <v>Raja Sansi</v>
      </c>
      <c r="D268" s="120" t="str">
        <f>IFERROR(__xludf.DUMMYFUNCTION("""COMPUTED_VALUE"""),"India")</f>
        <v>India</v>
      </c>
      <c r="E268" s="135"/>
      <c r="F268" s="31"/>
    </row>
    <row r="269">
      <c r="A269" s="134" t="str">
        <f>IFERROR(__xludf.DUMMYFUNCTION("""COMPUTED_VALUE"""),"Haarlemmermeer")</f>
        <v>Haarlemmermeer</v>
      </c>
      <c r="B269" s="120" t="str">
        <f>IFERROR(__xludf.DUMMYFUNCTION("""COMPUTED_VALUE"""),"AMS")</f>
        <v>AMS</v>
      </c>
      <c r="C269" s="120" t="str">
        <f>IFERROR(__xludf.DUMMYFUNCTION("""COMPUTED_VALUE"""),"Amsterdam-Schiphol")</f>
        <v>Amsterdam-Schiphol</v>
      </c>
      <c r="D269" s="120" t="str">
        <f>IFERROR(__xludf.DUMMYFUNCTION("""COMPUTED_VALUE"""),"The Netherlands")</f>
        <v>The Netherlands</v>
      </c>
      <c r="E269" s="135"/>
      <c r="F269" s="31"/>
    </row>
    <row r="270">
      <c r="A270" s="134" t="str">
        <f>IFERROR(__xludf.DUMMYFUNCTION("""COMPUTED_VALUE"""),"An Shun")</f>
        <v>An Shun</v>
      </c>
      <c r="B270" s="120" t="str">
        <f>IFERROR(__xludf.DUMMYFUNCTION("""COMPUTED_VALUE"""),"AVA")</f>
        <v>AVA</v>
      </c>
      <c r="C270" s="120" t="str">
        <f>IFERROR(__xludf.DUMMYFUNCTION("""COMPUTED_VALUE"""),"An Shun/Huang Guo Shu")</f>
        <v>An Shun/Huang Guo Shu</v>
      </c>
      <c r="D270" s="120" t="str">
        <f>IFERROR(__xludf.DUMMYFUNCTION("""COMPUTED_VALUE"""),"China")</f>
        <v>China</v>
      </c>
      <c r="E270" s="135"/>
      <c r="F270" s="31"/>
    </row>
    <row r="271">
      <c r="A271" s="134" t="str">
        <f>IFERROR(__xludf.DUMMYFUNCTION("""COMPUTED_VALUE"""),"Anaa")</f>
        <v>Anaa</v>
      </c>
      <c r="B271" s="120" t="str">
        <f>IFERROR(__xludf.DUMMYFUNCTION("""COMPUTED_VALUE"""),"AAA")</f>
        <v>AAA</v>
      </c>
      <c r="C271" s="120" t="str">
        <f>IFERROR(__xludf.DUMMYFUNCTION("""COMPUTED_VALUE"""),"Anaa")</f>
        <v>Anaa</v>
      </c>
      <c r="D271" s="120" t="str">
        <f>IFERROR(__xludf.DUMMYFUNCTION("""COMPUTED_VALUE"""),"French Polynesia")</f>
        <v>French Polynesia</v>
      </c>
      <c r="E271" s="135"/>
      <c r="F271" s="31"/>
    </row>
    <row r="272">
      <c r="A272" s="134" t="str">
        <f>IFERROR(__xludf.DUMMYFUNCTION("""COMPUTED_VALUE"""),"Anaco")</f>
        <v>Anaco</v>
      </c>
      <c r="B272" s="120" t="str">
        <f>IFERROR(__xludf.DUMMYFUNCTION("""COMPUTED_VALUE"""),"AAO")</f>
        <v>AAO</v>
      </c>
      <c r="C272" s="120" t="str">
        <f>IFERROR(__xludf.DUMMYFUNCTION("""COMPUTED_VALUE"""),"Anaco")</f>
        <v>Anaco</v>
      </c>
      <c r="D272" s="120" t="str">
        <f>IFERROR(__xludf.DUMMYFUNCTION("""COMPUTED_VALUE"""),"Venezuela")</f>
        <v>Venezuela</v>
      </c>
      <c r="E272" s="135"/>
      <c r="F272" s="31"/>
    </row>
    <row r="273">
      <c r="A273" s="134" t="str">
        <f>IFERROR(__xludf.DUMMYFUNCTION("""COMPUTED_VALUE"""),"Anacortes")</f>
        <v>Anacortes</v>
      </c>
      <c r="B273" s="120" t="str">
        <f>IFERROR(__xludf.DUMMYFUNCTION("""COMPUTED_VALUE"""),"OTS")</f>
        <v>OTS</v>
      </c>
      <c r="C273" s="120" t="str">
        <f>IFERROR(__xludf.DUMMYFUNCTION("""COMPUTED_VALUE"""),"Anacortes")</f>
        <v>Anacortes</v>
      </c>
      <c r="D273" s="120" t="str">
        <f>IFERROR(__xludf.DUMMYFUNCTION("""COMPUTED_VALUE"""),"United States")</f>
        <v>United States</v>
      </c>
      <c r="E273" s="135"/>
      <c r="F273" s="31"/>
    </row>
    <row r="274">
      <c r="A274" s="134" t="str">
        <f>IFERROR(__xludf.DUMMYFUNCTION("""COMPUTED_VALUE"""),"Anacostia")</f>
        <v>Anacostia</v>
      </c>
      <c r="B274" s="120" t="str">
        <f>IFERROR(__xludf.DUMMYFUNCTION("""COMPUTED_VALUE"""),"NDV")</f>
        <v>NDV</v>
      </c>
      <c r="C274" s="120" t="str">
        <f>IFERROR(__xludf.DUMMYFUNCTION("""COMPUTED_VALUE"""),"USN Heliport")</f>
        <v>USN Heliport</v>
      </c>
      <c r="D274" s="120" t="str">
        <f>IFERROR(__xludf.DUMMYFUNCTION("""COMPUTED_VALUE"""),"United States")</f>
        <v>United States</v>
      </c>
      <c r="E274" s="135"/>
      <c r="F274" s="31"/>
    </row>
    <row r="275">
      <c r="A275" s="134" t="str">
        <f>IFERROR(__xludf.DUMMYFUNCTION("""COMPUTED_VALUE"""),"Anadyr")</f>
        <v>Anadyr</v>
      </c>
      <c r="B275" s="120" t="str">
        <f>IFERROR(__xludf.DUMMYFUNCTION("""COMPUTED_VALUE"""),"DYR")</f>
        <v>DYR</v>
      </c>
      <c r="C275" s="120" t="str">
        <f>IFERROR(__xludf.DUMMYFUNCTION("""COMPUTED_VALUE"""),"Anadyr")</f>
        <v>Anadyr</v>
      </c>
      <c r="D275" s="120" t="str">
        <f>IFERROR(__xludf.DUMMYFUNCTION("""COMPUTED_VALUE"""),"Russia")</f>
        <v>Russia</v>
      </c>
      <c r="E275" s="135"/>
      <c r="F275" s="31"/>
    </row>
    <row r="276">
      <c r="A276" s="134" t="str">
        <f>IFERROR(__xludf.DUMMYFUNCTION("""COMPUTED_VALUE"""),"Anaheim")</f>
        <v>Anaheim</v>
      </c>
      <c r="B276" s="120" t="str">
        <f>IFERROR(__xludf.DUMMYFUNCTION("""COMPUTED_VALUE"""),"ANA")</f>
        <v>ANA</v>
      </c>
      <c r="C276" s="120" t="str">
        <f>IFERROR(__xludf.DUMMYFUNCTION("""COMPUTED_VALUE"""),"Anaheim")</f>
        <v>Anaheim</v>
      </c>
      <c r="D276" s="120" t="str">
        <f>IFERROR(__xludf.DUMMYFUNCTION("""COMPUTED_VALUE"""),"United States")</f>
        <v>United States</v>
      </c>
      <c r="E276" s="135"/>
      <c r="F276" s="31"/>
    </row>
    <row r="277">
      <c r="A277" s="134" t="str">
        <f>IFERROR(__xludf.DUMMYFUNCTION("""COMPUTED_VALUE"""),"Anahim Lake")</f>
        <v>Anahim Lake</v>
      </c>
      <c r="B277" s="120" t="str">
        <f>IFERROR(__xludf.DUMMYFUNCTION("""COMPUTED_VALUE"""),"YAA")</f>
        <v>YAA</v>
      </c>
      <c r="C277" s="120" t="str">
        <f>IFERROR(__xludf.DUMMYFUNCTION("""COMPUTED_VALUE"""),"Anahim Lake")</f>
        <v>Anahim Lake</v>
      </c>
      <c r="D277" s="120" t="str">
        <f>IFERROR(__xludf.DUMMYFUNCTION("""COMPUTED_VALUE"""),"Canada")</f>
        <v>Canada</v>
      </c>
      <c r="E277" s="135"/>
      <c r="F277" s="31"/>
    </row>
    <row r="278">
      <c r="A278" s="134" t="str">
        <f>IFERROR(__xludf.DUMMYFUNCTION("""COMPUTED_VALUE"""),"Anaktuvuk")</f>
        <v>Anaktuvuk</v>
      </c>
      <c r="B278" s="120" t="str">
        <f>IFERROR(__xludf.DUMMYFUNCTION("""COMPUTED_VALUE"""),"AKP")</f>
        <v>AKP</v>
      </c>
      <c r="C278" s="120" t="str">
        <f>IFERROR(__xludf.DUMMYFUNCTION("""COMPUTED_VALUE"""),"Anaktuvuk")</f>
        <v>Anaktuvuk</v>
      </c>
      <c r="D278" s="120" t="str">
        <f>IFERROR(__xludf.DUMMYFUNCTION("""COMPUTED_VALUE"""),"United States")</f>
        <v>United States</v>
      </c>
      <c r="E278" s="135"/>
      <c r="F278" s="31"/>
    </row>
    <row r="279">
      <c r="A279" s="134" t="str">
        <f>IFERROR(__xludf.DUMMYFUNCTION("""COMPUTED_VALUE"""),"Analalava")</f>
        <v>Analalava</v>
      </c>
      <c r="B279" s="120" t="str">
        <f>IFERROR(__xludf.DUMMYFUNCTION("""COMPUTED_VALUE"""),"HVA")</f>
        <v>HVA</v>
      </c>
      <c r="C279" s="120" t="str">
        <f>IFERROR(__xludf.DUMMYFUNCTION("""COMPUTED_VALUE"""),"Analalava")</f>
        <v>Analalava</v>
      </c>
      <c r="D279" s="120" t="str">
        <f>IFERROR(__xludf.DUMMYFUNCTION("""COMPUTED_VALUE"""),"Madagascar")</f>
        <v>Madagascar</v>
      </c>
      <c r="E279" s="135"/>
      <c r="F279" s="31"/>
    </row>
    <row r="280">
      <c r="A280" s="134" t="str">
        <f>IFERROR(__xludf.DUMMYFUNCTION("""COMPUTED_VALUE"""),"Anapa")</f>
        <v>Anapa</v>
      </c>
      <c r="B280" s="120" t="str">
        <f>IFERROR(__xludf.DUMMYFUNCTION("""COMPUTED_VALUE"""),"AAQ")</f>
        <v>AAQ</v>
      </c>
      <c r="C280" s="120" t="str">
        <f>IFERROR(__xludf.DUMMYFUNCTION("""COMPUTED_VALUE"""),"Anapa")</f>
        <v>Anapa</v>
      </c>
      <c r="D280" s="120" t="str">
        <f>IFERROR(__xludf.DUMMYFUNCTION("""COMPUTED_VALUE"""),"Russia")</f>
        <v>Russia</v>
      </c>
      <c r="E280" s="135"/>
      <c r="F280" s="31"/>
    </row>
    <row r="281">
      <c r="A281" s="134" t="str">
        <f>IFERROR(__xludf.DUMMYFUNCTION("""COMPUTED_VALUE"""),"Anapolis")</f>
        <v>Anapolis</v>
      </c>
      <c r="B281" s="120" t="str">
        <f>IFERROR(__xludf.DUMMYFUNCTION("""COMPUTED_VALUE"""),"APS")</f>
        <v>APS</v>
      </c>
      <c r="C281" s="120" t="str">
        <f>IFERROR(__xludf.DUMMYFUNCTION("""COMPUTED_VALUE"""),"Anapolis")</f>
        <v>Anapolis</v>
      </c>
      <c r="D281" s="120" t="str">
        <f>IFERROR(__xludf.DUMMYFUNCTION("""COMPUTED_VALUE"""),"Brazil")</f>
        <v>Brazil</v>
      </c>
      <c r="E281" s="135"/>
      <c r="F281" s="31"/>
    </row>
    <row r="282">
      <c r="A282" s="134" t="str">
        <f>IFERROR(__xludf.DUMMYFUNCTION("""COMPUTED_VALUE"""),"Anchorage")</f>
        <v>Anchorage</v>
      </c>
      <c r="B282" s="120" t="str">
        <f>IFERROR(__xludf.DUMMYFUNCTION("""COMPUTED_VALUE"""),"EDF")</f>
        <v>EDF</v>
      </c>
      <c r="C282" s="120" t="str">
        <f>IFERROR(__xludf.DUMMYFUNCTION("""COMPUTED_VALUE"""),"Elmendorf AFB")</f>
        <v>Elmendorf AFB</v>
      </c>
      <c r="D282" s="120" t="str">
        <f>IFERROR(__xludf.DUMMYFUNCTION("""COMPUTED_VALUE"""),"United States")</f>
        <v>United States</v>
      </c>
      <c r="E282" s="135"/>
      <c r="F282" s="31"/>
    </row>
    <row r="283">
      <c r="A283" s="134" t="str">
        <f>IFERROR(__xludf.DUMMYFUNCTION("""COMPUTED_VALUE"""),"Anchorage")</f>
        <v>Anchorage</v>
      </c>
      <c r="B283" s="120" t="str">
        <f>IFERROR(__xludf.DUMMYFUNCTION("""COMPUTED_VALUE"""),"ANC")</f>
        <v>ANC</v>
      </c>
      <c r="C283" s="120" t="str">
        <f>IFERROR(__xludf.DUMMYFUNCTION("""COMPUTED_VALUE"""),"Ted Stevens Anchorage Int'l")</f>
        <v>Ted Stevens Anchorage Int'l</v>
      </c>
      <c r="D283" s="120" t="str">
        <f>IFERROR(__xludf.DUMMYFUNCTION("""COMPUTED_VALUE"""),"United States")</f>
        <v>United States</v>
      </c>
      <c r="E283" s="135"/>
      <c r="F283" s="31"/>
    </row>
    <row r="284">
      <c r="A284" s="134" t="str">
        <f>IFERROR(__xludf.DUMMYFUNCTION("""COMPUTED_VALUE"""),"Anchorage")</f>
        <v>Anchorage</v>
      </c>
      <c r="B284" s="120" t="str">
        <f>IFERROR(__xludf.DUMMYFUNCTION("""COMPUTED_VALUE"""),"MRI")</f>
        <v>MRI</v>
      </c>
      <c r="C284" s="120" t="str">
        <f>IFERROR(__xludf.DUMMYFUNCTION("""COMPUTED_VALUE"""),"Merrill Field")</f>
        <v>Merrill Field</v>
      </c>
      <c r="D284" s="120" t="str">
        <f>IFERROR(__xludf.DUMMYFUNCTION("""COMPUTED_VALUE"""),"United States")</f>
        <v>United States</v>
      </c>
      <c r="E284" s="135"/>
      <c r="F284" s="31"/>
    </row>
    <row r="285">
      <c r="A285" s="134" t="str">
        <f>IFERROR(__xludf.DUMMYFUNCTION("""COMPUTED_VALUE"""),"Ancona")</f>
        <v>Ancona</v>
      </c>
      <c r="B285" s="120" t="str">
        <f>IFERROR(__xludf.DUMMYFUNCTION("""COMPUTED_VALUE"""),"AOI")</f>
        <v>AOI</v>
      </c>
      <c r="C285" s="120" t="str">
        <f>IFERROR(__xludf.DUMMYFUNCTION("""COMPUTED_VALUE"""),"Falconara")</f>
        <v>Falconara</v>
      </c>
      <c r="D285" s="120" t="str">
        <f>IFERROR(__xludf.DUMMYFUNCTION("""COMPUTED_VALUE"""),"Italy")</f>
        <v>Italy</v>
      </c>
      <c r="E285" s="135"/>
      <c r="F285" s="31"/>
    </row>
    <row r="286">
      <c r="A286" s="134" t="str">
        <f>IFERROR(__xludf.DUMMYFUNCTION("""COMPUTED_VALUE"""),"Ancud")</f>
        <v>Ancud</v>
      </c>
      <c r="B286" s="120" t="str">
        <f>IFERROR(__xludf.DUMMYFUNCTION("""COMPUTED_VALUE"""),"ZUD")</f>
        <v>ZUD</v>
      </c>
      <c r="C286" s="120" t="str">
        <f>IFERROR(__xludf.DUMMYFUNCTION("""COMPUTED_VALUE"""),"Ancud")</f>
        <v>Ancud</v>
      </c>
      <c r="D286" s="120" t="str">
        <f>IFERROR(__xludf.DUMMYFUNCTION("""COMPUTED_VALUE"""),"Chile")</f>
        <v>Chile</v>
      </c>
      <c r="E286" s="135"/>
      <c r="F286" s="31"/>
    </row>
    <row r="287">
      <c r="A287" s="134" t="str">
        <f>IFERROR(__xludf.DUMMYFUNCTION("""COMPUTED_VALUE"""),"Andahuaylas")</f>
        <v>Andahuaylas</v>
      </c>
      <c r="B287" s="120" t="str">
        <f>IFERROR(__xludf.DUMMYFUNCTION("""COMPUTED_VALUE"""),"ANS")</f>
        <v>ANS</v>
      </c>
      <c r="C287" s="120" t="str">
        <f>IFERROR(__xludf.DUMMYFUNCTION("""COMPUTED_VALUE"""),"Andahuaylas")</f>
        <v>Andahuaylas</v>
      </c>
      <c r="D287" s="120" t="str">
        <f>IFERROR(__xludf.DUMMYFUNCTION("""COMPUTED_VALUE"""),"Peru")</f>
        <v>Peru</v>
      </c>
      <c r="E287" s="135"/>
      <c r="F287" s="31"/>
    </row>
    <row r="288">
      <c r="A288" s="134" t="str">
        <f>IFERROR(__xludf.DUMMYFUNCTION("""COMPUTED_VALUE"""),"Andakombe")</f>
        <v>Andakombe</v>
      </c>
      <c r="B288" s="120" t="str">
        <f>IFERROR(__xludf.DUMMYFUNCTION("""COMPUTED_VALUE"""),"ADC")</f>
        <v>ADC</v>
      </c>
      <c r="C288" s="120" t="str">
        <f>IFERROR(__xludf.DUMMYFUNCTION("""COMPUTED_VALUE"""),"Andakombe")</f>
        <v>Andakombe</v>
      </c>
      <c r="D288" s="120" t="str">
        <f>IFERROR(__xludf.DUMMYFUNCTION("""COMPUTED_VALUE"""),"Papua New Guinea")</f>
        <v>Papua New Guinea</v>
      </c>
      <c r="E288" s="135"/>
      <c r="F288" s="31"/>
    </row>
    <row r="289">
      <c r="A289" s="134" t="str">
        <f>IFERROR(__xludf.DUMMYFUNCTION("""COMPUTED_VALUE"""),"Andamooka")</f>
        <v>Andamooka</v>
      </c>
      <c r="B289" s="120" t="str">
        <f>IFERROR(__xludf.DUMMYFUNCTION("""COMPUTED_VALUE"""),"ADO")</f>
        <v>ADO</v>
      </c>
      <c r="C289" s="120" t="str">
        <f>IFERROR(__xludf.DUMMYFUNCTION("""COMPUTED_VALUE"""),"Andamooka")</f>
        <v>Andamooka</v>
      </c>
      <c r="D289" s="120" t="str">
        <f>IFERROR(__xludf.DUMMYFUNCTION("""COMPUTED_VALUE"""),"Australia")</f>
        <v>Australia</v>
      </c>
      <c r="E289" s="135"/>
      <c r="F289" s="31"/>
    </row>
    <row r="290">
      <c r="A290" s="134" t="str">
        <f>IFERROR(__xludf.DUMMYFUNCTION("""COMPUTED_VALUE"""),"Andapa")</f>
        <v>Andapa</v>
      </c>
      <c r="B290" s="120" t="str">
        <f>IFERROR(__xludf.DUMMYFUNCTION("""COMPUTED_VALUE"""),"ZWA")</f>
        <v>ZWA</v>
      </c>
      <c r="C290" s="120" t="str">
        <f>IFERROR(__xludf.DUMMYFUNCTION("""COMPUTED_VALUE"""),"Andapa")</f>
        <v>Andapa</v>
      </c>
      <c r="D290" s="120" t="str">
        <f>IFERROR(__xludf.DUMMYFUNCTION("""COMPUTED_VALUE"""),"Madagascar")</f>
        <v>Madagascar</v>
      </c>
      <c r="E290" s="135"/>
      <c r="F290" s="31"/>
    </row>
    <row r="291">
      <c r="A291" s="134" t="str">
        <f>IFERROR(__xludf.DUMMYFUNCTION("""COMPUTED_VALUE"""),"Andenes")</f>
        <v>Andenes</v>
      </c>
      <c r="B291" s="120" t="str">
        <f>IFERROR(__xludf.DUMMYFUNCTION("""COMPUTED_VALUE"""),"ANX")</f>
        <v>ANX</v>
      </c>
      <c r="C291" s="120" t="str">
        <f>IFERROR(__xludf.DUMMYFUNCTION("""COMPUTED_VALUE"""),"Andenes")</f>
        <v>Andenes</v>
      </c>
      <c r="D291" s="120" t="str">
        <f>IFERROR(__xludf.DUMMYFUNCTION("""COMPUTED_VALUE"""),"Norway")</f>
        <v>Norway</v>
      </c>
      <c r="E291" s="135"/>
      <c r="F291" s="31"/>
    </row>
    <row r="292">
      <c r="A292" s="134" t="str">
        <f>IFERROR(__xludf.DUMMYFUNCTION("""COMPUTED_VALUE"""),"Anderson")</f>
        <v>Anderson</v>
      </c>
      <c r="B292" s="120" t="str">
        <f>IFERROR(__xludf.DUMMYFUNCTION("""COMPUTED_VALUE"""),"AID")</f>
        <v>AID</v>
      </c>
      <c r="C292" s="120" t="str">
        <f>IFERROR(__xludf.DUMMYFUNCTION("""COMPUTED_VALUE"""),"Municipal")</f>
        <v>Municipal</v>
      </c>
      <c r="D292" s="120" t="str">
        <f>IFERROR(__xludf.DUMMYFUNCTION("""COMPUTED_VALUE"""),"United States")</f>
        <v>United States</v>
      </c>
      <c r="E292" s="135"/>
      <c r="F292" s="31"/>
    </row>
    <row r="293">
      <c r="A293" s="134" t="str">
        <f>IFERROR(__xludf.DUMMYFUNCTION("""COMPUTED_VALUE"""),"Anderson")</f>
        <v>Anderson</v>
      </c>
      <c r="B293" s="120" t="str">
        <f>IFERROR(__xludf.DUMMYFUNCTION("""COMPUTED_VALUE"""),"AND")</f>
        <v>AND</v>
      </c>
      <c r="C293" s="120" t="str">
        <f>IFERROR(__xludf.DUMMYFUNCTION("""COMPUTED_VALUE"""),"Anderson")</f>
        <v>Anderson</v>
      </c>
      <c r="D293" s="120" t="str">
        <f>IFERROR(__xludf.DUMMYFUNCTION("""COMPUTED_VALUE"""),"United States")</f>
        <v>United States</v>
      </c>
      <c r="E293" s="135"/>
      <c r="F293" s="31"/>
    </row>
    <row r="294">
      <c r="A294" s="134" t="str">
        <f>IFERROR(__xludf.DUMMYFUNCTION("""COMPUTED_VALUE"""),"Andes")</f>
        <v>Andes</v>
      </c>
      <c r="B294" s="120" t="str">
        <f>IFERROR(__xludf.DUMMYFUNCTION("""COMPUTED_VALUE"""),"ADN")</f>
        <v>ADN</v>
      </c>
      <c r="C294" s="120" t="str">
        <f>IFERROR(__xludf.DUMMYFUNCTION("""COMPUTED_VALUE"""),"Andes")</f>
        <v>Andes</v>
      </c>
      <c r="D294" s="120" t="str">
        <f>IFERROR(__xludf.DUMMYFUNCTION("""COMPUTED_VALUE"""),"Colombia")</f>
        <v>Colombia</v>
      </c>
      <c r="E294" s="135"/>
      <c r="F294" s="31"/>
    </row>
    <row r="295">
      <c r="A295" s="134" t="str">
        <f>IFERROR(__xludf.DUMMYFUNCTION("""COMPUTED_VALUE"""),"Andizhan")</f>
        <v>Andizhan</v>
      </c>
      <c r="B295" s="120" t="str">
        <f>IFERROR(__xludf.DUMMYFUNCTION("""COMPUTED_VALUE"""),"AZN")</f>
        <v>AZN</v>
      </c>
      <c r="C295" s="120" t="str">
        <f>IFERROR(__xludf.DUMMYFUNCTION("""COMPUTED_VALUE"""),"Andizhan")</f>
        <v>Andizhan</v>
      </c>
      <c r="D295" s="120" t="str">
        <f>IFERROR(__xludf.DUMMYFUNCTION("""COMPUTED_VALUE"""),"Uzbekistan")</f>
        <v>Uzbekistan</v>
      </c>
      <c r="E295" s="135"/>
      <c r="F295" s="31"/>
    </row>
    <row r="296">
      <c r="A296" s="134" t="str">
        <f>IFERROR(__xludf.DUMMYFUNCTION("""COMPUTED_VALUE"""),"Andorra La Vella")</f>
        <v>Andorra La Vella</v>
      </c>
      <c r="B296" s="120" t="str">
        <f>IFERROR(__xludf.DUMMYFUNCTION("""COMPUTED_VALUE"""),"ALV")</f>
        <v>ALV</v>
      </c>
      <c r="C296" s="120" t="str">
        <f>IFERROR(__xludf.DUMMYFUNCTION("""COMPUTED_VALUE"""),"Andorra La Vella H/P")</f>
        <v>Andorra La Vella H/P</v>
      </c>
      <c r="D296" s="120"/>
      <c r="E296" s="135"/>
      <c r="F296" s="31"/>
    </row>
    <row r="297">
      <c r="A297" s="134" t="str">
        <f>IFERROR(__xludf.DUMMYFUNCTION("""COMPUTED_VALUE"""),"Andover")</f>
        <v>Andover</v>
      </c>
      <c r="B297" s="120" t="str">
        <f>IFERROR(__xludf.DUMMYFUNCTION("""COMPUTED_VALUE"""),"ADV")</f>
        <v>ADV</v>
      </c>
      <c r="C297" s="120" t="str">
        <f>IFERROR(__xludf.DUMMYFUNCTION("""COMPUTED_VALUE"""),"Andover")</f>
        <v>Andover</v>
      </c>
      <c r="D297" s="120" t="str">
        <f>IFERROR(__xludf.DUMMYFUNCTION("""COMPUTED_VALUE"""),"United Kingdom")</f>
        <v>United Kingdom</v>
      </c>
      <c r="E297" s="135"/>
      <c r="F297" s="31"/>
    </row>
    <row r="298">
      <c r="A298" s="134" t="str">
        <f>IFERROR(__xludf.DUMMYFUNCTION("""COMPUTED_VALUE"""),"Andrews")</f>
        <v>Andrews</v>
      </c>
      <c r="B298" s="120" t="str">
        <f>IFERROR(__xludf.DUMMYFUNCTION("""COMPUTED_VALUE"""),"ADR")</f>
        <v>ADR</v>
      </c>
      <c r="C298" s="120" t="str">
        <f>IFERROR(__xludf.DUMMYFUNCTION("""COMPUTED_VALUE"""),"Andrews")</f>
        <v>Andrews</v>
      </c>
      <c r="D298" s="120" t="str">
        <f>IFERROR(__xludf.DUMMYFUNCTION("""COMPUTED_VALUE"""),"United States")</f>
        <v>United States</v>
      </c>
      <c r="E298" s="135"/>
      <c r="F298" s="31"/>
    </row>
    <row r="299">
      <c r="A299" s="134" t="str">
        <f>IFERROR(__xludf.DUMMYFUNCTION("""COMPUTED_VALUE"""),"Andriamena")</f>
        <v>Andriamena</v>
      </c>
      <c r="B299" s="120" t="str">
        <f>IFERROR(__xludf.DUMMYFUNCTION("""COMPUTED_VALUE"""),"WAD")</f>
        <v>WAD</v>
      </c>
      <c r="C299" s="120" t="str">
        <f>IFERROR(__xludf.DUMMYFUNCTION("""COMPUTED_VALUE"""),"Andriamena")</f>
        <v>Andriamena</v>
      </c>
      <c r="D299" s="120" t="str">
        <f>IFERROR(__xludf.DUMMYFUNCTION("""COMPUTED_VALUE"""),"Madagascar")</f>
        <v>Madagascar</v>
      </c>
      <c r="E299" s="135"/>
      <c r="F299" s="31"/>
    </row>
    <row r="300">
      <c r="A300" s="134" t="str">
        <f>IFERROR(__xludf.DUMMYFUNCTION("""COMPUTED_VALUE"""),"Andros Town")</f>
        <v>Andros Town</v>
      </c>
      <c r="B300" s="120" t="str">
        <f>IFERROR(__xludf.DUMMYFUNCTION("""COMPUTED_VALUE"""),"ASD")</f>
        <v>ASD</v>
      </c>
      <c r="C300" s="120" t="str">
        <f>IFERROR(__xludf.DUMMYFUNCTION("""COMPUTED_VALUE"""),"Andros Town")</f>
        <v>Andros Town</v>
      </c>
      <c r="D300" s="120" t="str">
        <f>IFERROR(__xludf.DUMMYFUNCTION("""COMPUTED_VALUE"""),"Bahamas")</f>
        <v>Bahamas</v>
      </c>
      <c r="E300" s="135"/>
      <c r="F300" s="31"/>
    </row>
    <row r="301">
      <c r="A301" s="134" t="str">
        <f>IFERROR(__xludf.DUMMYFUNCTION("""COMPUTED_VALUE"""),"Andulo")</f>
        <v>Andulo</v>
      </c>
      <c r="B301" s="120" t="str">
        <f>IFERROR(__xludf.DUMMYFUNCTION("""COMPUTED_VALUE"""),"ANL")</f>
        <v>ANL</v>
      </c>
      <c r="C301" s="120" t="str">
        <f>IFERROR(__xludf.DUMMYFUNCTION("""COMPUTED_VALUE"""),"Andulo")</f>
        <v>Andulo</v>
      </c>
      <c r="D301" s="120" t="str">
        <f>IFERROR(__xludf.DUMMYFUNCTION("""COMPUTED_VALUE"""),"Angola")</f>
        <v>Angola</v>
      </c>
      <c r="E301" s="135"/>
      <c r="F301" s="31"/>
    </row>
    <row r="302">
      <c r="A302" s="134" t="str">
        <f>IFERROR(__xludf.DUMMYFUNCTION("""COMPUTED_VALUE"""),"Anegada")</f>
        <v>Anegada</v>
      </c>
      <c r="B302" s="120" t="str">
        <f>IFERROR(__xludf.DUMMYFUNCTION("""COMPUTED_VALUE"""),"NGD")</f>
        <v>NGD</v>
      </c>
      <c r="C302" s="120" t="str">
        <f>IFERROR(__xludf.DUMMYFUNCTION("""COMPUTED_VALUE"""),"Anegada")</f>
        <v>Anegada</v>
      </c>
      <c r="D302" s="120" t="str">
        <f>IFERROR(__xludf.DUMMYFUNCTION("""COMPUTED_VALUE"""),"Virgin Islands (British)")</f>
        <v>Virgin Islands (British)</v>
      </c>
      <c r="E302" s="135"/>
      <c r="F302" s="31"/>
    </row>
    <row r="303">
      <c r="A303" s="134" t="str">
        <f>IFERROR(__xludf.DUMMYFUNCTION("""COMPUTED_VALUE"""),"Aneityum")</f>
        <v>Aneityum</v>
      </c>
      <c r="B303" s="120" t="str">
        <f>IFERROR(__xludf.DUMMYFUNCTION("""COMPUTED_VALUE"""),"AUY")</f>
        <v>AUY</v>
      </c>
      <c r="C303" s="120" t="str">
        <f>IFERROR(__xludf.DUMMYFUNCTION("""COMPUTED_VALUE"""),"Aneityum")</f>
        <v>Aneityum</v>
      </c>
      <c r="D303" s="120" t="str">
        <f>IFERROR(__xludf.DUMMYFUNCTION("""COMPUTED_VALUE"""),"Vanuatu")</f>
        <v>Vanuatu</v>
      </c>
      <c r="E303" s="135"/>
      <c r="F303" s="31"/>
    </row>
    <row r="304">
      <c r="A304" s="134" t="str">
        <f>IFERROR(__xludf.DUMMYFUNCTION("""COMPUTED_VALUE"""),"Angel Fire")</f>
        <v>Angel Fire</v>
      </c>
      <c r="B304" s="120" t="str">
        <f>IFERROR(__xludf.DUMMYFUNCTION("""COMPUTED_VALUE"""),"AXX")</f>
        <v>AXX</v>
      </c>
      <c r="C304" s="120" t="str">
        <f>IFERROR(__xludf.DUMMYFUNCTION("""COMPUTED_VALUE"""),"Angel Fire")</f>
        <v>Angel Fire</v>
      </c>
      <c r="D304" s="120" t="str">
        <f>IFERROR(__xludf.DUMMYFUNCTION("""COMPUTED_VALUE"""),"United States")</f>
        <v>United States</v>
      </c>
      <c r="E304" s="135"/>
      <c r="F304" s="31"/>
    </row>
    <row r="305">
      <c r="A305" s="134" t="str">
        <f>IFERROR(__xludf.DUMMYFUNCTION("""COMPUTED_VALUE"""),"Angelholm/Helsingborg")</f>
        <v>Angelholm/Helsingborg</v>
      </c>
      <c r="B305" s="120" t="str">
        <f>IFERROR(__xludf.DUMMYFUNCTION("""COMPUTED_VALUE"""),"AGH")</f>
        <v>AGH</v>
      </c>
      <c r="C305" s="120" t="str">
        <f>IFERROR(__xludf.DUMMYFUNCTION("""COMPUTED_VALUE"""),"Angelholm")</f>
        <v>Angelholm</v>
      </c>
      <c r="D305" s="120" t="str">
        <f>IFERROR(__xludf.DUMMYFUNCTION("""COMPUTED_VALUE"""),"Sweden")</f>
        <v>Sweden</v>
      </c>
      <c r="E305" s="135"/>
      <c r="F305" s="31"/>
    </row>
    <row r="306">
      <c r="A306" s="134" t="str">
        <f>IFERROR(__xludf.DUMMYFUNCTION("""COMPUTED_VALUE"""),"Angelholm/Helsingborg")</f>
        <v>Angelholm/Helsingborg</v>
      </c>
      <c r="B306" s="120" t="str">
        <f>IFERROR(__xludf.DUMMYFUNCTION("""COMPUTED_VALUE"""),"XYQ")</f>
        <v>XYQ</v>
      </c>
      <c r="C306" s="120" t="str">
        <f>IFERROR(__xludf.DUMMYFUNCTION("""COMPUTED_VALUE"""),"Angelholm Railway Svc.")</f>
        <v>Angelholm Railway Svc.</v>
      </c>
      <c r="D306" s="120" t="str">
        <f>IFERROR(__xludf.DUMMYFUNCTION("""COMPUTED_VALUE"""),"Sweden")</f>
        <v>Sweden</v>
      </c>
      <c r="E306" s="135"/>
      <c r="F306" s="31"/>
    </row>
    <row r="307">
      <c r="A307" s="134" t="str">
        <f>IFERROR(__xludf.DUMMYFUNCTION("""COMPUTED_VALUE"""),"Angelholm/Helsingborg")</f>
        <v>Angelholm/Helsingborg</v>
      </c>
      <c r="B307" s="120" t="str">
        <f>IFERROR(__xludf.DUMMYFUNCTION("""COMPUTED_VALUE"""),"JHE")</f>
        <v>JHE</v>
      </c>
      <c r="C307" s="120" t="str">
        <f>IFERROR(__xludf.DUMMYFUNCTION("""COMPUTED_VALUE"""),"Heliport")</f>
        <v>Heliport</v>
      </c>
      <c r="D307" s="120" t="str">
        <f>IFERROR(__xludf.DUMMYFUNCTION("""COMPUTED_VALUE"""),"Sweden")</f>
        <v>Sweden</v>
      </c>
      <c r="E307" s="135"/>
      <c r="F307" s="31"/>
    </row>
    <row r="308">
      <c r="A308" s="134" t="str">
        <f>IFERROR(__xludf.DUMMYFUNCTION("""COMPUTED_VALUE"""),"Angelholm/Helsingborg")</f>
        <v>Angelholm/Helsingborg</v>
      </c>
      <c r="B308" s="120" t="str">
        <f>IFERROR(__xludf.DUMMYFUNCTION("""COMPUTED_VALUE"""),"XYH")</f>
        <v>XYH</v>
      </c>
      <c r="C308" s="120" t="str">
        <f>IFERROR(__xludf.DUMMYFUNCTION("""COMPUTED_VALUE"""),"Helsingborg Railway")</f>
        <v>Helsingborg Railway</v>
      </c>
      <c r="D308" s="120" t="str">
        <f>IFERROR(__xludf.DUMMYFUNCTION("""COMPUTED_VALUE"""),"Sweden")</f>
        <v>Sweden</v>
      </c>
      <c r="E308" s="135"/>
      <c r="F308" s="31"/>
    </row>
    <row r="309">
      <c r="A309" s="134" t="str">
        <f>IFERROR(__xludf.DUMMYFUNCTION("""COMPUTED_VALUE"""),"Angers")</f>
        <v>Angers</v>
      </c>
      <c r="B309" s="120" t="str">
        <f>IFERROR(__xludf.DUMMYFUNCTION("""COMPUTED_VALUE"""),"ANE")</f>
        <v>ANE</v>
      </c>
      <c r="C309" s="120" t="str">
        <f>IFERROR(__xludf.DUMMYFUNCTION("""COMPUTED_VALUE"""),"Marce")</f>
        <v>Marce</v>
      </c>
      <c r="D309" s="120" t="str">
        <f>IFERROR(__xludf.DUMMYFUNCTION("""COMPUTED_VALUE"""),"France")</f>
        <v>France</v>
      </c>
      <c r="E309" s="135"/>
      <c r="F309" s="31"/>
    </row>
    <row r="310">
      <c r="A310" s="134" t="str">
        <f>IFERROR(__xludf.DUMMYFUNCTION("""COMPUTED_VALUE"""),"Anggi")</f>
        <v>Anggi</v>
      </c>
      <c r="B310" s="120" t="str">
        <f>IFERROR(__xludf.DUMMYFUNCTION("""COMPUTED_VALUE"""),"AGD")</f>
        <v>AGD</v>
      </c>
      <c r="C310" s="120" t="str">
        <f>IFERROR(__xludf.DUMMYFUNCTION("""COMPUTED_VALUE"""),"Anggi")</f>
        <v>Anggi</v>
      </c>
      <c r="D310" s="120" t="str">
        <f>IFERROR(__xludf.DUMMYFUNCTION("""COMPUTED_VALUE"""),"Indonesia")</f>
        <v>Indonesia</v>
      </c>
      <c r="E310" s="135"/>
      <c r="F310" s="31"/>
    </row>
    <row r="311">
      <c r="A311" s="134" t="str">
        <f>IFERROR(__xludf.DUMMYFUNCTION("""COMPUTED_VALUE"""),"Angling Lake")</f>
        <v>Angling Lake</v>
      </c>
      <c r="B311" s="120" t="str">
        <f>IFERROR(__xludf.DUMMYFUNCTION("""COMPUTED_VALUE"""),"YAX")</f>
        <v>YAX</v>
      </c>
      <c r="C311" s="120" t="str">
        <f>IFERROR(__xludf.DUMMYFUNCTION("""COMPUTED_VALUE"""),"Angling Lake")</f>
        <v>Angling Lake</v>
      </c>
      <c r="D311" s="120" t="str">
        <f>IFERROR(__xludf.DUMMYFUNCTION("""COMPUTED_VALUE"""),"Canada")</f>
        <v>Canada</v>
      </c>
      <c r="E311" s="135"/>
      <c r="F311" s="31"/>
    </row>
    <row r="312">
      <c r="A312" s="134" t="str">
        <f>IFERROR(__xludf.DUMMYFUNCTION("""COMPUTED_VALUE"""),"Angoche")</f>
        <v>Angoche</v>
      </c>
      <c r="B312" s="120" t="str">
        <f>IFERROR(__xludf.DUMMYFUNCTION("""COMPUTED_VALUE"""),"ANO")</f>
        <v>ANO</v>
      </c>
      <c r="C312" s="120" t="str">
        <f>IFERROR(__xludf.DUMMYFUNCTION("""COMPUTED_VALUE"""),"Angoche")</f>
        <v>Angoche</v>
      </c>
      <c r="D312" s="120" t="str">
        <f>IFERROR(__xludf.DUMMYFUNCTION("""COMPUTED_VALUE"""),"Mozambique")</f>
        <v>Mozambique</v>
      </c>
      <c r="E312" s="135"/>
      <c r="F312" s="31"/>
    </row>
    <row r="313">
      <c r="A313" s="134" t="str">
        <f>IFERROR(__xludf.DUMMYFUNCTION("""COMPUTED_VALUE"""),"Angola")</f>
        <v>Angola</v>
      </c>
      <c r="B313" s="120" t="str">
        <f>IFERROR(__xludf.DUMMYFUNCTION("""COMPUTED_VALUE"""),"ANQ")</f>
        <v>ANQ</v>
      </c>
      <c r="C313" s="120" t="str">
        <f>IFERROR(__xludf.DUMMYFUNCTION("""COMPUTED_VALUE"""),"Tri-State Steuben Cty")</f>
        <v>Tri-State Steuben Cty</v>
      </c>
      <c r="D313" s="120" t="str">
        <f>IFERROR(__xludf.DUMMYFUNCTION("""COMPUTED_VALUE"""),"United States")</f>
        <v>United States</v>
      </c>
      <c r="E313" s="135"/>
      <c r="F313" s="31"/>
    </row>
    <row r="314">
      <c r="A314" s="134" t="str">
        <f>IFERROR(__xludf.DUMMYFUNCTION("""COMPUTED_VALUE"""),"Angoon")</f>
        <v>Angoon</v>
      </c>
      <c r="B314" s="120" t="str">
        <f>IFERROR(__xludf.DUMMYFUNCTION("""COMPUTED_VALUE"""),"AGN")</f>
        <v>AGN</v>
      </c>
      <c r="C314" s="120" t="str">
        <f>IFERROR(__xludf.DUMMYFUNCTION("""COMPUTED_VALUE"""),"Angoon")</f>
        <v>Angoon</v>
      </c>
      <c r="D314" s="120" t="str">
        <f>IFERROR(__xludf.DUMMYFUNCTION("""COMPUTED_VALUE"""),"United States")</f>
        <v>United States</v>
      </c>
      <c r="E314" s="135"/>
      <c r="F314" s="31"/>
    </row>
    <row r="315">
      <c r="A315" s="134" t="str">
        <f>IFERROR(__xludf.DUMMYFUNCTION("""COMPUTED_VALUE"""),"Angoram")</f>
        <v>Angoram</v>
      </c>
      <c r="B315" s="120" t="str">
        <f>IFERROR(__xludf.DUMMYFUNCTION("""COMPUTED_VALUE"""),"AGG")</f>
        <v>AGG</v>
      </c>
      <c r="C315" s="120" t="str">
        <f>IFERROR(__xludf.DUMMYFUNCTION("""COMPUTED_VALUE"""),"Angoram")</f>
        <v>Angoram</v>
      </c>
      <c r="D315" s="120" t="str">
        <f>IFERROR(__xludf.DUMMYFUNCTION("""COMPUTED_VALUE"""),"Papua New Guinea")</f>
        <v>Papua New Guinea</v>
      </c>
      <c r="E315" s="135"/>
      <c r="F315" s="31"/>
    </row>
    <row r="316">
      <c r="A316" s="134" t="str">
        <f>IFERROR(__xludf.DUMMYFUNCTION("""COMPUTED_VALUE"""),"Angouleme")</f>
        <v>Angouleme</v>
      </c>
      <c r="B316" s="120" t="str">
        <f>IFERROR(__xludf.DUMMYFUNCTION("""COMPUTED_VALUE"""),"ANG")</f>
        <v>ANG</v>
      </c>
      <c r="C316" s="120" t="str">
        <f>IFERROR(__xludf.DUMMYFUNCTION("""COMPUTED_VALUE"""),"Brie-Champniers")</f>
        <v>Brie-Champniers</v>
      </c>
      <c r="D316" s="120" t="str">
        <f>IFERROR(__xludf.DUMMYFUNCTION("""COMPUTED_VALUE"""),"France")</f>
        <v>France</v>
      </c>
      <c r="E316" s="135"/>
      <c r="F316" s="31"/>
    </row>
    <row r="317">
      <c r="A317" s="134" t="str">
        <f>IFERROR(__xludf.DUMMYFUNCTION("""COMPUTED_VALUE"""),"Anguganak")</f>
        <v>Anguganak</v>
      </c>
      <c r="B317" s="120" t="str">
        <f>IFERROR(__xludf.DUMMYFUNCTION("""COMPUTED_VALUE"""),"AKG")</f>
        <v>AKG</v>
      </c>
      <c r="C317" s="120" t="str">
        <f>IFERROR(__xludf.DUMMYFUNCTION("""COMPUTED_VALUE"""),"Anguganak")</f>
        <v>Anguganak</v>
      </c>
      <c r="D317" s="120" t="str">
        <f>IFERROR(__xludf.DUMMYFUNCTION("""COMPUTED_VALUE"""),"Papua New Guinea")</f>
        <v>Papua New Guinea</v>
      </c>
      <c r="E317" s="135"/>
      <c r="F317" s="31"/>
    </row>
    <row r="318">
      <c r="A318" s="134" t="str">
        <f>IFERROR(__xludf.DUMMYFUNCTION("""COMPUTED_VALUE"""),"Anguilla")</f>
        <v>Anguilla</v>
      </c>
      <c r="B318" s="120" t="str">
        <f>IFERROR(__xludf.DUMMYFUNCTION("""COMPUTED_VALUE"""),"AXA")</f>
        <v>AXA</v>
      </c>
      <c r="C318" s="120" t="str">
        <f>IFERROR(__xludf.DUMMYFUNCTION("""COMPUTED_VALUE"""),"Wallblake")</f>
        <v>Wallblake</v>
      </c>
      <c r="D318" s="120" t="str">
        <f>IFERROR(__xludf.DUMMYFUNCTION("""COMPUTED_VALUE"""),"Anguilla")</f>
        <v>Anguilla</v>
      </c>
      <c r="E318" s="135"/>
      <c r="F318" s="31"/>
    </row>
    <row r="319">
      <c r="A319" s="134" t="str">
        <f>IFERROR(__xludf.DUMMYFUNCTION("""COMPUTED_VALUE"""),"Anguilla")</f>
        <v>Anguilla</v>
      </c>
      <c r="B319" s="120" t="str">
        <f>IFERROR(__xludf.DUMMYFUNCTION("""COMPUTED_VALUE"""),"RFK")</f>
        <v>RFK</v>
      </c>
      <c r="C319" s="120" t="str">
        <f>IFERROR(__xludf.DUMMYFUNCTION("""COMPUTED_VALUE"""),"Rollang Field")</f>
        <v>Rollang Field</v>
      </c>
      <c r="D319" s="120" t="str">
        <f>IFERROR(__xludf.DUMMYFUNCTION("""COMPUTED_VALUE"""),"United States")</f>
        <v>United States</v>
      </c>
      <c r="E319" s="135"/>
      <c r="F319" s="31"/>
    </row>
    <row r="320">
      <c r="A320" s="134" t="str">
        <f>IFERROR(__xludf.DUMMYFUNCTION("""COMPUTED_VALUE"""),"Angus Downs")</f>
        <v>Angus Downs</v>
      </c>
      <c r="B320" s="120" t="str">
        <f>IFERROR(__xludf.DUMMYFUNCTION("""COMPUTED_VALUE"""),"ANZ")</f>
        <v>ANZ</v>
      </c>
      <c r="C320" s="120" t="str">
        <f>IFERROR(__xludf.DUMMYFUNCTION("""COMPUTED_VALUE"""),"Angus Downs")</f>
        <v>Angus Downs</v>
      </c>
      <c r="D320" s="120" t="str">
        <f>IFERROR(__xludf.DUMMYFUNCTION("""COMPUTED_VALUE"""),"Australia")</f>
        <v>Australia</v>
      </c>
      <c r="E320" s="135"/>
      <c r="F320" s="31"/>
    </row>
    <row r="321">
      <c r="A321" s="134" t="str">
        <f>IFERROR(__xludf.DUMMYFUNCTION("""COMPUTED_VALUE"""),"Aniak")</f>
        <v>Aniak</v>
      </c>
      <c r="B321" s="120" t="str">
        <f>IFERROR(__xludf.DUMMYFUNCTION("""COMPUTED_VALUE"""),"ANI")</f>
        <v>ANI</v>
      </c>
      <c r="C321" s="120" t="str">
        <f>IFERROR(__xludf.DUMMYFUNCTION("""COMPUTED_VALUE"""),"Aniak")</f>
        <v>Aniak</v>
      </c>
      <c r="D321" s="120" t="str">
        <f>IFERROR(__xludf.DUMMYFUNCTION("""COMPUTED_VALUE"""),"United States")</f>
        <v>United States</v>
      </c>
      <c r="E321" s="135"/>
      <c r="F321" s="31"/>
    </row>
    <row r="322">
      <c r="A322" s="134" t="str">
        <f>IFERROR(__xludf.DUMMYFUNCTION("""COMPUTED_VALUE"""),"Anita Bay")</f>
        <v>Anita Bay</v>
      </c>
      <c r="B322" s="120" t="str">
        <f>IFERROR(__xludf.DUMMYFUNCTION("""COMPUTED_VALUE"""),"AIB")</f>
        <v>AIB</v>
      </c>
      <c r="C322" s="120" t="str">
        <f>IFERROR(__xludf.DUMMYFUNCTION("""COMPUTED_VALUE"""),"Anita Bay")</f>
        <v>Anita Bay</v>
      </c>
      <c r="D322" s="120" t="str">
        <f>IFERROR(__xludf.DUMMYFUNCTION("""COMPUTED_VALUE"""),"United States")</f>
        <v>United States</v>
      </c>
      <c r="E322" s="135"/>
      <c r="F322" s="31"/>
    </row>
    <row r="323">
      <c r="A323" s="134" t="str">
        <f>IFERROR(__xludf.DUMMYFUNCTION("""COMPUTED_VALUE"""),"Aniwa")</f>
        <v>Aniwa</v>
      </c>
      <c r="B323" s="120" t="str">
        <f>IFERROR(__xludf.DUMMYFUNCTION("""COMPUTED_VALUE"""),"AWD")</f>
        <v>AWD</v>
      </c>
      <c r="C323" s="120" t="str">
        <f>IFERROR(__xludf.DUMMYFUNCTION("""COMPUTED_VALUE"""),"Aniwa")</f>
        <v>Aniwa</v>
      </c>
      <c r="D323" s="120" t="str">
        <f>IFERROR(__xludf.DUMMYFUNCTION("""COMPUTED_VALUE"""),"Vanuatu")</f>
        <v>Vanuatu</v>
      </c>
      <c r="E323" s="135"/>
      <c r="F323" s="31"/>
    </row>
    <row r="324">
      <c r="A324" s="134" t="str">
        <f>IFERROR(__xludf.DUMMYFUNCTION("""COMPUTED_VALUE"""),"Anjouan")</f>
        <v>Anjouan</v>
      </c>
      <c r="B324" s="120" t="str">
        <f>IFERROR(__xludf.DUMMYFUNCTION("""COMPUTED_VALUE"""),"AJN")</f>
        <v>AJN</v>
      </c>
      <c r="C324" s="120" t="str">
        <f>IFERROR(__xludf.DUMMYFUNCTION("""COMPUTED_VALUE"""),"Ouani")</f>
        <v>Ouani</v>
      </c>
      <c r="D324" s="120" t="str">
        <f>IFERROR(__xludf.DUMMYFUNCTION("""COMPUTED_VALUE"""),"Comoros")</f>
        <v>Comoros</v>
      </c>
      <c r="E324" s="135"/>
      <c r="F324" s="31"/>
    </row>
    <row r="325">
      <c r="A325" s="134" t="str">
        <f>IFERROR(__xludf.DUMMYFUNCTION("""COMPUTED_VALUE"""),"Ankang")</f>
        <v>Ankang</v>
      </c>
      <c r="B325" s="120" t="str">
        <f>IFERROR(__xludf.DUMMYFUNCTION("""COMPUTED_VALUE"""),"AKA")</f>
        <v>AKA</v>
      </c>
      <c r="C325" s="120" t="str">
        <f>IFERROR(__xludf.DUMMYFUNCTION("""COMPUTED_VALUE"""),"Ankang")</f>
        <v>Ankang</v>
      </c>
      <c r="D325" s="120" t="str">
        <f>IFERROR(__xludf.DUMMYFUNCTION("""COMPUTED_VALUE"""),"China")</f>
        <v>China</v>
      </c>
      <c r="E325" s="135"/>
      <c r="F325" s="31"/>
    </row>
    <row r="326">
      <c r="A326" s="134" t="str">
        <f>IFERROR(__xludf.DUMMYFUNCTION("""COMPUTED_VALUE"""),"Ankara")</f>
        <v>Ankara</v>
      </c>
      <c r="B326" s="120" t="str">
        <f>IFERROR(__xludf.DUMMYFUNCTION("""COMPUTED_VALUE"""),"ESB")</f>
        <v>ESB</v>
      </c>
      <c r="C326" s="120" t="str">
        <f>IFERROR(__xludf.DUMMYFUNCTION("""COMPUTED_VALUE"""),"Esenboga")</f>
        <v>Esenboga</v>
      </c>
      <c r="D326" s="120" t="str">
        <f>IFERROR(__xludf.DUMMYFUNCTION("""COMPUTED_VALUE"""),"Turkey")</f>
        <v>Turkey</v>
      </c>
      <c r="E326" s="135"/>
      <c r="F326" s="31"/>
    </row>
    <row r="327">
      <c r="A327" s="134" t="str">
        <f>IFERROR(__xludf.DUMMYFUNCTION("""COMPUTED_VALUE"""),"Ankara")</f>
        <v>Ankara</v>
      </c>
      <c r="B327" s="120" t="str">
        <f>IFERROR(__xludf.DUMMYFUNCTION("""COMPUTED_VALUE"""),"ANK")</f>
        <v>ANK</v>
      </c>
      <c r="C327" s="120" t="str">
        <f>IFERROR(__xludf.DUMMYFUNCTION("""COMPUTED_VALUE"""),"Etimesgut")</f>
        <v>Etimesgut</v>
      </c>
      <c r="D327" s="120" t="str">
        <f>IFERROR(__xludf.DUMMYFUNCTION("""COMPUTED_VALUE"""),"Turkey")</f>
        <v>Turkey</v>
      </c>
      <c r="E327" s="135"/>
      <c r="F327" s="31"/>
    </row>
    <row r="328">
      <c r="A328" s="134" t="str">
        <f>IFERROR(__xludf.DUMMYFUNCTION("""COMPUTED_VALUE"""),"Ankavandra")</f>
        <v>Ankavandra</v>
      </c>
      <c r="B328" s="120" t="str">
        <f>IFERROR(__xludf.DUMMYFUNCTION("""COMPUTED_VALUE"""),"JVA")</f>
        <v>JVA</v>
      </c>
      <c r="C328" s="120" t="str">
        <f>IFERROR(__xludf.DUMMYFUNCTION("""COMPUTED_VALUE"""),"Ankavandra")</f>
        <v>Ankavandra</v>
      </c>
      <c r="D328" s="120" t="str">
        <f>IFERROR(__xludf.DUMMYFUNCTION("""COMPUTED_VALUE"""),"Madagascar")</f>
        <v>Madagascar</v>
      </c>
      <c r="E328" s="135"/>
      <c r="F328" s="31"/>
    </row>
    <row r="329">
      <c r="A329" s="134" t="str">
        <f>IFERROR(__xludf.DUMMYFUNCTION("""COMPUTED_VALUE"""),"Ankazoabo")</f>
        <v>Ankazoabo</v>
      </c>
      <c r="B329" s="120" t="str">
        <f>IFERROR(__xludf.DUMMYFUNCTION("""COMPUTED_VALUE"""),"WAK")</f>
        <v>WAK</v>
      </c>
      <c r="C329" s="120" t="str">
        <f>IFERROR(__xludf.DUMMYFUNCTION("""COMPUTED_VALUE"""),"Ankazoabo")</f>
        <v>Ankazoabo</v>
      </c>
      <c r="D329" s="120" t="str">
        <f>IFERROR(__xludf.DUMMYFUNCTION("""COMPUTED_VALUE"""),"Madagascar")</f>
        <v>Madagascar</v>
      </c>
      <c r="E329" s="135"/>
      <c r="F329" s="31"/>
    </row>
    <row r="330">
      <c r="A330" s="134" t="str">
        <f>IFERROR(__xludf.DUMMYFUNCTION("""COMPUTED_VALUE"""),"Ankokoambo")</f>
        <v>Ankokoambo</v>
      </c>
      <c r="B330" s="120" t="str">
        <f>IFERROR(__xludf.DUMMYFUNCTION("""COMPUTED_VALUE"""),"NKO")</f>
        <v>NKO</v>
      </c>
      <c r="C330" s="120" t="str">
        <f>IFERROR(__xludf.DUMMYFUNCTION("""COMPUTED_VALUE"""),"Ankokoambo")</f>
        <v>Ankokoambo</v>
      </c>
      <c r="D330" s="120" t="str">
        <f>IFERROR(__xludf.DUMMYFUNCTION("""COMPUTED_VALUE"""),"Madagascar")</f>
        <v>Madagascar</v>
      </c>
      <c r="E330" s="135"/>
      <c r="F330" s="31"/>
    </row>
    <row r="331">
      <c r="A331" s="134" t="str">
        <f>IFERROR(__xludf.DUMMYFUNCTION("""COMPUTED_VALUE"""),"Ankorefo")</f>
        <v>Ankorefo</v>
      </c>
      <c r="B331" s="120" t="str">
        <f>IFERROR(__xludf.DUMMYFUNCTION("""COMPUTED_VALUE"""),"WOR")</f>
        <v>WOR</v>
      </c>
      <c r="C331" s="120" t="str">
        <f>IFERROR(__xludf.DUMMYFUNCTION("""COMPUTED_VALUE"""),"Moramba")</f>
        <v>Moramba</v>
      </c>
      <c r="D331" s="120" t="str">
        <f>IFERROR(__xludf.DUMMYFUNCTION("""COMPUTED_VALUE"""),"Madagascar")</f>
        <v>Madagascar</v>
      </c>
      <c r="E331" s="135"/>
      <c r="F331" s="31"/>
    </row>
    <row r="332">
      <c r="A332" s="134" t="str">
        <f>IFERROR(__xludf.DUMMYFUNCTION("""COMPUTED_VALUE"""),"Ann Arbor")</f>
        <v>Ann Arbor</v>
      </c>
      <c r="B332" s="120" t="str">
        <f>IFERROR(__xludf.DUMMYFUNCTION("""COMPUTED_VALUE"""),"ARB")</f>
        <v>ARB</v>
      </c>
      <c r="C332" s="120" t="str">
        <f>IFERROR(__xludf.DUMMYFUNCTION("""COMPUTED_VALUE"""),"Municipal")</f>
        <v>Municipal</v>
      </c>
      <c r="D332" s="120" t="str">
        <f>IFERROR(__xludf.DUMMYFUNCTION("""COMPUTED_VALUE"""),"United States")</f>
        <v>United States</v>
      </c>
      <c r="E332" s="135"/>
      <c r="F332" s="31"/>
    </row>
    <row r="333">
      <c r="A333" s="134" t="str">
        <f>IFERROR(__xludf.DUMMYFUNCTION("""COMPUTED_VALUE"""),"Annaba")</f>
        <v>Annaba</v>
      </c>
      <c r="B333" s="120" t="str">
        <f>IFERROR(__xludf.DUMMYFUNCTION("""COMPUTED_VALUE"""),"AAE")</f>
        <v>AAE</v>
      </c>
      <c r="C333" s="120" t="str">
        <f>IFERROR(__xludf.DUMMYFUNCTION("""COMPUTED_VALUE"""),"Les Salines")</f>
        <v>Les Salines</v>
      </c>
      <c r="D333" s="120" t="str">
        <f>IFERROR(__xludf.DUMMYFUNCTION("""COMPUTED_VALUE"""),"Algeria")</f>
        <v>Algeria</v>
      </c>
      <c r="E333" s="135"/>
      <c r="F333" s="31"/>
    </row>
    <row r="334">
      <c r="A334" s="134" t="str">
        <f>IFERROR(__xludf.DUMMYFUNCTION("""COMPUTED_VALUE"""),"Annai")</f>
        <v>Annai</v>
      </c>
      <c r="B334" s="120" t="str">
        <f>IFERROR(__xludf.DUMMYFUNCTION("""COMPUTED_VALUE"""),"NAI")</f>
        <v>NAI</v>
      </c>
      <c r="C334" s="120" t="str">
        <f>IFERROR(__xludf.DUMMYFUNCTION("""COMPUTED_VALUE"""),"Annai")</f>
        <v>Annai</v>
      </c>
      <c r="D334" s="120" t="str">
        <f>IFERROR(__xludf.DUMMYFUNCTION("""COMPUTED_VALUE"""),"Guyana")</f>
        <v>Guyana</v>
      </c>
      <c r="E334" s="135"/>
      <c r="F334" s="31"/>
    </row>
    <row r="335">
      <c r="A335" s="134" t="str">
        <f>IFERROR(__xludf.DUMMYFUNCTION("""COMPUTED_VALUE"""),"Annanberg")</f>
        <v>Annanberg</v>
      </c>
      <c r="B335" s="120" t="str">
        <f>IFERROR(__xludf.DUMMYFUNCTION("""COMPUTED_VALUE"""),"AOB")</f>
        <v>AOB</v>
      </c>
      <c r="C335" s="120" t="str">
        <f>IFERROR(__xludf.DUMMYFUNCTION("""COMPUTED_VALUE"""),"Annanberg")</f>
        <v>Annanberg</v>
      </c>
      <c r="D335" s="120" t="str">
        <f>IFERROR(__xludf.DUMMYFUNCTION("""COMPUTED_VALUE"""),"Papua New Guinea")</f>
        <v>Papua New Guinea</v>
      </c>
      <c r="E335" s="135"/>
      <c r="F335" s="31"/>
    </row>
    <row r="336">
      <c r="A336" s="134" t="str">
        <f>IFERROR(__xludf.DUMMYFUNCTION("""COMPUTED_VALUE"""),"Annapolis")</f>
        <v>Annapolis</v>
      </c>
      <c r="B336" s="120" t="str">
        <f>IFERROR(__xludf.DUMMYFUNCTION("""COMPUTED_VALUE"""),"ANP")</f>
        <v>ANP</v>
      </c>
      <c r="C336" s="120" t="str">
        <f>IFERROR(__xludf.DUMMYFUNCTION("""COMPUTED_VALUE"""),"Lee")</f>
        <v>Lee</v>
      </c>
      <c r="D336" s="120" t="str">
        <f>IFERROR(__xludf.DUMMYFUNCTION("""COMPUTED_VALUE"""),"United States")</f>
        <v>United States</v>
      </c>
      <c r="E336" s="135"/>
      <c r="F336" s="31"/>
    </row>
    <row r="337">
      <c r="A337" s="134" t="str">
        <f>IFERROR(__xludf.DUMMYFUNCTION("""COMPUTED_VALUE"""),"Annecy")</f>
        <v>Annecy</v>
      </c>
      <c r="B337" s="120" t="str">
        <f>IFERROR(__xludf.DUMMYFUNCTION("""COMPUTED_VALUE"""),"NCY")</f>
        <v>NCY</v>
      </c>
      <c r="C337" s="120" t="str">
        <f>IFERROR(__xludf.DUMMYFUNCTION("""COMPUTED_VALUE"""),"Annecy-Meythe")</f>
        <v>Annecy-Meythe</v>
      </c>
      <c r="D337" s="120" t="str">
        <f>IFERROR(__xludf.DUMMYFUNCTION("""COMPUTED_VALUE"""),"France")</f>
        <v>France</v>
      </c>
      <c r="E337" s="135"/>
      <c r="F337" s="31"/>
    </row>
    <row r="338">
      <c r="A338" s="134" t="str">
        <f>IFERROR(__xludf.DUMMYFUNCTION("""COMPUTED_VALUE"""),"Annette Island")</f>
        <v>Annette Island</v>
      </c>
      <c r="B338" s="120" t="str">
        <f>IFERROR(__xludf.DUMMYFUNCTION("""COMPUTED_VALUE"""),"ANN")</f>
        <v>ANN</v>
      </c>
      <c r="C338" s="120" t="str">
        <f>IFERROR(__xludf.DUMMYFUNCTION("""COMPUTED_VALUE"""),"Annette Island")</f>
        <v>Annette Island</v>
      </c>
      <c r="D338" s="120" t="str">
        <f>IFERROR(__xludf.DUMMYFUNCTION("""COMPUTED_VALUE"""),"United States")</f>
        <v>United States</v>
      </c>
      <c r="E338" s="135"/>
      <c r="F338" s="31"/>
    </row>
    <row r="339">
      <c r="A339" s="134" t="str">
        <f>IFERROR(__xludf.DUMMYFUNCTION("""COMPUTED_VALUE"""),"Anniston")</f>
        <v>Anniston</v>
      </c>
      <c r="B339" s="120" t="str">
        <f>IFERROR(__xludf.DUMMYFUNCTION("""COMPUTED_VALUE"""),"ANB")</f>
        <v>ANB</v>
      </c>
      <c r="C339" s="120" t="str">
        <f>IFERROR(__xludf.DUMMYFUNCTION("""COMPUTED_VALUE"""),"County Arpt")</f>
        <v>County Arpt</v>
      </c>
      <c r="D339" s="120" t="str">
        <f>IFERROR(__xludf.DUMMYFUNCTION("""COMPUTED_VALUE"""),"United States")</f>
        <v>United States</v>
      </c>
      <c r="E339" s="135"/>
      <c r="F339" s="31"/>
    </row>
    <row r="340">
      <c r="A340" s="134" t="str">
        <f>IFERROR(__xludf.DUMMYFUNCTION("""COMPUTED_VALUE"""),"Anniston")</f>
        <v>Anniston</v>
      </c>
      <c r="B340" s="120" t="str">
        <f>IFERROR(__xludf.DUMMYFUNCTION("""COMPUTED_VALUE"""),"QAW")</f>
        <v>QAW</v>
      </c>
      <c r="C340" s="120" t="str">
        <f>IFERROR(__xludf.DUMMYFUNCTION("""COMPUTED_VALUE"""),"Ft Mcclellan Bus Trml")</f>
        <v>Ft Mcclellan Bus Trml</v>
      </c>
      <c r="D340" s="120" t="str">
        <f>IFERROR(__xludf.DUMMYFUNCTION("""COMPUTED_VALUE"""),"United States")</f>
        <v>United States</v>
      </c>
      <c r="E340" s="135"/>
      <c r="F340" s="31"/>
    </row>
    <row r="341">
      <c r="A341" s="134" t="str">
        <f>IFERROR(__xludf.DUMMYFUNCTION("""COMPUTED_VALUE"""),"Anniston")</f>
        <v>Anniston</v>
      </c>
      <c r="B341" s="120" t="str">
        <f>IFERROR(__xludf.DUMMYFUNCTION("""COMPUTED_VALUE"""),"RLI")</f>
        <v>RLI</v>
      </c>
      <c r="C341" s="120" t="str">
        <f>IFERROR(__xludf.DUMMYFUNCTION("""COMPUTED_VALUE"""),"Reilly AHP")</f>
        <v>Reilly AHP</v>
      </c>
      <c r="D341" s="120" t="str">
        <f>IFERROR(__xludf.DUMMYFUNCTION("""COMPUTED_VALUE"""),"United States")</f>
        <v>United States</v>
      </c>
      <c r="E341" s="135"/>
      <c r="F341" s="31"/>
    </row>
    <row r="342">
      <c r="A342" s="134" t="str">
        <f>IFERROR(__xludf.DUMMYFUNCTION("""COMPUTED_VALUE"""),"Anqing")</f>
        <v>Anqing</v>
      </c>
      <c r="B342" s="120" t="str">
        <f>IFERROR(__xludf.DUMMYFUNCTION("""COMPUTED_VALUE"""),"AQG")</f>
        <v>AQG</v>
      </c>
      <c r="C342" s="120" t="str">
        <f>IFERROR(__xludf.DUMMYFUNCTION("""COMPUTED_VALUE"""),"Anqing")</f>
        <v>Anqing</v>
      </c>
      <c r="D342" s="120" t="str">
        <f>IFERROR(__xludf.DUMMYFUNCTION("""COMPUTED_VALUE"""),"China")</f>
        <v>China</v>
      </c>
      <c r="E342" s="135"/>
      <c r="F342" s="31"/>
    </row>
    <row r="343">
      <c r="A343" s="134" t="str">
        <f>IFERROR(__xludf.DUMMYFUNCTION("""COMPUTED_VALUE"""),"Anshan")</f>
        <v>Anshan</v>
      </c>
      <c r="B343" s="120" t="str">
        <f>IFERROR(__xludf.DUMMYFUNCTION("""COMPUTED_VALUE"""),"AOG")</f>
        <v>AOG</v>
      </c>
      <c r="C343" s="120" t="str">
        <f>IFERROR(__xludf.DUMMYFUNCTION("""COMPUTED_VALUE"""),"Anshan")</f>
        <v>Anshan</v>
      </c>
      <c r="D343" s="120" t="str">
        <f>IFERROR(__xludf.DUMMYFUNCTION("""COMPUTED_VALUE"""),"China")</f>
        <v>China</v>
      </c>
      <c r="E343" s="135"/>
      <c r="F343" s="31"/>
    </row>
    <row r="344">
      <c r="A344" s="134" t="str">
        <f>IFERROR(__xludf.DUMMYFUNCTION("""COMPUTED_VALUE"""),"Anta")</f>
        <v>Anta</v>
      </c>
      <c r="B344" s="120" t="str">
        <f>IFERROR(__xludf.DUMMYFUNCTION("""COMPUTED_VALUE"""),"ATA")</f>
        <v>ATA</v>
      </c>
      <c r="C344" s="120" t="str">
        <f>IFERROR(__xludf.DUMMYFUNCTION("""COMPUTED_VALUE"""),"Anta")</f>
        <v>Anta</v>
      </c>
      <c r="D344" s="120" t="str">
        <f>IFERROR(__xludf.DUMMYFUNCTION("""COMPUTED_VALUE"""),"Peru")</f>
        <v>Peru</v>
      </c>
      <c r="E344" s="135"/>
      <c r="F344" s="31"/>
    </row>
    <row r="345">
      <c r="A345" s="134" t="str">
        <f>IFERROR(__xludf.DUMMYFUNCTION("""COMPUTED_VALUE"""),"Antalaha")</f>
        <v>Antalaha</v>
      </c>
      <c r="B345" s="120" t="str">
        <f>IFERROR(__xludf.DUMMYFUNCTION("""COMPUTED_VALUE"""),"ANM")</f>
        <v>ANM</v>
      </c>
      <c r="C345" s="120" t="str">
        <f>IFERROR(__xludf.DUMMYFUNCTION("""COMPUTED_VALUE"""),"Antsirabato")</f>
        <v>Antsirabato</v>
      </c>
      <c r="D345" s="120" t="str">
        <f>IFERROR(__xludf.DUMMYFUNCTION("""COMPUTED_VALUE"""),"Madagascar")</f>
        <v>Madagascar</v>
      </c>
      <c r="E345" s="135"/>
      <c r="F345" s="31"/>
    </row>
    <row r="346">
      <c r="A346" s="134" t="str">
        <f>IFERROR(__xludf.DUMMYFUNCTION("""COMPUTED_VALUE"""),"Antalya")</f>
        <v>Antalya</v>
      </c>
      <c r="B346" s="120" t="str">
        <f>IFERROR(__xludf.DUMMYFUNCTION("""COMPUTED_VALUE"""),"AYT")</f>
        <v>AYT</v>
      </c>
      <c r="C346" s="120" t="str">
        <f>IFERROR(__xludf.DUMMYFUNCTION("""COMPUTED_VALUE"""),"Antalya")</f>
        <v>Antalya</v>
      </c>
      <c r="D346" s="120" t="str">
        <f>IFERROR(__xludf.DUMMYFUNCTION("""COMPUTED_VALUE"""),"Turkey")</f>
        <v>Turkey</v>
      </c>
      <c r="E346" s="135"/>
      <c r="F346" s="31"/>
    </row>
    <row r="347">
      <c r="A347" s="134" t="str">
        <f>IFERROR(__xludf.DUMMYFUNCTION("""COMPUTED_VALUE"""),"Antananarivo")</f>
        <v>Antananarivo</v>
      </c>
      <c r="B347" s="120" t="str">
        <f>IFERROR(__xludf.DUMMYFUNCTION("""COMPUTED_VALUE"""),"TNR")</f>
        <v>TNR</v>
      </c>
      <c r="C347" s="120" t="str">
        <f>IFERROR(__xludf.DUMMYFUNCTION("""COMPUTED_VALUE"""),"Antananarivo")</f>
        <v>Antananarivo</v>
      </c>
      <c r="D347" s="120" t="str">
        <f>IFERROR(__xludf.DUMMYFUNCTION("""COMPUTED_VALUE"""),"Madagascar")</f>
        <v>Madagascar</v>
      </c>
      <c r="E347" s="135"/>
      <c r="F347" s="31"/>
    </row>
    <row r="348">
      <c r="A348" s="134" t="str">
        <f>IFERROR(__xludf.DUMMYFUNCTION("""COMPUTED_VALUE"""),"Anthony")</f>
        <v>Anthony</v>
      </c>
      <c r="B348" s="120" t="str">
        <f>IFERROR(__xludf.DUMMYFUNCTION("""COMPUTED_VALUE"""),"ANY")</f>
        <v>ANY</v>
      </c>
      <c r="C348" s="120" t="str">
        <f>IFERROR(__xludf.DUMMYFUNCTION("""COMPUTED_VALUE"""),"Anthony")</f>
        <v>Anthony</v>
      </c>
      <c r="D348" s="120" t="str">
        <f>IFERROR(__xludf.DUMMYFUNCTION("""COMPUTED_VALUE"""),"United States")</f>
        <v>United States</v>
      </c>
      <c r="E348" s="135"/>
      <c r="F348" s="31"/>
    </row>
    <row r="349">
      <c r="A349" s="134" t="str">
        <f>IFERROR(__xludf.DUMMYFUNCTION("""COMPUTED_VALUE"""),"Anthony Lagoon")</f>
        <v>Anthony Lagoon</v>
      </c>
      <c r="B349" s="120" t="str">
        <f>IFERROR(__xludf.DUMMYFUNCTION("""COMPUTED_VALUE"""),"AYL")</f>
        <v>AYL</v>
      </c>
      <c r="C349" s="120" t="str">
        <f>IFERROR(__xludf.DUMMYFUNCTION("""COMPUTED_VALUE"""),"Anthony Lagoon")</f>
        <v>Anthony Lagoon</v>
      </c>
      <c r="D349" s="120" t="str">
        <f>IFERROR(__xludf.DUMMYFUNCTION("""COMPUTED_VALUE"""),"Australia")</f>
        <v>Australia</v>
      </c>
      <c r="E349" s="135"/>
      <c r="F349" s="31"/>
    </row>
    <row r="350">
      <c r="A350" s="134" t="str">
        <f>IFERROR(__xludf.DUMMYFUNCTION("""COMPUTED_VALUE"""),"Antigua")</f>
        <v>Antigua</v>
      </c>
      <c r="B350" s="120" t="str">
        <f>IFERROR(__xludf.DUMMYFUNCTION("""COMPUTED_VALUE"""),"ANU")</f>
        <v>ANU</v>
      </c>
      <c r="C350" s="120" t="str">
        <f>IFERROR(__xludf.DUMMYFUNCTION("""COMPUTED_VALUE"""),"V.C. Bird Intl")</f>
        <v>V.C. Bird Intl</v>
      </c>
      <c r="D350" s="120" t="str">
        <f>IFERROR(__xludf.DUMMYFUNCTION("""COMPUTED_VALUE"""),"Antigua and Barbuda")</f>
        <v>Antigua and Barbuda</v>
      </c>
      <c r="E350" s="135"/>
      <c r="F350" s="31"/>
    </row>
    <row r="351">
      <c r="A351" s="134" t="str">
        <f>IFERROR(__xludf.DUMMYFUNCTION("""COMPUTED_VALUE"""),"Antique")</f>
        <v>Antique</v>
      </c>
      <c r="B351" s="120" t="str">
        <f>IFERROR(__xludf.DUMMYFUNCTION("""COMPUTED_VALUE"""),"EUQ")</f>
        <v>EUQ</v>
      </c>
      <c r="C351" s="120" t="str">
        <f>IFERROR(__xludf.DUMMYFUNCTION("""COMPUTED_VALUE"""),"Evelio Javier")</f>
        <v>Evelio Javier</v>
      </c>
      <c r="D351" s="120" t="str">
        <f>IFERROR(__xludf.DUMMYFUNCTION("""COMPUTED_VALUE"""),"Philippines")</f>
        <v>Philippines</v>
      </c>
      <c r="E351" s="135"/>
      <c r="F351" s="31"/>
    </row>
    <row r="352">
      <c r="A352" s="134" t="str">
        <f>IFERROR(__xludf.DUMMYFUNCTION("""COMPUTED_VALUE"""),"Antlers")</f>
        <v>Antlers</v>
      </c>
      <c r="B352" s="120" t="str">
        <f>IFERROR(__xludf.DUMMYFUNCTION("""COMPUTED_VALUE"""),"ATE")</f>
        <v>ATE</v>
      </c>
      <c r="C352" s="120" t="str">
        <f>IFERROR(__xludf.DUMMYFUNCTION("""COMPUTED_VALUE"""),"Antlers")</f>
        <v>Antlers</v>
      </c>
      <c r="D352" s="120" t="str">
        <f>IFERROR(__xludf.DUMMYFUNCTION("""COMPUTED_VALUE"""),"United States")</f>
        <v>United States</v>
      </c>
      <c r="E352" s="135"/>
      <c r="F352" s="31"/>
    </row>
    <row r="353">
      <c r="A353" s="134" t="str">
        <f>IFERROR(__xludf.DUMMYFUNCTION("""COMPUTED_VALUE"""),"Antofagasta")</f>
        <v>Antofagasta</v>
      </c>
      <c r="B353" s="120" t="str">
        <f>IFERROR(__xludf.DUMMYFUNCTION("""COMPUTED_VALUE"""),"ANF")</f>
        <v>ANF</v>
      </c>
      <c r="C353" s="120" t="str">
        <f>IFERROR(__xludf.DUMMYFUNCTION("""COMPUTED_VALUE"""),"Cerro Moreno")</f>
        <v>Cerro Moreno</v>
      </c>
      <c r="D353" s="120" t="str">
        <f>IFERROR(__xludf.DUMMYFUNCTION("""COMPUTED_VALUE"""),"Chile")</f>
        <v>Chile</v>
      </c>
      <c r="E353" s="135"/>
      <c r="F353" s="31"/>
    </row>
    <row r="354">
      <c r="A354" s="134" t="str">
        <f>IFERROR(__xludf.DUMMYFUNCTION("""COMPUTED_VALUE"""),"Antsalova")</f>
        <v>Antsalova</v>
      </c>
      <c r="B354" s="120" t="str">
        <f>IFERROR(__xludf.DUMMYFUNCTION("""COMPUTED_VALUE"""),"WAQ")</f>
        <v>WAQ</v>
      </c>
      <c r="C354" s="120" t="str">
        <f>IFERROR(__xludf.DUMMYFUNCTION("""COMPUTED_VALUE"""),"Antsalova")</f>
        <v>Antsalova</v>
      </c>
      <c r="D354" s="120" t="str">
        <f>IFERROR(__xludf.DUMMYFUNCTION("""COMPUTED_VALUE"""),"Madagascar")</f>
        <v>Madagascar</v>
      </c>
      <c r="E354" s="135"/>
      <c r="F354" s="31"/>
    </row>
    <row r="355">
      <c r="A355" s="134" t="str">
        <f>IFERROR(__xludf.DUMMYFUNCTION("""COMPUTED_VALUE"""),"Antsirabe")</f>
        <v>Antsirabe</v>
      </c>
      <c r="B355" s="120" t="str">
        <f>IFERROR(__xludf.DUMMYFUNCTION("""COMPUTED_VALUE"""),"ATJ")</f>
        <v>ATJ</v>
      </c>
      <c r="C355" s="120" t="str">
        <f>IFERROR(__xludf.DUMMYFUNCTION("""COMPUTED_VALUE"""),"Antsirabe")</f>
        <v>Antsirabe</v>
      </c>
      <c r="D355" s="120" t="str">
        <f>IFERROR(__xludf.DUMMYFUNCTION("""COMPUTED_VALUE"""),"Madagascar")</f>
        <v>Madagascar</v>
      </c>
      <c r="E355" s="135"/>
      <c r="F355" s="31"/>
    </row>
    <row r="356">
      <c r="A356" s="134" t="str">
        <f>IFERROR(__xludf.DUMMYFUNCTION("""COMPUTED_VALUE"""),"Antsiranana")</f>
        <v>Antsiranana</v>
      </c>
      <c r="B356" s="120" t="str">
        <f>IFERROR(__xludf.DUMMYFUNCTION("""COMPUTED_VALUE"""),"DIE")</f>
        <v>DIE</v>
      </c>
      <c r="C356" s="120" t="str">
        <f>IFERROR(__xludf.DUMMYFUNCTION("""COMPUTED_VALUE"""),"Antsiranana/Arrachart")</f>
        <v>Antsiranana/Arrachart</v>
      </c>
      <c r="D356" s="120" t="str">
        <f>IFERROR(__xludf.DUMMYFUNCTION("""COMPUTED_VALUE"""),"Madagascar")</f>
        <v>Madagascar</v>
      </c>
      <c r="E356" s="135"/>
      <c r="F356" s="31"/>
    </row>
    <row r="357">
      <c r="A357" s="134" t="str">
        <f>IFERROR(__xludf.DUMMYFUNCTION("""COMPUTED_VALUE"""),"Antsohihy")</f>
        <v>Antsohihy</v>
      </c>
      <c r="B357" s="120" t="str">
        <f>IFERROR(__xludf.DUMMYFUNCTION("""COMPUTED_VALUE"""),"WAI")</f>
        <v>WAI</v>
      </c>
      <c r="C357" s="120" t="str">
        <f>IFERROR(__xludf.DUMMYFUNCTION("""COMPUTED_VALUE"""),"Antsohihy")</f>
        <v>Antsohihy</v>
      </c>
      <c r="D357" s="120" t="str">
        <f>IFERROR(__xludf.DUMMYFUNCTION("""COMPUTED_VALUE"""),"Madagascar")</f>
        <v>Madagascar</v>
      </c>
      <c r="E357" s="135"/>
      <c r="F357" s="31"/>
    </row>
    <row r="358">
      <c r="A358" s="134" t="str">
        <f>IFERROR(__xludf.DUMMYFUNCTION("""COMPUTED_VALUE"""),"Antwerp")</f>
        <v>Antwerp</v>
      </c>
      <c r="B358" s="120" t="str">
        <f>IFERROR(__xludf.DUMMYFUNCTION("""COMPUTED_VALUE"""),"ZYZ")</f>
        <v>ZYZ</v>
      </c>
      <c r="C358" s="120" t="str">
        <f>IFERROR(__xludf.DUMMYFUNCTION("""COMPUTED_VALUE"""),"Berchem Railway Stn.")</f>
        <v>Berchem Railway Stn.</v>
      </c>
      <c r="D358" s="120" t="str">
        <f>IFERROR(__xludf.DUMMYFUNCTION("""COMPUTED_VALUE"""),"Belgium")</f>
        <v>Belgium</v>
      </c>
      <c r="E358" s="135"/>
      <c r="F358" s="31"/>
    </row>
    <row r="359">
      <c r="A359" s="134" t="str">
        <f>IFERROR(__xludf.DUMMYFUNCTION("""COMPUTED_VALUE"""),"Antwerp")</f>
        <v>Antwerp</v>
      </c>
      <c r="B359" s="120" t="str">
        <f>IFERROR(__xludf.DUMMYFUNCTION("""COMPUTED_VALUE"""),"ZAY")</f>
        <v>ZAY</v>
      </c>
      <c r="C359" s="120" t="str">
        <f>IFERROR(__xludf.DUMMYFUNCTION("""COMPUTED_VALUE"""),"De Keyserlei Bus Stn.")</f>
        <v>De Keyserlei Bus Stn.</v>
      </c>
      <c r="D359" s="120" t="str">
        <f>IFERROR(__xludf.DUMMYFUNCTION("""COMPUTED_VALUE"""),"Belgium")</f>
        <v>Belgium</v>
      </c>
      <c r="E359" s="135"/>
      <c r="F359" s="31"/>
    </row>
    <row r="360">
      <c r="A360" s="134" t="str">
        <f>IFERROR(__xludf.DUMMYFUNCTION("""COMPUTED_VALUE"""),"Antwerp")</f>
        <v>Antwerp</v>
      </c>
      <c r="B360" s="120" t="str">
        <f>IFERROR(__xludf.DUMMYFUNCTION("""COMPUTED_VALUE"""),"ANR")</f>
        <v>ANR</v>
      </c>
      <c r="C360" s="120" t="str">
        <f>IFERROR(__xludf.DUMMYFUNCTION("""COMPUTED_VALUE"""),"Deurne")</f>
        <v>Deurne</v>
      </c>
      <c r="D360" s="120" t="str">
        <f>IFERROR(__xludf.DUMMYFUNCTION("""COMPUTED_VALUE"""),"Belgium")</f>
        <v>Belgium</v>
      </c>
      <c r="E360" s="135"/>
      <c r="F360" s="31"/>
    </row>
    <row r="361">
      <c r="A361" s="134" t="str">
        <f>IFERROR(__xludf.DUMMYFUNCTION("""COMPUTED_VALUE"""),"Anuha Island Resort")</f>
        <v>Anuha Island Resort</v>
      </c>
      <c r="B361" s="120" t="str">
        <f>IFERROR(__xludf.DUMMYFUNCTION("""COMPUTED_VALUE"""),"ANH")</f>
        <v>ANH</v>
      </c>
      <c r="C361" s="120" t="str">
        <f>IFERROR(__xludf.DUMMYFUNCTION("""COMPUTED_VALUE"""),"Anuha Island Resort")</f>
        <v>Anuha Island Resort</v>
      </c>
      <c r="D361" s="120" t="str">
        <f>IFERROR(__xludf.DUMMYFUNCTION("""COMPUTED_VALUE"""),"Solomon Islands")</f>
        <v>Solomon Islands</v>
      </c>
      <c r="E361" s="135"/>
      <c r="F361" s="31"/>
    </row>
    <row r="362">
      <c r="A362" s="134" t="str">
        <f>IFERROR(__xludf.DUMMYFUNCTION("""COMPUTED_VALUE"""),"Anuradhapura")</f>
        <v>Anuradhapura</v>
      </c>
      <c r="B362" s="120" t="str">
        <f>IFERROR(__xludf.DUMMYFUNCTION("""COMPUTED_VALUE"""),"ACJ")</f>
        <v>ACJ</v>
      </c>
      <c r="C362" s="120" t="str">
        <f>IFERROR(__xludf.DUMMYFUNCTION("""COMPUTED_VALUE"""),"Anuradhapura")</f>
        <v>Anuradhapura</v>
      </c>
      <c r="D362" s="120" t="str">
        <f>IFERROR(__xludf.DUMMYFUNCTION("""COMPUTED_VALUE"""),"Sri Lanka")</f>
        <v>Sri Lanka</v>
      </c>
      <c r="E362" s="135"/>
      <c r="F362" s="31"/>
    </row>
    <row r="363">
      <c r="A363" s="134" t="str">
        <f>IFERROR(__xludf.DUMMYFUNCTION("""COMPUTED_VALUE"""),"Anvik")</f>
        <v>Anvik</v>
      </c>
      <c r="B363" s="120" t="str">
        <f>IFERROR(__xludf.DUMMYFUNCTION("""COMPUTED_VALUE"""),"ANV")</f>
        <v>ANV</v>
      </c>
      <c r="C363" s="120" t="str">
        <f>IFERROR(__xludf.DUMMYFUNCTION("""COMPUTED_VALUE"""),"Anvik")</f>
        <v>Anvik</v>
      </c>
      <c r="D363" s="120" t="str">
        <f>IFERROR(__xludf.DUMMYFUNCTION("""COMPUTED_VALUE"""),"United States")</f>
        <v>United States</v>
      </c>
      <c r="E363" s="135"/>
      <c r="F363" s="31"/>
    </row>
    <row r="364">
      <c r="A364" s="134" t="str">
        <f>IFERROR(__xludf.DUMMYFUNCTION("""COMPUTED_VALUE"""),"Anyang")</f>
        <v>Anyang</v>
      </c>
      <c r="B364" s="120" t="str">
        <f>IFERROR(__xludf.DUMMYFUNCTION("""COMPUTED_VALUE"""),"AYN")</f>
        <v>AYN</v>
      </c>
      <c r="C364" s="120" t="str">
        <f>IFERROR(__xludf.DUMMYFUNCTION("""COMPUTED_VALUE"""),"Anyang")</f>
        <v>Anyang</v>
      </c>
      <c r="D364" s="120" t="str">
        <f>IFERROR(__xludf.DUMMYFUNCTION("""COMPUTED_VALUE"""),"China")</f>
        <v>China</v>
      </c>
      <c r="E364" s="135"/>
      <c r="F364" s="31"/>
    </row>
    <row r="365">
      <c r="A365" s="134" t="str">
        <f>IFERROR(__xludf.DUMMYFUNCTION("""COMPUTED_VALUE"""),"Aomori")</f>
        <v>Aomori</v>
      </c>
      <c r="B365" s="120" t="str">
        <f>IFERROR(__xludf.DUMMYFUNCTION("""COMPUTED_VALUE"""),"AOJ")</f>
        <v>AOJ</v>
      </c>
      <c r="C365" s="120" t="str">
        <f>IFERROR(__xludf.DUMMYFUNCTION("""COMPUTED_VALUE"""),"Aomori")</f>
        <v>Aomori</v>
      </c>
      <c r="D365" s="120" t="str">
        <f>IFERROR(__xludf.DUMMYFUNCTION("""COMPUTED_VALUE"""),"Japan")</f>
        <v>Japan</v>
      </c>
      <c r="E365" s="135"/>
      <c r="F365" s="31"/>
    </row>
    <row r="366">
      <c r="A366" s="134" t="str">
        <f>IFERROR(__xludf.DUMMYFUNCTION("""COMPUTED_VALUE"""),"Aosta")</f>
        <v>Aosta</v>
      </c>
      <c r="B366" s="120" t="str">
        <f>IFERROR(__xludf.DUMMYFUNCTION("""COMPUTED_VALUE"""),"AOT")</f>
        <v>AOT</v>
      </c>
      <c r="C366" s="120" t="str">
        <f>IFERROR(__xludf.DUMMYFUNCTION("""COMPUTED_VALUE"""),"Corrado Gex")</f>
        <v>Corrado Gex</v>
      </c>
      <c r="D366" s="120" t="str">
        <f>IFERROR(__xludf.DUMMYFUNCTION("""COMPUTED_VALUE"""),"Italy")</f>
        <v>Italy</v>
      </c>
      <c r="E366" s="135"/>
      <c r="F366" s="31"/>
    </row>
    <row r="367">
      <c r="A367" s="134" t="str">
        <f>IFERROR(__xludf.DUMMYFUNCTION("""COMPUTED_VALUE"""),"Apalachicola")</f>
        <v>Apalachicola</v>
      </c>
      <c r="B367" s="120" t="str">
        <f>IFERROR(__xludf.DUMMYFUNCTION("""COMPUTED_VALUE"""),"AAF")</f>
        <v>AAF</v>
      </c>
      <c r="C367" s="120" t="str">
        <f>IFERROR(__xludf.DUMMYFUNCTION("""COMPUTED_VALUE"""),"Municipal")</f>
        <v>Municipal</v>
      </c>
      <c r="D367" s="120" t="str">
        <f>IFERROR(__xludf.DUMMYFUNCTION("""COMPUTED_VALUE"""),"United States")</f>
        <v>United States</v>
      </c>
      <c r="E367" s="135"/>
      <c r="F367" s="31"/>
    </row>
    <row r="368">
      <c r="A368" s="134" t="str">
        <f>IFERROR(__xludf.DUMMYFUNCTION("""COMPUTED_VALUE"""),"Apalapsili")</f>
        <v>Apalapsili</v>
      </c>
      <c r="B368" s="120" t="str">
        <f>IFERROR(__xludf.DUMMYFUNCTION("""COMPUTED_VALUE"""),"AAS")</f>
        <v>AAS</v>
      </c>
      <c r="C368" s="120" t="str">
        <f>IFERROR(__xludf.DUMMYFUNCTION("""COMPUTED_VALUE"""),"Apalapsili")</f>
        <v>Apalapsili</v>
      </c>
      <c r="D368" s="120" t="str">
        <f>IFERROR(__xludf.DUMMYFUNCTION("""COMPUTED_VALUE"""),"Indonesia")</f>
        <v>Indonesia</v>
      </c>
      <c r="E368" s="135"/>
      <c r="F368" s="31"/>
    </row>
    <row r="369">
      <c r="A369" s="134" t="str">
        <f>IFERROR(__xludf.DUMMYFUNCTION("""COMPUTED_VALUE"""),"Apartado")</f>
        <v>Apartado</v>
      </c>
      <c r="B369" s="120" t="str">
        <f>IFERROR(__xludf.DUMMYFUNCTION("""COMPUTED_VALUE"""),"APO")</f>
        <v>APO</v>
      </c>
      <c r="C369" s="120" t="str">
        <f>IFERROR(__xludf.DUMMYFUNCTION("""COMPUTED_VALUE"""),"Apartado")</f>
        <v>Apartado</v>
      </c>
      <c r="D369" s="120" t="str">
        <f>IFERROR(__xludf.DUMMYFUNCTION("""COMPUTED_VALUE"""),"Colombia")</f>
        <v>Colombia</v>
      </c>
      <c r="E369" s="135"/>
      <c r="F369" s="31"/>
    </row>
    <row r="370">
      <c r="A370" s="134" t="str">
        <f>IFERROR(__xludf.DUMMYFUNCTION("""COMPUTED_VALUE"""),"Apataki")</f>
        <v>Apataki</v>
      </c>
      <c r="B370" s="120" t="str">
        <f>IFERROR(__xludf.DUMMYFUNCTION("""COMPUTED_VALUE"""),"APK")</f>
        <v>APK</v>
      </c>
      <c r="C370" s="120" t="str">
        <f>IFERROR(__xludf.DUMMYFUNCTION("""COMPUTED_VALUE"""),"Apataki")</f>
        <v>Apataki</v>
      </c>
      <c r="D370" s="120" t="str">
        <f>IFERROR(__xludf.DUMMYFUNCTION("""COMPUTED_VALUE"""),"French Polynesia")</f>
        <v>French Polynesia</v>
      </c>
      <c r="E370" s="135"/>
      <c r="F370" s="31"/>
    </row>
    <row r="371">
      <c r="A371" s="134" t="str">
        <f>IFERROR(__xludf.DUMMYFUNCTION("""COMPUTED_VALUE"""),"Apatzingan")</f>
        <v>Apatzingan</v>
      </c>
      <c r="B371" s="120" t="str">
        <f>IFERROR(__xludf.DUMMYFUNCTION("""COMPUTED_VALUE"""),"AZG")</f>
        <v>AZG</v>
      </c>
      <c r="C371" s="120" t="str">
        <f>IFERROR(__xludf.DUMMYFUNCTION("""COMPUTED_VALUE"""),"Apatzingan")</f>
        <v>Apatzingan</v>
      </c>
      <c r="D371" s="120" t="str">
        <f>IFERROR(__xludf.DUMMYFUNCTION("""COMPUTED_VALUE"""),"Mexico")</f>
        <v>Mexico</v>
      </c>
      <c r="E371" s="135"/>
      <c r="F371" s="31"/>
    </row>
    <row r="372">
      <c r="A372" s="134" t="str">
        <f>IFERROR(__xludf.DUMMYFUNCTION("""COMPUTED_VALUE"""),"Apia")</f>
        <v>Apia</v>
      </c>
      <c r="B372" s="120" t="str">
        <f>IFERROR(__xludf.DUMMYFUNCTION("""COMPUTED_VALUE"""),"FGI")</f>
        <v>FGI</v>
      </c>
      <c r="C372" s="120" t="str">
        <f>IFERROR(__xludf.DUMMYFUNCTION("""COMPUTED_VALUE"""),"Fagali I")</f>
        <v>Fagali I</v>
      </c>
      <c r="D372" s="120" t="str">
        <f>IFERROR(__xludf.DUMMYFUNCTION("""COMPUTED_VALUE"""),"Samoa")</f>
        <v>Samoa</v>
      </c>
      <c r="E372" s="135"/>
      <c r="F372" s="31"/>
    </row>
    <row r="373">
      <c r="A373" s="134" t="str">
        <f>IFERROR(__xludf.DUMMYFUNCTION("""COMPUTED_VALUE"""),"Apia")</f>
        <v>Apia</v>
      </c>
      <c r="B373" s="120" t="str">
        <f>IFERROR(__xludf.DUMMYFUNCTION("""COMPUTED_VALUE"""),"APW")</f>
        <v>APW</v>
      </c>
      <c r="C373" s="120" t="str">
        <f>IFERROR(__xludf.DUMMYFUNCTION("""COMPUTED_VALUE"""),"Faleolo")</f>
        <v>Faleolo</v>
      </c>
      <c r="D373" s="120" t="str">
        <f>IFERROR(__xludf.DUMMYFUNCTION("""COMPUTED_VALUE"""),"Samoa")</f>
        <v>Samoa</v>
      </c>
      <c r="E373" s="135"/>
      <c r="F373" s="31"/>
    </row>
    <row r="374">
      <c r="A374" s="134" t="str">
        <f>IFERROR(__xludf.DUMMYFUNCTION("""COMPUTED_VALUE"""),"Apiay")</f>
        <v>Apiay</v>
      </c>
      <c r="B374" s="120" t="str">
        <f>IFERROR(__xludf.DUMMYFUNCTION("""COMPUTED_VALUE"""),"API")</f>
        <v>API</v>
      </c>
      <c r="C374" s="120" t="str">
        <f>IFERROR(__xludf.DUMMYFUNCTION("""COMPUTED_VALUE"""),"Apiay")</f>
        <v>Apiay</v>
      </c>
      <c r="D374" s="120" t="str">
        <f>IFERROR(__xludf.DUMMYFUNCTION("""COMPUTED_VALUE"""),"Colombia")</f>
        <v>Colombia</v>
      </c>
      <c r="E374" s="135"/>
      <c r="F374" s="31"/>
    </row>
    <row r="375">
      <c r="A375" s="134" t="str">
        <f>IFERROR(__xludf.DUMMYFUNCTION("""COMPUTED_VALUE"""),"Apolo")</f>
        <v>Apolo</v>
      </c>
      <c r="B375" s="120" t="str">
        <f>IFERROR(__xludf.DUMMYFUNCTION("""COMPUTED_VALUE"""),"APB")</f>
        <v>APB</v>
      </c>
      <c r="C375" s="120" t="str">
        <f>IFERROR(__xludf.DUMMYFUNCTION("""COMPUTED_VALUE"""),"Apolo")</f>
        <v>Apolo</v>
      </c>
      <c r="D375" s="120" t="str">
        <f>IFERROR(__xludf.DUMMYFUNCTION("""COMPUTED_VALUE"""),"Bolivia")</f>
        <v>Bolivia</v>
      </c>
      <c r="E375" s="135"/>
      <c r="F375" s="31"/>
    </row>
    <row r="376">
      <c r="A376" s="134" t="str">
        <f>IFERROR(__xludf.DUMMYFUNCTION("""COMPUTED_VALUE"""),"Apple Valley")</f>
        <v>Apple Valley</v>
      </c>
      <c r="B376" s="120" t="str">
        <f>IFERROR(__xludf.DUMMYFUNCTION("""COMPUTED_VALUE"""),"APV")</f>
        <v>APV</v>
      </c>
      <c r="C376" s="120" t="str">
        <f>IFERROR(__xludf.DUMMYFUNCTION("""COMPUTED_VALUE"""),"Apple Valley")</f>
        <v>Apple Valley</v>
      </c>
      <c r="D376" s="120" t="str">
        <f>IFERROR(__xludf.DUMMYFUNCTION("""COMPUTED_VALUE"""),"United States")</f>
        <v>United States</v>
      </c>
      <c r="E376" s="135"/>
      <c r="F376" s="31"/>
    </row>
    <row r="377">
      <c r="A377" s="134" t="str">
        <f>IFERROR(__xludf.DUMMYFUNCTION("""COMPUTED_VALUE"""),"Appleton")</f>
        <v>Appleton</v>
      </c>
      <c r="B377" s="120" t="str">
        <f>IFERROR(__xludf.DUMMYFUNCTION("""COMPUTED_VALUE"""),"ATW")</f>
        <v>ATW</v>
      </c>
      <c r="C377" s="120" t="str">
        <f>IFERROR(__xludf.DUMMYFUNCTION("""COMPUTED_VALUE"""),"Outagamie County")</f>
        <v>Outagamie County</v>
      </c>
      <c r="D377" s="120" t="str">
        <f>IFERROR(__xludf.DUMMYFUNCTION("""COMPUTED_VALUE"""),"United States")</f>
        <v>United States</v>
      </c>
      <c r="E377" s="135"/>
      <c r="F377" s="31"/>
    </row>
    <row r="378">
      <c r="A378" s="134" t="str">
        <f>IFERROR(__xludf.DUMMYFUNCTION("""COMPUTED_VALUE"""),"April River")</f>
        <v>April River</v>
      </c>
      <c r="B378" s="120" t="str">
        <f>IFERROR(__xludf.DUMMYFUNCTION("""COMPUTED_VALUE"""),"APR")</f>
        <v>APR</v>
      </c>
      <c r="C378" s="120" t="str">
        <f>IFERROR(__xludf.DUMMYFUNCTION("""COMPUTED_VALUE"""),"April River")</f>
        <v>April River</v>
      </c>
      <c r="D378" s="120" t="str">
        <f>IFERROR(__xludf.DUMMYFUNCTION("""COMPUTED_VALUE"""),"Papua New Guinea")</f>
        <v>Papua New Guinea</v>
      </c>
      <c r="E378" s="135"/>
      <c r="F378" s="31"/>
    </row>
    <row r="379">
      <c r="A379" s="134" t="str">
        <f>IFERROR(__xludf.DUMMYFUNCTION("""COMPUTED_VALUE"""),"Apucarana")</f>
        <v>Apucarana</v>
      </c>
      <c r="B379" s="120" t="str">
        <f>IFERROR(__xludf.DUMMYFUNCTION("""COMPUTED_VALUE"""),"APU")</f>
        <v>APU</v>
      </c>
      <c r="C379" s="120" t="str">
        <f>IFERROR(__xludf.DUMMYFUNCTION("""COMPUTED_VALUE"""),"Apucarana")</f>
        <v>Apucarana</v>
      </c>
      <c r="D379" s="120" t="str">
        <f>IFERROR(__xludf.DUMMYFUNCTION("""COMPUTED_VALUE"""),"Brazil")</f>
        <v>Brazil</v>
      </c>
      <c r="E379" s="135"/>
      <c r="F379" s="31"/>
    </row>
    <row r="380">
      <c r="A380" s="134" t="str">
        <f>IFERROR(__xludf.DUMMYFUNCTION("""COMPUTED_VALUE"""),"Aqaba")</f>
        <v>Aqaba</v>
      </c>
      <c r="B380" s="120" t="str">
        <f>IFERROR(__xludf.DUMMYFUNCTION("""COMPUTED_VALUE"""),"AQJ")</f>
        <v>AQJ</v>
      </c>
      <c r="C380" s="120" t="str">
        <f>IFERROR(__xludf.DUMMYFUNCTION("""COMPUTED_VALUE"""),"King Hussein Intl")</f>
        <v>King Hussein Intl</v>
      </c>
      <c r="D380" s="120" t="str">
        <f>IFERROR(__xludf.DUMMYFUNCTION("""COMPUTED_VALUE"""),"Jordan")</f>
        <v>Jordan</v>
      </c>
      <c r="E380" s="135"/>
      <c r="F380" s="31"/>
    </row>
    <row r="381">
      <c r="A381" s="134" t="str">
        <f>IFERROR(__xludf.DUMMYFUNCTION("""COMPUTED_VALUE"""),"Araak")</f>
        <v>Araak</v>
      </c>
      <c r="B381" s="120" t="str">
        <f>IFERROR(__xludf.DUMMYFUNCTION("""COMPUTED_VALUE"""),"AJK")</f>
        <v>AJK</v>
      </c>
      <c r="C381" s="120" t="str">
        <f>IFERROR(__xludf.DUMMYFUNCTION("""COMPUTED_VALUE"""),"Araak")</f>
        <v>Araak</v>
      </c>
      <c r="D381" s="120" t="str">
        <f>IFERROR(__xludf.DUMMYFUNCTION("""COMPUTED_VALUE"""),"Iran")</f>
        <v>Iran</v>
      </c>
      <c r="E381" s="135"/>
      <c r="F381" s="31"/>
    </row>
    <row r="382">
      <c r="A382" s="134" t="str">
        <f>IFERROR(__xludf.DUMMYFUNCTION("""COMPUTED_VALUE"""),"Aracaju")</f>
        <v>Aracaju</v>
      </c>
      <c r="B382" s="120" t="str">
        <f>IFERROR(__xludf.DUMMYFUNCTION("""COMPUTED_VALUE"""),"AJU")</f>
        <v>AJU</v>
      </c>
      <c r="C382" s="120" t="str">
        <f>IFERROR(__xludf.DUMMYFUNCTION("""COMPUTED_VALUE"""),"Aracaju")</f>
        <v>Aracaju</v>
      </c>
      <c r="D382" s="120" t="str">
        <f>IFERROR(__xludf.DUMMYFUNCTION("""COMPUTED_VALUE"""),"Brazil")</f>
        <v>Brazil</v>
      </c>
      <c r="E382" s="135"/>
      <c r="F382" s="31"/>
    </row>
    <row r="383">
      <c r="A383" s="134" t="str">
        <f>IFERROR(__xludf.DUMMYFUNCTION("""COMPUTED_VALUE"""),"Aracatuba")</f>
        <v>Aracatuba</v>
      </c>
      <c r="B383" s="120" t="str">
        <f>IFERROR(__xludf.DUMMYFUNCTION("""COMPUTED_VALUE"""),"ARU")</f>
        <v>ARU</v>
      </c>
      <c r="C383" s="120" t="str">
        <f>IFERROR(__xludf.DUMMYFUNCTION("""COMPUTED_VALUE"""),"Aracatuba")</f>
        <v>Aracatuba</v>
      </c>
      <c r="D383" s="120" t="str">
        <f>IFERROR(__xludf.DUMMYFUNCTION("""COMPUTED_VALUE"""),"Brazil")</f>
        <v>Brazil</v>
      </c>
      <c r="E383" s="135"/>
      <c r="F383" s="31"/>
    </row>
    <row r="384">
      <c r="A384" s="134" t="str">
        <f>IFERROR(__xludf.DUMMYFUNCTION("""COMPUTED_VALUE"""),"Arad")</f>
        <v>Arad</v>
      </c>
      <c r="B384" s="120" t="str">
        <f>IFERROR(__xludf.DUMMYFUNCTION("""COMPUTED_VALUE"""),"ARW")</f>
        <v>ARW</v>
      </c>
      <c r="C384" s="120" t="str">
        <f>IFERROR(__xludf.DUMMYFUNCTION("""COMPUTED_VALUE"""),"Arad")</f>
        <v>Arad</v>
      </c>
      <c r="D384" s="120" t="str">
        <f>IFERROR(__xludf.DUMMYFUNCTION("""COMPUTED_VALUE"""),"Romania")</f>
        <v>Romania</v>
      </c>
      <c r="E384" s="135"/>
      <c r="F384" s="31"/>
    </row>
    <row r="385">
      <c r="A385" s="134" t="str">
        <f>IFERROR(__xludf.DUMMYFUNCTION("""COMPUTED_VALUE"""),"Aragarcas")</f>
        <v>Aragarcas</v>
      </c>
      <c r="B385" s="120" t="str">
        <f>IFERROR(__xludf.DUMMYFUNCTION("""COMPUTED_VALUE"""),"ARS")</f>
        <v>ARS</v>
      </c>
      <c r="C385" s="137" t="str">
        <f>IFERROR(__xludf.DUMMYFUNCTION("""COMPUTED_VALUE"""),"Aragarcas")</f>
        <v>Aragarcas</v>
      </c>
      <c r="D385" s="120" t="str">
        <f>IFERROR(__xludf.DUMMYFUNCTION("""COMPUTED_VALUE"""),"Brazil")</f>
        <v>Brazil</v>
      </c>
      <c r="E385" s="135"/>
      <c r="F385" s="31"/>
    </row>
    <row r="386">
      <c r="A386" s="134" t="str">
        <f>IFERROR(__xludf.DUMMYFUNCTION("""COMPUTED_VALUE"""),"Aragip")</f>
        <v>Aragip</v>
      </c>
      <c r="B386" s="120" t="str">
        <f>IFERROR(__xludf.DUMMYFUNCTION("""COMPUTED_VALUE"""),"ARP")</f>
        <v>ARP</v>
      </c>
      <c r="C386" s="120" t="str">
        <f>IFERROR(__xludf.DUMMYFUNCTION("""COMPUTED_VALUE"""),"Aragip")</f>
        <v>Aragip</v>
      </c>
      <c r="D386" s="120" t="str">
        <f>IFERROR(__xludf.DUMMYFUNCTION("""COMPUTED_VALUE"""),"Papua New Guinea")</f>
        <v>Papua New Guinea</v>
      </c>
      <c r="E386" s="135"/>
      <c r="F386" s="31"/>
    </row>
    <row r="387">
      <c r="A387" s="134" t="str">
        <f>IFERROR(__xludf.DUMMYFUNCTION("""COMPUTED_VALUE"""),"Araguaina")</f>
        <v>Araguaina</v>
      </c>
      <c r="B387" s="120" t="str">
        <f>IFERROR(__xludf.DUMMYFUNCTION("""COMPUTED_VALUE"""),"AUX")</f>
        <v>AUX</v>
      </c>
      <c r="C387" s="120" t="str">
        <f>IFERROR(__xludf.DUMMYFUNCTION("""COMPUTED_VALUE"""),"Araguaina")</f>
        <v>Araguaina</v>
      </c>
      <c r="D387" s="120" t="str">
        <f>IFERROR(__xludf.DUMMYFUNCTION("""COMPUTED_VALUE"""),"Brazil")</f>
        <v>Brazil</v>
      </c>
      <c r="E387" s="135"/>
      <c r="F387" s="31"/>
    </row>
    <row r="388">
      <c r="A388" s="134" t="str">
        <f>IFERROR(__xludf.DUMMYFUNCTION("""COMPUTED_VALUE"""),"Aramac")</f>
        <v>Aramac</v>
      </c>
      <c r="B388" s="120" t="str">
        <f>IFERROR(__xludf.DUMMYFUNCTION("""COMPUTED_VALUE"""),"AXC")</f>
        <v>AXC</v>
      </c>
      <c r="C388" s="120" t="str">
        <f>IFERROR(__xludf.DUMMYFUNCTION("""COMPUTED_VALUE"""),"Aramac")</f>
        <v>Aramac</v>
      </c>
      <c r="D388" s="120" t="str">
        <f>IFERROR(__xludf.DUMMYFUNCTION("""COMPUTED_VALUE"""),"Australia")</f>
        <v>Australia</v>
      </c>
      <c r="E388" s="135"/>
      <c r="F388" s="31"/>
    </row>
    <row r="389">
      <c r="A389" s="134" t="str">
        <f>IFERROR(__xludf.DUMMYFUNCTION("""COMPUTED_VALUE"""),"Arandis")</f>
        <v>Arandis</v>
      </c>
      <c r="B389" s="120" t="str">
        <f>IFERROR(__xludf.DUMMYFUNCTION("""COMPUTED_VALUE"""),"ADI")</f>
        <v>ADI</v>
      </c>
      <c r="C389" s="120" t="str">
        <f>IFERROR(__xludf.DUMMYFUNCTION("""COMPUTED_VALUE"""),"Arandis")</f>
        <v>Arandis</v>
      </c>
      <c r="D389" s="120" t="str">
        <f>IFERROR(__xludf.DUMMYFUNCTION("""COMPUTED_VALUE"""),"Namibia")</f>
        <v>Namibia</v>
      </c>
      <c r="E389" s="135"/>
      <c r="F389" s="31"/>
    </row>
    <row r="390">
      <c r="A390" s="134" t="str">
        <f>IFERROR(__xludf.DUMMYFUNCTION("""COMPUTED_VALUE"""),"Aranuka")</f>
        <v>Aranuka</v>
      </c>
      <c r="B390" s="120" t="str">
        <f>IFERROR(__xludf.DUMMYFUNCTION("""COMPUTED_VALUE"""),"AAK")</f>
        <v>AAK</v>
      </c>
      <c r="C390" s="120" t="str">
        <f>IFERROR(__xludf.DUMMYFUNCTION("""COMPUTED_VALUE"""),"Aranuka")</f>
        <v>Aranuka</v>
      </c>
      <c r="D390" s="120" t="str">
        <f>IFERROR(__xludf.DUMMYFUNCTION("""COMPUTED_VALUE"""),"Kiribati")</f>
        <v>Kiribati</v>
      </c>
      <c r="E390" s="135"/>
      <c r="F390" s="31"/>
    </row>
    <row r="391">
      <c r="A391" s="134" t="str">
        <f>IFERROR(__xludf.DUMMYFUNCTION("""COMPUTED_VALUE"""),"Arapahoe")</f>
        <v>Arapahoe</v>
      </c>
      <c r="B391" s="120" t="str">
        <f>IFERROR(__xludf.DUMMYFUNCTION("""COMPUTED_VALUE"""),"AHF")</f>
        <v>AHF</v>
      </c>
      <c r="C391" s="120" t="str">
        <f>IFERROR(__xludf.DUMMYFUNCTION("""COMPUTED_VALUE"""),"Municipal")</f>
        <v>Municipal</v>
      </c>
      <c r="D391" s="120" t="str">
        <f>IFERROR(__xludf.DUMMYFUNCTION("""COMPUTED_VALUE"""),"United States")</f>
        <v>United States</v>
      </c>
      <c r="E391" s="135"/>
      <c r="F391" s="31"/>
    </row>
    <row r="392">
      <c r="A392" s="134" t="str">
        <f>IFERROR(__xludf.DUMMYFUNCTION("""COMPUTED_VALUE"""),"Arapiraca")</f>
        <v>Arapiraca</v>
      </c>
      <c r="B392" s="120" t="str">
        <f>IFERROR(__xludf.DUMMYFUNCTION("""COMPUTED_VALUE"""),"APQ")</f>
        <v>APQ</v>
      </c>
      <c r="C392" s="120" t="str">
        <f>IFERROR(__xludf.DUMMYFUNCTION("""COMPUTED_VALUE"""),"Arapiraca")</f>
        <v>Arapiraca</v>
      </c>
      <c r="D392" s="120" t="str">
        <f>IFERROR(__xludf.DUMMYFUNCTION("""COMPUTED_VALUE"""),"Brazil")</f>
        <v>Brazil</v>
      </c>
      <c r="E392" s="135"/>
      <c r="F392" s="31"/>
    </row>
    <row r="393">
      <c r="A393" s="134" t="str">
        <f>IFERROR(__xludf.DUMMYFUNCTION("""COMPUTED_VALUE"""),"Arapongas")</f>
        <v>Arapongas</v>
      </c>
      <c r="B393" s="120" t="str">
        <f>IFERROR(__xludf.DUMMYFUNCTION("""COMPUTED_VALUE"""),"APX")</f>
        <v>APX</v>
      </c>
      <c r="C393" s="120" t="str">
        <f>IFERROR(__xludf.DUMMYFUNCTION("""COMPUTED_VALUE"""),"Arapongas")</f>
        <v>Arapongas</v>
      </c>
      <c r="D393" s="120" t="str">
        <f>IFERROR(__xludf.DUMMYFUNCTION("""COMPUTED_VALUE"""),"Brazil")</f>
        <v>Brazil</v>
      </c>
      <c r="E393" s="135"/>
      <c r="F393" s="31"/>
    </row>
    <row r="394">
      <c r="A394" s="134" t="str">
        <f>IFERROR(__xludf.DUMMYFUNCTION("""COMPUTED_VALUE"""),"Arapoti")</f>
        <v>Arapoti</v>
      </c>
      <c r="B394" s="120" t="str">
        <f>IFERROR(__xludf.DUMMYFUNCTION("""COMPUTED_VALUE"""),"AAG")</f>
        <v>AAG</v>
      </c>
      <c r="C394" s="120" t="str">
        <f>IFERROR(__xludf.DUMMYFUNCTION("""COMPUTED_VALUE"""),"Arapoti")</f>
        <v>Arapoti</v>
      </c>
      <c r="D394" s="120" t="str">
        <f>IFERROR(__xludf.DUMMYFUNCTION("""COMPUTED_VALUE"""),"Brazil")</f>
        <v>Brazil</v>
      </c>
      <c r="E394" s="135"/>
      <c r="F394" s="31"/>
    </row>
    <row r="395">
      <c r="A395" s="134" t="str">
        <f>IFERROR(__xludf.DUMMYFUNCTION("""COMPUTED_VALUE"""),"Arar")</f>
        <v>Arar</v>
      </c>
      <c r="B395" s="120" t="str">
        <f>IFERROR(__xludf.DUMMYFUNCTION("""COMPUTED_VALUE"""),"RAE")</f>
        <v>RAE</v>
      </c>
      <c r="C395" s="120" t="str">
        <f>IFERROR(__xludf.DUMMYFUNCTION("""COMPUTED_VALUE"""),"Arar")</f>
        <v>Arar</v>
      </c>
      <c r="D395" s="120" t="str">
        <f>IFERROR(__xludf.DUMMYFUNCTION("""COMPUTED_VALUE"""),"Saudi Arabia")</f>
        <v>Saudi Arabia</v>
      </c>
      <c r="E395" s="135"/>
      <c r="F395" s="31"/>
    </row>
    <row r="396">
      <c r="A396" s="134" t="str">
        <f>IFERROR(__xludf.DUMMYFUNCTION("""COMPUTED_VALUE"""),"Araracuara")</f>
        <v>Araracuara</v>
      </c>
      <c r="B396" s="120" t="str">
        <f>IFERROR(__xludf.DUMMYFUNCTION("""COMPUTED_VALUE"""),"ACR")</f>
        <v>ACR</v>
      </c>
      <c r="C396" s="120" t="str">
        <f>IFERROR(__xludf.DUMMYFUNCTION("""COMPUTED_VALUE"""),"Araracuara")</f>
        <v>Araracuara</v>
      </c>
      <c r="D396" s="120" t="str">
        <f>IFERROR(__xludf.DUMMYFUNCTION("""COMPUTED_VALUE"""),"Colombia")</f>
        <v>Colombia</v>
      </c>
      <c r="E396" s="135"/>
      <c r="F396" s="31"/>
    </row>
    <row r="397">
      <c r="A397" s="134" t="str">
        <f>IFERROR(__xludf.DUMMYFUNCTION("""COMPUTED_VALUE"""),"Araraquara")</f>
        <v>Araraquara</v>
      </c>
      <c r="B397" s="120" t="str">
        <f>IFERROR(__xludf.DUMMYFUNCTION("""COMPUTED_VALUE"""),"AQA")</f>
        <v>AQA</v>
      </c>
      <c r="C397" s="120" t="str">
        <f>IFERROR(__xludf.DUMMYFUNCTION("""COMPUTED_VALUE"""),"Manaus")</f>
        <v>Manaus</v>
      </c>
      <c r="D397" s="120" t="str">
        <f>IFERROR(__xludf.DUMMYFUNCTION("""COMPUTED_VALUE"""),"Brazil")</f>
        <v>Brazil</v>
      </c>
      <c r="E397" s="135"/>
      <c r="F397" s="31"/>
    </row>
    <row r="398">
      <c r="A398" s="134" t="str">
        <f>IFERROR(__xludf.DUMMYFUNCTION("""COMPUTED_VALUE"""),"Ararat")</f>
        <v>Ararat</v>
      </c>
      <c r="B398" s="120" t="str">
        <f>IFERROR(__xludf.DUMMYFUNCTION("""COMPUTED_VALUE"""),"ARY")</f>
        <v>ARY</v>
      </c>
      <c r="C398" s="120" t="str">
        <f>IFERROR(__xludf.DUMMYFUNCTION("""COMPUTED_VALUE"""),"Ararat")</f>
        <v>Ararat</v>
      </c>
      <c r="D398" s="120" t="str">
        <f>IFERROR(__xludf.DUMMYFUNCTION("""COMPUTED_VALUE"""),"Australia")</f>
        <v>Australia</v>
      </c>
      <c r="E398" s="135"/>
      <c r="F398" s="31"/>
    </row>
    <row r="399">
      <c r="A399" s="134" t="str">
        <f>IFERROR(__xludf.DUMMYFUNCTION("""COMPUTED_VALUE"""),"Arauca")</f>
        <v>Arauca</v>
      </c>
      <c r="B399" s="120" t="str">
        <f>IFERROR(__xludf.DUMMYFUNCTION("""COMPUTED_VALUE"""),"AUC")</f>
        <v>AUC</v>
      </c>
      <c r="C399" s="120" t="str">
        <f>IFERROR(__xludf.DUMMYFUNCTION("""COMPUTED_VALUE"""),"Arauca")</f>
        <v>Arauca</v>
      </c>
      <c r="D399" s="120" t="str">
        <f>IFERROR(__xludf.DUMMYFUNCTION("""COMPUTED_VALUE"""),"Colombia")</f>
        <v>Colombia</v>
      </c>
      <c r="E399" s="135"/>
      <c r="F399" s="31"/>
    </row>
    <row r="400">
      <c r="A400" s="134" t="str">
        <f>IFERROR(__xludf.DUMMYFUNCTION("""COMPUTED_VALUE"""),"Arauquita")</f>
        <v>Arauquita</v>
      </c>
      <c r="B400" s="120" t="str">
        <f>IFERROR(__xludf.DUMMYFUNCTION("""COMPUTED_VALUE"""),"ARQ")</f>
        <v>ARQ</v>
      </c>
      <c r="C400" s="120" t="str">
        <f>IFERROR(__xludf.DUMMYFUNCTION("""COMPUTED_VALUE"""),"Arauquita")</f>
        <v>Arauquita</v>
      </c>
      <c r="D400" s="120" t="str">
        <f>IFERROR(__xludf.DUMMYFUNCTION("""COMPUTED_VALUE"""),"Colombia")</f>
        <v>Colombia</v>
      </c>
      <c r="E400" s="135"/>
      <c r="F400" s="31"/>
    </row>
    <row r="401">
      <c r="A401" s="134" t="str">
        <f>IFERROR(__xludf.DUMMYFUNCTION("""COMPUTED_VALUE"""),"Arawa")</f>
        <v>Arawa</v>
      </c>
      <c r="B401" s="120" t="str">
        <f>IFERROR(__xludf.DUMMYFUNCTION("""COMPUTED_VALUE"""),"RAW")</f>
        <v>RAW</v>
      </c>
      <c r="C401" s="120" t="str">
        <f>IFERROR(__xludf.DUMMYFUNCTION("""COMPUTED_VALUE"""),"Arawa")</f>
        <v>Arawa</v>
      </c>
      <c r="D401" s="120" t="str">
        <f>IFERROR(__xludf.DUMMYFUNCTION("""COMPUTED_VALUE"""),"Papua New Guinea")</f>
        <v>Papua New Guinea</v>
      </c>
      <c r="E401" s="135"/>
      <c r="F401" s="31"/>
    </row>
    <row r="402">
      <c r="A402" s="134" t="str">
        <f>IFERROR(__xludf.DUMMYFUNCTION("""COMPUTED_VALUE"""),"Araxa")</f>
        <v>Araxa</v>
      </c>
      <c r="B402" s="120" t="str">
        <f>IFERROR(__xludf.DUMMYFUNCTION("""COMPUTED_VALUE"""),"AAX")</f>
        <v>AAX</v>
      </c>
      <c r="C402" s="120" t="str">
        <f>IFERROR(__xludf.DUMMYFUNCTION("""COMPUTED_VALUE"""),"Araxa")</f>
        <v>Araxa</v>
      </c>
      <c r="D402" s="120" t="str">
        <f>IFERROR(__xludf.DUMMYFUNCTION("""COMPUTED_VALUE"""),"Brazil")</f>
        <v>Brazil</v>
      </c>
      <c r="E402" s="135"/>
      <c r="F402" s="31"/>
    </row>
    <row r="403">
      <c r="A403" s="134" t="str">
        <f>IFERROR(__xludf.DUMMYFUNCTION("""COMPUTED_VALUE"""),"Arba Mintch")</f>
        <v>Arba Mintch</v>
      </c>
      <c r="B403" s="120" t="str">
        <f>IFERROR(__xludf.DUMMYFUNCTION("""COMPUTED_VALUE"""),"AMH")</f>
        <v>AMH</v>
      </c>
      <c r="C403" s="120" t="str">
        <f>IFERROR(__xludf.DUMMYFUNCTION("""COMPUTED_VALUE"""),"Arba Mintch")</f>
        <v>Arba Mintch</v>
      </c>
      <c r="D403" s="120" t="str">
        <f>IFERROR(__xludf.DUMMYFUNCTION("""COMPUTED_VALUE"""),"Ethiopia")</f>
        <v>Ethiopia</v>
      </c>
      <c r="E403" s="135"/>
      <c r="F403" s="31"/>
    </row>
    <row r="404">
      <c r="A404" s="134" t="str">
        <f>IFERROR(__xludf.DUMMYFUNCTION("""COMPUTED_VALUE"""),"Arboletas")</f>
        <v>Arboletas</v>
      </c>
      <c r="B404" s="120" t="str">
        <f>IFERROR(__xludf.DUMMYFUNCTION("""COMPUTED_VALUE"""),"ARO")</f>
        <v>ARO</v>
      </c>
      <c r="C404" s="120" t="str">
        <f>IFERROR(__xludf.DUMMYFUNCTION("""COMPUTED_VALUE"""),"Arboletas")</f>
        <v>Arboletas</v>
      </c>
      <c r="D404" s="120" t="str">
        <f>IFERROR(__xludf.DUMMYFUNCTION("""COMPUTED_VALUE"""),"Colombia")</f>
        <v>Colombia</v>
      </c>
      <c r="E404" s="135"/>
      <c r="F404" s="31"/>
    </row>
    <row r="405">
      <c r="A405" s="134" t="str">
        <f>IFERROR(__xludf.DUMMYFUNCTION("""COMPUTED_VALUE"""),"Arcata")</f>
        <v>Arcata</v>
      </c>
      <c r="B405" s="120" t="str">
        <f>IFERROR(__xludf.DUMMYFUNCTION("""COMPUTED_VALUE"""),"ACV")</f>
        <v>ACV</v>
      </c>
      <c r="C405" s="120" t="str">
        <f>IFERROR(__xludf.DUMMYFUNCTION("""COMPUTED_VALUE"""),"Arcata")</f>
        <v>Arcata</v>
      </c>
      <c r="D405" s="120" t="str">
        <f>IFERROR(__xludf.DUMMYFUNCTION("""COMPUTED_VALUE"""),"United States")</f>
        <v>United States</v>
      </c>
      <c r="E405" s="135"/>
      <c r="F405" s="31"/>
    </row>
    <row r="406">
      <c r="A406" s="134" t="str">
        <f>IFERROR(__xludf.DUMMYFUNCTION("""COMPUTED_VALUE"""),"Arctic Bay")</f>
        <v>Arctic Bay</v>
      </c>
      <c r="B406" s="120" t="str">
        <f>IFERROR(__xludf.DUMMYFUNCTION("""COMPUTED_VALUE"""),"YAB")</f>
        <v>YAB</v>
      </c>
      <c r="C406" s="120" t="str">
        <f>IFERROR(__xludf.DUMMYFUNCTION("""COMPUTED_VALUE"""),"Arctic Bay")</f>
        <v>Arctic Bay</v>
      </c>
      <c r="D406" s="120" t="str">
        <f>IFERROR(__xludf.DUMMYFUNCTION("""COMPUTED_VALUE"""),"Canada")</f>
        <v>Canada</v>
      </c>
      <c r="E406" s="135"/>
      <c r="F406" s="31"/>
    </row>
    <row r="407">
      <c r="A407" s="134" t="str">
        <f>IFERROR(__xludf.DUMMYFUNCTION("""COMPUTED_VALUE"""),"Arctic Village")</f>
        <v>Arctic Village</v>
      </c>
      <c r="B407" s="120" t="str">
        <f>IFERROR(__xludf.DUMMYFUNCTION("""COMPUTED_VALUE"""),"ARC")</f>
        <v>ARC</v>
      </c>
      <c r="C407" s="120" t="str">
        <f>IFERROR(__xludf.DUMMYFUNCTION("""COMPUTED_VALUE"""),"Arctic Village")</f>
        <v>Arctic Village</v>
      </c>
      <c r="D407" s="120" t="str">
        <f>IFERROR(__xludf.DUMMYFUNCTION("""COMPUTED_VALUE"""),"United States")</f>
        <v>United States</v>
      </c>
      <c r="E407" s="135"/>
      <c r="F407" s="31"/>
    </row>
    <row r="408">
      <c r="A408" s="134" t="str">
        <f>IFERROR(__xludf.DUMMYFUNCTION("""COMPUTED_VALUE"""),"Ardabil")</f>
        <v>Ardabil</v>
      </c>
      <c r="B408" s="120" t="str">
        <f>IFERROR(__xludf.DUMMYFUNCTION("""COMPUTED_VALUE"""),"ADU")</f>
        <v>ADU</v>
      </c>
      <c r="C408" s="120" t="str">
        <f>IFERROR(__xludf.DUMMYFUNCTION("""COMPUTED_VALUE"""),"Ardabil")</f>
        <v>Ardabil</v>
      </c>
      <c r="D408" s="120" t="str">
        <f>IFERROR(__xludf.DUMMYFUNCTION("""COMPUTED_VALUE"""),"Iran")</f>
        <v>Iran</v>
      </c>
      <c r="E408" s="135"/>
      <c r="F408" s="31"/>
    </row>
    <row r="409">
      <c r="A409" s="134" t="str">
        <f>IFERROR(__xludf.DUMMYFUNCTION("""COMPUTED_VALUE"""),"Ardmore")</f>
        <v>Ardmore</v>
      </c>
      <c r="B409" s="120" t="str">
        <f>IFERROR(__xludf.DUMMYFUNCTION("""COMPUTED_VALUE"""),"AMZ")</f>
        <v>AMZ</v>
      </c>
      <c r="C409" s="120" t="str">
        <f>IFERROR(__xludf.DUMMYFUNCTION("""COMPUTED_VALUE"""),"Ardmore")</f>
        <v>Ardmore</v>
      </c>
      <c r="D409" s="120" t="str">
        <f>IFERROR(__xludf.DUMMYFUNCTION("""COMPUTED_VALUE"""),"New Zealand (Aotearoa)")</f>
        <v>New Zealand (Aotearoa)</v>
      </c>
      <c r="E409" s="135"/>
      <c r="F409" s="31"/>
    </row>
    <row r="410">
      <c r="A410" s="134" t="str">
        <f>IFERROR(__xludf.DUMMYFUNCTION("""COMPUTED_VALUE"""),"Ardmore")</f>
        <v>Ardmore</v>
      </c>
      <c r="B410" s="120" t="str">
        <f>IFERROR(__xludf.DUMMYFUNCTION("""COMPUTED_VALUE"""),"AHD")</f>
        <v>AHD</v>
      </c>
      <c r="C410" s="120" t="str">
        <f>IFERROR(__xludf.DUMMYFUNCTION("""COMPUTED_VALUE"""),"Downtown")</f>
        <v>Downtown</v>
      </c>
      <c r="D410" s="120" t="str">
        <f>IFERROR(__xludf.DUMMYFUNCTION("""COMPUTED_VALUE"""),"United States")</f>
        <v>United States</v>
      </c>
      <c r="E410" s="135"/>
      <c r="F410" s="31"/>
    </row>
    <row r="411">
      <c r="A411" s="134" t="str">
        <f>IFERROR(__xludf.DUMMYFUNCTION("""COMPUTED_VALUE"""),"Ardmore")</f>
        <v>Ardmore</v>
      </c>
      <c r="B411" s="120" t="str">
        <f>IFERROR(__xludf.DUMMYFUNCTION("""COMPUTED_VALUE"""),"ADM")</f>
        <v>ADM</v>
      </c>
      <c r="C411" s="120" t="str">
        <f>IFERROR(__xludf.DUMMYFUNCTION("""COMPUTED_VALUE"""),"Ardmore Municipal Arpt")</f>
        <v>Ardmore Municipal Arpt</v>
      </c>
      <c r="D411" s="120" t="str">
        <f>IFERROR(__xludf.DUMMYFUNCTION("""COMPUTED_VALUE"""),"United States")</f>
        <v>United States</v>
      </c>
      <c r="E411" s="135"/>
      <c r="F411" s="31"/>
    </row>
    <row r="412">
      <c r="A412" s="134" t="str">
        <f>IFERROR(__xludf.DUMMYFUNCTION("""COMPUTED_VALUE"""),"Arecibo")</f>
        <v>Arecibo</v>
      </c>
      <c r="B412" s="120" t="str">
        <f>IFERROR(__xludf.DUMMYFUNCTION("""COMPUTED_VALUE"""),"ARE")</f>
        <v>ARE</v>
      </c>
      <c r="C412" s="120" t="str">
        <f>IFERROR(__xludf.DUMMYFUNCTION("""COMPUTED_VALUE"""),"Arecibo")</f>
        <v>Arecibo</v>
      </c>
      <c r="D412" s="120" t="str">
        <f>IFERROR(__xludf.DUMMYFUNCTION("""COMPUTED_VALUE"""),"Puerto Rico")</f>
        <v>Puerto Rico</v>
      </c>
      <c r="E412" s="135"/>
      <c r="F412" s="31"/>
    </row>
    <row r="413">
      <c r="A413" s="134" t="str">
        <f>IFERROR(__xludf.DUMMYFUNCTION("""COMPUTED_VALUE"""),"Arequipa")</f>
        <v>Arequipa</v>
      </c>
      <c r="B413" s="120" t="str">
        <f>IFERROR(__xludf.DUMMYFUNCTION("""COMPUTED_VALUE"""),"AQP")</f>
        <v>AQP</v>
      </c>
      <c r="C413" s="120" t="str">
        <f>IFERROR(__xludf.DUMMYFUNCTION("""COMPUTED_VALUE"""),"Rodriguez Ballon")</f>
        <v>Rodriguez Ballon</v>
      </c>
      <c r="D413" s="120" t="str">
        <f>IFERROR(__xludf.DUMMYFUNCTION("""COMPUTED_VALUE"""),"Peru")</f>
        <v>Peru</v>
      </c>
      <c r="E413" s="135"/>
      <c r="F413" s="31"/>
    </row>
    <row r="414">
      <c r="A414" s="134" t="str">
        <f>IFERROR(__xludf.DUMMYFUNCTION("""COMPUTED_VALUE"""),"Argentia")</f>
        <v>Argentia</v>
      </c>
      <c r="B414" s="120" t="str">
        <f>IFERROR(__xludf.DUMMYFUNCTION("""COMPUTED_VALUE"""),"NWP")</f>
        <v>NWP</v>
      </c>
      <c r="C414" s="120" t="str">
        <f>IFERROR(__xludf.DUMMYFUNCTION("""COMPUTED_VALUE"""),"NS")</f>
        <v>NS</v>
      </c>
      <c r="D414" s="120" t="str">
        <f>IFERROR(__xludf.DUMMYFUNCTION("""COMPUTED_VALUE"""),"Canada")</f>
        <v>Canada</v>
      </c>
      <c r="E414" s="135"/>
      <c r="F414" s="31"/>
    </row>
    <row r="415">
      <c r="A415" s="134" t="str">
        <f>IFERROR(__xludf.DUMMYFUNCTION("""COMPUTED_VALUE"""),"Argyle")</f>
        <v>Argyle</v>
      </c>
      <c r="B415" s="120" t="str">
        <f>IFERROR(__xludf.DUMMYFUNCTION("""COMPUTED_VALUE"""),"GYL")</f>
        <v>GYL</v>
      </c>
      <c r="C415" s="120" t="str">
        <f>IFERROR(__xludf.DUMMYFUNCTION("""COMPUTED_VALUE"""),"Argyle")</f>
        <v>Argyle</v>
      </c>
      <c r="D415" s="120" t="str">
        <f>IFERROR(__xludf.DUMMYFUNCTION("""COMPUTED_VALUE"""),"Australia")</f>
        <v>Australia</v>
      </c>
      <c r="E415" s="135"/>
      <c r="F415" s="31"/>
    </row>
    <row r="416">
      <c r="A416" s="134" t="str">
        <f>IFERROR(__xludf.DUMMYFUNCTION("""COMPUTED_VALUE"""),"Argyle Downs")</f>
        <v>Argyle Downs</v>
      </c>
      <c r="B416" s="120" t="str">
        <f>IFERROR(__xludf.DUMMYFUNCTION("""COMPUTED_VALUE"""),"AGY")</f>
        <v>AGY</v>
      </c>
      <c r="C416" s="120" t="str">
        <f>IFERROR(__xludf.DUMMYFUNCTION("""COMPUTED_VALUE"""),"Argyle Downs")</f>
        <v>Argyle Downs</v>
      </c>
      <c r="D416" s="120" t="str">
        <f>IFERROR(__xludf.DUMMYFUNCTION("""COMPUTED_VALUE"""),"Australia")</f>
        <v>Australia</v>
      </c>
      <c r="E416" s="135"/>
      <c r="F416" s="31"/>
    </row>
    <row r="417">
      <c r="A417" s="134" t="str">
        <f>IFERROR(__xludf.DUMMYFUNCTION("""COMPUTED_VALUE"""),"Aribinda")</f>
        <v>Aribinda</v>
      </c>
      <c r="B417" s="120" t="str">
        <f>IFERROR(__xludf.DUMMYFUNCTION("""COMPUTED_VALUE"""),"XAR")</f>
        <v>XAR</v>
      </c>
      <c r="C417" s="120" t="str">
        <f>IFERROR(__xludf.DUMMYFUNCTION("""COMPUTED_VALUE"""),"Aribinda")</f>
        <v>Aribinda</v>
      </c>
      <c r="D417" s="120" t="str">
        <f>IFERROR(__xludf.DUMMYFUNCTION("""COMPUTED_VALUE"""),"Burkina Faso")</f>
        <v>Burkina Faso</v>
      </c>
      <c r="E417" s="135"/>
      <c r="F417" s="31"/>
    </row>
    <row r="418">
      <c r="A418" s="134" t="str">
        <f>IFERROR(__xludf.DUMMYFUNCTION("""COMPUTED_VALUE"""),"Arica")</f>
        <v>Arica</v>
      </c>
      <c r="B418" s="120" t="str">
        <f>IFERROR(__xludf.DUMMYFUNCTION("""COMPUTED_VALUE"""),"ARI")</f>
        <v>ARI</v>
      </c>
      <c r="C418" s="120" t="str">
        <f>IFERROR(__xludf.DUMMYFUNCTION("""COMPUTED_VALUE"""),"Chacalluta")</f>
        <v>Chacalluta</v>
      </c>
      <c r="D418" s="120" t="str">
        <f>IFERROR(__xludf.DUMMYFUNCTION("""COMPUTED_VALUE"""),"Chile")</f>
        <v>Chile</v>
      </c>
      <c r="E418" s="135"/>
      <c r="F418" s="31"/>
    </row>
    <row r="419">
      <c r="A419" s="134" t="str">
        <f>IFERROR(__xludf.DUMMYFUNCTION("""COMPUTED_VALUE"""),"Arica")</f>
        <v>Arica</v>
      </c>
      <c r="B419" s="120" t="str">
        <f>IFERROR(__xludf.DUMMYFUNCTION("""COMPUTED_VALUE"""),"ACM")</f>
        <v>ACM</v>
      </c>
      <c r="C419" s="120" t="str">
        <f>IFERROR(__xludf.DUMMYFUNCTION("""COMPUTED_VALUE"""),"Arica")</f>
        <v>Arica</v>
      </c>
      <c r="D419" s="120" t="str">
        <f>IFERROR(__xludf.DUMMYFUNCTION("""COMPUTED_VALUE"""),"Colombia")</f>
        <v>Colombia</v>
      </c>
      <c r="E419" s="135"/>
      <c r="F419" s="31"/>
    </row>
    <row r="420">
      <c r="A420" s="134" t="str">
        <f>IFERROR(__xludf.DUMMYFUNCTION("""COMPUTED_VALUE"""),"Aripuana")</f>
        <v>Aripuana</v>
      </c>
      <c r="B420" s="120" t="str">
        <f>IFERROR(__xludf.DUMMYFUNCTION("""COMPUTED_VALUE"""),"AIR")</f>
        <v>AIR</v>
      </c>
      <c r="C420" s="120" t="str">
        <f>IFERROR(__xludf.DUMMYFUNCTION("""COMPUTED_VALUE"""),"Aripuana")</f>
        <v>Aripuana</v>
      </c>
      <c r="D420" s="120" t="str">
        <f>IFERROR(__xludf.DUMMYFUNCTION("""COMPUTED_VALUE"""),"Brazil")</f>
        <v>Brazil</v>
      </c>
      <c r="E420" s="135"/>
      <c r="F420" s="31"/>
    </row>
    <row r="421">
      <c r="A421" s="134" t="str">
        <f>IFERROR(__xludf.DUMMYFUNCTION("""COMPUTED_VALUE"""),"Ariquemes")</f>
        <v>Ariquemes</v>
      </c>
      <c r="B421" s="120" t="str">
        <f>IFERROR(__xludf.DUMMYFUNCTION("""COMPUTED_VALUE"""),"AQM")</f>
        <v>AQM</v>
      </c>
      <c r="C421" s="120" t="str">
        <f>IFERROR(__xludf.DUMMYFUNCTION("""COMPUTED_VALUE"""),"Ariquemes")</f>
        <v>Ariquemes</v>
      </c>
      <c r="D421" s="120" t="str">
        <f>IFERROR(__xludf.DUMMYFUNCTION("""COMPUTED_VALUE"""),"Brazil")</f>
        <v>Brazil</v>
      </c>
      <c r="E421" s="135"/>
      <c r="F421" s="31"/>
    </row>
    <row r="422">
      <c r="A422" s="134" t="str">
        <f>IFERROR(__xludf.DUMMYFUNCTION("""COMPUTED_VALUE"""),"Arkalyk")</f>
        <v>Arkalyk</v>
      </c>
      <c r="B422" s="120" t="str">
        <f>IFERROR(__xludf.DUMMYFUNCTION("""COMPUTED_VALUE"""),"AYK")</f>
        <v>AYK</v>
      </c>
      <c r="C422" s="120" t="str">
        <f>IFERROR(__xludf.DUMMYFUNCTION("""COMPUTED_VALUE"""),"Arkalyk")</f>
        <v>Arkalyk</v>
      </c>
      <c r="D422" s="120" t="str">
        <f>IFERROR(__xludf.DUMMYFUNCTION("""COMPUTED_VALUE"""),"Kazakhstan")</f>
        <v>Kazakhstan</v>
      </c>
      <c r="E422" s="135"/>
      <c r="F422" s="31"/>
    </row>
    <row r="423">
      <c r="A423" s="134" t="str">
        <f>IFERROR(__xludf.DUMMYFUNCTION("""COMPUTED_VALUE"""),"Arkhangelsk")</f>
        <v>Arkhangelsk</v>
      </c>
      <c r="B423" s="120" t="str">
        <f>IFERROR(__xludf.DUMMYFUNCTION("""COMPUTED_VALUE"""),"ARH")</f>
        <v>ARH</v>
      </c>
      <c r="C423" s="120" t="str">
        <f>IFERROR(__xludf.DUMMYFUNCTION("""COMPUTED_VALUE"""),"Arkhangelsk")</f>
        <v>Arkhangelsk</v>
      </c>
      <c r="D423" s="120" t="str">
        <f>IFERROR(__xludf.DUMMYFUNCTION("""COMPUTED_VALUE"""),"Russia")</f>
        <v>Russia</v>
      </c>
      <c r="E423" s="135"/>
      <c r="F423" s="31"/>
    </row>
    <row r="424">
      <c r="A424" s="134" t="str">
        <f>IFERROR(__xludf.DUMMYFUNCTION("""COMPUTED_VALUE"""),"Arlington Heights")</f>
        <v>Arlington Heights</v>
      </c>
      <c r="B424" s="120" t="str">
        <f>IFERROR(__xludf.DUMMYFUNCTION("""COMPUTED_VALUE"""),"JLH")</f>
        <v>JLH</v>
      </c>
      <c r="C424" s="120" t="str">
        <f>IFERROR(__xludf.DUMMYFUNCTION("""COMPUTED_VALUE"""),"US Army Heliport")</f>
        <v>US Army Heliport</v>
      </c>
      <c r="D424" s="120" t="str">
        <f>IFERROR(__xludf.DUMMYFUNCTION("""COMPUTED_VALUE"""),"United States")</f>
        <v>United States</v>
      </c>
      <c r="E424" s="135"/>
      <c r="F424" s="31"/>
    </row>
    <row r="425">
      <c r="A425" s="134" t="str">
        <f>IFERROR(__xludf.DUMMYFUNCTION("""COMPUTED_VALUE"""),"Arlit")</f>
        <v>Arlit</v>
      </c>
      <c r="B425" s="120" t="str">
        <f>IFERROR(__xludf.DUMMYFUNCTION("""COMPUTED_VALUE"""),"RLT")</f>
        <v>RLT</v>
      </c>
      <c r="C425" s="120" t="str">
        <f>IFERROR(__xludf.DUMMYFUNCTION("""COMPUTED_VALUE"""),"Arlit")</f>
        <v>Arlit</v>
      </c>
      <c r="D425" s="120" t="str">
        <f>IFERROR(__xludf.DUMMYFUNCTION("""COMPUTED_VALUE"""),"Niger")</f>
        <v>Niger</v>
      </c>
      <c r="E425" s="135"/>
      <c r="F425" s="31"/>
    </row>
    <row r="426">
      <c r="A426" s="134" t="str">
        <f>IFERROR(__xludf.DUMMYFUNCTION("""COMPUTED_VALUE"""),"Arly")</f>
        <v>Arly</v>
      </c>
      <c r="B426" s="120" t="str">
        <f>IFERROR(__xludf.DUMMYFUNCTION("""COMPUTED_VALUE"""),"ARL")</f>
        <v>ARL</v>
      </c>
      <c r="C426" s="120" t="str">
        <f>IFERROR(__xludf.DUMMYFUNCTION("""COMPUTED_VALUE"""),"Arly")</f>
        <v>Arly</v>
      </c>
      <c r="D426" s="120" t="str">
        <f>IFERROR(__xludf.DUMMYFUNCTION("""COMPUTED_VALUE"""),"Burkina Faso")</f>
        <v>Burkina Faso</v>
      </c>
      <c r="E426" s="135"/>
      <c r="F426" s="31"/>
    </row>
    <row r="427">
      <c r="A427" s="134" t="str">
        <f>IFERROR(__xludf.DUMMYFUNCTION("""COMPUTED_VALUE"""),"Armenia")</f>
        <v>Armenia</v>
      </c>
      <c r="B427" s="120" t="str">
        <f>IFERROR(__xludf.DUMMYFUNCTION("""COMPUTED_VALUE"""),"AXM")</f>
        <v>AXM</v>
      </c>
      <c r="C427" s="120" t="str">
        <f>IFERROR(__xludf.DUMMYFUNCTION("""COMPUTED_VALUE"""),"El Eden")</f>
        <v>El Eden</v>
      </c>
      <c r="D427" s="120" t="str">
        <f>IFERROR(__xludf.DUMMYFUNCTION("""COMPUTED_VALUE"""),"Colombia")</f>
        <v>Colombia</v>
      </c>
      <c r="E427" s="135"/>
      <c r="F427" s="31"/>
    </row>
    <row r="428">
      <c r="A428" s="134" t="str">
        <f>IFERROR(__xludf.DUMMYFUNCTION("""COMPUTED_VALUE"""),"Armidale")</f>
        <v>Armidale</v>
      </c>
      <c r="B428" s="120" t="str">
        <f>IFERROR(__xludf.DUMMYFUNCTION("""COMPUTED_VALUE"""),"ARM")</f>
        <v>ARM</v>
      </c>
      <c r="C428" s="120" t="str">
        <f>IFERROR(__xludf.DUMMYFUNCTION("""COMPUTED_VALUE"""),"Armidale")</f>
        <v>Armidale</v>
      </c>
      <c r="D428" s="120" t="str">
        <f>IFERROR(__xludf.DUMMYFUNCTION("""COMPUTED_VALUE"""),"Australia")</f>
        <v>Australia</v>
      </c>
      <c r="E428" s="135"/>
      <c r="F428" s="31"/>
    </row>
    <row r="429">
      <c r="A429" s="134" t="str">
        <f>IFERROR(__xludf.DUMMYFUNCTION("""COMPUTED_VALUE"""),"Armstrong")</f>
        <v>Armstrong</v>
      </c>
      <c r="B429" s="120" t="str">
        <f>IFERROR(__xludf.DUMMYFUNCTION("""COMPUTED_VALUE"""),"YYW")</f>
        <v>YYW</v>
      </c>
      <c r="C429" s="120" t="str">
        <f>IFERROR(__xludf.DUMMYFUNCTION("""COMPUTED_VALUE"""),"Armstrong")</f>
        <v>Armstrong</v>
      </c>
      <c r="D429" s="120" t="str">
        <f>IFERROR(__xludf.DUMMYFUNCTION("""COMPUTED_VALUE"""),"Canada")</f>
        <v>Canada</v>
      </c>
      <c r="E429" s="135"/>
      <c r="F429" s="31"/>
    </row>
    <row r="430">
      <c r="A430" s="134" t="str">
        <f>IFERROR(__xludf.DUMMYFUNCTION("""COMPUTED_VALUE"""),"Arna")</f>
        <v>Arna</v>
      </c>
      <c r="B430" s="120" t="str">
        <f>IFERROR(__xludf.DUMMYFUNCTION("""COMPUTED_VALUE"""),"XHT")</f>
        <v>XHT</v>
      </c>
      <c r="C430" s="120" t="str">
        <f>IFERROR(__xludf.DUMMYFUNCTION("""COMPUTED_VALUE"""),"Railway")</f>
        <v>Railway</v>
      </c>
      <c r="D430" s="120" t="str">
        <f>IFERROR(__xludf.DUMMYFUNCTION("""COMPUTED_VALUE"""),"Norway")</f>
        <v>Norway</v>
      </c>
      <c r="E430" s="135"/>
      <c r="F430" s="31"/>
    </row>
    <row r="431">
      <c r="A431" s="134" t="str">
        <f>IFERROR(__xludf.DUMMYFUNCTION("""COMPUTED_VALUE"""),"Arnes")</f>
        <v>Arnes</v>
      </c>
      <c r="B431" s="120" t="str">
        <f>IFERROR(__xludf.DUMMYFUNCTION("""COMPUTED_VALUE"""),"YNR")</f>
        <v>YNR</v>
      </c>
      <c r="C431" s="120" t="str">
        <f>IFERROR(__xludf.DUMMYFUNCTION("""COMPUTED_VALUE"""),"Arnes")</f>
        <v>Arnes</v>
      </c>
      <c r="D431" s="120" t="str">
        <f>IFERROR(__xludf.DUMMYFUNCTION("""COMPUTED_VALUE"""),"Canada")</f>
        <v>Canada</v>
      </c>
      <c r="E431" s="135"/>
      <c r="F431" s="31"/>
    </row>
    <row r="432">
      <c r="A432" s="134" t="str">
        <f>IFERROR(__xludf.DUMMYFUNCTION("""COMPUTED_VALUE"""),"Arno")</f>
        <v>Arno</v>
      </c>
      <c r="B432" s="120" t="str">
        <f>IFERROR(__xludf.DUMMYFUNCTION("""COMPUTED_VALUE"""),"AMR")</f>
        <v>AMR</v>
      </c>
      <c r="C432" s="120" t="str">
        <f>IFERROR(__xludf.DUMMYFUNCTION("""COMPUTED_VALUE"""),"Arno")</f>
        <v>Arno</v>
      </c>
      <c r="D432" s="120" t="str">
        <f>IFERROR(__xludf.DUMMYFUNCTION("""COMPUTED_VALUE"""),"Marshall Islands")</f>
        <v>Marshall Islands</v>
      </c>
      <c r="E432" s="135"/>
      <c r="F432" s="31"/>
    </row>
    <row r="433">
      <c r="A433" s="134" t="str">
        <f>IFERROR(__xludf.DUMMYFUNCTION("""COMPUTED_VALUE"""),"Aroa")</f>
        <v>Aroa</v>
      </c>
      <c r="B433" s="120" t="str">
        <f>IFERROR(__xludf.DUMMYFUNCTION("""COMPUTED_VALUE"""),"AOA")</f>
        <v>AOA</v>
      </c>
      <c r="C433" s="120" t="str">
        <f>IFERROR(__xludf.DUMMYFUNCTION("""COMPUTED_VALUE"""),"Aroa")</f>
        <v>Aroa</v>
      </c>
      <c r="D433" s="120" t="str">
        <f>IFERROR(__xludf.DUMMYFUNCTION("""COMPUTED_VALUE"""),"Papua New Guinea")</f>
        <v>Papua New Guinea</v>
      </c>
      <c r="E433" s="135"/>
      <c r="F433" s="31"/>
    </row>
    <row r="434">
      <c r="A434" s="134" t="str">
        <f>IFERROR(__xludf.DUMMYFUNCTION("""COMPUTED_VALUE"""),"Arona")</f>
        <v>Arona</v>
      </c>
      <c r="B434" s="120" t="str">
        <f>IFERROR(__xludf.DUMMYFUNCTION("""COMPUTED_VALUE"""),"AON")</f>
        <v>AON</v>
      </c>
      <c r="C434" s="120" t="str">
        <f>IFERROR(__xludf.DUMMYFUNCTION("""COMPUTED_VALUE"""),"Arona")</f>
        <v>Arona</v>
      </c>
      <c r="D434" s="120" t="str">
        <f>IFERROR(__xludf.DUMMYFUNCTION("""COMPUTED_VALUE"""),"Papua New Guinea")</f>
        <v>Papua New Guinea</v>
      </c>
      <c r="E434" s="135"/>
      <c r="F434" s="31"/>
    </row>
    <row r="435">
      <c r="A435" s="134" t="str">
        <f>IFERROR(__xludf.DUMMYFUNCTION("""COMPUTED_VALUE"""),"Arona")</f>
        <v>Arona</v>
      </c>
      <c r="B435" s="120" t="str">
        <f>IFERROR(__xludf.DUMMYFUNCTION("""COMPUTED_VALUE"""),"RNA")</f>
        <v>RNA</v>
      </c>
      <c r="C435" s="120" t="str">
        <f>IFERROR(__xludf.DUMMYFUNCTION("""COMPUTED_VALUE"""),"Ulawa Airport")</f>
        <v>Ulawa Airport</v>
      </c>
      <c r="D435" s="120" t="str">
        <f>IFERROR(__xludf.DUMMYFUNCTION("""COMPUTED_VALUE"""),"Solomon Islands")</f>
        <v>Solomon Islands</v>
      </c>
      <c r="E435" s="135"/>
      <c r="F435" s="31"/>
    </row>
    <row r="436">
      <c r="A436" s="134" t="str">
        <f>IFERROR(__xludf.DUMMYFUNCTION("""COMPUTED_VALUE"""),"Arorae Island")</f>
        <v>Arorae Island</v>
      </c>
      <c r="B436" s="120" t="str">
        <f>IFERROR(__xludf.DUMMYFUNCTION("""COMPUTED_VALUE"""),"AIS")</f>
        <v>AIS</v>
      </c>
      <c r="C436" s="120" t="str">
        <f>IFERROR(__xludf.DUMMYFUNCTION("""COMPUTED_VALUE"""),"Arorae Island")</f>
        <v>Arorae Island</v>
      </c>
      <c r="D436" s="120" t="str">
        <f>IFERROR(__xludf.DUMMYFUNCTION("""COMPUTED_VALUE"""),"Kiribati")</f>
        <v>Kiribati</v>
      </c>
      <c r="E436" s="135"/>
      <c r="F436" s="31"/>
    </row>
    <row r="437">
      <c r="A437" s="134" t="str">
        <f>IFERROR(__xludf.DUMMYFUNCTION("""COMPUTED_VALUE"""),"Arrabury")</f>
        <v>Arrabury</v>
      </c>
      <c r="B437" s="120" t="str">
        <f>IFERROR(__xludf.DUMMYFUNCTION("""COMPUTED_VALUE"""),"AAB")</f>
        <v>AAB</v>
      </c>
      <c r="C437" s="120" t="str">
        <f>IFERROR(__xludf.DUMMYFUNCTION("""COMPUTED_VALUE"""),"Arrabury")</f>
        <v>Arrabury</v>
      </c>
      <c r="D437" s="120" t="str">
        <f>IFERROR(__xludf.DUMMYFUNCTION("""COMPUTED_VALUE"""),"Australia")</f>
        <v>Australia</v>
      </c>
      <c r="E437" s="135"/>
      <c r="F437" s="31"/>
    </row>
    <row r="438">
      <c r="A438" s="134" t="str">
        <f>IFERROR(__xludf.DUMMYFUNCTION("""COMPUTED_VALUE"""),"Arraias")</f>
        <v>Arraias</v>
      </c>
      <c r="B438" s="120" t="str">
        <f>IFERROR(__xludf.DUMMYFUNCTION("""COMPUTED_VALUE"""),"AAI")</f>
        <v>AAI</v>
      </c>
      <c r="C438" s="120" t="str">
        <f>IFERROR(__xludf.DUMMYFUNCTION("""COMPUTED_VALUE"""),"Arraias")</f>
        <v>Arraias</v>
      </c>
      <c r="D438" s="120" t="str">
        <f>IFERROR(__xludf.DUMMYFUNCTION("""COMPUTED_VALUE"""),"Brazil")</f>
        <v>Brazil</v>
      </c>
      <c r="E438" s="135"/>
      <c r="F438" s="31"/>
    </row>
    <row r="439">
      <c r="A439" s="134" t="str">
        <f>IFERROR(__xludf.DUMMYFUNCTION("""COMPUTED_VALUE"""),"Arso")</f>
        <v>Arso</v>
      </c>
      <c r="B439" s="120" t="str">
        <f>IFERROR(__xludf.DUMMYFUNCTION("""COMPUTED_VALUE"""),"ARJ")</f>
        <v>ARJ</v>
      </c>
      <c r="C439" s="120" t="str">
        <f>IFERROR(__xludf.DUMMYFUNCTION("""COMPUTED_VALUE"""),"Arso")</f>
        <v>Arso</v>
      </c>
      <c r="D439" s="120" t="str">
        <f>IFERROR(__xludf.DUMMYFUNCTION("""COMPUTED_VALUE"""),"Indonesia")</f>
        <v>Indonesia</v>
      </c>
      <c r="E439" s="135"/>
      <c r="F439" s="31"/>
    </row>
    <row r="440">
      <c r="A440" s="134" t="str">
        <f>IFERROR(__xludf.DUMMYFUNCTION("""COMPUTED_VALUE"""),"Arsuk")</f>
        <v>Arsuk</v>
      </c>
      <c r="B440" s="120" t="str">
        <f>IFERROR(__xludf.DUMMYFUNCTION("""COMPUTED_VALUE"""),"JRK")</f>
        <v>JRK</v>
      </c>
      <c r="C440" s="120" t="str">
        <f>IFERROR(__xludf.DUMMYFUNCTION("""COMPUTED_VALUE"""),"Arsuk")</f>
        <v>Arsuk</v>
      </c>
      <c r="D440" s="120" t="str">
        <f>IFERROR(__xludf.DUMMYFUNCTION("""COMPUTED_VALUE"""),"Greenland")</f>
        <v>Greenland</v>
      </c>
      <c r="E440" s="135"/>
      <c r="F440" s="31"/>
    </row>
    <row r="441">
      <c r="A441" s="134" t="str">
        <f>IFERROR(__xludf.DUMMYFUNCTION("""COMPUTED_VALUE"""),"Artesia")</f>
        <v>Artesia</v>
      </c>
      <c r="B441" s="120" t="str">
        <f>IFERROR(__xludf.DUMMYFUNCTION("""COMPUTED_VALUE"""),"ATS")</f>
        <v>ATS</v>
      </c>
      <c r="C441" s="120" t="str">
        <f>IFERROR(__xludf.DUMMYFUNCTION("""COMPUTED_VALUE"""),"Artesia")</f>
        <v>Artesia</v>
      </c>
      <c r="D441" s="120" t="str">
        <f>IFERROR(__xludf.DUMMYFUNCTION("""COMPUTED_VALUE"""),"United States")</f>
        <v>United States</v>
      </c>
      <c r="E441" s="135"/>
      <c r="F441" s="31"/>
    </row>
    <row r="442">
      <c r="A442" s="134" t="str">
        <f>IFERROR(__xludf.DUMMYFUNCTION("""COMPUTED_VALUE"""),"Artigas")</f>
        <v>Artigas</v>
      </c>
      <c r="B442" s="120" t="str">
        <f>IFERROR(__xludf.DUMMYFUNCTION("""COMPUTED_VALUE"""),"ATI")</f>
        <v>ATI</v>
      </c>
      <c r="C442" s="120" t="str">
        <f>IFERROR(__xludf.DUMMYFUNCTION("""COMPUTED_VALUE"""),"Artigas")</f>
        <v>Artigas</v>
      </c>
      <c r="D442" s="120" t="str">
        <f>IFERROR(__xludf.DUMMYFUNCTION("""COMPUTED_VALUE"""),"Uruguay")</f>
        <v>Uruguay</v>
      </c>
      <c r="E442" s="135"/>
      <c r="F442" s="31"/>
    </row>
    <row r="443">
      <c r="A443" s="134" t="str">
        <f>IFERROR(__xludf.DUMMYFUNCTION("""COMPUTED_VALUE"""),"Arua")</f>
        <v>Arua</v>
      </c>
      <c r="B443" s="120" t="str">
        <f>IFERROR(__xludf.DUMMYFUNCTION("""COMPUTED_VALUE"""),"RUA")</f>
        <v>RUA</v>
      </c>
      <c r="C443" s="120" t="str">
        <f>IFERROR(__xludf.DUMMYFUNCTION("""COMPUTED_VALUE"""),"Arua")</f>
        <v>Arua</v>
      </c>
      <c r="D443" s="120" t="str">
        <f>IFERROR(__xludf.DUMMYFUNCTION("""COMPUTED_VALUE"""),"Uganda")</f>
        <v>Uganda</v>
      </c>
      <c r="E443" s="135"/>
      <c r="F443" s="31"/>
    </row>
    <row r="444">
      <c r="A444" s="134" t="str">
        <f>IFERROR(__xludf.DUMMYFUNCTION("""COMPUTED_VALUE"""),"Aruba")</f>
        <v>Aruba</v>
      </c>
      <c r="B444" s="120" t="str">
        <f>IFERROR(__xludf.DUMMYFUNCTION("""COMPUTED_VALUE"""),"AUA")</f>
        <v>AUA</v>
      </c>
      <c r="C444" s="120" t="str">
        <f>IFERROR(__xludf.DUMMYFUNCTION("""COMPUTED_VALUE"""),"Reina Beatrix")</f>
        <v>Reina Beatrix</v>
      </c>
      <c r="D444" s="120" t="str">
        <f>IFERROR(__xludf.DUMMYFUNCTION("""COMPUTED_VALUE"""),"Aruba")</f>
        <v>Aruba</v>
      </c>
      <c r="E444" s="135"/>
      <c r="F444" s="31"/>
    </row>
    <row r="445">
      <c r="A445" s="134" t="str">
        <f>IFERROR(__xludf.DUMMYFUNCTION("""COMPUTED_VALUE"""),"Aruja")</f>
        <v>Aruja</v>
      </c>
      <c r="B445" s="120" t="str">
        <f>IFERROR(__xludf.DUMMYFUNCTION("""COMPUTED_VALUE"""),"ZFU")</f>
        <v>ZFU</v>
      </c>
      <c r="C445" s="120" t="str">
        <f>IFERROR(__xludf.DUMMYFUNCTION("""COMPUTED_VALUE"""),"Aruja")</f>
        <v>Aruja</v>
      </c>
      <c r="D445" s="120" t="str">
        <f>IFERROR(__xludf.DUMMYFUNCTION("""COMPUTED_VALUE"""),"Brazil")</f>
        <v>Brazil</v>
      </c>
      <c r="E445" s="135"/>
      <c r="F445" s="31"/>
    </row>
    <row r="446">
      <c r="A446" s="134" t="str">
        <f>IFERROR(__xludf.DUMMYFUNCTION("""COMPUTED_VALUE"""),"Arusha")</f>
        <v>Arusha</v>
      </c>
      <c r="B446" s="120" t="str">
        <f>IFERROR(__xludf.DUMMYFUNCTION("""COMPUTED_VALUE"""),"ARK")</f>
        <v>ARK</v>
      </c>
      <c r="C446" s="120" t="str">
        <f>IFERROR(__xludf.DUMMYFUNCTION("""COMPUTED_VALUE"""),"Arusha")</f>
        <v>Arusha</v>
      </c>
      <c r="D446" s="120" t="str">
        <f>IFERROR(__xludf.DUMMYFUNCTION("""COMPUTED_VALUE"""),"Tanzania")</f>
        <v>Tanzania</v>
      </c>
      <c r="E446" s="135"/>
      <c r="F446" s="31"/>
    </row>
    <row r="447">
      <c r="A447" s="134" t="str">
        <f>IFERROR(__xludf.DUMMYFUNCTION("""COMPUTED_VALUE"""),"Arutua")</f>
        <v>Arutua</v>
      </c>
      <c r="B447" s="120" t="str">
        <f>IFERROR(__xludf.DUMMYFUNCTION("""COMPUTED_VALUE"""),"AXR")</f>
        <v>AXR</v>
      </c>
      <c r="C447" s="120" t="str">
        <f>IFERROR(__xludf.DUMMYFUNCTION("""COMPUTED_VALUE"""),"Arutua")</f>
        <v>Arutua</v>
      </c>
      <c r="D447" s="120" t="str">
        <f>IFERROR(__xludf.DUMMYFUNCTION("""COMPUTED_VALUE"""),"French Polynesia")</f>
        <v>French Polynesia</v>
      </c>
      <c r="E447" s="135"/>
      <c r="F447" s="31"/>
    </row>
    <row r="448">
      <c r="A448" s="134" t="str">
        <f>IFERROR(__xludf.DUMMYFUNCTION("""COMPUTED_VALUE"""),"Arvaikheer")</f>
        <v>Arvaikheer</v>
      </c>
      <c r="B448" s="120" t="str">
        <f>IFERROR(__xludf.DUMMYFUNCTION("""COMPUTED_VALUE"""),"AVK")</f>
        <v>AVK</v>
      </c>
      <c r="C448" s="120" t="str">
        <f>IFERROR(__xludf.DUMMYFUNCTION("""COMPUTED_VALUE"""),"Arvaikheer")</f>
        <v>Arvaikheer</v>
      </c>
      <c r="D448" s="120" t="str">
        <f>IFERROR(__xludf.DUMMYFUNCTION("""COMPUTED_VALUE"""),"Mongolia")</f>
        <v>Mongolia</v>
      </c>
      <c r="E448" s="135"/>
      <c r="F448" s="31"/>
    </row>
    <row r="449">
      <c r="A449" s="134" t="str">
        <f>IFERROR(__xludf.DUMMYFUNCTION("""COMPUTED_VALUE"""),"Arviat")</f>
        <v>Arviat</v>
      </c>
      <c r="B449" s="120" t="str">
        <f>IFERROR(__xludf.DUMMYFUNCTION("""COMPUTED_VALUE"""),"YEK")</f>
        <v>YEK</v>
      </c>
      <c r="C449" s="120" t="str">
        <f>IFERROR(__xludf.DUMMYFUNCTION("""COMPUTED_VALUE"""),"Arviat")</f>
        <v>Arviat</v>
      </c>
      <c r="D449" s="120" t="str">
        <f>IFERROR(__xludf.DUMMYFUNCTION("""COMPUTED_VALUE"""),"Canada")</f>
        <v>Canada</v>
      </c>
      <c r="E449" s="135"/>
      <c r="F449" s="31"/>
    </row>
    <row r="450">
      <c r="A450" s="134" t="str">
        <f>IFERROR(__xludf.DUMMYFUNCTION("""COMPUTED_VALUE"""),"Arvidsjaur")</f>
        <v>Arvidsjaur</v>
      </c>
      <c r="B450" s="120" t="str">
        <f>IFERROR(__xludf.DUMMYFUNCTION("""COMPUTED_VALUE"""),"AJR")</f>
        <v>AJR</v>
      </c>
      <c r="C450" s="120" t="str">
        <f>IFERROR(__xludf.DUMMYFUNCTION("""COMPUTED_VALUE"""),"Arvidsjaur")</f>
        <v>Arvidsjaur</v>
      </c>
      <c r="D450" s="120" t="str">
        <f>IFERROR(__xludf.DUMMYFUNCTION("""COMPUTED_VALUE"""),"Sweden")</f>
        <v>Sweden</v>
      </c>
      <c r="E450" s="135"/>
      <c r="F450" s="31"/>
    </row>
    <row r="451">
      <c r="A451" s="134" t="str">
        <f>IFERROR(__xludf.DUMMYFUNCTION("""COMPUTED_VALUE"""),"Asahikawa")</f>
        <v>Asahikawa</v>
      </c>
      <c r="B451" s="120" t="str">
        <f>IFERROR(__xludf.DUMMYFUNCTION("""COMPUTED_VALUE"""),"AKJ")</f>
        <v>AKJ</v>
      </c>
      <c r="C451" s="120" t="str">
        <f>IFERROR(__xludf.DUMMYFUNCTION("""COMPUTED_VALUE"""),"Asahikawa")</f>
        <v>Asahikawa</v>
      </c>
      <c r="D451" s="120" t="str">
        <f>IFERROR(__xludf.DUMMYFUNCTION("""COMPUTED_VALUE"""),"Japan")</f>
        <v>Japan</v>
      </c>
      <c r="E451" s="135"/>
      <c r="F451" s="31"/>
    </row>
    <row r="452">
      <c r="A452" s="134" t="str">
        <f>IFERROR(__xludf.DUMMYFUNCTION("""COMPUTED_VALUE"""),"Asaloyeh")</f>
        <v>Asaloyeh</v>
      </c>
      <c r="B452" s="120" t="str">
        <f>IFERROR(__xludf.DUMMYFUNCTION("""COMPUTED_VALUE"""),"YEH")</f>
        <v>YEH</v>
      </c>
      <c r="C452" s="120" t="str">
        <f>IFERROR(__xludf.DUMMYFUNCTION("""COMPUTED_VALUE"""),"Asaloyeh")</f>
        <v>Asaloyeh</v>
      </c>
      <c r="D452" s="120" t="str">
        <f>IFERROR(__xludf.DUMMYFUNCTION("""COMPUTED_VALUE"""),"Iran")</f>
        <v>Iran</v>
      </c>
      <c r="E452" s="135"/>
      <c r="F452" s="31"/>
    </row>
    <row r="453">
      <c r="A453" s="134" t="str">
        <f>IFERROR(__xludf.DUMMYFUNCTION("""COMPUTED_VALUE"""),"Asapa")</f>
        <v>Asapa</v>
      </c>
      <c r="B453" s="120" t="str">
        <f>IFERROR(__xludf.DUMMYFUNCTION("""COMPUTED_VALUE"""),"APP")</f>
        <v>APP</v>
      </c>
      <c r="C453" s="120" t="str">
        <f>IFERROR(__xludf.DUMMYFUNCTION("""COMPUTED_VALUE"""),"Asapa")</f>
        <v>Asapa</v>
      </c>
      <c r="D453" s="120" t="str">
        <f>IFERROR(__xludf.DUMMYFUNCTION("""COMPUTED_VALUE"""),"Papua New Guinea")</f>
        <v>Papua New Guinea</v>
      </c>
      <c r="E453" s="135"/>
      <c r="F453" s="31"/>
    </row>
    <row r="454">
      <c r="A454" s="134" t="str">
        <f>IFERROR(__xludf.DUMMYFUNCTION("""COMPUTED_VALUE"""),"Asau")</f>
        <v>Asau</v>
      </c>
      <c r="B454" s="120" t="str">
        <f>IFERROR(__xludf.DUMMYFUNCTION("""COMPUTED_VALUE"""),"AAU")</f>
        <v>AAU</v>
      </c>
      <c r="C454" s="120" t="str">
        <f>IFERROR(__xludf.DUMMYFUNCTION("""COMPUTED_VALUE"""),"Asau")</f>
        <v>Asau</v>
      </c>
      <c r="D454" s="120" t="str">
        <f>IFERROR(__xludf.DUMMYFUNCTION("""COMPUTED_VALUE"""),"Samoa")</f>
        <v>Samoa</v>
      </c>
      <c r="E454" s="135"/>
      <c r="F454" s="31"/>
    </row>
    <row r="455">
      <c r="A455" s="134" t="str">
        <f>IFERROR(__xludf.DUMMYFUNCTION("""COMPUTED_VALUE"""),"Asbestos Hill")</f>
        <v>Asbestos Hill</v>
      </c>
      <c r="B455" s="120" t="str">
        <f>IFERROR(__xludf.DUMMYFUNCTION("""COMPUTED_VALUE"""),"YAF")</f>
        <v>YAF</v>
      </c>
      <c r="C455" s="120" t="str">
        <f>IFERROR(__xludf.DUMMYFUNCTION("""COMPUTED_VALUE"""),"Asbestos Hill")</f>
        <v>Asbestos Hill</v>
      </c>
      <c r="D455" s="120" t="str">
        <f>IFERROR(__xludf.DUMMYFUNCTION("""COMPUTED_VALUE"""),"Canada")</f>
        <v>Canada</v>
      </c>
      <c r="E455" s="135"/>
      <c r="F455" s="31"/>
    </row>
    <row r="456">
      <c r="A456" s="134" t="str">
        <f>IFERROR(__xludf.DUMMYFUNCTION("""COMPUTED_VALUE"""),"Neptune, NJ")</f>
        <v>Neptune, NJ</v>
      </c>
      <c r="B456" s="120" t="str">
        <f>IFERROR(__xludf.DUMMYFUNCTION("""COMPUTED_VALUE"""),"ARX")</f>
        <v>ARX</v>
      </c>
      <c r="C456" s="120" t="str">
        <f>IFERROR(__xludf.DUMMYFUNCTION("""COMPUTED_VALUE"""),"Asbury Park")</f>
        <v>Asbury Park</v>
      </c>
      <c r="D456" s="120" t="str">
        <f>IFERROR(__xludf.DUMMYFUNCTION("""COMPUTED_VALUE"""),"United States")</f>
        <v>United States</v>
      </c>
      <c r="E456" s="135"/>
      <c r="F456" s="31"/>
    </row>
    <row r="457">
      <c r="A457" s="134" t="str">
        <f>IFERROR(__xludf.DUMMYFUNCTION("""COMPUTED_VALUE"""),"Ascension")</f>
        <v>Ascension</v>
      </c>
      <c r="B457" s="120" t="str">
        <f>IFERROR(__xludf.DUMMYFUNCTION("""COMPUTED_VALUE"""),"ASC")</f>
        <v>ASC</v>
      </c>
      <c r="C457" s="120" t="str">
        <f>IFERROR(__xludf.DUMMYFUNCTION("""COMPUTED_VALUE"""),"Ascension")</f>
        <v>Ascension</v>
      </c>
      <c r="D457" s="120" t="str">
        <f>IFERROR(__xludf.DUMMYFUNCTION("""COMPUTED_VALUE"""),"Bolivia")</f>
        <v>Bolivia</v>
      </c>
      <c r="E457" s="135"/>
      <c r="F457" s="31"/>
    </row>
    <row r="458">
      <c r="A458" s="134" t="str">
        <f>IFERROR(__xludf.DUMMYFUNCTION("""COMPUTED_VALUE"""),"Ascona")</f>
        <v>Ascona</v>
      </c>
      <c r="B458" s="120" t="str">
        <f>IFERROR(__xludf.DUMMYFUNCTION("""COMPUTED_VALUE"""),"ACO")</f>
        <v>ACO</v>
      </c>
      <c r="C458" s="120" t="str">
        <f>IFERROR(__xludf.DUMMYFUNCTION("""COMPUTED_VALUE"""),"Ascona")</f>
        <v>Ascona</v>
      </c>
      <c r="D458" s="120" t="str">
        <f>IFERROR(__xludf.DUMMYFUNCTION("""COMPUTED_VALUE"""),"Switzerland")</f>
        <v>Switzerland</v>
      </c>
      <c r="E458" s="135"/>
      <c r="F458" s="31"/>
    </row>
    <row r="459">
      <c r="A459" s="134" t="str">
        <f>IFERROR(__xludf.DUMMYFUNCTION("""COMPUTED_VALUE"""),"Aseki")</f>
        <v>Aseki</v>
      </c>
      <c r="B459" s="120" t="str">
        <f>IFERROR(__xludf.DUMMYFUNCTION("""COMPUTED_VALUE"""),"AEK")</f>
        <v>AEK</v>
      </c>
      <c r="C459" s="120" t="str">
        <f>IFERROR(__xludf.DUMMYFUNCTION("""COMPUTED_VALUE"""),"Aseki")</f>
        <v>Aseki</v>
      </c>
      <c r="D459" s="120" t="str">
        <f>IFERROR(__xludf.DUMMYFUNCTION("""COMPUTED_VALUE"""),"Papua New Guinea")</f>
        <v>Papua New Guinea</v>
      </c>
      <c r="E459" s="135"/>
      <c r="F459" s="31"/>
    </row>
    <row r="460">
      <c r="A460" s="134" t="str">
        <f>IFERROR(__xludf.DUMMYFUNCTION("""COMPUTED_VALUE"""),"Asela")</f>
        <v>Asela</v>
      </c>
      <c r="B460" s="120" t="str">
        <f>IFERROR(__xludf.DUMMYFUNCTION("""COMPUTED_VALUE"""),"ALK")</f>
        <v>ALK</v>
      </c>
      <c r="C460" s="120" t="str">
        <f>IFERROR(__xludf.DUMMYFUNCTION("""COMPUTED_VALUE"""),"Asela")</f>
        <v>Asela</v>
      </c>
      <c r="D460" s="120" t="str">
        <f>IFERROR(__xludf.DUMMYFUNCTION("""COMPUTED_VALUE"""),"Ethiopia")</f>
        <v>Ethiopia</v>
      </c>
      <c r="E460" s="135"/>
      <c r="F460" s="31"/>
    </row>
    <row r="461">
      <c r="A461" s="134" t="str">
        <f>IFERROR(__xludf.DUMMYFUNCTION("""COMPUTED_VALUE"""),"Ashburton")</f>
        <v>Ashburton</v>
      </c>
      <c r="B461" s="120" t="str">
        <f>IFERROR(__xludf.DUMMYFUNCTION("""COMPUTED_VALUE"""),"ASG")</f>
        <v>ASG</v>
      </c>
      <c r="C461" s="120" t="str">
        <f>IFERROR(__xludf.DUMMYFUNCTION("""COMPUTED_VALUE"""),"Ashburton")</f>
        <v>Ashburton</v>
      </c>
      <c r="D461" s="120" t="str">
        <f>IFERROR(__xludf.DUMMYFUNCTION("""COMPUTED_VALUE"""),"New Zealand (Aotearoa)")</f>
        <v>New Zealand (Aotearoa)</v>
      </c>
      <c r="E461" s="135"/>
      <c r="F461" s="31"/>
    </row>
    <row r="462">
      <c r="A462" s="134" t="str">
        <f>IFERROR(__xludf.DUMMYFUNCTION("""COMPUTED_VALUE"""),"Ashcroft")</f>
        <v>Ashcroft</v>
      </c>
      <c r="B462" s="120" t="str">
        <f>IFERROR(__xludf.DUMMYFUNCTION("""COMPUTED_VALUE"""),"YZA")</f>
        <v>YZA</v>
      </c>
      <c r="C462" s="120" t="str">
        <f>IFERROR(__xludf.DUMMYFUNCTION("""COMPUTED_VALUE"""),"Ashcroft")</f>
        <v>Ashcroft</v>
      </c>
      <c r="D462" s="120" t="str">
        <f>IFERROR(__xludf.DUMMYFUNCTION("""COMPUTED_VALUE"""),"Canada")</f>
        <v>Canada</v>
      </c>
      <c r="E462" s="135"/>
      <c r="F462" s="31"/>
    </row>
    <row r="463">
      <c r="A463" s="134" t="str">
        <f>IFERROR(__xludf.DUMMYFUNCTION("""COMPUTED_VALUE"""),"Ashgabat")</f>
        <v>Ashgabat</v>
      </c>
      <c r="B463" s="120" t="str">
        <f>IFERROR(__xludf.DUMMYFUNCTION("""COMPUTED_VALUE"""),"ASB")</f>
        <v>ASB</v>
      </c>
      <c r="C463" s="120" t="str">
        <f>IFERROR(__xludf.DUMMYFUNCTION("""COMPUTED_VALUE"""),"Ashgabat")</f>
        <v>Ashgabat</v>
      </c>
      <c r="D463" s="120" t="str">
        <f>IFERROR(__xludf.DUMMYFUNCTION("""COMPUTED_VALUE"""),"Turkmenistan")</f>
        <v>Turkmenistan</v>
      </c>
      <c r="E463" s="135"/>
      <c r="F463" s="31"/>
    </row>
    <row r="464">
      <c r="A464" s="134" t="str">
        <f>IFERROR(__xludf.DUMMYFUNCTION("""COMPUTED_VALUE"""),"Ashland")</f>
        <v>Ashland</v>
      </c>
      <c r="B464" s="120" t="str">
        <f>IFERROR(__xludf.DUMMYFUNCTION("""COMPUTED_VALUE"""),"ASX")</f>
        <v>ASX</v>
      </c>
      <c r="C464" s="120" t="str">
        <f>IFERROR(__xludf.DUMMYFUNCTION("""COMPUTED_VALUE"""),"Ashland")</f>
        <v>Ashland</v>
      </c>
      <c r="D464" s="120" t="str">
        <f>IFERROR(__xludf.DUMMYFUNCTION("""COMPUTED_VALUE"""),"United States")</f>
        <v>United States</v>
      </c>
      <c r="E464" s="135"/>
      <c r="F464" s="31"/>
    </row>
    <row r="465">
      <c r="A465" s="134" t="str">
        <f>IFERROR(__xludf.DUMMYFUNCTION("""COMPUTED_VALUE"""),"Ashley")</f>
        <v>Ashley</v>
      </c>
      <c r="B465" s="120" t="str">
        <f>IFERROR(__xludf.DUMMYFUNCTION("""COMPUTED_VALUE"""),"ASY")</f>
        <v>ASY</v>
      </c>
      <c r="C465" s="120" t="str">
        <f>IFERROR(__xludf.DUMMYFUNCTION("""COMPUTED_VALUE"""),"Ashley")</f>
        <v>Ashley</v>
      </c>
      <c r="D465" s="120" t="str">
        <f>IFERROR(__xludf.DUMMYFUNCTION("""COMPUTED_VALUE"""),"United States")</f>
        <v>United States</v>
      </c>
      <c r="E465" s="135"/>
      <c r="F465" s="31"/>
    </row>
    <row r="466">
      <c r="A466" s="134" t="str">
        <f>IFERROR(__xludf.DUMMYFUNCTION("""COMPUTED_VALUE"""),"Asirim")</f>
        <v>Asirim</v>
      </c>
      <c r="B466" s="120" t="str">
        <f>IFERROR(__xludf.DUMMYFUNCTION("""COMPUTED_VALUE"""),"ASZ")</f>
        <v>ASZ</v>
      </c>
      <c r="C466" s="120" t="str">
        <f>IFERROR(__xludf.DUMMYFUNCTION("""COMPUTED_VALUE"""),"Asirim")</f>
        <v>Asirim</v>
      </c>
      <c r="D466" s="120" t="str">
        <f>IFERROR(__xludf.DUMMYFUNCTION("""COMPUTED_VALUE"""),"Papua New Guinea")</f>
        <v>Papua New Guinea</v>
      </c>
      <c r="E466" s="135"/>
      <c r="F466" s="31"/>
    </row>
    <row r="467">
      <c r="A467" s="134" t="str">
        <f>IFERROR(__xludf.DUMMYFUNCTION("""COMPUTED_VALUE"""),"Asosa")</f>
        <v>Asosa</v>
      </c>
      <c r="B467" s="120" t="str">
        <f>IFERROR(__xludf.DUMMYFUNCTION("""COMPUTED_VALUE"""),"ASO")</f>
        <v>ASO</v>
      </c>
      <c r="C467" s="120" t="str">
        <f>IFERROR(__xludf.DUMMYFUNCTION("""COMPUTED_VALUE"""),"Asosa")</f>
        <v>Asosa</v>
      </c>
      <c r="D467" s="120" t="str">
        <f>IFERROR(__xludf.DUMMYFUNCTION("""COMPUTED_VALUE"""),"Ethiopia")</f>
        <v>Ethiopia</v>
      </c>
      <c r="E467" s="135"/>
      <c r="F467" s="31"/>
    </row>
    <row r="468">
      <c r="A468" s="134" t="str">
        <f>IFERROR(__xludf.DUMMYFUNCTION("""COMPUTED_VALUE"""),"Aspen")</f>
        <v>Aspen</v>
      </c>
      <c r="B468" s="120" t="str">
        <f>IFERROR(__xludf.DUMMYFUNCTION("""COMPUTED_VALUE"""),"ASE")</f>
        <v>ASE</v>
      </c>
      <c r="C468" s="120" t="str">
        <f>IFERROR(__xludf.DUMMYFUNCTION("""COMPUTED_VALUE"""),"Aspen")</f>
        <v>Aspen</v>
      </c>
      <c r="D468" s="120" t="str">
        <f>IFERROR(__xludf.DUMMYFUNCTION("""COMPUTED_VALUE"""),"United States")</f>
        <v>United States</v>
      </c>
      <c r="E468" s="135"/>
      <c r="F468" s="31"/>
    </row>
    <row r="469">
      <c r="A469" s="134" t="str">
        <f>IFERROR(__xludf.DUMMYFUNCTION("""COMPUTED_VALUE"""),"Assab")</f>
        <v>Assab</v>
      </c>
      <c r="B469" s="120" t="str">
        <f>IFERROR(__xludf.DUMMYFUNCTION("""COMPUTED_VALUE"""),"ASA")</f>
        <v>ASA</v>
      </c>
      <c r="C469" s="120" t="str">
        <f>IFERROR(__xludf.DUMMYFUNCTION("""COMPUTED_VALUE"""),"Assab")</f>
        <v>Assab</v>
      </c>
      <c r="D469" s="120" t="str">
        <f>IFERROR(__xludf.DUMMYFUNCTION("""COMPUTED_VALUE"""),"Ethiopia")</f>
        <v>Ethiopia</v>
      </c>
      <c r="E469" s="135"/>
      <c r="F469" s="31"/>
    </row>
    <row r="470">
      <c r="A470" s="134" t="str">
        <f>IFERROR(__xludf.DUMMYFUNCTION("""COMPUTED_VALUE"""),"Assis")</f>
        <v>Assis</v>
      </c>
      <c r="B470" s="120" t="str">
        <f>IFERROR(__xludf.DUMMYFUNCTION("""COMPUTED_VALUE"""),"AIF")</f>
        <v>AIF</v>
      </c>
      <c r="C470" s="120" t="str">
        <f>IFERROR(__xludf.DUMMYFUNCTION("""COMPUTED_VALUE"""),"Assis")</f>
        <v>Assis</v>
      </c>
      <c r="D470" s="120" t="str">
        <f>IFERROR(__xludf.DUMMYFUNCTION("""COMPUTED_VALUE"""),"Brazil")</f>
        <v>Brazil</v>
      </c>
      <c r="E470" s="135"/>
      <c r="F470" s="31"/>
    </row>
    <row r="471">
      <c r="A471" s="134" t="str">
        <f>IFERROR(__xludf.DUMMYFUNCTION("""COMPUTED_VALUE"""),"Assiut")</f>
        <v>Assiut</v>
      </c>
      <c r="B471" s="120" t="str">
        <f>IFERROR(__xludf.DUMMYFUNCTION("""COMPUTED_VALUE"""),"ATZ")</f>
        <v>ATZ</v>
      </c>
      <c r="C471" s="120" t="str">
        <f>IFERROR(__xludf.DUMMYFUNCTION("""COMPUTED_VALUE"""),"Assiut")</f>
        <v>Assiut</v>
      </c>
      <c r="D471" s="120" t="str">
        <f>IFERROR(__xludf.DUMMYFUNCTION("""COMPUTED_VALUE"""),"Egypt")</f>
        <v>Egypt</v>
      </c>
      <c r="E471" s="135"/>
      <c r="F471" s="31"/>
    </row>
    <row r="472">
      <c r="A472" s="134" t="str">
        <f>IFERROR(__xludf.DUMMYFUNCTION("""COMPUTED_VALUE"""),"Astana")</f>
        <v>Astana</v>
      </c>
      <c r="B472" s="120" t="str">
        <f>IFERROR(__xludf.DUMMYFUNCTION("""COMPUTED_VALUE"""),"TSE")</f>
        <v>TSE</v>
      </c>
      <c r="C472" s="120" t="str">
        <f>IFERROR(__xludf.DUMMYFUNCTION("""COMPUTED_VALUE"""),"Astana")</f>
        <v>Astana</v>
      </c>
      <c r="D472" s="120" t="str">
        <f>IFERROR(__xludf.DUMMYFUNCTION("""COMPUTED_VALUE"""),"Kazakhstan")</f>
        <v>Kazakhstan</v>
      </c>
      <c r="E472" s="135"/>
      <c r="F472" s="31"/>
    </row>
    <row r="473">
      <c r="A473" s="134" t="str">
        <f>IFERROR(__xludf.DUMMYFUNCTION("""COMPUTED_VALUE"""),"Astoria")</f>
        <v>Astoria</v>
      </c>
      <c r="B473" s="120" t="str">
        <f>IFERROR(__xludf.DUMMYFUNCTION("""COMPUTED_VALUE"""),"AST")</f>
        <v>AST</v>
      </c>
      <c r="C473" s="120" t="str">
        <f>IFERROR(__xludf.DUMMYFUNCTION("""COMPUTED_VALUE"""),"Astoria")</f>
        <v>Astoria</v>
      </c>
      <c r="D473" s="120" t="str">
        <f>IFERROR(__xludf.DUMMYFUNCTION("""COMPUTED_VALUE"""),"United States")</f>
        <v>United States</v>
      </c>
      <c r="E473" s="135"/>
      <c r="F473" s="31"/>
    </row>
    <row r="474">
      <c r="A474" s="134" t="str">
        <f>IFERROR(__xludf.DUMMYFUNCTION("""COMPUTED_VALUE"""),"Astrakhan")</f>
        <v>Astrakhan</v>
      </c>
      <c r="B474" s="120" t="str">
        <f>IFERROR(__xludf.DUMMYFUNCTION("""COMPUTED_VALUE"""),"ASF")</f>
        <v>ASF</v>
      </c>
      <c r="C474" s="120" t="str">
        <f>IFERROR(__xludf.DUMMYFUNCTION("""COMPUTED_VALUE"""),"Astrakhan")</f>
        <v>Astrakhan</v>
      </c>
      <c r="D474" s="120" t="str">
        <f>IFERROR(__xludf.DUMMYFUNCTION("""COMPUTED_VALUE"""),"Russia")</f>
        <v>Russia</v>
      </c>
      <c r="E474" s="135"/>
      <c r="F474" s="31"/>
    </row>
    <row r="475">
      <c r="A475" s="134" t="str">
        <f>IFERROR(__xludf.DUMMYFUNCTION("""COMPUTED_VALUE"""),"Astraksetra")</f>
        <v>Astraksetra</v>
      </c>
      <c r="B475" s="120" t="str">
        <f>IFERROR(__xludf.DUMMYFUNCTION("""COMPUTED_VALUE"""),"AKQ")</f>
        <v>AKQ</v>
      </c>
      <c r="C475" s="120" t="str">
        <f>IFERROR(__xludf.DUMMYFUNCTION("""COMPUTED_VALUE"""),"Gunung Batin")</f>
        <v>Gunung Batin</v>
      </c>
      <c r="D475" s="120" t="str">
        <f>IFERROR(__xludf.DUMMYFUNCTION("""COMPUTED_VALUE"""),"Indonesia")</f>
        <v>Indonesia</v>
      </c>
      <c r="E475" s="135"/>
      <c r="F475" s="31"/>
    </row>
    <row r="476">
      <c r="A476" s="134" t="str">
        <f>IFERROR(__xludf.DUMMYFUNCTION("""COMPUTED_VALUE"""),"Asturias")</f>
        <v>Asturias</v>
      </c>
      <c r="B476" s="120" t="str">
        <f>IFERROR(__xludf.DUMMYFUNCTION("""COMPUTED_VALUE"""),"OVD")</f>
        <v>OVD</v>
      </c>
      <c r="C476" s="120" t="str">
        <f>IFERROR(__xludf.DUMMYFUNCTION("""COMPUTED_VALUE"""),"Asturias")</f>
        <v>Asturias</v>
      </c>
      <c r="D476" s="120" t="str">
        <f>IFERROR(__xludf.DUMMYFUNCTION("""COMPUTED_VALUE"""),"Spain")</f>
        <v>Spain</v>
      </c>
      <c r="E476" s="135"/>
      <c r="F476" s="31"/>
    </row>
    <row r="477">
      <c r="A477" s="134" t="str">
        <f>IFERROR(__xludf.DUMMYFUNCTION("""COMPUTED_VALUE"""),"Astypalaia Island")</f>
        <v>Astypalaia Island</v>
      </c>
      <c r="B477" s="120" t="str">
        <f>IFERROR(__xludf.DUMMYFUNCTION("""COMPUTED_VALUE"""),"JTY")</f>
        <v>JTY</v>
      </c>
      <c r="C477" s="120" t="str">
        <f>IFERROR(__xludf.DUMMYFUNCTION("""COMPUTED_VALUE"""),"Astypalaia")</f>
        <v>Astypalaia</v>
      </c>
      <c r="D477" s="120" t="str">
        <f>IFERROR(__xludf.DUMMYFUNCTION("""COMPUTED_VALUE"""),"Greece")</f>
        <v>Greece</v>
      </c>
      <c r="E477" s="135"/>
      <c r="F477" s="31"/>
    </row>
    <row r="478">
      <c r="A478" s="134" t="str">
        <f>IFERROR(__xludf.DUMMYFUNCTION("""COMPUTED_VALUE"""),"Asuncion")</f>
        <v>Asuncion</v>
      </c>
      <c r="B478" s="120" t="str">
        <f>IFERROR(__xludf.DUMMYFUNCTION("""COMPUTED_VALUE"""),"ASU")</f>
        <v>ASU</v>
      </c>
      <c r="C478" s="120" t="str">
        <f>IFERROR(__xludf.DUMMYFUNCTION("""COMPUTED_VALUE"""),"Silvio Pettirossi")</f>
        <v>Silvio Pettirossi</v>
      </c>
      <c r="D478" s="120" t="str">
        <f>IFERROR(__xludf.DUMMYFUNCTION("""COMPUTED_VALUE"""),"Paraguay")</f>
        <v>Paraguay</v>
      </c>
      <c r="E478" s="135"/>
      <c r="F478" s="31"/>
    </row>
    <row r="479">
      <c r="A479" s="134" t="str">
        <f>IFERROR(__xludf.DUMMYFUNCTION("""COMPUTED_VALUE"""),"Aswan")</f>
        <v>Aswan</v>
      </c>
      <c r="B479" s="120" t="str">
        <f>IFERROR(__xludf.DUMMYFUNCTION("""COMPUTED_VALUE"""),"ASW")</f>
        <v>ASW</v>
      </c>
      <c r="C479" s="120" t="str">
        <f>IFERROR(__xludf.DUMMYFUNCTION("""COMPUTED_VALUE"""),"Aswan")</f>
        <v>Aswan</v>
      </c>
      <c r="D479" s="120" t="str">
        <f>IFERROR(__xludf.DUMMYFUNCTION("""COMPUTED_VALUE"""),"Egypt")</f>
        <v>Egypt</v>
      </c>
      <c r="E479" s="135"/>
      <c r="F479" s="31"/>
    </row>
    <row r="480">
      <c r="A480" s="134" t="str">
        <f>IFERROR(__xludf.DUMMYFUNCTION("""COMPUTED_VALUE"""),"Atambua")</f>
        <v>Atambua</v>
      </c>
      <c r="B480" s="120" t="str">
        <f>IFERROR(__xludf.DUMMYFUNCTION("""COMPUTED_VALUE"""),"ABU")</f>
        <v>ABU</v>
      </c>
      <c r="C480" s="120" t="str">
        <f>IFERROR(__xludf.DUMMYFUNCTION("""COMPUTED_VALUE"""),"Atambua")</f>
        <v>Atambua</v>
      </c>
      <c r="D480" s="120" t="str">
        <f>IFERROR(__xludf.DUMMYFUNCTION("""COMPUTED_VALUE"""),"Indonesia")</f>
        <v>Indonesia</v>
      </c>
      <c r="E480" s="135"/>
      <c r="F480" s="31"/>
    </row>
    <row r="481">
      <c r="A481" s="134" t="str">
        <f>IFERROR(__xludf.DUMMYFUNCTION("""COMPUTED_VALUE"""),"Ataq")</f>
        <v>Ataq</v>
      </c>
      <c r="B481" s="120" t="str">
        <f>IFERROR(__xludf.DUMMYFUNCTION("""COMPUTED_VALUE"""),"AXK")</f>
        <v>AXK</v>
      </c>
      <c r="C481" s="120" t="str">
        <f>IFERROR(__xludf.DUMMYFUNCTION("""COMPUTED_VALUE"""),"Ataq")</f>
        <v>Ataq</v>
      </c>
      <c r="D481" s="120" t="str">
        <f>IFERROR(__xludf.DUMMYFUNCTION("""COMPUTED_VALUE"""),"Yemen")</f>
        <v>Yemen</v>
      </c>
      <c r="E481" s="135"/>
      <c r="F481" s="31"/>
    </row>
    <row r="482">
      <c r="A482" s="134" t="str">
        <f>IFERROR(__xludf.DUMMYFUNCTION("""COMPUTED_VALUE"""),"Atar")</f>
        <v>Atar</v>
      </c>
      <c r="B482" s="120" t="str">
        <f>IFERROR(__xludf.DUMMYFUNCTION("""COMPUTED_VALUE"""),"ATR")</f>
        <v>ATR</v>
      </c>
      <c r="C482" s="120" t="str">
        <f>IFERROR(__xludf.DUMMYFUNCTION("""COMPUTED_VALUE"""),"Mouakchott")</f>
        <v>Mouakchott</v>
      </c>
      <c r="D482" s="120" t="str">
        <f>IFERROR(__xludf.DUMMYFUNCTION("""COMPUTED_VALUE"""),"Mauritania")</f>
        <v>Mauritania</v>
      </c>
      <c r="E482" s="135"/>
      <c r="F482" s="31"/>
    </row>
    <row r="483">
      <c r="A483" s="134" t="str">
        <f>IFERROR(__xludf.DUMMYFUNCTION("""COMPUTED_VALUE"""),"Atauro")</f>
        <v>Atauro</v>
      </c>
      <c r="B483" s="120" t="str">
        <f>IFERROR(__xludf.DUMMYFUNCTION("""COMPUTED_VALUE"""),"AUT")</f>
        <v>AUT</v>
      </c>
      <c r="C483" s="120" t="str">
        <f>IFERROR(__xludf.DUMMYFUNCTION("""COMPUTED_VALUE"""),"Atauro")</f>
        <v>Atauro</v>
      </c>
      <c r="D483" s="120" t="str">
        <f>IFERROR(__xludf.DUMMYFUNCTION("""COMPUTED_VALUE"""),"Indonesia")</f>
        <v>Indonesia</v>
      </c>
      <c r="E483" s="135"/>
      <c r="F483" s="31"/>
    </row>
    <row r="484">
      <c r="A484" s="134" t="str">
        <f>IFERROR(__xludf.DUMMYFUNCTION("""COMPUTED_VALUE"""),"Atbara")</f>
        <v>Atbara</v>
      </c>
      <c r="B484" s="120" t="str">
        <f>IFERROR(__xludf.DUMMYFUNCTION("""COMPUTED_VALUE"""),"ATB")</f>
        <v>ATB</v>
      </c>
      <c r="C484" s="120" t="str">
        <f>IFERROR(__xludf.DUMMYFUNCTION("""COMPUTED_VALUE"""),"Atbara")</f>
        <v>Atbara</v>
      </c>
      <c r="D484" s="120" t="str">
        <f>IFERROR(__xludf.DUMMYFUNCTION("""COMPUTED_VALUE"""),"Sudan")</f>
        <v>Sudan</v>
      </c>
      <c r="E484" s="135"/>
      <c r="F484" s="31"/>
    </row>
    <row r="485">
      <c r="A485" s="134" t="str">
        <f>IFERROR(__xludf.DUMMYFUNCTION("""COMPUTED_VALUE"""),"Atbasar")</f>
        <v>Atbasar</v>
      </c>
      <c r="B485" s="120" t="str">
        <f>IFERROR(__xludf.DUMMYFUNCTION("""COMPUTED_VALUE"""),"ATX")</f>
        <v>ATX</v>
      </c>
      <c r="C485" s="120" t="str">
        <f>IFERROR(__xludf.DUMMYFUNCTION("""COMPUTED_VALUE"""),"Atbasar")</f>
        <v>Atbasar</v>
      </c>
      <c r="D485" s="120" t="str">
        <f>IFERROR(__xludf.DUMMYFUNCTION("""COMPUTED_VALUE"""),"Kazakhstan")</f>
        <v>Kazakhstan</v>
      </c>
      <c r="E485" s="135"/>
      <c r="F485" s="31"/>
    </row>
    <row r="486">
      <c r="A486" s="134" t="str">
        <f>IFERROR(__xludf.DUMMYFUNCTION("""COMPUTED_VALUE"""),"Athens")</f>
        <v>Athens</v>
      </c>
      <c r="B486" s="120" t="str">
        <f>IFERROR(__xludf.DUMMYFUNCTION("""COMPUTED_VALUE"""),"AHN")</f>
        <v>AHN</v>
      </c>
      <c r="C486" s="120" t="str">
        <f>IFERROR(__xludf.DUMMYFUNCTION("""COMPUTED_VALUE"""),"Athens")</f>
        <v>Athens</v>
      </c>
      <c r="D486" s="120" t="str">
        <f>IFERROR(__xludf.DUMMYFUNCTION("""COMPUTED_VALUE"""),"United States")</f>
        <v>United States</v>
      </c>
      <c r="E486" s="135"/>
      <c r="F486" s="31"/>
    </row>
    <row r="487">
      <c r="A487" s="134" t="str">
        <f>IFERROR(__xludf.DUMMYFUNCTION("""COMPUTED_VALUE"""),"Athens")</f>
        <v>Athens</v>
      </c>
      <c r="B487" s="120" t="str">
        <f>IFERROR(__xludf.DUMMYFUNCTION("""COMPUTED_VALUE"""),"ATH")</f>
        <v>ATH</v>
      </c>
      <c r="C487" s="120" t="str">
        <f>IFERROR(__xludf.DUMMYFUNCTION("""COMPUTED_VALUE"""),"Eleftherios Venizelos")</f>
        <v>Eleftherios Venizelos</v>
      </c>
      <c r="D487" s="120" t="str">
        <f>IFERROR(__xludf.DUMMYFUNCTION("""COMPUTED_VALUE"""),"Greece")</f>
        <v>Greece</v>
      </c>
      <c r="E487" s="135"/>
      <c r="F487" s="31"/>
    </row>
    <row r="488">
      <c r="A488" s="134" t="str">
        <f>IFERROR(__xludf.DUMMYFUNCTION("""COMPUTED_VALUE"""),"Athens")</f>
        <v>Athens</v>
      </c>
      <c r="B488" s="120" t="str">
        <f>IFERROR(__xludf.DUMMYFUNCTION("""COMPUTED_VALUE"""),"HEW")</f>
        <v>HEW</v>
      </c>
      <c r="C488" s="120" t="str">
        <f>IFERROR(__xludf.DUMMYFUNCTION("""COMPUTED_VALUE"""),"Hellinikon (Closed)")</f>
        <v>Hellinikon (Closed)</v>
      </c>
      <c r="D488" s="120" t="str">
        <f>IFERROR(__xludf.DUMMYFUNCTION("""COMPUTED_VALUE"""),"Greece")</f>
        <v>Greece</v>
      </c>
      <c r="E488" s="135"/>
      <c r="F488" s="31"/>
    </row>
    <row r="489">
      <c r="A489" s="134" t="str">
        <f>IFERROR(__xludf.DUMMYFUNCTION("""COMPUTED_VALUE"""),"Athens")</f>
        <v>Athens</v>
      </c>
      <c r="B489" s="120" t="str">
        <f>IFERROR(__xludf.DUMMYFUNCTION("""COMPUTED_VALUE"""),"ATO")</f>
        <v>ATO</v>
      </c>
      <c r="C489" s="120" t="str">
        <f>IFERROR(__xludf.DUMMYFUNCTION("""COMPUTED_VALUE"""),"Ohio University")</f>
        <v>Ohio University</v>
      </c>
      <c r="D489" s="120" t="str">
        <f>IFERROR(__xludf.DUMMYFUNCTION("""COMPUTED_VALUE"""),"United States")</f>
        <v>United States</v>
      </c>
      <c r="E489" s="135"/>
      <c r="F489" s="31"/>
    </row>
    <row r="490">
      <c r="A490" s="134" t="str">
        <f>IFERROR(__xludf.DUMMYFUNCTION("""COMPUTED_VALUE"""),"Athens")</f>
        <v>Athens</v>
      </c>
      <c r="B490" s="120" t="str">
        <f>IFERROR(__xludf.DUMMYFUNCTION("""COMPUTED_VALUE"""),"MMI")</f>
        <v>MMI</v>
      </c>
      <c r="C490" s="120" t="str">
        <f>IFERROR(__xludf.DUMMYFUNCTION("""COMPUTED_VALUE"""),"McMinn County")</f>
        <v>McMinn County</v>
      </c>
      <c r="D490" s="120" t="str">
        <f>IFERROR(__xludf.DUMMYFUNCTION("""COMPUTED_VALUE"""),"United States")</f>
        <v>United States</v>
      </c>
      <c r="E490" s="135"/>
      <c r="F490" s="31"/>
    </row>
    <row r="491">
      <c r="A491" s="134" t="str">
        <f>IFERROR(__xludf.DUMMYFUNCTION("""COMPUTED_VALUE"""),"Ati")</f>
        <v>Ati</v>
      </c>
      <c r="B491" s="120" t="str">
        <f>IFERROR(__xludf.DUMMYFUNCTION("""COMPUTED_VALUE"""),"ATV")</f>
        <v>ATV</v>
      </c>
      <c r="C491" s="120" t="str">
        <f>IFERROR(__xludf.DUMMYFUNCTION("""COMPUTED_VALUE"""),"Ati")</f>
        <v>Ati</v>
      </c>
      <c r="D491" s="137" t="str">
        <f>IFERROR(__xludf.DUMMYFUNCTION("""COMPUTED_VALUE"""),"Chad")</f>
        <v>Chad</v>
      </c>
      <c r="E491" s="135"/>
      <c r="F491" s="31"/>
    </row>
    <row r="492">
      <c r="A492" s="134" t="str">
        <f>IFERROR(__xludf.DUMMYFUNCTION("""COMPUTED_VALUE"""),"Atikokan")</f>
        <v>Atikokan</v>
      </c>
      <c r="B492" s="120" t="str">
        <f>IFERROR(__xludf.DUMMYFUNCTION("""COMPUTED_VALUE"""),"YIB")</f>
        <v>YIB</v>
      </c>
      <c r="C492" s="120" t="str">
        <f>IFERROR(__xludf.DUMMYFUNCTION("""COMPUTED_VALUE"""),"Atikokan")</f>
        <v>Atikokan</v>
      </c>
      <c r="D492" s="120" t="str">
        <f>IFERROR(__xludf.DUMMYFUNCTION("""COMPUTED_VALUE"""),"Canada")</f>
        <v>Canada</v>
      </c>
      <c r="E492" s="135"/>
      <c r="F492" s="31"/>
    </row>
    <row r="493">
      <c r="A493" s="134" t="str">
        <f>IFERROR(__xludf.DUMMYFUNCTION("""COMPUTED_VALUE"""),"Atiu Island")</f>
        <v>Atiu Island</v>
      </c>
      <c r="B493" s="120" t="str">
        <f>IFERROR(__xludf.DUMMYFUNCTION("""COMPUTED_VALUE"""),"AIU")</f>
        <v>AIU</v>
      </c>
      <c r="C493" s="120" t="str">
        <f>IFERROR(__xludf.DUMMYFUNCTION("""COMPUTED_VALUE"""),"Atiu Island")</f>
        <v>Atiu Island</v>
      </c>
      <c r="D493" s="120" t="str">
        <f>IFERROR(__xludf.DUMMYFUNCTION("""COMPUTED_VALUE"""),"Cook Islands")</f>
        <v>Cook Islands</v>
      </c>
      <c r="E493" s="135"/>
      <c r="F493" s="31"/>
    </row>
    <row r="494">
      <c r="A494" s="134" t="str">
        <f>IFERROR(__xludf.DUMMYFUNCTION("""COMPUTED_VALUE"""),"Atka")</f>
        <v>Atka</v>
      </c>
      <c r="B494" s="120" t="str">
        <f>IFERROR(__xludf.DUMMYFUNCTION("""COMPUTED_VALUE"""),"AKB")</f>
        <v>AKB</v>
      </c>
      <c r="C494" s="120" t="str">
        <f>IFERROR(__xludf.DUMMYFUNCTION("""COMPUTED_VALUE"""),"Atka")</f>
        <v>Atka</v>
      </c>
      <c r="D494" s="120" t="str">
        <f>IFERROR(__xludf.DUMMYFUNCTION("""COMPUTED_VALUE"""),"United States")</f>
        <v>United States</v>
      </c>
      <c r="E494" s="135"/>
      <c r="F494" s="31"/>
    </row>
    <row r="495">
      <c r="A495" s="134" t="str">
        <f>IFERROR(__xludf.DUMMYFUNCTION("""COMPUTED_VALUE"""),"Atkamba")</f>
        <v>Atkamba</v>
      </c>
      <c r="B495" s="120" t="str">
        <f>IFERROR(__xludf.DUMMYFUNCTION("""COMPUTED_VALUE"""),"ABP")</f>
        <v>ABP</v>
      </c>
      <c r="C495" s="120" t="str">
        <f>IFERROR(__xludf.DUMMYFUNCTION("""COMPUTED_VALUE"""),"Atkamba")</f>
        <v>Atkamba</v>
      </c>
      <c r="D495" s="120" t="str">
        <f>IFERROR(__xludf.DUMMYFUNCTION("""COMPUTED_VALUE"""),"Papua New Guinea")</f>
        <v>Papua New Guinea</v>
      </c>
      <c r="E495" s="135"/>
      <c r="F495" s="31"/>
    </row>
    <row r="496">
      <c r="A496" s="134" t="str">
        <f>IFERROR(__xludf.DUMMYFUNCTION("""COMPUTED_VALUE"""),"Atlanta")</f>
        <v>Atlanta</v>
      </c>
      <c r="B496" s="120" t="str">
        <f>IFERROR(__xludf.DUMMYFUNCTION("""COMPUTED_VALUE"""),"JAO")</f>
        <v>JAO</v>
      </c>
      <c r="C496" s="120" t="str">
        <f>IFERROR(__xludf.DUMMYFUNCTION("""COMPUTED_VALUE"""),"Beaver Ruin")</f>
        <v>Beaver Ruin</v>
      </c>
      <c r="D496" s="120" t="str">
        <f>IFERROR(__xludf.DUMMYFUNCTION("""COMPUTED_VALUE"""),"United States")</f>
        <v>United States</v>
      </c>
      <c r="E496" s="135"/>
      <c r="F496" s="31"/>
    </row>
    <row r="497">
      <c r="A497" s="134" t="str">
        <f>IFERROR(__xludf.DUMMYFUNCTION("""COMPUTED_VALUE"""),"Atlanta")</f>
        <v>Atlanta</v>
      </c>
      <c r="B497" s="120" t="str">
        <f>IFERROR(__xludf.DUMMYFUNCTION("""COMPUTED_VALUE"""),"PDK")</f>
        <v>PDK</v>
      </c>
      <c r="C497" s="120" t="str">
        <f>IFERROR(__xludf.DUMMYFUNCTION("""COMPUTED_VALUE"""),"De Kalb/Peachtree")</f>
        <v>De Kalb/Peachtree</v>
      </c>
      <c r="D497" s="120" t="str">
        <f>IFERROR(__xludf.DUMMYFUNCTION("""COMPUTED_VALUE"""),"United States")</f>
        <v>United States</v>
      </c>
      <c r="E497" s="135"/>
      <c r="F497" s="31"/>
    </row>
    <row r="498">
      <c r="A498" s="134" t="str">
        <f>IFERROR(__xludf.DUMMYFUNCTION("""COMPUTED_VALUE"""),"Atlanta")</f>
        <v>Atlanta</v>
      </c>
      <c r="B498" s="120" t="str">
        <f>IFERROR(__xludf.DUMMYFUNCTION("""COMPUTED_VALUE"""),"FTY")</f>
        <v>FTY</v>
      </c>
      <c r="C498" s="120" t="str">
        <f>IFERROR(__xludf.DUMMYFUNCTION("""COMPUTED_VALUE"""),"Fulton County")</f>
        <v>Fulton County</v>
      </c>
      <c r="D498" s="120" t="str">
        <f>IFERROR(__xludf.DUMMYFUNCTION("""COMPUTED_VALUE"""),"United States")</f>
        <v>United States</v>
      </c>
      <c r="E498" s="135"/>
      <c r="F498" s="31"/>
    </row>
    <row r="499">
      <c r="A499" s="134" t="str">
        <f>IFERROR(__xludf.DUMMYFUNCTION("""COMPUTED_VALUE"""),"Atlanta")</f>
        <v>Atlanta</v>
      </c>
      <c r="B499" s="120" t="str">
        <f>IFERROR(__xludf.DUMMYFUNCTION("""COMPUTED_VALUE"""),"JGL")</f>
        <v>JGL</v>
      </c>
      <c r="C499" s="120" t="str">
        <f>IFERROR(__xludf.DUMMYFUNCTION("""COMPUTED_VALUE"""),"Galleria")</f>
        <v>Galleria</v>
      </c>
      <c r="D499" s="120" t="str">
        <f>IFERROR(__xludf.DUMMYFUNCTION("""COMPUTED_VALUE"""),"United States")</f>
        <v>United States</v>
      </c>
      <c r="E499" s="135"/>
      <c r="F499" s="31"/>
    </row>
    <row r="500">
      <c r="A500" s="134" t="str">
        <f>IFERROR(__xludf.DUMMYFUNCTION("""COMPUTED_VALUE"""),"Atlanta")</f>
        <v>Atlanta</v>
      </c>
      <c r="B500" s="120" t="str">
        <f>IFERROR(__xludf.DUMMYFUNCTION("""COMPUTED_VALUE"""),"ATL")</f>
        <v>ATL</v>
      </c>
      <c r="C500" s="120" t="str">
        <f>IFERROR(__xludf.DUMMYFUNCTION("""COMPUTED_VALUE"""),"Hartsfield-Jackson Atlanta Int")</f>
        <v>Hartsfield-Jackson Atlanta Int</v>
      </c>
      <c r="D500" s="120" t="str">
        <f>IFERROR(__xludf.DUMMYFUNCTION("""COMPUTED_VALUE"""),"United States")</f>
        <v>United States</v>
      </c>
      <c r="E500" s="135"/>
      <c r="F500" s="31"/>
    </row>
    <row r="501">
      <c r="A501" s="134" t="str">
        <f>IFERROR(__xludf.DUMMYFUNCTION("""COMPUTED_VALUE"""),"Atlanta")</f>
        <v>Atlanta</v>
      </c>
      <c r="B501" s="120" t="str">
        <f>IFERROR(__xludf.DUMMYFUNCTION("""COMPUTED_VALUE"""),"JAJ")</f>
        <v>JAJ</v>
      </c>
      <c r="C501" s="120" t="str">
        <f>IFERROR(__xludf.DUMMYFUNCTION("""COMPUTED_VALUE"""),"Perimeter Mall")</f>
        <v>Perimeter Mall</v>
      </c>
      <c r="D501" s="120" t="str">
        <f>IFERROR(__xludf.DUMMYFUNCTION("""COMPUTED_VALUE"""),"United States")</f>
        <v>United States</v>
      </c>
      <c r="E501" s="135"/>
      <c r="F501" s="31"/>
    </row>
    <row r="502">
      <c r="A502" s="134" t="str">
        <f>IFERROR(__xludf.DUMMYFUNCTION("""COMPUTED_VALUE"""),"Atlanta")</f>
        <v>Atlanta</v>
      </c>
      <c r="B502" s="120" t="str">
        <f>IFERROR(__xludf.DUMMYFUNCTION("""COMPUTED_VALUE"""),"JAE")</f>
        <v>JAE</v>
      </c>
      <c r="C502" s="120" t="str">
        <f>IFERROR(__xludf.DUMMYFUNCTION("""COMPUTED_VALUE"""),"Technology Park")</f>
        <v>Technology Park</v>
      </c>
      <c r="D502" s="120" t="str">
        <f>IFERROR(__xludf.DUMMYFUNCTION("""COMPUTED_VALUE"""),"United States")</f>
        <v>United States</v>
      </c>
      <c r="E502" s="135"/>
      <c r="F502" s="31"/>
    </row>
    <row r="503">
      <c r="A503" s="134" t="str">
        <f>IFERROR(__xludf.DUMMYFUNCTION("""COMPUTED_VALUE"""),"Atlantic")</f>
        <v>Atlantic</v>
      </c>
      <c r="B503" s="120" t="str">
        <f>IFERROR(__xludf.DUMMYFUNCTION("""COMPUTED_VALUE"""),"AIO")</f>
        <v>AIO</v>
      </c>
      <c r="C503" s="120" t="str">
        <f>IFERROR(__xludf.DUMMYFUNCTION("""COMPUTED_VALUE"""),"Municipal")</f>
        <v>Municipal</v>
      </c>
      <c r="D503" s="120" t="str">
        <f>IFERROR(__xludf.DUMMYFUNCTION("""COMPUTED_VALUE"""),"United States")</f>
        <v>United States</v>
      </c>
      <c r="E503" s="135"/>
      <c r="F503" s="31"/>
    </row>
    <row r="504">
      <c r="A504" s="134" t="str">
        <f>IFERROR(__xludf.DUMMYFUNCTION("""COMPUTED_VALUE"""),"Atlantic City")</f>
        <v>Atlantic City</v>
      </c>
      <c r="B504" s="120" t="str">
        <f>IFERROR(__xludf.DUMMYFUNCTION("""COMPUTED_VALUE"""),"ACY")</f>
        <v>ACY</v>
      </c>
      <c r="C504" s="137" t="str">
        <f>IFERROR(__xludf.DUMMYFUNCTION("""COMPUTED_VALUE"""),"Atlantic City Intl")</f>
        <v>Atlantic City Intl</v>
      </c>
      <c r="D504" s="120" t="str">
        <f>IFERROR(__xludf.DUMMYFUNCTION("""COMPUTED_VALUE"""),"United States")</f>
        <v>United States</v>
      </c>
      <c r="E504" s="135"/>
      <c r="F504" s="31"/>
    </row>
    <row r="505">
      <c r="A505" s="134" t="str">
        <f>IFERROR(__xludf.DUMMYFUNCTION("""COMPUTED_VALUE"""),"Atlantic City")</f>
        <v>Atlantic City</v>
      </c>
      <c r="B505" s="120" t="str">
        <f>IFERROR(__xludf.DUMMYFUNCTION("""COMPUTED_VALUE"""),"AIY")</f>
        <v>AIY</v>
      </c>
      <c r="C505" s="120" t="str">
        <f>IFERROR(__xludf.DUMMYFUNCTION("""COMPUTED_VALUE"""),"Bader Field")</f>
        <v>Bader Field</v>
      </c>
      <c r="D505" s="120" t="str">
        <f>IFERROR(__xludf.DUMMYFUNCTION("""COMPUTED_VALUE"""),"United States")</f>
        <v>United States</v>
      </c>
      <c r="E505" s="135"/>
      <c r="F505" s="31"/>
    </row>
    <row r="506">
      <c r="A506" s="134" t="str">
        <f>IFERROR(__xludf.DUMMYFUNCTION("""COMPUTED_VALUE"""),"Atlantic City")</f>
        <v>Atlantic City</v>
      </c>
      <c r="B506" s="120" t="str">
        <f>IFERROR(__xludf.DUMMYFUNCTION("""COMPUTED_VALUE"""),"JSL")</f>
        <v>JSL</v>
      </c>
      <c r="C506" s="120" t="str">
        <f>IFERROR(__xludf.DUMMYFUNCTION("""COMPUTED_VALUE"""),"Steel Pier Hlpt")</f>
        <v>Steel Pier Hlpt</v>
      </c>
      <c r="D506" s="120" t="str">
        <f>IFERROR(__xludf.DUMMYFUNCTION("""COMPUTED_VALUE"""),"United States")</f>
        <v>United States</v>
      </c>
      <c r="E506" s="135"/>
      <c r="F506" s="31"/>
    </row>
    <row r="507">
      <c r="A507" s="134" t="str">
        <f>IFERROR(__xludf.DUMMYFUNCTION("""COMPUTED_VALUE"""),"Atmautluak")</f>
        <v>Atmautluak</v>
      </c>
      <c r="B507" s="120" t="str">
        <f>IFERROR(__xludf.DUMMYFUNCTION("""COMPUTED_VALUE"""),"ATT")</f>
        <v>ATT</v>
      </c>
      <c r="C507" s="120" t="str">
        <f>IFERROR(__xludf.DUMMYFUNCTION("""COMPUTED_VALUE"""),"Atmautluak")</f>
        <v>Atmautluak</v>
      </c>
      <c r="D507" s="120" t="str">
        <f>IFERROR(__xludf.DUMMYFUNCTION("""COMPUTED_VALUE"""),"United States")</f>
        <v>United States</v>
      </c>
      <c r="E507" s="135"/>
      <c r="F507" s="31"/>
    </row>
    <row r="508">
      <c r="A508" s="134" t="str">
        <f>IFERROR(__xludf.DUMMYFUNCTION("""COMPUTED_VALUE"""),"Atoifi")</f>
        <v>Atoifi</v>
      </c>
      <c r="B508" s="120" t="str">
        <f>IFERROR(__xludf.DUMMYFUNCTION("""COMPUTED_VALUE"""),"ATD")</f>
        <v>ATD</v>
      </c>
      <c r="C508" s="120" t="str">
        <f>IFERROR(__xludf.DUMMYFUNCTION("""COMPUTED_VALUE"""),"Atoifi")</f>
        <v>Atoifi</v>
      </c>
      <c r="D508" s="120" t="str">
        <f>IFERROR(__xludf.DUMMYFUNCTION("""COMPUTED_VALUE"""),"Solomon Islands")</f>
        <v>Solomon Islands</v>
      </c>
      <c r="E508" s="135"/>
      <c r="F508" s="31"/>
    </row>
    <row r="509">
      <c r="A509" s="134" t="str">
        <f>IFERROR(__xludf.DUMMYFUNCTION("""COMPUTED_VALUE"""),"Atqasuk")</f>
        <v>Atqasuk</v>
      </c>
      <c r="B509" s="120" t="str">
        <f>IFERROR(__xludf.DUMMYFUNCTION("""COMPUTED_VALUE"""),"ATK")</f>
        <v>ATK</v>
      </c>
      <c r="C509" s="120" t="str">
        <f>IFERROR(__xludf.DUMMYFUNCTION("""COMPUTED_VALUE"""),"Atqasuk")</f>
        <v>Atqasuk</v>
      </c>
      <c r="D509" s="120" t="str">
        <f>IFERROR(__xludf.DUMMYFUNCTION("""COMPUTED_VALUE"""),"United States")</f>
        <v>United States</v>
      </c>
      <c r="E509" s="135"/>
      <c r="F509" s="31"/>
    </row>
    <row r="510">
      <c r="A510" s="134" t="str">
        <f>IFERROR(__xludf.DUMMYFUNCTION("""COMPUTED_VALUE"""),"Atsugi")</f>
        <v>Atsugi</v>
      </c>
      <c r="B510" s="120" t="str">
        <f>IFERROR(__xludf.DUMMYFUNCTION("""COMPUTED_VALUE"""),"NJA")</f>
        <v>NJA</v>
      </c>
      <c r="C510" s="120" t="str">
        <f>IFERROR(__xludf.DUMMYFUNCTION("""COMPUTED_VALUE"""),"NAS")</f>
        <v>NAS</v>
      </c>
      <c r="D510" s="120" t="str">
        <f>IFERROR(__xludf.DUMMYFUNCTION("""COMPUTED_VALUE"""),"Japan")</f>
        <v>Japan</v>
      </c>
      <c r="E510" s="135"/>
      <c r="F510" s="31"/>
    </row>
    <row r="511">
      <c r="A511" s="134" t="str">
        <f>IFERROR(__xludf.DUMMYFUNCTION("""COMPUTED_VALUE"""),"Attawapiskat")</f>
        <v>Attawapiskat</v>
      </c>
      <c r="B511" s="120" t="str">
        <f>IFERROR(__xludf.DUMMYFUNCTION("""COMPUTED_VALUE"""),"YAT")</f>
        <v>YAT</v>
      </c>
      <c r="C511" s="120" t="str">
        <f>IFERROR(__xludf.DUMMYFUNCTION("""COMPUTED_VALUE"""),"Attawapiskat")</f>
        <v>Attawapiskat</v>
      </c>
      <c r="D511" s="120" t="str">
        <f>IFERROR(__xludf.DUMMYFUNCTION("""COMPUTED_VALUE"""),"Canada")</f>
        <v>Canada</v>
      </c>
      <c r="E511" s="135"/>
      <c r="F511" s="31"/>
    </row>
    <row r="512">
      <c r="A512" s="134" t="str">
        <f>IFERROR(__xludf.DUMMYFUNCTION("""COMPUTED_VALUE"""),"Attock")</f>
        <v>Attock</v>
      </c>
      <c r="B512" s="120" t="str">
        <f>IFERROR(__xludf.DUMMYFUNCTION("""COMPUTED_VALUE"""),"ATG")</f>
        <v>ATG</v>
      </c>
      <c r="C512" s="120" t="str">
        <f>IFERROR(__xludf.DUMMYFUNCTION("""COMPUTED_VALUE"""),"Attock")</f>
        <v>Attock</v>
      </c>
      <c r="D512" s="120" t="str">
        <f>IFERROR(__xludf.DUMMYFUNCTION("""COMPUTED_VALUE"""),"Pakistan")</f>
        <v>Pakistan</v>
      </c>
      <c r="E512" s="135"/>
      <c r="F512" s="31"/>
    </row>
    <row r="513">
      <c r="A513" s="134" t="str">
        <f>IFERROR(__xludf.DUMMYFUNCTION("""COMPUTED_VALUE"""),"Attopeu")</f>
        <v>Attopeu</v>
      </c>
      <c r="B513" s="120" t="str">
        <f>IFERROR(__xludf.DUMMYFUNCTION("""COMPUTED_VALUE"""),"AOU")</f>
        <v>AOU</v>
      </c>
      <c r="C513" s="120" t="str">
        <f>IFERROR(__xludf.DUMMYFUNCTION("""COMPUTED_VALUE"""),"Attopeu")</f>
        <v>Attopeu</v>
      </c>
      <c r="D513" s="120" t="str">
        <f>IFERROR(__xludf.DUMMYFUNCTION("""COMPUTED_VALUE"""),"Laos")</f>
        <v>Laos</v>
      </c>
      <c r="E513" s="135"/>
      <c r="F513" s="31"/>
    </row>
    <row r="514">
      <c r="A514" s="134" t="str">
        <f>IFERROR(__xludf.DUMMYFUNCTION("""COMPUTED_VALUE"""),"Attu")</f>
        <v>Attu</v>
      </c>
      <c r="B514" s="120" t="str">
        <f>IFERROR(__xludf.DUMMYFUNCTION("""COMPUTED_VALUE"""),"QGQ")</f>
        <v>QGQ</v>
      </c>
      <c r="C514" s="120" t="str">
        <f>IFERROR(__xludf.DUMMYFUNCTION("""COMPUTED_VALUE"""),"Heliport")</f>
        <v>Heliport</v>
      </c>
      <c r="D514" s="120" t="str">
        <f>IFERROR(__xludf.DUMMYFUNCTION("""COMPUTED_VALUE"""),"Greenland")</f>
        <v>Greenland</v>
      </c>
      <c r="E514" s="135"/>
      <c r="F514" s="31"/>
    </row>
    <row r="515">
      <c r="A515" s="134" t="str">
        <f>IFERROR(__xludf.DUMMYFUNCTION("""COMPUTED_VALUE"""),"Attu Island")</f>
        <v>Attu Island</v>
      </c>
      <c r="B515" s="120" t="str">
        <f>IFERROR(__xludf.DUMMYFUNCTION("""COMPUTED_VALUE"""),"ATU")</f>
        <v>ATU</v>
      </c>
      <c r="C515" s="120" t="str">
        <f>IFERROR(__xludf.DUMMYFUNCTION("""COMPUTED_VALUE"""),"Casco Cove")</f>
        <v>Casco Cove</v>
      </c>
      <c r="D515" s="120" t="str">
        <f>IFERROR(__xludf.DUMMYFUNCTION("""COMPUTED_VALUE"""),"United States")</f>
        <v>United States</v>
      </c>
      <c r="E515" s="135"/>
      <c r="F515" s="31"/>
    </row>
    <row r="516">
      <c r="A516" s="134" t="str">
        <f>IFERROR(__xludf.DUMMYFUNCTION("""COMPUTED_VALUE"""),"Atuona")</f>
        <v>Atuona</v>
      </c>
      <c r="B516" s="120" t="str">
        <f>IFERROR(__xludf.DUMMYFUNCTION("""COMPUTED_VALUE"""),"AUQ")</f>
        <v>AUQ</v>
      </c>
      <c r="C516" s="120" t="str">
        <f>IFERROR(__xludf.DUMMYFUNCTION("""COMPUTED_VALUE"""),"Atuona")</f>
        <v>Atuona</v>
      </c>
      <c r="D516" s="120" t="str">
        <f>IFERROR(__xludf.DUMMYFUNCTION("""COMPUTED_VALUE"""),"French Polynesia")</f>
        <v>French Polynesia</v>
      </c>
      <c r="E516" s="135"/>
      <c r="F516" s="31"/>
    </row>
    <row r="517">
      <c r="A517" s="134" t="str">
        <f>IFERROR(__xludf.DUMMYFUNCTION("""COMPUTED_VALUE"""),"Atyrau")</f>
        <v>Atyrau</v>
      </c>
      <c r="B517" s="120" t="str">
        <f>IFERROR(__xludf.DUMMYFUNCTION("""COMPUTED_VALUE"""),"GUW")</f>
        <v>GUW</v>
      </c>
      <c r="C517" s="120" t="str">
        <f>IFERROR(__xludf.DUMMYFUNCTION("""COMPUTED_VALUE"""),"Atyrau")</f>
        <v>Atyrau</v>
      </c>
      <c r="D517" s="120" t="str">
        <f>IFERROR(__xludf.DUMMYFUNCTION("""COMPUTED_VALUE"""),"Kazakhstan")</f>
        <v>Kazakhstan</v>
      </c>
      <c r="E517" s="135"/>
      <c r="F517" s="31"/>
    </row>
    <row r="518">
      <c r="A518" s="134" t="str">
        <f>IFERROR(__xludf.DUMMYFUNCTION("""COMPUTED_VALUE"""),"Aua Island")</f>
        <v>Aua Island</v>
      </c>
      <c r="B518" s="120" t="str">
        <f>IFERROR(__xludf.DUMMYFUNCTION("""COMPUTED_VALUE"""),"AUI")</f>
        <v>AUI</v>
      </c>
      <c r="C518" s="120" t="str">
        <f>IFERROR(__xludf.DUMMYFUNCTION("""COMPUTED_VALUE"""),"Aua Island")</f>
        <v>Aua Island</v>
      </c>
      <c r="D518" s="120" t="str">
        <f>IFERROR(__xludf.DUMMYFUNCTION("""COMPUTED_VALUE"""),"Papua New Guinea")</f>
        <v>Papua New Guinea</v>
      </c>
      <c r="E518" s="135"/>
      <c r="F518" s="31"/>
    </row>
    <row r="519">
      <c r="A519" s="134" t="str">
        <f>IFERROR(__xludf.DUMMYFUNCTION("""COMPUTED_VALUE"""),"Aubagne")</f>
        <v>Aubagne</v>
      </c>
      <c r="B519" s="120" t="str">
        <f>IFERROR(__xludf.DUMMYFUNCTION("""COMPUTED_VALUE"""),"JAH")</f>
        <v>JAH</v>
      </c>
      <c r="C519" s="120" t="str">
        <f>IFERROR(__xludf.DUMMYFUNCTION("""COMPUTED_VALUE"""),"Agora Helipad")</f>
        <v>Agora Helipad</v>
      </c>
      <c r="D519" s="120" t="str">
        <f>IFERROR(__xludf.DUMMYFUNCTION("""COMPUTED_VALUE"""),"France")</f>
        <v>France</v>
      </c>
      <c r="E519" s="135"/>
      <c r="F519" s="31"/>
    </row>
    <row r="520">
      <c r="A520" s="134" t="str">
        <f>IFERROR(__xludf.DUMMYFUNCTION("""COMPUTED_VALUE"""),"Aubenas")</f>
        <v>Aubenas</v>
      </c>
      <c r="B520" s="120" t="str">
        <f>IFERROR(__xludf.DUMMYFUNCTION("""COMPUTED_VALUE"""),"OBS")</f>
        <v>OBS</v>
      </c>
      <c r="C520" s="120" t="str">
        <f>IFERROR(__xludf.DUMMYFUNCTION("""COMPUTED_VALUE"""),"Vals-Lanas")</f>
        <v>Vals-Lanas</v>
      </c>
      <c r="D520" s="120" t="str">
        <f>IFERROR(__xludf.DUMMYFUNCTION("""COMPUTED_VALUE"""),"France")</f>
        <v>France</v>
      </c>
      <c r="E520" s="135"/>
      <c r="F520" s="31"/>
    </row>
    <row r="521">
      <c r="A521" s="134" t="str">
        <f>IFERROR(__xludf.DUMMYFUNCTION("""COMPUTED_VALUE"""),"Auburn")</f>
        <v>Auburn</v>
      </c>
      <c r="B521" s="120" t="str">
        <f>IFERROR(__xludf.DUMMYFUNCTION("""COMPUTED_VALUE"""),"AUO")</f>
        <v>AUO</v>
      </c>
      <c r="C521" s="120" t="str">
        <f>IFERROR(__xludf.DUMMYFUNCTION("""COMPUTED_VALUE"""),"Auburn-Opelika")</f>
        <v>Auburn-Opelika</v>
      </c>
      <c r="D521" s="120" t="str">
        <f>IFERROR(__xludf.DUMMYFUNCTION("""COMPUTED_VALUE"""),"United States")</f>
        <v>United States</v>
      </c>
      <c r="E521" s="135"/>
      <c r="F521" s="31"/>
    </row>
    <row r="522">
      <c r="A522" s="134" t="str">
        <f>IFERROR(__xludf.DUMMYFUNCTION("""COMPUTED_VALUE"""),"Auburn")</f>
        <v>Auburn</v>
      </c>
      <c r="B522" s="120" t="str">
        <f>IFERROR(__xludf.DUMMYFUNCTION("""COMPUTED_VALUE"""),"AUN")</f>
        <v>AUN</v>
      </c>
      <c r="C522" s="120" t="str">
        <f>IFERROR(__xludf.DUMMYFUNCTION("""COMPUTED_VALUE"""),"Auburn")</f>
        <v>Auburn</v>
      </c>
      <c r="D522" s="120" t="str">
        <f>IFERROR(__xludf.DUMMYFUNCTION("""COMPUTED_VALUE"""),"United States")</f>
        <v>United States</v>
      </c>
      <c r="E522" s="135"/>
      <c r="F522" s="31"/>
    </row>
    <row r="523">
      <c r="A523" s="134" t="str">
        <f>IFERROR(__xludf.DUMMYFUNCTION("""COMPUTED_VALUE"""),"Auckland")</f>
        <v>Auckland</v>
      </c>
      <c r="B523" s="120" t="str">
        <f>IFERROR(__xludf.DUMMYFUNCTION("""COMPUTED_VALUE"""),"AKL")</f>
        <v>AKL</v>
      </c>
      <c r="C523" s="120" t="str">
        <f>IFERROR(__xludf.DUMMYFUNCTION("""COMPUTED_VALUE"""),"Auckland International")</f>
        <v>Auckland International</v>
      </c>
      <c r="D523" s="120" t="str">
        <f>IFERROR(__xludf.DUMMYFUNCTION("""COMPUTED_VALUE"""),"New Zealand (aotearoa)")</f>
        <v>New Zealand (aotearoa)</v>
      </c>
      <c r="E523" s="135"/>
      <c r="F523" s="31"/>
    </row>
    <row r="524">
      <c r="A524" s="134" t="str">
        <f>IFERROR(__xludf.DUMMYFUNCTION("""COMPUTED_VALUE"""),"Auckland")</f>
        <v>Auckland</v>
      </c>
      <c r="B524" s="120" t="str">
        <f>IFERROR(__xludf.DUMMYFUNCTION("""COMPUTED_VALUE"""),"MHB")</f>
        <v>MHB</v>
      </c>
      <c r="C524" s="120" t="str">
        <f>IFERROR(__xludf.DUMMYFUNCTION("""COMPUTED_VALUE"""),"Mechanics Bay")</f>
        <v>Mechanics Bay</v>
      </c>
      <c r="D524" s="120" t="str">
        <f>IFERROR(__xludf.DUMMYFUNCTION("""COMPUTED_VALUE"""),"New Zealand (Aotearoa)")</f>
        <v>New Zealand (Aotearoa)</v>
      </c>
      <c r="E524" s="135"/>
      <c r="F524" s="31"/>
    </row>
    <row r="525">
      <c r="A525" s="134" t="str">
        <f>IFERROR(__xludf.DUMMYFUNCTION("""COMPUTED_VALUE"""),"Aue")</f>
        <v>Aue</v>
      </c>
      <c r="B525" s="120" t="str">
        <f>IFERROR(__xludf.DUMMYFUNCTION("""COMPUTED_VALUE"""),"ZAU")</f>
        <v>ZAU</v>
      </c>
      <c r="C525" s="120" t="str">
        <f>IFERROR(__xludf.DUMMYFUNCTION("""COMPUTED_VALUE"""),"Sachsen Railway Stn.")</f>
        <v>Sachsen Railway Stn.</v>
      </c>
      <c r="D525" s="120" t="str">
        <f>IFERROR(__xludf.DUMMYFUNCTION("""COMPUTED_VALUE"""),"Germany")</f>
        <v>Germany</v>
      </c>
      <c r="E525" s="135"/>
      <c r="F525" s="31"/>
    </row>
    <row r="526">
      <c r="A526" s="134" t="str">
        <f>IFERROR(__xludf.DUMMYFUNCTION("""COMPUTED_VALUE"""),"Augusta")</f>
        <v>Augusta</v>
      </c>
      <c r="B526" s="120" t="str">
        <f>IFERROR(__xludf.DUMMYFUNCTION("""COMPUTED_VALUE"""),"AGS")</f>
        <v>AGS</v>
      </c>
      <c r="C526" s="120" t="str">
        <f>IFERROR(__xludf.DUMMYFUNCTION("""COMPUTED_VALUE"""),"Bush Field")</f>
        <v>Bush Field</v>
      </c>
      <c r="D526" s="120" t="str">
        <f>IFERROR(__xludf.DUMMYFUNCTION("""COMPUTED_VALUE"""),"United States")</f>
        <v>United States</v>
      </c>
      <c r="E526" s="135"/>
      <c r="F526" s="31"/>
    </row>
    <row r="527">
      <c r="A527" s="134" t="str">
        <f>IFERROR(__xludf.DUMMYFUNCTION("""COMPUTED_VALUE"""),"Augusta")</f>
        <v>Augusta</v>
      </c>
      <c r="B527" s="120" t="str">
        <f>IFERROR(__xludf.DUMMYFUNCTION("""COMPUTED_VALUE"""),"DNL")</f>
        <v>DNL</v>
      </c>
      <c r="C527" s="120" t="str">
        <f>IFERROR(__xludf.DUMMYFUNCTION("""COMPUTED_VALUE"""),"Daniel Field")</f>
        <v>Daniel Field</v>
      </c>
      <c r="D527" s="120" t="str">
        <f>IFERROR(__xludf.DUMMYFUNCTION("""COMPUTED_VALUE"""),"United States")</f>
        <v>United States</v>
      </c>
      <c r="E527" s="135"/>
      <c r="F527" s="31"/>
    </row>
    <row r="528">
      <c r="A528" s="134" t="str">
        <f>IFERROR(__xludf.DUMMYFUNCTION("""COMPUTED_VALUE"""),"Augusta")</f>
        <v>Augusta</v>
      </c>
      <c r="B528" s="120" t="str">
        <f>IFERROR(__xludf.DUMMYFUNCTION("""COMPUTED_VALUE"""),"AUG")</f>
        <v>AUG</v>
      </c>
      <c r="C528" s="120" t="str">
        <f>IFERROR(__xludf.DUMMYFUNCTION("""COMPUTED_VALUE"""),"Augusta")</f>
        <v>Augusta</v>
      </c>
      <c r="D528" s="120" t="str">
        <f>IFERROR(__xludf.DUMMYFUNCTION("""COMPUTED_VALUE"""),"United States")</f>
        <v>United States</v>
      </c>
      <c r="E528" s="135"/>
      <c r="F528" s="31"/>
    </row>
    <row r="529">
      <c r="A529" s="134" t="str">
        <f>IFERROR(__xludf.DUMMYFUNCTION("""COMPUTED_VALUE"""),"Augustus Downs")</f>
        <v>Augustus Downs</v>
      </c>
      <c r="B529" s="120" t="str">
        <f>IFERROR(__xludf.DUMMYFUNCTION("""COMPUTED_VALUE"""),"AUD")</f>
        <v>AUD</v>
      </c>
      <c r="C529" s="120" t="str">
        <f>IFERROR(__xludf.DUMMYFUNCTION("""COMPUTED_VALUE"""),"Augustus Downs")</f>
        <v>Augustus Downs</v>
      </c>
      <c r="D529" s="120" t="str">
        <f>IFERROR(__xludf.DUMMYFUNCTION("""COMPUTED_VALUE"""),"Australia")</f>
        <v>Australia</v>
      </c>
      <c r="E529" s="135"/>
      <c r="F529" s="31"/>
    </row>
    <row r="530">
      <c r="A530" s="134" t="str">
        <f>IFERROR(__xludf.DUMMYFUNCTION("""COMPUTED_VALUE"""),"Aumo")</f>
        <v>Aumo</v>
      </c>
      <c r="B530" s="120" t="str">
        <f>IFERROR(__xludf.DUMMYFUNCTION("""COMPUTED_VALUE"""),"AUV")</f>
        <v>AUV</v>
      </c>
      <c r="C530" s="120" t="str">
        <f>IFERROR(__xludf.DUMMYFUNCTION("""COMPUTED_VALUE"""),"Aumo")</f>
        <v>Aumo</v>
      </c>
      <c r="D530" s="120" t="str">
        <f>IFERROR(__xludf.DUMMYFUNCTION("""COMPUTED_VALUE"""),"Papua New Guinea")</f>
        <v>Papua New Guinea</v>
      </c>
      <c r="E530" s="135"/>
      <c r="F530" s="31"/>
    </row>
    <row r="531">
      <c r="A531" s="134" t="str">
        <f>IFERROR(__xludf.DUMMYFUNCTION("""COMPUTED_VALUE"""),"Aupaluk")</f>
        <v>Aupaluk</v>
      </c>
      <c r="B531" s="120" t="str">
        <f>IFERROR(__xludf.DUMMYFUNCTION("""COMPUTED_VALUE"""),"YPJ")</f>
        <v>YPJ</v>
      </c>
      <c r="C531" s="120" t="str">
        <f>IFERROR(__xludf.DUMMYFUNCTION("""COMPUTED_VALUE"""),"Aupaluk")</f>
        <v>Aupaluk</v>
      </c>
      <c r="D531" s="120" t="str">
        <f>IFERROR(__xludf.DUMMYFUNCTION("""COMPUTED_VALUE"""),"Canada")</f>
        <v>Canada</v>
      </c>
      <c r="E531" s="135"/>
      <c r="F531" s="31"/>
    </row>
    <row r="532">
      <c r="A532" s="134" t="str">
        <f>IFERROR(__xludf.DUMMYFUNCTION("""COMPUTED_VALUE"""),"Aur Island")</f>
        <v>Aur Island</v>
      </c>
      <c r="B532" s="120" t="str">
        <f>IFERROR(__xludf.DUMMYFUNCTION("""COMPUTED_VALUE"""),"AUL")</f>
        <v>AUL</v>
      </c>
      <c r="C532" s="120" t="str">
        <f>IFERROR(__xludf.DUMMYFUNCTION("""COMPUTED_VALUE"""),"Aur Island")</f>
        <v>Aur Island</v>
      </c>
      <c r="D532" s="120" t="str">
        <f>IFERROR(__xludf.DUMMYFUNCTION("""COMPUTED_VALUE"""),"Marshall Islands")</f>
        <v>Marshall Islands</v>
      </c>
      <c r="E532" s="135"/>
      <c r="F532" s="31"/>
    </row>
    <row r="533">
      <c r="A533" s="134" t="str">
        <f>IFERROR(__xludf.DUMMYFUNCTION("""COMPUTED_VALUE"""),"Aurangabad")</f>
        <v>Aurangabad</v>
      </c>
      <c r="B533" s="120" t="str">
        <f>IFERROR(__xludf.DUMMYFUNCTION("""COMPUTED_VALUE"""),"IXU")</f>
        <v>IXU</v>
      </c>
      <c r="C533" s="120" t="str">
        <f>IFERROR(__xludf.DUMMYFUNCTION("""COMPUTED_VALUE"""),"Chikkalthana")</f>
        <v>Chikkalthana</v>
      </c>
      <c r="D533" s="120" t="str">
        <f>IFERROR(__xludf.DUMMYFUNCTION("""COMPUTED_VALUE"""),"India")</f>
        <v>India</v>
      </c>
      <c r="E533" s="135"/>
      <c r="F533" s="31"/>
    </row>
    <row r="534">
      <c r="A534" s="134" t="str">
        <f>IFERROR(__xludf.DUMMYFUNCTION("""COMPUTED_VALUE"""),"Aurillac")</f>
        <v>Aurillac</v>
      </c>
      <c r="B534" s="120" t="str">
        <f>IFERROR(__xludf.DUMMYFUNCTION("""COMPUTED_VALUE"""),"AUR")</f>
        <v>AUR</v>
      </c>
      <c r="C534" s="120" t="str">
        <f>IFERROR(__xludf.DUMMYFUNCTION("""COMPUTED_VALUE"""),"Aurillac")</f>
        <v>Aurillac</v>
      </c>
      <c r="D534" s="120" t="str">
        <f>IFERROR(__xludf.DUMMYFUNCTION("""COMPUTED_VALUE"""),"France")</f>
        <v>France</v>
      </c>
      <c r="E534" s="135"/>
      <c r="F534" s="31"/>
    </row>
    <row r="535">
      <c r="A535" s="134" t="str">
        <f>IFERROR(__xludf.DUMMYFUNCTION("""COMPUTED_VALUE"""),"Aurora")</f>
        <v>Aurora</v>
      </c>
      <c r="B535" s="120" t="str">
        <f>IFERROR(__xludf.DUMMYFUNCTION("""COMPUTED_VALUE"""),"AUZ")</f>
        <v>AUZ</v>
      </c>
      <c r="C535" s="120" t="str">
        <f>IFERROR(__xludf.DUMMYFUNCTION("""COMPUTED_VALUE"""),"Municipal Airport")</f>
        <v>Municipal Airport</v>
      </c>
      <c r="D535" s="120" t="str">
        <f>IFERROR(__xludf.DUMMYFUNCTION("""COMPUTED_VALUE"""),"United States")</f>
        <v>United States</v>
      </c>
      <c r="E535" s="135"/>
      <c r="F535" s="31"/>
    </row>
    <row r="536">
      <c r="A536" s="134" t="str">
        <f>IFERROR(__xludf.DUMMYFUNCTION("""COMPUTED_VALUE"""),"Aurukun Mission")</f>
        <v>Aurukun Mission</v>
      </c>
      <c r="B536" s="120" t="str">
        <f>IFERROR(__xludf.DUMMYFUNCTION("""COMPUTED_VALUE"""),"AUU")</f>
        <v>AUU</v>
      </c>
      <c r="C536" s="120" t="str">
        <f>IFERROR(__xludf.DUMMYFUNCTION("""COMPUTED_VALUE"""),"Aurukun Mission")</f>
        <v>Aurukun Mission</v>
      </c>
      <c r="D536" s="120" t="str">
        <f>IFERROR(__xludf.DUMMYFUNCTION("""COMPUTED_VALUE"""),"Australia")</f>
        <v>Australia</v>
      </c>
      <c r="E536" s="135"/>
      <c r="F536" s="31"/>
    </row>
    <row r="537">
      <c r="A537" s="134" t="str">
        <f>IFERROR(__xludf.DUMMYFUNCTION("""COMPUTED_VALUE"""),"Austin")</f>
        <v>Austin</v>
      </c>
      <c r="B537" s="120" t="str">
        <f>IFERROR(__xludf.DUMMYFUNCTION("""COMPUTED_VALUE"""),"AUM")</f>
        <v>AUM</v>
      </c>
      <c r="C537" s="120" t="str">
        <f>IFERROR(__xludf.DUMMYFUNCTION("""COMPUTED_VALUE"""),"Austin")</f>
        <v>Austin</v>
      </c>
      <c r="D537" s="120" t="str">
        <f>IFERROR(__xludf.DUMMYFUNCTION("""COMPUTED_VALUE"""),"United States")</f>
        <v>United States</v>
      </c>
      <c r="E537" s="135"/>
      <c r="F537" s="31"/>
    </row>
    <row r="538">
      <c r="A538" s="134" t="str">
        <f>IFERROR(__xludf.DUMMYFUNCTION("""COMPUTED_VALUE"""),"Austin")</f>
        <v>Austin</v>
      </c>
      <c r="B538" s="120" t="str">
        <f>IFERROR(__xludf.DUMMYFUNCTION("""COMPUTED_VALUE"""),"ASQ")</f>
        <v>ASQ</v>
      </c>
      <c r="C538" s="120" t="str">
        <f>IFERROR(__xludf.DUMMYFUNCTION("""COMPUTED_VALUE"""),"Austin")</f>
        <v>Austin</v>
      </c>
      <c r="D538" s="120" t="str">
        <f>IFERROR(__xludf.DUMMYFUNCTION("""COMPUTED_VALUE"""),"United States")</f>
        <v>United States</v>
      </c>
      <c r="E538" s="135"/>
      <c r="F538" s="31"/>
    </row>
    <row r="539">
      <c r="A539" s="134" t="str">
        <f>IFERROR(__xludf.DUMMYFUNCTION("""COMPUTED_VALUE"""),"Austin")</f>
        <v>Austin</v>
      </c>
      <c r="B539" s="120" t="str">
        <f>IFERROR(__xludf.DUMMYFUNCTION("""COMPUTED_VALUE"""),"MMR")</f>
        <v>MMR</v>
      </c>
      <c r="C539" s="120" t="str">
        <f>IFERROR(__xludf.DUMMYFUNCTION("""COMPUTED_VALUE"""),"Camp Maybry AHP")</f>
        <v>Camp Maybry AHP</v>
      </c>
      <c r="D539" s="120" t="str">
        <f>IFERROR(__xludf.DUMMYFUNCTION("""COMPUTED_VALUE"""),"United States")</f>
        <v>United States</v>
      </c>
      <c r="E539" s="135"/>
      <c r="F539" s="31"/>
    </row>
    <row r="540">
      <c r="A540" s="134" t="str">
        <f>IFERROR(__xludf.DUMMYFUNCTION("""COMPUTED_VALUE"""),"Austral Downs")</f>
        <v>Austral Downs</v>
      </c>
      <c r="B540" s="120" t="str">
        <f>IFERROR(__xludf.DUMMYFUNCTION("""COMPUTED_VALUE"""),"AWP")</f>
        <v>AWP</v>
      </c>
      <c r="C540" s="120" t="str">
        <f>IFERROR(__xludf.DUMMYFUNCTION("""COMPUTED_VALUE"""),"Austral Downs")</f>
        <v>Austral Downs</v>
      </c>
      <c r="D540" s="120" t="str">
        <f>IFERROR(__xludf.DUMMYFUNCTION("""COMPUTED_VALUE"""),"Australia")</f>
        <v>Australia</v>
      </c>
      <c r="E540" s="135"/>
      <c r="F540" s="31"/>
    </row>
    <row r="541">
      <c r="A541" s="134" t="str">
        <f>IFERROR(__xludf.DUMMYFUNCTION("""COMPUTED_VALUE"""),"Auvergne")</f>
        <v>Auvergne</v>
      </c>
      <c r="B541" s="120" t="str">
        <f>IFERROR(__xludf.DUMMYFUNCTION("""COMPUTED_VALUE"""),"AVG")</f>
        <v>AVG</v>
      </c>
      <c r="C541" s="120" t="str">
        <f>IFERROR(__xludf.DUMMYFUNCTION("""COMPUTED_VALUE"""),"Auvergne")</f>
        <v>Auvergne</v>
      </c>
      <c r="D541" s="120" t="str">
        <f>IFERROR(__xludf.DUMMYFUNCTION("""COMPUTED_VALUE"""),"Australia")</f>
        <v>Australia</v>
      </c>
      <c r="E541" s="135"/>
      <c r="F541" s="31"/>
    </row>
    <row r="542">
      <c r="A542" s="134" t="str">
        <f>IFERROR(__xludf.DUMMYFUNCTION("""COMPUTED_VALUE"""),"Auxerre")</f>
        <v>Auxerre</v>
      </c>
      <c r="B542" s="120" t="str">
        <f>IFERROR(__xludf.DUMMYFUNCTION("""COMPUTED_VALUE"""),"AUF")</f>
        <v>AUF</v>
      </c>
      <c r="C542" s="120" t="str">
        <f>IFERROR(__xludf.DUMMYFUNCTION("""COMPUTED_VALUE"""),"Auxerre Branches")</f>
        <v>Auxerre Branches</v>
      </c>
      <c r="D542" s="120" t="str">
        <f>IFERROR(__xludf.DUMMYFUNCTION("""COMPUTED_VALUE"""),"France")</f>
        <v>France</v>
      </c>
      <c r="E542" s="135"/>
      <c r="F542" s="31"/>
    </row>
    <row r="543">
      <c r="A543" s="134" t="str">
        <f>IFERROR(__xludf.DUMMYFUNCTION("""COMPUTED_VALUE"""),"Avesta Krylbo")</f>
        <v>Avesta Krylbo</v>
      </c>
      <c r="B543" s="120" t="str">
        <f>IFERROR(__xludf.DUMMYFUNCTION("""COMPUTED_VALUE"""),"XYP")</f>
        <v>XYP</v>
      </c>
      <c r="C543" s="120" t="str">
        <f>IFERROR(__xludf.DUMMYFUNCTION("""COMPUTED_VALUE"""),"Avesta Krylbo")</f>
        <v>Avesta Krylbo</v>
      </c>
      <c r="D543" s="120" t="str">
        <f>IFERROR(__xludf.DUMMYFUNCTION("""COMPUTED_VALUE"""),"Sweden")</f>
        <v>Sweden</v>
      </c>
      <c r="E543" s="135"/>
      <c r="F543" s="31"/>
    </row>
    <row r="544">
      <c r="A544" s="134" t="str">
        <f>IFERROR(__xludf.DUMMYFUNCTION("""COMPUTED_VALUE"""),"Aviano")</f>
        <v>Aviano</v>
      </c>
      <c r="B544" s="120" t="str">
        <f>IFERROR(__xludf.DUMMYFUNCTION("""COMPUTED_VALUE"""),"AVB")</f>
        <v>AVB</v>
      </c>
      <c r="C544" s="137" t="str">
        <f>IFERROR(__xludf.DUMMYFUNCTION("""COMPUTED_VALUE"""),"Aviano")</f>
        <v>Aviano</v>
      </c>
      <c r="D544" s="120" t="str">
        <f>IFERROR(__xludf.DUMMYFUNCTION("""COMPUTED_VALUE"""),"Italy")</f>
        <v>Italy</v>
      </c>
      <c r="E544" s="135"/>
      <c r="F544" s="31"/>
    </row>
    <row r="545">
      <c r="A545" s="134" t="str">
        <f>IFERROR(__xludf.DUMMYFUNCTION("""COMPUTED_VALUE"""),"Avignon")</f>
        <v>Avignon</v>
      </c>
      <c r="B545" s="120" t="str">
        <f>IFERROR(__xludf.DUMMYFUNCTION("""COMPUTED_VALUE"""),"XZN")</f>
        <v>XZN</v>
      </c>
      <c r="C545" s="120" t="str">
        <f>IFERROR(__xludf.DUMMYFUNCTION("""COMPUTED_VALUE"""),"Avignon Railway")</f>
        <v>Avignon Railway</v>
      </c>
      <c r="D545" s="120" t="str">
        <f>IFERROR(__xludf.DUMMYFUNCTION("""COMPUTED_VALUE"""),"France")</f>
        <v>France</v>
      </c>
      <c r="E545" s="135"/>
      <c r="F545" s="31"/>
    </row>
    <row r="546">
      <c r="A546" s="134" t="str">
        <f>IFERROR(__xludf.DUMMYFUNCTION("""COMPUTED_VALUE"""),"Avignon")</f>
        <v>Avignon</v>
      </c>
      <c r="B546" s="120" t="str">
        <f>IFERROR(__xludf.DUMMYFUNCTION("""COMPUTED_VALUE"""),"AVN")</f>
        <v>AVN</v>
      </c>
      <c r="C546" s="120" t="str">
        <f>IFERROR(__xludf.DUMMYFUNCTION("""COMPUTED_VALUE"""),"Avignon-Caum")</f>
        <v>Avignon-Caum</v>
      </c>
      <c r="D546" s="120" t="str">
        <f>IFERROR(__xludf.DUMMYFUNCTION("""COMPUTED_VALUE"""),"France")</f>
        <v>France</v>
      </c>
      <c r="E546" s="135"/>
      <c r="F546" s="31"/>
    </row>
    <row r="547">
      <c r="A547" s="134" t="str">
        <f>IFERROR(__xludf.DUMMYFUNCTION("""COMPUTED_VALUE"""),"Avon Park")</f>
        <v>Avon Park</v>
      </c>
      <c r="B547" s="120" t="str">
        <f>IFERROR(__xludf.DUMMYFUNCTION("""COMPUTED_VALUE"""),"AVO")</f>
        <v>AVO</v>
      </c>
      <c r="C547" s="120" t="str">
        <f>IFERROR(__xludf.DUMMYFUNCTION("""COMPUTED_VALUE"""),"Municipal")</f>
        <v>Municipal</v>
      </c>
      <c r="D547" s="120" t="str">
        <f>IFERROR(__xludf.DUMMYFUNCTION("""COMPUTED_VALUE"""),"United States")</f>
        <v>United States</v>
      </c>
      <c r="E547" s="135"/>
      <c r="F547" s="31"/>
    </row>
    <row r="548">
      <c r="A548" s="134" t="str">
        <f>IFERROR(__xludf.DUMMYFUNCTION("""COMPUTED_VALUE"""),"Avoriaz")</f>
        <v>Avoriaz</v>
      </c>
      <c r="B548" s="120" t="str">
        <f>IFERROR(__xludf.DUMMYFUNCTION("""COMPUTED_VALUE"""),"AVF")</f>
        <v>AVF</v>
      </c>
      <c r="C548" s="120" t="str">
        <f>IFERROR(__xludf.DUMMYFUNCTION("""COMPUTED_VALUE"""),"Avoriaz")</f>
        <v>Avoriaz</v>
      </c>
      <c r="D548" s="120" t="str">
        <f>IFERROR(__xludf.DUMMYFUNCTION("""COMPUTED_VALUE"""),"France")</f>
        <v>France</v>
      </c>
      <c r="E548" s="135"/>
      <c r="F548" s="31"/>
    </row>
    <row r="549">
      <c r="A549" s="134" t="str">
        <f>IFERROR(__xludf.DUMMYFUNCTION("""COMPUTED_VALUE"""),"Avu Avu")</f>
        <v>Avu Avu</v>
      </c>
      <c r="B549" s="120" t="str">
        <f>IFERROR(__xludf.DUMMYFUNCTION("""COMPUTED_VALUE"""),"AVU")</f>
        <v>AVU</v>
      </c>
      <c r="C549" s="120" t="str">
        <f>IFERROR(__xludf.DUMMYFUNCTION("""COMPUTED_VALUE"""),"Avu Avu")</f>
        <v>Avu Avu</v>
      </c>
      <c r="D549" s="120" t="str">
        <f>IFERROR(__xludf.DUMMYFUNCTION("""COMPUTED_VALUE"""),"Solomon Islands")</f>
        <v>Solomon Islands</v>
      </c>
      <c r="E549" s="135"/>
      <c r="F549" s="31"/>
    </row>
    <row r="550">
      <c r="A550" s="134" t="str">
        <f>IFERROR(__xludf.DUMMYFUNCTION("""COMPUTED_VALUE"""),"Awaba")</f>
        <v>Awaba</v>
      </c>
      <c r="B550" s="120" t="str">
        <f>IFERROR(__xludf.DUMMYFUNCTION("""COMPUTED_VALUE"""),"AWB")</f>
        <v>AWB</v>
      </c>
      <c r="C550" s="120" t="str">
        <f>IFERROR(__xludf.DUMMYFUNCTION("""COMPUTED_VALUE"""),"Awaba")</f>
        <v>Awaba</v>
      </c>
      <c r="D550" s="120" t="str">
        <f>IFERROR(__xludf.DUMMYFUNCTION("""COMPUTED_VALUE"""),"Papua New Guinea")</f>
        <v>Papua New Guinea</v>
      </c>
      <c r="E550" s="135"/>
      <c r="F550" s="31"/>
    </row>
    <row r="551">
      <c r="A551" s="134" t="str">
        <f>IFERROR(__xludf.DUMMYFUNCTION("""COMPUTED_VALUE"""),"Awar")</f>
        <v>Awar</v>
      </c>
      <c r="B551" s="120" t="str">
        <f>IFERROR(__xludf.DUMMYFUNCTION("""COMPUTED_VALUE"""),"AWR")</f>
        <v>AWR</v>
      </c>
      <c r="C551" s="120" t="str">
        <f>IFERROR(__xludf.DUMMYFUNCTION("""COMPUTED_VALUE"""),"Awar")</f>
        <v>Awar</v>
      </c>
      <c r="D551" s="120" t="str">
        <f>IFERROR(__xludf.DUMMYFUNCTION("""COMPUTED_VALUE"""),"Papua New Guinea")</f>
        <v>Papua New Guinea</v>
      </c>
      <c r="E551" s="135"/>
      <c r="F551" s="31"/>
    </row>
    <row r="552">
      <c r="A552" s="134" t="str">
        <f>IFERROR(__xludf.DUMMYFUNCTION("""COMPUTED_VALUE"""),"Awaradam")</f>
        <v>Awaradam</v>
      </c>
      <c r="B552" s="120" t="str">
        <f>IFERROR(__xludf.DUMMYFUNCTION("""COMPUTED_VALUE"""),"AAJ")</f>
        <v>AAJ</v>
      </c>
      <c r="C552" s="120" t="str">
        <f>IFERROR(__xludf.DUMMYFUNCTION("""COMPUTED_VALUE"""),"Cayana Airstrip")</f>
        <v>Cayana Airstrip</v>
      </c>
      <c r="D552" s="120" t="str">
        <f>IFERROR(__xludf.DUMMYFUNCTION("""COMPUTED_VALUE"""),"Suriname")</f>
        <v>Suriname</v>
      </c>
      <c r="E552" s="135"/>
      <c r="F552" s="31"/>
    </row>
    <row r="553">
      <c r="A553" s="134" t="str">
        <f>IFERROR(__xludf.DUMMYFUNCTION("""COMPUTED_VALUE"""),"Awareh")</f>
        <v>Awareh</v>
      </c>
      <c r="B553" s="120" t="str">
        <f>IFERROR(__xludf.DUMMYFUNCTION("""COMPUTED_VALUE"""),"AWH")</f>
        <v>AWH</v>
      </c>
      <c r="C553" s="120" t="str">
        <f>IFERROR(__xludf.DUMMYFUNCTION("""COMPUTED_VALUE"""),"Awareh")</f>
        <v>Awareh</v>
      </c>
      <c r="D553" s="120" t="str">
        <f>IFERROR(__xludf.DUMMYFUNCTION("""COMPUTED_VALUE"""),"Ethiopia")</f>
        <v>Ethiopia</v>
      </c>
      <c r="E553" s="135"/>
      <c r="F553" s="31"/>
    </row>
    <row r="554">
      <c r="A554" s="134" t="str">
        <f>IFERROR(__xludf.DUMMYFUNCTION("""COMPUTED_VALUE"""),"Awassa")</f>
        <v>Awassa</v>
      </c>
      <c r="B554" s="120" t="str">
        <f>IFERROR(__xludf.DUMMYFUNCTION("""COMPUTED_VALUE"""),"AWA")</f>
        <v>AWA</v>
      </c>
      <c r="C554" s="120" t="str">
        <f>IFERROR(__xludf.DUMMYFUNCTION("""COMPUTED_VALUE"""),"Awassa")</f>
        <v>Awassa</v>
      </c>
      <c r="D554" s="120" t="str">
        <f>IFERROR(__xludf.DUMMYFUNCTION("""COMPUTED_VALUE"""),"Ethiopia")</f>
        <v>Ethiopia</v>
      </c>
      <c r="E554" s="135"/>
      <c r="F554" s="31"/>
    </row>
    <row r="555">
      <c r="A555" s="134" t="str">
        <f>IFERROR(__xludf.DUMMYFUNCTION("""COMPUTED_VALUE"""),"Axum")</f>
        <v>Axum</v>
      </c>
      <c r="B555" s="120" t="str">
        <f>IFERROR(__xludf.DUMMYFUNCTION("""COMPUTED_VALUE"""),"AXU")</f>
        <v>AXU</v>
      </c>
      <c r="C555" s="120" t="str">
        <f>IFERROR(__xludf.DUMMYFUNCTION("""COMPUTED_VALUE"""),"Axum")</f>
        <v>Axum</v>
      </c>
      <c r="D555" s="120" t="str">
        <f>IFERROR(__xludf.DUMMYFUNCTION("""COMPUTED_VALUE"""),"Ethiopia")</f>
        <v>Ethiopia</v>
      </c>
      <c r="E555" s="135"/>
      <c r="F555" s="31"/>
    </row>
    <row r="556">
      <c r="A556" s="134" t="str">
        <f>IFERROR(__xludf.DUMMYFUNCTION("""COMPUTED_VALUE"""),"Ayacucho")</f>
        <v>Ayacucho</v>
      </c>
      <c r="B556" s="120" t="str">
        <f>IFERROR(__xludf.DUMMYFUNCTION("""COMPUTED_VALUE"""),"AYC")</f>
        <v>AYC</v>
      </c>
      <c r="C556" s="120" t="str">
        <f>IFERROR(__xludf.DUMMYFUNCTION("""COMPUTED_VALUE"""),"Ayacucho")</f>
        <v>Ayacucho</v>
      </c>
      <c r="D556" s="120" t="str">
        <f>IFERROR(__xludf.DUMMYFUNCTION("""COMPUTED_VALUE"""),"Colombia")</f>
        <v>Colombia</v>
      </c>
      <c r="E556" s="135"/>
      <c r="F556" s="31"/>
    </row>
    <row r="557">
      <c r="A557" s="134" t="str">
        <f>IFERROR(__xludf.DUMMYFUNCTION("""COMPUTED_VALUE"""),"Ayacucho")</f>
        <v>Ayacucho</v>
      </c>
      <c r="B557" s="120" t="str">
        <f>IFERROR(__xludf.DUMMYFUNCTION("""COMPUTED_VALUE"""),"AYP")</f>
        <v>AYP</v>
      </c>
      <c r="C557" s="120" t="str">
        <f>IFERROR(__xludf.DUMMYFUNCTION("""COMPUTED_VALUE"""),"Yanamilla")</f>
        <v>Yanamilla</v>
      </c>
      <c r="D557" s="120" t="str">
        <f>IFERROR(__xludf.DUMMYFUNCTION("""COMPUTED_VALUE"""),"Peru")</f>
        <v>Peru</v>
      </c>
      <c r="E557" s="135"/>
      <c r="F557" s="31"/>
    </row>
    <row r="558">
      <c r="A558" s="134" t="str">
        <f>IFERROR(__xludf.DUMMYFUNCTION("""COMPUTED_VALUE"""),"Ayapel")</f>
        <v>Ayapel</v>
      </c>
      <c r="B558" s="120" t="str">
        <f>IFERROR(__xludf.DUMMYFUNCTION("""COMPUTED_VALUE"""),"AYA")</f>
        <v>AYA</v>
      </c>
      <c r="C558" s="120" t="str">
        <f>IFERROR(__xludf.DUMMYFUNCTION("""COMPUTED_VALUE"""),"Ayapel")</f>
        <v>Ayapel</v>
      </c>
      <c r="D558" s="120" t="str">
        <f>IFERROR(__xludf.DUMMYFUNCTION("""COMPUTED_VALUE"""),"Colombia")</f>
        <v>Colombia</v>
      </c>
      <c r="E558" s="135"/>
      <c r="F558" s="31"/>
    </row>
    <row r="559">
      <c r="A559" s="134" t="str">
        <f>IFERROR(__xludf.DUMMYFUNCTION("""COMPUTED_VALUE"""),"Ayawasi")</f>
        <v>Ayawasi</v>
      </c>
      <c r="B559" s="120" t="str">
        <f>IFERROR(__xludf.DUMMYFUNCTION("""COMPUTED_VALUE"""),"AYW")</f>
        <v>AYW</v>
      </c>
      <c r="C559" s="120" t="str">
        <f>IFERROR(__xludf.DUMMYFUNCTION("""COMPUTED_VALUE"""),"Ayawasi")</f>
        <v>Ayawasi</v>
      </c>
      <c r="D559" s="120" t="str">
        <f>IFERROR(__xludf.DUMMYFUNCTION("""COMPUTED_VALUE"""),"Indonesia")</f>
        <v>Indonesia</v>
      </c>
      <c r="E559" s="135"/>
      <c r="F559" s="31"/>
    </row>
    <row r="560">
      <c r="A560" s="134" t="str">
        <f>IFERROR(__xludf.DUMMYFUNCTION("""COMPUTED_VALUE"""),"Ayers Rock")</f>
        <v>Ayers Rock</v>
      </c>
      <c r="B560" s="120" t="str">
        <f>IFERROR(__xludf.DUMMYFUNCTION("""COMPUTED_VALUE"""),"AYQ")</f>
        <v>AYQ</v>
      </c>
      <c r="C560" s="120" t="str">
        <f>IFERROR(__xludf.DUMMYFUNCTION("""COMPUTED_VALUE"""),"Connellan")</f>
        <v>Connellan</v>
      </c>
      <c r="D560" s="120" t="str">
        <f>IFERROR(__xludf.DUMMYFUNCTION("""COMPUTED_VALUE"""),"Australia")</f>
        <v>Australia</v>
      </c>
      <c r="E560" s="135"/>
      <c r="F560" s="31"/>
    </row>
    <row r="561">
      <c r="A561" s="134" t="str">
        <f>IFERROR(__xludf.DUMMYFUNCTION("""COMPUTED_VALUE"""),"Ayolas")</f>
        <v>Ayolas</v>
      </c>
      <c r="B561" s="120" t="str">
        <f>IFERROR(__xludf.DUMMYFUNCTION("""COMPUTED_VALUE"""),"AYO")</f>
        <v>AYO</v>
      </c>
      <c r="C561" s="120" t="str">
        <f>IFERROR(__xludf.DUMMYFUNCTION("""COMPUTED_VALUE"""),"Ayolas")</f>
        <v>Ayolas</v>
      </c>
      <c r="D561" s="120" t="str">
        <f>IFERROR(__xludf.DUMMYFUNCTION("""COMPUTED_VALUE"""),"Paraguay")</f>
        <v>Paraguay</v>
      </c>
      <c r="E561" s="135"/>
      <c r="F561" s="31"/>
    </row>
    <row r="562">
      <c r="A562" s="134" t="str">
        <f>IFERROR(__xludf.DUMMYFUNCTION("""COMPUTED_VALUE"""),"Ayr")</f>
        <v>Ayr</v>
      </c>
      <c r="B562" s="120" t="str">
        <f>IFERROR(__xludf.DUMMYFUNCTION("""COMPUTED_VALUE"""),"AYR")</f>
        <v>AYR</v>
      </c>
      <c r="C562" s="120" t="str">
        <f>IFERROR(__xludf.DUMMYFUNCTION("""COMPUTED_VALUE"""),"Ayr")</f>
        <v>Ayr</v>
      </c>
      <c r="D562" s="120" t="str">
        <f>IFERROR(__xludf.DUMMYFUNCTION("""COMPUTED_VALUE"""),"Australia")</f>
        <v>Australia</v>
      </c>
      <c r="E562" s="135"/>
      <c r="F562" s="31"/>
    </row>
    <row r="563">
      <c r="A563" s="134" t="str">
        <f>IFERROR(__xludf.DUMMYFUNCTION("""COMPUTED_VALUE"""),"Ba")</f>
        <v>Ba</v>
      </c>
      <c r="B563" s="120" t="str">
        <f>IFERROR(__xludf.DUMMYFUNCTION("""COMPUTED_VALUE"""),"BFJ")</f>
        <v>BFJ</v>
      </c>
      <c r="C563" s="120" t="str">
        <f>IFERROR(__xludf.DUMMYFUNCTION("""COMPUTED_VALUE"""),"Ba")</f>
        <v>Ba</v>
      </c>
      <c r="D563" s="120" t="str">
        <f>IFERROR(__xludf.DUMMYFUNCTION("""COMPUTED_VALUE"""),"Fiji")</f>
        <v>Fiji</v>
      </c>
      <c r="E563" s="135"/>
      <c r="F563" s="31"/>
    </row>
    <row r="564">
      <c r="A564" s="134" t="str">
        <f>IFERROR(__xludf.DUMMYFUNCTION("""COMPUTED_VALUE"""),"Babelegi")</f>
        <v>Babelegi</v>
      </c>
      <c r="B564" s="120" t="str">
        <f>IFERROR(__xludf.DUMMYFUNCTION("""COMPUTED_VALUE"""),"HBL")</f>
        <v>HBL</v>
      </c>
      <c r="C564" s="120" t="str">
        <f>IFERROR(__xludf.DUMMYFUNCTION("""COMPUTED_VALUE"""),"Babelegi Heliport")</f>
        <v>Babelegi Heliport</v>
      </c>
      <c r="D564" s="120" t="str">
        <f>IFERROR(__xludf.DUMMYFUNCTION("""COMPUTED_VALUE"""),"South Africa")</f>
        <v>South Africa</v>
      </c>
      <c r="E564" s="135"/>
      <c r="F564" s="31"/>
    </row>
    <row r="565">
      <c r="A565" s="134" t="str">
        <f>IFERROR(__xludf.DUMMYFUNCTION("""COMPUTED_VALUE"""),"Babo")</f>
        <v>Babo</v>
      </c>
      <c r="B565" s="120" t="str">
        <f>IFERROR(__xludf.DUMMYFUNCTION("""COMPUTED_VALUE"""),"BXB")</f>
        <v>BXB</v>
      </c>
      <c r="C565" s="120" t="str">
        <f>IFERROR(__xludf.DUMMYFUNCTION("""COMPUTED_VALUE"""),"Babo")</f>
        <v>Babo</v>
      </c>
      <c r="D565" s="120" t="str">
        <f>IFERROR(__xludf.DUMMYFUNCTION("""COMPUTED_VALUE"""),"Indonesia")</f>
        <v>Indonesia</v>
      </c>
      <c r="E565" s="135"/>
      <c r="F565" s="31"/>
    </row>
    <row r="566">
      <c r="A566" s="134" t="str">
        <f>IFERROR(__xludf.DUMMYFUNCTION("""COMPUTED_VALUE"""),"Babolsar")</f>
        <v>Babolsar</v>
      </c>
      <c r="B566" s="120" t="str">
        <f>IFERROR(__xludf.DUMMYFUNCTION("""COMPUTED_VALUE"""),"BBL")</f>
        <v>BBL</v>
      </c>
      <c r="C566" s="120" t="str">
        <f>IFERROR(__xludf.DUMMYFUNCTION("""COMPUTED_VALUE"""),"Babolsar")</f>
        <v>Babolsar</v>
      </c>
      <c r="D566" s="120" t="str">
        <f>IFERROR(__xludf.DUMMYFUNCTION("""COMPUTED_VALUE"""),"Iran")</f>
        <v>Iran</v>
      </c>
      <c r="E566" s="135"/>
      <c r="F566" s="31"/>
    </row>
    <row r="567">
      <c r="A567" s="134" t="str">
        <f>IFERROR(__xludf.DUMMYFUNCTION("""COMPUTED_VALUE"""),"Baca Grande")</f>
        <v>Baca Grande</v>
      </c>
      <c r="B567" s="120" t="str">
        <f>IFERROR(__xludf.DUMMYFUNCTION("""COMPUTED_VALUE"""),"BCJ")</f>
        <v>BCJ</v>
      </c>
      <c r="C567" s="120" t="str">
        <f>IFERROR(__xludf.DUMMYFUNCTION("""COMPUTED_VALUE"""),"Baca Grande")</f>
        <v>Baca Grande</v>
      </c>
      <c r="D567" s="120" t="str">
        <f>IFERROR(__xludf.DUMMYFUNCTION("""COMPUTED_VALUE"""),"United States")</f>
        <v>United States</v>
      </c>
      <c r="E567" s="135"/>
      <c r="F567" s="31"/>
    </row>
    <row r="568">
      <c r="A568" s="134" t="str">
        <f>IFERROR(__xludf.DUMMYFUNCTION("""COMPUTED_VALUE"""),"Bacau")</f>
        <v>Bacau</v>
      </c>
      <c r="B568" s="120" t="str">
        <f>IFERROR(__xludf.DUMMYFUNCTION("""COMPUTED_VALUE"""),"BCM")</f>
        <v>BCM</v>
      </c>
      <c r="C568" s="120" t="str">
        <f>IFERROR(__xludf.DUMMYFUNCTION("""COMPUTED_VALUE"""),"Bacau")</f>
        <v>Bacau</v>
      </c>
      <c r="D568" s="120" t="str">
        <f>IFERROR(__xludf.DUMMYFUNCTION("""COMPUTED_VALUE"""),"Romania")</f>
        <v>Romania</v>
      </c>
      <c r="E568" s="135"/>
      <c r="F568" s="31"/>
    </row>
    <row r="569">
      <c r="A569" s="134" t="str">
        <f>IFERROR(__xludf.DUMMYFUNCTION("""COMPUTED_VALUE"""),"Bacolod")</f>
        <v>Bacolod</v>
      </c>
      <c r="B569" s="120" t="str">
        <f>IFERROR(__xludf.DUMMYFUNCTION("""COMPUTED_VALUE"""),"BCD")</f>
        <v>BCD</v>
      </c>
      <c r="C569" s="120" t="str">
        <f>IFERROR(__xludf.DUMMYFUNCTION("""COMPUTED_VALUE"""),"Bacolod")</f>
        <v>Bacolod</v>
      </c>
      <c r="D569" s="120" t="str">
        <f>IFERROR(__xludf.DUMMYFUNCTION("""COMPUTED_VALUE"""),"Philippines")</f>
        <v>Philippines</v>
      </c>
      <c r="E569" s="135"/>
      <c r="F569" s="31"/>
    </row>
    <row r="570">
      <c r="A570" s="134" t="str">
        <f>IFERROR(__xludf.DUMMYFUNCTION("""COMPUTED_VALUE"""),"Badajoz")</f>
        <v>Badajoz</v>
      </c>
      <c r="B570" s="120" t="str">
        <f>IFERROR(__xludf.DUMMYFUNCTION("""COMPUTED_VALUE"""),"BJZ")</f>
        <v>BJZ</v>
      </c>
      <c r="C570" s="120" t="str">
        <f>IFERROR(__xludf.DUMMYFUNCTION("""COMPUTED_VALUE"""),"Talaveral La Real")</f>
        <v>Talaveral La Real</v>
      </c>
      <c r="D570" s="120" t="str">
        <f>IFERROR(__xludf.DUMMYFUNCTION("""COMPUTED_VALUE"""),"Spain")</f>
        <v>Spain</v>
      </c>
      <c r="E570" s="135"/>
      <c r="F570" s="31"/>
    </row>
    <row r="571">
      <c r="A571" s="134" t="str">
        <f>IFERROR(__xludf.DUMMYFUNCTION("""COMPUTED_VALUE"""),"Bade")</f>
        <v>Bade</v>
      </c>
      <c r="B571" s="120" t="str">
        <f>IFERROR(__xludf.DUMMYFUNCTION("""COMPUTED_VALUE"""),"BXD")</f>
        <v>BXD</v>
      </c>
      <c r="C571" s="120" t="str">
        <f>IFERROR(__xludf.DUMMYFUNCTION("""COMPUTED_VALUE"""),"Bade")</f>
        <v>Bade</v>
      </c>
      <c r="D571" s="120" t="str">
        <f>IFERROR(__xludf.DUMMYFUNCTION("""COMPUTED_VALUE"""),"Indonesia")</f>
        <v>Indonesia</v>
      </c>
      <c r="E571" s="135"/>
      <c r="F571" s="31"/>
    </row>
    <row r="572">
      <c r="A572" s="134" t="str">
        <f>IFERROR(__xludf.DUMMYFUNCTION("""COMPUTED_VALUE"""),"Badin")</f>
        <v>Badin</v>
      </c>
      <c r="B572" s="120" t="str">
        <f>IFERROR(__xludf.DUMMYFUNCTION("""COMPUTED_VALUE"""),"BDN")</f>
        <v>BDN</v>
      </c>
      <c r="C572" s="120" t="str">
        <f>IFERROR(__xludf.DUMMYFUNCTION("""COMPUTED_VALUE"""),"Talhar")</f>
        <v>Talhar</v>
      </c>
      <c r="D572" s="120" t="str">
        <f>IFERROR(__xludf.DUMMYFUNCTION("""COMPUTED_VALUE"""),"Pakistan")</f>
        <v>Pakistan</v>
      </c>
      <c r="E572" s="135"/>
      <c r="F572" s="31"/>
    </row>
    <row r="573">
      <c r="A573" s="134" t="str">
        <f>IFERROR(__xludf.DUMMYFUNCTION("""COMPUTED_VALUE"""),"Badu Island")</f>
        <v>Badu Island</v>
      </c>
      <c r="B573" s="120" t="str">
        <f>IFERROR(__xludf.DUMMYFUNCTION("""COMPUTED_VALUE"""),"BDD")</f>
        <v>BDD</v>
      </c>
      <c r="C573" s="120" t="str">
        <f>IFERROR(__xludf.DUMMYFUNCTION("""COMPUTED_VALUE"""),"Badu Island")</f>
        <v>Badu Island</v>
      </c>
      <c r="D573" s="120" t="str">
        <f>IFERROR(__xludf.DUMMYFUNCTION("""COMPUTED_VALUE"""),"Australia")</f>
        <v>Australia</v>
      </c>
      <c r="E573" s="135"/>
      <c r="F573" s="31"/>
    </row>
    <row r="574">
      <c r="A574" s="134" t="str">
        <f>IFERROR(__xludf.DUMMYFUNCTION("""COMPUTED_VALUE"""),"Bafoussam")</f>
        <v>Bafoussam</v>
      </c>
      <c r="B574" s="120" t="str">
        <f>IFERROR(__xludf.DUMMYFUNCTION("""COMPUTED_VALUE"""),"BFX")</f>
        <v>BFX</v>
      </c>
      <c r="C574" s="120" t="str">
        <f>IFERROR(__xludf.DUMMYFUNCTION("""COMPUTED_VALUE"""),"Bafoussam")</f>
        <v>Bafoussam</v>
      </c>
      <c r="D574" s="120" t="str">
        <f>IFERROR(__xludf.DUMMYFUNCTION("""COMPUTED_VALUE"""),"Cameroon")</f>
        <v>Cameroon</v>
      </c>
      <c r="E574" s="135"/>
      <c r="F574" s="31"/>
    </row>
    <row r="575">
      <c r="A575" s="134" t="str">
        <f>IFERROR(__xludf.DUMMYFUNCTION("""COMPUTED_VALUE"""),"Bagan")</f>
        <v>Bagan</v>
      </c>
      <c r="B575" s="120" t="str">
        <f>IFERROR(__xludf.DUMMYFUNCTION("""COMPUTED_VALUE"""),"BPE")</f>
        <v>BPE</v>
      </c>
      <c r="C575" s="120" t="str">
        <f>IFERROR(__xludf.DUMMYFUNCTION("""COMPUTED_VALUE"""),"Bagan")</f>
        <v>Bagan</v>
      </c>
      <c r="D575" s="120" t="str">
        <f>IFERROR(__xludf.DUMMYFUNCTION("""COMPUTED_VALUE"""),"Myanmar")</f>
        <v>Myanmar</v>
      </c>
      <c r="E575" s="135"/>
      <c r="F575" s="31"/>
    </row>
    <row r="576">
      <c r="A576" s="134" t="str">
        <f>IFERROR(__xludf.DUMMYFUNCTION("""COMPUTED_VALUE"""),"Baganga")</f>
        <v>Baganga</v>
      </c>
      <c r="B576" s="120" t="str">
        <f>IFERROR(__xludf.DUMMYFUNCTION("""COMPUTED_VALUE"""),"BNQ")</f>
        <v>BNQ</v>
      </c>
      <c r="C576" s="120" t="str">
        <f>IFERROR(__xludf.DUMMYFUNCTION("""COMPUTED_VALUE"""),"Baganga")</f>
        <v>Baganga</v>
      </c>
      <c r="D576" s="120" t="str">
        <f>IFERROR(__xludf.DUMMYFUNCTION("""COMPUTED_VALUE"""),"Philippines")</f>
        <v>Philippines</v>
      </c>
      <c r="E576" s="135"/>
      <c r="F576" s="31"/>
    </row>
    <row r="577">
      <c r="A577" s="134" t="str">
        <f>IFERROR(__xludf.DUMMYFUNCTION("""COMPUTED_VALUE"""),"Bagani")</f>
        <v>Bagani</v>
      </c>
      <c r="B577" s="120" t="str">
        <f>IFERROR(__xludf.DUMMYFUNCTION("""COMPUTED_VALUE"""),"BQI")</f>
        <v>BQI</v>
      </c>
      <c r="C577" s="120" t="str">
        <f>IFERROR(__xludf.DUMMYFUNCTION("""COMPUTED_VALUE"""),"Bagani")</f>
        <v>Bagani</v>
      </c>
      <c r="D577" s="120" t="str">
        <f>IFERROR(__xludf.DUMMYFUNCTION("""COMPUTED_VALUE"""),"Namibia")</f>
        <v>Namibia</v>
      </c>
      <c r="E577" s="135"/>
      <c r="F577" s="31"/>
    </row>
    <row r="578">
      <c r="A578" s="134" t="str">
        <f>IFERROR(__xludf.DUMMYFUNCTION("""COMPUTED_VALUE"""),"Bagdad")</f>
        <v>Bagdad</v>
      </c>
      <c r="B578" s="120" t="str">
        <f>IFERROR(__xludf.DUMMYFUNCTION("""COMPUTED_VALUE"""),"BGT")</f>
        <v>BGT</v>
      </c>
      <c r="C578" s="120" t="str">
        <f>IFERROR(__xludf.DUMMYFUNCTION("""COMPUTED_VALUE"""),"Bagdad")</f>
        <v>Bagdad</v>
      </c>
      <c r="D578" s="120" t="str">
        <f>IFERROR(__xludf.DUMMYFUNCTION("""COMPUTED_VALUE"""),"United States")</f>
        <v>United States</v>
      </c>
      <c r="E578" s="135"/>
      <c r="F578" s="31"/>
    </row>
    <row r="579">
      <c r="A579" s="134" t="str">
        <f>IFERROR(__xludf.DUMMYFUNCTION("""COMPUTED_VALUE"""),"Bagdogra")</f>
        <v>Bagdogra</v>
      </c>
      <c r="B579" s="120" t="str">
        <f>IFERROR(__xludf.DUMMYFUNCTION("""COMPUTED_VALUE"""),"IXB")</f>
        <v>IXB</v>
      </c>
      <c r="C579" s="120" t="str">
        <f>IFERROR(__xludf.DUMMYFUNCTION("""COMPUTED_VALUE"""),"Bagdogra")</f>
        <v>Bagdogra</v>
      </c>
      <c r="D579" s="120" t="str">
        <f>IFERROR(__xludf.DUMMYFUNCTION("""COMPUTED_VALUE"""),"India")</f>
        <v>India</v>
      </c>
      <c r="E579" s="135"/>
      <c r="F579" s="31"/>
    </row>
    <row r="580">
      <c r="A580" s="134" t="str">
        <f>IFERROR(__xludf.DUMMYFUNCTION("""COMPUTED_VALUE"""),"Bage")</f>
        <v>Bage</v>
      </c>
      <c r="B580" s="120" t="str">
        <f>IFERROR(__xludf.DUMMYFUNCTION("""COMPUTED_VALUE"""),"BGX")</f>
        <v>BGX</v>
      </c>
      <c r="C580" s="120" t="str">
        <f>IFERROR(__xludf.DUMMYFUNCTION("""COMPUTED_VALUE"""),"Bage")</f>
        <v>Bage</v>
      </c>
      <c r="D580" s="120" t="str">
        <f>IFERROR(__xludf.DUMMYFUNCTION("""COMPUTED_VALUE"""),"Brazil")</f>
        <v>Brazil</v>
      </c>
      <c r="E580" s="135"/>
      <c r="F580" s="31"/>
    </row>
    <row r="581">
      <c r="A581" s="134" t="str">
        <f>IFERROR(__xludf.DUMMYFUNCTION("""COMPUTED_VALUE"""),"Baghdad")</f>
        <v>Baghdad</v>
      </c>
      <c r="B581" s="120" t="str">
        <f>IFERROR(__xludf.DUMMYFUNCTION("""COMPUTED_VALUE"""),"BGW")</f>
        <v>BGW</v>
      </c>
      <c r="C581" s="120" t="str">
        <f>IFERROR(__xludf.DUMMYFUNCTION("""COMPUTED_VALUE"""),"Al Muthana")</f>
        <v>Al Muthana</v>
      </c>
      <c r="D581" s="120" t="str">
        <f>IFERROR(__xludf.DUMMYFUNCTION("""COMPUTED_VALUE"""),"Iraq")</f>
        <v>Iraq</v>
      </c>
      <c r="E581" s="135"/>
      <c r="F581" s="31"/>
    </row>
    <row r="582">
      <c r="A582" s="134" t="str">
        <f>IFERROR(__xludf.DUMMYFUNCTION("""COMPUTED_VALUE"""),"Baghdad")</f>
        <v>Baghdad</v>
      </c>
      <c r="B582" s="120" t="str">
        <f>IFERROR(__xludf.DUMMYFUNCTION("""COMPUTED_VALUE"""),"SDA")</f>
        <v>SDA</v>
      </c>
      <c r="C582" s="120" t="str">
        <f>IFERROR(__xludf.DUMMYFUNCTION("""COMPUTED_VALUE"""),"Baghdad International")</f>
        <v>Baghdad International</v>
      </c>
      <c r="D582" s="120" t="str">
        <f>IFERROR(__xludf.DUMMYFUNCTION("""COMPUTED_VALUE"""),"Iraq")</f>
        <v>Iraq</v>
      </c>
      <c r="E582" s="135"/>
      <c r="F582" s="31"/>
    </row>
    <row r="583">
      <c r="A583" s="134" t="str">
        <f>IFERROR(__xludf.DUMMYFUNCTION("""COMPUTED_VALUE"""),"Baglung")</f>
        <v>Baglung</v>
      </c>
      <c r="B583" s="120" t="str">
        <f>IFERROR(__xludf.DUMMYFUNCTION("""COMPUTED_VALUE"""),"BGL")</f>
        <v>BGL</v>
      </c>
      <c r="C583" s="120" t="str">
        <f>IFERROR(__xludf.DUMMYFUNCTION("""COMPUTED_VALUE"""),"Baglung")</f>
        <v>Baglung</v>
      </c>
      <c r="D583" s="120" t="str">
        <f>IFERROR(__xludf.DUMMYFUNCTION("""COMPUTED_VALUE"""),"Nepal")</f>
        <v>Nepal</v>
      </c>
      <c r="E583" s="135"/>
      <c r="F583" s="31"/>
    </row>
    <row r="584">
      <c r="A584" s="134" t="str">
        <f>IFERROR(__xludf.DUMMYFUNCTION("""COMPUTED_VALUE"""),"Bagotville")</f>
        <v>Bagotville</v>
      </c>
      <c r="B584" s="120" t="str">
        <f>IFERROR(__xludf.DUMMYFUNCTION("""COMPUTED_VALUE"""),"YBG")</f>
        <v>YBG</v>
      </c>
      <c r="C584" s="120" t="str">
        <f>IFERROR(__xludf.DUMMYFUNCTION("""COMPUTED_VALUE"""),"Bagotville")</f>
        <v>Bagotville</v>
      </c>
      <c r="D584" s="120" t="str">
        <f>IFERROR(__xludf.DUMMYFUNCTION("""COMPUTED_VALUE"""),"Canada")</f>
        <v>Canada</v>
      </c>
      <c r="E584" s="135"/>
      <c r="F584" s="31"/>
    </row>
    <row r="585">
      <c r="A585" s="134" t="str">
        <f>IFERROR(__xludf.DUMMYFUNCTION("""COMPUTED_VALUE"""),"Baguio")</f>
        <v>Baguio</v>
      </c>
      <c r="B585" s="120" t="str">
        <f>IFERROR(__xludf.DUMMYFUNCTION("""COMPUTED_VALUE"""),"BAG")</f>
        <v>BAG</v>
      </c>
      <c r="C585" s="120" t="str">
        <f>IFERROR(__xludf.DUMMYFUNCTION("""COMPUTED_VALUE"""),"Loakan")</f>
        <v>Loakan</v>
      </c>
      <c r="D585" s="120" t="str">
        <f>IFERROR(__xludf.DUMMYFUNCTION("""COMPUTED_VALUE"""),"Philippines")</f>
        <v>Philippines</v>
      </c>
      <c r="E585" s="135"/>
      <c r="F585" s="31"/>
    </row>
    <row r="586">
      <c r="A586" s="134" t="str">
        <f>IFERROR(__xludf.DUMMYFUNCTION("""COMPUTED_VALUE"""),"Bahar Dar")</f>
        <v>Bahar Dar</v>
      </c>
      <c r="B586" s="120" t="str">
        <f>IFERROR(__xludf.DUMMYFUNCTION("""COMPUTED_VALUE"""),"BJR")</f>
        <v>BJR</v>
      </c>
      <c r="C586" s="120" t="str">
        <f>IFERROR(__xludf.DUMMYFUNCTION("""COMPUTED_VALUE"""),"Bahar Dar")</f>
        <v>Bahar Dar</v>
      </c>
      <c r="D586" s="120" t="str">
        <f>IFERROR(__xludf.DUMMYFUNCTION("""COMPUTED_VALUE"""),"Ethiopia")</f>
        <v>Ethiopia</v>
      </c>
      <c r="E586" s="135"/>
      <c r="F586" s="31"/>
    </row>
    <row r="587">
      <c r="A587" s="134" t="str">
        <f>IFERROR(__xludf.DUMMYFUNCTION("""COMPUTED_VALUE"""),"Bahawalnagar")</f>
        <v>Bahawalnagar</v>
      </c>
      <c r="B587" s="120" t="str">
        <f>IFERROR(__xludf.DUMMYFUNCTION("""COMPUTED_VALUE"""),"WGB")</f>
        <v>WGB</v>
      </c>
      <c r="C587" s="120" t="str">
        <f>IFERROR(__xludf.DUMMYFUNCTION("""COMPUTED_VALUE"""),"Bahawalnagar")</f>
        <v>Bahawalnagar</v>
      </c>
      <c r="D587" s="120" t="str">
        <f>IFERROR(__xludf.DUMMYFUNCTION("""COMPUTED_VALUE"""),"Pakistan")</f>
        <v>Pakistan</v>
      </c>
      <c r="E587" s="135"/>
      <c r="F587" s="31"/>
    </row>
    <row r="588">
      <c r="A588" s="134" t="str">
        <f>IFERROR(__xludf.DUMMYFUNCTION("""COMPUTED_VALUE"""),"Bahawalpur")</f>
        <v>Bahawalpur</v>
      </c>
      <c r="B588" s="120" t="str">
        <f>IFERROR(__xludf.DUMMYFUNCTION("""COMPUTED_VALUE"""),"BHV")</f>
        <v>BHV</v>
      </c>
      <c r="C588" s="120" t="str">
        <f>IFERROR(__xludf.DUMMYFUNCTION("""COMPUTED_VALUE"""),"Bahawalpur")</f>
        <v>Bahawalpur</v>
      </c>
      <c r="D588" s="120" t="str">
        <f>IFERROR(__xludf.DUMMYFUNCTION("""COMPUTED_VALUE"""),"Pakistan")</f>
        <v>Pakistan</v>
      </c>
      <c r="E588" s="135"/>
      <c r="F588" s="31"/>
    </row>
    <row r="589">
      <c r="A589" s="134" t="str">
        <f>IFERROR(__xludf.DUMMYFUNCTION("""COMPUTED_VALUE"""),"Bahia Angeles")</f>
        <v>Bahia Angeles</v>
      </c>
      <c r="B589" s="120" t="str">
        <f>IFERROR(__xludf.DUMMYFUNCTION("""COMPUTED_VALUE"""),"BHL")</f>
        <v>BHL</v>
      </c>
      <c r="C589" s="120" t="str">
        <f>IFERROR(__xludf.DUMMYFUNCTION("""COMPUTED_VALUE"""),"Bahia Angeles")</f>
        <v>Bahia Angeles</v>
      </c>
      <c r="D589" s="120" t="str">
        <f>IFERROR(__xludf.DUMMYFUNCTION("""COMPUTED_VALUE"""),"Mexico")</f>
        <v>Mexico</v>
      </c>
      <c r="E589" s="135"/>
      <c r="F589" s="31"/>
    </row>
    <row r="590">
      <c r="A590" s="134" t="str">
        <f>IFERROR(__xludf.DUMMYFUNCTION("""COMPUTED_VALUE"""),"Bahia Blanca")</f>
        <v>Bahia Blanca</v>
      </c>
      <c r="B590" s="120" t="str">
        <f>IFERROR(__xludf.DUMMYFUNCTION("""COMPUTED_VALUE"""),"BHI")</f>
        <v>BHI</v>
      </c>
      <c r="C590" s="120" t="str">
        <f>IFERROR(__xludf.DUMMYFUNCTION("""COMPUTED_VALUE"""),"Comandante")</f>
        <v>Comandante</v>
      </c>
      <c r="D590" s="120" t="str">
        <f>IFERROR(__xludf.DUMMYFUNCTION("""COMPUTED_VALUE"""),"Argentina")</f>
        <v>Argentina</v>
      </c>
      <c r="E590" s="135"/>
      <c r="F590" s="31"/>
    </row>
    <row r="591">
      <c r="A591" s="134" t="str">
        <f>IFERROR(__xludf.DUMMYFUNCTION("""COMPUTED_VALUE"""),"Bahia Cupica")</f>
        <v>Bahia Cupica</v>
      </c>
      <c r="B591" s="120" t="str">
        <f>IFERROR(__xludf.DUMMYFUNCTION("""COMPUTED_VALUE"""),"BHF")</f>
        <v>BHF</v>
      </c>
      <c r="C591" s="120" t="str">
        <f>IFERROR(__xludf.DUMMYFUNCTION("""COMPUTED_VALUE"""),"Bahia Cupica")</f>
        <v>Bahia Cupica</v>
      </c>
      <c r="D591" s="120" t="str">
        <f>IFERROR(__xludf.DUMMYFUNCTION("""COMPUTED_VALUE"""),"Colombia")</f>
        <v>Colombia</v>
      </c>
      <c r="E591" s="135"/>
      <c r="F591" s="31"/>
    </row>
    <row r="592">
      <c r="A592" s="134" t="str">
        <f>IFERROR(__xludf.DUMMYFUNCTION("""COMPUTED_VALUE"""),"Bahia De Caraquez")</f>
        <v>Bahia De Caraquez</v>
      </c>
      <c r="B592" s="120" t="str">
        <f>IFERROR(__xludf.DUMMYFUNCTION("""COMPUTED_VALUE"""),"BHA")</f>
        <v>BHA</v>
      </c>
      <c r="C592" s="120" t="str">
        <f>IFERROR(__xludf.DUMMYFUNCTION("""COMPUTED_VALUE"""),"Bahia De Caraquez")</f>
        <v>Bahia De Caraquez</v>
      </c>
      <c r="D592" s="120" t="str">
        <f>IFERROR(__xludf.DUMMYFUNCTION("""COMPUTED_VALUE"""),"Ecuador")</f>
        <v>Ecuador</v>
      </c>
      <c r="E592" s="135"/>
      <c r="F592" s="31"/>
    </row>
    <row r="593">
      <c r="A593" s="134" t="str">
        <f>IFERROR(__xludf.DUMMYFUNCTION("""COMPUTED_VALUE"""),"Bahia Negra")</f>
        <v>Bahia Negra</v>
      </c>
      <c r="B593" s="120" t="str">
        <f>IFERROR(__xludf.DUMMYFUNCTION("""COMPUTED_VALUE"""),"BFA")</f>
        <v>BFA</v>
      </c>
      <c r="C593" s="120" t="str">
        <f>IFERROR(__xludf.DUMMYFUNCTION("""COMPUTED_VALUE"""),"Bahia Negra")</f>
        <v>Bahia Negra</v>
      </c>
      <c r="D593" s="120" t="str">
        <f>IFERROR(__xludf.DUMMYFUNCTION("""COMPUTED_VALUE"""),"Paraguay")</f>
        <v>Paraguay</v>
      </c>
      <c r="E593" s="135"/>
      <c r="F593" s="31"/>
    </row>
    <row r="594">
      <c r="A594" s="134" t="str">
        <f>IFERROR(__xludf.DUMMYFUNCTION("""COMPUTED_VALUE"""),"Bahia Pinas")</f>
        <v>Bahia Pinas</v>
      </c>
      <c r="B594" s="120" t="str">
        <f>IFERROR(__xludf.DUMMYFUNCTION("""COMPUTED_VALUE"""),"BFQ")</f>
        <v>BFQ</v>
      </c>
      <c r="C594" s="120" t="str">
        <f>IFERROR(__xludf.DUMMYFUNCTION("""COMPUTED_VALUE"""),"Bahia Pinas")</f>
        <v>Bahia Pinas</v>
      </c>
      <c r="D594" s="120" t="str">
        <f>IFERROR(__xludf.DUMMYFUNCTION("""COMPUTED_VALUE"""),"Panama")</f>
        <v>Panama</v>
      </c>
      <c r="E594" s="135"/>
      <c r="F594" s="31"/>
    </row>
    <row r="595">
      <c r="A595" s="134" t="str">
        <f>IFERROR(__xludf.DUMMYFUNCTION("""COMPUTED_VALUE"""),"Bahia Solano")</f>
        <v>Bahia Solano</v>
      </c>
      <c r="B595" s="120" t="str">
        <f>IFERROR(__xludf.DUMMYFUNCTION("""COMPUTED_VALUE"""),"BSC")</f>
        <v>BSC</v>
      </c>
      <c r="C595" s="120" t="str">
        <f>IFERROR(__xludf.DUMMYFUNCTION("""COMPUTED_VALUE"""),"Bahia Solano")</f>
        <v>Bahia Solano</v>
      </c>
      <c r="D595" s="120" t="str">
        <f>IFERROR(__xludf.DUMMYFUNCTION("""COMPUTED_VALUE"""),"Colombia")</f>
        <v>Colombia</v>
      </c>
      <c r="E595" s="135"/>
      <c r="F595" s="31"/>
    </row>
    <row r="596">
      <c r="A596" s="134" t="str">
        <f>IFERROR(__xludf.DUMMYFUNCTION("""COMPUTED_VALUE"""),"Manama")</f>
        <v>Manama</v>
      </c>
      <c r="B596" s="120" t="str">
        <f>IFERROR(__xludf.DUMMYFUNCTION("""COMPUTED_VALUE"""),"BAH")</f>
        <v>BAH</v>
      </c>
      <c r="C596" s="120" t="str">
        <f>IFERROR(__xludf.DUMMYFUNCTION("""COMPUTED_VALUE"""),"Bahrain International")</f>
        <v>Bahrain International</v>
      </c>
      <c r="D596" s="120" t="str">
        <f>IFERROR(__xludf.DUMMYFUNCTION("""COMPUTED_VALUE"""),"Bahrain")</f>
        <v>Bahrain</v>
      </c>
      <c r="E596" s="135"/>
      <c r="F596" s="31"/>
    </row>
    <row r="597">
      <c r="A597" s="134" t="str">
        <f>IFERROR(__xludf.DUMMYFUNCTION("""COMPUTED_VALUE"""),"Bahregan")</f>
        <v>Bahregan</v>
      </c>
      <c r="B597" s="120" t="str">
        <f>IFERROR(__xludf.DUMMYFUNCTION("""COMPUTED_VALUE"""),"IAQ")</f>
        <v>IAQ</v>
      </c>
      <c r="C597" s="120" t="str">
        <f>IFERROR(__xludf.DUMMYFUNCTION("""COMPUTED_VALUE"""),"Bahregan")</f>
        <v>Bahregan</v>
      </c>
      <c r="D597" s="120" t="str">
        <f>IFERROR(__xludf.DUMMYFUNCTION("""COMPUTED_VALUE"""),"Iran")</f>
        <v>Iran</v>
      </c>
      <c r="E597" s="135"/>
      <c r="F597" s="31"/>
    </row>
    <row r="598">
      <c r="A598" s="134" t="str">
        <f>IFERROR(__xludf.DUMMYFUNCTION("""COMPUTED_VALUE"""),"Baia Mare")</f>
        <v>Baia Mare</v>
      </c>
      <c r="B598" s="120" t="str">
        <f>IFERROR(__xludf.DUMMYFUNCTION("""COMPUTED_VALUE"""),"BAY")</f>
        <v>BAY</v>
      </c>
      <c r="C598" s="120" t="str">
        <f>IFERROR(__xludf.DUMMYFUNCTION("""COMPUTED_VALUE"""),"Baia Mare")</f>
        <v>Baia Mare</v>
      </c>
      <c r="D598" s="120" t="str">
        <f>IFERROR(__xludf.DUMMYFUNCTION("""COMPUTED_VALUE"""),"Romania")</f>
        <v>Romania</v>
      </c>
      <c r="E598" s="135"/>
      <c r="F598" s="31"/>
    </row>
    <row r="599">
      <c r="A599" s="134" t="str">
        <f>IFERROR(__xludf.DUMMYFUNCTION("""COMPUTED_VALUE"""),"Baibara")</f>
        <v>Baibara</v>
      </c>
      <c r="B599" s="120" t="str">
        <f>IFERROR(__xludf.DUMMYFUNCTION("""COMPUTED_VALUE"""),"BAP")</f>
        <v>BAP</v>
      </c>
      <c r="C599" s="120" t="str">
        <f>IFERROR(__xludf.DUMMYFUNCTION("""COMPUTED_VALUE"""),"Baibara")</f>
        <v>Baibara</v>
      </c>
      <c r="D599" s="120" t="str">
        <f>IFERROR(__xludf.DUMMYFUNCTION("""COMPUTED_VALUE"""),"Papua New Guinea")</f>
        <v>Papua New Guinea</v>
      </c>
      <c r="E599" s="135"/>
      <c r="F599" s="31"/>
    </row>
    <row r="600">
      <c r="A600" s="134" t="str">
        <f>IFERROR(__xludf.DUMMYFUNCTION("""COMPUTED_VALUE"""),"Baidoa")</f>
        <v>Baidoa</v>
      </c>
      <c r="B600" s="120" t="str">
        <f>IFERROR(__xludf.DUMMYFUNCTION("""COMPUTED_VALUE"""),"BIB")</f>
        <v>BIB</v>
      </c>
      <c r="C600" s="120" t="str">
        <f>IFERROR(__xludf.DUMMYFUNCTION("""COMPUTED_VALUE"""),"Baidoa")</f>
        <v>Baidoa</v>
      </c>
      <c r="D600" s="120" t="str">
        <f>IFERROR(__xludf.DUMMYFUNCTION("""COMPUTED_VALUE"""),"Somalia")</f>
        <v>Somalia</v>
      </c>
      <c r="E600" s="135"/>
      <c r="F600" s="31"/>
    </row>
    <row r="601">
      <c r="A601" s="134" t="str">
        <f>IFERROR(__xludf.DUMMYFUNCTION("""COMPUTED_VALUE"""),"Baie Comeau")</f>
        <v>Baie Comeau</v>
      </c>
      <c r="B601" s="120" t="str">
        <f>IFERROR(__xludf.DUMMYFUNCTION("""COMPUTED_VALUE"""),"YBC")</f>
        <v>YBC</v>
      </c>
      <c r="C601" s="120" t="str">
        <f>IFERROR(__xludf.DUMMYFUNCTION("""COMPUTED_VALUE"""),"Baie Comeau")</f>
        <v>Baie Comeau</v>
      </c>
      <c r="D601" s="120" t="str">
        <f>IFERROR(__xludf.DUMMYFUNCTION("""COMPUTED_VALUE"""),"Canada")</f>
        <v>Canada</v>
      </c>
      <c r="E601" s="135"/>
      <c r="F601" s="31"/>
    </row>
    <row r="602">
      <c r="A602" s="134" t="str">
        <f>IFERROR(__xludf.DUMMYFUNCTION("""COMPUTED_VALUE"""),"Baie Johan Beetz")</f>
        <v>Baie Johan Beetz</v>
      </c>
      <c r="B602" s="120" t="str">
        <f>IFERROR(__xludf.DUMMYFUNCTION("""COMPUTED_VALUE"""),"YBJ")</f>
        <v>YBJ</v>
      </c>
      <c r="C602" s="120" t="str">
        <f>IFERROR(__xludf.DUMMYFUNCTION("""COMPUTED_VALUE"""),"Baie Johan Beetz")</f>
        <v>Baie Johan Beetz</v>
      </c>
      <c r="D602" s="120" t="str">
        <f>IFERROR(__xludf.DUMMYFUNCTION("""COMPUTED_VALUE"""),"Canada")</f>
        <v>Canada</v>
      </c>
      <c r="E602" s="135"/>
      <c r="F602" s="31"/>
    </row>
    <row r="603">
      <c r="A603" s="134" t="str">
        <f>IFERROR(__xludf.DUMMYFUNCTION("""COMPUTED_VALUE"""),"Baimuru")</f>
        <v>Baimuru</v>
      </c>
      <c r="B603" s="120" t="str">
        <f>IFERROR(__xludf.DUMMYFUNCTION("""COMPUTED_VALUE"""),"VMU")</f>
        <v>VMU</v>
      </c>
      <c r="C603" s="120" t="str">
        <f>IFERROR(__xludf.DUMMYFUNCTION("""COMPUTED_VALUE"""),"Baimuru")</f>
        <v>Baimuru</v>
      </c>
      <c r="D603" s="120" t="str">
        <f>IFERROR(__xludf.DUMMYFUNCTION("""COMPUTED_VALUE"""),"Papua New Guinea")</f>
        <v>Papua New Guinea</v>
      </c>
      <c r="E603" s="135"/>
      <c r="F603" s="31"/>
    </row>
    <row r="604">
      <c r="A604" s="134" t="str">
        <f>IFERROR(__xludf.DUMMYFUNCTION("""COMPUTED_VALUE"""),"Bainbridge")</f>
        <v>Bainbridge</v>
      </c>
      <c r="B604" s="120" t="str">
        <f>IFERROR(__xludf.DUMMYFUNCTION("""COMPUTED_VALUE"""),"BGE")</f>
        <v>BGE</v>
      </c>
      <c r="C604" s="120" t="str">
        <f>IFERROR(__xludf.DUMMYFUNCTION("""COMPUTED_VALUE"""),"Decatur County")</f>
        <v>Decatur County</v>
      </c>
      <c r="D604" s="120" t="str">
        <f>IFERROR(__xludf.DUMMYFUNCTION("""COMPUTED_VALUE"""),"United States")</f>
        <v>United States</v>
      </c>
      <c r="E604" s="135"/>
      <c r="F604" s="31"/>
    </row>
    <row r="605">
      <c r="A605" s="134" t="str">
        <f>IFERROR(__xludf.DUMMYFUNCTION("""COMPUTED_VALUE"""),"Baindoung")</f>
        <v>Baindoung</v>
      </c>
      <c r="B605" s="120" t="str">
        <f>IFERROR(__xludf.DUMMYFUNCTION("""COMPUTED_VALUE"""),"BDZ")</f>
        <v>BDZ</v>
      </c>
      <c r="C605" s="120" t="str">
        <f>IFERROR(__xludf.DUMMYFUNCTION("""COMPUTED_VALUE"""),"Baindoung")</f>
        <v>Baindoung</v>
      </c>
      <c r="D605" s="120" t="str">
        <f>IFERROR(__xludf.DUMMYFUNCTION("""COMPUTED_VALUE"""),"Papua New Guinea")</f>
        <v>Papua New Guinea</v>
      </c>
      <c r="E605" s="135"/>
      <c r="F605" s="31"/>
    </row>
    <row r="606">
      <c r="A606" s="134" t="str">
        <f>IFERROR(__xludf.DUMMYFUNCTION("""COMPUTED_VALUE"""),"Bairnsdale")</f>
        <v>Bairnsdale</v>
      </c>
      <c r="B606" s="120" t="str">
        <f>IFERROR(__xludf.DUMMYFUNCTION("""COMPUTED_VALUE"""),"BSJ")</f>
        <v>BSJ</v>
      </c>
      <c r="C606" s="120" t="str">
        <f>IFERROR(__xludf.DUMMYFUNCTION("""COMPUTED_VALUE"""),"Bairnsdale")</f>
        <v>Bairnsdale</v>
      </c>
      <c r="D606" s="120" t="str">
        <f>IFERROR(__xludf.DUMMYFUNCTION("""COMPUTED_VALUE"""),"Australia")</f>
        <v>Australia</v>
      </c>
      <c r="E606" s="135"/>
      <c r="F606" s="31"/>
    </row>
    <row r="607">
      <c r="A607" s="134" t="str">
        <f>IFERROR(__xludf.DUMMYFUNCTION("""COMPUTED_VALUE"""),"Baitadi")</f>
        <v>Baitadi</v>
      </c>
      <c r="B607" s="120" t="str">
        <f>IFERROR(__xludf.DUMMYFUNCTION("""COMPUTED_VALUE"""),"BIT")</f>
        <v>BIT</v>
      </c>
      <c r="C607" s="120" t="str">
        <f>IFERROR(__xludf.DUMMYFUNCTION("""COMPUTED_VALUE"""),"Baitadi")</f>
        <v>Baitadi</v>
      </c>
      <c r="D607" s="120" t="str">
        <f>IFERROR(__xludf.DUMMYFUNCTION("""COMPUTED_VALUE"""),"Nepal")</f>
        <v>Nepal</v>
      </c>
      <c r="E607" s="135"/>
      <c r="F607" s="31"/>
    </row>
    <row r="608">
      <c r="A608" s="134" t="str">
        <f>IFERROR(__xludf.DUMMYFUNCTION("""COMPUTED_VALUE"""),"Bajawa")</f>
        <v>Bajawa</v>
      </c>
      <c r="B608" s="120" t="str">
        <f>IFERROR(__xludf.DUMMYFUNCTION("""COMPUTED_VALUE"""),"BJW")</f>
        <v>BJW</v>
      </c>
      <c r="C608" s="120" t="str">
        <f>IFERROR(__xludf.DUMMYFUNCTION("""COMPUTED_VALUE"""),"Bajawa")</f>
        <v>Bajawa</v>
      </c>
      <c r="D608" s="120" t="str">
        <f>IFERROR(__xludf.DUMMYFUNCTION("""COMPUTED_VALUE"""),"Indonesia")</f>
        <v>Indonesia</v>
      </c>
      <c r="E608" s="135"/>
      <c r="F608" s="31"/>
    </row>
    <row r="609">
      <c r="A609" s="134" t="str">
        <f>IFERROR(__xludf.DUMMYFUNCTION("""COMPUTED_VALUE"""),"Bajhang")</f>
        <v>Bajhang</v>
      </c>
      <c r="B609" s="120" t="str">
        <f>IFERROR(__xludf.DUMMYFUNCTION("""COMPUTED_VALUE"""),"BJH")</f>
        <v>BJH</v>
      </c>
      <c r="C609" s="120" t="str">
        <f>IFERROR(__xludf.DUMMYFUNCTION("""COMPUTED_VALUE"""),"Bajhang")</f>
        <v>Bajhang</v>
      </c>
      <c r="D609" s="120" t="str">
        <f>IFERROR(__xludf.DUMMYFUNCTION("""COMPUTED_VALUE"""),"Nepal")</f>
        <v>Nepal</v>
      </c>
      <c r="E609" s="135"/>
      <c r="F609" s="31"/>
    </row>
    <row r="610">
      <c r="A610" s="134" t="str">
        <f>IFERROR(__xludf.DUMMYFUNCTION("""COMPUTED_VALUE"""),"Bajone")</f>
        <v>Bajone</v>
      </c>
      <c r="B610" s="120" t="str">
        <f>IFERROR(__xludf.DUMMYFUNCTION("""COMPUTED_VALUE"""),"BJN")</f>
        <v>BJN</v>
      </c>
      <c r="C610" s="120" t="str">
        <f>IFERROR(__xludf.DUMMYFUNCTION("""COMPUTED_VALUE"""),"Bajone")</f>
        <v>Bajone</v>
      </c>
      <c r="D610" s="120" t="str">
        <f>IFERROR(__xludf.DUMMYFUNCTION("""COMPUTED_VALUE"""),"Mozambique")</f>
        <v>Mozambique</v>
      </c>
      <c r="E610" s="135"/>
      <c r="F610" s="31"/>
    </row>
    <row r="611">
      <c r="A611" s="134" t="str">
        <f>IFERROR(__xludf.DUMMYFUNCTION("""COMPUTED_VALUE"""),"Bajura")</f>
        <v>Bajura</v>
      </c>
      <c r="B611" s="120" t="str">
        <f>IFERROR(__xludf.DUMMYFUNCTION("""COMPUTED_VALUE"""),"BJU")</f>
        <v>BJU</v>
      </c>
      <c r="C611" s="120" t="str">
        <f>IFERROR(__xludf.DUMMYFUNCTION("""COMPUTED_VALUE"""),"Bajura Arpt")</f>
        <v>Bajura Arpt</v>
      </c>
      <c r="D611" s="120" t="str">
        <f>IFERROR(__xludf.DUMMYFUNCTION("""COMPUTED_VALUE"""),"Nepal")</f>
        <v>Nepal</v>
      </c>
      <c r="E611" s="135"/>
      <c r="F611" s="31"/>
    </row>
    <row r="612">
      <c r="A612" s="134" t="str">
        <f>IFERROR(__xludf.DUMMYFUNCTION("""COMPUTED_VALUE"""),"Bakalalan")</f>
        <v>Bakalalan</v>
      </c>
      <c r="B612" s="120" t="str">
        <f>IFERROR(__xludf.DUMMYFUNCTION("""COMPUTED_VALUE"""),"BKM")</f>
        <v>BKM</v>
      </c>
      <c r="C612" s="120" t="str">
        <f>IFERROR(__xludf.DUMMYFUNCTION("""COMPUTED_VALUE"""),"Bakalalan")</f>
        <v>Bakalalan</v>
      </c>
      <c r="D612" s="120" t="str">
        <f>IFERROR(__xludf.DUMMYFUNCTION("""COMPUTED_VALUE"""),"Malaysia")</f>
        <v>Malaysia</v>
      </c>
      <c r="E612" s="135"/>
      <c r="F612" s="31"/>
    </row>
    <row r="613">
      <c r="A613" s="134" t="str">
        <f>IFERROR(__xludf.DUMMYFUNCTION("""COMPUTED_VALUE"""),"Bakel")</f>
        <v>Bakel</v>
      </c>
      <c r="B613" s="120" t="str">
        <f>IFERROR(__xludf.DUMMYFUNCTION("""COMPUTED_VALUE"""),"BXE")</f>
        <v>BXE</v>
      </c>
      <c r="C613" s="120" t="str">
        <f>IFERROR(__xludf.DUMMYFUNCTION("""COMPUTED_VALUE"""),"Bakel")</f>
        <v>Bakel</v>
      </c>
      <c r="D613" s="120" t="str">
        <f>IFERROR(__xludf.DUMMYFUNCTION("""COMPUTED_VALUE"""),"Senegal")</f>
        <v>Senegal</v>
      </c>
      <c r="E613" s="135"/>
      <c r="F613" s="31"/>
    </row>
    <row r="614">
      <c r="A614" s="134" t="str">
        <f>IFERROR(__xludf.DUMMYFUNCTION("""COMPUTED_VALUE"""),"Baker")</f>
        <v>Baker</v>
      </c>
      <c r="B614" s="120" t="str">
        <f>IFERROR(__xludf.DUMMYFUNCTION("""COMPUTED_VALUE"""),"BKE")</f>
        <v>BKE</v>
      </c>
      <c r="C614" s="120" t="str">
        <f>IFERROR(__xludf.DUMMYFUNCTION("""COMPUTED_VALUE"""),"Baker")</f>
        <v>Baker</v>
      </c>
      <c r="D614" s="120" t="str">
        <f>IFERROR(__xludf.DUMMYFUNCTION("""COMPUTED_VALUE"""),"United States")</f>
        <v>United States</v>
      </c>
      <c r="E614" s="135"/>
      <c r="F614" s="31"/>
    </row>
    <row r="615">
      <c r="A615" s="134" t="str">
        <f>IFERROR(__xludf.DUMMYFUNCTION("""COMPUTED_VALUE"""),"Baker Island")</f>
        <v>Baker Island</v>
      </c>
      <c r="B615" s="120" t="str">
        <f>IFERROR(__xludf.DUMMYFUNCTION("""COMPUTED_VALUE"""),"BAR")</f>
        <v>BAR</v>
      </c>
      <c r="C615" s="120" t="str">
        <f>IFERROR(__xludf.DUMMYFUNCTION("""COMPUTED_VALUE"""),"Baker AAF")</f>
        <v>Baker AAF</v>
      </c>
      <c r="D615" s="120" t="str">
        <f>IFERROR(__xludf.DUMMYFUNCTION("""COMPUTED_VALUE"""),"United States")</f>
        <v>United States</v>
      </c>
      <c r="E615" s="135"/>
      <c r="F615" s="31"/>
    </row>
    <row r="616">
      <c r="A616" s="134" t="str">
        <f>IFERROR(__xludf.DUMMYFUNCTION("""COMPUTED_VALUE"""),"Baker Lake")</f>
        <v>Baker Lake</v>
      </c>
      <c r="B616" s="120" t="str">
        <f>IFERROR(__xludf.DUMMYFUNCTION("""COMPUTED_VALUE"""),"YBK")</f>
        <v>YBK</v>
      </c>
      <c r="C616" s="120" t="str">
        <f>IFERROR(__xludf.DUMMYFUNCTION("""COMPUTED_VALUE"""),"Baker Lake")</f>
        <v>Baker Lake</v>
      </c>
      <c r="D616" s="120" t="str">
        <f>IFERROR(__xludf.DUMMYFUNCTION("""COMPUTED_VALUE"""),"Canada")</f>
        <v>Canada</v>
      </c>
      <c r="E616" s="135"/>
      <c r="F616" s="31"/>
    </row>
    <row r="617">
      <c r="A617" s="134" t="str">
        <f>IFERROR(__xludf.DUMMYFUNCTION("""COMPUTED_VALUE"""),"Bakersfield")</f>
        <v>Bakersfield</v>
      </c>
      <c r="B617" s="120" t="str">
        <f>IFERROR(__xludf.DUMMYFUNCTION("""COMPUTED_VALUE"""),"BFL")</f>
        <v>BFL</v>
      </c>
      <c r="C617" s="120" t="str">
        <f>IFERROR(__xludf.DUMMYFUNCTION("""COMPUTED_VALUE"""),"Meadows Field")</f>
        <v>Meadows Field</v>
      </c>
      <c r="D617" s="120" t="str">
        <f>IFERROR(__xludf.DUMMYFUNCTION("""COMPUTED_VALUE"""),"United States")</f>
        <v>United States</v>
      </c>
      <c r="E617" s="135"/>
      <c r="F617" s="31"/>
    </row>
    <row r="618">
      <c r="A618" s="134" t="str">
        <f>IFERROR(__xludf.DUMMYFUNCTION("""COMPUTED_VALUE"""),"Bakkafjordur")</f>
        <v>Bakkafjordur</v>
      </c>
      <c r="B618" s="120" t="str">
        <f>IFERROR(__xludf.DUMMYFUNCTION("""COMPUTED_VALUE"""),"BJD")</f>
        <v>BJD</v>
      </c>
      <c r="C618" s="120" t="str">
        <f>IFERROR(__xludf.DUMMYFUNCTION("""COMPUTED_VALUE"""),"Bakkafjordur")</f>
        <v>Bakkafjordur</v>
      </c>
      <c r="D618" s="120" t="str">
        <f>IFERROR(__xludf.DUMMYFUNCTION("""COMPUTED_VALUE"""),"Iceland")</f>
        <v>Iceland</v>
      </c>
      <c r="E618" s="135"/>
      <c r="F618" s="31"/>
    </row>
    <row r="619">
      <c r="A619" s="134" t="str">
        <f>IFERROR(__xludf.DUMMYFUNCTION("""COMPUTED_VALUE"""),"Bakouma")</f>
        <v>Bakouma</v>
      </c>
      <c r="B619" s="120" t="str">
        <f>IFERROR(__xludf.DUMMYFUNCTION("""COMPUTED_VALUE"""),"BMF")</f>
        <v>BMF</v>
      </c>
      <c r="C619" s="120" t="str">
        <f>IFERROR(__xludf.DUMMYFUNCTION("""COMPUTED_VALUE"""),"Bakouma")</f>
        <v>Bakouma</v>
      </c>
      <c r="D619" s="120" t="str">
        <f>IFERROR(__xludf.DUMMYFUNCTION("""COMPUTED_VALUE"""),"Central African Republic")</f>
        <v>Central African Republic</v>
      </c>
      <c r="E619" s="135"/>
      <c r="F619" s="31"/>
    </row>
    <row r="620">
      <c r="A620" s="134" t="str">
        <f>IFERROR(__xludf.DUMMYFUNCTION("""COMPUTED_VALUE"""),"Baku")</f>
        <v>Baku</v>
      </c>
      <c r="B620" s="120" t="str">
        <f>IFERROR(__xludf.DUMMYFUNCTION("""COMPUTED_VALUE"""),"ZXT")</f>
        <v>ZXT</v>
      </c>
      <c r="C620" s="120" t="str">
        <f>IFERROR(__xludf.DUMMYFUNCTION("""COMPUTED_VALUE"""),"Heydar Aliyev")</f>
        <v>Heydar Aliyev</v>
      </c>
      <c r="D620" s="120" t="str">
        <f>IFERROR(__xludf.DUMMYFUNCTION("""COMPUTED_VALUE"""),"Azerbaijan")</f>
        <v>Azerbaijan</v>
      </c>
      <c r="E620" s="135"/>
      <c r="F620" s="31"/>
    </row>
    <row r="621">
      <c r="A621" s="134" t="str">
        <f>IFERROR(__xludf.DUMMYFUNCTION("""COMPUTED_VALUE"""),"Balad")</f>
        <v>Balad</v>
      </c>
      <c r="B621" s="120" t="str">
        <f>IFERROR(__xludf.DUMMYFUNCTION("""COMPUTED_VALUE"""),"XQC")</f>
        <v>XQC</v>
      </c>
      <c r="C621" s="120" t="str">
        <f>IFERROR(__xludf.DUMMYFUNCTION("""COMPUTED_VALUE"""),"Balad")</f>
        <v>Balad</v>
      </c>
      <c r="D621" s="120" t="str">
        <f>IFERROR(__xludf.DUMMYFUNCTION("""COMPUTED_VALUE"""),"Iraq")</f>
        <v>Iraq</v>
      </c>
      <c r="E621" s="135"/>
      <c r="F621" s="31"/>
    </row>
    <row r="622">
      <c r="A622" s="134" t="str">
        <f>IFERROR(__xludf.DUMMYFUNCTION("""COMPUTED_VALUE"""),"Balakovo")</f>
        <v>Balakovo</v>
      </c>
      <c r="B622" s="120" t="str">
        <f>IFERROR(__xludf.DUMMYFUNCTION("""COMPUTED_VALUE"""),"BWO")</f>
        <v>BWO</v>
      </c>
      <c r="C622" s="120" t="str">
        <f>IFERROR(__xludf.DUMMYFUNCTION("""COMPUTED_VALUE"""),"Balakovo")</f>
        <v>Balakovo</v>
      </c>
      <c r="D622" s="120" t="str">
        <f>IFERROR(__xludf.DUMMYFUNCTION("""COMPUTED_VALUE"""),"Russia")</f>
        <v>Russia</v>
      </c>
      <c r="E622" s="135"/>
      <c r="F622" s="31"/>
    </row>
    <row r="623">
      <c r="A623" s="134" t="str">
        <f>IFERROR(__xludf.DUMMYFUNCTION("""COMPUTED_VALUE"""),"Balalae")</f>
        <v>Balalae</v>
      </c>
      <c r="B623" s="120" t="str">
        <f>IFERROR(__xludf.DUMMYFUNCTION("""COMPUTED_VALUE"""),"BAS")</f>
        <v>BAS</v>
      </c>
      <c r="C623" s="120" t="str">
        <f>IFERROR(__xludf.DUMMYFUNCTION("""COMPUTED_VALUE"""),"Balalae")</f>
        <v>Balalae</v>
      </c>
      <c r="D623" s="120" t="str">
        <f>IFERROR(__xludf.DUMMYFUNCTION("""COMPUTED_VALUE"""),"Solomon Islands")</f>
        <v>Solomon Islands</v>
      </c>
      <c r="E623" s="135"/>
      <c r="F623" s="31"/>
    </row>
    <row r="624">
      <c r="A624" s="134" t="str">
        <f>IFERROR(__xludf.DUMMYFUNCTION("""COMPUTED_VALUE"""),"Balaton")</f>
        <v>Balaton</v>
      </c>
      <c r="B624" s="120" t="str">
        <f>IFERROR(__xludf.DUMMYFUNCTION("""COMPUTED_VALUE"""),"SOB")</f>
        <v>SOB</v>
      </c>
      <c r="C624" s="120" t="str">
        <f>IFERROR(__xludf.DUMMYFUNCTION("""COMPUTED_VALUE"""),"Saarmelleek/Balaton")</f>
        <v>Saarmelleek/Balaton</v>
      </c>
      <c r="D624" s="120" t="str">
        <f>IFERROR(__xludf.DUMMYFUNCTION("""COMPUTED_VALUE"""),"Hungary")</f>
        <v>Hungary</v>
      </c>
      <c r="E624" s="135"/>
      <c r="F624" s="31"/>
    </row>
    <row r="625">
      <c r="A625" s="134" t="str">
        <f>IFERROR(__xludf.DUMMYFUNCTION("""COMPUTED_VALUE"""),"Balboa")</f>
        <v>Balboa</v>
      </c>
      <c r="B625" s="120" t="str">
        <f>IFERROR(__xludf.DUMMYFUNCTION("""COMPUTED_VALUE"""),"BLB")</f>
        <v>BLB</v>
      </c>
      <c r="C625" s="120" t="str">
        <f>IFERROR(__xludf.DUMMYFUNCTION("""COMPUTED_VALUE"""),"Balboa")</f>
        <v>Balboa</v>
      </c>
      <c r="D625" s="120" t="str">
        <f>IFERROR(__xludf.DUMMYFUNCTION("""COMPUTED_VALUE"""),"Panama")</f>
        <v>Panama</v>
      </c>
      <c r="E625" s="135"/>
      <c r="F625" s="31"/>
    </row>
    <row r="626">
      <c r="A626" s="134" t="str">
        <f>IFERROR(__xludf.DUMMYFUNCTION("""COMPUTED_VALUE"""),"Balcanoona")</f>
        <v>Balcanoona</v>
      </c>
      <c r="B626" s="120" t="str">
        <f>IFERROR(__xludf.DUMMYFUNCTION("""COMPUTED_VALUE"""),"LCN")</f>
        <v>LCN</v>
      </c>
      <c r="C626" s="120" t="str">
        <f>IFERROR(__xludf.DUMMYFUNCTION("""COMPUTED_VALUE"""),"Balcanoona")</f>
        <v>Balcanoona</v>
      </c>
      <c r="D626" s="120" t="str">
        <f>IFERROR(__xludf.DUMMYFUNCTION("""COMPUTED_VALUE"""),"Australia")</f>
        <v>Australia</v>
      </c>
      <c r="E626" s="135"/>
      <c r="F626" s="31"/>
    </row>
    <row r="627">
      <c r="A627" s="134" t="str">
        <f>IFERROR(__xludf.DUMMYFUNCTION("""COMPUTED_VALUE"""),"Baler")</f>
        <v>Baler</v>
      </c>
      <c r="B627" s="120" t="str">
        <f>IFERROR(__xludf.DUMMYFUNCTION("""COMPUTED_VALUE"""),"BQA")</f>
        <v>BQA</v>
      </c>
      <c r="C627" s="120" t="str">
        <f>IFERROR(__xludf.DUMMYFUNCTION("""COMPUTED_VALUE"""),"Baler")</f>
        <v>Baler</v>
      </c>
      <c r="D627" s="120" t="str">
        <f>IFERROR(__xludf.DUMMYFUNCTION("""COMPUTED_VALUE"""),"Philippines")</f>
        <v>Philippines</v>
      </c>
      <c r="E627" s="135"/>
      <c r="F627" s="31"/>
    </row>
    <row r="628">
      <c r="A628" s="134" t="str">
        <f>IFERROR(__xludf.DUMMYFUNCTION("""COMPUTED_VALUE"""),"Balgo Hills")</f>
        <v>Balgo Hills</v>
      </c>
      <c r="B628" s="120" t="str">
        <f>IFERROR(__xludf.DUMMYFUNCTION("""COMPUTED_VALUE"""),"BQW")</f>
        <v>BQW</v>
      </c>
      <c r="C628" s="120" t="str">
        <f>IFERROR(__xludf.DUMMYFUNCTION("""COMPUTED_VALUE"""),"Balgo Hills")</f>
        <v>Balgo Hills</v>
      </c>
      <c r="D628" s="120" t="str">
        <f>IFERROR(__xludf.DUMMYFUNCTION("""COMPUTED_VALUE"""),"Australia")</f>
        <v>Australia</v>
      </c>
      <c r="E628" s="135"/>
      <c r="F628" s="31"/>
    </row>
    <row r="629">
      <c r="A629" s="134" t="str">
        <f>IFERROR(__xludf.DUMMYFUNCTION("""COMPUTED_VALUE"""),"Balhash")</f>
        <v>Balhash</v>
      </c>
      <c r="B629" s="120" t="str">
        <f>IFERROR(__xludf.DUMMYFUNCTION("""COMPUTED_VALUE"""),"BXH")</f>
        <v>BXH</v>
      </c>
      <c r="C629" s="120" t="str">
        <f>IFERROR(__xludf.DUMMYFUNCTION("""COMPUTED_VALUE"""),"Balhash")</f>
        <v>Balhash</v>
      </c>
      <c r="D629" s="120" t="str">
        <f>IFERROR(__xludf.DUMMYFUNCTION("""COMPUTED_VALUE"""),"Kazakhstan")</f>
        <v>Kazakhstan</v>
      </c>
      <c r="E629" s="135"/>
      <c r="F629" s="31"/>
    </row>
    <row r="630">
      <c r="A630" s="134" t="str">
        <f>IFERROR(__xludf.DUMMYFUNCTION("""COMPUTED_VALUE"""),"Bali")</f>
        <v>Bali</v>
      </c>
      <c r="B630" s="120" t="str">
        <f>IFERROR(__xludf.DUMMYFUNCTION("""COMPUTED_VALUE"""),"BLC")</f>
        <v>BLC</v>
      </c>
      <c r="C630" s="120" t="str">
        <f>IFERROR(__xludf.DUMMYFUNCTION("""COMPUTED_VALUE"""),"Ngurah Rai")</f>
        <v>Ngurah Rai</v>
      </c>
      <c r="D630" s="120" t="str">
        <f>IFERROR(__xludf.DUMMYFUNCTION("""COMPUTED_VALUE"""),"Cameroon")</f>
        <v>Cameroon</v>
      </c>
      <c r="E630" s="135"/>
      <c r="F630" s="31"/>
    </row>
    <row r="631">
      <c r="A631" s="134" t="str">
        <f>IFERROR(__xludf.DUMMYFUNCTION("""COMPUTED_VALUE"""),"Bali")</f>
        <v>Bali</v>
      </c>
      <c r="B631" s="120" t="str">
        <f>IFERROR(__xludf.DUMMYFUNCTION("""COMPUTED_VALUE"""),"BAJ")</f>
        <v>BAJ</v>
      </c>
      <c r="C631" s="120" t="str">
        <f>IFERROR(__xludf.DUMMYFUNCTION("""COMPUTED_VALUE"""),"Bali")</f>
        <v>Bali</v>
      </c>
      <c r="D631" s="120" t="str">
        <f>IFERROR(__xludf.DUMMYFUNCTION("""COMPUTED_VALUE"""),"Papua New Guinea")</f>
        <v>Papua New Guinea</v>
      </c>
      <c r="E631" s="135"/>
      <c r="F631" s="31"/>
    </row>
    <row r="632">
      <c r="A632" s="134" t="str">
        <f>IFERROR(__xludf.DUMMYFUNCTION("""COMPUTED_VALUE"""),"Balikesir")</f>
        <v>Balikesir</v>
      </c>
      <c r="B632" s="120" t="str">
        <f>IFERROR(__xludf.DUMMYFUNCTION("""COMPUTED_VALUE"""),"BZI")</f>
        <v>BZI</v>
      </c>
      <c r="C632" s="120" t="str">
        <f>IFERROR(__xludf.DUMMYFUNCTION("""COMPUTED_VALUE"""),"Balikesir")</f>
        <v>Balikesir</v>
      </c>
      <c r="D632" s="120" t="str">
        <f>IFERROR(__xludf.DUMMYFUNCTION("""COMPUTED_VALUE"""),"Turkey")</f>
        <v>Turkey</v>
      </c>
      <c r="E632" s="135"/>
      <c r="F632" s="31"/>
    </row>
    <row r="633">
      <c r="A633" s="134" t="str">
        <f>IFERROR(__xludf.DUMMYFUNCTION("""COMPUTED_VALUE"""),"Balikesir")</f>
        <v>Balikesir</v>
      </c>
      <c r="B633" s="120" t="str">
        <f>IFERROR(__xludf.DUMMYFUNCTION("""COMPUTED_VALUE"""),"MQJ")</f>
        <v>MQJ</v>
      </c>
      <c r="C633" s="120" t="str">
        <f>IFERROR(__xludf.DUMMYFUNCTION("""COMPUTED_VALUE"""),"Merkez")</f>
        <v>Merkez</v>
      </c>
      <c r="D633" s="120" t="str">
        <f>IFERROR(__xludf.DUMMYFUNCTION("""COMPUTED_VALUE"""),"Turkey")</f>
        <v>Turkey</v>
      </c>
      <c r="E633" s="135"/>
      <c r="F633" s="31"/>
    </row>
    <row r="634">
      <c r="A634" s="134" t="str">
        <f>IFERROR(__xludf.DUMMYFUNCTION("""COMPUTED_VALUE"""),"Balikpapan")</f>
        <v>Balikpapan</v>
      </c>
      <c r="B634" s="120" t="str">
        <f>IFERROR(__xludf.DUMMYFUNCTION("""COMPUTED_VALUE"""),"BPN")</f>
        <v>BPN</v>
      </c>
      <c r="C634" s="120" t="str">
        <f>IFERROR(__xludf.DUMMYFUNCTION("""COMPUTED_VALUE"""),"Sepingan")</f>
        <v>Sepingan</v>
      </c>
      <c r="D634" s="120" t="str">
        <f>IFERROR(__xludf.DUMMYFUNCTION("""COMPUTED_VALUE"""),"Indonesia")</f>
        <v>Indonesia</v>
      </c>
      <c r="E634" s="135"/>
      <c r="F634" s="31"/>
    </row>
    <row r="635">
      <c r="A635" s="134" t="str">
        <f>IFERROR(__xludf.DUMMYFUNCTION("""COMPUTED_VALUE"""),"Balimo")</f>
        <v>Balimo</v>
      </c>
      <c r="B635" s="120" t="str">
        <f>IFERROR(__xludf.DUMMYFUNCTION("""COMPUTED_VALUE"""),"OPU")</f>
        <v>OPU</v>
      </c>
      <c r="C635" s="120" t="str">
        <f>IFERROR(__xludf.DUMMYFUNCTION("""COMPUTED_VALUE"""),"Balimo")</f>
        <v>Balimo</v>
      </c>
      <c r="D635" s="120" t="str">
        <f>IFERROR(__xludf.DUMMYFUNCTION("""COMPUTED_VALUE"""),"Papua New Guinea")</f>
        <v>Papua New Guinea</v>
      </c>
      <c r="E635" s="135"/>
      <c r="F635" s="31"/>
    </row>
    <row r="636">
      <c r="A636" s="134" t="str">
        <f>IFERROR(__xludf.DUMMYFUNCTION("""COMPUTED_VALUE"""),"Ballina")</f>
        <v>Ballina</v>
      </c>
      <c r="B636" s="120" t="str">
        <f>IFERROR(__xludf.DUMMYFUNCTION("""COMPUTED_VALUE"""),"BNK")</f>
        <v>BNK</v>
      </c>
      <c r="C636" s="120" t="str">
        <f>IFERROR(__xludf.DUMMYFUNCTION("""COMPUTED_VALUE"""),"Ballina Byron Gateway")</f>
        <v>Ballina Byron Gateway</v>
      </c>
      <c r="D636" s="120" t="str">
        <f>IFERROR(__xludf.DUMMYFUNCTION("""COMPUTED_VALUE"""),"Australia")</f>
        <v>Australia</v>
      </c>
      <c r="E636" s="135"/>
      <c r="F636" s="31"/>
    </row>
    <row r="637">
      <c r="A637" s="134" t="str">
        <f>IFERROR(__xludf.DUMMYFUNCTION("""COMPUTED_VALUE"""),"Bally Kelly")</f>
        <v>Bally Kelly</v>
      </c>
      <c r="B637" s="120" t="str">
        <f>IFERROR(__xludf.DUMMYFUNCTION("""COMPUTED_VALUE"""),"BOL")</f>
        <v>BOL</v>
      </c>
      <c r="C637" s="120" t="str">
        <f>IFERROR(__xludf.DUMMYFUNCTION("""COMPUTED_VALUE"""),"Bally Kelly")</f>
        <v>Bally Kelly</v>
      </c>
      <c r="D637" s="120" t="str">
        <f>IFERROR(__xludf.DUMMYFUNCTION("""COMPUTED_VALUE"""),"United Kingdom")</f>
        <v>United Kingdom</v>
      </c>
      <c r="E637" s="135"/>
      <c r="F637" s="31"/>
    </row>
    <row r="638">
      <c r="A638" s="134" t="str">
        <f>IFERROR(__xludf.DUMMYFUNCTION("""COMPUTED_VALUE"""),"Balmaceda")</f>
        <v>Balmaceda</v>
      </c>
      <c r="B638" s="120" t="str">
        <f>IFERROR(__xludf.DUMMYFUNCTION("""COMPUTED_VALUE"""),"BBA")</f>
        <v>BBA</v>
      </c>
      <c r="C638" s="120" t="str">
        <f>IFERROR(__xludf.DUMMYFUNCTION("""COMPUTED_VALUE"""),"Teniente Vidal")</f>
        <v>Teniente Vidal</v>
      </c>
      <c r="D638" s="120" t="str">
        <f>IFERROR(__xludf.DUMMYFUNCTION("""COMPUTED_VALUE"""),"Chile")</f>
        <v>Chile</v>
      </c>
      <c r="E638" s="135"/>
      <c r="F638" s="31"/>
    </row>
    <row r="639">
      <c r="A639" s="134" t="str">
        <f>IFERROR(__xludf.DUMMYFUNCTION("""COMPUTED_VALUE"""),"Balranald")</f>
        <v>Balranald</v>
      </c>
      <c r="B639" s="120" t="str">
        <f>IFERROR(__xludf.DUMMYFUNCTION("""COMPUTED_VALUE"""),"BZD")</f>
        <v>BZD</v>
      </c>
      <c r="C639" s="120" t="str">
        <f>IFERROR(__xludf.DUMMYFUNCTION("""COMPUTED_VALUE"""),"Balranald")</f>
        <v>Balranald</v>
      </c>
      <c r="D639" s="120" t="str">
        <f>IFERROR(__xludf.DUMMYFUNCTION("""COMPUTED_VALUE"""),"Australia")</f>
        <v>Australia</v>
      </c>
      <c r="E639" s="135"/>
      <c r="F639" s="31"/>
    </row>
    <row r="640">
      <c r="A640" s="134" t="str">
        <f>IFERROR(__xludf.DUMMYFUNCTION("""COMPUTED_VALUE"""),"Balsas")</f>
        <v>Balsas</v>
      </c>
      <c r="B640" s="120" t="str">
        <f>IFERROR(__xludf.DUMMYFUNCTION("""COMPUTED_VALUE"""),"BSS")</f>
        <v>BSS</v>
      </c>
      <c r="C640" s="120" t="str">
        <f>IFERROR(__xludf.DUMMYFUNCTION("""COMPUTED_VALUE"""),"Balsas")</f>
        <v>Balsas</v>
      </c>
      <c r="D640" s="120" t="str">
        <f>IFERROR(__xludf.DUMMYFUNCTION("""COMPUTED_VALUE"""),"Brazil")</f>
        <v>Brazil</v>
      </c>
      <c r="E640" s="135"/>
      <c r="F640" s="31"/>
    </row>
    <row r="641">
      <c r="A641" s="134" t="str">
        <f>IFERROR(__xludf.DUMMYFUNCTION("""COMPUTED_VALUE"""),"Baltimore")</f>
        <v>Baltimore</v>
      </c>
      <c r="B641" s="120" t="str">
        <f>IFERROR(__xludf.DUMMYFUNCTION("""COMPUTED_VALUE"""),"GBO")</f>
        <v>GBO</v>
      </c>
      <c r="C641" s="120" t="str">
        <f>IFERROR(__xludf.DUMMYFUNCTION("""COMPUTED_VALUE"""),"Baltimore Greenbelt T")</f>
        <v>Baltimore Greenbelt T</v>
      </c>
      <c r="D641" s="120" t="str">
        <f>IFERROR(__xludf.DUMMYFUNCTION("""COMPUTED_VALUE"""),"United States")</f>
        <v>United States</v>
      </c>
      <c r="E641" s="135"/>
      <c r="F641" s="31"/>
    </row>
    <row r="642">
      <c r="A642" s="134" t="str">
        <f>IFERROR(__xludf.DUMMYFUNCTION("""COMPUTED_VALUE"""),"Baltimore")</f>
        <v>Baltimore</v>
      </c>
      <c r="B642" s="120" t="str">
        <f>IFERROR(__xludf.DUMMYFUNCTION("""COMPUTED_VALUE"""),"ZBP")</f>
        <v>ZBP</v>
      </c>
      <c r="C642" s="120" t="str">
        <f>IFERROR(__xludf.DUMMYFUNCTION("""COMPUTED_VALUE"""),"Baltimore Rail")</f>
        <v>Baltimore Rail</v>
      </c>
      <c r="D642" s="120" t="str">
        <f>IFERROR(__xludf.DUMMYFUNCTION("""COMPUTED_VALUE"""),"United States")</f>
        <v>United States</v>
      </c>
      <c r="E642" s="135"/>
      <c r="F642" s="31"/>
    </row>
    <row r="643">
      <c r="A643" s="134" t="str">
        <f>IFERROR(__xludf.DUMMYFUNCTION("""COMPUTED_VALUE"""),"Baltimore")</f>
        <v>Baltimore</v>
      </c>
      <c r="B643" s="120" t="str">
        <f>IFERROR(__xludf.DUMMYFUNCTION("""COMPUTED_VALUE"""),"MTN")</f>
        <v>MTN</v>
      </c>
      <c r="C643" s="120" t="str">
        <f>IFERROR(__xludf.DUMMYFUNCTION("""COMPUTED_VALUE"""),"Glenn L Martin")</f>
        <v>Glenn L Martin</v>
      </c>
      <c r="D643" s="120" t="str">
        <f>IFERROR(__xludf.DUMMYFUNCTION("""COMPUTED_VALUE"""),"United States")</f>
        <v>United States</v>
      </c>
      <c r="E643" s="135"/>
      <c r="F643" s="31"/>
    </row>
    <row r="644">
      <c r="A644" s="134" t="str">
        <f>IFERROR(__xludf.DUMMYFUNCTION("""COMPUTED_VALUE"""),"Baltrum")</f>
        <v>Baltrum</v>
      </c>
      <c r="B644" s="120" t="str">
        <f>IFERROR(__xludf.DUMMYFUNCTION("""COMPUTED_VALUE"""),"BMR")</f>
        <v>BMR</v>
      </c>
      <c r="C644" s="120" t="str">
        <f>IFERROR(__xludf.DUMMYFUNCTION("""COMPUTED_VALUE"""),"Baltrum")</f>
        <v>Baltrum</v>
      </c>
      <c r="D644" s="120" t="str">
        <f>IFERROR(__xludf.DUMMYFUNCTION("""COMPUTED_VALUE"""),"Germany")</f>
        <v>Germany</v>
      </c>
      <c r="E644" s="135"/>
      <c r="F644" s="31"/>
    </row>
    <row r="645">
      <c r="A645" s="134" t="str">
        <f>IFERROR(__xludf.DUMMYFUNCTION("""COMPUTED_VALUE"""),"Balurghat")</f>
        <v>Balurghat</v>
      </c>
      <c r="B645" s="120" t="str">
        <f>IFERROR(__xludf.DUMMYFUNCTION("""COMPUTED_VALUE"""),"RGH")</f>
        <v>RGH</v>
      </c>
      <c r="C645" s="120" t="str">
        <f>IFERROR(__xludf.DUMMYFUNCTION("""COMPUTED_VALUE"""),"Balurghat")</f>
        <v>Balurghat</v>
      </c>
      <c r="D645" s="120" t="str">
        <f>IFERROR(__xludf.DUMMYFUNCTION("""COMPUTED_VALUE"""),"India")</f>
        <v>India</v>
      </c>
      <c r="E645" s="135"/>
      <c r="F645" s="31"/>
    </row>
    <row r="646">
      <c r="A646" s="134" t="str">
        <f>IFERROR(__xludf.DUMMYFUNCTION("""COMPUTED_VALUE"""),"Bam")</f>
        <v>Bam</v>
      </c>
      <c r="B646" s="120" t="str">
        <f>IFERROR(__xludf.DUMMYFUNCTION("""COMPUTED_VALUE"""),"BXR")</f>
        <v>BXR</v>
      </c>
      <c r="C646" s="120" t="str">
        <f>IFERROR(__xludf.DUMMYFUNCTION("""COMPUTED_VALUE"""),"Bam")</f>
        <v>Bam</v>
      </c>
      <c r="D646" s="120" t="str">
        <f>IFERROR(__xludf.DUMMYFUNCTION("""COMPUTED_VALUE"""),"Iran")</f>
        <v>Iran</v>
      </c>
      <c r="E646" s="135"/>
      <c r="F646" s="31"/>
    </row>
    <row r="647">
      <c r="A647" s="134" t="str">
        <f>IFERROR(__xludf.DUMMYFUNCTION("""COMPUTED_VALUE"""),"Bamaga")</f>
        <v>Bamaga</v>
      </c>
      <c r="B647" s="120" t="str">
        <f>IFERROR(__xludf.DUMMYFUNCTION("""COMPUTED_VALUE"""),"ABM")</f>
        <v>ABM</v>
      </c>
      <c r="C647" s="120" t="str">
        <f>IFERROR(__xludf.DUMMYFUNCTION("""COMPUTED_VALUE"""),"Bamaga")</f>
        <v>Bamaga</v>
      </c>
      <c r="D647" s="120" t="str">
        <f>IFERROR(__xludf.DUMMYFUNCTION("""COMPUTED_VALUE"""),"Australia")</f>
        <v>Australia</v>
      </c>
      <c r="E647" s="135"/>
      <c r="F647" s="31"/>
    </row>
    <row r="648">
      <c r="A648" s="134" t="str">
        <f>IFERROR(__xludf.DUMMYFUNCTION("""COMPUTED_VALUE"""),"Bamako")</f>
        <v>Bamako</v>
      </c>
      <c r="B648" s="120" t="str">
        <f>IFERROR(__xludf.DUMMYFUNCTION("""COMPUTED_VALUE"""),"BKO")</f>
        <v>BKO</v>
      </c>
      <c r="C648" s="120" t="str">
        <f>IFERROR(__xludf.DUMMYFUNCTION("""COMPUTED_VALUE"""),"Bamako")</f>
        <v>Bamako</v>
      </c>
      <c r="D648" s="120" t="str">
        <f>IFERROR(__xludf.DUMMYFUNCTION("""COMPUTED_VALUE"""),"Mali")</f>
        <v>Mali</v>
      </c>
      <c r="E648" s="135"/>
      <c r="F648" s="31"/>
    </row>
    <row r="649">
      <c r="A649" s="134" t="str">
        <f>IFERROR(__xludf.DUMMYFUNCTION("""COMPUTED_VALUE"""),"Bambari")</f>
        <v>Bambari</v>
      </c>
      <c r="B649" s="120" t="str">
        <f>IFERROR(__xludf.DUMMYFUNCTION("""COMPUTED_VALUE"""),"BBY")</f>
        <v>BBY</v>
      </c>
      <c r="C649" s="120" t="str">
        <f>IFERROR(__xludf.DUMMYFUNCTION("""COMPUTED_VALUE"""),"Bambari")</f>
        <v>Bambari</v>
      </c>
      <c r="D649" s="120" t="str">
        <f>IFERROR(__xludf.DUMMYFUNCTION("""COMPUTED_VALUE"""),"Central African Republic")</f>
        <v>Central African Republic</v>
      </c>
      <c r="E649" s="135"/>
      <c r="F649" s="31"/>
    </row>
    <row r="650">
      <c r="A650" s="134" t="str">
        <f>IFERROR(__xludf.DUMMYFUNCTION("""COMPUTED_VALUE"""),"Bambu")</f>
        <v>Bambu</v>
      </c>
      <c r="B650" s="120" t="str">
        <f>IFERROR(__xludf.DUMMYFUNCTION("""COMPUTED_VALUE"""),"BCP")</f>
        <v>BCP</v>
      </c>
      <c r="C650" s="120" t="str">
        <f>IFERROR(__xludf.DUMMYFUNCTION("""COMPUTED_VALUE"""),"Bambu")</f>
        <v>Bambu</v>
      </c>
      <c r="D650" s="120" t="str">
        <f>IFERROR(__xludf.DUMMYFUNCTION("""COMPUTED_VALUE"""),"Papua New Guinea")</f>
        <v>Papua New Guinea</v>
      </c>
      <c r="E650" s="135"/>
      <c r="F650" s="31"/>
    </row>
    <row r="651">
      <c r="A651" s="134" t="str">
        <f>IFERROR(__xludf.DUMMYFUNCTION("""COMPUTED_VALUE"""),"Bamburi")</f>
        <v>Bamburi</v>
      </c>
      <c r="B651" s="120" t="str">
        <f>IFERROR(__xludf.DUMMYFUNCTION("""COMPUTED_VALUE"""),"BMQ")</f>
        <v>BMQ</v>
      </c>
      <c r="C651" s="137" t="str">
        <f>IFERROR(__xludf.DUMMYFUNCTION("""COMPUTED_VALUE"""),"Bamburi")</f>
        <v>Bamburi</v>
      </c>
      <c r="D651" s="120" t="str">
        <f>IFERROR(__xludf.DUMMYFUNCTION("""COMPUTED_VALUE"""),"Kenya")</f>
        <v>Kenya</v>
      </c>
      <c r="E651" s="135"/>
      <c r="F651" s="31"/>
    </row>
    <row r="652">
      <c r="A652" s="134" t="str">
        <f>IFERROR(__xludf.DUMMYFUNCTION("""COMPUTED_VALUE"""),"Bamenda")</f>
        <v>Bamenda</v>
      </c>
      <c r="B652" s="120" t="str">
        <f>IFERROR(__xludf.DUMMYFUNCTION("""COMPUTED_VALUE"""),"BPC")</f>
        <v>BPC</v>
      </c>
      <c r="C652" s="120" t="str">
        <f>IFERROR(__xludf.DUMMYFUNCTION("""COMPUTED_VALUE"""),"Bamenda")</f>
        <v>Bamenda</v>
      </c>
      <c r="D652" s="120" t="str">
        <f>IFERROR(__xludf.DUMMYFUNCTION("""COMPUTED_VALUE"""),"Cameroon")</f>
        <v>Cameroon</v>
      </c>
      <c r="E652" s="135"/>
      <c r="F652" s="31"/>
    </row>
    <row r="653">
      <c r="A653" s="134" t="str">
        <f>IFERROR(__xludf.DUMMYFUNCTION("""COMPUTED_VALUE"""),"Bamerny")</f>
        <v>Bamerny</v>
      </c>
      <c r="B653" s="120" t="str">
        <f>IFERROR(__xludf.DUMMYFUNCTION("""COMPUTED_VALUE"""),"BMN")</f>
        <v>BMN</v>
      </c>
      <c r="C653" s="120" t="str">
        <f>IFERROR(__xludf.DUMMYFUNCTION("""COMPUTED_VALUE"""),"Bamerny")</f>
        <v>Bamerny</v>
      </c>
      <c r="D653" s="120" t="str">
        <f>IFERROR(__xludf.DUMMYFUNCTION("""COMPUTED_VALUE"""),"Iraq")</f>
        <v>Iraq</v>
      </c>
      <c r="E653" s="135"/>
      <c r="F653" s="31"/>
    </row>
    <row r="654">
      <c r="A654" s="134" t="str">
        <f>IFERROR(__xludf.DUMMYFUNCTION("""COMPUTED_VALUE"""),"Bamfield")</f>
        <v>Bamfield</v>
      </c>
      <c r="B654" s="120" t="str">
        <f>IFERROR(__xludf.DUMMYFUNCTION("""COMPUTED_VALUE"""),"YBF")</f>
        <v>YBF</v>
      </c>
      <c r="C654" s="120" t="str">
        <f>IFERROR(__xludf.DUMMYFUNCTION("""COMPUTED_VALUE"""),"Bamfield")</f>
        <v>Bamfield</v>
      </c>
      <c r="D654" s="120" t="str">
        <f>IFERROR(__xludf.DUMMYFUNCTION("""COMPUTED_VALUE"""),"Canada")</f>
        <v>Canada</v>
      </c>
      <c r="E654" s="135"/>
      <c r="F654" s="31"/>
    </row>
    <row r="655">
      <c r="A655" s="134" t="str">
        <f>IFERROR(__xludf.DUMMYFUNCTION("""COMPUTED_VALUE"""),"Bamiyan")</f>
        <v>Bamiyan</v>
      </c>
      <c r="B655" s="120" t="str">
        <f>IFERROR(__xludf.DUMMYFUNCTION("""COMPUTED_VALUE"""),"BIN")</f>
        <v>BIN</v>
      </c>
      <c r="C655" s="120" t="str">
        <f>IFERROR(__xludf.DUMMYFUNCTION("""COMPUTED_VALUE"""),"Bamiyan")</f>
        <v>Bamiyan</v>
      </c>
      <c r="D655" s="120" t="str">
        <f>IFERROR(__xludf.DUMMYFUNCTION("""COMPUTED_VALUE"""),"Afghanistan")</f>
        <v>Afghanistan</v>
      </c>
      <c r="E655" s="135"/>
      <c r="F655" s="31"/>
    </row>
    <row r="656">
      <c r="A656" s="134" t="str">
        <f>IFERROR(__xludf.DUMMYFUNCTION("""COMPUTED_VALUE"""),"Bamu")</f>
        <v>Bamu</v>
      </c>
      <c r="B656" s="120" t="str">
        <f>IFERROR(__xludf.DUMMYFUNCTION("""COMPUTED_VALUE"""),"BMZ")</f>
        <v>BMZ</v>
      </c>
      <c r="C656" s="120" t="str">
        <f>IFERROR(__xludf.DUMMYFUNCTION("""COMPUTED_VALUE"""),"Bamu")</f>
        <v>Bamu</v>
      </c>
      <c r="D656" s="120" t="str">
        <f>IFERROR(__xludf.DUMMYFUNCTION("""COMPUTED_VALUE"""),"Papua New Guinea")</f>
        <v>Papua New Guinea</v>
      </c>
      <c r="E656" s="135"/>
      <c r="F656" s="31"/>
    </row>
    <row r="657">
      <c r="A657" s="134" t="str">
        <f>IFERROR(__xludf.DUMMYFUNCTION("""COMPUTED_VALUE"""),"Ban Houei")</f>
        <v>Ban Houei</v>
      </c>
      <c r="B657" s="120" t="str">
        <f>IFERROR(__xludf.DUMMYFUNCTION("""COMPUTED_VALUE"""),"OUI")</f>
        <v>OUI</v>
      </c>
      <c r="C657" s="120" t="str">
        <f>IFERROR(__xludf.DUMMYFUNCTION("""COMPUTED_VALUE"""),"Ban Houei")</f>
        <v>Ban Houei</v>
      </c>
      <c r="D657" s="120" t="str">
        <f>IFERROR(__xludf.DUMMYFUNCTION("""COMPUTED_VALUE"""),"Laos")</f>
        <v>Laos</v>
      </c>
      <c r="E657" s="135"/>
      <c r="F657" s="31"/>
    </row>
    <row r="658">
      <c r="A658" s="134" t="str">
        <f>IFERROR(__xludf.DUMMYFUNCTION("""COMPUTED_VALUE"""),"Ban Mak Khaen")</f>
        <v>Ban Mak Khaen</v>
      </c>
      <c r="B658" s="120" t="str">
        <f>IFERROR(__xludf.DUMMYFUNCTION("""COMPUTED_VALUE"""),"BAO")</f>
        <v>BAO</v>
      </c>
      <c r="C658" s="120" t="str">
        <f>IFERROR(__xludf.DUMMYFUNCTION("""COMPUTED_VALUE"""),"Udorn")</f>
        <v>Udorn</v>
      </c>
      <c r="D658" s="120" t="str">
        <f>IFERROR(__xludf.DUMMYFUNCTION("""COMPUTED_VALUE"""),"Thailand")</f>
        <v>Thailand</v>
      </c>
      <c r="E658" s="135"/>
      <c r="F658" s="31"/>
    </row>
    <row r="659">
      <c r="A659" s="134" t="str">
        <f>IFERROR(__xludf.DUMMYFUNCTION("""COMPUTED_VALUE"""),"Banaina")</f>
        <v>Banaina</v>
      </c>
      <c r="B659" s="120" t="str">
        <f>IFERROR(__xludf.DUMMYFUNCTION("""COMPUTED_VALUE"""),"NAF")</f>
        <v>NAF</v>
      </c>
      <c r="C659" s="120" t="str">
        <f>IFERROR(__xludf.DUMMYFUNCTION("""COMPUTED_VALUE"""),"Banaina")</f>
        <v>Banaina</v>
      </c>
      <c r="D659" s="120" t="str">
        <f>IFERROR(__xludf.DUMMYFUNCTION("""COMPUTED_VALUE"""),"Indonesia")</f>
        <v>Indonesia</v>
      </c>
      <c r="E659" s="135"/>
      <c r="F659" s="31"/>
    </row>
    <row r="660">
      <c r="A660" s="134" t="str">
        <f>IFERROR(__xludf.DUMMYFUNCTION("""COMPUTED_VALUE"""),"Banda Aceh")</f>
        <v>Banda Aceh</v>
      </c>
      <c r="B660" s="120" t="str">
        <f>IFERROR(__xludf.DUMMYFUNCTION("""COMPUTED_VALUE"""),"BTJ")</f>
        <v>BTJ</v>
      </c>
      <c r="C660" s="120" t="str">
        <f>IFERROR(__xludf.DUMMYFUNCTION("""COMPUTED_VALUE"""),"Blang Bintang")</f>
        <v>Blang Bintang</v>
      </c>
      <c r="D660" s="120" t="str">
        <f>IFERROR(__xludf.DUMMYFUNCTION("""COMPUTED_VALUE"""),"Indonesia")</f>
        <v>Indonesia</v>
      </c>
      <c r="E660" s="135"/>
      <c r="F660" s="31"/>
    </row>
    <row r="661">
      <c r="A661" s="134" t="str">
        <f>IFERROR(__xludf.DUMMYFUNCTION("""COMPUTED_VALUE"""),"Bandanaira")</f>
        <v>Bandanaira</v>
      </c>
      <c r="B661" s="120" t="str">
        <f>IFERROR(__xludf.DUMMYFUNCTION("""COMPUTED_VALUE"""),"NDA")</f>
        <v>NDA</v>
      </c>
      <c r="C661" s="120" t="str">
        <f>IFERROR(__xludf.DUMMYFUNCTION("""COMPUTED_VALUE"""),"Bandanaira")</f>
        <v>Bandanaira</v>
      </c>
      <c r="D661" s="120" t="str">
        <f>IFERROR(__xludf.DUMMYFUNCTION("""COMPUTED_VALUE"""),"Indonesia")</f>
        <v>Indonesia</v>
      </c>
      <c r="E661" s="135"/>
      <c r="F661" s="31"/>
    </row>
    <row r="662">
      <c r="A662" s="134" t="str">
        <f>IFERROR(__xludf.DUMMYFUNCTION("""COMPUTED_VALUE"""),"Bandar Abbas")</f>
        <v>Bandar Abbas</v>
      </c>
      <c r="B662" s="120" t="str">
        <f>IFERROR(__xludf.DUMMYFUNCTION("""COMPUTED_VALUE"""),"BND")</f>
        <v>BND</v>
      </c>
      <c r="C662" s="120" t="str">
        <f>IFERROR(__xludf.DUMMYFUNCTION("""COMPUTED_VALUE"""),"Bandar Abbas")</f>
        <v>Bandar Abbas</v>
      </c>
      <c r="D662" s="120" t="str">
        <f>IFERROR(__xludf.DUMMYFUNCTION("""COMPUTED_VALUE"""),"Iran")</f>
        <v>Iran</v>
      </c>
      <c r="E662" s="135"/>
      <c r="F662" s="31"/>
    </row>
    <row r="663">
      <c r="A663" s="134" t="str">
        <f>IFERROR(__xludf.DUMMYFUNCTION("""COMPUTED_VALUE"""),"Bandar Lampung")</f>
        <v>Bandar Lampung</v>
      </c>
      <c r="B663" s="120" t="str">
        <f>IFERROR(__xludf.DUMMYFUNCTION("""COMPUTED_VALUE"""),"TKG")</f>
        <v>TKG</v>
      </c>
      <c r="C663" s="120" t="str">
        <f>IFERROR(__xludf.DUMMYFUNCTION("""COMPUTED_VALUE"""),"Branti")</f>
        <v>Branti</v>
      </c>
      <c r="D663" s="120" t="str">
        <f>IFERROR(__xludf.DUMMYFUNCTION("""COMPUTED_VALUE"""),"Indonesia")</f>
        <v>Indonesia</v>
      </c>
      <c r="E663" s="135"/>
      <c r="F663" s="31"/>
    </row>
    <row r="664">
      <c r="A664" s="134" t="str">
        <f>IFERROR(__xludf.DUMMYFUNCTION("""COMPUTED_VALUE"""),"Bandar Lengeh")</f>
        <v>Bandar Lengeh</v>
      </c>
      <c r="B664" s="120" t="str">
        <f>IFERROR(__xludf.DUMMYFUNCTION("""COMPUTED_VALUE"""),"BDH")</f>
        <v>BDH</v>
      </c>
      <c r="C664" s="120" t="str">
        <f>IFERROR(__xludf.DUMMYFUNCTION("""COMPUTED_VALUE"""),"Bandar Lengeh")</f>
        <v>Bandar Lengeh</v>
      </c>
      <c r="D664" s="120" t="str">
        <f>IFERROR(__xludf.DUMMYFUNCTION("""COMPUTED_VALUE"""),"Iran")</f>
        <v>Iran</v>
      </c>
      <c r="E664" s="135"/>
      <c r="F664" s="31"/>
    </row>
    <row r="665">
      <c r="A665" s="134" t="str">
        <f>IFERROR(__xludf.DUMMYFUNCTION("""COMPUTED_VALUE"""),"Bandar Mahshahr")</f>
        <v>Bandar Mahshahr</v>
      </c>
      <c r="B665" s="120" t="str">
        <f>IFERROR(__xludf.DUMMYFUNCTION("""COMPUTED_VALUE"""),"MRX")</f>
        <v>MRX</v>
      </c>
      <c r="C665" s="120" t="str">
        <f>IFERROR(__xludf.DUMMYFUNCTION("""COMPUTED_VALUE"""),"Mahshahr")</f>
        <v>Mahshahr</v>
      </c>
      <c r="D665" s="120" t="str">
        <f>IFERROR(__xludf.DUMMYFUNCTION("""COMPUTED_VALUE"""),"Iran")</f>
        <v>Iran</v>
      </c>
      <c r="E665" s="135"/>
      <c r="F665" s="31"/>
    </row>
    <row r="666">
      <c r="A666" s="134" t="str">
        <f>IFERROR(__xludf.DUMMYFUNCTION("""COMPUTED_VALUE"""),"Bandar Seri Begawan")</f>
        <v>Bandar Seri Begawan</v>
      </c>
      <c r="B666" s="120" t="str">
        <f>IFERROR(__xludf.DUMMYFUNCTION("""COMPUTED_VALUE"""),"BWN")</f>
        <v>BWN</v>
      </c>
      <c r="C666" s="120" t="str">
        <f>IFERROR(__xludf.DUMMYFUNCTION("""COMPUTED_VALUE"""),"Brunei International")</f>
        <v>Brunei International</v>
      </c>
      <c r="D666" s="120" t="str">
        <f>IFERROR(__xludf.DUMMYFUNCTION("""COMPUTED_VALUE"""),"Brunei Darussalam")</f>
        <v>Brunei Darussalam</v>
      </c>
      <c r="E666" s="135"/>
      <c r="F666" s="31"/>
    </row>
    <row r="667">
      <c r="A667" s="134" t="str">
        <f>IFERROR(__xludf.DUMMYFUNCTION("""COMPUTED_VALUE"""),"Bandirma")</f>
        <v>Bandirma</v>
      </c>
      <c r="B667" s="120" t="str">
        <f>IFERROR(__xludf.DUMMYFUNCTION("""COMPUTED_VALUE"""),"BDM")</f>
        <v>BDM</v>
      </c>
      <c r="C667" s="120" t="str">
        <f>IFERROR(__xludf.DUMMYFUNCTION("""COMPUTED_VALUE"""),"Bandirma")</f>
        <v>Bandirma</v>
      </c>
      <c r="D667" s="120" t="str">
        <f>IFERROR(__xludf.DUMMYFUNCTION("""COMPUTED_VALUE"""),"Turkey")</f>
        <v>Turkey</v>
      </c>
      <c r="E667" s="135"/>
      <c r="F667" s="31"/>
    </row>
    <row r="668">
      <c r="A668" s="134" t="str">
        <f>IFERROR(__xludf.DUMMYFUNCTION("""COMPUTED_VALUE"""),"Bandon")</f>
        <v>Bandon</v>
      </c>
      <c r="B668" s="120" t="str">
        <f>IFERROR(__xludf.DUMMYFUNCTION("""COMPUTED_VALUE"""),"BDY")</f>
        <v>BDY</v>
      </c>
      <c r="C668" s="120" t="str">
        <f>IFERROR(__xludf.DUMMYFUNCTION("""COMPUTED_VALUE"""),"State")</f>
        <v>State</v>
      </c>
      <c r="D668" s="120" t="str">
        <f>IFERROR(__xludf.DUMMYFUNCTION("""COMPUTED_VALUE"""),"United States")</f>
        <v>United States</v>
      </c>
      <c r="E668" s="135"/>
      <c r="F668" s="31"/>
    </row>
    <row r="669">
      <c r="A669" s="134" t="str">
        <f>IFERROR(__xludf.DUMMYFUNCTION("""COMPUTED_VALUE"""),"Bandundu")</f>
        <v>Bandundu</v>
      </c>
      <c r="B669" s="120" t="str">
        <f>IFERROR(__xludf.DUMMYFUNCTION("""COMPUTED_VALUE"""),"FDU")</f>
        <v>FDU</v>
      </c>
      <c r="C669" s="120" t="str">
        <f>IFERROR(__xludf.DUMMYFUNCTION("""COMPUTED_VALUE"""),"Bandundu")</f>
        <v>Bandundu</v>
      </c>
      <c r="D669" s="120" t="str">
        <f>IFERROR(__xludf.DUMMYFUNCTION("""COMPUTED_VALUE"""),"Zaire")</f>
        <v>Zaire</v>
      </c>
      <c r="E669" s="135"/>
      <c r="F669" s="31"/>
    </row>
    <row r="670">
      <c r="A670" s="134" t="str">
        <f>IFERROR(__xludf.DUMMYFUNCTION("""COMPUTED_VALUE"""),"Bandung")</f>
        <v>Bandung</v>
      </c>
      <c r="B670" s="120" t="str">
        <f>IFERROR(__xludf.DUMMYFUNCTION("""COMPUTED_VALUE"""),"BDO")</f>
        <v>BDO</v>
      </c>
      <c r="C670" s="120" t="str">
        <f>IFERROR(__xludf.DUMMYFUNCTION("""COMPUTED_VALUE"""),"Husein Sastranegara")</f>
        <v>Husein Sastranegara</v>
      </c>
      <c r="D670" s="120" t="str">
        <f>IFERROR(__xludf.DUMMYFUNCTION("""COMPUTED_VALUE"""),"Indonesia")</f>
        <v>Indonesia</v>
      </c>
      <c r="E670" s="135"/>
      <c r="F670" s="31"/>
    </row>
    <row r="671">
      <c r="A671" s="134" t="str">
        <f>IFERROR(__xludf.DUMMYFUNCTION("""COMPUTED_VALUE"""),"Banff")</f>
        <v>Banff</v>
      </c>
      <c r="B671" s="120" t="str">
        <f>IFERROR(__xludf.DUMMYFUNCTION("""COMPUTED_VALUE"""),"YBA")</f>
        <v>YBA</v>
      </c>
      <c r="C671" s="120" t="str">
        <f>IFERROR(__xludf.DUMMYFUNCTION("""COMPUTED_VALUE"""),"Banff")</f>
        <v>Banff</v>
      </c>
      <c r="D671" s="120" t="str">
        <f>IFERROR(__xludf.DUMMYFUNCTION("""COMPUTED_VALUE"""),"Canada")</f>
        <v>Canada</v>
      </c>
      <c r="E671" s="135"/>
      <c r="F671" s="31"/>
    </row>
    <row r="672">
      <c r="A672" s="134" t="str">
        <f>IFERROR(__xludf.DUMMYFUNCTION("""COMPUTED_VALUE"""),"Banfora")</f>
        <v>Banfora</v>
      </c>
      <c r="B672" s="120" t="str">
        <f>IFERROR(__xludf.DUMMYFUNCTION("""COMPUTED_VALUE"""),"BNR")</f>
        <v>BNR</v>
      </c>
      <c r="C672" s="120" t="str">
        <f>IFERROR(__xludf.DUMMYFUNCTION("""COMPUTED_VALUE"""),"Banfora")</f>
        <v>Banfora</v>
      </c>
      <c r="D672" s="120" t="str">
        <f>IFERROR(__xludf.DUMMYFUNCTION("""COMPUTED_VALUE"""),"Burkina Faso")</f>
        <v>Burkina Faso</v>
      </c>
      <c r="E672" s="135"/>
      <c r="F672" s="31"/>
    </row>
    <row r="673">
      <c r="A673" s="134" t="str">
        <f>IFERROR(__xludf.DUMMYFUNCTION("""COMPUTED_VALUE"""),"Bangalore")</f>
        <v>Bangalore</v>
      </c>
      <c r="B673" s="120" t="str">
        <f>IFERROR(__xludf.DUMMYFUNCTION("""COMPUTED_VALUE"""),"BLR")</f>
        <v>BLR</v>
      </c>
      <c r="C673" s="120" t="str">
        <f>IFERROR(__xludf.DUMMYFUNCTION("""COMPUTED_VALUE"""),"Hal")</f>
        <v>Hal</v>
      </c>
      <c r="D673" s="120" t="str">
        <f>IFERROR(__xludf.DUMMYFUNCTION("""COMPUTED_VALUE"""),"India")</f>
        <v>India</v>
      </c>
      <c r="E673" s="135"/>
      <c r="F673" s="31"/>
    </row>
    <row r="674">
      <c r="A674" s="134" t="str">
        <f>IFERROR(__xludf.DUMMYFUNCTION("""COMPUTED_VALUE"""),"Bangassou")</f>
        <v>Bangassou</v>
      </c>
      <c r="B674" s="120" t="str">
        <f>IFERROR(__xludf.DUMMYFUNCTION("""COMPUTED_VALUE"""),"BGU")</f>
        <v>BGU</v>
      </c>
      <c r="C674" s="120" t="str">
        <f>IFERROR(__xludf.DUMMYFUNCTION("""COMPUTED_VALUE"""),"Bangassou")</f>
        <v>Bangassou</v>
      </c>
      <c r="D674" s="120" t="str">
        <f>IFERROR(__xludf.DUMMYFUNCTION("""COMPUTED_VALUE"""),"Central African Republic")</f>
        <v>Central African Republic</v>
      </c>
      <c r="E674" s="135"/>
      <c r="F674" s="31"/>
    </row>
    <row r="675">
      <c r="A675" s="134" t="str">
        <f>IFERROR(__xludf.DUMMYFUNCTION("""COMPUTED_VALUE"""),"Bangda")</f>
        <v>Bangda</v>
      </c>
      <c r="B675" s="120" t="str">
        <f>IFERROR(__xludf.DUMMYFUNCTION("""COMPUTED_VALUE"""),"BPX")</f>
        <v>BPX</v>
      </c>
      <c r="C675" s="120" t="str">
        <f>IFERROR(__xludf.DUMMYFUNCTION("""COMPUTED_VALUE"""),"Bangda")</f>
        <v>Bangda</v>
      </c>
      <c r="D675" s="120" t="str">
        <f>IFERROR(__xludf.DUMMYFUNCTION("""COMPUTED_VALUE"""),"China")</f>
        <v>China</v>
      </c>
      <c r="E675" s="135"/>
      <c r="F675" s="31"/>
    </row>
    <row r="676">
      <c r="A676" s="134" t="str">
        <f>IFERROR(__xludf.DUMMYFUNCTION("""COMPUTED_VALUE"""),"Bangkok")</f>
        <v>Bangkok</v>
      </c>
      <c r="B676" s="120" t="str">
        <f>IFERROR(__xludf.DUMMYFUNCTION("""COMPUTED_VALUE"""),"BKK")</f>
        <v>BKK</v>
      </c>
      <c r="C676" s="120" t="str">
        <f>IFERROR(__xludf.DUMMYFUNCTION("""COMPUTED_VALUE"""),"International")</f>
        <v>International</v>
      </c>
      <c r="D676" s="120" t="str">
        <f>IFERROR(__xludf.DUMMYFUNCTION("""COMPUTED_VALUE"""),"Thailand")</f>
        <v>Thailand</v>
      </c>
      <c r="E676" s="135"/>
      <c r="F676" s="31"/>
    </row>
    <row r="677">
      <c r="A677" s="134" t="str">
        <f>IFERROR(__xludf.DUMMYFUNCTION("""COMPUTED_VALUE"""),"Bangor")</f>
        <v>Bangor</v>
      </c>
      <c r="B677" s="120" t="str">
        <f>IFERROR(__xludf.DUMMYFUNCTION("""COMPUTED_VALUE"""),"BGR")</f>
        <v>BGR</v>
      </c>
      <c r="C677" s="120" t="str">
        <f>IFERROR(__xludf.DUMMYFUNCTION("""COMPUTED_VALUE"""),"International")</f>
        <v>International</v>
      </c>
      <c r="D677" s="120" t="str">
        <f>IFERROR(__xludf.DUMMYFUNCTION("""COMPUTED_VALUE"""),"United States")</f>
        <v>United States</v>
      </c>
      <c r="E677" s="135"/>
      <c r="F677" s="31"/>
    </row>
    <row r="678">
      <c r="A678" s="134" t="str">
        <f>IFERROR(__xludf.DUMMYFUNCTION("""COMPUTED_VALUE"""),"Bangui")</f>
        <v>Bangui</v>
      </c>
      <c r="B678" s="120" t="str">
        <f>IFERROR(__xludf.DUMMYFUNCTION("""COMPUTED_VALUE"""),"BGF")</f>
        <v>BGF</v>
      </c>
      <c r="C678" s="120" t="str">
        <f>IFERROR(__xludf.DUMMYFUNCTION("""COMPUTED_VALUE"""),"Bangui")</f>
        <v>Bangui</v>
      </c>
      <c r="D678" s="120" t="str">
        <f>IFERROR(__xludf.DUMMYFUNCTION("""COMPUTED_VALUE"""),"Central African Republic")</f>
        <v>Central African Republic</v>
      </c>
      <c r="E678" s="135"/>
      <c r="F678" s="31"/>
    </row>
    <row r="679">
      <c r="A679" s="134" t="str">
        <f>IFERROR(__xludf.DUMMYFUNCTION("""COMPUTED_VALUE"""),"Baniyala")</f>
        <v>Baniyala</v>
      </c>
      <c r="B679" s="120" t="str">
        <f>IFERROR(__xludf.DUMMYFUNCTION("""COMPUTED_VALUE"""),"BYX")</f>
        <v>BYX</v>
      </c>
      <c r="C679" s="120" t="str">
        <f>IFERROR(__xludf.DUMMYFUNCTION("""COMPUTED_VALUE"""),"Baniyala")</f>
        <v>Baniyala</v>
      </c>
      <c r="D679" s="120" t="str">
        <f>IFERROR(__xludf.DUMMYFUNCTION("""COMPUTED_VALUE"""),"Australia")</f>
        <v>Australia</v>
      </c>
      <c r="E679" s="135"/>
      <c r="F679" s="31"/>
    </row>
    <row r="680">
      <c r="A680" s="134" t="str">
        <f>IFERROR(__xludf.DUMMYFUNCTION("""COMPUTED_VALUE"""),"Banja Luka")</f>
        <v>Banja Luka</v>
      </c>
      <c r="B680" s="120" t="str">
        <f>IFERROR(__xludf.DUMMYFUNCTION("""COMPUTED_VALUE"""),"BNX")</f>
        <v>BNX</v>
      </c>
      <c r="C680" s="120" t="str">
        <f>IFERROR(__xludf.DUMMYFUNCTION("""COMPUTED_VALUE"""),"Banja Luka")</f>
        <v>Banja Luka</v>
      </c>
      <c r="D680" s="120" t="str">
        <f>IFERROR(__xludf.DUMMYFUNCTION("""COMPUTED_VALUE"""),"Bosnia And Herzegovina")</f>
        <v>Bosnia And Herzegovina</v>
      </c>
      <c r="E680" s="135"/>
      <c r="F680" s="31"/>
    </row>
    <row r="681">
      <c r="A681" s="134" t="str">
        <f>IFERROR(__xludf.DUMMYFUNCTION("""COMPUTED_VALUE"""),"Banjarmasin")</f>
        <v>Banjarmasin</v>
      </c>
      <c r="B681" s="120" t="str">
        <f>IFERROR(__xludf.DUMMYFUNCTION("""COMPUTED_VALUE"""),"BDJ")</f>
        <v>BDJ</v>
      </c>
      <c r="C681" s="120" t="str">
        <f>IFERROR(__xludf.DUMMYFUNCTION("""COMPUTED_VALUE"""),"Sjamsudin Noor")</f>
        <v>Sjamsudin Noor</v>
      </c>
      <c r="D681" s="120" t="str">
        <f>IFERROR(__xludf.DUMMYFUNCTION("""COMPUTED_VALUE"""),"Indonesia")</f>
        <v>Indonesia</v>
      </c>
      <c r="E681" s="135"/>
      <c r="F681" s="31"/>
    </row>
    <row r="682">
      <c r="A682" s="134" t="str">
        <f>IFERROR(__xludf.DUMMYFUNCTION("""COMPUTED_VALUE"""),"Banjul")</f>
        <v>Banjul</v>
      </c>
      <c r="B682" s="120" t="str">
        <f>IFERROR(__xludf.DUMMYFUNCTION("""COMPUTED_VALUE"""),"BJL")</f>
        <v>BJL</v>
      </c>
      <c r="C682" s="120" t="str">
        <f>IFERROR(__xludf.DUMMYFUNCTION("""COMPUTED_VALUE"""),"Yundum International")</f>
        <v>Yundum International</v>
      </c>
      <c r="D682" s="120" t="str">
        <f>IFERROR(__xludf.DUMMYFUNCTION("""COMPUTED_VALUE"""),"Gambia")</f>
        <v>Gambia</v>
      </c>
      <c r="E682" s="135"/>
      <c r="F682" s="31"/>
    </row>
    <row r="683">
      <c r="A683" s="134" t="str">
        <f>IFERROR(__xludf.DUMMYFUNCTION("""COMPUTED_VALUE"""),"Sydney")</f>
        <v>Sydney</v>
      </c>
      <c r="B683" s="120" t="str">
        <f>IFERROR(__xludf.DUMMYFUNCTION("""COMPUTED_VALUE"""),"BWU")</f>
        <v>BWU</v>
      </c>
      <c r="C683" s="120" t="str">
        <f>IFERROR(__xludf.DUMMYFUNCTION("""COMPUTED_VALUE"""),"Sydney Bankstown")</f>
        <v>Sydney Bankstown</v>
      </c>
      <c r="D683" s="120" t="str">
        <f>IFERROR(__xludf.DUMMYFUNCTION("""COMPUTED_VALUE"""),"Australia")</f>
        <v>Australia</v>
      </c>
      <c r="E683" s="135"/>
      <c r="F683" s="31"/>
    </row>
    <row r="684">
      <c r="A684" s="134" t="str">
        <f>IFERROR(__xludf.DUMMYFUNCTION("""COMPUTED_VALUE"""),"Banmethuot")</f>
        <v>Banmethuot</v>
      </c>
      <c r="B684" s="120" t="str">
        <f>IFERROR(__xludf.DUMMYFUNCTION("""COMPUTED_VALUE"""),"BMV")</f>
        <v>BMV</v>
      </c>
      <c r="C684" s="120" t="str">
        <f>IFERROR(__xludf.DUMMYFUNCTION("""COMPUTED_VALUE"""),"Phung-Duc")</f>
        <v>Phung-Duc</v>
      </c>
      <c r="D684" s="120" t="str">
        <f>IFERROR(__xludf.DUMMYFUNCTION("""COMPUTED_VALUE"""),"Vietnam")</f>
        <v>Vietnam</v>
      </c>
      <c r="E684" s="135"/>
      <c r="F684" s="31"/>
    </row>
    <row r="685">
      <c r="A685" s="134" t="str">
        <f>IFERROR(__xludf.DUMMYFUNCTION("""COMPUTED_VALUE"""),"Banning")</f>
        <v>Banning</v>
      </c>
      <c r="B685" s="120" t="str">
        <f>IFERROR(__xludf.DUMMYFUNCTION("""COMPUTED_VALUE"""),"BNG")</f>
        <v>BNG</v>
      </c>
      <c r="C685" s="120" t="str">
        <f>IFERROR(__xludf.DUMMYFUNCTION("""COMPUTED_VALUE"""),"Banning")</f>
        <v>Banning</v>
      </c>
      <c r="D685" s="120" t="str">
        <f>IFERROR(__xludf.DUMMYFUNCTION("""COMPUTED_VALUE"""),"United States")</f>
        <v>United States</v>
      </c>
      <c r="E685" s="135"/>
      <c r="F685" s="31"/>
    </row>
    <row r="686">
      <c r="A686" s="134" t="str">
        <f>IFERROR(__xludf.DUMMYFUNCTION("""COMPUTED_VALUE"""),"Bannu")</f>
        <v>Bannu</v>
      </c>
      <c r="B686" s="120" t="str">
        <f>IFERROR(__xludf.DUMMYFUNCTION("""COMPUTED_VALUE"""),"BNP")</f>
        <v>BNP</v>
      </c>
      <c r="C686" s="120" t="str">
        <f>IFERROR(__xludf.DUMMYFUNCTION("""COMPUTED_VALUE"""),"Bannu")</f>
        <v>Bannu</v>
      </c>
      <c r="D686" s="120" t="str">
        <f>IFERROR(__xludf.DUMMYFUNCTION("""COMPUTED_VALUE"""),"Pakistan")</f>
        <v>Pakistan</v>
      </c>
      <c r="E686" s="135"/>
      <c r="F686" s="31"/>
    </row>
    <row r="687">
      <c r="A687" s="134" t="str">
        <f>IFERROR(__xludf.DUMMYFUNCTION("""COMPUTED_VALUE"""),"Bantry")</f>
        <v>Bantry</v>
      </c>
      <c r="B687" s="120" t="str">
        <f>IFERROR(__xludf.DUMMYFUNCTION("""COMPUTED_VALUE"""),"BYT")</f>
        <v>BYT</v>
      </c>
      <c r="C687" s="120" t="str">
        <f>IFERROR(__xludf.DUMMYFUNCTION("""COMPUTED_VALUE"""),"Bantry")</f>
        <v>Bantry</v>
      </c>
      <c r="D687" s="120" t="str">
        <f>IFERROR(__xludf.DUMMYFUNCTION("""COMPUTED_VALUE"""),"Ireland")</f>
        <v>Ireland</v>
      </c>
      <c r="E687" s="135"/>
      <c r="F687" s="31"/>
    </row>
    <row r="688">
      <c r="A688" s="134" t="str">
        <f>IFERROR(__xludf.DUMMYFUNCTION("""COMPUTED_VALUE"""),"Banz")</f>
        <v>Banz</v>
      </c>
      <c r="B688" s="120" t="str">
        <f>IFERROR(__xludf.DUMMYFUNCTION("""COMPUTED_VALUE"""),"BNZ")</f>
        <v>BNZ</v>
      </c>
      <c r="C688" s="120" t="str">
        <f>IFERROR(__xludf.DUMMYFUNCTION("""COMPUTED_VALUE"""),"Banz")</f>
        <v>Banz</v>
      </c>
      <c r="D688" s="120" t="str">
        <f>IFERROR(__xludf.DUMMYFUNCTION("""COMPUTED_VALUE"""),"Papua New Guinea")</f>
        <v>Papua New Guinea</v>
      </c>
      <c r="E688" s="135"/>
      <c r="F688" s="31"/>
    </row>
    <row r="689">
      <c r="A689" s="134" t="str">
        <f>IFERROR(__xludf.DUMMYFUNCTION("""COMPUTED_VALUE"""),"Baoshan")</f>
        <v>Baoshan</v>
      </c>
      <c r="B689" s="120" t="str">
        <f>IFERROR(__xludf.DUMMYFUNCTION("""COMPUTED_VALUE"""),"BSD")</f>
        <v>BSD</v>
      </c>
      <c r="C689" s="120" t="str">
        <f>IFERROR(__xludf.DUMMYFUNCTION("""COMPUTED_VALUE"""),"Baoshan")</f>
        <v>Baoshan</v>
      </c>
      <c r="D689" s="120" t="str">
        <f>IFERROR(__xludf.DUMMYFUNCTION("""COMPUTED_VALUE"""),"China")</f>
        <v>China</v>
      </c>
      <c r="E689" s="135"/>
      <c r="F689" s="31"/>
    </row>
    <row r="690">
      <c r="A690" s="134" t="str">
        <f>IFERROR(__xludf.DUMMYFUNCTION("""COMPUTED_VALUE"""),"Baotou")</f>
        <v>Baotou</v>
      </c>
      <c r="B690" s="120" t="str">
        <f>IFERROR(__xludf.DUMMYFUNCTION("""COMPUTED_VALUE"""),"BAV")</f>
        <v>BAV</v>
      </c>
      <c r="C690" s="120" t="str">
        <f>IFERROR(__xludf.DUMMYFUNCTION("""COMPUTED_VALUE"""),"Baotou")</f>
        <v>Baotou</v>
      </c>
      <c r="D690" s="120" t="str">
        <f>IFERROR(__xludf.DUMMYFUNCTION("""COMPUTED_VALUE"""),"China")</f>
        <v>China</v>
      </c>
      <c r="E690" s="135"/>
      <c r="F690" s="31"/>
    </row>
    <row r="691">
      <c r="A691" s="134" t="str">
        <f>IFERROR(__xludf.DUMMYFUNCTION("""COMPUTED_VALUE"""),"Bapi")</f>
        <v>Bapi</v>
      </c>
      <c r="B691" s="120" t="str">
        <f>IFERROR(__xludf.DUMMYFUNCTION("""COMPUTED_VALUE"""),"BPD")</f>
        <v>BPD</v>
      </c>
      <c r="C691" s="120" t="str">
        <f>IFERROR(__xludf.DUMMYFUNCTION("""COMPUTED_VALUE"""),"Bapi")</f>
        <v>Bapi</v>
      </c>
      <c r="D691" s="120" t="str">
        <f>IFERROR(__xludf.DUMMYFUNCTION("""COMPUTED_VALUE"""),"Papua New Guinea")</f>
        <v>Papua New Guinea</v>
      </c>
      <c r="E691" s="135"/>
      <c r="F691" s="31"/>
    </row>
    <row r="692">
      <c r="A692" s="134" t="str">
        <f>IFERROR(__xludf.DUMMYFUNCTION("""COMPUTED_VALUE"""),"Baqubah")</f>
        <v>Baqubah</v>
      </c>
      <c r="B692" s="120" t="str">
        <f>IFERROR(__xludf.DUMMYFUNCTION("""COMPUTED_VALUE"""),"XQV")</f>
        <v>XQV</v>
      </c>
      <c r="C692" s="120" t="str">
        <f>IFERROR(__xludf.DUMMYFUNCTION("""COMPUTED_VALUE"""),"Baqubah")</f>
        <v>Baqubah</v>
      </c>
      <c r="D692" s="120" t="str">
        <f>IFERROR(__xludf.DUMMYFUNCTION("""COMPUTED_VALUE"""),"Iraq")</f>
        <v>Iraq</v>
      </c>
      <c r="E692" s="135"/>
      <c r="F692" s="31"/>
    </row>
    <row r="693">
      <c r="A693" s="134" t="str">
        <f>IFERROR(__xludf.DUMMYFUNCTION("""COMPUTED_VALUE"""),"Bar Harbor")</f>
        <v>Bar Harbor</v>
      </c>
      <c r="B693" s="120" t="str">
        <f>IFERROR(__xludf.DUMMYFUNCTION("""COMPUTED_VALUE"""),"BHB")</f>
        <v>BHB</v>
      </c>
      <c r="C693" s="120" t="str">
        <f>IFERROR(__xludf.DUMMYFUNCTION("""COMPUTED_VALUE"""),"Bar Harbor")</f>
        <v>Bar Harbor</v>
      </c>
      <c r="D693" s="120" t="str">
        <f>IFERROR(__xludf.DUMMYFUNCTION("""COMPUTED_VALUE"""),"United States")</f>
        <v>United States</v>
      </c>
      <c r="E693" s="135"/>
      <c r="F693" s="31"/>
    </row>
    <row r="694">
      <c r="A694" s="134" t="str">
        <f>IFERROR(__xludf.DUMMYFUNCTION("""COMPUTED_VALUE"""),"Baracoa")</f>
        <v>Baracoa</v>
      </c>
      <c r="B694" s="120" t="str">
        <f>IFERROR(__xludf.DUMMYFUNCTION("""COMPUTED_VALUE"""),"BCA")</f>
        <v>BCA</v>
      </c>
      <c r="C694" s="120" t="str">
        <f>IFERROR(__xludf.DUMMYFUNCTION("""COMPUTED_VALUE"""),"Baracoa")</f>
        <v>Baracoa</v>
      </c>
      <c r="D694" s="120" t="str">
        <f>IFERROR(__xludf.DUMMYFUNCTION("""COMPUTED_VALUE"""),"Cuba")</f>
        <v>Cuba</v>
      </c>
      <c r="E694" s="135"/>
      <c r="F694" s="31"/>
    </row>
    <row r="695">
      <c r="A695" s="134" t="str">
        <f>IFERROR(__xludf.DUMMYFUNCTION("""COMPUTED_VALUE"""),"Barahona")</f>
        <v>Barahona</v>
      </c>
      <c r="B695" s="120" t="str">
        <f>IFERROR(__xludf.DUMMYFUNCTION("""COMPUTED_VALUE"""),"BRX")</f>
        <v>BRX</v>
      </c>
      <c r="C695" s="120" t="str">
        <f>IFERROR(__xludf.DUMMYFUNCTION("""COMPUTED_VALUE"""),"Barahona")</f>
        <v>Barahona</v>
      </c>
      <c r="D695" s="120" t="str">
        <f>IFERROR(__xludf.DUMMYFUNCTION("""COMPUTED_VALUE"""),"Dominican Republic")</f>
        <v>Dominican Republic</v>
      </c>
      <c r="E695" s="135"/>
      <c r="F695" s="31"/>
    </row>
    <row r="696">
      <c r="A696" s="134" t="str">
        <f>IFERROR(__xludf.DUMMYFUNCTION("""COMPUTED_VALUE"""),"Barakoma")</f>
        <v>Barakoma</v>
      </c>
      <c r="B696" s="120" t="str">
        <f>IFERROR(__xludf.DUMMYFUNCTION("""COMPUTED_VALUE"""),"VEV")</f>
        <v>VEV</v>
      </c>
      <c r="C696" s="120" t="str">
        <f>IFERROR(__xludf.DUMMYFUNCTION("""COMPUTED_VALUE"""),"Barakoma")</f>
        <v>Barakoma</v>
      </c>
      <c r="D696" s="120" t="str">
        <f>IFERROR(__xludf.DUMMYFUNCTION("""COMPUTED_VALUE"""),"Solomon Islands")</f>
        <v>Solomon Islands</v>
      </c>
      <c r="E696" s="135"/>
      <c r="F696" s="31"/>
    </row>
    <row r="697">
      <c r="A697" s="134" t="str">
        <f>IFERROR(__xludf.DUMMYFUNCTION("""COMPUTED_VALUE"""),"Baramita")</f>
        <v>Baramita</v>
      </c>
      <c r="B697" s="120" t="str">
        <f>IFERROR(__xludf.DUMMYFUNCTION("""COMPUTED_VALUE"""),"BMJ")</f>
        <v>BMJ</v>
      </c>
      <c r="C697" s="120" t="str">
        <f>IFERROR(__xludf.DUMMYFUNCTION("""COMPUTED_VALUE"""),"Baramita")</f>
        <v>Baramita</v>
      </c>
      <c r="D697" s="120" t="str">
        <f>IFERROR(__xludf.DUMMYFUNCTION("""COMPUTED_VALUE"""),"Guyana")</f>
        <v>Guyana</v>
      </c>
      <c r="E697" s="135"/>
      <c r="F697" s="31"/>
    </row>
    <row r="698">
      <c r="A698" s="134" t="str">
        <f>IFERROR(__xludf.DUMMYFUNCTION("""COMPUTED_VALUE"""),"Baranof")</f>
        <v>Baranof</v>
      </c>
      <c r="B698" s="120" t="str">
        <f>IFERROR(__xludf.DUMMYFUNCTION("""COMPUTED_VALUE"""),"BNF")</f>
        <v>BNF</v>
      </c>
      <c r="C698" s="120" t="str">
        <f>IFERROR(__xludf.DUMMYFUNCTION("""COMPUTED_VALUE"""),"Warm Spring Bay SPB")</f>
        <v>Warm Spring Bay SPB</v>
      </c>
      <c r="D698" s="120" t="str">
        <f>IFERROR(__xludf.DUMMYFUNCTION("""COMPUTED_VALUE"""),"United States")</f>
        <v>United States</v>
      </c>
      <c r="E698" s="135"/>
      <c r="F698" s="31"/>
    </row>
    <row r="699">
      <c r="A699" s="134" t="str">
        <f>IFERROR(__xludf.DUMMYFUNCTION("""COMPUTED_VALUE"""),"Barbelos")</f>
        <v>Barbelos</v>
      </c>
      <c r="B699" s="120" t="str">
        <f>IFERROR(__xludf.DUMMYFUNCTION("""COMPUTED_VALUE"""),"BAZ")</f>
        <v>BAZ</v>
      </c>
      <c r="C699" s="120" t="str">
        <f>IFERROR(__xludf.DUMMYFUNCTION("""COMPUTED_VALUE"""),"Barbelos")</f>
        <v>Barbelos</v>
      </c>
      <c r="D699" s="120" t="str">
        <f>IFERROR(__xludf.DUMMYFUNCTION("""COMPUTED_VALUE"""),"Brazil")</f>
        <v>Brazil</v>
      </c>
      <c r="E699" s="135"/>
      <c r="F699" s="31"/>
    </row>
    <row r="700">
      <c r="A700" s="134" t="str">
        <f>IFERROR(__xludf.DUMMYFUNCTION("""COMPUTED_VALUE"""),"Barbers Point")</f>
        <v>Barbers Point</v>
      </c>
      <c r="B700" s="120" t="str">
        <f>IFERROR(__xludf.DUMMYFUNCTION("""COMPUTED_VALUE"""),"NAX")</f>
        <v>NAX</v>
      </c>
      <c r="C700" s="120" t="str">
        <f>IFERROR(__xludf.DUMMYFUNCTION("""COMPUTED_VALUE"""),"Barbers Point")</f>
        <v>Barbers Point</v>
      </c>
      <c r="D700" s="120" t="str">
        <f>IFERROR(__xludf.DUMMYFUNCTION("""COMPUTED_VALUE"""),"United States")</f>
        <v>United States</v>
      </c>
      <c r="E700" s="135"/>
      <c r="F700" s="31"/>
    </row>
    <row r="701">
      <c r="A701" s="134" t="str">
        <f>IFERROR(__xludf.DUMMYFUNCTION("""COMPUTED_VALUE"""),"Barbuda")</f>
        <v>Barbuda</v>
      </c>
      <c r="B701" s="120" t="str">
        <f>IFERROR(__xludf.DUMMYFUNCTION("""COMPUTED_VALUE"""),"BBQ")</f>
        <v>BBQ</v>
      </c>
      <c r="C701" s="120" t="str">
        <f>IFERROR(__xludf.DUMMYFUNCTION("""COMPUTED_VALUE"""),"Barbuda")</f>
        <v>Barbuda</v>
      </c>
      <c r="D701" s="120" t="str">
        <f>IFERROR(__xludf.DUMMYFUNCTION("""COMPUTED_VALUE"""),"Antigua and Barbuda")</f>
        <v>Antigua and Barbuda</v>
      </c>
      <c r="E701" s="135"/>
      <c r="F701" s="31"/>
    </row>
    <row r="702">
      <c r="A702" s="134" t="str">
        <f>IFERROR(__xludf.DUMMYFUNCTION("""COMPUTED_VALUE"""),"Barcaldine")</f>
        <v>Barcaldine</v>
      </c>
      <c r="B702" s="120" t="str">
        <f>IFERROR(__xludf.DUMMYFUNCTION("""COMPUTED_VALUE"""),"BCI")</f>
        <v>BCI</v>
      </c>
      <c r="C702" s="120" t="str">
        <f>IFERROR(__xludf.DUMMYFUNCTION("""COMPUTED_VALUE"""),"Barcaldine")</f>
        <v>Barcaldine</v>
      </c>
      <c r="D702" s="120" t="str">
        <f>IFERROR(__xludf.DUMMYFUNCTION("""COMPUTED_VALUE"""),"Australia")</f>
        <v>Australia</v>
      </c>
      <c r="E702" s="135"/>
      <c r="F702" s="31"/>
    </row>
    <row r="703">
      <c r="A703" s="134" t="str">
        <f>IFERROR(__xludf.DUMMYFUNCTION("""COMPUTED_VALUE"""),"Barcelona")</f>
        <v>Barcelona</v>
      </c>
      <c r="B703" s="120" t="str">
        <f>IFERROR(__xludf.DUMMYFUNCTION("""COMPUTED_VALUE"""),"BCN")</f>
        <v>BCN</v>
      </c>
      <c r="C703" s="120" t="str">
        <f>IFERROR(__xludf.DUMMYFUNCTION("""COMPUTED_VALUE"""),"El Prat De Llobregat")</f>
        <v>El Prat De Llobregat</v>
      </c>
      <c r="D703" s="120" t="str">
        <f>IFERROR(__xludf.DUMMYFUNCTION("""COMPUTED_VALUE"""),"Spain")</f>
        <v>Spain</v>
      </c>
      <c r="E703" s="135"/>
      <c r="F703" s="31"/>
    </row>
    <row r="704">
      <c r="A704" s="134" t="str">
        <f>IFERROR(__xludf.DUMMYFUNCTION("""COMPUTED_VALUE"""),"Barcelona")</f>
        <v>Barcelona</v>
      </c>
      <c r="B704" s="120" t="str">
        <f>IFERROR(__xludf.DUMMYFUNCTION("""COMPUTED_VALUE"""),"BLA")</f>
        <v>BLA</v>
      </c>
      <c r="C704" s="120" t="str">
        <f>IFERROR(__xludf.DUMMYFUNCTION("""COMPUTED_VALUE"""),"Gen J A Anzoategui")</f>
        <v>Gen J A Anzoategui</v>
      </c>
      <c r="D704" s="120" t="str">
        <f>IFERROR(__xludf.DUMMYFUNCTION("""COMPUTED_VALUE"""),"Venezuela")</f>
        <v>Venezuela</v>
      </c>
      <c r="E704" s="135"/>
      <c r="F704" s="31"/>
    </row>
    <row r="705">
      <c r="A705" s="134" t="str">
        <f>IFERROR(__xludf.DUMMYFUNCTION("""COMPUTED_VALUE"""),"Barcelonnette")</f>
        <v>Barcelonnette</v>
      </c>
      <c r="B705" s="120" t="str">
        <f>IFERROR(__xludf.DUMMYFUNCTION("""COMPUTED_VALUE"""),"BAE")</f>
        <v>BAE</v>
      </c>
      <c r="C705" s="120" t="str">
        <f>IFERROR(__xludf.DUMMYFUNCTION("""COMPUTED_VALUE"""),"Barcelonnette")</f>
        <v>Barcelonnette</v>
      </c>
      <c r="D705" s="120" t="str">
        <f>IFERROR(__xludf.DUMMYFUNCTION("""COMPUTED_VALUE"""),"France")</f>
        <v>France</v>
      </c>
      <c r="E705" s="135"/>
      <c r="F705" s="31"/>
    </row>
    <row r="706">
      <c r="A706" s="134" t="str">
        <f>IFERROR(__xludf.DUMMYFUNCTION("""COMPUTED_VALUE"""),"Bardera")</f>
        <v>Bardera</v>
      </c>
      <c r="B706" s="120" t="str">
        <f>IFERROR(__xludf.DUMMYFUNCTION("""COMPUTED_VALUE"""),"BSY")</f>
        <v>BSY</v>
      </c>
      <c r="C706" s="120" t="str">
        <f>IFERROR(__xludf.DUMMYFUNCTION("""COMPUTED_VALUE"""),"Bardera")</f>
        <v>Bardera</v>
      </c>
      <c r="D706" s="120" t="str">
        <f>IFERROR(__xludf.DUMMYFUNCTION("""COMPUTED_VALUE"""),"Somalia")</f>
        <v>Somalia</v>
      </c>
      <c r="E706" s="135"/>
      <c r="F706" s="31"/>
    </row>
    <row r="707">
      <c r="A707" s="134" t="str">
        <f>IFERROR(__xludf.DUMMYFUNCTION("""COMPUTED_VALUE"""),"Bardstown")</f>
        <v>Bardstown</v>
      </c>
      <c r="B707" s="120" t="str">
        <f>IFERROR(__xludf.DUMMYFUNCTION("""COMPUTED_VALUE"""),"BRY")</f>
        <v>BRY</v>
      </c>
      <c r="C707" s="120" t="str">
        <f>IFERROR(__xludf.DUMMYFUNCTION("""COMPUTED_VALUE"""),"Samuels Field")</f>
        <v>Samuels Field</v>
      </c>
      <c r="D707" s="120" t="str">
        <f>IFERROR(__xludf.DUMMYFUNCTION("""COMPUTED_VALUE"""),"United States")</f>
        <v>United States</v>
      </c>
      <c r="E707" s="135"/>
      <c r="F707" s="31"/>
    </row>
    <row r="708">
      <c r="A708" s="134" t="str">
        <f>IFERROR(__xludf.DUMMYFUNCTION("""COMPUTED_VALUE"""),"Bardufoss")</f>
        <v>Bardufoss</v>
      </c>
      <c r="B708" s="120" t="str">
        <f>IFERROR(__xludf.DUMMYFUNCTION("""COMPUTED_VALUE"""),"BDU")</f>
        <v>BDU</v>
      </c>
      <c r="C708" s="120" t="str">
        <f>IFERROR(__xludf.DUMMYFUNCTION("""COMPUTED_VALUE"""),"Bardufoss")</f>
        <v>Bardufoss</v>
      </c>
      <c r="D708" s="120" t="str">
        <f>IFERROR(__xludf.DUMMYFUNCTION("""COMPUTED_VALUE"""),"Norway")</f>
        <v>Norway</v>
      </c>
      <c r="E708" s="135"/>
      <c r="F708" s="31"/>
    </row>
    <row r="709">
      <c r="A709" s="134" t="str">
        <f>IFERROR(__xludf.DUMMYFUNCTION("""COMPUTED_VALUE"""),"Bareli")</f>
        <v>Bareli</v>
      </c>
      <c r="B709" s="120" t="str">
        <f>IFERROR(__xludf.DUMMYFUNCTION("""COMPUTED_VALUE"""),"BEK")</f>
        <v>BEK</v>
      </c>
      <c r="C709" s="120" t="str">
        <f>IFERROR(__xludf.DUMMYFUNCTION("""COMPUTED_VALUE"""),"Bareli")</f>
        <v>Bareli</v>
      </c>
      <c r="D709" s="120" t="str">
        <f>IFERROR(__xludf.DUMMYFUNCTION("""COMPUTED_VALUE"""),"India")</f>
        <v>India</v>
      </c>
      <c r="E709" s="135"/>
      <c r="F709" s="31"/>
    </row>
    <row r="710">
      <c r="A710" s="134" t="str">
        <f>IFERROR(__xludf.DUMMYFUNCTION("""COMPUTED_VALUE"""),"Bari")</f>
        <v>Bari</v>
      </c>
      <c r="B710" s="120" t="str">
        <f>IFERROR(__xludf.DUMMYFUNCTION("""COMPUTED_VALUE"""),"BRI")</f>
        <v>BRI</v>
      </c>
      <c r="C710" s="120" t="str">
        <f>IFERROR(__xludf.DUMMYFUNCTION("""COMPUTED_VALUE"""),"Palese")</f>
        <v>Palese</v>
      </c>
      <c r="D710" s="120" t="str">
        <f>IFERROR(__xludf.DUMMYFUNCTION("""COMPUTED_VALUE"""),"Italy")</f>
        <v>Italy</v>
      </c>
      <c r="E710" s="135"/>
      <c r="F710" s="31"/>
    </row>
    <row r="711">
      <c r="A711" s="134" t="str">
        <f>IFERROR(__xludf.DUMMYFUNCTION("""COMPUTED_VALUE"""),"Barinas")</f>
        <v>Barinas</v>
      </c>
      <c r="B711" s="120" t="str">
        <f>IFERROR(__xludf.DUMMYFUNCTION("""COMPUTED_VALUE"""),"BNS")</f>
        <v>BNS</v>
      </c>
      <c r="C711" s="120" t="str">
        <f>IFERROR(__xludf.DUMMYFUNCTION("""COMPUTED_VALUE"""),"Barinas")</f>
        <v>Barinas</v>
      </c>
      <c r="D711" s="120" t="str">
        <f>IFERROR(__xludf.DUMMYFUNCTION("""COMPUTED_VALUE"""),"Venezuela")</f>
        <v>Venezuela</v>
      </c>
      <c r="E711" s="135"/>
      <c r="F711" s="31"/>
    </row>
    <row r="712">
      <c r="A712" s="134" t="str">
        <f>IFERROR(__xludf.DUMMYFUNCTION("""COMPUTED_VALUE"""),"Bario")</f>
        <v>Bario</v>
      </c>
      <c r="B712" s="120" t="str">
        <f>IFERROR(__xludf.DUMMYFUNCTION("""COMPUTED_VALUE"""),"BBN")</f>
        <v>BBN</v>
      </c>
      <c r="C712" s="120" t="str">
        <f>IFERROR(__xludf.DUMMYFUNCTION("""COMPUTED_VALUE"""),"Bario")</f>
        <v>Bario</v>
      </c>
      <c r="D712" s="120" t="str">
        <f>IFERROR(__xludf.DUMMYFUNCTION("""COMPUTED_VALUE"""),"Malaysia")</f>
        <v>Malaysia</v>
      </c>
      <c r="E712" s="135"/>
      <c r="F712" s="31"/>
    </row>
    <row r="713">
      <c r="A713" s="134" t="str">
        <f>IFERROR(__xludf.DUMMYFUNCTION("""COMPUTED_VALUE"""),"Barisal")</f>
        <v>Barisal</v>
      </c>
      <c r="B713" s="120" t="str">
        <f>IFERROR(__xludf.DUMMYFUNCTION("""COMPUTED_VALUE"""),"BZL")</f>
        <v>BZL</v>
      </c>
      <c r="C713" s="120" t="str">
        <f>IFERROR(__xludf.DUMMYFUNCTION("""COMPUTED_VALUE"""),"Barisal")</f>
        <v>Barisal</v>
      </c>
      <c r="D713" s="120" t="str">
        <f>IFERROR(__xludf.DUMMYFUNCTION("""COMPUTED_VALUE"""),"Bangladesh")</f>
        <v>Bangladesh</v>
      </c>
      <c r="E713" s="135"/>
      <c r="F713" s="31"/>
    </row>
    <row r="714">
      <c r="A714" s="134" t="str">
        <f>IFERROR(__xludf.DUMMYFUNCTION("""COMPUTED_VALUE"""),"Barkly Downs")</f>
        <v>Barkly Downs</v>
      </c>
      <c r="B714" s="120" t="str">
        <f>IFERROR(__xludf.DUMMYFUNCTION("""COMPUTED_VALUE"""),"BKP")</f>
        <v>BKP</v>
      </c>
      <c r="C714" s="120" t="str">
        <f>IFERROR(__xludf.DUMMYFUNCTION("""COMPUTED_VALUE"""),"Barkly Downs")</f>
        <v>Barkly Downs</v>
      </c>
      <c r="D714" s="120" t="str">
        <f>IFERROR(__xludf.DUMMYFUNCTION("""COMPUTED_VALUE"""),"Australia")</f>
        <v>Australia</v>
      </c>
      <c r="E714" s="135"/>
      <c r="F714" s="31"/>
    </row>
    <row r="715">
      <c r="A715" s="134" t="str">
        <f>IFERROR(__xludf.DUMMYFUNCTION("""COMPUTED_VALUE"""),"Barnaul")</f>
        <v>Barnaul</v>
      </c>
      <c r="B715" s="120" t="str">
        <f>IFERROR(__xludf.DUMMYFUNCTION("""COMPUTED_VALUE"""),"BAX")</f>
        <v>BAX</v>
      </c>
      <c r="C715" s="120" t="str">
        <f>IFERROR(__xludf.DUMMYFUNCTION("""COMPUTED_VALUE"""),"Barnaul")</f>
        <v>Barnaul</v>
      </c>
      <c r="D715" s="120" t="str">
        <f>IFERROR(__xludf.DUMMYFUNCTION("""COMPUTED_VALUE"""),"Russia")</f>
        <v>Russia</v>
      </c>
      <c r="E715" s="135"/>
      <c r="F715" s="31"/>
    </row>
    <row r="716">
      <c r="A716" s="134" t="str">
        <f>IFERROR(__xludf.DUMMYFUNCTION("""COMPUTED_VALUE"""),"Barnwell")</f>
        <v>Barnwell</v>
      </c>
      <c r="B716" s="120" t="str">
        <f>IFERROR(__xludf.DUMMYFUNCTION("""COMPUTED_VALUE"""),"BNL")</f>
        <v>BNL</v>
      </c>
      <c r="C716" s="120" t="str">
        <f>IFERROR(__xludf.DUMMYFUNCTION("""COMPUTED_VALUE"""),"Barnwell County")</f>
        <v>Barnwell County</v>
      </c>
      <c r="D716" s="120" t="str">
        <f>IFERROR(__xludf.DUMMYFUNCTION("""COMPUTED_VALUE"""),"United States")</f>
        <v>United States</v>
      </c>
      <c r="E716" s="135"/>
      <c r="F716" s="31"/>
    </row>
    <row r="717">
      <c r="A717" s="134" t="str">
        <f>IFERROR(__xludf.DUMMYFUNCTION("""COMPUTED_VALUE"""),"Barora")</f>
        <v>Barora</v>
      </c>
      <c r="B717" s="120" t="str">
        <f>IFERROR(__xludf.DUMMYFUNCTION("""COMPUTED_VALUE"""),"RRI")</f>
        <v>RRI</v>
      </c>
      <c r="C717" s="120" t="str">
        <f>IFERROR(__xludf.DUMMYFUNCTION("""COMPUTED_VALUE"""),"Barora")</f>
        <v>Barora</v>
      </c>
      <c r="D717" s="120" t="str">
        <f>IFERROR(__xludf.DUMMYFUNCTION("""COMPUTED_VALUE"""),"Solomon Islands")</f>
        <v>Solomon Islands</v>
      </c>
      <c r="E717" s="135"/>
      <c r="F717" s="31"/>
    </row>
    <row r="718">
      <c r="A718" s="134" t="str">
        <f>IFERROR(__xludf.DUMMYFUNCTION("""COMPUTED_VALUE"""),"Barquisimeto")</f>
        <v>Barquisimeto</v>
      </c>
      <c r="B718" s="120" t="str">
        <f>IFERROR(__xludf.DUMMYFUNCTION("""COMPUTED_VALUE"""),"BRM")</f>
        <v>BRM</v>
      </c>
      <c r="C718" s="120" t="str">
        <f>IFERROR(__xludf.DUMMYFUNCTION("""COMPUTED_VALUE"""),"Barquisimeto")</f>
        <v>Barquisimeto</v>
      </c>
      <c r="D718" s="120" t="str">
        <f>IFERROR(__xludf.DUMMYFUNCTION("""COMPUTED_VALUE"""),"Venezuela")</f>
        <v>Venezuela</v>
      </c>
      <c r="E718" s="135"/>
      <c r="F718" s="31"/>
    </row>
    <row r="719">
      <c r="A719" s="134" t="str">
        <f>IFERROR(__xludf.DUMMYFUNCTION("""COMPUTED_VALUE"""),"Barra")</f>
        <v>Barra</v>
      </c>
      <c r="B719" s="120" t="str">
        <f>IFERROR(__xludf.DUMMYFUNCTION("""COMPUTED_VALUE"""),"BQQ")</f>
        <v>BQQ</v>
      </c>
      <c r="C719" s="120" t="str">
        <f>IFERROR(__xludf.DUMMYFUNCTION("""COMPUTED_VALUE"""),"Barra")</f>
        <v>Barra</v>
      </c>
      <c r="D719" s="120" t="str">
        <f>IFERROR(__xludf.DUMMYFUNCTION("""COMPUTED_VALUE"""),"Brazil")</f>
        <v>Brazil</v>
      </c>
      <c r="E719" s="135"/>
      <c r="F719" s="31"/>
    </row>
    <row r="720">
      <c r="A720" s="134" t="str">
        <f>IFERROR(__xludf.DUMMYFUNCTION("""COMPUTED_VALUE"""),"Barra")</f>
        <v>Barra</v>
      </c>
      <c r="B720" s="120" t="str">
        <f>IFERROR(__xludf.DUMMYFUNCTION("""COMPUTED_VALUE"""),"BRR")</f>
        <v>BRR</v>
      </c>
      <c r="C720" s="120" t="str">
        <f>IFERROR(__xludf.DUMMYFUNCTION("""COMPUTED_VALUE"""),"North Bay")</f>
        <v>North Bay</v>
      </c>
      <c r="D720" s="120" t="str">
        <f>IFERROR(__xludf.DUMMYFUNCTION("""COMPUTED_VALUE"""),"United Kingdom")</f>
        <v>United Kingdom</v>
      </c>
      <c r="E720" s="135"/>
      <c r="F720" s="31"/>
    </row>
    <row r="721">
      <c r="A721" s="134" t="str">
        <f>IFERROR(__xludf.DUMMYFUNCTION("""COMPUTED_VALUE"""),"Barra Colorado")</f>
        <v>Barra Colorado</v>
      </c>
      <c r="B721" s="120" t="str">
        <f>IFERROR(__xludf.DUMMYFUNCTION("""COMPUTED_VALUE"""),"BCL")</f>
        <v>BCL</v>
      </c>
      <c r="C721" s="120" t="str">
        <f>IFERROR(__xludf.DUMMYFUNCTION("""COMPUTED_VALUE"""),"Barra Colorado")</f>
        <v>Barra Colorado</v>
      </c>
      <c r="D721" s="120" t="str">
        <f>IFERROR(__xludf.DUMMYFUNCTION("""COMPUTED_VALUE"""),"Costa Rica")</f>
        <v>Costa Rica</v>
      </c>
      <c r="E721" s="135"/>
      <c r="F721" s="31"/>
    </row>
    <row r="722">
      <c r="A722" s="134" t="str">
        <f>IFERROR(__xludf.DUMMYFUNCTION("""COMPUTED_VALUE"""),"Barra Do Corda")</f>
        <v>Barra Do Corda</v>
      </c>
      <c r="B722" s="120" t="str">
        <f>IFERROR(__xludf.DUMMYFUNCTION("""COMPUTED_VALUE"""),"BDC")</f>
        <v>BDC</v>
      </c>
      <c r="C722" s="120" t="str">
        <f>IFERROR(__xludf.DUMMYFUNCTION("""COMPUTED_VALUE"""),"Barra Do Corda")</f>
        <v>Barra Do Corda</v>
      </c>
      <c r="D722" s="120" t="str">
        <f>IFERROR(__xludf.DUMMYFUNCTION("""COMPUTED_VALUE"""),"Brazil")</f>
        <v>Brazil</v>
      </c>
      <c r="E722" s="135"/>
      <c r="F722" s="31"/>
    </row>
    <row r="723">
      <c r="A723" s="134" t="str">
        <f>IFERROR(__xludf.DUMMYFUNCTION("""COMPUTED_VALUE"""),"Barra Do Garcas")</f>
        <v>Barra Do Garcas</v>
      </c>
      <c r="B723" s="120" t="str">
        <f>IFERROR(__xludf.DUMMYFUNCTION("""COMPUTED_VALUE"""),"BPG")</f>
        <v>BPG</v>
      </c>
      <c r="C723" s="120" t="str">
        <f>IFERROR(__xludf.DUMMYFUNCTION("""COMPUTED_VALUE"""),"Barra Do Garcas")</f>
        <v>Barra Do Garcas</v>
      </c>
      <c r="D723" s="120" t="str">
        <f>IFERROR(__xludf.DUMMYFUNCTION("""COMPUTED_VALUE"""),"Brazil")</f>
        <v>Brazil</v>
      </c>
      <c r="E723" s="135"/>
      <c r="F723" s="31"/>
    </row>
    <row r="724">
      <c r="A724" s="134" t="str">
        <f>IFERROR(__xludf.DUMMYFUNCTION("""COMPUTED_VALUE"""),"Barranca De Upia")</f>
        <v>Barranca De Upia</v>
      </c>
      <c r="B724" s="120" t="str">
        <f>IFERROR(__xludf.DUMMYFUNCTION("""COMPUTED_VALUE"""),"BAC")</f>
        <v>BAC</v>
      </c>
      <c r="C724" s="120" t="str">
        <f>IFERROR(__xludf.DUMMYFUNCTION("""COMPUTED_VALUE"""),"Barranca De Upia")</f>
        <v>Barranca De Upia</v>
      </c>
      <c r="D724" s="120" t="str">
        <f>IFERROR(__xludf.DUMMYFUNCTION("""COMPUTED_VALUE"""),"Colombia")</f>
        <v>Colombia</v>
      </c>
      <c r="E724" s="135"/>
      <c r="F724" s="31"/>
    </row>
    <row r="725">
      <c r="A725" s="134" t="str">
        <f>IFERROR(__xludf.DUMMYFUNCTION("""COMPUTED_VALUE"""),"Barrancabermeja")</f>
        <v>Barrancabermeja</v>
      </c>
      <c r="B725" s="120" t="str">
        <f>IFERROR(__xludf.DUMMYFUNCTION("""COMPUTED_VALUE"""),"EJA")</f>
        <v>EJA</v>
      </c>
      <c r="C725" s="120" t="str">
        <f>IFERROR(__xludf.DUMMYFUNCTION("""COMPUTED_VALUE"""),"Variguies")</f>
        <v>Variguies</v>
      </c>
      <c r="D725" s="120" t="str">
        <f>IFERROR(__xludf.DUMMYFUNCTION("""COMPUTED_VALUE"""),"Colombia")</f>
        <v>Colombia</v>
      </c>
      <c r="E725" s="135"/>
      <c r="F725" s="31"/>
    </row>
    <row r="726">
      <c r="A726" s="134" t="str">
        <f>IFERROR(__xludf.DUMMYFUNCTION("""COMPUTED_VALUE"""),"Barrancominas")</f>
        <v>Barrancominas</v>
      </c>
      <c r="B726" s="120" t="str">
        <f>IFERROR(__xludf.DUMMYFUNCTION("""COMPUTED_VALUE"""),"NBB")</f>
        <v>NBB</v>
      </c>
      <c r="C726" s="120" t="str">
        <f>IFERROR(__xludf.DUMMYFUNCTION("""COMPUTED_VALUE"""),"Barrancominas")</f>
        <v>Barrancominas</v>
      </c>
      <c r="D726" s="120" t="str">
        <f>IFERROR(__xludf.DUMMYFUNCTION("""COMPUTED_VALUE"""),"Colombia")</f>
        <v>Colombia</v>
      </c>
      <c r="E726" s="135"/>
      <c r="F726" s="31"/>
    </row>
    <row r="727">
      <c r="A727" s="134" t="str">
        <f>IFERROR(__xludf.DUMMYFUNCTION("""COMPUTED_VALUE"""),"Barranquilla")</f>
        <v>Barranquilla</v>
      </c>
      <c r="B727" s="120" t="str">
        <f>IFERROR(__xludf.DUMMYFUNCTION("""COMPUTED_VALUE"""),"BAQ")</f>
        <v>BAQ</v>
      </c>
      <c r="C727" s="120" t="str">
        <f>IFERROR(__xludf.DUMMYFUNCTION("""COMPUTED_VALUE"""),"E Cortissoz")</f>
        <v>E Cortissoz</v>
      </c>
      <c r="D727" s="120" t="str">
        <f>IFERROR(__xludf.DUMMYFUNCTION("""COMPUTED_VALUE"""),"Colombia")</f>
        <v>Colombia</v>
      </c>
      <c r="E727" s="135"/>
      <c r="F727" s="31"/>
    </row>
    <row r="728">
      <c r="A728" s="134" t="str">
        <f>IFERROR(__xludf.DUMMYFUNCTION("""COMPUTED_VALUE"""),"Barreiras")</f>
        <v>Barreiras</v>
      </c>
      <c r="B728" s="120" t="str">
        <f>IFERROR(__xludf.DUMMYFUNCTION("""COMPUTED_VALUE"""),"BRA")</f>
        <v>BRA</v>
      </c>
      <c r="C728" s="120" t="str">
        <f>IFERROR(__xludf.DUMMYFUNCTION("""COMPUTED_VALUE"""),"Barreiras")</f>
        <v>Barreiras</v>
      </c>
      <c r="D728" s="120" t="str">
        <f>IFERROR(__xludf.DUMMYFUNCTION("""COMPUTED_VALUE"""),"Brazil")</f>
        <v>Brazil</v>
      </c>
      <c r="E728" s="135"/>
      <c r="F728" s="31"/>
    </row>
    <row r="729">
      <c r="A729" s="134" t="str">
        <f>IFERROR(__xludf.DUMMYFUNCTION("""COMPUTED_VALUE"""),"Barreirinhas")</f>
        <v>Barreirinhas</v>
      </c>
      <c r="B729" s="120" t="str">
        <f>IFERROR(__xludf.DUMMYFUNCTION("""COMPUTED_VALUE"""),"BRB")</f>
        <v>BRB</v>
      </c>
      <c r="C729" s="120" t="str">
        <f>IFERROR(__xludf.DUMMYFUNCTION("""COMPUTED_VALUE"""),"Barreirinhas")</f>
        <v>Barreirinhas</v>
      </c>
      <c r="D729" s="120" t="str">
        <f>IFERROR(__xludf.DUMMYFUNCTION("""COMPUTED_VALUE"""),"Brazil")</f>
        <v>Brazil</v>
      </c>
      <c r="E729" s="135"/>
      <c r="F729" s="31"/>
    </row>
    <row r="730">
      <c r="A730" s="134" t="str">
        <f>IFERROR(__xludf.DUMMYFUNCTION("""COMPUTED_VALUE"""),"Barretos")</f>
        <v>Barretos</v>
      </c>
      <c r="B730" s="120" t="str">
        <f>IFERROR(__xludf.DUMMYFUNCTION("""COMPUTED_VALUE"""),"BAT")</f>
        <v>BAT</v>
      </c>
      <c r="C730" s="120" t="str">
        <f>IFERROR(__xludf.DUMMYFUNCTION("""COMPUTED_VALUE"""),"Barretos")</f>
        <v>Barretos</v>
      </c>
      <c r="D730" s="120" t="str">
        <f>IFERROR(__xludf.DUMMYFUNCTION("""COMPUTED_VALUE"""),"Brazil")</f>
        <v>Brazil</v>
      </c>
      <c r="E730" s="135"/>
      <c r="F730" s="31"/>
    </row>
    <row r="731">
      <c r="A731" s="134" t="str">
        <f>IFERROR(__xludf.DUMMYFUNCTION("""COMPUTED_VALUE"""),"Barrow")</f>
        <v>Barrow</v>
      </c>
      <c r="B731" s="120" t="str">
        <f>IFERROR(__xludf.DUMMYFUNCTION("""COMPUTED_VALUE"""),"PBA")</f>
        <v>PBA</v>
      </c>
      <c r="C731" s="120" t="str">
        <f>IFERROR(__xludf.DUMMYFUNCTION("""COMPUTED_VALUE"""),"Point Barrow")</f>
        <v>Point Barrow</v>
      </c>
      <c r="D731" s="120" t="str">
        <f>IFERROR(__xludf.DUMMYFUNCTION("""COMPUTED_VALUE"""),"United States")</f>
        <v>United States</v>
      </c>
      <c r="E731" s="135"/>
      <c r="F731" s="31"/>
    </row>
    <row r="732">
      <c r="A732" s="134" t="str">
        <f>IFERROR(__xludf.DUMMYFUNCTION("""COMPUTED_VALUE"""),"Barrow")</f>
        <v>Barrow</v>
      </c>
      <c r="B732" s="120" t="str">
        <f>IFERROR(__xludf.DUMMYFUNCTION("""COMPUTED_VALUE"""),"BRW")</f>
        <v>BRW</v>
      </c>
      <c r="C732" s="120" t="str">
        <f>IFERROR(__xludf.DUMMYFUNCTION("""COMPUTED_VALUE"""),"Wiley Post/W.Rogers M")</f>
        <v>Wiley Post/W.Rogers M</v>
      </c>
      <c r="D732" s="120" t="str">
        <f>IFERROR(__xludf.DUMMYFUNCTION("""COMPUTED_VALUE"""),"United States")</f>
        <v>United States</v>
      </c>
      <c r="E732" s="135"/>
      <c r="F732" s="31"/>
    </row>
    <row r="733">
      <c r="A733" s="134" t="str">
        <f>IFERROR(__xludf.DUMMYFUNCTION("""COMPUTED_VALUE"""),"Barrow Island")</f>
        <v>Barrow Island</v>
      </c>
      <c r="B733" s="120" t="str">
        <f>IFERROR(__xludf.DUMMYFUNCTION("""COMPUTED_VALUE"""),"BWB")</f>
        <v>BWB</v>
      </c>
      <c r="C733" s="120" t="str">
        <f>IFERROR(__xludf.DUMMYFUNCTION("""COMPUTED_VALUE"""),"Barrow Island")</f>
        <v>Barrow Island</v>
      </c>
      <c r="D733" s="120" t="str">
        <f>IFERROR(__xludf.DUMMYFUNCTION("""COMPUTED_VALUE"""),"Australia")</f>
        <v>Australia</v>
      </c>
      <c r="E733" s="135"/>
      <c r="F733" s="31"/>
    </row>
    <row r="734">
      <c r="A734" s="134" t="str">
        <f>IFERROR(__xludf.DUMMYFUNCTION("""COMPUTED_VALUE"""),"Barrow-In-Furness")</f>
        <v>Barrow-In-Furness</v>
      </c>
      <c r="B734" s="120" t="str">
        <f>IFERROR(__xludf.DUMMYFUNCTION("""COMPUTED_VALUE"""),"BWF")</f>
        <v>BWF</v>
      </c>
      <c r="C734" s="120" t="str">
        <f>IFERROR(__xludf.DUMMYFUNCTION("""COMPUTED_VALUE"""),"Walney Island")</f>
        <v>Walney Island</v>
      </c>
      <c r="D734" s="120" t="str">
        <f>IFERROR(__xludf.DUMMYFUNCTION("""COMPUTED_VALUE"""),"United Kingdom")</f>
        <v>United Kingdom</v>
      </c>
      <c r="E734" s="135"/>
      <c r="F734" s="31"/>
    </row>
    <row r="735">
      <c r="A735" s="134" t="str">
        <f>IFERROR(__xludf.DUMMYFUNCTION("""COMPUTED_VALUE"""),"Barter Island")</f>
        <v>Barter Island</v>
      </c>
      <c r="B735" s="120" t="str">
        <f>IFERROR(__xludf.DUMMYFUNCTION("""COMPUTED_VALUE"""),"BTI")</f>
        <v>BTI</v>
      </c>
      <c r="C735" s="120" t="str">
        <f>IFERROR(__xludf.DUMMYFUNCTION("""COMPUTED_VALUE"""),"Barter Island")</f>
        <v>Barter Island</v>
      </c>
      <c r="D735" s="120" t="str">
        <f>IFERROR(__xludf.DUMMYFUNCTION("""COMPUTED_VALUE"""),"United States")</f>
        <v>United States</v>
      </c>
      <c r="E735" s="135"/>
      <c r="F735" s="31"/>
    </row>
    <row r="736">
      <c r="A736" s="134" t="str">
        <f>IFERROR(__xludf.DUMMYFUNCTION("""COMPUTED_VALUE"""),"Barth")</f>
        <v>Barth</v>
      </c>
      <c r="B736" s="120" t="str">
        <f>IFERROR(__xludf.DUMMYFUNCTION("""COMPUTED_VALUE"""),"BBH")</f>
        <v>BBH</v>
      </c>
      <c r="C736" s="120" t="str">
        <f>IFERROR(__xludf.DUMMYFUNCTION("""COMPUTED_VALUE"""),"Barth")</f>
        <v>Barth</v>
      </c>
      <c r="D736" s="120" t="str">
        <f>IFERROR(__xludf.DUMMYFUNCTION("""COMPUTED_VALUE"""),"Germany")</f>
        <v>Germany</v>
      </c>
      <c r="E736" s="135"/>
      <c r="F736" s="31"/>
    </row>
    <row r="737">
      <c r="A737" s="134" t="str">
        <f>IFERROR(__xludf.DUMMYFUNCTION("""COMPUTED_VALUE"""),"Bartica")</f>
        <v>Bartica</v>
      </c>
      <c r="B737" s="120" t="str">
        <f>IFERROR(__xludf.DUMMYFUNCTION("""COMPUTED_VALUE"""),"GFO")</f>
        <v>GFO</v>
      </c>
      <c r="C737" s="120" t="str">
        <f>IFERROR(__xludf.DUMMYFUNCTION("""COMPUTED_VALUE"""),"Bartica")</f>
        <v>Bartica</v>
      </c>
      <c r="D737" s="120" t="str">
        <f>IFERROR(__xludf.DUMMYFUNCTION("""COMPUTED_VALUE"""),"Guyana")</f>
        <v>Guyana</v>
      </c>
      <c r="E737" s="135"/>
      <c r="F737" s="31"/>
    </row>
    <row r="738">
      <c r="A738" s="134" t="str">
        <f>IFERROR(__xludf.DUMMYFUNCTION("""COMPUTED_VALUE"""),"Bartlesville")</f>
        <v>Bartlesville</v>
      </c>
      <c r="B738" s="120" t="str">
        <f>IFERROR(__xludf.DUMMYFUNCTION("""COMPUTED_VALUE"""),"BVO")</f>
        <v>BVO</v>
      </c>
      <c r="C738" s="120" t="str">
        <f>IFERROR(__xludf.DUMMYFUNCTION("""COMPUTED_VALUE"""),"Bartlesville")</f>
        <v>Bartlesville</v>
      </c>
      <c r="D738" s="120" t="str">
        <f>IFERROR(__xludf.DUMMYFUNCTION("""COMPUTED_VALUE"""),"United States")</f>
        <v>United States</v>
      </c>
      <c r="E738" s="135"/>
      <c r="F738" s="31"/>
    </row>
    <row r="739">
      <c r="A739" s="134" t="str">
        <f>IFERROR(__xludf.DUMMYFUNCTION("""COMPUTED_VALUE"""),"Bartletts")</f>
        <v>Bartletts</v>
      </c>
      <c r="B739" s="120" t="str">
        <f>IFERROR(__xludf.DUMMYFUNCTION("""COMPUTED_VALUE"""),"BSZ")</f>
        <v>BSZ</v>
      </c>
      <c r="C739" s="120" t="str">
        <f>IFERROR(__xludf.DUMMYFUNCTION("""COMPUTED_VALUE"""),"Bartletts")</f>
        <v>Bartletts</v>
      </c>
      <c r="D739" s="120" t="str">
        <f>IFERROR(__xludf.DUMMYFUNCTION("""COMPUTED_VALUE"""),"United States")</f>
        <v>United States</v>
      </c>
      <c r="E739" s="135"/>
      <c r="F739" s="31"/>
    </row>
    <row r="740">
      <c r="A740" s="134" t="str">
        <f>IFERROR(__xludf.DUMMYFUNCTION("""COMPUTED_VALUE"""),"Bartow")</f>
        <v>Bartow</v>
      </c>
      <c r="B740" s="120" t="str">
        <f>IFERROR(__xludf.DUMMYFUNCTION("""COMPUTED_VALUE"""),"BOW")</f>
        <v>BOW</v>
      </c>
      <c r="C740" s="120" t="str">
        <f>IFERROR(__xludf.DUMMYFUNCTION("""COMPUTED_VALUE"""),"Bartow")</f>
        <v>Bartow</v>
      </c>
      <c r="D740" s="120" t="str">
        <f>IFERROR(__xludf.DUMMYFUNCTION("""COMPUTED_VALUE"""),"United States")</f>
        <v>United States</v>
      </c>
      <c r="E740" s="135"/>
      <c r="F740" s="31"/>
    </row>
    <row r="741">
      <c r="A741" s="134" t="str">
        <f>IFERROR(__xludf.DUMMYFUNCTION("""COMPUTED_VALUE"""),"Baruun-Urt")</f>
        <v>Baruun-Urt</v>
      </c>
      <c r="B741" s="120" t="str">
        <f>IFERROR(__xludf.DUMMYFUNCTION("""COMPUTED_VALUE"""),"UUN")</f>
        <v>UUN</v>
      </c>
      <c r="C741" s="120" t="str">
        <f>IFERROR(__xludf.DUMMYFUNCTION("""COMPUTED_VALUE"""),"Baruun-Urt")</f>
        <v>Baruun-Urt</v>
      </c>
      <c r="D741" s="120" t="str">
        <f>IFERROR(__xludf.DUMMYFUNCTION("""COMPUTED_VALUE"""),"Mongolia")</f>
        <v>Mongolia</v>
      </c>
      <c r="E741" s="135"/>
      <c r="F741" s="31"/>
    </row>
    <row r="742">
      <c r="A742" s="134" t="str">
        <f>IFERROR(__xludf.DUMMYFUNCTION("""COMPUTED_VALUE"""),"Basankusu")</f>
        <v>Basankusu</v>
      </c>
      <c r="B742" s="120" t="str">
        <f>IFERROR(__xludf.DUMMYFUNCTION("""COMPUTED_VALUE"""),"BSU")</f>
        <v>BSU</v>
      </c>
      <c r="C742" s="120" t="str">
        <f>IFERROR(__xludf.DUMMYFUNCTION("""COMPUTED_VALUE"""),"Basankusu")</f>
        <v>Basankusu</v>
      </c>
      <c r="D742" s="120" t="str">
        <f>IFERROR(__xludf.DUMMYFUNCTION("""COMPUTED_VALUE"""),"Zaire")</f>
        <v>Zaire</v>
      </c>
      <c r="E742" s="135"/>
      <c r="F742" s="31"/>
    </row>
    <row r="743">
      <c r="A743" s="134" t="str">
        <f>IFERROR(__xludf.DUMMYFUNCTION("""COMPUTED_VALUE"""),"Basco")</f>
        <v>Basco</v>
      </c>
      <c r="B743" s="120" t="str">
        <f>IFERROR(__xludf.DUMMYFUNCTION("""COMPUTED_VALUE"""),"BSO")</f>
        <v>BSO</v>
      </c>
      <c r="C743" s="120" t="str">
        <f>IFERROR(__xludf.DUMMYFUNCTION("""COMPUTED_VALUE"""),"Basco")</f>
        <v>Basco</v>
      </c>
      <c r="D743" s="120" t="str">
        <f>IFERROR(__xludf.DUMMYFUNCTION("""COMPUTED_VALUE"""),"Philippines")</f>
        <v>Philippines</v>
      </c>
      <c r="E743" s="135"/>
      <c r="F743" s="31"/>
    </row>
    <row r="744">
      <c r="A744" s="134" t="str">
        <f>IFERROR(__xludf.DUMMYFUNCTION("""COMPUTED_VALUE"""),"Basel/Mulhouse")</f>
        <v>Basel/Mulhouse</v>
      </c>
      <c r="B744" s="120" t="str">
        <f>IFERROR(__xludf.DUMMYFUNCTION("""COMPUTED_VALUE"""),"ZBA")</f>
        <v>ZBA</v>
      </c>
      <c r="C744" s="120" t="str">
        <f>IFERROR(__xludf.DUMMYFUNCTION("""COMPUTED_VALUE"""),"Basil Bad - Railway")</f>
        <v>Basil Bad - Railway</v>
      </c>
      <c r="D744" s="120" t="str">
        <f>IFERROR(__xludf.DUMMYFUNCTION("""COMPUTED_VALUE"""),"Switzerland")</f>
        <v>Switzerland</v>
      </c>
      <c r="E744" s="135"/>
      <c r="F744" s="31"/>
    </row>
    <row r="745">
      <c r="A745" s="134" t="str">
        <f>IFERROR(__xludf.DUMMYFUNCTION("""COMPUTED_VALUE"""),"Basongo")</f>
        <v>Basongo</v>
      </c>
      <c r="B745" s="120" t="str">
        <f>IFERROR(__xludf.DUMMYFUNCTION("""COMPUTED_VALUE"""),"BAN")</f>
        <v>BAN</v>
      </c>
      <c r="C745" s="120" t="str">
        <f>IFERROR(__xludf.DUMMYFUNCTION("""COMPUTED_VALUE"""),"Basongo")</f>
        <v>Basongo</v>
      </c>
      <c r="D745" s="120" t="str">
        <f>IFERROR(__xludf.DUMMYFUNCTION("""COMPUTED_VALUE"""),"Zaire")</f>
        <v>Zaire</v>
      </c>
      <c r="E745" s="135"/>
      <c r="F745" s="31"/>
    </row>
    <row r="746">
      <c r="A746" s="134" t="str">
        <f>IFERROR(__xludf.DUMMYFUNCTION("""COMPUTED_VALUE"""),"Basra")</f>
        <v>Basra</v>
      </c>
      <c r="B746" s="120" t="str">
        <f>IFERROR(__xludf.DUMMYFUNCTION("""COMPUTED_VALUE"""),"BSR")</f>
        <v>BSR</v>
      </c>
      <c r="C746" s="120" t="str">
        <f>IFERROR(__xludf.DUMMYFUNCTION("""COMPUTED_VALUE"""),"International")</f>
        <v>International</v>
      </c>
      <c r="D746" s="120" t="str">
        <f>IFERROR(__xludf.DUMMYFUNCTION("""COMPUTED_VALUE"""),"Iraq")</f>
        <v>Iraq</v>
      </c>
      <c r="E746" s="135"/>
      <c r="F746" s="31"/>
    </row>
    <row r="747">
      <c r="A747" s="134" t="str">
        <f>IFERROR(__xludf.DUMMYFUNCTION("""COMPUTED_VALUE"""),"Basse Terre")</f>
        <v>Basse Terre</v>
      </c>
      <c r="B747" s="120" t="str">
        <f>IFERROR(__xludf.DUMMYFUNCTION("""COMPUTED_VALUE"""),"BBR")</f>
        <v>BBR</v>
      </c>
      <c r="C747" s="120" t="str">
        <f>IFERROR(__xludf.DUMMYFUNCTION("""COMPUTED_VALUE"""),"Baillif")</f>
        <v>Baillif</v>
      </c>
      <c r="D747" s="120" t="str">
        <f>IFERROR(__xludf.DUMMYFUNCTION("""COMPUTED_VALUE"""),"Guadeloupe")</f>
        <v>Guadeloupe</v>
      </c>
      <c r="E747" s="135"/>
      <c r="F747" s="31"/>
    </row>
    <row r="748">
      <c r="A748" s="134" t="str">
        <f>IFERROR(__xludf.DUMMYFUNCTION("""COMPUTED_VALUE"""),"Bassein")</f>
        <v>Bassein</v>
      </c>
      <c r="B748" s="120" t="str">
        <f>IFERROR(__xludf.DUMMYFUNCTION("""COMPUTED_VALUE"""),"BSX")</f>
        <v>BSX</v>
      </c>
      <c r="C748" s="120" t="str">
        <f>IFERROR(__xludf.DUMMYFUNCTION("""COMPUTED_VALUE"""),"Bassein")</f>
        <v>Bassein</v>
      </c>
      <c r="D748" s="120" t="str">
        <f>IFERROR(__xludf.DUMMYFUNCTION("""COMPUTED_VALUE"""),"Myanmar")</f>
        <v>Myanmar</v>
      </c>
      <c r="E748" s="135"/>
      <c r="F748" s="31"/>
    </row>
    <row r="749">
      <c r="A749" s="134" t="str">
        <f>IFERROR(__xludf.DUMMYFUNCTION("""COMPUTED_VALUE"""),"Bastia")</f>
        <v>Bastia</v>
      </c>
      <c r="B749" s="120" t="str">
        <f>IFERROR(__xludf.DUMMYFUNCTION("""COMPUTED_VALUE"""),"BIA")</f>
        <v>BIA</v>
      </c>
      <c r="C749" s="120" t="str">
        <f>IFERROR(__xludf.DUMMYFUNCTION("""COMPUTED_VALUE"""),"Poretta")</f>
        <v>Poretta</v>
      </c>
      <c r="D749" s="120" t="str">
        <f>IFERROR(__xludf.DUMMYFUNCTION("""COMPUTED_VALUE"""),"France")</f>
        <v>France</v>
      </c>
      <c r="E749" s="135"/>
      <c r="F749" s="31"/>
    </row>
    <row r="750">
      <c r="A750" s="134" t="str">
        <f>IFERROR(__xludf.DUMMYFUNCTION("""COMPUTED_VALUE"""),"Bata")</f>
        <v>Bata</v>
      </c>
      <c r="B750" s="120" t="str">
        <f>IFERROR(__xludf.DUMMYFUNCTION("""COMPUTED_VALUE"""),"BSG")</f>
        <v>BSG</v>
      </c>
      <c r="C750" s="120" t="str">
        <f>IFERROR(__xludf.DUMMYFUNCTION("""COMPUTED_VALUE"""),"Bata")</f>
        <v>Bata</v>
      </c>
      <c r="D750" s="120" t="str">
        <f>IFERROR(__xludf.DUMMYFUNCTION("""COMPUTED_VALUE"""),"Equatorial Guinea")</f>
        <v>Equatorial Guinea</v>
      </c>
      <c r="E750" s="135"/>
      <c r="F750" s="31"/>
    </row>
    <row r="751">
      <c r="A751" s="134" t="str">
        <f>IFERROR(__xludf.DUMMYFUNCTION("""COMPUTED_VALUE"""),"Batam")</f>
        <v>Batam</v>
      </c>
      <c r="B751" s="120" t="str">
        <f>IFERROR(__xludf.DUMMYFUNCTION("""COMPUTED_VALUE"""),"BTH")</f>
        <v>BTH</v>
      </c>
      <c r="C751" s="120" t="str">
        <f>IFERROR(__xludf.DUMMYFUNCTION("""COMPUTED_VALUE"""),"Hang Nadim")</f>
        <v>Hang Nadim</v>
      </c>
      <c r="D751" s="120" t="str">
        <f>IFERROR(__xludf.DUMMYFUNCTION("""COMPUTED_VALUE"""),"Indonesia")</f>
        <v>Indonesia</v>
      </c>
      <c r="E751" s="135"/>
      <c r="F751" s="31"/>
    </row>
    <row r="752">
      <c r="A752" s="134" t="str">
        <f>IFERROR(__xludf.DUMMYFUNCTION("""COMPUTED_VALUE"""),"Batangafo")</f>
        <v>Batangafo</v>
      </c>
      <c r="B752" s="120" t="str">
        <f>IFERROR(__xludf.DUMMYFUNCTION("""COMPUTED_VALUE"""),"BTG")</f>
        <v>BTG</v>
      </c>
      <c r="C752" s="120" t="str">
        <f>IFERROR(__xludf.DUMMYFUNCTION("""COMPUTED_VALUE"""),"Batangafo")</f>
        <v>Batangafo</v>
      </c>
      <c r="D752" s="120" t="str">
        <f>IFERROR(__xludf.DUMMYFUNCTION("""COMPUTED_VALUE"""),"Central African Republic")</f>
        <v>Central African Republic</v>
      </c>
      <c r="E752" s="135"/>
      <c r="F752" s="31"/>
    </row>
    <row r="753">
      <c r="A753" s="134" t="str">
        <f>IFERROR(__xludf.DUMMYFUNCTION("""COMPUTED_VALUE"""),"Batavia Downs")</f>
        <v>Batavia Downs</v>
      </c>
      <c r="B753" s="120" t="str">
        <f>IFERROR(__xludf.DUMMYFUNCTION("""COMPUTED_VALUE"""),"BVW")</f>
        <v>BVW</v>
      </c>
      <c r="C753" s="120" t="str">
        <f>IFERROR(__xludf.DUMMYFUNCTION("""COMPUTED_VALUE"""),"Batavia Downs")</f>
        <v>Batavia Downs</v>
      </c>
      <c r="D753" s="120" t="str">
        <f>IFERROR(__xludf.DUMMYFUNCTION("""COMPUTED_VALUE"""),"Australia")</f>
        <v>Australia</v>
      </c>
      <c r="E753" s="135"/>
      <c r="F753" s="31"/>
    </row>
    <row r="754">
      <c r="A754" s="134" t="str">
        <f>IFERROR(__xludf.DUMMYFUNCTION("""COMPUTED_VALUE"""),"Batesville")</f>
        <v>Batesville</v>
      </c>
      <c r="B754" s="120" t="str">
        <f>IFERROR(__xludf.DUMMYFUNCTION("""COMPUTED_VALUE"""),"BVX")</f>
        <v>BVX</v>
      </c>
      <c r="C754" s="120" t="str">
        <f>IFERROR(__xludf.DUMMYFUNCTION("""COMPUTED_VALUE"""),"Municipal")</f>
        <v>Municipal</v>
      </c>
      <c r="D754" s="120" t="str">
        <f>IFERROR(__xludf.DUMMYFUNCTION("""COMPUTED_VALUE"""),"United States")</f>
        <v>United States</v>
      </c>
      <c r="E754" s="135"/>
      <c r="F754" s="31"/>
    </row>
    <row r="755">
      <c r="A755" s="134" t="str">
        <f>IFERROR(__xludf.DUMMYFUNCTION("""COMPUTED_VALUE"""),"Batesville")</f>
        <v>Batesville</v>
      </c>
      <c r="B755" s="120" t="str">
        <f>IFERROR(__xludf.DUMMYFUNCTION("""COMPUTED_VALUE"""),"HLB")</f>
        <v>HLB</v>
      </c>
      <c r="C755" s="120" t="str">
        <f>IFERROR(__xludf.DUMMYFUNCTION("""COMPUTED_VALUE"""),"Hillenbrand")</f>
        <v>Hillenbrand</v>
      </c>
      <c r="D755" s="120" t="str">
        <f>IFERROR(__xludf.DUMMYFUNCTION("""COMPUTED_VALUE"""),"United States")</f>
        <v>United States</v>
      </c>
      <c r="E755" s="135"/>
      <c r="F755" s="31"/>
    </row>
    <row r="756">
      <c r="A756" s="134" t="str">
        <f>IFERROR(__xludf.DUMMYFUNCTION("""COMPUTED_VALUE"""),"Bathurst")</f>
        <v>Bathurst</v>
      </c>
      <c r="B756" s="120" t="str">
        <f>IFERROR(__xludf.DUMMYFUNCTION("""COMPUTED_VALUE"""),"ZBF")</f>
        <v>ZBF</v>
      </c>
      <c r="C756" s="120" t="str">
        <f>IFERROR(__xludf.DUMMYFUNCTION("""COMPUTED_VALUE"""),"Bathurst")</f>
        <v>Bathurst</v>
      </c>
      <c r="D756" s="120" t="str">
        <f>IFERROR(__xludf.DUMMYFUNCTION("""COMPUTED_VALUE"""),"Canada")</f>
        <v>Canada</v>
      </c>
      <c r="E756" s="135"/>
      <c r="F756" s="31"/>
    </row>
    <row r="757">
      <c r="A757" s="134" t="str">
        <f>IFERROR(__xludf.DUMMYFUNCTION("""COMPUTED_VALUE"""),"Bathurst")</f>
        <v>Bathurst</v>
      </c>
      <c r="B757" s="120" t="str">
        <f>IFERROR(__xludf.DUMMYFUNCTION("""COMPUTED_VALUE"""),"BHS")</f>
        <v>BHS</v>
      </c>
      <c r="C757" s="120" t="str">
        <f>IFERROR(__xludf.DUMMYFUNCTION("""COMPUTED_VALUE"""),"Raglan")</f>
        <v>Raglan</v>
      </c>
      <c r="D757" s="120" t="str">
        <f>IFERROR(__xludf.DUMMYFUNCTION("""COMPUTED_VALUE"""),"Australia")</f>
        <v>Australia</v>
      </c>
      <c r="E757" s="135"/>
      <c r="F757" s="31"/>
    </row>
    <row r="758">
      <c r="A758" s="134" t="str">
        <f>IFERROR(__xludf.DUMMYFUNCTION("""COMPUTED_VALUE"""),"Bathurst Island")</f>
        <v>Bathurst Island</v>
      </c>
      <c r="B758" s="120" t="str">
        <f>IFERROR(__xludf.DUMMYFUNCTION("""COMPUTED_VALUE"""),"BRT")</f>
        <v>BRT</v>
      </c>
      <c r="C758" s="120" t="str">
        <f>IFERROR(__xludf.DUMMYFUNCTION("""COMPUTED_VALUE"""),"Bathurst Island")</f>
        <v>Bathurst Island</v>
      </c>
      <c r="D758" s="120" t="str">
        <f>IFERROR(__xludf.DUMMYFUNCTION("""COMPUTED_VALUE"""),"Australia")</f>
        <v>Australia</v>
      </c>
      <c r="E758" s="135"/>
      <c r="F758" s="31"/>
    </row>
    <row r="759">
      <c r="A759" s="134" t="str">
        <f>IFERROR(__xludf.DUMMYFUNCTION("""COMPUTED_VALUE"""),"Batman")</f>
        <v>Batman</v>
      </c>
      <c r="B759" s="120" t="str">
        <f>IFERROR(__xludf.DUMMYFUNCTION("""COMPUTED_VALUE"""),"BAL")</f>
        <v>BAL</v>
      </c>
      <c r="C759" s="120" t="str">
        <f>IFERROR(__xludf.DUMMYFUNCTION("""COMPUTED_VALUE"""),"Batman")</f>
        <v>Batman</v>
      </c>
      <c r="D759" s="120" t="str">
        <f>IFERROR(__xludf.DUMMYFUNCTION("""COMPUTED_VALUE"""),"Turkey")</f>
        <v>Turkey</v>
      </c>
      <c r="E759" s="135"/>
      <c r="F759" s="31"/>
    </row>
    <row r="760">
      <c r="A760" s="134" t="str">
        <f>IFERROR(__xludf.DUMMYFUNCTION("""COMPUTED_VALUE"""),"Batna")</f>
        <v>Batna</v>
      </c>
      <c r="B760" s="120" t="str">
        <f>IFERROR(__xludf.DUMMYFUNCTION("""COMPUTED_VALUE"""),"BLJ")</f>
        <v>BLJ</v>
      </c>
      <c r="C760" s="137" t="str">
        <f>IFERROR(__xludf.DUMMYFUNCTION("""COMPUTED_VALUE"""),"Batna")</f>
        <v>Batna</v>
      </c>
      <c r="D760" s="120" t="str">
        <f>IFERROR(__xludf.DUMMYFUNCTION("""COMPUTED_VALUE"""),"Algeria")</f>
        <v>Algeria</v>
      </c>
      <c r="E760" s="135"/>
      <c r="F760" s="31"/>
    </row>
    <row r="761">
      <c r="A761" s="134" t="str">
        <f>IFERROR(__xludf.DUMMYFUNCTION("""COMPUTED_VALUE"""),"Batom")</f>
        <v>Batom</v>
      </c>
      <c r="B761" s="120" t="str">
        <f>IFERROR(__xludf.DUMMYFUNCTION("""COMPUTED_VALUE"""),"BXM")</f>
        <v>BXM</v>
      </c>
      <c r="C761" s="120" t="str">
        <f>IFERROR(__xludf.DUMMYFUNCTION("""COMPUTED_VALUE"""),"Batom")</f>
        <v>Batom</v>
      </c>
      <c r="D761" s="120" t="str">
        <f>IFERROR(__xludf.DUMMYFUNCTION("""COMPUTED_VALUE"""),"Indonesia")</f>
        <v>Indonesia</v>
      </c>
      <c r="E761" s="135"/>
      <c r="F761" s="31"/>
    </row>
    <row r="762">
      <c r="A762" s="134" t="str">
        <f>IFERROR(__xludf.DUMMYFUNCTION("""COMPUTED_VALUE"""),"Baton Rouge")</f>
        <v>Baton Rouge</v>
      </c>
      <c r="B762" s="120" t="str">
        <f>IFERROR(__xludf.DUMMYFUNCTION("""COMPUTED_VALUE"""),"EBR")</f>
        <v>EBR</v>
      </c>
      <c r="C762" s="120" t="str">
        <f>IFERROR(__xludf.DUMMYFUNCTION("""COMPUTED_VALUE"""),"Downtown")</f>
        <v>Downtown</v>
      </c>
      <c r="D762" s="120" t="str">
        <f>IFERROR(__xludf.DUMMYFUNCTION("""COMPUTED_VALUE"""),"United States")</f>
        <v>United States</v>
      </c>
      <c r="E762" s="135"/>
      <c r="F762" s="31"/>
    </row>
    <row r="763">
      <c r="A763" s="134" t="str">
        <f>IFERROR(__xludf.DUMMYFUNCTION("""COMPUTED_VALUE"""),"Baton Rouge")</f>
        <v>Baton Rouge</v>
      </c>
      <c r="B763" s="120" t="str">
        <f>IFERROR(__xludf.DUMMYFUNCTION("""COMPUTED_VALUE"""),"BTR")</f>
        <v>BTR</v>
      </c>
      <c r="C763" s="120" t="str">
        <f>IFERROR(__xludf.DUMMYFUNCTION("""COMPUTED_VALUE"""),"Ryan")</f>
        <v>Ryan</v>
      </c>
      <c r="D763" s="120" t="str">
        <f>IFERROR(__xludf.DUMMYFUNCTION("""COMPUTED_VALUE"""),"United States")</f>
        <v>United States</v>
      </c>
      <c r="E763" s="135"/>
      <c r="F763" s="31"/>
    </row>
    <row r="764">
      <c r="A764" s="134" t="str">
        <f>IFERROR(__xludf.DUMMYFUNCTION("""COMPUTED_VALUE"""),"Batouri")</f>
        <v>Batouri</v>
      </c>
      <c r="B764" s="120" t="str">
        <f>IFERROR(__xludf.DUMMYFUNCTION("""COMPUTED_VALUE"""),"OUR")</f>
        <v>OUR</v>
      </c>
      <c r="C764" s="120" t="str">
        <f>IFERROR(__xludf.DUMMYFUNCTION("""COMPUTED_VALUE"""),"Batouri")</f>
        <v>Batouri</v>
      </c>
      <c r="D764" s="120" t="str">
        <f>IFERROR(__xludf.DUMMYFUNCTION("""COMPUTED_VALUE"""),"Cameroon")</f>
        <v>Cameroon</v>
      </c>
      <c r="E764" s="135"/>
      <c r="F764" s="31"/>
    </row>
    <row r="765">
      <c r="A765" s="134" t="str">
        <f>IFERROR(__xludf.DUMMYFUNCTION("""COMPUTED_VALUE"""),"Batsfjord")</f>
        <v>Batsfjord</v>
      </c>
      <c r="B765" s="120" t="str">
        <f>IFERROR(__xludf.DUMMYFUNCTION("""COMPUTED_VALUE"""),"BJF")</f>
        <v>BJF</v>
      </c>
      <c r="C765" s="120" t="str">
        <f>IFERROR(__xludf.DUMMYFUNCTION("""COMPUTED_VALUE"""),"Batsfjord")</f>
        <v>Batsfjord</v>
      </c>
      <c r="D765" s="120" t="str">
        <f>IFERROR(__xludf.DUMMYFUNCTION("""COMPUTED_VALUE"""),"Norway")</f>
        <v>Norway</v>
      </c>
      <c r="E765" s="135"/>
      <c r="F765" s="31"/>
    </row>
    <row r="766">
      <c r="A766" s="134" t="str">
        <f>IFERROR(__xludf.DUMMYFUNCTION("""COMPUTED_VALUE"""),"Battambang")</f>
        <v>Battambang</v>
      </c>
      <c r="B766" s="120" t="str">
        <f>IFERROR(__xludf.DUMMYFUNCTION("""COMPUTED_VALUE"""),"BBM")</f>
        <v>BBM</v>
      </c>
      <c r="C766" s="120" t="str">
        <f>IFERROR(__xludf.DUMMYFUNCTION("""COMPUTED_VALUE"""),"Battambang")</f>
        <v>Battambang</v>
      </c>
      <c r="D766" s="120" t="str">
        <f>IFERROR(__xludf.DUMMYFUNCTION("""COMPUTED_VALUE"""),"Cambodia")</f>
        <v>Cambodia</v>
      </c>
      <c r="E766" s="135"/>
      <c r="F766" s="31"/>
    </row>
    <row r="767">
      <c r="A767" s="134" t="str">
        <f>IFERROR(__xludf.DUMMYFUNCTION("""COMPUTED_VALUE"""),"Batticaloa")</f>
        <v>Batticaloa</v>
      </c>
      <c r="B767" s="120" t="str">
        <f>IFERROR(__xludf.DUMMYFUNCTION("""COMPUTED_VALUE"""),"BTC")</f>
        <v>BTC</v>
      </c>
      <c r="C767" s="120" t="str">
        <f>IFERROR(__xludf.DUMMYFUNCTION("""COMPUTED_VALUE"""),"Batticaloa")</f>
        <v>Batticaloa</v>
      </c>
      <c r="D767" s="120" t="str">
        <f>IFERROR(__xludf.DUMMYFUNCTION("""COMPUTED_VALUE"""),"Sri Lanka")</f>
        <v>Sri Lanka</v>
      </c>
      <c r="E767" s="135"/>
      <c r="F767" s="31"/>
    </row>
    <row r="768">
      <c r="A768" s="134" t="str">
        <f>IFERROR(__xludf.DUMMYFUNCTION("""COMPUTED_VALUE"""),"Battle Creek")</f>
        <v>Battle Creek</v>
      </c>
      <c r="B768" s="120" t="str">
        <f>IFERROR(__xludf.DUMMYFUNCTION("""COMPUTED_VALUE"""),"BTL")</f>
        <v>BTL</v>
      </c>
      <c r="C768" s="120" t="str">
        <f>IFERROR(__xludf.DUMMYFUNCTION("""COMPUTED_VALUE"""),"WK Kellogg Regional")</f>
        <v>WK Kellogg Regional</v>
      </c>
      <c r="D768" s="120" t="str">
        <f>IFERROR(__xludf.DUMMYFUNCTION("""COMPUTED_VALUE"""),"United States")</f>
        <v>United States</v>
      </c>
      <c r="E768" s="135"/>
      <c r="F768" s="31"/>
    </row>
    <row r="769">
      <c r="A769" s="134" t="str">
        <f>IFERROR(__xludf.DUMMYFUNCTION("""COMPUTED_VALUE"""),"Battle Mountain")</f>
        <v>Battle Mountain</v>
      </c>
      <c r="B769" s="120" t="str">
        <f>IFERROR(__xludf.DUMMYFUNCTION("""COMPUTED_VALUE"""),"BAM")</f>
        <v>BAM</v>
      </c>
      <c r="C769" s="120" t="str">
        <f>IFERROR(__xludf.DUMMYFUNCTION("""COMPUTED_VALUE"""),"Lander County")</f>
        <v>Lander County</v>
      </c>
      <c r="D769" s="120" t="str">
        <f>IFERROR(__xludf.DUMMYFUNCTION("""COMPUTED_VALUE"""),"United States")</f>
        <v>United States</v>
      </c>
      <c r="E769" s="135"/>
      <c r="F769" s="31"/>
    </row>
    <row r="770">
      <c r="A770" s="134" t="str">
        <f>IFERROR(__xludf.DUMMYFUNCTION("""COMPUTED_VALUE"""),"Batu Licin")</f>
        <v>Batu Licin</v>
      </c>
      <c r="B770" s="120" t="str">
        <f>IFERROR(__xludf.DUMMYFUNCTION("""COMPUTED_VALUE"""),"BTW")</f>
        <v>BTW</v>
      </c>
      <c r="C770" s="120" t="str">
        <f>IFERROR(__xludf.DUMMYFUNCTION("""COMPUTED_VALUE"""),"Batu Licin")</f>
        <v>Batu Licin</v>
      </c>
      <c r="D770" s="120" t="str">
        <f>IFERROR(__xludf.DUMMYFUNCTION("""COMPUTED_VALUE"""),"Indonesia")</f>
        <v>Indonesia</v>
      </c>
      <c r="E770" s="135"/>
      <c r="F770" s="31"/>
    </row>
    <row r="771">
      <c r="A771" s="134" t="str">
        <f>IFERROR(__xludf.DUMMYFUNCTION("""COMPUTED_VALUE"""),"Batumi")</f>
        <v>Batumi</v>
      </c>
      <c r="B771" s="120" t="str">
        <f>IFERROR(__xludf.DUMMYFUNCTION("""COMPUTED_VALUE"""),"BUS")</f>
        <v>BUS</v>
      </c>
      <c r="C771" s="120" t="str">
        <f>IFERROR(__xludf.DUMMYFUNCTION("""COMPUTED_VALUE"""),"Batumi")</f>
        <v>Batumi</v>
      </c>
      <c r="D771" s="120" t="str">
        <f>IFERROR(__xludf.DUMMYFUNCTION("""COMPUTED_VALUE"""),"Georgia")</f>
        <v>Georgia</v>
      </c>
      <c r="E771" s="135"/>
      <c r="F771" s="31"/>
    </row>
    <row r="772">
      <c r="A772" s="134" t="str">
        <f>IFERROR(__xludf.DUMMYFUNCTION("""COMPUTED_VALUE"""),"Batuna")</f>
        <v>Batuna</v>
      </c>
      <c r="B772" s="120" t="str">
        <f>IFERROR(__xludf.DUMMYFUNCTION("""COMPUTED_VALUE"""),"BPF")</f>
        <v>BPF</v>
      </c>
      <c r="C772" s="120" t="str">
        <f>IFERROR(__xludf.DUMMYFUNCTION("""COMPUTED_VALUE"""),"Batuna Aerodrome")</f>
        <v>Batuna Aerodrome</v>
      </c>
      <c r="D772" s="120" t="str">
        <f>IFERROR(__xludf.DUMMYFUNCTION("""COMPUTED_VALUE"""),"Solomon Islands")</f>
        <v>Solomon Islands</v>
      </c>
      <c r="E772" s="135"/>
      <c r="F772" s="31"/>
    </row>
    <row r="773">
      <c r="A773" s="134" t="str">
        <f>IFERROR(__xludf.DUMMYFUNCTION("""COMPUTED_VALUE"""),"Baubau")</f>
        <v>Baubau</v>
      </c>
      <c r="B773" s="120" t="str">
        <f>IFERROR(__xludf.DUMMYFUNCTION("""COMPUTED_VALUE"""),"BUW")</f>
        <v>BUW</v>
      </c>
      <c r="C773" s="120" t="str">
        <f>IFERROR(__xludf.DUMMYFUNCTION("""COMPUTED_VALUE"""),"Baubau")</f>
        <v>Baubau</v>
      </c>
      <c r="D773" s="120" t="str">
        <f>IFERROR(__xludf.DUMMYFUNCTION("""COMPUTED_VALUE"""),"Indonesia")</f>
        <v>Indonesia</v>
      </c>
      <c r="E773" s="135"/>
      <c r="F773" s="31"/>
    </row>
    <row r="774">
      <c r="A774" s="134" t="str">
        <f>IFERROR(__xludf.DUMMYFUNCTION("""COMPUTED_VALUE"""),"Baucau")</f>
        <v>Baucau</v>
      </c>
      <c r="B774" s="120" t="str">
        <f>IFERROR(__xludf.DUMMYFUNCTION("""COMPUTED_VALUE"""),"BCH")</f>
        <v>BCH</v>
      </c>
      <c r="C774" s="120" t="str">
        <f>IFERROR(__xludf.DUMMYFUNCTION("""COMPUTED_VALUE"""),"English Madeira")</f>
        <v>English Madeira</v>
      </c>
      <c r="D774" s="120" t="str">
        <f>IFERROR(__xludf.DUMMYFUNCTION("""COMPUTED_VALUE"""),"Indonesia (East Timor)")</f>
        <v>Indonesia (East Timor)</v>
      </c>
      <c r="E774" s="135"/>
      <c r="F774" s="31"/>
    </row>
    <row r="775">
      <c r="A775" s="134" t="str">
        <f>IFERROR(__xludf.DUMMYFUNCTION("""COMPUTED_VALUE"""),"Bauchi")</f>
        <v>Bauchi</v>
      </c>
      <c r="B775" s="120" t="str">
        <f>IFERROR(__xludf.DUMMYFUNCTION("""COMPUTED_VALUE"""),"BCU")</f>
        <v>BCU</v>
      </c>
      <c r="C775" s="120" t="str">
        <f>IFERROR(__xludf.DUMMYFUNCTION("""COMPUTED_VALUE"""),"Bauchi")</f>
        <v>Bauchi</v>
      </c>
      <c r="D775" s="120" t="str">
        <f>IFERROR(__xludf.DUMMYFUNCTION("""COMPUTED_VALUE"""),"Nigeria")</f>
        <v>Nigeria</v>
      </c>
      <c r="E775" s="135"/>
      <c r="F775" s="31"/>
    </row>
    <row r="776">
      <c r="A776" s="134" t="str">
        <f>IFERROR(__xludf.DUMMYFUNCTION("""COMPUTED_VALUE"""),"Baudette")</f>
        <v>Baudette</v>
      </c>
      <c r="B776" s="120" t="str">
        <f>IFERROR(__xludf.DUMMYFUNCTION("""COMPUTED_VALUE"""),"BDE")</f>
        <v>BDE</v>
      </c>
      <c r="C776" s="120" t="str">
        <f>IFERROR(__xludf.DUMMYFUNCTION("""COMPUTED_VALUE"""),"Baudette")</f>
        <v>Baudette</v>
      </c>
      <c r="D776" s="120" t="str">
        <f>IFERROR(__xludf.DUMMYFUNCTION("""COMPUTED_VALUE"""),"United States")</f>
        <v>United States</v>
      </c>
      <c r="E776" s="135"/>
      <c r="F776" s="31"/>
    </row>
    <row r="777">
      <c r="A777" s="134" t="str">
        <f>IFERROR(__xludf.DUMMYFUNCTION("""COMPUTED_VALUE"""),"Baures")</f>
        <v>Baures</v>
      </c>
      <c r="B777" s="120" t="str">
        <f>IFERROR(__xludf.DUMMYFUNCTION("""COMPUTED_VALUE"""),"BVL")</f>
        <v>BVL</v>
      </c>
      <c r="C777" s="120" t="str">
        <f>IFERROR(__xludf.DUMMYFUNCTION("""COMPUTED_VALUE"""),"Baures")</f>
        <v>Baures</v>
      </c>
      <c r="D777" s="120" t="str">
        <f>IFERROR(__xludf.DUMMYFUNCTION("""COMPUTED_VALUE"""),"Bolivia")</f>
        <v>Bolivia</v>
      </c>
      <c r="E777" s="135"/>
      <c r="F777" s="31"/>
    </row>
    <row r="778">
      <c r="A778" s="134" t="str">
        <f>IFERROR(__xludf.DUMMYFUNCTION("""COMPUTED_VALUE"""),"Bauru")</f>
        <v>Bauru</v>
      </c>
      <c r="B778" s="120" t="str">
        <f>IFERROR(__xludf.DUMMYFUNCTION("""COMPUTED_VALUE"""),"BAU")</f>
        <v>BAU</v>
      </c>
      <c r="C778" s="120" t="str">
        <f>IFERROR(__xludf.DUMMYFUNCTION("""COMPUTED_VALUE"""),"Bauru")</f>
        <v>Bauru</v>
      </c>
      <c r="D778" s="120" t="str">
        <f>IFERROR(__xludf.DUMMYFUNCTION("""COMPUTED_VALUE"""),"Brazil")</f>
        <v>Brazil</v>
      </c>
      <c r="E778" s="135"/>
      <c r="F778" s="31"/>
    </row>
    <row r="779">
      <c r="A779" s="134" t="str">
        <f>IFERROR(__xludf.DUMMYFUNCTION("""COMPUTED_VALUE"""),"Bawan")</f>
        <v>Bawan</v>
      </c>
      <c r="B779" s="120" t="str">
        <f>IFERROR(__xludf.DUMMYFUNCTION("""COMPUTED_VALUE"""),"BWJ")</f>
        <v>BWJ</v>
      </c>
      <c r="C779" s="120" t="str">
        <f>IFERROR(__xludf.DUMMYFUNCTION("""COMPUTED_VALUE"""),"Bawan")</f>
        <v>Bawan</v>
      </c>
      <c r="D779" s="120" t="str">
        <f>IFERROR(__xludf.DUMMYFUNCTION("""COMPUTED_VALUE"""),"Papua New Guinea")</f>
        <v>Papua New Guinea</v>
      </c>
      <c r="E779" s="135"/>
      <c r="F779" s="31"/>
    </row>
    <row r="780">
      <c r="A780" s="134" t="str">
        <f>IFERROR(__xludf.DUMMYFUNCTION("""COMPUTED_VALUE"""),"Bay City")</f>
        <v>Bay City</v>
      </c>
      <c r="B780" s="120" t="str">
        <f>IFERROR(__xludf.DUMMYFUNCTION("""COMPUTED_VALUE"""),"BBC")</f>
        <v>BBC</v>
      </c>
      <c r="C780" s="120" t="str">
        <f>IFERROR(__xludf.DUMMYFUNCTION("""COMPUTED_VALUE"""),"Bay City")</f>
        <v>Bay City</v>
      </c>
      <c r="D780" s="120" t="str">
        <f>IFERROR(__xludf.DUMMYFUNCTION("""COMPUTED_VALUE"""),"United States")</f>
        <v>United States</v>
      </c>
      <c r="E780" s="135"/>
      <c r="F780" s="31"/>
    </row>
    <row r="781">
      <c r="A781" s="134" t="str">
        <f>IFERROR(__xludf.DUMMYFUNCTION("""COMPUTED_VALUE"""),"Bayamo")</f>
        <v>Bayamo</v>
      </c>
      <c r="B781" s="120" t="str">
        <f>IFERROR(__xludf.DUMMYFUNCTION("""COMPUTED_VALUE"""),"BYM")</f>
        <v>BYM</v>
      </c>
      <c r="C781" s="120" t="str">
        <f>IFERROR(__xludf.DUMMYFUNCTION("""COMPUTED_VALUE"""),"C.M. de Cespedes")</f>
        <v>C.M. de Cespedes</v>
      </c>
      <c r="D781" s="120" t="str">
        <f>IFERROR(__xludf.DUMMYFUNCTION("""COMPUTED_VALUE"""),"Cuba")</f>
        <v>Cuba</v>
      </c>
      <c r="E781" s="135"/>
      <c r="F781" s="31"/>
    </row>
    <row r="782">
      <c r="A782" s="134" t="str">
        <f>IFERROR(__xludf.DUMMYFUNCTION("""COMPUTED_VALUE"""),"Bayankhongor")</f>
        <v>Bayankhongor</v>
      </c>
      <c r="B782" s="120" t="str">
        <f>IFERROR(__xludf.DUMMYFUNCTION("""COMPUTED_VALUE"""),"BYN")</f>
        <v>BYN</v>
      </c>
      <c r="C782" s="120" t="str">
        <f>IFERROR(__xludf.DUMMYFUNCTION("""COMPUTED_VALUE"""),"Bayankhongor")</f>
        <v>Bayankhongor</v>
      </c>
      <c r="D782" s="120" t="str">
        <f>IFERROR(__xludf.DUMMYFUNCTION("""COMPUTED_VALUE"""),"Mongolia")</f>
        <v>Mongolia</v>
      </c>
      <c r="E782" s="135"/>
      <c r="F782" s="31"/>
    </row>
    <row r="783">
      <c r="A783" s="134" t="str">
        <f>IFERROR(__xludf.DUMMYFUNCTION("""COMPUTED_VALUE"""),"Bayreuth")</f>
        <v>Bayreuth</v>
      </c>
      <c r="B783" s="120" t="str">
        <f>IFERROR(__xludf.DUMMYFUNCTION("""COMPUTED_VALUE"""),"BYU")</f>
        <v>BYU</v>
      </c>
      <c r="C783" s="120" t="str">
        <f>IFERROR(__xludf.DUMMYFUNCTION("""COMPUTED_VALUE"""),"Bindlacher-Berg")</f>
        <v>Bindlacher-Berg</v>
      </c>
      <c r="D783" s="120" t="str">
        <f>IFERROR(__xludf.DUMMYFUNCTION("""COMPUTED_VALUE"""),"Germany")</f>
        <v>Germany</v>
      </c>
      <c r="E783" s="135"/>
      <c r="F783" s="31"/>
    </row>
    <row r="784">
      <c r="A784" s="134" t="str">
        <f>IFERROR(__xludf.DUMMYFUNCTION("""COMPUTED_VALUE"""),"Baytown")</f>
        <v>Baytown</v>
      </c>
      <c r="B784" s="120" t="str">
        <f>IFERROR(__xludf.DUMMYFUNCTION("""COMPUTED_VALUE"""),"HPY")</f>
        <v>HPY</v>
      </c>
      <c r="C784" s="120" t="str">
        <f>IFERROR(__xludf.DUMMYFUNCTION("""COMPUTED_VALUE"""),"Baytown")</f>
        <v>Baytown</v>
      </c>
      <c r="D784" s="120" t="str">
        <f>IFERROR(__xludf.DUMMYFUNCTION("""COMPUTED_VALUE"""),"United States")</f>
        <v>United States</v>
      </c>
      <c r="E784" s="135"/>
      <c r="F784" s="31"/>
    </row>
    <row r="785">
      <c r="A785" s="134" t="str">
        <f>IFERROR(__xludf.DUMMYFUNCTION("""COMPUTED_VALUE"""),"Bazaruto Island")</f>
        <v>Bazaruto Island</v>
      </c>
      <c r="B785" s="120" t="str">
        <f>IFERROR(__xludf.DUMMYFUNCTION("""COMPUTED_VALUE"""),"BZB")</f>
        <v>BZB</v>
      </c>
      <c r="C785" s="137" t="str">
        <f>IFERROR(__xludf.DUMMYFUNCTION("""COMPUTED_VALUE"""),"Bazaruto Island")</f>
        <v>Bazaruto Island</v>
      </c>
      <c r="D785" s="120" t="str">
        <f>IFERROR(__xludf.DUMMYFUNCTION("""COMPUTED_VALUE"""),"Mozambique")</f>
        <v>Mozambique</v>
      </c>
      <c r="E785" s="135"/>
      <c r="F785" s="31"/>
    </row>
    <row r="786">
      <c r="A786" s="134" t="str">
        <f>IFERROR(__xludf.DUMMYFUNCTION("""COMPUTED_VALUE"""),"Beagle Bay")</f>
        <v>Beagle Bay</v>
      </c>
      <c r="B786" s="120" t="str">
        <f>IFERROR(__xludf.DUMMYFUNCTION("""COMPUTED_VALUE"""),"BEE")</f>
        <v>BEE</v>
      </c>
      <c r="C786" s="120" t="str">
        <f>IFERROR(__xludf.DUMMYFUNCTION("""COMPUTED_VALUE"""),"Beagle Bay")</f>
        <v>Beagle Bay</v>
      </c>
      <c r="D786" s="120" t="str">
        <f>IFERROR(__xludf.DUMMYFUNCTION("""COMPUTED_VALUE"""),"Australia")</f>
        <v>Australia</v>
      </c>
      <c r="E786" s="135"/>
      <c r="F786" s="31"/>
    </row>
    <row r="787">
      <c r="A787" s="134" t="str">
        <f>IFERROR(__xludf.DUMMYFUNCTION("""COMPUTED_VALUE"""),"Bealanana")</f>
        <v>Bealanana</v>
      </c>
      <c r="B787" s="120" t="str">
        <f>IFERROR(__xludf.DUMMYFUNCTION("""COMPUTED_VALUE"""),"WBE")</f>
        <v>WBE</v>
      </c>
      <c r="C787" s="120" t="str">
        <f>IFERROR(__xludf.DUMMYFUNCTION("""COMPUTED_VALUE"""),"Bealanana")</f>
        <v>Bealanana</v>
      </c>
      <c r="D787" s="120" t="str">
        <f>IFERROR(__xludf.DUMMYFUNCTION("""COMPUTED_VALUE"""),"Madagascar")</f>
        <v>Madagascar</v>
      </c>
      <c r="E787" s="135"/>
      <c r="F787" s="31"/>
    </row>
    <row r="788">
      <c r="A788" s="134" t="str">
        <f>IFERROR(__xludf.DUMMYFUNCTION("""COMPUTED_VALUE"""),"Bear Creek")</f>
        <v>Bear Creek</v>
      </c>
      <c r="B788" s="120" t="str">
        <f>IFERROR(__xludf.DUMMYFUNCTION("""COMPUTED_VALUE"""),"BCC")</f>
        <v>BCC</v>
      </c>
      <c r="C788" s="120" t="str">
        <f>IFERROR(__xludf.DUMMYFUNCTION("""COMPUTED_VALUE"""),"Bear Creek")</f>
        <v>Bear Creek</v>
      </c>
      <c r="D788" s="120" t="str">
        <f>IFERROR(__xludf.DUMMYFUNCTION("""COMPUTED_VALUE"""),"United States")</f>
        <v>United States</v>
      </c>
      <c r="E788" s="135"/>
      <c r="F788" s="31"/>
    </row>
    <row r="789">
      <c r="A789" s="134" t="str">
        <f>IFERROR(__xludf.DUMMYFUNCTION("""COMPUTED_VALUE"""),"Bearskin Lake")</f>
        <v>Bearskin Lake</v>
      </c>
      <c r="B789" s="120" t="str">
        <f>IFERROR(__xludf.DUMMYFUNCTION("""COMPUTED_VALUE"""),"XBE")</f>
        <v>XBE</v>
      </c>
      <c r="C789" s="120" t="str">
        <f>IFERROR(__xludf.DUMMYFUNCTION("""COMPUTED_VALUE"""),"Bearskin Lake")</f>
        <v>Bearskin Lake</v>
      </c>
      <c r="D789" s="120" t="str">
        <f>IFERROR(__xludf.DUMMYFUNCTION("""COMPUTED_VALUE"""),"Canada")</f>
        <v>Canada</v>
      </c>
      <c r="E789" s="135"/>
      <c r="F789" s="31"/>
    </row>
    <row r="790">
      <c r="A790" s="134" t="str">
        <f>IFERROR(__xludf.DUMMYFUNCTION("""COMPUTED_VALUE"""),"Beatrice")</f>
        <v>Beatrice</v>
      </c>
      <c r="B790" s="120" t="str">
        <f>IFERROR(__xludf.DUMMYFUNCTION("""COMPUTED_VALUE"""),"BIE")</f>
        <v>BIE</v>
      </c>
      <c r="C790" s="120" t="str">
        <f>IFERROR(__xludf.DUMMYFUNCTION("""COMPUTED_VALUE"""),"Beatrice")</f>
        <v>Beatrice</v>
      </c>
      <c r="D790" s="120" t="str">
        <f>IFERROR(__xludf.DUMMYFUNCTION("""COMPUTED_VALUE"""),"United States")</f>
        <v>United States</v>
      </c>
      <c r="E790" s="135"/>
      <c r="F790" s="31"/>
    </row>
    <row r="791">
      <c r="A791" s="134" t="str">
        <f>IFERROR(__xludf.DUMMYFUNCTION("""COMPUTED_VALUE"""),"Beatton River")</f>
        <v>Beatton River</v>
      </c>
      <c r="B791" s="120" t="str">
        <f>IFERROR(__xludf.DUMMYFUNCTION("""COMPUTED_VALUE"""),"YZC")</f>
        <v>YZC</v>
      </c>
      <c r="C791" s="120" t="str">
        <f>IFERROR(__xludf.DUMMYFUNCTION("""COMPUTED_VALUE"""),"Beatton River")</f>
        <v>Beatton River</v>
      </c>
      <c r="D791" s="120" t="str">
        <f>IFERROR(__xludf.DUMMYFUNCTION("""COMPUTED_VALUE"""),"Canada")</f>
        <v>Canada</v>
      </c>
      <c r="E791" s="135"/>
      <c r="F791" s="31"/>
    </row>
    <row r="792">
      <c r="A792" s="134" t="str">
        <f>IFERROR(__xludf.DUMMYFUNCTION("""COMPUTED_VALUE"""),"Beatty")</f>
        <v>Beatty</v>
      </c>
      <c r="B792" s="120" t="str">
        <f>IFERROR(__xludf.DUMMYFUNCTION("""COMPUTED_VALUE"""),"BTY")</f>
        <v>BTY</v>
      </c>
      <c r="C792" s="120" t="str">
        <f>IFERROR(__xludf.DUMMYFUNCTION("""COMPUTED_VALUE"""),"Beatty")</f>
        <v>Beatty</v>
      </c>
      <c r="D792" s="120" t="str">
        <f>IFERROR(__xludf.DUMMYFUNCTION("""COMPUTED_VALUE"""),"United States")</f>
        <v>United States</v>
      </c>
      <c r="E792" s="135"/>
      <c r="F792" s="31"/>
    </row>
    <row r="793">
      <c r="A793" s="134" t="str">
        <f>IFERROR(__xludf.DUMMYFUNCTION("""COMPUTED_VALUE"""),"Beaufort")</f>
        <v>Beaufort</v>
      </c>
      <c r="B793" s="120" t="str">
        <f>IFERROR(__xludf.DUMMYFUNCTION("""COMPUTED_VALUE"""),"BFT")</f>
        <v>BFT</v>
      </c>
      <c r="C793" s="120" t="str">
        <f>IFERROR(__xludf.DUMMYFUNCTION("""COMPUTED_VALUE"""),"County")</f>
        <v>County</v>
      </c>
      <c r="D793" s="120" t="str">
        <f>IFERROR(__xludf.DUMMYFUNCTION("""COMPUTED_VALUE"""),"United States")</f>
        <v>United States</v>
      </c>
      <c r="E793" s="135"/>
      <c r="F793" s="31"/>
    </row>
    <row r="794">
      <c r="A794" s="134" t="str">
        <f>IFERROR(__xludf.DUMMYFUNCTION("""COMPUTED_VALUE"""),"Beaumont")</f>
        <v>Beaumont</v>
      </c>
      <c r="B794" s="120" t="str">
        <f>IFERROR(__xludf.DUMMYFUNCTION("""COMPUTED_VALUE"""),"BMT")</f>
        <v>BMT</v>
      </c>
      <c r="C794" s="120" t="str">
        <f>IFERROR(__xludf.DUMMYFUNCTION("""COMPUTED_VALUE"""),"Beaumont Muni")</f>
        <v>Beaumont Muni</v>
      </c>
      <c r="D794" s="120" t="str">
        <f>IFERROR(__xludf.DUMMYFUNCTION("""COMPUTED_VALUE"""),"United States")</f>
        <v>United States</v>
      </c>
      <c r="E794" s="135"/>
      <c r="F794" s="31"/>
    </row>
    <row r="795">
      <c r="A795" s="134" t="str">
        <f>IFERROR(__xludf.DUMMYFUNCTION("""COMPUTED_VALUE"""),"Beaumont")</f>
        <v>Beaumont</v>
      </c>
      <c r="B795" s="120" t="str">
        <f>IFERROR(__xludf.DUMMYFUNCTION("""COMPUTED_VALUE"""),"BPT")</f>
        <v>BPT</v>
      </c>
      <c r="C795" s="120" t="str">
        <f>IFERROR(__xludf.DUMMYFUNCTION("""COMPUTED_VALUE"""),"Jefferson County")</f>
        <v>Jefferson County</v>
      </c>
      <c r="D795" s="120" t="str">
        <f>IFERROR(__xludf.DUMMYFUNCTION("""COMPUTED_VALUE"""),"United States")</f>
        <v>United States</v>
      </c>
      <c r="E795" s="135"/>
      <c r="F795" s="31"/>
    </row>
    <row r="796">
      <c r="A796" s="134" t="str">
        <f>IFERROR(__xludf.DUMMYFUNCTION("""COMPUTED_VALUE"""),"Beaver")</f>
        <v>Beaver</v>
      </c>
      <c r="B796" s="120" t="str">
        <f>IFERROR(__xludf.DUMMYFUNCTION("""COMPUTED_VALUE"""),"WBQ")</f>
        <v>WBQ</v>
      </c>
      <c r="C796" s="120" t="str">
        <f>IFERROR(__xludf.DUMMYFUNCTION("""COMPUTED_VALUE"""),"Beaver")</f>
        <v>Beaver</v>
      </c>
      <c r="D796" s="120" t="str">
        <f>IFERROR(__xludf.DUMMYFUNCTION("""COMPUTED_VALUE"""),"United States")</f>
        <v>United States</v>
      </c>
      <c r="E796" s="135"/>
      <c r="F796" s="31"/>
    </row>
    <row r="797">
      <c r="A797" s="134" t="str">
        <f>IFERROR(__xludf.DUMMYFUNCTION("""COMPUTED_VALUE"""),"Beaver Creek")</f>
        <v>Beaver Creek</v>
      </c>
      <c r="B797" s="120" t="str">
        <f>IFERROR(__xludf.DUMMYFUNCTION("""COMPUTED_VALUE"""),"YXQ")</f>
        <v>YXQ</v>
      </c>
      <c r="C797" s="120" t="str">
        <f>IFERROR(__xludf.DUMMYFUNCTION("""COMPUTED_VALUE"""),"Beaver Creek")</f>
        <v>Beaver Creek</v>
      </c>
      <c r="D797" s="120" t="str">
        <f>IFERROR(__xludf.DUMMYFUNCTION("""COMPUTED_VALUE"""),"Canada")</f>
        <v>Canada</v>
      </c>
      <c r="E797" s="135"/>
      <c r="F797" s="31"/>
    </row>
    <row r="798">
      <c r="A798" s="134" t="str">
        <f>IFERROR(__xludf.DUMMYFUNCTION("""COMPUTED_VALUE"""),"Beaver Falls")</f>
        <v>Beaver Falls</v>
      </c>
      <c r="B798" s="120" t="str">
        <f>IFERROR(__xludf.DUMMYFUNCTION("""COMPUTED_VALUE"""),"BFP")</f>
        <v>BFP</v>
      </c>
      <c r="C798" s="120" t="str">
        <f>IFERROR(__xludf.DUMMYFUNCTION("""COMPUTED_VALUE"""),"Beaver Falls")</f>
        <v>Beaver Falls</v>
      </c>
      <c r="D798" s="120" t="str">
        <f>IFERROR(__xludf.DUMMYFUNCTION("""COMPUTED_VALUE"""),"United States")</f>
        <v>United States</v>
      </c>
      <c r="E798" s="135"/>
      <c r="F798" s="31"/>
    </row>
    <row r="799">
      <c r="A799" s="134" t="str">
        <f>IFERROR(__xludf.DUMMYFUNCTION("""COMPUTED_VALUE"""),"Beaver Inlet")</f>
        <v>Beaver Inlet</v>
      </c>
      <c r="B799" s="120" t="str">
        <f>IFERROR(__xludf.DUMMYFUNCTION("""COMPUTED_VALUE"""),"BVD")</f>
        <v>BVD</v>
      </c>
      <c r="C799" s="120" t="str">
        <f>IFERROR(__xludf.DUMMYFUNCTION("""COMPUTED_VALUE"""),"Sea Port")</f>
        <v>Sea Port</v>
      </c>
      <c r="D799" s="120" t="str">
        <f>IFERROR(__xludf.DUMMYFUNCTION("""COMPUTED_VALUE"""),"United States")</f>
        <v>United States</v>
      </c>
      <c r="E799" s="135"/>
      <c r="F799" s="31"/>
    </row>
    <row r="800">
      <c r="A800" s="134" t="str">
        <f>IFERROR(__xludf.DUMMYFUNCTION("""COMPUTED_VALUE"""),"Bechar")</f>
        <v>Bechar</v>
      </c>
      <c r="B800" s="120" t="str">
        <f>IFERROR(__xludf.DUMMYFUNCTION("""COMPUTED_VALUE"""),"CBH")</f>
        <v>CBH</v>
      </c>
      <c r="C800" s="120" t="str">
        <f>IFERROR(__xludf.DUMMYFUNCTION("""COMPUTED_VALUE"""),"Leger")</f>
        <v>Leger</v>
      </c>
      <c r="D800" s="120" t="str">
        <f>IFERROR(__xludf.DUMMYFUNCTION("""COMPUTED_VALUE"""),"Algeria")</f>
        <v>Algeria</v>
      </c>
      <c r="E800" s="135"/>
      <c r="F800" s="31"/>
    </row>
    <row r="801">
      <c r="A801" s="134" t="str">
        <f>IFERROR(__xludf.DUMMYFUNCTION("""COMPUTED_VALUE"""),"Beckley")</f>
        <v>Beckley</v>
      </c>
      <c r="B801" s="120" t="str">
        <f>IFERROR(__xludf.DUMMYFUNCTION("""COMPUTED_VALUE"""),"BKW")</f>
        <v>BKW</v>
      </c>
      <c r="C801" s="120" t="str">
        <f>IFERROR(__xludf.DUMMYFUNCTION("""COMPUTED_VALUE"""),"Beckley")</f>
        <v>Beckley</v>
      </c>
      <c r="D801" s="120" t="str">
        <f>IFERROR(__xludf.DUMMYFUNCTION("""COMPUTED_VALUE"""),"United States")</f>
        <v>United States</v>
      </c>
      <c r="E801" s="135"/>
      <c r="F801" s="31"/>
    </row>
    <row r="802">
      <c r="A802" s="134" t="str">
        <f>IFERROR(__xludf.DUMMYFUNCTION("""COMPUTED_VALUE"""),"Bedford")</f>
        <v>Bedford</v>
      </c>
      <c r="B802" s="120" t="str">
        <f>IFERROR(__xludf.DUMMYFUNCTION("""COMPUTED_VALUE"""),"BFR")</f>
        <v>BFR</v>
      </c>
      <c r="C802" s="120" t="str">
        <f>IFERROR(__xludf.DUMMYFUNCTION("""COMPUTED_VALUE"""),"Virgil I Grissom Muni")</f>
        <v>Virgil I Grissom Muni</v>
      </c>
      <c r="D802" s="120" t="str">
        <f>IFERROR(__xludf.DUMMYFUNCTION("""COMPUTED_VALUE"""),"United States")</f>
        <v>United States</v>
      </c>
      <c r="E802" s="135"/>
      <c r="F802" s="31"/>
    </row>
    <row r="803">
      <c r="A803" s="134" t="str">
        <f>IFERROR(__xludf.DUMMYFUNCTION("""COMPUTED_VALUE"""),"Bedford Downs")</f>
        <v>Bedford Downs</v>
      </c>
      <c r="B803" s="120" t="str">
        <f>IFERROR(__xludf.DUMMYFUNCTION("""COMPUTED_VALUE"""),"BDW")</f>
        <v>BDW</v>
      </c>
      <c r="C803" s="120" t="str">
        <f>IFERROR(__xludf.DUMMYFUNCTION("""COMPUTED_VALUE"""),"Bedford Downs")</f>
        <v>Bedford Downs</v>
      </c>
      <c r="D803" s="120" t="str">
        <f>IFERROR(__xludf.DUMMYFUNCTION("""COMPUTED_VALUE"""),"Australia")</f>
        <v>Australia</v>
      </c>
      <c r="E803" s="135"/>
      <c r="F803" s="31"/>
    </row>
    <row r="804">
      <c r="A804" s="134" t="str">
        <f>IFERROR(__xludf.DUMMYFUNCTION("""COMPUTED_VALUE"""),"Bedford/Hanscom")</f>
        <v>Bedford/Hanscom</v>
      </c>
      <c r="B804" s="120" t="str">
        <f>IFERROR(__xludf.DUMMYFUNCTION("""COMPUTED_VALUE"""),"BED")</f>
        <v>BED</v>
      </c>
      <c r="C804" s="120" t="str">
        <f>IFERROR(__xludf.DUMMYFUNCTION("""COMPUTED_VALUE"""),"Hanscom Field")</f>
        <v>Hanscom Field</v>
      </c>
      <c r="D804" s="120" t="str">
        <f>IFERROR(__xludf.DUMMYFUNCTION("""COMPUTED_VALUE"""),"United States")</f>
        <v>United States</v>
      </c>
      <c r="E804" s="135"/>
      <c r="F804" s="31"/>
    </row>
    <row r="805">
      <c r="A805" s="134" t="str">
        <f>IFERROR(__xludf.DUMMYFUNCTION("""COMPUTED_VALUE"""),"Bedourie")</f>
        <v>Bedourie</v>
      </c>
      <c r="B805" s="120" t="str">
        <f>IFERROR(__xludf.DUMMYFUNCTION("""COMPUTED_VALUE"""),"BEU")</f>
        <v>BEU</v>
      </c>
      <c r="C805" s="120" t="str">
        <f>IFERROR(__xludf.DUMMYFUNCTION("""COMPUTED_VALUE"""),"Bedourie")</f>
        <v>Bedourie</v>
      </c>
      <c r="D805" s="120" t="str">
        <f>IFERROR(__xludf.DUMMYFUNCTION("""COMPUTED_VALUE"""),"Australia")</f>
        <v>Australia</v>
      </c>
      <c r="E805" s="135"/>
      <c r="F805" s="31"/>
    </row>
    <row r="806">
      <c r="A806" s="134" t="str">
        <f>IFERROR(__xludf.DUMMYFUNCTION("""COMPUTED_VALUE"""),"Bedwell Harbor")</f>
        <v>Bedwell Harbor</v>
      </c>
      <c r="B806" s="120" t="str">
        <f>IFERROR(__xludf.DUMMYFUNCTION("""COMPUTED_VALUE"""),"YBW")</f>
        <v>YBW</v>
      </c>
      <c r="C806" s="120" t="str">
        <f>IFERROR(__xludf.DUMMYFUNCTION("""COMPUTED_VALUE"""),"Bedwell Harbor")</f>
        <v>Bedwell Harbor</v>
      </c>
      <c r="D806" s="120" t="str">
        <f>IFERROR(__xludf.DUMMYFUNCTION("""COMPUTED_VALUE"""),"Canada")</f>
        <v>Canada</v>
      </c>
      <c r="E806" s="135"/>
      <c r="F806" s="31"/>
    </row>
    <row r="807">
      <c r="A807" s="134" t="str">
        <f>IFERROR(__xludf.DUMMYFUNCTION("""COMPUTED_VALUE"""),"Beef Island")</f>
        <v>Beef Island</v>
      </c>
      <c r="B807" s="120" t="str">
        <f>IFERROR(__xludf.DUMMYFUNCTION("""COMPUTED_VALUE"""),"EIS")</f>
        <v>EIS</v>
      </c>
      <c r="C807" s="120" t="str">
        <f>IFERROR(__xludf.DUMMYFUNCTION("""COMPUTED_VALUE"""),"Beef Island")</f>
        <v>Beef Island</v>
      </c>
      <c r="D807" s="120" t="str">
        <f>IFERROR(__xludf.DUMMYFUNCTION("""COMPUTED_VALUE"""),"Virgin Islands (British)")</f>
        <v>Virgin Islands (British)</v>
      </c>
      <c r="E807" s="135"/>
      <c r="F807" s="31"/>
    </row>
    <row r="808">
      <c r="A808" s="134" t="str">
        <f>IFERROR(__xludf.DUMMYFUNCTION("""COMPUTED_VALUE"""),"Beer Sheba")</f>
        <v>Beer Sheba</v>
      </c>
      <c r="B808" s="120" t="str">
        <f>IFERROR(__xludf.DUMMYFUNCTION("""COMPUTED_VALUE"""),"BEV")</f>
        <v>BEV</v>
      </c>
      <c r="C808" s="120" t="str">
        <f>IFERROR(__xludf.DUMMYFUNCTION("""COMPUTED_VALUE"""),"Beer Sheba")</f>
        <v>Beer Sheba</v>
      </c>
      <c r="D808" s="120" t="str">
        <f>IFERROR(__xludf.DUMMYFUNCTION("""COMPUTED_VALUE"""),"Israel")</f>
        <v>Israel</v>
      </c>
      <c r="E808" s="135"/>
      <c r="F808" s="31"/>
    </row>
    <row r="809">
      <c r="A809" s="134" t="str">
        <f>IFERROR(__xludf.DUMMYFUNCTION("""COMPUTED_VALUE"""),"Beeville")</f>
        <v>Beeville</v>
      </c>
      <c r="B809" s="120" t="str">
        <f>IFERROR(__xludf.DUMMYFUNCTION("""COMPUTED_VALUE"""),"NIR")</f>
        <v>NIR</v>
      </c>
      <c r="C809" s="120" t="str">
        <f>IFERROR(__xludf.DUMMYFUNCTION("""COMPUTED_VALUE"""),"Chase Field NAS")</f>
        <v>Chase Field NAS</v>
      </c>
      <c r="D809" s="120" t="str">
        <f>IFERROR(__xludf.DUMMYFUNCTION("""COMPUTED_VALUE"""),"United States")</f>
        <v>United States</v>
      </c>
      <c r="E809" s="135"/>
      <c r="F809" s="31"/>
    </row>
    <row r="810">
      <c r="A810" s="134" t="str">
        <f>IFERROR(__xludf.DUMMYFUNCTION("""COMPUTED_VALUE"""),"Befandriana")</f>
        <v>Befandriana</v>
      </c>
      <c r="B810" s="120" t="str">
        <f>IFERROR(__xludf.DUMMYFUNCTION("""COMPUTED_VALUE"""),"WBD")</f>
        <v>WBD</v>
      </c>
      <c r="C810" s="120" t="str">
        <f>IFERROR(__xludf.DUMMYFUNCTION("""COMPUTED_VALUE"""),"Befandriana")</f>
        <v>Befandriana</v>
      </c>
      <c r="D810" s="120" t="str">
        <f>IFERROR(__xludf.DUMMYFUNCTION("""COMPUTED_VALUE"""),"Madagascar")</f>
        <v>Madagascar</v>
      </c>
      <c r="E810" s="135"/>
      <c r="F810" s="31"/>
    </row>
    <row r="811">
      <c r="A811" s="134" t="str">
        <f>IFERROR(__xludf.DUMMYFUNCTION("""COMPUTED_VALUE"""),"Beica")</f>
        <v>Beica</v>
      </c>
      <c r="B811" s="120" t="str">
        <f>IFERROR(__xludf.DUMMYFUNCTION("""COMPUTED_VALUE"""),"BEI")</f>
        <v>BEI</v>
      </c>
      <c r="C811" s="120" t="str">
        <f>IFERROR(__xludf.DUMMYFUNCTION("""COMPUTED_VALUE"""),"Beica")</f>
        <v>Beica</v>
      </c>
      <c r="D811" s="120" t="str">
        <f>IFERROR(__xludf.DUMMYFUNCTION("""COMPUTED_VALUE"""),"Ethiopia")</f>
        <v>Ethiopia</v>
      </c>
      <c r="E811" s="135"/>
      <c r="F811" s="31"/>
    </row>
    <row r="812">
      <c r="A812" s="134" t="str">
        <f>IFERROR(__xludf.DUMMYFUNCTION("""COMPUTED_VALUE"""),"Beida")</f>
        <v>Beida</v>
      </c>
      <c r="B812" s="120" t="str">
        <f>IFERROR(__xludf.DUMMYFUNCTION("""COMPUTED_VALUE"""),"LAQ")</f>
        <v>LAQ</v>
      </c>
      <c r="C812" s="120" t="str">
        <f>IFERROR(__xludf.DUMMYFUNCTION("""COMPUTED_VALUE"""),"La Braq")</f>
        <v>La Braq</v>
      </c>
      <c r="D812" s="120" t="str">
        <f>IFERROR(__xludf.DUMMYFUNCTION("""COMPUTED_VALUE"""),"Libya")</f>
        <v>Libya</v>
      </c>
      <c r="E812" s="135"/>
      <c r="F812" s="31"/>
    </row>
    <row r="813">
      <c r="A813" s="134" t="str">
        <f>IFERROR(__xludf.DUMMYFUNCTION("""COMPUTED_VALUE"""),"Beidah")</f>
        <v>Beidah</v>
      </c>
      <c r="B813" s="120" t="str">
        <f>IFERROR(__xludf.DUMMYFUNCTION("""COMPUTED_VALUE"""),"BYD")</f>
        <v>BYD</v>
      </c>
      <c r="C813" s="120" t="str">
        <f>IFERROR(__xludf.DUMMYFUNCTION("""COMPUTED_VALUE"""),"Beidah")</f>
        <v>Beidah</v>
      </c>
      <c r="D813" s="120" t="str">
        <f>IFERROR(__xludf.DUMMYFUNCTION("""COMPUTED_VALUE"""),"Yemen")</f>
        <v>Yemen</v>
      </c>
      <c r="E813" s="135"/>
      <c r="F813" s="31"/>
    </row>
    <row r="814">
      <c r="A814" s="134" t="str">
        <f>IFERROR(__xludf.DUMMYFUNCTION("""COMPUTED_VALUE"""),"Beihai")</f>
        <v>Beihai</v>
      </c>
      <c r="B814" s="120" t="str">
        <f>IFERROR(__xludf.DUMMYFUNCTION("""COMPUTED_VALUE"""),"BHY")</f>
        <v>BHY</v>
      </c>
      <c r="C814" s="120" t="str">
        <f>IFERROR(__xludf.DUMMYFUNCTION("""COMPUTED_VALUE"""),"Beihai")</f>
        <v>Beihai</v>
      </c>
      <c r="D814" s="120" t="str">
        <f>IFERROR(__xludf.DUMMYFUNCTION("""COMPUTED_VALUE"""),"China")</f>
        <v>China</v>
      </c>
      <c r="E814" s="135"/>
      <c r="F814" s="31"/>
    </row>
    <row r="815">
      <c r="A815" s="134" t="str">
        <f>IFERROR(__xludf.DUMMYFUNCTION("""COMPUTED_VALUE"""),"Beihan")</f>
        <v>Beihan</v>
      </c>
      <c r="B815" s="120" t="str">
        <f>IFERROR(__xludf.DUMMYFUNCTION("""COMPUTED_VALUE"""),"BHN")</f>
        <v>BHN</v>
      </c>
      <c r="C815" s="120" t="str">
        <f>IFERROR(__xludf.DUMMYFUNCTION("""COMPUTED_VALUE"""),"Beihan")</f>
        <v>Beihan</v>
      </c>
      <c r="D815" s="120" t="str">
        <f>IFERROR(__xludf.DUMMYFUNCTION("""COMPUTED_VALUE"""),"Yemen")</f>
        <v>Yemen</v>
      </c>
      <c r="E815" s="135"/>
      <c r="F815" s="31"/>
    </row>
    <row r="816">
      <c r="A816" s="134" t="str">
        <f>IFERROR(__xludf.DUMMYFUNCTION("""COMPUTED_VALUE"""),"Beijing")</f>
        <v>Beijing</v>
      </c>
      <c r="B816" s="120" t="str">
        <f>IFERROR(__xludf.DUMMYFUNCTION("""COMPUTED_VALUE"""),"PEK")</f>
        <v>PEK</v>
      </c>
      <c r="C816" s="120" t="str">
        <f>IFERROR(__xludf.DUMMYFUNCTION("""COMPUTED_VALUE"""),"Capital")</f>
        <v>Capital</v>
      </c>
      <c r="D816" s="120" t="str">
        <f>IFERROR(__xludf.DUMMYFUNCTION("""COMPUTED_VALUE"""),"China")</f>
        <v>China</v>
      </c>
      <c r="E816" s="135"/>
      <c r="F816" s="31"/>
    </row>
    <row r="817">
      <c r="A817" s="134" t="str">
        <f>IFERROR(__xludf.DUMMYFUNCTION("""COMPUTED_VALUE"""),"Beijing")</f>
        <v>Beijing</v>
      </c>
      <c r="B817" s="120" t="str">
        <f>IFERROR(__xludf.DUMMYFUNCTION("""COMPUTED_VALUE"""),"NAY")</f>
        <v>NAY</v>
      </c>
      <c r="C817" s="120" t="str">
        <f>IFERROR(__xludf.DUMMYFUNCTION("""COMPUTED_VALUE"""),"Nanyuan Airport")</f>
        <v>Nanyuan Airport</v>
      </c>
      <c r="D817" s="120" t="str">
        <f>IFERROR(__xludf.DUMMYFUNCTION("""COMPUTED_VALUE"""),"China")</f>
        <v>China</v>
      </c>
      <c r="E817" s="135"/>
      <c r="F817" s="31"/>
    </row>
    <row r="818">
      <c r="A818" s="134" t="str">
        <f>IFERROR(__xludf.DUMMYFUNCTION("""COMPUTED_VALUE"""),"Beira")</f>
        <v>Beira</v>
      </c>
      <c r="B818" s="120" t="str">
        <f>IFERROR(__xludf.DUMMYFUNCTION("""COMPUTED_VALUE"""),"BEW")</f>
        <v>BEW</v>
      </c>
      <c r="C818" s="120" t="str">
        <f>IFERROR(__xludf.DUMMYFUNCTION("""COMPUTED_VALUE"""),"Beira")</f>
        <v>Beira</v>
      </c>
      <c r="D818" s="120" t="str">
        <f>IFERROR(__xludf.DUMMYFUNCTION("""COMPUTED_VALUE"""),"Mozambique")</f>
        <v>Mozambique</v>
      </c>
      <c r="E818" s="135"/>
      <c r="F818" s="31"/>
    </row>
    <row r="819">
      <c r="A819" s="134" t="str">
        <f>IFERROR(__xludf.DUMMYFUNCTION("""COMPUTED_VALUE"""),"Beirut")</f>
        <v>Beirut</v>
      </c>
      <c r="B819" s="120" t="str">
        <f>IFERROR(__xludf.DUMMYFUNCTION("""COMPUTED_VALUE"""),"BEY")</f>
        <v>BEY</v>
      </c>
      <c r="C819" s="120" t="str">
        <f>IFERROR(__xludf.DUMMYFUNCTION("""COMPUTED_VALUE"""),"Beirut Rafic Hariri International Airport")</f>
        <v>Beirut Rafic Hariri International Airport</v>
      </c>
      <c r="D819" s="120" t="str">
        <f>IFERROR(__xludf.DUMMYFUNCTION("""COMPUTED_VALUE"""),"Lebanon")</f>
        <v>Lebanon</v>
      </c>
      <c r="E819" s="135"/>
      <c r="F819" s="31"/>
    </row>
    <row r="820">
      <c r="A820" s="134" t="str">
        <f>IFERROR(__xludf.DUMMYFUNCTION("""COMPUTED_VALUE"""),"Bejaia")</f>
        <v>Bejaia</v>
      </c>
      <c r="B820" s="120" t="str">
        <f>IFERROR(__xludf.DUMMYFUNCTION("""COMPUTED_VALUE"""),"BJA")</f>
        <v>BJA</v>
      </c>
      <c r="C820" s="120" t="str">
        <f>IFERROR(__xludf.DUMMYFUNCTION("""COMPUTED_VALUE"""),"Bejaia")</f>
        <v>Bejaia</v>
      </c>
      <c r="D820" s="120" t="str">
        <f>IFERROR(__xludf.DUMMYFUNCTION("""COMPUTED_VALUE"""),"Algeria")</f>
        <v>Algeria</v>
      </c>
      <c r="E820" s="135"/>
      <c r="F820" s="31"/>
    </row>
    <row r="821">
      <c r="A821" s="134" t="str">
        <f>IFERROR(__xludf.DUMMYFUNCTION("""COMPUTED_VALUE"""),"Bekily")</f>
        <v>Bekily</v>
      </c>
      <c r="B821" s="120" t="str">
        <f>IFERROR(__xludf.DUMMYFUNCTION("""COMPUTED_VALUE"""),"OVA")</f>
        <v>OVA</v>
      </c>
      <c r="C821" s="120" t="str">
        <f>IFERROR(__xludf.DUMMYFUNCTION("""COMPUTED_VALUE"""),"Bekily")</f>
        <v>Bekily</v>
      </c>
      <c r="D821" s="120" t="str">
        <f>IFERROR(__xludf.DUMMYFUNCTION("""COMPUTED_VALUE"""),"Madagascar")</f>
        <v>Madagascar</v>
      </c>
      <c r="E821" s="135"/>
      <c r="F821" s="31"/>
    </row>
    <row r="822">
      <c r="A822" s="134" t="str">
        <f>IFERROR(__xludf.DUMMYFUNCTION("""COMPUTED_VALUE"""),"Belaga")</f>
        <v>Belaga</v>
      </c>
      <c r="B822" s="120" t="str">
        <f>IFERROR(__xludf.DUMMYFUNCTION("""COMPUTED_VALUE"""),"BLG")</f>
        <v>BLG</v>
      </c>
      <c r="C822" s="120" t="str">
        <f>IFERROR(__xludf.DUMMYFUNCTION("""COMPUTED_VALUE"""),"Belaga")</f>
        <v>Belaga</v>
      </c>
      <c r="D822" s="120" t="str">
        <f>IFERROR(__xludf.DUMMYFUNCTION("""COMPUTED_VALUE"""),"Malaysia")</f>
        <v>Malaysia</v>
      </c>
      <c r="E822" s="135"/>
      <c r="F822" s="31"/>
    </row>
    <row r="823">
      <c r="A823" s="134" t="str">
        <f>IFERROR(__xludf.DUMMYFUNCTION("""COMPUTED_VALUE"""),"Belburn")</f>
        <v>Belburn</v>
      </c>
      <c r="B823" s="120" t="str">
        <f>IFERROR(__xludf.DUMMYFUNCTION("""COMPUTED_VALUE"""),"BXF")</f>
        <v>BXF</v>
      </c>
      <c r="C823" s="120" t="str">
        <f>IFERROR(__xludf.DUMMYFUNCTION("""COMPUTED_VALUE"""),"Belburn")</f>
        <v>Belburn</v>
      </c>
      <c r="D823" s="120" t="str">
        <f>IFERROR(__xludf.DUMMYFUNCTION("""COMPUTED_VALUE"""),"Australia")</f>
        <v>Australia</v>
      </c>
      <c r="E823" s="135"/>
      <c r="F823" s="31"/>
    </row>
    <row r="824">
      <c r="A824" s="134" t="str">
        <f>IFERROR(__xludf.DUMMYFUNCTION("""COMPUTED_VALUE"""),"Belem")</f>
        <v>Belem</v>
      </c>
      <c r="B824" s="120" t="str">
        <f>IFERROR(__xludf.DUMMYFUNCTION("""COMPUTED_VALUE"""),"BEL")</f>
        <v>BEL</v>
      </c>
      <c r="C824" s="120" t="str">
        <f>IFERROR(__xludf.DUMMYFUNCTION("""COMPUTED_VALUE"""),"Val De Cans")</f>
        <v>Val De Cans</v>
      </c>
      <c r="D824" s="120" t="str">
        <f>IFERROR(__xludf.DUMMYFUNCTION("""COMPUTED_VALUE"""),"Brazil")</f>
        <v>Brazil</v>
      </c>
      <c r="E824" s="135"/>
      <c r="F824" s="31"/>
    </row>
    <row r="825">
      <c r="A825" s="134" t="str">
        <f>IFERROR(__xludf.DUMMYFUNCTION("""COMPUTED_VALUE"""),"Belep Island")</f>
        <v>Belep Island</v>
      </c>
      <c r="B825" s="120" t="str">
        <f>IFERROR(__xludf.DUMMYFUNCTION("""COMPUTED_VALUE"""),"BMY")</f>
        <v>BMY</v>
      </c>
      <c r="C825" s="120" t="str">
        <f>IFERROR(__xludf.DUMMYFUNCTION("""COMPUTED_VALUE"""),"Belep Island")</f>
        <v>Belep Island</v>
      </c>
      <c r="D825" s="120" t="str">
        <f>IFERROR(__xludf.DUMMYFUNCTION("""COMPUTED_VALUE"""),"New Caledonia")</f>
        <v>New Caledonia</v>
      </c>
      <c r="E825" s="135"/>
      <c r="F825" s="31"/>
    </row>
    <row r="826">
      <c r="A826" s="134" t="str">
        <f>IFERROR(__xludf.DUMMYFUNCTION("""COMPUTED_VALUE"""),"Belfast")</f>
        <v>Belfast</v>
      </c>
      <c r="B826" s="120" t="str">
        <f>IFERROR(__xludf.DUMMYFUNCTION("""COMPUTED_VALUE"""),"BHD")</f>
        <v>BHD</v>
      </c>
      <c r="C826" s="120" t="str">
        <f>IFERROR(__xludf.DUMMYFUNCTION("""COMPUTED_VALUE"""),"Belfast City Airport")</f>
        <v>Belfast City Airport</v>
      </c>
      <c r="D826" s="120" t="str">
        <f>IFERROR(__xludf.DUMMYFUNCTION("""COMPUTED_VALUE"""),"United Kingdom")</f>
        <v>United Kingdom</v>
      </c>
      <c r="E826" s="135"/>
      <c r="F826" s="31"/>
    </row>
    <row r="827">
      <c r="A827" s="134" t="str">
        <f>IFERROR(__xludf.DUMMYFUNCTION("""COMPUTED_VALUE"""),"Belfast")</f>
        <v>Belfast</v>
      </c>
      <c r="B827" s="120" t="str">
        <f>IFERROR(__xludf.DUMMYFUNCTION("""COMPUTED_VALUE"""),"BFS")</f>
        <v>BFS</v>
      </c>
      <c r="C827" s="120" t="str">
        <f>IFERROR(__xludf.DUMMYFUNCTION("""COMPUTED_VALUE"""),"Belfast Aldergrove International")</f>
        <v>Belfast Aldergrove International</v>
      </c>
      <c r="D827" s="120" t="str">
        <f>IFERROR(__xludf.DUMMYFUNCTION("""COMPUTED_VALUE"""),"United Kingdom")</f>
        <v>United Kingdom</v>
      </c>
      <c r="E827" s="135"/>
      <c r="F827" s="31"/>
    </row>
    <row r="828">
      <c r="A828" s="134" t="str">
        <f>IFERROR(__xludf.DUMMYFUNCTION("""COMPUTED_VALUE"""),"Belfort")</f>
        <v>Belfort</v>
      </c>
      <c r="B828" s="120" t="str">
        <f>IFERROR(__xludf.DUMMYFUNCTION("""COMPUTED_VALUE"""),"BOR")</f>
        <v>BOR</v>
      </c>
      <c r="C828" s="120" t="str">
        <f>IFERROR(__xludf.DUMMYFUNCTION("""COMPUTED_VALUE"""),"Fontaine")</f>
        <v>Fontaine</v>
      </c>
      <c r="D828" s="120" t="str">
        <f>IFERROR(__xludf.DUMMYFUNCTION("""COMPUTED_VALUE"""),"France")</f>
        <v>France</v>
      </c>
      <c r="E828" s="135"/>
      <c r="F828" s="31"/>
    </row>
    <row r="829">
      <c r="A829" s="134" t="str">
        <f>IFERROR(__xludf.DUMMYFUNCTION("""COMPUTED_VALUE"""),"Belgaum")</f>
        <v>Belgaum</v>
      </c>
      <c r="B829" s="120" t="str">
        <f>IFERROR(__xludf.DUMMYFUNCTION("""COMPUTED_VALUE"""),"IXG")</f>
        <v>IXG</v>
      </c>
      <c r="C829" s="120" t="str">
        <f>IFERROR(__xludf.DUMMYFUNCTION("""COMPUTED_VALUE"""),"Sambre")</f>
        <v>Sambre</v>
      </c>
      <c r="D829" s="120" t="str">
        <f>IFERROR(__xludf.DUMMYFUNCTION("""COMPUTED_VALUE"""),"India")</f>
        <v>India</v>
      </c>
      <c r="E829" s="135"/>
      <c r="F829" s="31"/>
    </row>
    <row r="830">
      <c r="A830" s="134" t="str">
        <f>IFERROR(__xludf.DUMMYFUNCTION("""COMPUTED_VALUE"""),"Belgorod")</f>
        <v>Belgorod</v>
      </c>
      <c r="B830" s="120" t="str">
        <f>IFERROR(__xludf.DUMMYFUNCTION("""COMPUTED_VALUE"""),"EGO")</f>
        <v>EGO</v>
      </c>
      <c r="C830" s="120" t="str">
        <f>IFERROR(__xludf.DUMMYFUNCTION("""COMPUTED_VALUE"""),"Belgorod")</f>
        <v>Belgorod</v>
      </c>
      <c r="D830" s="120" t="str">
        <f>IFERROR(__xludf.DUMMYFUNCTION("""COMPUTED_VALUE"""),"Russia")</f>
        <v>Russia</v>
      </c>
      <c r="E830" s="135"/>
      <c r="F830" s="31"/>
    </row>
    <row r="831">
      <c r="A831" s="134" t="str">
        <f>IFERROR(__xludf.DUMMYFUNCTION("""COMPUTED_VALUE"""),"Belgrade")</f>
        <v>Belgrade</v>
      </c>
      <c r="B831" s="120" t="str">
        <f>IFERROR(__xludf.DUMMYFUNCTION("""COMPUTED_VALUE"""),"BEG")</f>
        <v>BEG</v>
      </c>
      <c r="C831" s="120" t="str">
        <f>IFERROR(__xludf.DUMMYFUNCTION("""COMPUTED_VALUE"""),"Belgrade - Nikola Tesla International Airport")</f>
        <v>Belgrade - Nikola Tesla International Airport</v>
      </c>
      <c r="D831" s="120" t="str">
        <f>IFERROR(__xludf.DUMMYFUNCTION("""COMPUTED_VALUE"""),"Serbia")</f>
        <v>Serbia</v>
      </c>
      <c r="E831" s="135"/>
      <c r="F831" s="31"/>
    </row>
    <row r="832">
      <c r="A832" s="134" t="str">
        <f>IFERROR(__xludf.DUMMYFUNCTION("""COMPUTED_VALUE"""),"Belize City")</f>
        <v>Belize City</v>
      </c>
      <c r="B832" s="120" t="str">
        <f>IFERROR(__xludf.DUMMYFUNCTION("""COMPUTED_VALUE"""),"TZA")</f>
        <v>TZA</v>
      </c>
      <c r="C832" s="120" t="str">
        <f>IFERROR(__xludf.DUMMYFUNCTION("""COMPUTED_VALUE"""),"Municipal")</f>
        <v>Municipal</v>
      </c>
      <c r="D832" s="120" t="str">
        <f>IFERROR(__xludf.DUMMYFUNCTION("""COMPUTED_VALUE"""),"Belize")</f>
        <v>Belize</v>
      </c>
      <c r="E832" s="135"/>
      <c r="F832" s="31"/>
    </row>
    <row r="833">
      <c r="A833" s="134" t="str">
        <f>IFERROR(__xludf.DUMMYFUNCTION("""COMPUTED_VALUE"""),"Belize City")</f>
        <v>Belize City</v>
      </c>
      <c r="B833" s="120" t="str">
        <f>IFERROR(__xludf.DUMMYFUNCTION("""COMPUTED_VALUE"""),"BZE")</f>
        <v>BZE</v>
      </c>
      <c r="C833" s="120" t="str">
        <f>IFERROR(__xludf.DUMMYFUNCTION("""COMPUTED_VALUE"""),"Philip S.W.Goldson Int")</f>
        <v>Philip S.W.Goldson Int</v>
      </c>
      <c r="D833" s="120" t="str">
        <f>IFERROR(__xludf.DUMMYFUNCTION("""COMPUTED_VALUE"""),"Belize")</f>
        <v>Belize</v>
      </c>
      <c r="E833" s="135"/>
      <c r="F833" s="31"/>
    </row>
    <row r="834">
      <c r="A834" s="134" t="str">
        <f>IFERROR(__xludf.DUMMYFUNCTION("""COMPUTED_VALUE"""),"Bell Island")</f>
        <v>Bell Island</v>
      </c>
      <c r="B834" s="120" t="str">
        <f>IFERROR(__xludf.DUMMYFUNCTION("""COMPUTED_VALUE"""),"KBE")</f>
        <v>KBE</v>
      </c>
      <c r="C834" s="120" t="str">
        <f>IFERROR(__xludf.DUMMYFUNCTION("""COMPUTED_VALUE"""),"Hot Springs SPB")</f>
        <v>Hot Springs SPB</v>
      </c>
      <c r="D834" s="120" t="str">
        <f>IFERROR(__xludf.DUMMYFUNCTION("""COMPUTED_VALUE"""),"United States")</f>
        <v>United States</v>
      </c>
      <c r="E834" s="135"/>
      <c r="F834" s="31"/>
    </row>
    <row r="835">
      <c r="A835" s="134" t="str">
        <f>IFERROR(__xludf.DUMMYFUNCTION("""COMPUTED_VALUE"""),"Bella Bella")</f>
        <v>Bella Bella</v>
      </c>
      <c r="B835" s="120" t="str">
        <f>IFERROR(__xludf.DUMMYFUNCTION("""COMPUTED_VALUE"""),"ZEL")</f>
        <v>ZEL</v>
      </c>
      <c r="C835" s="120" t="str">
        <f>IFERROR(__xludf.DUMMYFUNCTION("""COMPUTED_VALUE"""),"Bella Bella")</f>
        <v>Bella Bella</v>
      </c>
      <c r="D835" s="120" t="str">
        <f>IFERROR(__xludf.DUMMYFUNCTION("""COMPUTED_VALUE"""),"Canada")</f>
        <v>Canada</v>
      </c>
      <c r="E835" s="135"/>
      <c r="F835" s="31"/>
    </row>
    <row r="836">
      <c r="A836" s="134" t="str">
        <f>IFERROR(__xludf.DUMMYFUNCTION("""COMPUTED_VALUE"""),"Bella Coola")</f>
        <v>Bella Coola</v>
      </c>
      <c r="B836" s="120" t="str">
        <f>IFERROR(__xludf.DUMMYFUNCTION("""COMPUTED_VALUE"""),"QBC")</f>
        <v>QBC</v>
      </c>
      <c r="C836" s="120" t="str">
        <f>IFERROR(__xludf.DUMMYFUNCTION("""COMPUTED_VALUE"""),"Bella Coola")</f>
        <v>Bella Coola</v>
      </c>
      <c r="D836" s="120" t="str">
        <f>IFERROR(__xludf.DUMMYFUNCTION("""COMPUTED_VALUE"""),"Canada")</f>
        <v>Canada</v>
      </c>
      <c r="E836" s="135"/>
      <c r="F836" s="31"/>
    </row>
    <row r="837">
      <c r="A837" s="134" t="str">
        <f>IFERROR(__xludf.DUMMYFUNCTION("""COMPUTED_VALUE"""),"Bella Union")</f>
        <v>Bella Union</v>
      </c>
      <c r="B837" s="120" t="str">
        <f>IFERROR(__xludf.DUMMYFUNCTION("""COMPUTED_VALUE"""),"BUV")</f>
        <v>BUV</v>
      </c>
      <c r="C837" s="120" t="str">
        <f>IFERROR(__xludf.DUMMYFUNCTION("""COMPUTED_VALUE"""),"Bella Union")</f>
        <v>Bella Union</v>
      </c>
      <c r="D837" s="120" t="str">
        <f>IFERROR(__xludf.DUMMYFUNCTION("""COMPUTED_VALUE"""),"Uruguay")</f>
        <v>Uruguay</v>
      </c>
      <c r="E837" s="135"/>
      <c r="F837" s="31"/>
    </row>
    <row r="838">
      <c r="A838" s="134" t="str">
        <f>IFERROR(__xludf.DUMMYFUNCTION("""COMPUTED_VALUE"""),"Bella Yella")</f>
        <v>Bella Yella</v>
      </c>
      <c r="B838" s="120" t="str">
        <f>IFERROR(__xludf.DUMMYFUNCTION("""COMPUTED_VALUE"""),"BYL")</f>
        <v>BYL</v>
      </c>
      <c r="C838" s="120" t="str">
        <f>IFERROR(__xludf.DUMMYFUNCTION("""COMPUTED_VALUE"""),"Bella Yella")</f>
        <v>Bella Yella</v>
      </c>
      <c r="D838" s="120" t="str">
        <f>IFERROR(__xludf.DUMMYFUNCTION("""COMPUTED_VALUE"""),"Liberia")</f>
        <v>Liberia</v>
      </c>
      <c r="E838" s="135"/>
      <c r="F838" s="31"/>
    </row>
    <row r="839">
      <c r="A839" s="134" t="str">
        <f>IFERROR(__xludf.DUMMYFUNCTION("""COMPUTED_VALUE"""),"Bellaire")</f>
        <v>Bellaire</v>
      </c>
      <c r="B839" s="120" t="str">
        <f>IFERROR(__xludf.DUMMYFUNCTION("""COMPUTED_VALUE"""),"ACB")</f>
        <v>ACB</v>
      </c>
      <c r="C839" s="120" t="str">
        <f>IFERROR(__xludf.DUMMYFUNCTION("""COMPUTED_VALUE"""),"Antrim County")</f>
        <v>Antrim County</v>
      </c>
      <c r="D839" s="120" t="str">
        <f>IFERROR(__xludf.DUMMYFUNCTION("""COMPUTED_VALUE"""),"United States")</f>
        <v>United States</v>
      </c>
      <c r="E839" s="135"/>
      <c r="F839" s="31"/>
    </row>
    <row r="840">
      <c r="A840" s="134" t="str">
        <f>IFERROR(__xludf.DUMMYFUNCTION("""COMPUTED_VALUE"""),"Bellary")</f>
        <v>Bellary</v>
      </c>
      <c r="B840" s="120" t="str">
        <f>IFERROR(__xludf.DUMMYFUNCTION("""COMPUTED_VALUE"""),"BEP")</f>
        <v>BEP</v>
      </c>
      <c r="C840" s="120" t="str">
        <f>IFERROR(__xludf.DUMMYFUNCTION("""COMPUTED_VALUE"""),"Bellary")</f>
        <v>Bellary</v>
      </c>
      <c r="D840" s="120" t="str">
        <f>IFERROR(__xludf.DUMMYFUNCTION("""COMPUTED_VALUE"""),"India")</f>
        <v>India</v>
      </c>
      <c r="E840" s="135"/>
      <c r="F840" s="31"/>
    </row>
    <row r="841">
      <c r="A841" s="134" t="str">
        <f>IFERROR(__xludf.DUMMYFUNCTION("""COMPUTED_VALUE"""),"Bellavista")</f>
        <v>Bellavista</v>
      </c>
      <c r="B841" s="120" t="str">
        <f>IFERROR(__xludf.DUMMYFUNCTION("""COMPUTED_VALUE"""),"BLP")</f>
        <v>BLP</v>
      </c>
      <c r="C841" s="120" t="str">
        <f>IFERROR(__xludf.DUMMYFUNCTION("""COMPUTED_VALUE"""),"Bellavista")</f>
        <v>Bellavista</v>
      </c>
      <c r="D841" s="120" t="str">
        <f>IFERROR(__xludf.DUMMYFUNCTION("""COMPUTED_VALUE"""),"Peru")</f>
        <v>Peru</v>
      </c>
      <c r="E841" s="135"/>
      <c r="F841" s="31"/>
    </row>
    <row r="842">
      <c r="A842" s="134" t="str">
        <f>IFERROR(__xludf.DUMMYFUNCTION("""COMPUTED_VALUE"""),"Belle Chasse")</f>
        <v>Belle Chasse</v>
      </c>
      <c r="B842" s="120" t="str">
        <f>IFERROR(__xludf.DUMMYFUNCTION("""COMPUTED_VALUE"""),"BCS")</f>
        <v>BCS</v>
      </c>
      <c r="C842" s="120" t="str">
        <f>IFERROR(__xludf.DUMMYFUNCTION("""COMPUTED_VALUE"""),"Southern Seaplane")</f>
        <v>Southern Seaplane</v>
      </c>
      <c r="D842" s="120" t="str">
        <f>IFERROR(__xludf.DUMMYFUNCTION("""COMPUTED_VALUE"""),"United States")</f>
        <v>United States</v>
      </c>
      <c r="E842" s="135"/>
      <c r="F842" s="31"/>
    </row>
    <row r="843">
      <c r="A843" s="134" t="str">
        <f>IFERROR(__xludf.DUMMYFUNCTION("""COMPUTED_VALUE"""),"Bellefonte")</f>
        <v>Bellefonte</v>
      </c>
      <c r="B843" s="120" t="str">
        <f>IFERROR(__xludf.DUMMYFUNCTION("""COMPUTED_VALUE"""),"PSB")</f>
        <v>PSB</v>
      </c>
      <c r="C843" s="120" t="str">
        <f>IFERROR(__xludf.DUMMYFUNCTION("""COMPUTED_VALUE"""),"Bellefonte")</f>
        <v>Bellefonte</v>
      </c>
      <c r="D843" s="120" t="str">
        <f>IFERROR(__xludf.DUMMYFUNCTION("""COMPUTED_VALUE"""),"United States")</f>
        <v>United States</v>
      </c>
      <c r="E843" s="135"/>
      <c r="F843" s="31"/>
    </row>
    <row r="844">
      <c r="A844" s="134" t="str">
        <f>IFERROR(__xludf.DUMMYFUNCTION("""COMPUTED_VALUE"""),"Belleville")</f>
        <v>Belleville</v>
      </c>
      <c r="B844" s="120" t="str">
        <f>IFERROR(__xludf.DUMMYFUNCTION("""COMPUTED_VALUE"""),"BLV")</f>
        <v>BLV</v>
      </c>
      <c r="C844" s="120" t="str">
        <f>IFERROR(__xludf.DUMMYFUNCTION("""COMPUTED_VALUE"""),"Belleville")</f>
        <v>Belleville</v>
      </c>
      <c r="D844" s="120" t="str">
        <f>IFERROR(__xludf.DUMMYFUNCTION("""COMPUTED_VALUE"""),"United States")</f>
        <v>United States</v>
      </c>
      <c r="E844" s="135"/>
      <c r="F844" s="31"/>
    </row>
    <row r="845">
      <c r="A845" s="134" t="str">
        <f>IFERROR(__xludf.DUMMYFUNCTION("""COMPUTED_VALUE"""),"Bellingham")</f>
        <v>Bellingham</v>
      </c>
      <c r="B845" s="120" t="str">
        <f>IFERROR(__xludf.DUMMYFUNCTION("""COMPUTED_VALUE"""),"BLI")</f>
        <v>BLI</v>
      </c>
      <c r="C845" s="120" t="str">
        <f>IFERROR(__xludf.DUMMYFUNCTION("""COMPUTED_VALUE"""),"Bellingham")</f>
        <v>Bellingham</v>
      </c>
      <c r="D845" s="120" t="str">
        <f>IFERROR(__xludf.DUMMYFUNCTION("""COMPUTED_VALUE"""),"United States")</f>
        <v>United States</v>
      </c>
      <c r="E845" s="135"/>
      <c r="F845" s="31"/>
    </row>
    <row r="846">
      <c r="A846" s="134" t="str">
        <f>IFERROR(__xludf.DUMMYFUNCTION("""COMPUTED_VALUE"""),"Bellona")</f>
        <v>Bellona</v>
      </c>
      <c r="B846" s="120" t="str">
        <f>IFERROR(__xludf.DUMMYFUNCTION("""COMPUTED_VALUE"""),"BNY")</f>
        <v>BNY</v>
      </c>
      <c r="C846" s="120" t="str">
        <f>IFERROR(__xludf.DUMMYFUNCTION("""COMPUTED_VALUE"""),"Bellona")</f>
        <v>Bellona</v>
      </c>
      <c r="D846" s="120" t="str">
        <f>IFERROR(__xludf.DUMMYFUNCTION("""COMPUTED_VALUE"""),"Solomon Islands")</f>
        <v>Solomon Islands</v>
      </c>
      <c r="E846" s="135"/>
      <c r="F846" s="31"/>
    </row>
    <row r="847">
      <c r="A847" s="134" t="str">
        <f>IFERROR(__xludf.DUMMYFUNCTION("""COMPUTED_VALUE"""),"Belluno")</f>
        <v>Belluno</v>
      </c>
      <c r="B847" s="120" t="str">
        <f>IFERROR(__xludf.DUMMYFUNCTION("""COMPUTED_VALUE"""),"BLX")</f>
        <v>BLX</v>
      </c>
      <c r="C847" s="120" t="str">
        <f>IFERROR(__xludf.DUMMYFUNCTION("""COMPUTED_VALUE"""),"Belluno")</f>
        <v>Belluno</v>
      </c>
      <c r="D847" s="120" t="str">
        <f>IFERROR(__xludf.DUMMYFUNCTION("""COMPUTED_VALUE"""),"Italy")</f>
        <v>Italy</v>
      </c>
      <c r="E847" s="135"/>
      <c r="F847" s="31"/>
    </row>
    <row r="848">
      <c r="A848" s="134" t="str">
        <f>IFERROR(__xludf.DUMMYFUNCTION("""COMPUTED_VALUE"""),"Belmar")</f>
        <v>Belmar</v>
      </c>
      <c r="B848" s="120" t="str">
        <f>IFERROR(__xludf.DUMMYFUNCTION("""COMPUTED_VALUE"""),"BLM")</f>
        <v>BLM</v>
      </c>
      <c r="C848" s="120" t="str">
        <f>IFERROR(__xludf.DUMMYFUNCTION("""COMPUTED_VALUE"""),"Monmouth County")</f>
        <v>Monmouth County</v>
      </c>
      <c r="D848" s="120" t="str">
        <f>IFERROR(__xludf.DUMMYFUNCTION("""COMPUTED_VALUE"""),"United States")</f>
        <v>United States</v>
      </c>
      <c r="E848" s="135"/>
      <c r="F848" s="31"/>
    </row>
    <row r="849">
      <c r="A849" s="134" t="str">
        <f>IFERROR(__xludf.DUMMYFUNCTION("""COMPUTED_VALUE"""),"Belmonte")</f>
        <v>Belmonte</v>
      </c>
      <c r="B849" s="120" t="str">
        <f>IFERROR(__xludf.DUMMYFUNCTION("""COMPUTED_VALUE"""),"BVM")</f>
        <v>BVM</v>
      </c>
      <c r="C849" s="120" t="str">
        <f>IFERROR(__xludf.DUMMYFUNCTION("""COMPUTED_VALUE"""),"Belmonte")</f>
        <v>Belmonte</v>
      </c>
      <c r="D849" s="120" t="str">
        <f>IFERROR(__xludf.DUMMYFUNCTION("""COMPUTED_VALUE"""),"Brazil")</f>
        <v>Brazil</v>
      </c>
      <c r="E849" s="135"/>
      <c r="F849" s="31"/>
    </row>
    <row r="850">
      <c r="A850" s="134" t="str">
        <f>IFERROR(__xludf.DUMMYFUNCTION("""COMPUTED_VALUE"""),"Belmopan")</f>
        <v>Belmopan</v>
      </c>
      <c r="B850" s="120" t="str">
        <f>IFERROR(__xludf.DUMMYFUNCTION("""COMPUTED_VALUE"""),"BCV")</f>
        <v>BCV</v>
      </c>
      <c r="C850" s="120" t="str">
        <f>IFERROR(__xludf.DUMMYFUNCTION("""COMPUTED_VALUE"""),"Belmopan")</f>
        <v>Belmopan</v>
      </c>
      <c r="D850" s="120" t="str">
        <f>IFERROR(__xludf.DUMMYFUNCTION("""COMPUTED_VALUE"""),"Belize")</f>
        <v>Belize</v>
      </c>
      <c r="E850" s="135"/>
      <c r="F850" s="31"/>
    </row>
    <row r="851">
      <c r="A851" s="134" t="str">
        <f>IFERROR(__xludf.DUMMYFUNCTION("""COMPUTED_VALUE"""),"Belmullet")</f>
        <v>Belmullet</v>
      </c>
      <c r="B851" s="120" t="str">
        <f>IFERROR(__xludf.DUMMYFUNCTION("""COMPUTED_VALUE"""),"BLY")</f>
        <v>BLY</v>
      </c>
      <c r="C851" s="120" t="str">
        <f>IFERROR(__xludf.DUMMYFUNCTION("""COMPUTED_VALUE"""),"Belmullet")</f>
        <v>Belmullet</v>
      </c>
      <c r="D851" s="120" t="str">
        <f>IFERROR(__xludf.DUMMYFUNCTION("""COMPUTED_VALUE"""),"Ireland")</f>
        <v>Ireland</v>
      </c>
      <c r="E851" s="135"/>
      <c r="F851" s="31"/>
    </row>
    <row r="852">
      <c r="A852" s="134" t="str">
        <f>IFERROR(__xludf.DUMMYFUNCTION("""COMPUTED_VALUE"""),"Belo")</f>
        <v>Belo</v>
      </c>
      <c r="B852" s="120" t="str">
        <f>IFERROR(__xludf.DUMMYFUNCTION("""COMPUTED_VALUE"""),"BMD")</f>
        <v>BMD</v>
      </c>
      <c r="C852" s="120" t="str">
        <f>IFERROR(__xludf.DUMMYFUNCTION("""COMPUTED_VALUE"""),"Belo")</f>
        <v>Belo</v>
      </c>
      <c r="D852" s="120" t="str">
        <f>IFERROR(__xludf.DUMMYFUNCTION("""COMPUTED_VALUE"""),"Madagascar")</f>
        <v>Madagascar</v>
      </c>
      <c r="E852" s="135"/>
      <c r="F852" s="31"/>
    </row>
    <row r="853">
      <c r="A853" s="134" t="str">
        <f>IFERROR(__xludf.DUMMYFUNCTION("""COMPUTED_VALUE"""),"Belo Horizonte")</f>
        <v>Belo Horizonte</v>
      </c>
      <c r="B853" s="120" t="str">
        <f>IFERROR(__xludf.DUMMYFUNCTION("""COMPUTED_VALUE"""),"PLU")</f>
        <v>PLU</v>
      </c>
      <c r="C853" s="120" t="str">
        <f>IFERROR(__xludf.DUMMYFUNCTION("""COMPUTED_VALUE"""),"Pampulha")</f>
        <v>Pampulha</v>
      </c>
      <c r="D853" s="120" t="str">
        <f>IFERROR(__xludf.DUMMYFUNCTION("""COMPUTED_VALUE"""),"Brazil")</f>
        <v>Brazil</v>
      </c>
      <c r="E853" s="135"/>
      <c r="F853" s="31"/>
    </row>
    <row r="854">
      <c r="A854" s="134" t="str">
        <f>IFERROR(__xludf.DUMMYFUNCTION("""COMPUTED_VALUE"""),"Beloreck")</f>
        <v>Beloreck</v>
      </c>
      <c r="B854" s="120" t="str">
        <f>IFERROR(__xludf.DUMMYFUNCTION("""COMPUTED_VALUE"""),"BCX")</f>
        <v>BCX</v>
      </c>
      <c r="C854" s="120" t="str">
        <f>IFERROR(__xludf.DUMMYFUNCTION("""COMPUTED_VALUE"""),"Beloreck")</f>
        <v>Beloreck</v>
      </c>
      <c r="D854" s="120" t="str">
        <f>IFERROR(__xludf.DUMMYFUNCTION("""COMPUTED_VALUE"""),"Russia")</f>
        <v>Russia</v>
      </c>
      <c r="E854" s="135"/>
      <c r="F854" s="31"/>
    </row>
    <row r="855">
      <c r="A855" s="134" t="str">
        <f>IFERROR(__xludf.DUMMYFUNCTION("""COMPUTED_VALUE"""),"Beltsy")</f>
        <v>Beltsy</v>
      </c>
      <c r="B855" s="120" t="str">
        <f>IFERROR(__xludf.DUMMYFUNCTION("""COMPUTED_VALUE"""),"BZY")</f>
        <v>BZY</v>
      </c>
      <c r="C855" s="120" t="str">
        <f>IFERROR(__xludf.DUMMYFUNCTION("""COMPUTED_VALUE"""),"Beltsy")</f>
        <v>Beltsy</v>
      </c>
      <c r="D855" s="120" t="str">
        <f>IFERROR(__xludf.DUMMYFUNCTION("""COMPUTED_VALUE"""),"Moldova")</f>
        <v>Moldova</v>
      </c>
      <c r="E855" s="135"/>
      <c r="F855" s="31"/>
    </row>
    <row r="856">
      <c r="A856" s="134" t="str">
        <f>IFERROR(__xludf.DUMMYFUNCTION("""COMPUTED_VALUE"""),"Beluga")</f>
        <v>Beluga</v>
      </c>
      <c r="B856" s="120" t="str">
        <f>IFERROR(__xludf.DUMMYFUNCTION("""COMPUTED_VALUE"""),"BVU")</f>
        <v>BVU</v>
      </c>
      <c r="C856" s="120" t="str">
        <f>IFERROR(__xludf.DUMMYFUNCTION("""COMPUTED_VALUE"""),"Beluga")</f>
        <v>Beluga</v>
      </c>
      <c r="D856" s="120" t="str">
        <f>IFERROR(__xludf.DUMMYFUNCTION("""COMPUTED_VALUE"""),"United States")</f>
        <v>United States</v>
      </c>
      <c r="E856" s="135"/>
      <c r="F856" s="31"/>
    </row>
    <row r="857">
      <c r="A857" s="134" t="str">
        <f>IFERROR(__xludf.DUMMYFUNCTION("""COMPUTED_VALUE"""),"Bembridge")</f>
        <v>Bembridge</v>
      </c>
      <c r="B857" s="120" t="str">
        <f>IFERROR(__xludf.DUMMYFUNCTION("""COMPUTED_VALUE"""),"BBP")</f>
        <v>BBP</v>
      </c>
      <c r="C857" s="120" t="str">
        <f>IFERROR(__xludf.DUMMYFUNCTION("""COMPUTED_VALUE"""),"Bembridge")</f>
        <v>Bembridge</v>
      </c>
      <c r="D857" s="120" t="str">
        <f>IFERROR(__xludf.DUMMYFUNCTION("""COMPUTED_VALUE"""),"United Kingdom")</f>
        <v>United Kingdom</v>
      </c>
      <c r="E857" s="135"/>
      <c r="F857" s="31"/>
    </row>
    <row r="858">
      <c r="A858" s="134" t="str">
        <f>IFERROR(__xludf.DUMMYFUNCTION("""COMPUTED_VALUE"""),"Bemichi")</f>
        <v>Bemichi</v>
      </c>
      <c r="B858" s="120" t="str">
        <f>IFERROR(__xludf.DUMMYFUNCTION("""COMPUTED_VALUE"""),"BCG")</f>
        <v>BCG</v>
      </c>
      <c r="C858" s="120" t="str">
        <f>IFERROR(__xludf.DUMMYFUNCTION("""COMPUTED_VALUE"""),"Bemichi")</f>
        <v>Bemichi</v>
      </c>
      <c r="D858" s="120" t="str">
        <f>IFERROR(__xludf.DUMMYFUNCTION("""COMPUTED_VALUE"""),"Guyana")</f>
        <v>Guyana</v>
      </c>
      <c r="E858" s="135"/>
      <c r="F858" s="31"/>
    </row>
    <row r="859">
      <c r="A859" s="134" t="str">
        <f>IFERROR(__xludf.DUMMYFUNCTION("""COMPUTED_VALUE"""),"Bemidji")</f>
        <v>Bemidji</v>
      </c>
      <c r="B859" s="120" t="str">
        <f>IFERROR(__xludf.DUMMYFUNCTION("""COMPUTED_VALUE"""),"BJI")</f>
        <v>BJI</v>
      </c>
      <c r="C859" s="120" t="str">
        <f>IFERROR(__xludf.DUMMYFUNCTION("""COMPUTED_VALUE"""),"Bemidji")</f>
        <v>Bemidji</v>
      </c>
      <c r="D859" s="120" t="str">
        <f>IFERROR(__xludf.DUMMYFUNCTION("""COMPUTED_VALUE"""),"United States")</f>
        <v>United States</v>
      </c>
      <c r="E859" s="135"/>
      <c r="F859" s="31"/>
    </row>
    <row r="860">
      <c r="A860" s="134" t="str">
        <f>IFERROR(__xludf.DUMMYFUNCTION("""COMPUTED_VALUE"""),"Benalla")</f>
        <v>Benalla</v>
      </c>
      <c r="B860" s="120" t="str">
        <f>IFERROR(__xludf.DUMMYFUNCTION("""COMPUTED_VALUE"""),"BLN")</f>
        <v>BLN</v>
      </c>
      <c r="C860" s="120" t="str">
        <f>IFERROR(__xludf.DUMMYFUNCTION("""COMPUTED_VALUE"""),"Benalla")</f>
        <v>Benalla</v>
      </c>
      <c r="D860" s="120" t="str">
        <f>IFERROR(__xludf.DUMMYFUNCTION("""COMPUTED_VALUE"""),"Australia")</f>
        <v>Australia</v>
      </c>
      <c r="E860" s="135"/>
      <c r="F860" s="31"/>
    </row>
    <row r="861">
      <c r="A861" s="134" t="str">
        <f>IFERROR(__xludf.DUMMYFUNCTION("""COMPUTED_VALUE"""),"Benbecula")</f>
        <v>Benbecula</v>
      </c>
      <c r="B861" s="120" t="str">
        <f>IFERROR(__xludf.DUMMYFUNCTION("""COMPUTED_VALUE"""),"BEB")</f>
        <v>BEB</v>
      </c>
      <c r="C861" s="120" t="str">
        <f>IFERROR(__xludf.DUMMYFUNCTION("""COMPUTED_VALUE"""),"Benbecula")</f>
        <v>Benbecula</v>
      </c>
      <c r="D861" s="120" t="str">
        <f>IFERROR(__xludf.DUMMYFUNCTION("""COMPUTED_VALUE"""),"United Kingdom")</f>
        <v>United Kingdom</v>
      </c>
      <c r="E861" s="135"/>
      <c r="F861" s="31"/>
    </row>
    <row r="862">
      <c r="A862" s="134" t="str">
        <f>IFERROR(__xludf.DUMMYFUNCTION("""COMPUTED_VALUE"""),"Bendigo")</f>
        <v>Bendigo</v>
      </c>
      <c r="B862" s="120" t="str">
        <f>IFERROR(__xludf.DUMMYFUNCTION("""COMPUTED_VALUE"""),"BXG")</f>
        <v>BXG</v>
      </c>
      <c r="C862" s="120" t="str">
        <f>IFERROR(__xludf.DUMMYFUNCTION("""COMPUTED_VALUE"""),"Bendigo")</f>
        <v>Bendigo</v>
      </c>
      <c r="D862" s="120" t="str">
        <f>IFERROR(__xludf.DUMMYFUNCTION("""COMPUTED_VALUE"""),"Australia")</f>
        <v>Australia</v>
      </c>
      <c r="E862" s="135"/>
      <c r="F862" s="31"/>
    </row>
    <row r="863">
      <c r="A863" s="134" t="str">
        <f>IFERROR(__xludf.DUMMYFUNCTION("""COMPUTED_VALUE"""),"Bengbu")</f>
        <v>Bengbu</v>
      </c>
      <c r="B863" s="120" t="str">
        <f>IFERROR(__xludf.DUMMYFUNCTION("""COMPUTED_VALUE"""),"BFU")</f>
        <v>BFU</v>
      </c>
      <c r="C863" s="120" t="str">
        <f>IFERROR(__xludf.DUMMYFUNCTION("""COMPUTED_VALUE"""),"Bengbu")</f>
        <v>Bengbu</v>
      </c>
      <c r="D863" s="120" t="str">
        <f>IFERROR(__xludf.DUMMYFUNCTION("""COMPUTED_VALUE"""),"China")</f>
        <v>China</v>
      </c>
      <c r="E863" s="135"/>
      <c r="F863" s="31"/>
    </row>
    <row r="864">
      <c r="A864" s="134" t="str">
        <f>IFERROR(__xludf.DUMMYFUNCTION("""COMPUTED_VALUE"""),"Benghazi")</f>
        <v>Benghazi</v>
      </c>
      <c r="B864" s="120" t="str">
        <f>IFERROR(__xludf.DUMMYFUNCTION("""COMPUTED_VALUE"""),"BEN")</f>
        <v>BEN</v>
      </c>
      <c r="C864" s="120" t="str">
        <f>IFERROR(__xludf.DUMMYFUNCTION("""COMPUTED_VALUE"""),"Benina Intl")</f>
        <v>Benina Intl</v>
      </c>
      <c r="D864" s="120" t="str">
        <f>IFERROR(__xludf.DUMMYFUNCTION("""COMPUTED_VALUE"""),"Libya")</f>
        <v>Libya</v>
      </c>
      <c r="E864" s="135"/>
      <c r="F864" s="31"/>
    </row>
    <row r="865">
      <c r="A865" s="134" t="str">
        <f>IFERROR(__xludf.DUMMYFUNCTION("""COMPUTED_VALUE"""),"Bengkulu")</f>
        <v>Bengkulu</v>
      </c>
      <c r="B865" s="120" t="str">
        <f>IFERROR(__xludf.DUMMYFUNCTION("""COMPUTED_VALUE"""),"BKS")</f>
        <v>BKS</v>
      </c>
      <c r="C865" s="120" t="str">
        <f>IFERROR(__xludf.DUMMYFUNCTION("""COMPUTED_VALUE"""),"Padangkemiling")</f>
        <v>Padangkemiling</v>
      </c>
      <c r="D865" s="120" t="str">
        <f>IFERROR(__xludf.DUMMYFUNCTION("""COMPUTED_VALUE"""),"Indonesia")</f>
        <v>Indonesia</v>
      </c>
      <c r="E865" s="135"/>
      <c r="F865" s="31"/>
    </row>
    <row r="866">
      <c r="A866" s="134" t="str">
        <f>IFERROR(__xludf.DUMMYFUNCTION("""COMPUTED_VALUE"""),"Benguela")</f>
        <v>Benguela</v>
      </c>
      <c r="B866" s="120" t="str">
        <f>IFERROR(__xludf.DUMMYFUNCTION("""COMPUTED_VALUE"""),"BUG")</f>
        <v>BUG</v>
      </c>
      <c r="C866" s="120" t="str">
        <f>IFERROR(__xludf.DUMMYFUNCTION("""COMPUTED_VALUE"""),"Gen V Deslandes")</f>
        <v>Gen V Deslandes</v>
      </c>
      <c r="D866" s="120" t="str">
        <f>IFERROR(__xludf.DUMMYFUNCTION("""COMPUTED_VALUE"""),"Angola")</f>
        <v>Angola</v>
      </c>
      <c r="E866" s="135"/>
      <c r="F866" s="31"/>
    </row>
    <row r="867">
      <c r="A867" s="134" t="str">
        <f>IFERROR(__xludf.DUMMYFUNCTION("""COMPUTED_VALUE"""),"Benguera Island")</f>
        <v>Benguera Island</v>
      </c>
      <c r="B867" s="120" t="str">
        <f>IFERROR(__xludf.DUMMYFUNCTION("""COMPUTED_VALUE"""),"BCW")</f>
        <v>BCW</v>
      </c>
      <c r="C867" s="120" t="str">
        <f>IFERROR(__xludf.DUMMYFUNCTION("""COMPUTED_VALUE"""),"Benguera Island")</f>
        <v>Benguera Island</v>
      </c>
      <c r="D867" s="120" t="str">
        <f>IFERROR(__xludf.DUMMYFUNCTION("""COMPUTED_VALUE"""),"Mozambique")</f>
        <v>Mozambique</v>
      </c>
      <c r="E867" s="135"/>
      <c r="F867" s="31"/>
    </row>
    <row r="868">
      <c r="A868" s="134" t="str">
        <f>IFERROR(__xludf.DUMMYFUNCTION("""COMPUTED_VALUE"""),"Beni")</f>
        <v>Beni</v>
      </c>
      <c r="B868" s="120" t="str">
        <f>IFERROR(__xludf.DUMMYFUNCTION("""COMPUTED_VALUE"""),"BNC")</f>
        <v>BNC</v>
      </c>
      <c r="C868" s="120" t="str">
        <f>IFERROR(__xludf.DUMMYFUNCTION("""COMPUTED_VALUE"""),"Beni")</f>
        <v>Beni</v>
      </c>
      <c r="D868" s="120" t="str">
        <f>IFERROR(__xludf.DUMMYFUNCTION("""COMPUTED_VALUE"""),"Zaire")</f>
        <v>Zaire</v>
      </c>
      <c r="E868" s="135"/>
      <c r="F868" s="31"/>
    </row>
    <row r="869">
      <c r="A869" s="134" t="str">
        <f>IFERROR(__xludf.DUMMYFUNCTION("""COMPUTED_VALUE"""),"Benin City")</f>
        <v>Benin City</v>
      </c>
      <c r="B869" s="120" t="str">
        <f>IFERROR(__xludf.DUMMYFUNCTION("""COMPUTED_VALUE"""),"BNI")</f>
        <v>BNI</v>
      </c>
      <c r="C869" s="120" t="str">
        <f>IFERROR(__xludf.DUMMYFUNCTION("""COMPUTED_VALUE"""),"Benin City")</f>
        <v>Benin City</v>
      </c>
      <c r="D869" s="120" t="str">
        <f>IFERROR(__xludf.DUMMYFUNCTION("""COMPUTED_VALUE"""),"Nigeria")</f>
        <v>Nigeria</v>
      </c>
      <c r="E869" s="135"/>
      <c r="F869" s="31"/>
    </row>
    <row r="870">
      <c r="A870" s="134" t="str">
        <f>IFERROR(__xludf.DUMMYFUNCTION("""COMPUTED_VALUE"""),"Benjina")</f>
        <v>Benjina</v>
      </c>
      <c r="B870" s="120" t="str">
        <f>IFERROR(__xludf.DUMMYFUNCTION("""COMPUTED_VALUE"""),"BJK")</f>
        <v>BJK</v>
      </c>
      <c r="C870" s="120" t="str">
        <f>IFERROR(__xludf.DUMMYFUNCTION("""COMPUTED_VALUE"""),"Benjina")</f>
        <v>Benjina</v>
      </c>
      <c r="D870" s="120" t="str">
        <f>IFERROR(__xludf.DUMMYFUNCTION("""COMPUTED_VALUE"""),"Indonesia")</f>
        <v>Indonesia</v>
      </c>
      <c r="E870" s="135"/>
      <c r="F870" s="31"/>
    </row>
    <row r="871">
      <c r="A871" s="134" t="str">
        <f>IFERROR(__xludf.DUMMYFUNCTION("""COMPUTED_VALUE"""),"Bennettsville")</f>
        <v>Bennettsville</v>
      </c>
      <c r="B871" s="120" t="str">
        <f>IFERROR(__xludf.DUMMYFUNCTION("""COMPUTED_VALUE"""),"BTN")</f>
        <v>BTN</v>
      </c>
      <c r="C871" s="120" t="str">
        <f>IFERROR(__xludf.DUMMYFUNCTION("""COMPUTED_VALUE"""),"Bennettsville")</f>
        <v>Bennettsville</v>
      </c>
      <c r="D871" s="120" t="str">
        <f>IFERROR(__xludf.DUMMYFUNCTION("""COMPUTED_VALUE"""),"United States")</f>
        <v>United States</v>
      </c>
      <c r="E871" s="135"/>
      <c r="F871" s="31"/>
    </row>
    <row r="872">
      <c r="A872" s="134" t="str">
        <f>IFERROR(__xludf.DUMMYFUNCTION("""COMPUTED_VALUE"""),"Bensbach")</f>
        <v>Bensbach</v>
      </c>
      <c r="B872" s="120" t="str">
        <f>IFERROR(__xludf.DUMMYFUNCTION("""COMPUTED_VALUE"""),"BSP")</f>
        <v>BSP</v>
      </c>
      <c r="C872" s="120" t="str">
        <f>IFERROR(__xludf.DUMMYFUNCTION("""COMPUTED_VALUE"""),"Bensbach")</f>
        <v>Bensbach</v>
      </c>
      <c r="D872" s="120" t="str">
        <f>IFERROR(__xludf.DUMMYFUNCTION("""COMPUTED_VALUE"""),"Papua New Guinea")</f>
        <v>Papua New Guinea</v>
      </c>
      <c r="E872" s="135"/>
      <c r="F872" s="31"/>
    </row>
    <row r="873">
      <c r="A873" s="134" t="str">
        <f>IFERROR(__xludf.DUMMYFUNCTION("""COMPUTED_VALUE"""),"Benson")</f>
        <v>Benson</v>
      </c>
      <c r="B873" s="120" t="str">
        <f>IFERROR(__xludf.DUMMYFUNCTION("""COMPUTED_VALUE"""),"BEX")</f>
        <v>BEX</v>
      </c>
      <c r="C873" s="120" t="str">
        <f>IFERROR(__xludf.DUMMYFUNCTION("""COMPUTED_VALUE"""),"RAF Station")</f>
        <v>RAF Station</v>
      </c>
      <c r="D873" s="120" t="str">
        <f>IFERROR(__xludf.DUMMYFUNCTION("""COMPUTED_VALUE"""),"United Kingdom")</f>
        <v>United Kingdom</v>
      </c>
      <c r="E873" s="135"/>
      <c r="F873" s="31"/>
    </row>
    <row r="874">
      <c r="A874" s="134" t="str">
        <f>IFERROR(__xludf.DUMMYFUNCTION("""COMPUTED_VALUE"""),"Benson")</f>
        <v>Benson</v>
      </c>
      <c r="B874" s="120" t="str">
        <f>IFERROR(__xludf.DUMMYFUNCTION("""COMPUTED_VALUE"""),"BBB")</f>
        <v>BBB</v>
      </c>
      <c r="C874" s="120" t="str">
        <f>IFERROR(__xludf.DUMMYFUNCTION("""COMPUTED_VALUE"""),"Municipal")</f>
        <v>Municipal</v>
      </c>
      <c r="D874" s="120" t="str">
        <f>IFERROR(__xludf.DUMMYFUNCTION("""COMPUTED_VALUE"""),"United States")</f>
        <v>United States</v>
      </c>
      <c r="E874" s="135"/>
      <c r="F874" s="31"/>
    </row>
    <row r="875">
      <c r="A875" s="134" t="str">
        <f>IFERROR(__xludf.DUMMYFUNCTION("""COMPUTED_VALUE"""),"Bento Goncalves")</f>
        <v>Bento Goncalves</v>
      </c>
      <c r="B875" s="120" t="str">
        <f>IFERROR(__xludf.DUMMYFUNCTION("""COMPUTED_VALUE"""),"BGV")</f>
        <v>BGV</v>
      </c>
      <c r="C875" s="120" t="str">
        <f>IFERROR(__xludf.DUMMYFUNCTION("""COMPUTED_VALUE"""),"Bento Goncalves")</f>
        <v>Bento Goncalves</v>
      </c>
      <c r="D875" s="120" t="str">
        <f>IFERROR(__xludf.DUMMYFUNCTION("""COMPUTED_VALUE"""),"Brazil")</f>
        <v>Brazil</v>
      </c>
      <c r="E875" s="135"/>
      <c r="F875" s="31"/>
    </row>
    <row r="876">
      <c r="A876" s="134" t="str">
        <f>IFERROR(__xludf.DUMMYFUNCTION("""COMPUTED_VALUE"""),"Benton Harbor")</f>
        <v>Benton Harbor</v>
      </c>
      <c r="B876" s="120" t="str">
        <f>IFERROR(__xludf.DUMMYFUNCTION("""COMPUTED_VALUE"""),"BEH")</f>
        <v>BEH</v>
      </c>
      <c r="C876" s="120" t="str">
        <f>IFERROR(__xludf.DUMMYFUNCTION("""COMPUTED_VALUE"""),"Ross Field")</f>
        <v>Ross Field</v>
      </c>
      <c r="D876" s="120" t="str">
        <f>IFERROR(__xludf.DUMMYFUNCTION("""COMPUTED_VALUE"""),"United States")</f>
        <v>United States</v>
      </c>
      <c r="E876" s="135"/>
      <c r="F876" s="31"/>
    </row>
    <row r="877">
      <c r="A877" s="134" t="str">
        <f>IFERROR(__xludf.DUMMYFUNCTION("""COMPUTED_VALUE"""),"Bentota River")</f>
        <v>Bentota River</v>
      </c>
      <c r="B877" s="120" t="str">
        <f>IFERROR(__xludf.DUMMYFUNCTION("""COMPUTED_VALUE"""),"BJT")</f>
        <v>BJT</v>
      </c>
      <c r="C877" s="120" t="str">
        <f>IFERROR(__xludf.DUMMYFUNCTION("""COMPUTED_VALUE"""),"Bentota River")</f>
        <v>Bentota River</v>
      </c>
      <c r="D877" s="120" t="str">
        <f>IFERROR(__xludf.DUMMYFUNCTION("""COMPUTED_VALUE"""),"Sri Lanka")</f>
        <v>Sri Lanka</v>
      </c>
      <c r="E877" s="135"/>
      <c r="F877" s="31"/>
    </row>
    <row r="878">
      <c r="A878" s="134" t="str">
        <f>IFERROR(__xludf.DUMMYFUNCTION("""COMPUTED_VALUE"""),"Beppu")</f>
        <v>Beppu</v>
      </c>
      <c r="B878" s="120" t="str">
        <f>IFERROR(__xludf.DUMMYFUNCTION("""COMPUTED_VALUE"""),"BPU")</f>
        <v>BPU</v>
      </c>
      <c r="C878" s="120" t="str">
        <f>IFERROR(__xludf.DUMMYFUNCTION("""COMPUTED_VALUE"""),"Beppu")</f>
        <v>Beppu</v>
      </c>
      <c r="D878" s="120" t="str">
        <f>IFERROR(__xludf.DUMMYFUNCTION("""COMPUTED_VALUE"""),"Japan")</f>
        <v>Japan</v>
      </c>
      <c r="E878" s="135"/>
      <c r="F878" s="31"/>
    </row>
    <row r="879">
      <c r="A879" s="134" t="str">
        <f>IFERROR(__xludf.DUMMYFUNCTION("""COMPUTED_VALUE"""),"Berau")</f>
        <v>Berau</v>
      </c>
      <c r="B879" s="120" t="str">
        <f>IFERROR(__xludf.DUMMYFUNCTION("""COMPUTED_VALUE"""),"BEJ")</f>
        <v>BEJ</v>
      </c>
      <c r="C879" s="120" t="str">
        <f>IFERROR(__xludf.DUMMYFUNCTION("""COMPUTED_VALUE"""),"Berau")</f>
        <v>Berau</v>
      </c>
      <c r="D879" s="120" t="str">
        <f>IFERROR(__xludf.DUMMYFUNCTION("""COMPUTED_VALUE"""),"Indonesia")</f>
        <v>Indonesia</v>
      </c>
      <c r="E879" s="135"/>
      <c r="F879" s="31"/>
    </row>
    <row r="880">
      <c r="A880" s="134" t="str">
        <f>IFERROR(__xludf.DUMMYFUNCTION("""COMPUTED_VALUE"""),"Berbera")</f>
        <v>Berbera</v>
      </c>
      <c r="B880" s="120" t="str">
        <f>IFERROR(__xludf.DUMMYFUNCTION("""COMPUTED_VALUE"""),"BBO")</f>
        <v>BBO</v>
      </c>
      <c r="C880" s="120" t="str">
        <f>IFERROR(__xludf.DUMMYFUNCTION("""COMPUTED_VALUE"""),"Berbera")</f>
        <v>Berbera</v>
      </c>
      <c r="D880" s="120" t="str">
        <f>IFERROR(__xludf.DUMMYFUNCTION("""COMPUTED_VALUE"""),"Somalia")</f>
        <v>Somalia</v>
      </c>
      <c r="E880" s="135"/>
      <c r="F880" s="31"/>
    </row>
    <row r="881">
      <c r="A881" s="134" t="str">
        <f>IFERROR(__xludf.DUMMYFUNCTION("""COMPUTED_VALUE"""),"Berberati")</f>
        <v>Berberati</v>
      </c>
      <c r="B881" s="120" t="str">
        <f>IFERROR(__xludf.DUMMYFUNCTION("""COMPUTED_VALUE"""),"BBT")</f>
        <v>BBT</v>
      </c>
      <c r="C881" s="120" t="str">
        <f>IFERROR(__xludf.DUMMYFUNCTION("""COMPUTED_VALUE"""),"Berberati")</f>
        <v>Berberati</v>
      </c>
      <c r="D881" s="120" t="str">
        <f>IFERROR(__xludf.DUMMYFUNCTION("""COMPUTED_VALUE"""),"Central African Republic")</f>
        <v>Central African Republic</v>
      </c>
      <c r="E881" s="135"/>
      <c r="F881" s="31"/>
    </row>
    <row r="882">
      <c r="A882" s="134" t="str">
        <f>IFERROR(__xludf.DUMMYFUNCTION("""COMPUTED_VALUE"""),"Berdyansk")</f>
        <v>Berdyansk</v>
      </c>
      <c r="B882" s="120" t="str">
        <f>IFERROR(__xludf.DUMMYFUNCTION("""COMPUTED_VALUE"""),"ERD")</f>
        <v>ERD</v>
      </c>
      <c r="C882" s="120" t="str">
        <f>IFERROR(__xludf.DUMMYFUNCTION("""COMPUTED_VALUE"""),"Berdyansk")</f>
        <v>Berdyansk</v>
      </c>
      <c r="D882" s="120" t="str">
        <f>IFERROR(__xludf.DUMMYFUNCTION("""COMPUTED_VALUE"""),"Ukraine")</f>
        <v>Ukraine</v>
      </c>
      <c r="E882" s="135"/>
      <c r="F882" s="31"/>
    </row>
    <row r="883">
      <c r="A883" s="134" t="str">
        <f>IFERROR(__xludf.DUMMYFUNCTION("""COMPUTED_VALUE"""),"Bereby")</f>
        <v>Bereby</v>
      </c>
      <c r="B883" s="120" t="str">
        <f>IFERROR(__xludf.DUMMYFUNCTION("""COMPUTED_VALUE"""),"BBV")</f>
        <v>BBV</v>
      </c>
      <c r="C883" s="120" t="str">
        <f>IFERROR(__xludf.DUMMYFUNCTION("""COMPUTED_VALUE"""),"Bereby")</f>
        <v>Bereby</v>
      </c>
      <c r="D883" s="120" t="str">
        <f>IFERROR(__xludf.DUMMYFUNCTION("""COMPUTED_VALUE"""),"Cote D'Ivoire (Ivory Coast)")</f>
        <v>Cote D'Ivoire (Ivory Coast)</v>
      </c>
      <c r="E883" s="135"/>
      <c r="F883" s="31"/>
    </row>
    <row r="884">
      <c r="A884" s="134" t="str">
        <f>IFERROR(__xludf.DUMMYFUNCTION("""COMPUTED_VALUE"""),"Bereina")</f>
        <v>Bereina</v>
      </c>
      <c r="B884" s="120" t="str">
        <f>IFERROR(__xludf.DUMMYFUNCTION("""COMPUTED_VALUE"""),"BEA")</f>
        <v>BEA</v>
      </c>
      <c r="C884" s="120" t="str">
        <f>IFERROR(__xludf.DUMMYFUNCTION("""COMPUTED_VALUE"""),"Bereina")</f>
        <v>Bereina</v>
      </c>
      <c r="D884" s="120" t="str">
        <f>IFERROR(__xludf.DUMMYFUNCTION("""COMPUTED_VALUE"""),"Papua New Guinea")</f>
        <v>Papua New Guinea</v>
      </c>
      <c r="E884" s="135"/>
      <c r="F884" s="31"/>
    </row>
    <row r="885">
      <c r="A885" s="134" t="str">
        <f>IFERROR(__xludf.DUMMYFUNCTION("""COMPUTED_VALUE"""),"Berens River")</f>
        <v>Berens River</v>
      </c>
      <c r="B885" s="120" t="str">
        <f>IFERROR(__xludf.DUMMYFUNCTION("""COMPUTED_VALUE"""),"YBV")</f>
        <v>YBV</v>
      </c>
      <c r="C885" s="120" t="str">
        <f>IFERROR(__xludf.DUMMYFUNCTION("""COMPUTED_VALUE"""),"Berens River")</f>
        <v>Berens River</v>
      </c>
      <c r="D885" s="120" t="str">
        <f>IFERROR(__xludf.DUMMYFUNCTION("""COMPUTED_VALUE"""),"Canada")</f>
        <v>Canada</v>
      </c>
      <c r="E885" s="135"/>
      <c r="F885" s="31"/>
    </row>
    <row r="886">
      <c r="A886" s="134" t="str">
        <f>IFERROR(__xludf.DUMMYFUNCTION("""COMPUTED_VALUE"""),"Bergen")</f>
        <v>Bergen</v>
      </c>
      <c r="B886" s="120" t="str">
        <f>IFERROR(__xludf.DUMMYFUNCTION("""COMPUTED_VALUE"""),"BGO")</f>
        <v>BGO</v>
      </c>
      <c r="C886" s="120" t="str">
        <f>IFERROR(__xludf.DUMMYFUNCTION("""COMPUTED_VALUE"""),"Bergen Airport, Flesland")</f>
        <v>Bergen Airport, Flesland</v>
      </c>
      <c r="D886" s="120" t="str">
        <f>IFERROR(__xludf.DUMMYFUNCTION("""COMPUTED_VALUE"""),"Norway")</f>
        <v>Norway</v>
      </c>
      <c r="E886" s="135"/>
      <c r="F886" s="31"/>
    </row>
    <row r="887">
      <c r="A887" s="134" t="str">
        <f>IFERROR(__xludf.DUMMYFUNCTION("""COMPUTED_VALUE"""),"Bergen Op Zoom")</f>
        <v>Bergen Op Zoom</v>
      </c>
      <c r="B887" s="120" t="str">
        <f>IFERROR(__xludf.DUMMYFUNCTION("""COMPUTED_VALUE"""),"BZM")</f>
        <v>BZM</v>
      </c>
      <c r="C887" s="120" t="str">
        <f>IFERROR(__xludf.DUMMYFUNCTION("""COMPUTED_VALUE"""),"Woensdrecht")</f>
        <v>Woensdrecht</v>
      </c>
      <c r="D887" s="120" t="str">
        <f>IFERROR(__xludf.DUMMYFUNCTION("""COMPUTED_VALUE"""),"Netherlands")</f>
        <v>Netherlands</v>
      </c>
      <c r="E887" s="135"/>
      <c r="F887" s="31"/>
    </row>
    <row r="888">
      <c r="A888" s="134" t="str">
        <f>IFERROR(__xludf.DUMMYFUNCTION("""COMPUTED_VALUE"""),"Bergerac")</f>
        <v>Bergerac</v>
      </c>
      <c r="B888" s="120" t="str">
        <f>IFERROR(__xludf.DUMMYFUNCTION("""COMPUTED_VALUE"""),"EGC")</f>
        <v>EGC</v>
      </c>
      <c r="C888" s="120" t="str">
        <f>IFERROR(__xludf.DUMMYFUNCTION("""COMPUTED_VALUE"""),"Roumanieres")</f>
        <v>Roumanieres</v>
      </c>
      <c r="D888" s="120" t="str">
        <f>IFERROR(__xludf.DUMMYFUNCTION("""COMPUTED_VALUE"""),"France")</f>
        <v>France</v>
      </c>
      <c r="E888" s="135"/>
      <c r="F888" s="31"/>
    </row>
    <row r="889">
      <c r="A889" s="134" t="str">
        <f>IFERROR(__xludf.DUMMYFUNCTION("""COMPUTED_VALUE"""),"Berkak")</f>
        <v>Berkak</v>
      </c>
      <c r="B889" s="120" t="str">
        <f>IFERROR(__xludf.DUMMYFUNCTION("""COMPUTED_VALUE"""),"XUB")</f>
        <v>XUB</v>
      </c>
      <c r="C889" s="120" t="str">
        <f>IFERROR(__xludf.DUMMYFUNCTION("""COMPUTED_VALUE"""),"Berkak Railway")</f>
        <v>Berkak Railway</v>
      </c>
      <c r="D889" s="120" t="str">
        <f>IFERROR(__xludf.DUMMYFUNCTION("""COMPUTED_VALUE"""),"Norway")</f>
        <v>Norway</v>
      </c>
      <c r="E889" s="135"/>
      <c r="F889" s="31"/>
    </row>
    <row r="890">
      <c r="A890" s="134" t="str">
        <f>IFERROR(__xludf.DUMMYFUNCTION("""COMPUTED_VALUE"""),"Berkeley")</f>
        <v>Berkeley</v>
      </c>
      <c r="B890" s="120" t="str">
        <f>IFERROR(__xludf.DUMMYFUNCTION("""COMPUTED_VALUE"""),"JBK")</f>
        <v>JBK</v>
      </c>
      <c r="C890" s="120" t="str">
        <f>IFERROR(__xludf.DUMMYFUNCTION("""COMPUTED_VALUE"""),"Berkeley")</f>
        <v>Berkeley</v>
      </c>
      <c r="D890" s="120" t="str">
        <f>IFERROR(__xludf.DUMMYFUNCTION("""COMPUTED_VALUE"""),"United States")</f>
        <v>United States</v>
      </c>
      <c r="E890" s="135"/>
      <c r="F890" s="31"/>
    </row>
    <row r="891">
      <c r="A891" s="134" t="str">
        <f>IFERROR(__xludf.DUMMYFUNCTION("""COMPUTED_VALUE"""),"Berlevag")</f>
        <v>Berlevag</v>
      </c>
      <c r="B891" s="120" t="str">
        <f>IFERROR(__xludf.DUMMYFUNCTION("""COMPUTED_VALUE"""),"BVG")</f>
        <v>BVG</v>
      </c>
      <c r="C891" s="120" t="str">
        <f>IFERROR(__xludf.DUMMYFUNCTION("""COMPUTED_VALUE"""),"Berlevag")</f>
        <v>Berlevag</v>
      </c>
      <c r="D891" s="120" t="str">
        <f>IFERROR(__xludf.DUMMYFUNCTION("""COMPUTED_VALUE"""),"Norway")</f>
        <v>Norway</v>
      </c>
      <c r="E891" s="135"/>
      <c r="F891" s="31"/>
    </row>
    <row r="892">
      <c r="A892" s="134" t="str">
        <f>IFERROR(__xludf.DUMMYFUNCTION("""COMPUTED_VALUE"""),"Berlin")</f>
        <v>Berlin</v>
      </c>
      <c r="B892" s="120" t="str">
        <f>IFERROR(__xludf.DUMMYFUNCTION("""COMPUTED_VALUE"""),"QWC")</f>
        <v>QWC</v>
      </c>
      <c r="C892" s="120" t="str">
        <f>IFERROR(__xludf.DUMMYFUNCTION("""COMPUTED_VALUE"""),"Berlin Zoo")</f>
        <v>Berlin Zoo</v>
      </c>
      <c r="D892" s="120" t="str">
        <f>IFERROR(__xludf.DUMMYFUNCTION("""COMPUTED_VALUE"""),"Germany")</f>
        <v>Germany</v>
      </c>
      <c r="E892" s="135"/>
      <c r="F892" s="31"/>
    </row>
    <row r="893">
      <c r="A893" s="134" t="str">
        <f>IFERROR(__xludf.DUMMYFUNCTION("""COMPUTED_VALUE"""),"Berlin")</f>
        <v>Berlin</v>
      </c>
      <c r="B893" s="120" t="str">
        <f>IFERROR(__xludf.DUMMYFUNCTION("""COMPUTED_VALUE"""),"GWW")</f>
        <v>GWW</v>
      </c>
      <c r="C893" s="120" t="str">
        <f>IFERROR(__xludf.DUMMYFUNCTION("""COMPUTED_VALUE"""),"RAF Gatow")</f>
        <v>RAF Gatow</v>
      </c>
      <c r="D893" s="120" t="str">
        <f>IFERROR(__xludf.DUMMYFUNCTION("""COMPUTED_VALUE"""),"Germany")</f>
        <v>Germany</v>
      </c>
      <c r="E893" s="135"/>
      <c r="F893" s="31"/>
    </row>
    <row r="894">
      <c r="A894" s="134" t="str">
        <f>IFERROR(__xludf.DUMMYFUNCTION("""COMPUTED_VALUE"""),"Berlin")</f>
        <v>Berlin</v>
      </c>
      <c r="B894" s="120" t="str">
        <f>IFERROR(__xludf.DUMMYFUNCTION("""COMPUTED_VALUE"""),"SXF")</f>
        <v>SXF</v>
      </c>
      <c r="C894" s="120" t="str">
        <f>IFERROR(__xludf.DUMMYFUNCTION("""COMPUTED_VALUE"""),"Schoenefeld")</f>
        <v>Schoenefeld</v>
      </c>
      <c r="D894" s="120" t="str">
        <f>IFERROR(__xludf.DUMMYFUNCTION("""COMPUTED_VALUE"""),"Germany")</f>
        <v>Germany</v>
      </c>
      <c r="E894" s="135"/>
      <c r="F894" s="31"/>
    </row>
    <row r="895">
      <c r="A895" s="134" t="str">
        <f>IFERROR(__xludf.DUMMYFUNCTION("""COMPUTED_VALUE"""),"Berlin")</f>
        <v>Berlin</v>
      </c>
      <c r="B895" s="120" t="str">
        <f>IFERROR(__xludf.DUMMYFUNCTION("""COMPUTED_VALUE"""),"TXL")</f>
        <v>TXL</v>
      </c>
      <c r="C895" s="120" t="str">
        <f>IFERROR(__xludf.DUMMYFUNCTION("""COMPUTED_VALUE"""),"Tegel")</f>
        <v>Tegel</v>
      </c>
      <c r="D895" s="120" t="str">
        <f>IFERROR(__xludf.DUMMYFUNCTION("""COMPUTED_VALUE"""),"Germany")</f>
        <v>Germany</v>
      </c>
      <c r="E895" s="135"/>
      <c r="F895" s="31"/>
    </row>
    <row r="896">
      <c r="A896" s="134" t="str">
        <f>IFERROR(__xludf.DUMMYFUNCTION("""COMPUTED_VALUE"""),"Berlin")</f>
        <v>Berlin</v>
      </c>
      <c r="B896" s="120" t="str">
        <f>IFERROR(__xludf.DUMMYFUNCTION("""COMPUTED_VALUE"""),"THF")</f>
        <v>THF</v>
      </c>
      <c r="C896" s="120" t="str">
        <f>IFERROR(__xludf.DUMMYFUNCTION("""COMPUTED_VALUE"""),"Tempelhof")</f>
        <v>Tempelhof</v>
      </c>
      <c r="D896" s="120" t="str">
        <f>IFERROR(__xludf.DUMMYFUNCTION("""COMPUTED_VALUE"""),"Germany")</f>
        <v>Germany</v>
      </c>
      <c r="E896" s="135"/>
      <c r="F896" s="31"/>
    </row>
    <row r="897">
      <c r="A897" s="134" t="str">
        <f>IFERROR(__xludf.DUMMYFUNCTION("""COMPUTED_VALUE"""),"Berlin")</f>
        <v>Berlin</v>
      </c>
      <c r="B897" s="120" t="str">
        <f>IFERROR(__xludf.DUMMYFUNCTION("""COMPUTED_VALUE"""),"BML")</f>
        <v>BML</v>
      </c>
      <c r="C897" s="120" t="str">
        <f>IFERROR(__xludf.DUMMYFUNCTION("""COMPUTED_VALUE"""),"Berlin")</f>
        <v>Berlin</v>
      </c>
      <c r="D897" s="120" t="str">
        <f>IFERROR(__xludf.DUMMYFUNCTION("""COMPUTED_VALUE"""),"United States")</f>
        <v>United States</v>
      </c>
      <c r="E897" s="135"/>
      <c r="F897" s="31"/>
    </row>
    <row r="898">
      <c r="A898" s="134" t="str">
        <f>IFERROR(__xludf.DUMMYFUNCTION("""COMPUTED_VALUE"""),"Bermejo")</f>
        <v>Bermejo</v>
      </c>
      <c r="B898" s="120" t="str">
        <f>IFERROR(__xludf.DUMMYFUNCTION("""COMPUTED_VALUE"""),"BJO")</f>
        <v>BJO</v>
      </c>
      <c r="C898" s="120" t="str">
        <f>IFERROR(__xludf.DUMMYFUNCTION("""COMPUTED_VALUE"""),"Bermejo")</f>
        <v>Bermejo</v>
      </c>
      <c r="D898" s="120" t="str">
        <f>IFERROR(__xludf.DUMMYFUNCTION("""COMPUTED_VALUE"""),"Bolivia")</f>
        <v>Bolivia</v>
      </c>
      <c r="E898" s="135"/>
      <c r="F898" s="31"/>
    </row>
    <row r="899">
      <c r="A899" s="134" t="str">
        <f>IFERROR(__xludf.DUMMYFUNCTION("""COMPUTED_VALUE"""),"Bermuda")</f>
        <v>Bermuda</v>
      </c>
      <c r="B899" s="120" t="str">
        <f>IFERROR(__xludf.DUMMYFUNCTION("""COMPUTED_VALUE"""),"BDA")</f>
        <v>BDA</v>
      </c>
      <c r="C899" s="120" t="str">
        <f>IFERROR(__xludf.DUMMYFUNCTION("""COMPUTED_VALUE"""),"Bermuda International")</f>
        <v>Bermuda International</v>
      </c>
      <c r="D899" s="120" t="str">
        <f>IFERROR(__xludf.DUMMYFUNCTION("""COMPUTED_VALUE"""),"Bermuda")</f>
        <v>Bermuda</v>
      </c>
      <c r="E899" s="135"/>
      <c r="F899" s="31"/>
    </row>
    <row r="900">
      <c r="A900" s="134" t="str">
        <f>IFERROR(__xludf.DUMMYFUNCTION("""COMPUTED_VALUE"""),"Bermuda")</f>
        <v>Bermuda</v>
      </c>
      <c r="B900" s="120" t="str">
        <f>IFERROR(__xludf.DUMMYFUNCTION("""COMPUTED_VALUE"""),"NWU")</f>
        <v>NWU</v>
      </c>
      <c r="C900" s="120" t="str">
        <f>IFERROR(__xludf.DUMMYFUNCTION("""COMPUTED_VALUE"""),"NAS")</f>
        <v>NAS</v>
      </c>
      <c r="D900" s="120" t="str">
        <f>IFERROR(__xludf.DUMMYFUNCTION("""COMPUTED_VALUE"""),"Bermuda")</f>
        <v>Bermuda</v>
      </c>
      <c r="E900" s="135"/>
      <c r="F900" s="31"/>
    </row>
    <row r="901">
      <c r="A901" s="134" t="str">
        <f>IFERROR(__xludf.DUMMYFUNCTION("""COMPUTED_VALUE"""),"Berne")</f>
        <v>Berne</v>
      </c>
      <c r="B901" s="120" t="str">
        <f>IFERROR(__xludf.DUMMYFUNCTION("""COMPUTED_VALUE"""),"BRN")</f>
        <v>BRN</v>
      </c>
      <c r="C901" s="120" t="str">
        <f>IFERROR(__xludf.DUMMYFUNCTION("""COMPUTED_VALUE"""),"Belp")</f>
        <v>Belp</v>
      </c>
      <c r="D901" s="120" t="str">
        <f>IFERROR(__xludf.DUMMYFUNCTION("""COMPUTED_VALUE"""),"Switzerland")</f>
        <v>Switzerland</v>
      </c>
      <c r="E901" s="135"/>
      <c r="F901" s="31"/>
    </row>
    <row r="902">
      <c r="A902" s="134" t="str">
        <f>IFERROR(__xludf.DUMMYFUNCTION("""COMPUTED_VALUE"""),"Beroroha")</f>
        <v>Beroroha</v>
      </c>
      <c r="B902" s="120" t="str">
        <f>IFERROR(__xludf.DUMMYFUNCTION("""COMPUTED_VALUE"""),"WBO")</f>
        <v>WBO</v>
      </c>
      <c r="C902" s="120" t="str">
        <f>IFERROR(__xludf.DUMMYFUNCTION("""COMPUTED_VALUE"""),"Beroroha")</f>
        <v>Beroroha</v>
      </c>
      <c r="D902" s="120" t="str">
        <f>IFERROR(__xludf.DUMMYFUNCTION("""COMPUTED_VALUE"""),"Madagascar")</f>
        <v>Madagascar</v>
      </c>
      <c r="E902" s="135"/>
      <c r="F902" s="31"/>
    </row>
    <row r="903">
      <c r="A903" s="134" t="str">
        <f>IFERROR(__xludf.DUMMYFUNCTION("""COMPUTED_VALUE"""),"Yaoundé")</f>
        <v>Yaoundé</v>
      </c>
      <c r="B903" s="120" t="str">
        <f>IFERROR(__xludf.DUMMYFUNCTION("""COMPUTED_VALUE"""),"BTA")</f>
        <v>BTA</v>
      </c>
      <c r="C903" s="120" t="str">
        <f>IFERROR(__xludf.DUMMYFUNCTION("""COMPUTED_VALUE"""),"Yaoundé")</f>
        <v>Yaoundé</v>
      </c>
      <c r="D903" s="120" t="str">
        <f>IFERROR(__xludf.DUMMYFUNCTION("""COMPUTED_VALUE"""),"Cameroon")</f>
        <v>Cameroon</v>
      </c>
      <c r="E903" s="135"/>
      <c r="F903" s="31"/>
    </row>
    <row r="904">
      <c r="A904" s="134" t="str">
        <f>IFERROR(__xludf.DUMMYFUNCTION("""COMPUTED_VALUE"""),"Beru")</f>
        <v>Beru</v>
      </c>
      <c r="B904" s="120" t="str">
        <f>IFERROR(__xludf.DUMMYFUNCTION("""COMPUTED_VALUE"""),"BEZ")</f>
        <v>BEZ</v>
      </c>
      <c r="C904" s="120" t="str">
        <f>IFERROR(__xludf.DUMMYFUNCTION("""COMPUTED_VALUE"""),"Beru")</f>
        <v>Beru</v>
      </c>
      <c r="D904" s="120" t="str">
        <f>IFERROR(__xludf.DUMMYFUNCTION("""COMPUTED_VALUE"""),"Kiribati")</f>
        <v>Kiribati</v>
      </c>
      <c r="E904" s="135"/>
      <c r="F904" s="31"/>
    </row>
    <row r="905">
      <c r="A905" s="134" t="str">
        <f>IFERROR(__xludf.DUMMYFUNCTION("""COMPUTED_VALUE"""),"Besakoa")</f>
        <v>Besakoa</v>
      </c>
      <c r="B905" s="120" t="str">
        <f>IFERROR(__xludf.DUMMYFUNCTION("""COMPUTED_VALUE"""),"BSV")</f>
        <v>BSV</v>
      </c>
      <c r="C905" s="120" t="str">
        <f>IFERROR(__xludf.DUMMYFUNCTION("""COMPUTED_VALUE"""),"Besakoa")</f>
        <v>Besakoa</v>
      </c>
      <c r="D905" s="120" t="str">
        <f>IFERROR(__xludf.DUMMYFUNCTION("""COMPUTED_VALUE"""),"Papua New Guinea")</f>
        <v>Papua New Guinea</v>
      </c>
      <c r="E905" s="135"/>
      <c r="F905" s="31"/>
    </row>
    <row r="906">
      <c r="A906" s="134" t="str">
        <f>IFERROR(__xludf.DUMMYFUNCTION("""COMPUTED_VALUE"""),"Besalampy")</f>
        <v>Besalampy</v>
      </c>
      <c r="B906" s="120" t="str">
        <f>IFERROR(__xludf.DUMMYFUNCTION("""COMPUTED_VALUE"""),"BPY")</f>
        <v>BPY</v>
      </c>
      <c r="C906" s="120" t="str">
        <f>IFERROR(__xludf.DUMMYFUNCTION("""COMPUTED_VALUE"""),"Besalampy")</f>
        <v>Besalampy</v>
      </c>
      <c r="D906" s="120" t="str">
        <f>IFERROR(__xludf.DUMMYFUNCTION("""COMPUTED_VALUE"""),"Madagascar")</f>
        <v>Madagascar</v>
      </c>
      <c r="E906" s="135"/>
      <c r="F906" s="31"/>
    </row>
    <row r="907">
      <c r="A907" s="134" t="str">
        <f>IFERROR(__xludf.DUMMYFUNCTION("""COMPUTED_VALUE"""),"Bethel")</f>
        <v>Bethel</v>
      </c>
      <c r="B907" s="120" t="str">
        <f>IFERROR(__xludf.DUMMYFUNCTION("""COMPUTED_VALUE"""),"BET")</f>
        <v>BET</v>
      </c>
      <c r="C907" s="120" t="str">
        <f>IFERROR(__xludf.DUMMYFUNCTION("""COMPUTED_VALUE"""),"Bethel Airport")</f>
        <v>Bethel Airport</v>
      </c>
      <c r="D907" s="120" t="str">
        <f>IFERROR(__xludf.DUMMYFUNCTION("""COMPUTED_VALUE"""),"United States")</f>
        <v>United States</v>
      </c>
      <c r="E907" s="135"/>
      <c r="F907" s="31"/>
    </row>
    <row r="908">
      <c r="A908" s="134" t="str">
        <f>IFERROR(__xludf.DUMMYFUNCTION("""COMPUTED_VALUE"""),"Bethel")</f>
        <v>Bethel</v>
      </c>
      <c r="B908" s="120" t="str">
        <f>IFERROR(__xludf.DUMMYFUNCTION("""COMPUTED_VALUE"""),"JBT")</f>
        <v>JBT</v>
      </c>
      <c r="C908" s="120" t="str">
        <f>IFERROR(__xludf.DUMMYFUNCTION("""COMPUTED_VALUE"""),"City Landing")</f>
        <v>City Landing</v>
      </c>
      <c r="D908" s="120" t="str">
        <f>IFERROR(__xludf.DUMMYFUNCTION("""COMPUTED_VALUE"""),"United States")</f>
        <v>United States</v>
      </c>
      <c r="E908" s="135"/>
      <c r="F908" s="31"/>
    </row>
    <row r="909">
      <c r="A909" s="134" t="str">
        <f>IFERROR(__xludf.DUMMYFUNCTION("""COMPUTED_VALUE"""),"Bethpage")</f>
        <v>Bethpage</v>
      </c>
      <c r="B909" s="120" t="str">
        <f>IFERROR(__xludf.DUMMYFUNCTION("""COMPUTED_VALUE"""),"BPA")</f>
        <v>BPA</v>
      </c>
      <c r="C909" s="120" t="str">
        <f>IFERROR(__xludf.DUMMYFUNCTION("""COMPUTED_VALUE"""),"Grumman")</f>
        <v>Grumman</v>
      </c>
      <c r="D909" s="120" t="str">
        <f>IFERROR(__xludf.DUMMYFUNCTION("""COMPUTED_VALUE"""),"United States")</f>
        <v>United States</v>
      </c>
      <c r="E909" s="135"/>
      <c r="F909" s="31"/>
    </row>
    <row r="910">
      <c r="A910" s="134" t="str">
        <f>IFERROR(__xludf.DUMMYFUNCTION("""COMPUTED_VALUE"""),"Betioky")</f>
        <v>Betioky</v>
      </c>
      <c r="B910" s="120" t="str">
        <f>IFERROR(__xludf.DUMMYFUNCTION("""COMPUTED_VALUE"""),"BKU")</f>
        <v>BKU</v>
      </c>
      <c r="C910" s="120" t="str">
        <f>IFERROR(__xludf.DUMMYFUNCTION("""COMPUTED_VALUE"""),"Betioky")</f>
        <v>Betioky</v>
      </c>
      <c r="D910" s="120" t="str">
        <f>IFERROR(__xludf.DUMMYFUNCTION("""COMPUTED_VALUE"""),"Madagascar")</f>
        <v>Madagascar</v>
      </c>
      <c r="E910" s="135"/>
      <c r="F910" s="31"/>
    </row>
    <row r="911">
      <c r="A911" s="134" t="str">
        <f>IFERROR(__xludf.DUMMYFUNCTION("""COMPUTED_VALUE"""),"Betoota")</f>
        <v>Betoota</v>
      </c>
      <c r="B911" s="120" t="str">
        <f>IFERROR(__xludf.DUMMYFUNCTION("""COMPUTED_VALUE"""),"BTX")</f>
        <v>BTX</v>
      </c>
      <c r="C911" s="120" t="str">
        <f>IFERROR(__xludf.DUMMYFUNCTION("""COMPUTED_VALUE"""),"Betoota")</f>
        <v>Betoota</v>
      </c>
      <c r="D911" s="120" t="str">
        <f>IFERROR(__xludf.DUMMYFUNCTION("""COMPUTED_VALUE"""),"Australia")</f>
        <v>Australia</v>
      </c>
      <c r="E911" s="135"/>
      <c r="F911" s="31"/>
    </row>
    <row r="912">
      <c r="A912" s="134" t="str">
        <f>IFERROR(__xludf.DUMMYFUNCTION("""COMPUTED_VALUE"""),"Betou")</f>
        <v>Betou</v>
      </c>
      <c r="B912" s="120" t="str">
        <f>IFERROR(__xludf.DUMMYFUNCTION("""COMPUTED_VALUE"""),"BTB")</f>
        <v>BTB</v>
      </c>
      <c r="C912" s="120" t="str">
        <f>IFERROR(__xludf.DUMMYFUNCTION("""COMPUTED_VALUE"""),"Betou")</f>
        <v>Betou</v>
      </c>
      <c r="D912" s="120" t="str">
        <f>IFERROR(__xludf.DUMMYFUNCTION("""COMPUTED_VALUE"""),"Congo")</f>
        <v>Congo</v>
      </c>
      <c r="E912" s="135"/>
      <c r="F912" s="31"/>
    </row>
    <row r="913">
      <c r="A913" s="134" t="str">
        <f>IFERROR(__xludf.DUMMYFUNCTION("""COMPUTED_VALUE"""),"Bettles")</f>
        <v>Bettles</v>
      </c>
      <c r="B913" s="120" t="str">
        <f>IFERROR(__xludf.DUMMYFUNCTION("""COMPUTED_VALUE"""),"BTT")</f>
        <v>BTT</v>
      </c>
      <c r="C913" s="120" t="str">
        <f>IFERROR(__xludf.DUMMYFUNCTION("""COMPUTED_VALUE"""),"Bettles")</f>
        <v>Bettles</v>
      </c>
      <c r="D913" s="120" t="str">
        <f>IFERROR(__xludf.DUMMYFUNCTION("""COMPUTED_VALUE"""),"United States")</f>
        <v>United States</v>
      </c>
      <c r="E913" s="135"/>
      <c r="F913" s="31"/>
    </row>
    <row r="914">
      <c r="A914" s="134" t="str">
        <f>IFERROR(__xludf.DUMMYFUNCTION("""COMPUTED_VALUE"""),"Beverley Springs")</f>
        <v>Beverley Springs</v>
      </c>
      <c r="B914" s="120" t="str">
        <f>IFERROR(__xludf.DUMMYFUNCTION("""COMPUTED_VALUE"""),"BVZ")</f>
        <v>BVZ</v>
      </c>
      <c r="C914" s="120" t="str">
        <f>IFERROR(__xludf.DUMMYFUNCTION("""COMPUTED_VALUE"""),"Beverley Springs")</f>
        <v>Beverley Springs</v>
      </c>
      <c r="D914" s="120" t="str">
        <f>IFERROR(__xludf.DUMMYFUNCTION("""COMPUTED_VALUE"""),"Australia")</f>
        <v>Australia</v>
      </c>
      <c r="E914" s="135"/>
      <c r="F914" s="31"/>
    </row>
    <row r="915">
      <c r="A915" s="134" t="str">
        <f>IFERROR(__xludf.DUMMYFUNCTION("""COMPUTED_VALUE"""),"Beverly")</f>
        <v>Beverly</v>
      </c>
      <c r="B915" s="120" t="str">
        <f>IFERROR(__xludf.DUMMYFUNCTION("""COMPUTED_VALUE"""),"BVY")</f>
        <v>BVY</v>
      </c>
      <c r="C915" s="120" t="str">
        <f>IFERROR(__xludf.DUMMYFUNCTION("""COMPUTED_VALUE"""),"Beverly")</f>
        <v>Beverly</v>
      </c>
      <c r="D915" s="120" t="str">
        <f>IFERROR(__xludf.DUMMYFUNCTION("""COMPUTED_VALUE"""),"United States")</f>
        <v>United States</v>
      </c>
      <c r="E915" s="135"/>
      <c r="F915" s="31"/>
    </row>
    <row r="916">
      <c r="A916" s="134" t="str">
        <f>IFERROR(__xludf.DUMMYFUNCTION("""COMPUTED_VALUE"""),"Bewani")</f>
        <v>Bewani</v>
      </c>
      <c r="B916" s="120" t="str">
        <f>IFERROR(__xludf.DUMMYFUNCTION("""COMPUTED_VALUE"""),"BWP")</f>
        <v>BWP</v>
      </c>
      <c r="C916" s="120" t="str">
        <f>IFERROR(__xludf.DUMMYFUNCTION("""COMPUTED_VALUE"""),"Bewani")</f>
        <v>Bewani</v>
      </c>
      <c r="D916" s="120" t="str">
        <f>IFERROR(__xludf.DUMMYFUNCTION("""COMPUTED_VALUE"""),"Papua New Guinea")</f>
        <v>Papua New Guinea</v>
      </c>
      <c r="E916" s="135"/>
      <c r="F916" s="31"/>
    </row>
    <row r="917">
      <c r="A917" s="134" t="str">
        <f>IFERROR(__xludf.DUMMYFUNCTION("""COMPUTED_VALUE"""),"Beziers")</f>
        <v>Beziers</v>
      </c>
      <c r="B917" s="120" t="str">
        <f>IFERROR(__xludf.DUMMYFUNCTION("""COMPUTED_VALUE"""),"BZR")</f>
        <v>BZR</v>
      </c>
      <c r="C917" s="120" t="str">
        <f>IFERROR(__xludf.DUMMYFUNCTION("""COMPUTED_VALUE"""),"Beziers Vias")</f>
        <v>Beziers Vias</v>
      </c>
      <c r="D917" s="120" t="str">
        <f>IFERROR(__xludf.DUMMYFUNCTION("""COMPUTED_VALUE"""),"France")</f>
        <v>France</v>
      </c>
      <c r="E917" s="135"/>
      <c r="F917" s="31"/>
    </row>
    <row r="918">
      <c r="A918" s="134" t="str">
        <f>IFERROR(__xludf.DUMMYFUNCTION("""COMPUTED_VALUE"""),"Bhadrapur")</f>
        <v>Bhadrapur</v>
      </c>
      <c r="B918" s="120" t="str">
        <f>IFERROR(__xludf.DUMMYFUNCTION("""COMPUTED_VALUE"""),"BDP")</f>
        <v>BDP</v>
      </c>
      <c r="C918" s="120" t="str">
        <f>IFERROR(__xludf.DUMMYFUNCTION("""COMPUTED_VALUE"""),"Bhadrapur")</f>
        <v>Bhadrapur</v>
      </c>
      <c r="D918" s="120" t="str">
        <f>IFERROR(__xludf.DUMMYFUNCTION("""COMPUTED_VALUE"""),"Nepal")</f>
        <v>Nepal</v>
      </c>
      <c r="E918" s="135"/>
      <c r="F918" s="31"/>
    </row>
    <row r="919">
      <c r="A919" s="134" t="str">
        <f>IFERROR(__xludf.DUMMYFUNCTION("""COMPUTED_VALUE"""),"Bhairawa")</f>
        <v>Bhairawa</v>
      </c>
      <c r="B919" s="120" t="str">
        <f>IFERROR(__xludf.DUMMYFUNCTION("""COMPUTED_VALUE"""),"BWA")</f>
        <v>BWA</v>
      </c>
      <c r="C919" s="120" t="str">
        <f>IFERROR(__xludf.DUMMYFUNCTION("""COMPUTED_VALUE"""),"Bhairawa")</f>
        <v>Bhairawa</v>
      </c>
      <c r="D919" s="120" t="str">
        <f>IFERROR(__xludf.DUMMYFUNCTION("""COMPUTED_VALUE"""),"Nepal")</f>
        <v>Nepal</v>
      </c>
      <c r="E919" s="135"/>
      <c r="F919" s="31"/>
    </row>
    <row r="920">
      <c r="A920" s="134" t="str">
        <f>IFERROR(__xludf.DUMMYFUNCTION("""COMPUTED_VALUE"""),"Bhamo")</f>
        <v>Bhamo</v>
      </c>
      <c r="B920" s="120" t="str">
        <f>IFERROR(__xludf.DUMMYFUNCTION("""COMPUTED_VALUE"""),"BMO")</f>
        <v>BMO</v>
      </c>
      <c r="C920" s="120" t="str">
        <f>IFERROR(__xludf.DUMMYFUNCTION("""COMPUTED_VALUE"""),"Bhamo")</f>
        <v>Bhamo</v>
      </c>
      <c r="D920" s="120" t="str">
        <f>IFERROR(__xludf.DUMMYFUNCTION("""COMPUTED_VALUE"""),"Myanmar")</f>
        <v>Myanmar</v>
      </c>
      <c r="E920" s="135"/>
      <c r="F920" s="31"/>
    </row>
    <row r="921">
      <c r="A921" s="134" t="str">
        <f>IFERROR(__xludf.DUMMYFUNCTION("""COMPUTED_VALUE"""),"Bharatpur")</f>
        <v>Bharatpur</v>
      </c>
      <c r="B921" s="120" t="str">
        <f>IFERROR(__xludf.DUMMYFUNCTION("""COMPUTED_VALUE"""),"BHR")</f>
        <v>BHR</v>
      </c>
      <c r="C921" s="120" t="str">
        <f>IFERROR(__xludf.DUMMYFUNCTION("""COMPUTED_VALUE"""),"Bharatpur")</f>
        <v>Bharatpur</v>
      </c>
      <c r="D921" s="120" t="str">
        <f>IFERROR(__xludf.DUMMYFUNCTION("""COMPUTED_VALUE"""),"Nepal")</f>
        <v>Nepal</v>
      </c>
      <c r="E921" s="135"/>
      <c r="F921" s="31"/>
    </row>
    <row r="922">
      <c r="A922" s="134" t="str">
        <f>IFERROR(__xludf.DUMMYFUNCTION("""COMPUTED_VALUE"""),"Bhatinda")</f>
        <v>Bhatinda</v>
      </c>
      <c r="B922" s="120" t="str">
        <f>IFERROR(__xludf.DUMMYFUNCTION("""COMPUTED_VALUE"""),"BUP")</f>
        <v>BUP</v>
      </c>
      <c r="C922" s="120" t="str">
        <f>IFERROR(__xludf.DUMMYFUNCTION("""COMPUTED_VALUE"""),"Bhatinda")</f>
        <v>Bhatinda</v>
      </c>
      <c r="D922" s="120" t="str">
        <f>IFERROR(__xludf.DUMMYFUNCTION("""COMPUTED_VALUE"""),"India")</f>
        <v>India</v>
      </c>
      <c r="E922" s="135"/>
      <c r="F922" s="31"/>
    </row>
    <row r="923">
      <c r="A923" s="134" t="str">
        <f>IFERROR(__xludf.DUMMYFUNCTION("""COMPUTED_VALUE"""),"Bhavnagar")</f>
        <v>Bhavnagar</v>
      </c>
      <c r="B923" s="120" t="str">
        <f>IFERROR(__xludf.DUMMYFUNCTION("""COMPUTED_VALUE"""),"BHU")</f>
        <v>BHU</v>
      </c>
      <c r="C923" s="120" t="str">
        <f>IFERROR(__xludf.DUMMYFUNCTION("""COMPUTED_VALUE"""),"Bhavnagar")</f>
        <v>Bhavnagar</v>
      </c>
      <c r="D923" s="120" t="str">
        <f>IFERROR(__xludf.DUMMYFUNCTION("""COMPUTED_VALUE"""),"India")</f>
        <v>India</v>
      </c>
      <c r="E923" s="135"/>
      <c r="F923" s="31"/>
    </row>
    <row r="924">
      <c r="A924" s="134" t="str">
        <f>IFERROR(__xludf.DUMMYFUNCTION("""COMPUTED_VALUE"""),"Bhojpur")</f>
        <v>Bhojpur</v>
      </c>
      <c r="B924" s="120" t="str">
        <f>IFERROR(__xludf.DUMMYFUNCTION("""COMPUTED_VALUE"""),"BHP")</f>
        <v>BHP</v>
      </c>
      <c r="C924" s="120" t="str">
        <f>IFERROR(__xludf.DUMMYFUNCTION("""COMPUTED_VALUE"""),"Bhojpur")</f>
        <v>Bhojpur</v>
      </c>
      <c r="D924" s="120" t="str">
        <f>IFERROR(__xludf.DUMMYFUNCTION("""COMPUTED_VALUE"""),"Nepal")</f>
        <v>Nepal</v>
      </c>
      <c r="E924" s="135"/>
      <c r="F924" s="31"/>
    </row>
    <row r="925">
      <c r="A925" s="134" t="str">
        <f>IFERROR(__xludf.DUMMYFUNCTION("""COMPUTED_VALUE"""),"Bhopal")</f>
        <v>Bhopal</v>
      </c>
      <c r="B925" s="120" t="str">
        <f>IFERROR(__xludf.DUMMYFUNCTION("""COMPUTED_VALUE"""),"BHO")</f>
        <v>BHO</v>
      </c>
      <c r="C925" s="120" t="str">
        <f>IFERROR(__xludf.DUMMYFUNCTION("""COMPUTED_VALUE"""),"Bhopal")</f>
        <v>Bhopal</v>
      </c>
      <c r="D925" s="120" t="str">
        <f>IFERROR(__xludf.DUMMYFUNCTION("""COMPUTED_VALUE"""),"India")</f>
        <v>India</v>
      </c>
      <c r="E925" s="135"/>
      <c r="F925" s="31"/>
    </row>
    <row r="926">
      <c r="A926" s="134" t="str">
        <f>IFERROR(__xludf.DUMMYFUNCTION("""COMPUTED_VALUE"""),"Bhubaneswar")</f>
        <v>Bhubaneswar</v>
      </c>
      <c r="B926" s="120" t="str">
        <f>IFERROR(__xludf.DUMMYFUNCTION("""COMPUTED_VALUE"""),"BBI")</f>
        <v>BBI</v>
      </c>
      <c r="C926" s="120" t="str">
        <f>IFERROR(__xludf.DUMMYFUNCTION("""COMPUTED_VALUE"""),"Bhubaneswar")</f>
        <v>Bhubaneswar</v>
      </c>
      <c r="D926" s="120" t="str">
        <f>IFERROR(__xludf.DUMMYFUNCTION("""COMPUTED_VALUE"""),"India")</f>
        <v>India</v>
      </c>
      <c r="E926" s="135"/>
      <c r="F926" s="31"/>
    </row>
    <row r="927">
      <c r="A927" s="134" t="str">
        <f>IFERROR(__xludf.DUMMYFUNCTION("""COMPUTED_VALUE"""),"Bhuj")</f>
        <v>Bhuj</v>
      </c>
      <c r="B927" s="120" t="str">
        <f>IFERROR(__xludf.DUMMYFUNCTION("""COMPUTED_VALUE"""),"BHJ")</f>
        <v>BHJ</v>
      </c>
      <c r="C927" s="120" t="str">
        <f>IFERROR(__xludf.DUMMYFUNCTION("""COMPUTED_VALUE"""),"Rudra Mata")</f>
        <v>Rudra Mata</v>
      </c>
      <c r="D927" s="120" t="str">
        <f>IFERROR(__xludf.DUMMYFUNCTION("""COMPUTED_VALUE"""),"India")</f>
        <v>India</v>
      </c>
      <c r="E927" s="135"/>
      <c r="F927" s="31"/>
    </row>
    <row r="928">
      <c r="A928" s="134" t="str">
        <f>IFERROR(__xludf.DUMMYFUNCTION("""COMPUTED_VALUE"""),"Bhurban")</f>
        <v>Bhurban</v>
      </c>
      <c r="B928" s="120" t="str">
        <f>IFERROR(__xludf.DUMMYFUNCTION("""COMPUTED_VALUE"""),"BHC")</f>
        <v>BHC</v>
      </c>
      <c r="C928" s="120" t="str">
        <f>IFERROR(__xludf.DUMMYFUNCTION("""COMPUTED_VALUE"""),"Bhurban Heliport")</f>
        <v>Bhurban Heliport</v>
      </c>
      <c r="D928" s="120" t="str">
        <f>IFERROR(__xludf.DUMMYFUNCTION("""COMPUTED_VALUE"""),"United States")</f>
        <v>United States</v>
      </c>
      <c r="E928" s="135"/>
      <c r="F928" s="31"/>
    </row>
    <row r="929">
      <c r="A929" s="134" t="str">
        <f>IFERROR(__xludf.DUMMYFUNCTION("""COMPUTED_VALUE"""),"Biak")</f>
        <v>Biak</v>
      </c>
      <c r="B929" s="120" t="str">
        <f>IFERROR(__xludf.DUMMYFUNCTION("""COMPUTED_VALUE"""),"BIK")</f>
        <v>BIK</v>
      </c>
      <c r="C929" s="120" t="str">
        <f>IFERROR(__xludf.DUMMYFUNCTION("""COMPUTED_VALUE"""),"Mokmer")</f>
        <v>Mokmer</v>
      </c>
      <c r="D929" s="120" t="str">
        <f>IFERROR(__xludf.DUMMYFUNCTION("""COMPUTED_VALUE"""),"Indonesia")</f>
        <v>Indonesia</v>
      </c>
      <c r="E929" s="135"/>
      <c r="F929" s="31"/>
    </row>
    <row r="930">
      <c r="A930" s="134" t="str">
        <f>IFERROR(__xludf.DUMMYFUNCTION("""COMPUTED_VALUE"""),"Bialla")</f>
        <v>Bialla</v>
      </c>
      <c r="B930" s="120" t="str">
        <f>IFERROR(__xludf.DUMMYFUNCTION("""COMPUTED_VALUE"""),"BAA")</f>
        <v>BAA</v>
      </c>
      <c r="C930" s="120" t="str">
        <f>IFERROR(__xludf.DUMMYFUNCTION("""COMPUTED_VALUE"""),"Bialla")</f>
        <v>Bialla</v>
      </c>
      <c r="D930" s="120" t="str">
        <f>IFERROR(__xludf.DUMMYFUNCTION("""COMPUTED_VALUE"""),"Papua New Guinea")</f>
        <v>Papua New Guinea</v>
      </c>
      <c r="E930" s="135"/>
      <c r="F930" s="31"/>
    </row>
    <row r="931">
      <c r="A931" s="134" t="str">
        <f>IFERROR(__xludf.DUMMYFUNCTION("""COMPUTED_VALUE"""),"Biangabip")</f>
        <v>Biangabip</v>
      </c>
      <c r="B931" s="120" t="str">
        <f>IFERROR(__xludf.DUMMYFUNCTION("""COMPUTED_VALUE"""),"BPK")</f>
        <v>BPK</v>
      </c>
      <c r="C931" s="120" t="str">
        <f>IFERROR(__xludf.DUMMYFUNCTION("""COMPUTED_VALUE"""),"Biangabip")</f>
        <v>Biangabip</v>
      </c>
      <c r="D931" s="120" t="str">
        <f>IFERROR(__xludf.DUMMYFUNCTION("""COMPUTED_VALUE"""),"Papua New Guinea")</f>
        <v>Papua New Guinea</v>
      </c>
      <c r="E931" s="135"/>
      <c r="F931" s="31"/>
    </row>
    <row r="932">
      <c r="A932" s="134" t="str">
        <f>IFERROR(__xludf.DUMMYFUNCTION("""COMPUTED_VALUE"""),"Biarritz")</f>
        <v>Biarritz</v>
      </c>
      <c r="B932" s="120" t="str">
        <f>IFERROR(__xludf.DUMMYFUNCTION("""COMPUTED_VALUE"""),"BIQ")</f>
        <v>BIQ</v>
      </c>
      <c r="C932" s="120" t="str">
        <f>IFERROR(__xludf.DUMMYFUNCTION("""COMPUTED_VALUE"""),"Biarritz Parme")</f>
        <v>Biarritz Parme</v>
      </c>
      <c r="D932" s="120" t="str">
        <f>IFERROR(__xludf.DUMMYFUNCTION("""COMPUTED_VALUE"""),"France")</f>
        <v>France</v>
      </c>
      <c r="E932" s="135"/>
      <c r="F932" s="31"/>
    </row>
    <row r="933">
      <c r="A933" s="134" t="str">
        <f>IFERROR(__xludf.DUMMYFUNCTION("""COMPUTED_VALUE"""),"Biaru")</f>
        <v>Biaru</v>
      </c>
      <c r="B933" s="120" t="str">
        <f>IFERROR(__xludf.DUMMYFUNCTION("""COMPUTED_VALUE"""),"BRP")</f>
        <v>BRP</v>
      </c>
      <c r="C933" s="120" t="str">
        <f>IFERROR(__xludf.DUMMYFUNCTION("""COMPUTED_VALUE"""),"Biaru")</f>
        <v>Biaru</v>
      </c>
      <c r="D933" s="120" t="str">
        <f>IFERROR(__xludf.DUMMYFUNCTION("""COMPUTED_VALUE"""),"Papua New Guinea")</f>
        <v>Papua New Guinea</v>
      </c>
      <c r="E933" s="135"/>
      <c r="F933" s="31"/>
    </row>
    <row r="934">
      <c r="A934" s="134" t="str">
        <f>IFERROR(__xludf.DUMMYFUNCTION("""COMPUTED_VALUE"""),"Biawonque")</f>
        <v>Biawonque</v>
      </c>
      <c r="B934" s="120" t="str">
        <f>IFERROR(__xludf.DUMMYFUNCTION("""COMPUTED_VALUE"""),"BAW")</f>
        <v>BAW</v>
      </c>
      <c r="C934" s="120" t="str">
        <f>IFERROR(__xludf.DUMMYFUNCTION("""COMPUTED_VALUE"""),"Biawonque")</f>
        <v>Biawonque</v>
      </c>
      <c r="D934" s="120" t="str">
        <f>IFERROR(__xludf.DUMMYFUNCTION("""COMPUTED_VALUE"""),"Gabon")</f>
        <v>Gabon</v>
      </c>
      <c r="E934" s="135"/>
      <c r="F934" s="31"/>
    </row>
    <row r="935">
      <c r="A935" s="134" t="str">
        <f>IFERROR(__xludf.DUMMYFUNCTION("""COMPUTED_VALUE"""),"Bickerton Island")</f>
        <v>Bickerton Island</v>
      </c>
      <c r="B935" s="120" t="str">
        <f>IFERROR(__xludf.DUMMYFUNCTION("""COMPUTED_VALUE"""),"BCZ")</f>
        <v>BCZ</v>
      </c>
      <c r="C935" s="120" t="str">
        <f>IFERROR(__xludf.DUMMYFUNCTION("""COMPUTED_VALUE"""),"Bickerton Island")</f>
        <v>Bickerton Island</v>
      </c>
      <c r="D935" s="120" t="str">
        <f>IFERROR(__xludf.DUMMYFUNCTION("""COMPUTED_VALUE"""),"Australia")</f>
        <v>Australia</v>
      </c>
      <c r="E935" s="135"/>
      <c r="F935" s="31"/>
    </row>
    <row r="936">
      <c r="A936" s="134" t="str">
        <f>IFERROR(__xludf.DUMMYFUNCTION("""COMPUTED_VALUE"""),"Bielefeld")</f>
        <v>Bielefeld</v>
      </c>
      <c r="B936" s="120" t="str">
        <f>IFERROR(__xludf.DUMMYFUNCTION("""COMPUTED_VALUE"""),"BFE")</f>
        <v>BFE</v>
      </c>
      <c r="C936" s="120" t="str">
        <f>IFERROR(__xludf.DUMMYFUNCTION("""COMPUTED_VALUE"""),"Bielefeld")</f>
        <v>Bielefeld</v>
      </c>
      <c r="D936" s="120" t="str">
        <f>IFERROR(__xludf.DUMMYFUNCTION("""COMPUTED_VALUE"""),"Germany")</f>
        <v>Germany</v>
      </c>
      <c r="E936" s="135"/>
      <c r="F936" s="31"/>
    </row>
    <row r="937">
      <c r="A937" s="134" t="str">
        <f>IFERROR(__xludf.DUMMYFUNCTION("""COMPUTED_VALUE"""),"Big Bay")</f>
        <v>Big Bay</v>
      </c>
      <c r="B937" s="120" t="str">
        <f>IFERROR(__xludf.DUMMYFUNCTION("""COMPUTED_VALUE"""),"GBA")</f>
        <v>GBA</v>
      </c>
      <c r="C937" s="120" t="str">
        <f>IFERROR(__xludf.DUMMYFUNCTION("""COMPUTED_VALUE"""),"Big Bay")</f>
        <v>Big Bay</v>
      </c>
      <c r="D937" s="120" t="str">
        <f>IFERROR(__xludf.DUMMYFUNCTION("""COMPUTED_VALUE"""),"Vanuatu")</f>
        <v>Vanuatu</v>
      </c>
      <c r="E937" s="135"/>
      <c r="F937" s="31"/>
    </row>
    <row r="938">
      <c r="A938" s="134" t="str">
        <f>IFERROR(__xludf.DUMMYFUNCTION("""COMPUTED_VALUE"""),"Big Bay Marina")</f>
        <v>Big Bay Marina</v>
      </c>
      <c r="B938" s="120" t="str">
        <f>IFERROR(__xludf.DUMMYFUNCTION("""COMPUTED_VALUE"""),"YIG")</f>
        <v>YIG</v>
      </c>
      <c r="C938" s="120" t="str">
        <f>IFERROR(__xludf.DUMMYFUNCTION("""COMPUTED_VALUE"""),"Big Bay Marina")</f>
        <v>Big Bay Marina</v>
      </c>
      <c r="D938" s="120" t="str">
        <f>IFERROR(__xludf.DUMMYFUNCTION("""COMPUTED_VALUE"""),"Canada")</f>
        <v>Canada</v>
      </c>
      <c r="E938" s="135"/>
      <c r="F938" s="31"/>
    </row>
    <row r="939">
      <c r="A939" s="134" t="str">
        <f>IFERROR(__xludf.DUMMYFUNCTION("""COMPUTED_VALUE"""),"Big Bay Yacht Club")</f>
        <v>Big Bay Yacht Club</v>
      </c>
      <c r="B939" s="120" t="str">
        <f>IFERROR(__xludf.DUMMYFUNCTION("""COMPUTED_VALUE"""),"YYA")</f>
        <v>YYA</v>
      </c>
      <c r="C939" s="120" t="str">
        <f>IFERROR(__xludf.DUMMYFUNCTION("""COMPUTED_VALUE"""),"Big Bay Yacht Club")</f>
        <v>Big Bay Yacht Club</v>
      </c>
      <c r="D939" s="120" t="str">
        <f>IFERROR(__xludf.DUMMYFUNCTION("""COMPUTED_VALUE"""),"Canada")</f>
        <v>Canada</v>
      </c>
      <c r="E939" s="135"/>
      <c r="F939" s="31"/>
    </row>
    <row r="940">
      <c r="A940" s="134" t="str">
        <f>IFERROR(__xludf.DUMMYFUNCTION("""COMPUTED_VALUE"""),"Big Bear")</f>
        <v>Big Bear</v>
      </c>
      <c r="B940" s="120" t="str">
        <f>IFERROR(__xludf.DUMMYFUNCTION("""COMPUTED_VALUE"""),"RBF")</f>
        <v>RBF</v>
      </c>
      <c r="C940" s="120" t="str">
        <f>IFERROR(__xludf.DUMMYFUNCTION("""COMPUTED_VALUE"""),"Big Bear City Arpt")</f>
        <v>Big Bear City Arpt</v>
      </c>
      <c r="D940" s="120" t="str">
        <f>IFERROR(__xludf.DUMMYFUNCTION("""COMPUTED_VALUE"""),"United States")</f>
        <v>United States</v>
      </c>
      <c r="E940" s="135"/>
      <c r="F940" s="31"/>
    </row>
    <row r="941">
      <c r="A941" s="134" t="str">
        <f>IFERROR(__xludf.DUMMYFUNCTION("""COMPUTED_VALUE"""),"Big Bell")</f>
        <v>Big Bell</v>
      </c>
      <c r="B941" s="120" t="str">
        <f>IFERROR(__xludf.DUMMYFUNCTION("""COMPUTED_VALUE"""),"BBE")</f>
        <v>BBE</v>
      </c>
      <c r="C941" s="120" t="str">
        <f>IFERROR(__xludf.DUMMYFUNCTION("""COMPUTED_VALUE"""),"Big Bell")</f>
        <v>Big Bell</v>
      </c>
      <c r="D941" s="120" t="str">
        <f>IFERROR(__xludf.DUMMYFUNCTION("""COMPUTED_VALUE"""),"Australia")</f>
        <v>Australia</v>
      </c>
      <c r="E941" s="135"/>
      <c r="F941" s="31"/>
    </row>
    <row r="942">
      <c r="A942" s="134" t="str">
        <f>IFERROR(__xludf.DUMMYFUNCTION("""COMPUTED_VALUE"""),"Big Creek")</f>
        <v>Big Creek</v>
      </c>
      <c r="B942" s="120" t="str">
        <f>IFERROR(__xludf.DUMMYFUNCTION("""COMPUTED_VALUE"""),"BIC")</f>
        <v>BIC</v>
      </c>
      <c r="C942" s="120" t="str">
        <f>IFERROR(__xludf.DUMMYFUNCTION("""COMPUTED_VALUE"""),"Big Creek")</f>
        <v>Big Creek</v>
      </c>
      <c r="D942" s="120" t="str">
        <f>IFERROR(__xludf.DUMMYFUNCTION("""COMPUTED_VALUE"""),"United States")</f>
        <v>United States</v>
      </c>
      <c r="E942" s="135"/>
      <c r="F942" s="31"/>
    </row>
    <row r="943">
      <c r="A943" s="134" t="str">
        <f>IFERROR(__xludf.DUMMYFUNCTION("""COMPUTED_VALUE"""),"Big Creek")</f>
        <v>Big Creek</v>
      </c>
      <c r="B943" s="120" t="str">
        <f>IFERROR(__xludf.DUMMYFUNCTION("""COMPUTED_VALUE"""),"BGK")</f>
        <v>BGK</v>
      </c>
      <c r="C943" s="120" t="str">
        <f>IFERROR(__xludf.DUMMYFUNCTION("""COMPUTED_VALUE"""),"Big Creek")</f>
        <v>Big Creek</v>
      </c>
      <c r="D943" s="120" t="str">
        <f>IFERROR(__xludf.DUMMYFUNCTION("""COMPUTED_VALUE"""),"Belize")</f>
        <v>Belize</v>
      </c>
      <c r="E943" s="135"/>
      <c r="F943" s="31"/>
    </row>
    <row r="944">
      <c r="A944" s="134" t="str">
        <f>IFERROR(__xludf.DUMMYFUNCTION("""COMPUTED_VALUE"""),"Big Delta")</f>
        <v>Big Delta</v>
      </c>
      <c r="B944" s="120" t="str">
        <f>IFERROR(__xludf.DUMMYFUNCTION("""COMPUTED_VALUE"""),"BIG")</f>
        <v>BIG</v>
      </c>
      <c r="C944" s="120" t="str">
        <f>IFERROR(__xludf.DUMMYFUNCTION("""COMPUTED_VALUE"""),"Intermediate Field")</f>
        <v>Intermediate Field</v>
      </c>
      <c r="D944" s="120" t="str">
        <f>IFERROR(__xludf.DUMMYFUNCTION("""COMPUTED_VALUE"""),"United States")</f>
        <v>United States</v>
      </c>
      <c r="E944" s="135"/>
      <c r="F944" s="31"/>
    </row>
    <row r="945">
      <c r="A945" s="134" t="str">
        <f>IFERROR(__xludf.DUMMYFUNCTION("""COMPUTED_VALUE"""),"Big Lake")</f>
        <v>Big Lake</v>
      </c>
      <c r="B945" s="120" t="str">
        <f>IFERROR(__xludf.DUMMYFUNCTION("""COMPUTED_VALUE"""),"BGQ")</f>
        <v>BGQ</v>
      </c>
      <c r="C945" s="120" t="str">
        <f>IFERROR(__xludf.DUMMYFUNCTION("""COMPUTED_VALUE"""),"Big Lake")</f>
        <v>Big Lake</v>
      </c>
      <c r="D945" s="120" t="str">
        <f>IFERROR(__xludf.DUMMYFUNCTION("""COMPUTED_VALUE"""),"United States")</f>
        <v>United States</v>
      </c>
      <c r="E945" s="135"/>
      <c r="F945" s="31"/>
    </row>
    <row r="946">
      <c r="A946" s="134" t="str">
        <f>IFERROR(__xludf.DUMMYFUNCTION("""COMPUTED_VALUE"""),"Big Mountain")</f>
        <v>Big Mountain</v>
      </c>
      <c r="B946" s="120" t="str">
        <f>IFERROR(__xludf.DUMMYFUNCTION("""COMPUTED_VALUE"""),"BMX")</f>
        <v>BMX</v>
      </c>
      <c r="C946" s="120" t="str">
        <f>IFERROR(__xludf.DUMMYFUNCTION("""COMPUTED_VALUE"""),"Big Mountain")</f>
        <v>Big Mountain</v>
      </c>
      <c r="D946" s="120" t="str">
        <f>IFERROR(__xludf.DUMMYFUNCTION("""COMPUTED_VALUE"""),"United States")</f>
        <v>United States</v>
      </c>
      <c r="E946" s="135"/>
      <c r="F946" s="31"/>
    </row>
    <row r="947">
      <c r="A947" s="134" t="str">
        <f>IFERROR(__xludf.DUMMYFUNCTION("""COMPUTED_VALUE"""),"Big Piney")</f>
        <v>Big Piney</v>
      </c>
      <c r="B947" s="120" t="str">
        <f>IFERROR(__xludf.DUMMYFUNCTION("""COMPUTED_VALUE"""),"BPI")</f>
        <v>BPI</v>
      </c>
      <c r="C947" s="120" t="str">
        <f>IFERROR(__xludf.DUMMYFUNCTION("""COMPUTED_VALUE"""),"Big Piney-marbleton")</f>
        <v>Big Piney-marbleton</v>
      </c>
      <c r="D947" s="120" t="str">
        <f>IFERROR(__xludf.DUMMYFUNCTION("""COMPUTED_VALUE"""),"United States")</f>
        <v>United States</v>
      </c>
      <c r="E947" s="135"/>
      <c r="F947" s="31"/>
    </row>
    <row r="948">
      <c r="A948" s="134" t="str">
        <f>IFERROR(__xludf.DUMMYFUNCTION("""COMPUTED_VALUE"""),"Big Rapids")</f>
        <v>Big Rapids</v>
      </c>
      <c r="B948" s="120" t="str">
        <f>IFERROR(__xludf.DUMMYFUNCTION("""COMPUTED_VALUE"""),"WBR")</f>
        <v>WBR</v>
      </c>
      <c r="C948" s="120" t="str">
        <f>IFERROR(__xludf.DUMMYFUNCTION("""COMPUTED_VALUE"""),"Big Rapids")</f>
        <v>Big Rapids</v>
      </c>
      <c r="D948" s="120" t="str">
        <f>IFERROR(__xludf.DUMMYFUNCTION("""COMPUTED_VALUE"""),"United States")</f>
        <v>United States</v>
      </c>
      <c r="E948" s="135"/>
      <c r="F948" s="31"/>
    </row>
    <row r="949">
      <c r="A949" s="134" t="str">
        <f>IFERROR(__xludf.DUMMYFUNCTION("""COMPUTED_VALUE"""),"Big Spring")</f>
        <v>Big Spring</v>
      </c>
      <c r="B949" s="120" t="str">
        <f>IFERROR(__xludf.DUMMYFUNCTION("""COMPUTED_VALUE"""),"HCA")</f>
        <v>HCA</v>
      </c>
      <c r="C949" s="120" t="str">
        <f>IFERROR(__xludf.DUMMYFUNCTION("""COMPUTED_VALUE"""),"Howard County")</f>
        <v>Howard County</v>
      </c>
      <c r="D949" s="120" t="str">
        <f>IFERROR(__xludf.DUMMYFUNCTION("""COMPUTED_VALUE"""),"United States")</f>
        <v>United States</v>
      </c>
      <c r="E949" s="135"/>
      <c r="F949" s="31"/>
    </row>
    <row r="950">
      <c r="A950" s="134" t="str">
        <f>IFERROR(__xludf.DUMMYFUNCTION("""COMPUTED_VALUE"""),"Big Spring")</f>
        <v>Big Spring</v>
      </c>
      <c r="B950" s="120" t="str">
        <f>IFERROR(__xludf.DUMMYFUNCTION("""COMPUTED_VALUE"""),"BGS")</f>
        <v>BGS</v>
      </c>
      <c r="C950" s="120" t="str">
        <f>IFERROR(__xludf.DUMMYFUNCTION("""COMPUTED_VALUE"""),"Webb AFB")</f>
        <v>Webb AFB</v>
      </c>
      <c r="D950" s="120" t="str">
        <f>IFERROR(__xludf.DUMMYFUNCTION("""COMPUTED_VALUE"""),"United States")</f>
        <v>United States</v>
      </c>
      <c r="E950" s="135"/>
      <c r="F950" s="31"/>
    </row>
    <row r="951">
      <c r="A951" s="134" t="str">
        <f>IFERROR(__xludf.DUMMYFUNCTION("""COMPUTED_VALUE"""),"Big Trout")</f>
        <v>Big Trout</v>
      </c>
      <c r="B951" s="120" t="str">
        <f>IFERROR(__xludf.DUMMYFUNCTION("""COMPUTED_VALUE"""),"YTL")</f>
        <v>YTL</v>
      </c>
      <c r="C951" s="120" t="str">
        <f>IFERROR(__xludf.DUMMYFUNCTION("""COMPUTED_VALUE"""),"Big Trout")</f>
        <v>Big Trout</v>
      </c>
      <c r="D951" s="120" t="str">
        <f>IFERROR(__xludf.DUMMYFUNCTION("""COMPUTED_VALUE"""),"Canada")</f>
        <v>Canada</v>
      </c>
      <c r="E951" s="135"/>
      <c r="F951" s="31"/>
    </row>
    <row r="952">
      <c r="A952" s="134" t="str">
        <f>IFERROR(__xludf.DUMMYFUNCTION("""COMPUTED_VALUE"""),"Bikaner")</f>
        <v>Bikaner</v>
      </c>
      <c r="B952" s="120" t="str">
        <f>IFERROR(__xludf.DUMMYFUNCTION("""COMPUTED_VALUE"""),"BKB")</f>
        <v>BKB</v>
      </c>
      <c r="C952" s="120" t="str">
        <f>IFERROR(__xludf.DUMMYFUNCTION("""COMPUTED_VALUE"""),"Bikaner")</f>
        <v>Bikaner</v>
      </c>
      <c r="D952" s="120" t="str">
        <f>IFERROR(__xludf.DUMMYFUNCTION("""COMPUTED_VALUE"""),"India")</f>
        <v>India</v>
      </c>
      <c r="E952" s="135"/>
      <c r="F952" s="31"/>
    </row>
    <row r="953">
      <c r="A953" s="134" t="str">
        <f>IFERROR(__xludf.DUMMYFUNCTION("""COMPUTED_VALUE"""),"Bikini Atoll")</f>
        <v>Bikini Atoll</v>
      </c>
      <c r="B953" s="120" t="str">
        <f>IFERROR(__xludf.DUMMYFUNCTION("""COMPUTED_VALUE"""),"BII")</f>
        <v>BII</v>
      </c>
      <c r="C953" s="120" t="str">
        <f>IFERROR(__xludf.DUMMYFUNCTION("""COMPUTED_VALUE"""),"Enyu Airfield")</f>
        <v>Enyu Airfield</v>
      </c>
      <c r="D953" s="120" t="str">
        <f>IFERROR(__xludf.DUMMYFUNCTION("""COMPUTED_VALUE"""),"Marshall Islands")</f>
        <v>Marshall Islands</v>
      </c>
      <c r="E953" s="135"/>
      <c r="F953" s="31"/>
    </row>
    <row r="954">
      <c r="A954" s="134" t="str">
        <f>IFERROR(__xludf.DUMMYFUNCTION("""COMPUTED_VALUE"""),"Bilaspur")</f>
        <v>Bilaspur</v>
      </c>
      <c r="B954" s="120" t="str">
        <f>IFERROR(__xludf.DUMMYFUNCTION("""COMPUTED_VALUE"""),"PAB")</f>
        <v>PAB</v>
      </c>
      <c r="C954" s="120" t="str">
        <f>IFERROR(__xludf.DUMMYFUNCTION("""COMPUTED_VALUE"""),"Bilaspur")</f>
        <v>Bilaspur</v>
      </c>
      <c r="D954" s="120" t="str">
        <f>IFERROR(__xludf.DUMMYFUNCTION("""COMPUTED_VALUE"""),"India")</f>
        <v>India</v>
      </c>
      <c r="E954" s="135"/>
      <c r="F954" s="31"/>
    </row>
    <row r="955">
      <c r="A955" s="134" t="str">
        <f>IFERROR(__xludf.DUMMYFUNCTION("""COMPUTED_VALUE"""),"Bilbao")</f>
        <v>Bilbao</v>
      </c>
      <c r="B955" s="120" t="str">
        <f>IFERROR(__xludf.DUMMYFUNCTION("""COMPUTED_VALUE"""),"BIO")</f>
        <v>BIO</v>
      </c>
      <c r="C955" s="120" t="str">
        <f>IFERROR(__xludf.DUMMYFUNCTION("""COMPUTED_VALUE"""),"Bilbao")</f>
        <v>Bilbao</v>
      </c>
      <c r="D955" s="120" t="str">
        <f>IFERROR(__xludf.DUMMYFUNCTION("""COMPUTED_VALUE"""),"Spain")</f>
        <v>Spain</v>
      </c>
      <c r="E955" s="135"/>
      <c r="F955" s="31"/>
    </row>
    <row r="956">
      <c r="A956" s="134" t="str">
        <f>IFERROR(__xludf.DUMMYFUNCTION("""COMPUTED_VALUE"""),"Bildudalur")</f>
        <v>Bildudalur</v>
      </c>
      <c r="B956" s="120" t="str">
        <f>IFERROR(__xludf.DUMMYFUNCTION("""COMPUTED_VALUE"""),"BIU")</f>
        <v>BIU</v>
      </c>
      <c r="C956" s="120" t="str">
        <f>IFERROR(__xludf.DUMMYFUNCTION("""COMPUTED_VALUE"""),"Bildudalur")</f>
        <v>Bildudalur</v>
      </c>
      <c r="D956" s="120" t="str">
        <f>IFERROR(__xludf.DUMMYFUNCTION("""COMPUTED_VALUE"""),"Iceland")</f>
        <v>Iceland</v>
      </c>
      <c r="E956" s="135"/>
      <c r="F956" s="31"/>
    </row>
    <row r="957">
      <c r="A957" s="134" t="str">
        <f>IFERROR(__xludf.DUMMYFUNCTION("""COMPUTED_VALUE"""),"Biliau")</f>
        <v>Biliau</v>
      </c>
      <c r="B957" s="120" t="str">
        <f>IFERROR(__xludf.DUMMYFUNCTION("""COMPUTED_VALUE"""),"BIJ")</f>
        <v>BIJ</v>
      </c>
      <c r="C957" s="120" t="str">
        <f>IFERROR(__xludf.DUMMYFUNCTION("""COMPUTED_VALUE"""),"Biliau")</f>
        <v>Biliau</v>
      </c>
      <c r="D957" s="120" t="str">
        <f>IFERROR(__xludf.DUMMYFUNCTION("""COMPUTED_VALUE"""),"Papua New Guinea")</f>
        <v>Papua New Guinea</v>
      </c>
      <c r="E957" s="135"/>
      <c r="F957" s="31"/>
    </row>
    <row r="958">
      <c r="A958" s="134" t="str">
        <f>IFERROR(__xludf.DUMMYFUNCTION("""COMPUTED_VALUE"""),"Billiluna")</f>
        <v>Billiluna</v>
      </c>
      <c r="B958" s="120" t="str">
        <f>IFERROR(__xludf.DUMMYFUNCTION("""COMPUTED_VALUE"""),"BIW")</f>
        <v>BIW</v>
      </c>
      <c r="C958" s="120" t="str">
        <f>IFERROR(__xludf.DUMMYFUNCTION("""COMPUTED_VALUE"""),"Billiluna")</f>
        <v>Billiluna</v>
      </c>
      <c r="D958" s="120" t="str">
        <f>IFERROR(__xludf.DUMMYFUNCTION("""COMPUTED_VALUE"""),"Australia")</f>
        <v>Australia</v>
      </c>
      <c r="E958" s="135"/>
      <c r="F958" s="31"/>
    </row>
    <row r="959">
      <c r="A959" s="134" t="str">
        <f>IFERROR(__xludf.DUMMYFUNCTION("""COMPUTED_VALUE"""),"Billings")</f>
        <v>Billings</v>
      </c>
      <c r="B959" s="120" t="str">
        <f>IFERROR(__xludf.DUMMYFUNCTION("""COMPUTED_VALUE"""),"BIL")</f>
        <v>BIL</v>
      </c>
      <c r="C959" s="120" t="str">
        <f>IFERROR(__xludf.DUMMYFUNCTION("""COMPUTED_VALUE"""),"Billings")</f>
        <v>Billings</v>
      </c>
      <c r="D959" s="120" t="str">
        <f>IFERROR(__xludf.DUMMYFUNCTION("""COMPUTED_VALUE"""),"United States")</f>
        <v>United States</v>
      </c>
      <c r="E959" s="135"/>
      <c r="F959" s="31"/>
    </row>
    <row r="960">
      <c r="A960" s="134" t="str">
        <f>IFERROR(__xludf.DUMMYFUNCTION("""COMPUTED_VALUE"""),"Billund")</f>
        <v>Billund</v>
      </c>
      <c r="B960" s="120" t="str">
        <f>IFERROR(__xludf.DUMMYFUNCTION("""COMPUTED_VALUE"""),"BLL")</f>
        <v>BLL</v>
      </c>
      <c r="C960" s="120" t="str">
        <f>IFERROR(__xludf.DUMMYFUNCTION("""COMPUTED_VALUE"""),"Billund")</f>
        <v>Billund</v>
      </c>
      <c r="D960" s="120" t="str">
        <f>IFERROR(__xludf.DUMMYFUNCTION("""COMPUTED_VALUE"""),"Denmark")</f>
        <v>Denmark</v>
      </c>
      <c r="E960" s="135"/>
      <c r="F960" s="31"/>
    </row>
    <row r="961">
      <c r="A961" s="134" t="str">
        <f>IFERROR(__xludf.DUMMYFUNCTION("""COMPUTED_VALUE"""),"Biloela")</f>
        <v>Biloela</v>
      </c>
      <c r="B961" s="120" t="str">
        <f>IFERROR(__xludf.DUMMYFUNCTION("""COMPUTED_VALUE"""),"ZBL")</f>
        <v>ZBL</v>
      </c>
      <c r="C961" s="120" t="str">
        <f>IFERROR(__xludf.DUMMYFUNCTION("""COMPUTED_VALUE"""),"Biloela")</f>
        <v>Biloela</v>
      </c>
      <c r="D961" s="120" t="str">
        <f>IFERROR(__xludf.DUMMYFUNCTION("""COMPUTED_VALUE"""),"Australia")</f>
        <v>Australia</v>
      </c>
      <c r="E961" s="135"/>
      <c r="F961" s="31"/>
    </row>
    <row r="962">
      <c r="A962" s="134" t="str">
        <f>IFERROR(__xludf.DUMMYFUNCTION("""COMPUTED_VALUE"""),"Biloxi")</f>
        <v>Biloxi</v>
      </c>
      <c r="B962" s="120" t="str">
        <f>IFERROR(__xludf.DUMMYFUNCTION("""COMPUTED_VALUE"""),"BIX")</f>
        <v>BIX</v>
      </c>
      <c r="C962" s="120" t="str">
        <f>IFERROR(__xludf.DUMMYFUNCTION("""COMPUTED_VALUE"""),"Keesler AFB")</f>
        <v>Keesler AFB</v>
      </c>
      <c r="D962" s="120" t="str">
        <f>IFERROR(__xludf.DUMMYFUNCTION("""COMPUTED_VALUE"""),"United States")</f>
        <v>United States</v>
      </c>
      <c r="E962" s="135"/>
      <c r="F962" s="31"/>
    </row>
    <row r="963">
      <c r="A963" s="134" t="str">
        <f>IFERROR(__xludf.DUMMYFUNCTION("""COMPUTED_VALUE"""),"Bima")</f>
        <v>Bima</v>
      </c>
      <c r="B963" s="120" t="str">
        <f>IFERROR(__xludf.DUMMYFUNCTION("""COMPUTED_VALUE"""),"BMU")</f>
        <v>BMU</v>
      </c>
      <c r="C963" s="120" t="str">
        <f>IFERROR(__xludf.DUMMYFUNCTION("""COMPUTED_VALUE"""),"Bima")</f>
        <v>Bima</v>
      </c>
      <c r="D963" s="120" t="str">
        <f>IFERROR(__xludf.DUMMYFUNCTION("""COMPUTED_VALUE"""),"Indonesia")</f>
        <v>Indonesia</v>
      </c>
      <c r="E963" s="135"/>
      <c r="F963" s="31"/>
    </row>
    <row r="964">
      <c r="A964" s="134" t="str">
        <f>IFERROR(__xludf.DUMMYFUNCTION("""COMPUTED_VALUE"""),"Bimin")</f>
        <v>Bimin</v>
      </c>
      <c r="B964" s="120" t="str">
        <f>IFERROR(__xludf.DUMMYFUNCTION("""COMPUTED_VALUE"""),"BIZ")</f>
        <v>BIZ</v>
      </c>
      <c r="C964" s="120" t="str">
        <f>IFERROR(__xludf.DUMMYFUNCTION("""COMPUTED_VALUE"""),"Bimin")</f>
        <v>Bimin</v>
      </c>
      <c r="D964" s="120" t="str">
        <f>IFERROR(__xludf.DUMMYFUNCTION("""COMPUTED_VALUE"""),"Papua New Guinea")</f>
        <v>Papua New Guinea</v>
      </c>
      <c r="E964" s="135"/>
      <c r="F964" s="31"/>
    </row>
    <row r="965">
      <c r="A965" s="134" t="str">
        <f>IFERROR(__xludf.DUMMYFUNCTION("""COMPUTED_VALUE"""),"Bimini")</f>
        <v>Bimini</v>
      </c>
      <c r="B965" s="120" t="str">
        <f>IFERROR(__xludf.DUMMYFUNCTION("""COMPUTED_VALUE"""),"BIM")</f>
        <v>BIM</v>
      </c>
      <c r="C965" s="120" t="str">
        <f>IFERROR(__xludf.DUMMYFUNCTION("""COMPUTED_VALUE"""),"International")</f>
        <v>International</v>
      </c>
      <c r="D965" s="120" t="str">
        <f>IFERROR(__xludf.DUMMYFUNCTION("""COMPUTED_VALUE"""),"Bahamas")</f>
        <v>Bahamas</v>
      </c>
      <c r="E965" s="135"/>
      <c r="F965" s="31"/>
    </row>
    <row r="966">
      <c r="A966" s="134" t="str">
        <f>IFERROR(__xludf.DUMMYFUNCTION("""COMPUTED_VALUE"""),"Bimini")</f>
        <v>Bimini</v>
      </c>
      <c r="B966" s="120" t="str">
        <f>IFERROR(__xludf.DUMMYFUNCTION("""COMPUTED_VALUE"""),"NSB")</f>
        <v>NSB</v>
      </c>
      <c r="C966" s="120" t="str">
        <f>IFERROR(__xludf.DUMMYFUNCTION("""COMPUTED_VALUE"""),"North SPB")</f>
        <v>North SPB</v>
      </c>
      <c r="D966" s="120" t="str">
        <f>IFERROR(__xludf.DUMMYFUNCTION("""COMPUTED_VALUE"""),"Bahamas")</f>
        <v>Bahamas</v>
      </c>
      <c r="E966" s="135"/>
      <c r="F966" s="31"/>
    </row>
    <row r="967">
      <c r="A967" s="134" t="str">
        <f>IFERROR(__xludf.DUMMYFUNCTION("""COMPUTED_VALUE"""),"Biniguni")</f>
        <v>Biniguni</v>
      </c>
      <c r="B967" s="120" t="str">
        <f>IFERROR(__xludf.DUMMYFUNCTION("""COMPUTED_VALUE"""),"XBN")</f>
        <v>XBN</v>
      </c>
      <c r="C967" s="120" t="str">
        <f>IFERROR(__xludf.DUMMYFUNCTION("""COMPUTED_VALUE"""),"Biniguni")</f>
        <v>Biniguni</v>
      </c>
      <c r="D967" s="120" t="str">
        <f>IFERROR(__xludf.DUMMYFUNCTION("""COMPUTED_VALUE"""),"Papua New Guinea")</f>
        <v>Papua New Guinea</v>
      </c>
      <c r="E967" s="135"/>
      <c r="F967" s="31"/>
    </row>
    <row r="968">
      <c r="A968" s="134" t="str">
        <f>IFERROR(__xludf.DUMMYFUNCTION("""COMPUTED_VALUE"""),"Bintulu")</f>
        <v>Bintulu</v>
      </c>
      <c r="B968" s="120" t="str">
        <f>IFERROR(__xludf.DUMMYFUNCTION("""COMPUTED_VALUE"""),"BTU")</f>
        <v>BTU</v>
      </c>
      <c r="C968" s="120" t="str">
        <f>IFERROR(__xludf.DUMMYFUNCTION("""COMPUTED_VALUE"""),"Bintulu")</f>
        <v>Bintulu</v>
      </c>
      <c r="D968" s="120" t="str">
        <f>IFERROR(__xludf.DUMMYFUNCTION("""COMPUTED_VALUE"""),"Malaysia")</f>
        <v>Malaysia</v>
      </c>
      <c r="E968" s="135"/>
      <c r="F968" s="31"/>
    </row>
    <row r="969">
      <c r="A969" s="134" t="str">
        <f>IFERROR(__xludf.DUMMYFUNCTION("""COMPUTED_VALUE"""),"Bintulu")</f>
        <v>Bintulu</v>
      </c>
      <c r="B969" s="120" t="str">
        <f>IFERROR(__xludf.DUMMYFUNCTION("""COMPUTED_VALUE"""),"ZMK")</f>
        <v>ZMK</v>
      </c>
      <c r="C969" s="120" t="str">
        <f>IFERROR(__xludf.DUMMYFUNCTION("""COMPUTED_VALUE"""),"Bintulu Port")</f>
        <v>Bintulu Port</v>
      </c>
      <c r="D969" s="120" t="str">
        <f>IFERROR(__xludf.DUMMYFUNCTION("""COMPUTED_VALUE"""),"Malaysia")</f>
        <v>Malaysia</v>
      </c>
      <c r="E969" s="135"/>
      <c r="F969" s="31"/>
    </row>
    <row r="970">
      <c r="A970" s="134" t="str">
        <f>IFERROR(__xludf.DUMMYFUNCTION("""COMPUTED_VALUE"""),"Bintuni")</f>
        <v>Bintuni</v>
      </c>
      <c r="B970" s="120" t="str">
        <f>IFERROR(__xludf.DUMMYFUNCTION("""COMPUTED_VALUE"""),"NTI")</f>
        <v>NTI</v>
      </c>
      <c r="C970" s="120" t="str">
        <f>IFERROR(__xludf.DUMMYFUNCTION("""COMPUTED_VALUE"""),"Bintuni")</f>
        <v>Bintuni</v>
      </c>
      <c r="D970" s="120" t="str">
        <f>IFERROR(__xludf.DUMMYFUNCTION("""COMPUTED_VALUE"""),"Indonesia")</f>
        <v>Indonesia</v>
      </c>
      <c r="E970" s="135"/>
      <c r="F970" s="31"/>
    </row>
    <row r="971">
      <c r="A971" s="134" t="str">
        <f>IFERROR(__xludf.DUMMYFUNCTION("""COMPUTED_VALUE"""),"Birao")</f>
        <v>Birao</v>
      </c>
      <c r="B971" s="120" t="str">
        <f>IFERROR(__xludf.DUMMYFUNCTION("""COMPUTED_VALUE"""),"IRO")</f>
        <v>IRO</v>
      </c>
      <c r="C971" s="120" t="str">
        <f>IFERROR(__xludf.DUMMYFUNCTION("""COMPUTED_VALUE"""),"Birao")</f>
        <v>Birao</v>
      </c>
      <c r="D971" s="120" t="str">
        <f>IFERROR(__xludf.DUMMYFUNCTION("""COMPUTED_VALUE"""),"Central African Republic")</f>
        <v>Central African Republic</v>
      </c>
      <c r="E971" s="135"/>
      <c r="F971" s="31"/>
    </row>
    <row r="972">
      <c r="A972" s="134" t="str">
        <f>IFERROR(__xludf.DUMMYFUNCTION("""COMPUTED_VALUE"""),"Biratnagar")</f>
        <v>Biratnagar</v>
      </c>
      <c r="B972" s="120" t="str">
        <f>IFERROR(__xludf.DUMMYFUNCTION("""COMPUTED_VALUE"""),"BIR")</f>
        <v>BIR</v>
      </c>
      <c r="C972" s="120" t="str">
        <f>IFERROR(__xludf.DUMMYFUNCTION("""COMPUTED_VALUE"""),"Biratnagar")</f>
        <v>Biratnagar</v>
      </c>
      <c r="D972" s="120" t="str">
        <f>IFERROR(__xludf.DUMMYFUNCTION("""COMPUTED_VALUE"""),"Nepal")</f>
        <v>Nepal</v>
      </c>
      <c r="E972" s="135"/>
      <c r="F972" s="31"/>
    </row>
    <row r="973">
      <c r="A973" s="134" t="str">
        <f>IFERROR(__xludf.DUMMYFUNCTION("""COMPUTED_VALUE"""),"Birch Creek")</f>
        <v>Birch Creek</v>
      </c>
      <c r="B973" s="120" t="str">
        <f>IFERROR(__xludf.DUMMYFUNCTION("""COMPUTED_VALUE"""),"KBC")</f>
        <v>KBC</v>
      </c>
      <c r="C973" s="120" t="str">
        <f>IFERROR(__xludf.DUMMYFUNCTION("""COMPUTED_VALUE"""),"Birch Creek")</f>
        <v>Birch Creek</v>
      </c>
      <c r="D973" s="120" t="str">
        <f>IFERROR(__xludf.DUMMYFUNCTION("""COMPUTED_VALUE"""),"United States")</f>
        <v>United States</v>
      </c>
      <c r="E973" s="135"/>
      <c r="F973" s="31"/>
    </row>
    <row r="974">
      <c r="A974" s="134" t="str">
        <f>IFERROR(__xludf.DUMMYFUNCTION("""COMPUTED_VALUE"""),"Bird Island")</f>
        <v>Bird Island</v>
      </c>
      <c r="B974" s="120" t="str">
        <f>IFERROR(__xludf.DUMMYFUNCTION("""COMPUTED_VALUE"""),"BDI")</f>
        <v>BDI</v>
      </c>
      <c r="C974" s="120" t="str">
        <f>IFERROR(__xludf.DUMMYFUNCTION("""COMPUTED_VALUE"""),"Bird Island")</f>
        <v>Bird Island</v>
      </c>
      <c r="D974" s="120" t="str">
        <f>IFERROR(__xludf.DUMMYFUNCTION("""COMPUTED_VALUE"""),"Seychelles")</f>
        <v>Seychelles</v>
      </c>
      <c r="E974" s="135"/>
      <c r="F974" s="31"/>
    </row>
    <row r="975">
      <c r="A975" s="134" t="str">
        <f>IFERROR(__xludf.DUMMYFUNCTION("""COMPUTED_VALUE"""),"Birdsville")</f>
        <v>Birdsville</v>
      </c>
      <c r="B975" s="120" t="str">
        <f>IFERROR(__xludf.DUMMYFUNCTION("""COMPUTED_VALUE"""),"BVI")</f>
        <v>BVI</v>
      </c>
      <c r="C975" s="120" t="str">
        <f>IFERROR(__xludf.DUMMYFUNCTION("""COMPUTED_VALUE"""),"Birdsville")</f>
        <v>Birdsville</v>
      </c>
      <c r="D975" s="120" t="str">
        <f>IFERROR(__xludf.DUMMYFUNCTION("""COMPUTED_VALUE"""),"Australia")</f>
        <v>Australia</v>
      </c>
      <c r="E975" s="135"/>
      <c r="F975" s="31"/>
    </row>
    <row r="976">
      <c r="A976" s="134" t="str">
        <f>IFERROR(__xludf.DUMMYFUNCTION("""COMPUTED_VALUE"""),"Birjand")</f>
        <v>Birjand</v>
      </c>
      <c r="B976" s="120" t="str">
        <f>IFERROR(__xludf.DUMMYFUNCTION("""COMPUTED_VALUE"""),"XBJ")</f>
        <v>XBJ</v>
      </c>
      <c r="C976" s="120" t="str">
        <f>IFERROR(__xludf.DUMMYFUNCTION("""COMPUTED_VALUE"""),"Birjand")</f>
        <v>Birjand</v>
      </c>
      <c r="D976" s="120" t="str">
        <f>IFERROR(__xludf.DUMMYFUNCTION("""COMPUTED_VALUE"""),"Iran")</f>
        <v>Iran</v>
      </c>
      <c r="E976" s="135"/>
      <c r="F976" s="31"/>
    </row>
    <row r="977">
      <c r="A977" s="134" t="str">
        <f>IFERROR(__xludf.DUMMYFUNCTION("""COMPUTED_VALUE"""),"Birmingham")</f>
        <v>Birmingham</v>
      </c>
      <c r="B977" s="120" t="str">
        <f>IFERROR(__xludf.DUMMYFUNCTION("""COMPUTED_VALUE"""),"BHM")</f>
        <v>BHM</v>
      </c>
      <c r="C977" s="120" t="str">
        <f>IFERROR(__xludf.DUMMYFUNCTION("""COMPUTED_VALUE"""),"Birmingham")</f>
        <v>Birmingham</v>
      </c>
      <c r="D977" s="120" t="str">
        <f>IFERROR(__xludf.DUMMYFUNCTION("""COMPUTED_VALUE"""),"United States")</f>
        <v>United States</v>
      </c>
      <c r="E977" s="135"/>
      <c r="F977" s="31"/>
    </row>
    <row r="978">
      <c r="A978" s="134" t="str">
        <f>IFERROR(__xludf.DUMMYFUNCTION("""COMPUTED_VALUE"""),"Birmingham")</f>
        <v>Birmingham</v>
      </c>
      <c r="B978" s="120" t="str">
        <f>IFERROR(__xludf.DUMMYFUNCTION("""COMPUTED_VALUE"""),"ZBC")</f>
        <v>ZBC</v>
      </c>
      <c r="C978" s="120" t="str">
        <f>IFERROR(__xludf.DUMMYFUNCTION("""COMPUTED_VALUE"""),"Colmore Row Bus Stn")</f>
        <v>Colmore Row Bus Stn</v>
      </c>
      <c r="D978" s="120" t="str">
        <f>IFERROR(__xludf.DUMMYFUNCTION("""COMPUTED_VALUE"""),"United Kingdom")</f>
        <v>United Kingdom</v>
      </c>
      <c r="E978" s="135"/>
      <c r="F978" s="31"/>
    </row>
    <row r="979">
      <c r="A979" s="134" t="str">
        <f>IFERROR(__xludf.DUMMYFUNCTION("""COMPUTED_VALUE"""),"Birmingham")</f>
        <v>Birmingham</v>
      </c>
      <c r="B979" s="120" t="str">
        <f>IFERROR(__xludf.DUMMYFUNCTION("""COMPUTED_VALUE"""),"BHX")</f>
        <v>BHX</v>
      </c>
      <c r="C979" s="120" t="str">
        <f>IFERROR(__xludf.DUMMYFUNCTION("""COMPUTED_VALUE"""),"Birmingham International")</f>
        <v>Birmingham International</v>
      </c>
      <c r="D979" s="120" t="str">
        <f>IFERROR(__xludf.DUMMYFUNCTION("""COMPUTED_VALUE"""),"United Kingdom")</f>
        <v>United Kingdom</v>
      </c>
      <c r="E979" s="135"/>
      <c r="F979" s="31"/>
    </row>
    <row r="980">
      <c r="A980" s="134" t="str">
        <f>IFERROR(__xludf.DUMMYFUNCTION("""COMPUTED_VALUE"""),"Birni Nkoni")</f>
        <v>Birni Nkoni</v>
      </c>
      <c r="B980" s="120" t="str">
        <f>IFERROR(__xludf.DUMMYFUNCTION("""COMPUTED_VALUE"""),"BKN")</f>
        <v>BKN</v>
      </c>
      <c r="C980" s="120" t="str">
        <f>IFERROR(__xludf.DUMMYFUNCTION("""COMPUTED_VALUE"""),"Birni Nkoni")</f>
        <v>Birni Nkoni</v>
      </c>
      <c r="D980" s="120" t="str">
        <f>IFERROR(__xludf.DUMMYFUNCTION("""COMPUTED_VALUE"""),"Niger")</f>
        <v>Niger</v>
      </c>
      <c r="E980" s="135"/>
      <c r="F980" s="31"/>
    </row>
    <row r="981">
      <c r="A981" s="134" t="str">
        <f>IFERROR(__xludf.DUMMYFUNCTION("""COMPUTED_VALUE"""),"Bisbee")</f>
        <v>Bisbee</v>
      </c>
      <c r="B981" s="120" t="str">
        <f>IFERROR(__xludf.DUMMYFUNCTION("""COMPUTED_VALUE"""),"BSQ")</f>
        <v>BSQ</v>
      </c>
      <c r="C981" s="120" t="str">
        <f>IFERROR(__xludf.DUMMYFUNCTION("""COMPUTED_VALUE"""),"Bisbee Municipal Arpt")</f>
        <v>Bisbee Municipal Arpt</v>
      </c>
      <c r="D981" s="120" t="str">
        <f>IFERROR(__xludf.DUMMYFUNCTION("""COMPUTED_VALUE"""),"United States")</f>
        <v>United States</v>
      </c>
      <c r="E981" s="135"/>
      <c r="F981" s="31"/>
    </row>
    <row r="982">
      <c r="A982" s="134" t="str">
        <f>IFERROR(__xludf.DUMMYFUNCTION("""COMPUTED_VALUE"""),"Bisha")</f>
        <v>Bisha</v>
      </c>
      <c r="B982" s="120" t="str">
        <f>IFERROR(__xludf.DUMMYFUNCTION("""COMPUTED_VALUE"""),"BHH")</f>
        <v>BHH</v>
      </c>
      <c r="C982" s="120" t="str">
        <f>IFERROR(__xludf.DUMMYFUNCTION("""COMPUTED_VALUE"""),"Bisha")</f>
        <v>Bisha</v>
      </c>
      <c r="D982" s="120" t="str">
        <f>IFERROR(__xludf.DUMMYFUNCTION("""COMPUTED_VALUE"""),"Saudi Arabia")</f>
        <v>Saudi Arabia</v>
      </c>
      <c r="E982" s="135"/>
      <c r="F982" s="31"/>
    </row>
    <row r="983">
      <c r="A983" s="134" t="str">
        <f>IFERROR(__xludf.DUMMYFUNCTION("""COMPUTED_VALUE"""),"Bishe-Kola")</f>
        <v>Bishe-Kola</v>
      </c>
      <c r="B983" s="120" t="str">
        <f>IFERROR(__xludf.DUMMYFUNCTION("""COMPUTED_VALUE"""),"BSM")</f>
        <v>BSM</v>
      </c>
      <c r="C983" s="120" t="str">
        <f>IFERROR(__xludf.DUMMYFUNCTION("""COMPUTED_VALUE"""),"Bishe-Kola")</f>
        <v>Bishe-Kola</v>
      </c>
      <c r="D983" s="120" t="str">
        <f>IFERROR(__xludf.DUMMYFUNCTION("""COMPUTED_VALUE"""),"United States")</f>
        <v>United States</v>
      </c>
      <c r="E983" s="135"/>
      <c r="F983" s="31"/>
    </row>
    <row r="984">
      <c r="A984" s="134" t="str">
        <f>IFERROR(__xludf.DUMMYFUNCTION("""COMPUTED_VALUE"""),"Bishkek")</f>
        <v>Bishkek</v>
      </c>
      <c r="B984" s="120" t="str">
        <f>IFERROR(__xludf.DUMMYFUNCTION("""COMPUTED_VALUE"""),"FRU")</f>
        <v>FRU</v>
      </c>
      <c r="C984" s="120" t="str">
        <f>IFERROR(__xludf.DUMMYFUNCTION("""COMPUTED_VALUE"""),"Bishkek")</f>
        <v>Bishkek</v>
      </c>
      <c r="D984" s="120" t="str">
        <f>IFERROR(__xludf.DUMMYFUNCTION("""COMPUTED_VALUE"""),"Kyrgyzstan")</f>
        <v>Kyrgyzstan</v>
      </c>
      <c r="E984" s="135"/>
      <c r="F984" s="31"/>
    </row>
    <row r="985">
      <c r="A985" s="134" t="str">
        <f>IFERROR(__xludf.DUMMYFUNCTION("""COMPUTED_VALUE"""),"Bisho")</f>
        <v>Bisho</v>
      </c>
      <c r="B985" s="120" t="str">
        <f>IFERROR(__xludf.DUMMYFUNCTION("""COMPUTED_VALUE"""),"BIY")</f>
        <v>BIY</v>
      </c>
      <c r="C985" s="120" t="str">
        <f>IFERROR(__xludf.DUMMYFUNCTION("""COMPUTED_VALUE"""),"Bisho")</f>
        <v>Bisho</v>
      </c>
      <c r="D985" s="120" t="str">
        <f>IFERROR(__xludf.DUMMYFUNCTION("""COMPUTED_VALUE"""),"South Africa")</f>
        <v>South Africa</v>
      </c>
      <c r="E985" s="135"/>
      <c r="F985" s="31"/>
    </row>
    <row r="986">
      <c r="A986" s="134" t="str">
        <f>IFERROR(__xludf.DUMMYFUNCTION("""COMPUTED_VALUE"""),"Bishop")</f>
        <v>Bishop</v>
      </c>
      <c r="B986" s="120" t="str">
        <f>IFERROR(__xludf.DUMMYFUNCTION("""COMPUTED_VALUE"""),"BIH")</f>
        <v>BIH</v>
      </c>
      <c r="C986" s="120" t="str">
        <f>IFERROR(__xludf.DUMMYFUNCTION("""COMPUTED_VALUE"""),"Bishop")</f>
        <v>Bishop</v>
      </c>
      <c r="D986" s="120" t="str">
        <f>IFERROR(__xludf.DUMMYFUNCTION("""COMPUTED_VALUE"""),"United States")</f>
        <v>United States</v>
      </c>
      <c r="E986" s="135"/>
      <c r="F986" s="31"/>
    </row>
    <row r="987">
      <c r="A987" s="134" t="str">
        <f>IFERROR(__xludf.DUMMYFUNCTION("""COMPUTED_VALUE"""),"Biskra")</f>
        <v>Biskra</v>
      </c>
      <c r="B987" s="120" t="str">
        <f>IFERROR(__xludf.DUMMYFUNCTION("""COMPUTED_VALUE"""),"BSK")</f>
        <v>BSK</v>
      </c>
      <c r="C987" s="120" t="str">
        <f>IFERROR(__xludf.DUMMYFUNCTION("""COMPUTED_VALUE"""),"Biskra")</f>
        <v>Biskra</v>
      </c>
      <c r="D987" s="120" t="str">
        <f>IFERROR(__xludf.DUMMYFUNCTION("""COMPUTED_VALUE"""),"Algeria")</f>
        <v>Algeria</v>
      </c>
      <c r="E987" s="135"/>
      <c r="F987" s="31"/>
    </row>
    <row r="988">
      <c r="A988" s="134" t="str">
        <f>IFERROR(__xludf.DUMMYFUNCTION("""COMPUTED_VALUE"""),"Bislig")</f>
        <v>Bislig</v>
      </c>
      <c r="B988" s="120" t="str">
        <f>IFERROR(__xludf.DUMMYFUNCTION("""COMPUTED_VALUE"""),"BPH")</f>
        <v>BPH</v>
      </c>
      <c r="C988" s="120" t="str">
        <f>IFERROR(__xludf.DUMMYFUNCTION("""COMPUTED_VALUE"""),"Bislig")</f>
        <v>Bislig</v>
      </c>
      <c r="D988" s="120" t="str">
        <f>IFERROR(__xludf.DUMMYFUNCTION("""COMPUTED_VALUE"""),"Philippines")</f>
        <v>Philippines</v>
      </c>
      <c r="E988" s="135"/>
      <c r="F988" s="31"/>
    </row>
    <row r="989">
      <c r="A989" s="134" t="str">
        <f>IFERROR(__xludf.DUMMYFUNCTION("""COMPUTED_VALUE"""),"Bismarck")</f>
        <v>Bismarck</v>
      </c>
      <c r="B989" s="120" t="str">
        <f>IFERROR(__xludf.DUMMYFUNCTION("""COMPUTED_VALUE"""),"BIS")</f>
        <v>BIS</v>
      </c>
      <c r="C989" s="120" t="str">
        <f>IFERROR(__xludf.DUMMYFUNCTION("""COMPUTED_VALUE"""),"Bismarck")</f>
        <v>Bismarck</v>
      </c>
      <c r="D989" s="120" t="str">
        <f>IFERROR(__xludf.DUMMYFUNCTION("""COMPUTED_VALUE"""),"United States")</f>
        <v>United States</v>
      </c>
      <c r="E989" s="135"/>
      <c r="F989" s="31"/>
    </row>
    <row r="990">
      <c r="A990" s="134" t="str">
        <f>IFERROR(__xludf.DUMMYFUNCTION("""COMPUTED_VALUE"""),"Bissau")</f>
        <v>Bissau</v>
      </c>
      <c r="B990" s="120" t="str">
        <f>IFERROR(__xludf.DUMMYFUNCTION("""COMPUTED_VALUE"""),"OXB")</f>
        <v>OXB</v>
      </c>
      <c r="C990" s="120" t="str">
        <f>IFERROR(__xludf.DUMMYFUNCTION("""COMPUTED_VALUE"""),"Osvaldo Vieira")</f>
        <v>Osvaldo Vieira</v>
      </c>
      <c r="D990" s="120" t="str">
        <f>IFERROR(__xludf.DUMMYFUNCTION("""COMPUTED_VALUE"""),"Guinea-Bissau")</f>
        <v>Guinea-Bissau</v>
      </c>
      <c r="E990" s="135"/>
      <c r="F990" s="31"/>
    </row>
    <row r="991">
      <c r="A991" s="134" t="str">
        <f>IFERROR(__xludf.DUMMYFUNCTION("""COMPUTED_VALUE"""),"Bitam")</f>
        <v>Bitam</v>
      </c>
      <c r="B991" s="120" t="str">
        <f>IFERROR(__xludf.DUMMYFUNCTION("""COMPUTED_VALUE"""),"BMM")</f>
        <v>BMM</v>
      </c>
      <c r="C991" s="120" t="str">
        <f>IFERROR(__xludf.DUMMYFUNCTION("""COMPUTED_VALUE"""),"Bitam")</f>
        <v>Bitam</v>
      </c>
      <c r="D991" s="120" t="str">
        <f>IFERROR(__xludf.DUMMYFUNCTION("""COMPUTED_VALUE"""),"Gabon")</f>
        <v>Gabon</v>
      </c>
      <c r="E991" s="135"/>
      <c r="F991" s="31"/>
    </row>
    <row r="992">
      <c r="A992" s="134" t="str">
        <f>IFERROR(__xludf.DUMMYFUNCTION("""COMPUTED_VALUE"""),"Bitburg")</f>
        <v>Bitburg</v>
      </c>
      <c r="B992" s="120" t="str">
        <f>IFERROR(__xludf.DUMMYFUNCTION("""COMPUTED_VALUE"""),"BBJ")</f>
        <v>BBJ</v>
      </c>
      <c r="C992" s="120" t="str">
        <f>IFERROR(__xludf.DUMMYFUNCTION("""COMPUTED_VALUE"""),"Bitburg Air Base")</f>
        <v>Bitburg Air Base</v>
      </c>
      <c r="D992" s="120" t="str">
        <f>IFERROR(__xludf.DUMMYFUNCTION("""COMPUTED_VALUE"""),"Germany")</f>
        <v>Germany</v>
      </c>
      <c r="E992" s="135"/>
      <c r="F992" s="31"/>
    </row>
    <row r="993">
      <c r="A993" s="134" t="str">
        <f>IFERROR(__xludf.DUMMYFUNCTION("""COMPUTED_VALUE"""),"Bizant")</f>
        <v>Bizant</v>
      </c>
      <c r="B993" s="120" t="str">
        <f>IFERROR(__xludf.DUMMYFUNCTION("""COMPUTED_VALUE"""),"BZP")</f>
        <v>BZP</v>
      </c>
      <c r="C993" s="120" t="str">
        <f>IFERROR(__xludf.DUMMYFUNCTION("""COMPUTED_VALUE"""),"Bizant")</f>
        <v>Bizant</v>
      </c>
      <c r="D993" s="120" t="str">
        <f>IFERROR(__xludf.DUMMYFUNCTION("""COMPUTED_VALUE"""),"Australia")</f>
        <v>Australia</v>
      </c>
      <c r="E993" s="135"/>
      <c r="F993" s="31"/>
    </row>
    <row r="994">
      <c r="A994" s="134" t="str">
        <f>IFERROR(__xludf.DUMMYFUNCTION("""COMPUTED_VALUE"""),"Bjerka")</f>
        <v>Bjerka</v>
      </c>
      <c r="B994" s="120" t="str">
        <f>IFERROR(__xludf.DUMMYFUNCTION("""COMPUTED_VALUE"""),"ZMZ")</f>
        <v>ZMZ</v>
      </c>
      <c r="C994" s="120" t="str">
        <f>IFERROR(__xludf.DUMMYFUNCTION("""COMPUTED_VALUE"""),"Railway")</f>
        <v>Railway</v>
      </c>
      <c r="D994" s="120" t="str">
        <f>IFERROR(__xludf.DUMMYFUNCTION("""COMPUTED_VALUE"""),"Norway")</f>
        <v>Norway</v>
      </c>
      <c r="E994" s="135"/>
      <c r="F994" s="31"/>
    </row>
    <row r="995">
      <c r="A995" s="134" t="str">
        <f>IFERROR(__xludf.DUMMYFUNCTION("""COMPUTED_VALUE"""),"Black Tickle")</f>
        <v>Black Tickle</v>
      </c>
      <c r="B995" s="120" t="str">
        <f>IFERROR(__xludf.DUMMYFUNCTION("""COMPUTED_VALUE"""),"YBI")</f>
        <v>YBI</v>
      </c>
      <c r="C995" s="120" t="str">
        <f>IFERROR(__xludf.DUMMYFUNCTION("""COMPUTED_VALUE"""),"Black Tickle")</f>
        <v>Black Tickle</v>
      </c>
      <c r="D995" s="120" t="str">
        <f>IFERROR(__xludf.DUMMYFUNCTION("""COMPUTED_VALUE"""),"Canada")</f>
        <v>Canada</v>
      </c>
      <c r="E995" s="135"/>
      <c r="F995" s="31"/>
    </row>
    <row r="996">
      <c r="A996" s="134" t="str">
        <f>IFERROR(__xludf.DUMMYFUNCTION("""COMPUTED_VALUE"""),"Blackall")</f>
        <v>Blackall</v>
      </c>
      <c r="B996" s="120" t="str">
        <f>IFERROR(__xludf.DUMMYFUNCTION("""COMPUTED_VALUE"""),"BKQ")</f>
        <v>BKQ</v>
      </c>
      <c r="C996" s="120" t="str">
        <f>IFERROR(__xludf.DUMMYFUNCTION("""COMPUTED_VALUE"""),"Blackall")</f>
        <v>Blackall</v>
      </c>
      <c r="D996" s="120" t="str">
        <f>IFERROR(__xludf.DUMMYFUNCTION("""COMPUTED_VALUE"""),"Australia")</f>
        <v>Australia</v>
      </c>
      <c r="E996" s="135"/>
      <c r="F996" s="31"/>
    </row>
    <row r="997">
      <c r="A997" s="134" t="str">
        <f>IFERROR(__xludf.DUMMYFUNCTION("""COMPUTED_VALUE"""),"Yateley")</f>
        <v>Yateley</v>
      </c>
      <c r="B997" s="120" t="str">
        <f>IFERROR(__xludf.DUMMYFUNCTION("""COMPUTED_VALUE"""),"BBS")</f>
        <v>BBS</v>
      </c>
      <c r="C997" s="120" t="str">
        <f>IFERROR(__xludf.DUMMYFUNCTION("""COMPUTED_VALUE"""),"Blackbushe")</f>
        <v>Blackbushe</v>
      </c>
      <c r="D997" s="120" t="str">
        <f>IFERROR(__xludf.DUMMYFUNCTION("""COMPUTED_VALUE"""),"United Kingdom")</f>
        <v>United Kingdom</v>
      </c>
      <c r="E997" s="135"/>
      <c r="F997" s="31"/>
    </row>
    <row r="998">
      <c r="A998" s="134" t="str">
        <f>IFERROR(__xludf.DUMMYFUNCTION("""COMPUTED_VALUE"""),"Blackpool")</f>
        <v>Blackpool</v>
      </c>
      <c r="B998" s="120" t="str">
        <f>IFERROR(__xludf.DUMMYFUNCTION("""COMPUTED_VALUE"""),"BLK")</f>
        <v>BLK</v>
      </c>
      <c r="C998" s="120" t="str">
        <f>IFERROR(__xludf.DUMMYFUNCTION("""COMPUTED_VALUE"""),"Blackpool")</f>
        <v>Blackpool</v>
      </c>
      <c r="D998" s="120" t="str">
        <f>IFERROR(__xludf.DUMMYFUNCTION("""COMPUTED_VALUE"""),"United Kingdom")</f>
        <v>United Kingdom</v>
      </c>
      <c r="E998" s="135"/>
      <c r="F998" s="31"/>
    </row>
    <row r="999">
      <c r="A999" s="134" t="str">
        <f>IFERROR(__xludf.DUMMYFUNCTION("""COMPUTED_VALUE"""),"Blacksburg")</f>
        <v>Blacksburg</v>
      </c>
      <c r="B999" s="120" t="str">
        <f>IFERROR(__xludf.DUMMYFUNCTION("""COMPUTED_VALUE"""),"BCB")</f>
        <v>BCB</v>
      </c>
      <c r="C999" s="120" t="str">
        <f>IFERROR(__xludf.DUMMYFUNCTION("""COMPUTED_VALUE"""),"Virginia Tech")</f>
        <v>Virginia Tech</v>
      </c>
      <c r="D999" s="120" t="str">
        <f>IFERROR(__xludf.DUMMYFUNCTION("""COMPUTED_VALUE"""),"United States")</f>
        <v>United States</v>
      </c>
      <c r="E999" s="135"/>
      <c r="F999" s="31"/>
    </row>
    <row r="1000">
      <c r="A1000" s="134" t="str">
        <f>IFERROR(__xludf.DUMMYFUNCTION("""COMPUTED_VALUE"""),"Blackstone")</f>
        <v>Blackstone</v>
      </c>
      <c r="B1000" s="120" t="str">
        <f>IFERROR(__xludf.DUMMYFUNCTION("""COMPUTED_VALUE"""),"BKT")</f>
        <v>BKT</v>
      </c>
      <c r="C1000" s="120" t="str">
        <f>IFERROR(__xludf.DUMMYFUNCTION("""COMPUTED_VALUE"""),"Blackstone AAF")</f>
        <v>Blackstone AAF</v>
      </c>
      <c r="D1000" s="120" t="str">
        <f>IFERROR(__xludf.DUMMYFUNCTION("""COMPUTED_VALUE"""),"United States")</f>
        <v>United States</v>
      </c>
      <c r="E1000" s="135"/>
      <c r="F1000" s="31"/>
    </row>
    <row r="1001">
      <c r="A1001" s="134" t="str">
        <f>IFERROR(__xludf.DUMMYFUNCTION("""COMPUTED_VALUE"""),"Blackwater")</f>
        <v>Blackwater</v>
      </c>
      <c r="B1001" s="120" t="str">
        <f>IFERROR(__xludf.DUMMYFUNCTION("""COMPUTED_VALUE"""),"BLT")</f>
        <v>BLT</v>
      </c>
      <c r="C1001" s="137" t="str">
        <f>IFERROR(__xludf.DUMMYFUNCTION("""COMPUTED_VALUE"""),"Blackwater")</f>
        <v>Blackwater</v>
      </c>
      <c r="D1001" s="120" t="str">
        <f>IFERROR(__xludf.DUMMYFUNCTION("""COMPUTED_VALUE"""),"Australia")</f>
        <v>Australia</v>
      </c>
      <c r="E1001" s="135"/>
      <c r="F1001" s="31"/>
    </row>
    <row r="1002">
      <c r="A1002" s="134" t="str">
        <f>IFERROR(__xludf.DUMMYFUNCTION("""COMPUTED_VALUE"""),"Blackwell")</f>
        <v>Blackwell</v>
      </c>
      <c r="B1002" s="120" t="str">
        <f>IFERROR(__xludf.DUMMYFUNCTION("""COMPUTED_VALUE"""),"BWL")</f>
        <v>BWL</v>
      </c>
      <c r="C1002" s="120" t="str">
        <f>IFERROR(__xludf.DUMMYFUNCTION("""COMPUTED_VALUE"""),"Blackwell")</f>
        <v>Blackwell</v>
      </c>
      <c r="D1002" s="120" t="str">
        <f>IFERROR(__xludf.DUMMYFUNCTION("""COMPUTED_VALUE"""),"United States")</f>
        <v>United States</v>
      </c>
      <c r="E1002" s="135"/>
      <c r="F1002" s="31"/>
    </row>
    <row r="1003">
      <c r="A1003" s="134" t="str">
        <f>IFERROR(__xludf.DUMMYFUNCTION("""COMPUTED_VALUE"""),"Blagoveschensk")</f>
        <v>Blagoveschensk</v>
      </c>
      <c r="B1003" s="120" t="str">
        <f>IFERROR(__xludf.DUMMYFUNCTION("""COMPUTED_VALUE"""),"BQS")</f>
        <v>BQS</v>
      </c>
      <c r="C1003" s="120" t="str">
        <f>IFERROR(__xludf.DUMMYFUNCTION("""COMPUTED_VALUE"""),"Blagoveschensk")</f>
        <v>Blagoveschensk</v>
      </c>
      <c r="D1003" s="120" t="str">
        <f>IFERROR(__xludf.DUMMYFUNCTION("""COMPUTED_VALUE"""),"Russia")</f>
        <v>Russia</v>
      </c>
      <c r="E1003" s="135"/>
      <c r="F1003" s="31"/>
    </row>
    <row r="1004">
      <c r="A1004" s="134" t="str">
        <f>IFERROR(__xludf.DUMMYFUNCTION("""COMPUTED_VALUE"""),"Blaine")</f>
        <v>Blaine</v>
      </c>
      <c r="B1004" s="120" t="str">
        <f>IFERROR(__xludf.DUMMYFUNCTION("""COMPUTED_VALUE"""),"BWS")</f>
        <v>BWS</v>
      </c>
      <c r="C1004" s="120" t="str">
        <f>IFERROR(__xludf.DUMMYFUNCTION("""COMPUTED_VALUE"""),"Blaine")</f>
        <v>Blaine</v>
      </c>
      <c r="D1004" s="120" t="str">
        <f>IFERROR(__xludf.DUMMYFUNCTION("""COMPUTED_VALUE"""),"United States")</f>
        <v>United States</v>
      </c>
      <c r="E1004" s="135"/>
      <c r="F1004" s="31"/>
    </row>
    <row r="1005">
      <c r="A1005" s="134" t="str">
        <f>IFERROR(__xludf.DUMMYFUNCTION("""COMPUTED_VALUE"""),"Blairsville")</f>
        <v>Blairsville</v>
      </c>
      <c r="B1005" s="120" t="str">
        <f>IFERROR(__xludf.DUMMYFUNCTION("""COMPUTED_VALUE"""),"BSI")</f>
        <v>BSI</v>
      </c>
      <c r="C1005" s="120" t="str">
        <f>IFERROR(__xludf.DUMMYFUNCTION("""COMPUTED_VALUE"""),"Blairsville")</f>
        <v>Blairsville</v>
      </c>
      <c r="D1005" s="120" t="str">
        <f>IFERROR(__xludf.DUMMYFUNCTION("""COMPUTED_VALUE"""),"United States")</f>
        <v>United States</v>
      </c>
      <c r="E1005" s="135"/>
      <c r="F1005" s="31"/>
    </row>
    <row r="1006">
      <c r="A1006" s="134" t="str">
        <f>IFERROR(__xludf.DUMMYFUNCTION("""COMPUTED_VALUE"""),"Blakely Island")</f>
        <v>Blakely Island</v>
      </c>
      <c r="B1006" s="120" t="str">
        <f>IFERROR(__xludf.DUMMYFUNCTION("""COMPUTED_VALUE"""),"BYW")</f>
        <v>BYW</v>
      </c>
      <c r="C1006" s="120" t="str">
        <f>IFERROR(__xludf.DUMMYFUNCTION("""COMPUTED_VALUE"""),"Blakely Island")</f>
        <v>Blakely Island</v>
      </c>
      <c r="D1006" s="120" t="str">
        <f>IFERROR(__xludf.DUMMYFUNCTION("""COMPUTED_VALUE"""),"United States")</f>
        <v>United States</v>
      </c>
      <c r="E1006" s="135"/>
      <c r="F1006" s="31"/>
    </row>
    <row r="1007">
      <c r="A1007" s="134" t="str">
        <f>IFERROR(__xludf.DUMMYFUNCTION("""COMPUTED_VALUE"""),"Blanc Sablon")</f>
        <v>Blanc Sablon</v>
      </c>
      <c r="B1007" s="120" t="str">
        <f>IFERROR(__xludf.DUMMYFUNCTION("""COMPUTED_VALUE"""),"YBX")</f>
        <v>YBX</v>
      </c>
      <c r="C1007" s="120" t="str">
        <f>IFERROR(__xludf.DUMMYFUNCTION("""COMPUTED_VALUE"""),"Blanc Sablon")</f>
        <v>Blanc Sablon</v>
      </c>
      <c r="D1007" s="120" t="str">
        <f>IFERROR(__xludf.DUMMYFUNCTION("""COMPUTED_VALUE"""),"Canada")</f>
        <v>Canada</v>
      </c>
      <c r="E1007" s="135"/>
      <c r="F1007" s="31"/>
    </row>
    <row r="1008">
      <c r="A1008" s="134" t="str">
        <f>IFERROR(__xludf.DUMMYFUNCTION("""COMPUTED_VALUE"""),"Blanding")</f>
        <v>Blanding</v>
      </c>
      <c r="B1008" s="120" t="str">
        <f>IFERROR(__xludf.DUMMYFUNCTION("""COMPUTED_VALUE"""),"BDG")</f>
        <v>BDG</v>
      </c>
      <c r="C1008" s="120" t="str">
        <f>IFERROR(__xludf.DUMMYFUNCTION("""COMPUTED_VALUE"""),"Blanding")</f>
        <v>Blanding</v>
      </c>
      <c r="D1008" s="120" t="str">
        <f>IFERROR(__xludf.DUMMYFUNCTION("""COMPUTED_VALUE"""),"United States")</f>
        <v>United States</v>
      </c>
      <c r="E1008" s="135"/>
      <c r="F1008" s="31"/>
    </row>
    <row r="1009">
      <c r="A1009" s="134" t="str">
        <f>IFERROR(__xludf.DUMMYFUNCTION("""COMPUTED_VALUE"""),"Blantyre")</f>
        <v>Blantyre</v>
      </c>
      <c r="B1009" s="120" t="str">
        <f>IFERROR(__xludf.DUMMYFUNCTION("""COMPUTED_VALUE"""),"BLZ")</f>
        <v>BLZ</v>
      </c>
      <c r="C1009" s="120" t="str">
        <f>IFERROR(__xludf.DUMMYFUNCTION("""COMPUTED_VALUE"""),"Chileka")</f>
        <v>Chileka</v>
      </c>
      <c r="D1009" s="120" t="str">
        <f>IFERROR(__xludf.DUMMYFUNCTION("""COMPUTED_VALUE"""),"Malawi")</f>
        <v>Malawi</v>
      </c>
      <c r="E1009" s="135"/>
      <c r="F1009" s="31"/>
    </row>
    <row r="1010">
      <c r="A1010" s="134" t="str">
        <f>IFERROR(__xludf.DUMMYFUNCTION("""COMPUTED_VALUE"""),"Blenheim")</f>
        <v>Blenheim</v>
      </c>
      <c r="B1010" s="120" t="str">
        <f>IFERROR(__xludf.DUMMYFUNCTION("""COMPUTED_VALUE"""),"BHE")</f>
        <v>BHE</v>
      </c>
      <c r="C1010" s="120" t="str">
        <f>IFERROR(__xludf.DUMMYFUNCTION("""COMPUTED_VALUE"""),"Blenheim")</f>
        <v>Blenheim</v>
      </c>
      <c r="D1010" s="120" t="str">
        <f>IFERROR(__xludf.DUMMYFUNCTION("""COMPUTED_VALUE"""),"New Zealand (Aotearoa)")</f>
        <v>New Zealand (Aotearoa)</v>
      </c>
      <c r="E1010" s="135"/>
      <c r="F1010" s="31"/>
    </row>
    <row r="1011">
      <c r="A1011" s="134" t="str">
        <f>IFERROR(__xludf.DUMMYFUNCTION("""COMPUTED_VALUE"""),"Block Island")</f>
        <v>Block Island</v>
      </c>
      <c r="B1011" s="120" t="str">
        <f>IFERROR(__xludf.DUMMYFUNCTION("""COMPUTED_VALUE"""),"BID")</f>
        <v>BID</v>
      </c>
      <c r="C1011" s="120" t="str">
        <f>IFERROR(__xludf.DUMMYFUNCTION("""COMPUTED_VALUE"""),"Block Island")</f>
        <v>Block Island</v>
      </c>
      <c r="D1011" s="120" t="str">
        <f>IFERROR(__xludf.DUMMYFUNCTION("""COMPUTED_VALUE"""),"United States")</f>
        <v>United States</v>
      </c>
      <c r="E1011" s="135"/>
      <c r="F1011" s="31"/>
    </row>
    <row r="1012">
      <c r="A1012" s="134" t="str">
        <f>IFERROR(__xludf.DUMMYFUNCTION("""COMPUTED_VALUE"""),"Blonduos")</f>
        <v>Blonduos</v>
      </c>
      <c r="B1012" s="120" t="str">
        <f>IFERROR(__xludf.DUMMYFUNCTION("""COMPUTED_VALUE"""),"BLO")</f>
        <v>BLO</v>
      </c>
      <c r="C1012" s="120" t="str">
        <f>IFERROR(__xludf.DUMMYFUNCTION("""COMPUTED_VALUE"""),"Blonduos")</f>
        <v>Blonduos</v>
      </c>
      <c r="D1012" s="120" t="str">
        <f>IFERROR(__xludf.DUMMYFUNCTION("""COMPUTED_VALUE"""),"Iceland")</f>
        <v>Iceland</v>
      </c>
      <c r="E1012" s="135"/>
      <c r="F1012" s="31"/>
    </row>
    <row r="1013">
      <c r="A1013" s="134" t="str">
        <f>IFERROR(__xludf.DUMMYFUNCTION("""COMPUTED_VALUE"""),"Bloodvein")</f>
        <v>Bloodvein</v>
      </c>
      <c r="B1013" s="120" t="str">
        <f>IFERROR(__xludf.DUMMYFUNCTION("""COMPUTED_VALUE"""),"YDV")</f>
        <v>YDV</v>
      </c>
      <c r="C1013" s="120" t="str">
        <f>IFERROR(__xludf.DUMMYFUNCTION("""COMPUTED_VALUE"""),"Bloodvein")</f>
        <v>Bloodvein</v>
      </c>
      <c r="D1013" s="120" t="str">
        <f>IFERROR(__xludf.DUMMYFUNCTION("""COMPUTED_VALUE"""),"Canada")</f>
        <v>Canada</v>
      </c>
      <c r="E1013" s="135"/>
      <c r="F1013" s="31"/>
    </row>
    <row r="1014">
      <c r="A1014" s="134" t="str">
        <f>IFERROR(__xludf.DUMMYFUNCTION("""COMPUTED_VALUE"""),"Bloomfield")</f>
        <v>Bloomfield</v>
      </c>
      <c r="B1014" s="120" t="str">
        <f>IFERROR(__xludf.DUMMYFUNCTION("""COMPUTED_VALUE"""),"BFC")</f>
        <v>BFC</v>
      </c>
      <c r="C1014" s="120" t="str">
        <f>IFERROR(__xludf.DUMMYFUNCTION("""COMPUTED_VALUE"""),"Bloomfield")</f>
        <v>Bloomfield</v>
      </c>
      <c r="D1014" s="120" t="str">
        <f>IFERROR(__xludf.DUMMYFUNCTION("""COMPUTED_VALUE"""),"Australia")</f>
        <v>Australia</v>
      </c>
      <c r="E1014" s="135"/>
      <c r="F1014" s="31"/>
    </row>
    <row r="1015">
      <c r="A1015" s="134" t="str">
        <f>IFERROR(__xludf.DUMMYFUNCTION("""COMPUTED_VALUE"""),"Bloomington")</f>
        <v>Bloomington</v>
      </c>
      <c r="B1015" s="120" t="str">
        <f>IFERROR(__xludf.DUMMYFUNCTION("""COMPUTED_VALUE"""),"BMG")</f>
        <v>BMG</v>
      </c>
      <c r="C1015" s="120" t="str">
        <f>IFERROR(__xludf.DUMMYFUNCTION("""COMPUTED_VALUE"""),"Bloomington")</f>
        <v>Bloomington</v>
      </c>
      <c r="D1015" s="120" t="str">
        <f>IFERROR(__xludf.DUMMYFUNCTION("""COMPUTED_VALUE"""),"United States")</f>
        <v>United States</v>
      </c>
      <c r="E1015" s="135"/>
      <c r="F1015" s="31"/>
    </row>
    <row r="1016">
      <c r="A1016" s="134" t="str">
        <f>IFERROR(__xludf.DUMMYFUNCTION("""COMPUTED_VALUE"""),"Bloomington-Normal")</f>
        <v>Bloomington-Normal</v>
      </c>
      <c r="B1016" s="120" t="str">
        <f>IFERROR(__xludf.DUMMYFUNCTION("""COMPUTED_VALUE"""),"BMI")</f>
        <v>BMI</v>
      </c>
      <c r="C1016" s="120" t="str">
        <f>IFERROR(__xludf.DUMMYFUNCTION("""COMPUTED_VALUE"""),"Bloomington-Normal")</f>
        <v>Bloomington-Normal</v>
      </c>
      <c r="D1016" s="120" t="str">
        <f>IFERROR(__xludf.DUMMYFUNCTION("""COMPUTED_VALUE"""),"United States")</f>
        <v>United States</v>
      </c>
      <c r="E1016" s="135"/>
      <c r="F1016" s="31"/>
    </row>
    <row r="1017">
      <c r="A1017" s="134" t="str">
        <f>IFERROR(__xludf.DUMMYFUNCTION("""COMPUTED_VALUE"""),"Blubber Bay")</f>
        <v>Blubber Bay</v>
      </c>
      <c r="B1017" s="120" t="str">
        <f>IFERROR(__xludf.DUMMYFUNCTION("""COMPUTED_VALUE"""),"XBB")</f>
        <v>XBB</v>
      </c>
      <c r="C1017" s="120" t="str">
        <f>IFERROR(__xludf.DUMMYFUNCTION("""COMPUTED_VALUE"""),"Blubber Bay")</f>
        <v>Blubber Bay</v>
      </c>
      <c r="D1017" s="120" t="str">
        <f>IFERROR(__xludf.DUMMYFUNCTION("""COMPUTED_VALUE"""),"Canada")</f>
        <v>Canada</v>
      </c>
      <c r="E1017" s="135"/>
      <c r="F1017" s="31"/>
    </row>
    <row r="1018">
      <c r="A1018" s="134" t="str">
        <f>IFERROR(__xludf.DUMMYFUNCTION("""COMPUTED_VALUE"""),"Blue Bell")</f>
        <v>Blue Bell</v>
      </c>
      <c r="B1018" s="120" t="str">
        <f>IFERROR(__xludf.DUMMYFUNCTION("""COMPUTED_VALUE"""),"BBX")</f>
        <v>BBX</v>
      </c>
      <c r="C1018" s="120" t="str">
        <f>IFERROR(__xludf.DUMMYFUNCTION("""COMPUTED_VALUE"""),"Wings Field")</f>
        <v>Wings Field</v>
      </c>
      <c r="D1018" s="120" t="str">
        <f>IFERROR(__xludf.DUMMYFUNCTION("""COMPUTED_VALUE"""),"United States")</f>
        <v>United States</v>
      </c>
      <c r="E1018" s="135"/>
      <c r="F1018" s="31"/>
    </row>
    <row r="1019">
      <c r="A1019" s="134" t="str">
        <f>IFERROR(__xludf.DUMMYFUNCTION("""COMPUTED_VALUE"""),"Blue Canyon")</f>
        <v>Blue Canyon</v>
      </c>
      <c r="B1019" s="120" t="str">
        <f>IFERROR(__xludf.DUMMYFUNCTION("""COMPUTED_VALUE"""),"BLU")</f>
        <v>BLU</v>
      </c>
      <c r="C1019" s="120" t="str">
        <f>IFERROR(__xludf.DUMMYFUNCTION("""COMPUTED_VALUE"""),"Blue Canyon")</f>
        <v>Blue Canyon</v>
      </c>
      <c r="D1019" s="120" t="str">
        <f>IFERROR(__xludf.DUMMYFUNCTION("""COMPUTED_VALUE"""),"United States")</f>
        <v>United States</v>
      </c>
      <c r="E1019" s="135"/>
      <c r="F1019" s="31"/>
    </row>
    <row r="1020">
      <c r="A1020" s="134" t="str">
        <f>IFERROR(__xludf.DUMMYFUNCTION("""COMPUTED_VALUE"""),"Blue Fox Bay")</f>
        <v>Blue Fox Bay</v>
      </c>
      <c r="B1020" s="120" t="str">
        <f>IFERROR(__xludf.DUMMYFUNCTION("""COMPUTED_VALUE"""),"BFB")</f>
        <v>BFB</v>
      </c>
      <c r="C1020" s="120" t="str">
        <f>IFERROR(__xludf.DUMMYFUNCTION("""COMPUTED_VALUE"""),"Blue Fox Bay")</f>
        <v>Blue Fox Bay</v>
      </c>
      <c r="D1020" s="120" t="str">
        <f>IFERROR(__xludf.DUMMYFUNCTION("""COMPUTED_VALUE"""),"United States")</f>
        <v>United States</v>
      </c>
      <c r="E1020" s="135"/>
      <c r="F1020" s="31"/>
    </row>
    <row r="1021">
      <c r="A1021" s="134" t="str">
        <f>IFERROR(__xludf.DUMMYFUNCTION("""COMPUTED_VALUE"""),"Blue Lagoon")</f>
        <v>Blue Lagoon</v>
      </c>
      <c r="B1021" s="120" t="str">
        <f>IFERROR(__xludf.DUMMYFUNCTION("""COMPUTED_VALUE"""),"BXL")</f>
        <v>BXL</v>
      </c>
      <c r="C1021" s="120" t="str">
        <f>IFERROR(__xludf.DUMMYFUNCTION("""COMPUTED_VALUE"""),"Blue Lagoon")</f>
        <v>Blue Lagoon</v>
      </c>
      <c r="D1021" s="120" t="str">
        <f>IFERROR(__xludf.DUMMYFUNCTION("""COMPUTED_VALUE"""),"Fiji")</f>
        <v>Fiji</v>
      </c>
      <c r="E1021" s="135"/>
      <c r="F1021" s="31"/>
    </row>
    <row r="1022">
      <c r="A1022" s="134" t="str">
        <f>IFERROR(__xludf.DUMMYFUNCTION("""COMPUTED_VALUE"""),"Bluefields")</f>
        <v>Bluefields</v>
      </c>
      <c r="B1022" s="120" t="str">
        <f>IFERROR(__xludf.DUMMYFUNCTION("""COMPUTED_VALUE"""),"BEF")</f>
        <v>BEF</v>
      </c>
      <c r="C1022" s="120" t="str">
        <f>IFERROR(__xludf.DUMMYFUNCTION("""COMPUTED_VALUE"""),"Bluefields")</f>
        <v>Bluefields</v>
      </c>
      <c r="D1022" s="120" t="str">
        <f>IFERROR(__xludf.DUMMYFUNCTION("""COMPUTED_VALUE"""),"Nicaragua")</f>
        <v>Nicaragua</v>
      </c>
      <c r="E1022" s="135"/>
      <c r="F1022" s="31"/>
    </row>
    <row r="1023">
      <c r="A1023" s="134" t="str">
        <f>IFERROR(__xludf.DUMMYFUNCTION("""COMPUTED_VALUE"""),"Blumenau")</f>
        <v>Blumenau</v>
      </c>
      <c r="B1023" s="120" t="str">
        <f>IFERROR(__xludf.DUMMYFUNCTION("""COMPUTED_VALUE"""),"BNU")</f>
        <v>BNU</v>
      </c>
      <c r="C1023" s="120" t="str">
        <f>IFERROR(__xludf.DUMMYFUNCTION("""COMPUTED_VALUE"""),"Blumenau")</f>
        <v>Blumenau</v>
      </c>
      <c r="D1023" s="120" t="str">
        <f>IFERROR(__xludf.DUMMYFUNCTION("""COMPUTED_VALUE"""),"Brazil")</f>
        <v>Brazil</v>
      </c>
      <c r="E1023" s="135"/>
      <c r="F1023" s="31"/>
    </row>
    <row r="1024">
      <c r="A1024" s="134" t="str">
        <f>IFERROR(__xludf.DUMMYFUNCTION("""COMPUTED_VALUE"""),"Blythe")</f>
        <v>Blythe</v>
      </c>
      <c r="B1024" s="120" t="str">
        <f>IFERROR(__xludf.DUMMYFUNCTION("""COMPUTED_VALUE"""),"BLH")</f>
        <v>BLH</v>
      </c>
      <c r="C1024" s="120" t="str">
        <f>IFERROR(__xludf.DUMMYFUNCTION("""COMPUTED_VALUE"""),"Blythe")</f>
        <v>Blythe</v>
      </c>
      <c r="D1024" s="120" t="str">
        <f>IFERROR(__xludf.DUMMYFUNCTION("""COMPUTED_VALUE"""),"United States")</f>
        <v>United States</v>
      </c>
      <c r="E1024" s="135"/>
      <c r="F1024" s="31"/>
    </row>
    <row r="1025">
      <c r="A1025" s="134" t="str">
        <f>IFERROR(__xludf.DUMMYFUNCTION("""COMPUTED_VALUE"""),"Blytheville")</f>
        <v>Blytheville</v>
      </c>
      <c r="B1025" s="120" t="str">
        <f>IFERROR(__xludf.DUMMYFUNCTION("""COMPUTED_VALUE"""),"BYH")</f>
        <v>BYH</v>
      </c>
      <c r="C1025" s="120" t="str">
        <f>IFERROR(__xludf.DUMMYFUNCTION("""COMPUTED_VALUE"""),"Blytheville AFB")</f>
        <v>Blytheville AFB</v>
      </c>
      <c r="D1025" s="120" t="str">
        <f>IFERROR(__xludf.DUMMYFUNCTION("""COMPUTED_VALUE"""),"United States")</f>
        <v>United States</v>
      </c>
      <c r="E1025" s="135"/>
      <c r="F1025" s="31"/>
    </row>
    <row r="1026">
      <c r="A1026" s="134" t="str">
        <f>IFERROR(__xludf.DUMMYFUNCTION("""COMPUTED_VALUE"""),"Blytheville")</f>
        <v>Blytheville</v>
      </c>
      <c r="B1026" s="120" t="str">
        <f>IFERROR(__xludf.DUMMYFUNCTION("""COMPUTED_VALUE"""),"HKA")</f>
        <v>HKA</v>
      </c>
      <c r="C1026" s="120" t="str">
        <f>IFERROR(__xludf.DUMMYFUNCTION("""COMPUTED_VALUE"""),"Municipal")</f>
        <v>Municipal</v>
      </c>
      <c r="D1026" s="120" t="str">
        <f>IFERROR(__xludf.DUMMYFUNCTION("""COMPUTED_VALUE"""),"United States")</f>
        <v>United States</v>
      </c>
      <c r="E1026" s="135"/>
      <c r="F1026" s="31"/>
    </row>
    <row r="1027">
      <c r="A1027" s="134" t="str">
        <f>IFERROR(__xludf.DUMMYFUNCTION("""COMPUTED_VALUE"""),"Bo")</f>
        <v>Bo</v>
      </c>
      <c r="B1027" s="120" t="str">
        <f>IFERROR(__xludf.DUMMYFUNCTION("""COMPUTED_VALUE"""),"KBS")</f>
        <v>KBS</v>
      </c>
      <c r="C1027" s="120" t="str">
        <f>IFERROR(__xludf.DUMMYFUNCTION("""COMPUTED_VALUE"""),"Bo")</f>
        <v>Bo</v>
      </c>
      <c r="D1027" s="120" t="str">
        <f>IFERROR(__xludf.DUMMYFUNCTION("""COMPUTED_VALUE"""),"Sierra Leone")</f>
        <v>Sierra Leone</v>
      </c>
      <c r="E1027" s="135"/>
      <c r="F1027" s="31"/>
    </row>
    <row r="1028">
      <c r="A1028" s="134" t="str">
        <f>IFERROR(__xludf.DUMMYFUNCTION("""COMPUTED_VALUE"""),"Boa Vista")</f>
        <v>Boa Vista</v>
      </c>
      <c r="B1028" s="120" t="str">
        <f>IFERROR(__xludf.DUMMYFUNCTION("""COMPUTED_VALUE"""),"BVC")</f>
        <v>BVC</v>
      </c>
      <c r="C1028" s="120" t="str">
        <f>IFERROR(__xludf.DUMMYFUNCTION("""COMPUTED_VALUE"""),"Rabil")</f>
        <v>Rabil</v>
      </c>
      <c r="D1028" s="120" t="str">
        <f>IFERROR(__xludf.DUMMYFUNCTION("""COMPUTED_VALUE"""),"Cape Verde")</f>
        <v>Cape Verde</v>
      </c>
      <c r="E1028" s="135"/>
      <c r="F1028" s="31"/>
    </row>
    <row r="1029">
      <c r="A1029" s="134" t="str">
        <f>IFERROR(__xludf.DUMMYFUNCTION("""COMPUTED_VALUE"""),"Boa Vista")</f>
        <v>Boa Vista</v>
      </c>
      <c r="B1029" s="120" t="str">
        <f>IFERROR(__xludf.DUMMYFUNCTION("""COMPUTED_VALUE"""),"BVB")</f>
        <v>BVB</v>
      </c>
      <c r="C1029" s="120" t="str">
        <f>IFERROR(__xludf.DUMMYFUNCTION("""COMPUTED_VALUE"""),"Boa Vista")</f>
        <v>Boa Vista</v>
      </c>
      <c r="D1029" s="120" t="str">
        <f>IFERROR(__xludf.DUMMYFUNCTION("""COMPUTED_VALUE"""),"Brazil")</f>
        <v>Brazil</v>
      </c>
      <c r="E1029" s="135"/>
      <c r="F1029" s="31"/>
    </row>
    <row r="1030">
      <c r="A1030" s="134" t="str">
        <f>IFERROR(__xludf.DUMMYFUNCTION("""COMPUTED_VALUE"""),"Boana")</f>
        <v>Boana</v>
      </c>
      <c r="B1030" s="120" t="str">
        <f>IFERROR(__xludf.DUMMYFUNCTION("""COMPUTED_VALUE"""),"BNV")</f>
        <v>BNV</v>
      </c>
      <c r="C1030" s="120" t="str">
        <f>IFERROR(__xludf.DUMMYFUNCTION("""COMPUTED_VALUE"""),"Boana")</f>
        <v>Boana</v>
      </c>
      <c r="D1030" s="120" t="str">
        <f>IFERROR(__xludf.DUMMYFUNCTION("""COMPUTED_VALUE"""),"Papua New Guinea")</f>
        <v>Papua New Guinea</v>
      </c>
      <c r="E1030" s="135"/>
      <c r="F1030" s="31"/>
    </row>
    <row r="1031">
      <c r="A1031" s="134" t="str">
        <f>IFERROR(__xludf.DUMMYFUNCTION("""COMPUTED_VALUE"""),"Boang")</f>
        <v>Boang</v>
      </c>
      <c r="B1031" s="120" t="str">
        <f>IFERROR(__xludf.DUMMYFUNCTION("""COMPUTED_VALUE"""),"BOV")</f>
        <v>BOV</v>
      </c>
      <c r="C1031" s="120" t="str">
        <f>IFERROR(__xludf.DUMMYFUNCTION("""COMPUTED_VALUE"""),"Boang")</f>
        <v>Boang</v>
      </c>
      <c r="D1031" s="120" t="str">
        <f>IFERROR(__xludf.DUMMYFUNCTION("""COMPUTED_VALUE"""),"Papua New Guinea")</f>
        <v>Papua New Guinea</v>
      </c>
      <c r="E1031" s="135"/>
      <c r="F1031" s="31"/>
    </row>
    <row r="1032">
      <c r="A1032" s="134" t="str">
        <f>IFERROR(__xludf.DUMMYFUNCTION("""COMPUTED_VALUE"""),"Bobadilla")</f>
        <v>Bobadilla</v>
      </c>
      <c r="B1032" s="120" t="str">
        <f>IFERROR(__xludf.DUMMYFUNCTION("""COMPUTED_VALUE"""),"OZI")</f>
        <v>OZI</v>
      </c>
      <c r="C1032" s="120" t="str">
        <f>IFERROR(__xludf.DUMMYFUNCTION("""COMPUTED_VALUE"""),"Bobadilla")</f>
        <v>Bobadilla</v>
      </c>
      <c r="D1032" s="120" t="str">
        <f>IFERROR(__xludf.DUMMYFUNCTION("""COMPUTED_VALUE"""),"Spain")</f>
        <v>Spain</v>
      </c>
      <c r="E1032" s="135"/>
      <c r="F1032" s="31"/>
    </row>
    <row r="1033">
      <c r="A1033" s="134" t="str">
        <f>IFERROR(__xludf.DUMMYFUNCTION("""COMPUTED_VALUE"""),"Bobo Dioulasso")</f>
        <v>Bobo Dioulasso</v>
      </c>
      <c r="B1033" s="120" t="str">
        <f>IFERROR(__xludf.DUMMYFUNCTION("""COMPUTED_VALUE"""),"BOY")</f>
        <v>BOY</v>
      </c>
      <c r="C1033" s="120" t="str">
        <f>IFERROR(__xludf.DUMMYFUNCTION("""COMPUTED_VALUE"""),"Borgo")</f>
        <v>Borgo</v>
      </c>
      <c r="D1033" s="120" t="str">
        <f>IFERROR(__xludf.DUMMYFUNCTION("""COMPUTED_VALUE"""),"Burkina Faso")</f>
        <v>Burkina Faso</v>
      </c>
      <c r="E1033" s="135"/>
      <c r="F1033" s="31"/>
    </row>
    <row r="1034">
      <c r="A1034" s="134" t="str">
        <f>IFERROR(__xludf.DUMMYFUNCTION("""COMPUTED_VALUE"""),"Bobquinn Lake")</f>
        <v>Bobquinn Lake</v>
      </c>
      <c r="B1034" s="120" t="str">
        <f>IFERROR(__xludf.DUMMYFUNCTION("""COMPUTED_VALUE"""),"YBO")</f>
        <v>YBO</v>
      </c>
      <c r="C1034" s="120" t="str">
        <f>IFERROR(__xludf.DUMMYFUNCTION("""COMPUTED_VALUE"""),"Bobquinn Lake")</f>
        <v>Bobquinn Lake</v>
      </c>
      <c r="D1034" s="120" t="str">
        <f>IFERROR(__xludf.DUMMYFUNCTION("""COMPUTED_VALUE"""),"Canada")</f>
        <v>Canada</v>
      </c>
      <c r="E1034" s="135"/>
      <c r="F1034" s="31"/>
    </row>
    <row r="1035">
      <c r="A1035" s="134" t="str">
        <f>IFERROR(__xludf.DUMMYFUNCTION("""COMPUTED_VALUE"""),"Boca Do Acre")</f>
        <v>Boca Do Acre</v>
      </c>
      <c r="B1035" s="120" t="str">
        <f>IFERROR(__xludf.DUMMYFUNCTION("""COMPUTED_VALUE"""),"BCR")</f>
        <v>BCR</v>
      </c>
      <c r="C1035" s="120" t="str">
        <f>IFERROR(__xludf.DUMMYFUNCTION("""COMPUTED_VALUE"""),"Boca Do Acre")</f>
        <v>Boca Do Acre</v>
      </c>
      <c r="D1035" s="120" t="str">
        <f>IFERROR(__xludf.DUMMYFUNCTION("""COMPUTED_VALUE"""),"Brazil")</f>
        <v>Brazil</v>
      </c>
      <c r="E1035" s="135"/>
      <c r="F1035" s="31"/>
    </row>
    <row r="1036">
      <c r="A1036" s="134" t="str">
        <f>IFERROR(__xludf.DUMMYFUNCTION("""COMPUTED_VALUE"""),"Boca Raton")</f>
        <v>Boca Raton</v>
      </c>
      <c r="B1036" s="120" t="str">
        <f>IFERROR(__xludf.DUMMYFUNCTION("""COMPUTED_VALUE"""),"BCT")</f>
        <v>BCT</v>
      </c>
      <c r="C1036" s="120" t="str">
        <f>IFERROR(__xludf.DUMMYFUNCTION("""COMPUTED_VALUE"""),"Public")</f>
        <v>Public</v>
      </c>
      <c r="D1036" s="120" t="str">
        <f>IFERROR(__xludf.DUMMYFUNCTION("""COMPUTED_VALUE"""),"United States")</f>
        <v>United States</v>
      </c>
      <c r="E1036" s="135"/>
      <c r="F1036" s="31"/>
    </row>
    <row r="1037">
      <c r="A1037" s="134" t="str">
        <f>IFERROR(__xludf.DUMMYFUNCTION("""COMPUTED_VALUE"""),"Bocas Del Toro")</f>
        <v>Bocas Del Toro</v>
      </c>
      <c r="B1037" s="120" t="str">
        <f>IFERROR(__xludf.DUMMYFUNCTION("""COMPUTED_VALUE"""),"BOC")</f>
        <v>BOC</v>
      </c>
      <c r="C1037" s="120" t="str">
        <f>IFERROR(__xludf.DUMMYFUNCTION("""COMPUTED_VALUE"""),"Bocas Del Toro")</f>
        <v>Bocas Del Toro</v>
      </c>
      <c r="D1037" s="120" t="str">
        <f>IFERROR(__xludf.DUMMYFUNCTION("""COMPUTED_VALUE"""),"Panama")</f>
        <v>Panama</v>
      </c>
      <c r="E1037" s="135"/>
      <c r="F1037" s="31"/>
    </row>
    <row r="1038">
      <c r="A1038" s="134" t="str">
        <f>IFERROR(__xludf.DUMMYFUNCTION("""COMPUTED_VALUE"""),"Bodinumu")</f>
        <v>Bodinumu</v>
      </c>
      <c r="B1038" s="120" t="str">
        <f>IFERROR(__xludf.DUMMYFUNCTION("""COMPUTED_VALUE"""),"BNM")</f>
        <v>BNM</v>
      </c>
      <c r="C1038" s="120" t="str">
        <f>IFERROR(__xludf.DUMMYFUNCTION("""COMPUTED_VALUE"""),"Bodinumu")</f>
        <v>Bodinumu</v>
      </c>
      <c r="D1038" s="120" t="str">
        <f>IFERROR(__xludf.DUMMYFUNCTION("""COMPUTED_VALUE"""),"Papua New Guinea")</f>
        <v>Papua New Guinea</v>
      </c>
      <c r="E1038" s="135"/>
      <c r="F1038" s="31"/>
    </row>
    <row r="1039">
      <c r="A1039" s="134" t="str">
        <f>IFERROR(__xludf.DUMMYFUNCTION("""COMPUTED_VALUE"""),"Bodo")</f>
        <v>Bodo</v>
      </c>
      <c r="B1039" s="120" t="str">
        <f>IFERROR(__xludf.DUMMYFUNCTION("""COMPUTED_VALUE"""),"BOO")</f>
        <v>BOO</v>
      </c>
      <c r="C1039" s="120" t="str">
        <f>IFERROR(__xludf.DUMMYFUNCTION("""COMPUTED_VALUE"""),"Bodo")</f>
        <v>Bodo</v>
      </c>
      <c r="D1039" s="120" t="str">
        <f>IFERROR(__xludf.DUMMYFUNCTION("""COMPUTED_VALUE"""),"Norway")</f>
        <v>Norway</v>
      </c>
      <c r="E1039" s="135"/>
      <c r="F1039" s="31"/>
    </row>
    <row r="1040">
      <c r="A1040" s="134" t="str">
        <f>IFERROR(__xludf.DUMMYFUNCTION("""COMPUTED_VALUE"""),"Bodrum")</f>
        <v>Bodrum</v>
      </c>
      <c r="B1040" s="120" t="str">
        <f>IFERROR(__xludf.DUMMYFUNCTION("""COMPUTED_VALUE"""),"BXN")</f>
        <v>BXN</v>
      </c>
      <c r="C1040" s="120" t="str">
        <f>IFERROR(__xludf.DUMMYFUNCTION("""COMPUTED_VALUE"""),"Imsik Airport")</f>
        <v>Imsik Airport</v>
      </c>
      <c r="D1040" s="120" t="str">
        <f>IFERROR(__xludf.DUMMYFUNCTION("""COMPUTED_VALUE"""),"Turkey")</f>
        <v>Turkey</v>
      </c>
      <c r="E1040" s="135"/>
      <c r="F1040" s="31"/>
    </row>
    <row r="1041">
      <c r="A1041" s="134" t="str">
        <f>IFERROR(__xludf.DUMMYFUNCTION("""COMPUTED_VALUE"""),"Bodrum.")</f>
        <v>Bodrum.</v>
      </c>
      <c r="B1041" s="120" t="str">
        <f>IFERROR(__xludf.DUMMYFUNCTION("""COMPUTED_VALUE"""),"BJV")</f>
        <v>BJV</v>
      </c>
      <c r="C1041" s="120" t="str">
        <f>IFERROR(__xludf.DUMMYFUNCTION("""COMPUTED_VALUE"""),"Milas Airport")</f>
        <v>Milas Airport</v>
      </c>
      <c r="D1041" s="120" t="str">
        <f>IFERROR(__xludf.DUMMYFUNCTION("""COMPUTED_VALUE"""),"Turkey")</f>
        <v>Turkey</v>
      </c>
      <c r="E1041" s="135"/>
      <c r="F1041" s="31"/>
    </row>
    <row r="1042">
      <c r="A1042" s="134" t="str">
        <f>IFERROR(__xludf.DUMMYFUNCTION("""COMPUTED_VALUE"""),"Boeblingen")</f>
        <v>Boeblingen</v>
      </c>
      <c r="B1042" s="120" t="str">
        <f>IFERROR(__xludf.DUMMYFUNCTION("""COMPUTED_VALUE"""),"PHM")</f>
        <v>PHM</v>
      </c>
      <c r="C1042" s="120" t="str">
        <f>IFERROR(__xludf.DUMMYFUNCTION("""COMPUTED_VALUE"""),"Boeblingen")</f>
        <v>Boeblingen</v>
      </c>
      <c r="D1042" s="120" t="str">
        <f>IFERROR(__xludf.DUMMYFUNCTION("""COMPUTED_VALUE"""),"Germany")</f>
        <v>Germany</v>
      </c>
      <c r="E1042" s="135"/>
      <c r="F1042" s="31"/>
    </row>
    <row r="1043">
      <c r="A1043" s="134" t="str">
        <f>IFERROR(__xludf.DUMMYFUNCTION("""COMPUTED_VALUE"""),"Boende")</f>
        <v>Boende</v>
      </c>
      <c r="B1043" s="120" t="str">
        <f>IFERROR(__xludf.DUMMYFUNCTION("""COMPUTED_VALUE"""),"BNB")</f>
        <v>BNB</v>
      </c>
      <c r="C1043" s="120" t="str">
        <f>IFERROR(__xludf.DUMMYFUNCTION("""COMPUTED_VALUE"""),"Boende")</f>
        <v>Boende</v>
      </c>
      <c r="D1043" s="120" t="str">
        <f>IFERROR(__xludf.DUMMYFUNCTION("""COMPUTED_VALUE"""),"Zaire")</f>
        <v>Zaire</v>
      </c>
      <c r="E1043" s="135"/>
      <c r="F1043" s="31"/>
    </row>
    <row r="1044">
      <c r="A1044" s="134" t="str">
        <f>IFERROR(__xludf.DUMMYFUNCTION("""COMPUTED_VALUE"""),"Bogalusa")</f>
        <v>Bogalusa</v>
      </c>
      <c r="B1044" s="120" t="str">
        <f>IFERROR(__xludf.DUMMYFUNCTION("""COMPUTED_VALUE"""),"BXA")</f>
        <v>BXA</v>
      </c>
      <c r="C1044" s="120" t="str">
        <f>IFERROR(__xludf.DUMMYFUNCTION("""COMPUTED_VALUE"""),"George R Carr")</f>
        <v>George R Carr</v>
      </c>
      <c r="D1044" s="120" t="str">
        <f>IFERROR(__xludf.DUMMYFUNCTION("""COMPUTED_VALUE"""),"United States")</f>
        <v>United States</v>
      </c>
      <c r="E1044" s="135"/>
      <c r="F1044" s="31"/>
    </row>
    <row r="1045">
      <c r="A1045" s="134" t="str">
        <f>IFERROR(__xludf.DUMMYFUNCTION("""COMPUTED_VALUE"""),"Bogande")</f>
        <v>Bogande</v>
      </c>
      <c r="B1045" s="120" t="str">
        <f>IFERROR(__xludf.DUMMYFUNCTION("""COMPUTED_VALUE"""),"XBG")</f>
        <v>XBG</v>
      </c>
      <c r="C1045" s="120" t="str">
        <f>IFERROR(__xludf.DUMMYFUNCTION("""COMPUTED_VALUE"""),"Bogande")</f>
        <v>Bogande</v>
      </c>
      <c r="D1045" s="120" t="str">
        <f>IFERROR(__xludf.DUMMYFUNCTION("""COMPUTED_VALUE"""),"Burkina Faso")</f>
        <v>Burkina Faso</v>
      </c>
      <c r="E1045" s="135"/>
      <c r="F1045" s="31"/>
    </row>
    <row r="1046">
      <c r="A1046" s="134" t="str">
        <f>IFERROR(__xludf.DUMMYFUNCTION("""COMPUTED_VALUE"""),"Boghe")</f>
        <v>Boghe</v>
      </c>
      <c r="B1046" s="120" t="str">
        <f>IFERROR(__xludf.DUMMYFUNCTION("""COMPUTED_VALUE"""),"BGH")</f>
        <v>BGH</v>
      </c>
      <c r="C1046" s="120" t="str">
        <f>IFERROR(__xludf.DUMMYFUNCTION("""COMPUTED_VALUE"""),"Abbaye")</f>
        <v>Abbaye</v>
      </c>
      <c r="D1046" s="120" t="str">
        <f>IFERROR(__xludf.DUMMYFUNCTION("""COMPUTED_VALUE"""),"Mauritania")</f>
        <v>Mauritania</v>
      </c>
      <c r="E1046" s="135"/>
      <c r="F1046" s="31"/>
    </row>
    <row r="1047">
      <c r="A1047" s="134" t="str">
        <f>IFERROR(__xludf.DUMMYFUNCTION("""COMPUTED_VALUE"""),"Bogota")</f>
        <v>Bogota</v>
      </c>
      <c r="B1047" s="120" t="str">
        <f>IFERROR(__xludf.DUMMYFUNCTION("""COMPUTED_VALUE"""),"BOG")</f>
        <v>BOG</v>
      </c>
      <c r="C1047" s="120" t="str">
        <f>IFERROR(__xludf.DUMMYFUNCTION("""COMPUTED_VALUE"""),"Eldorado")</f>
        <v>Eldorado</v>
      </c>
      <c r="D1047" s="120" t="str">
        <f>IFERROR(__xludf.DUMMYFUNCTION("""COMPUTED_VALUE"""),"Colombia")</f>
        <v>Colombia</v>
      </c>
      <c r="E1047" s="135"/>
      <c r="F1047" s="31"/>
    </row>
    <row r="1048">
      <c r="A1048" s="134" t="str">
        <f>IFERROR(__xludf.DUMMYFUNCTION("""COMPUTED_VALUE"""),"Boigu Island")</f>
        <v>Boigu Island</v>
      </c>
      <c r="B1048" s="120" t="str">
        <f>IFERROR(__xludf.DUMMYFUNCTION("""COMPUTED_VALUE"""),"GIC")</f>
        <v>GIC</v>
      </c>
      <c r="C1048" s="120" t="str">
        <f>IFERROR(__xludf.DUMMYFUNCTION("""COMPUTED_VALUE"""),"Boigu Island")</f>
        <v>Boigu Island</v>
      </c>
      <c r="D1048" s="120" t="str">
        <f>IFERROR(__xludf.DUMMYFUNCTION("""COMPUTED_VALUE"""),"Australia")</f>
        <v>Australia</v>
      </c>
      <c r="E1048" s="135"/>
      <c r="F1048" s="31"/>
    </row>
    <row r="1049">
      <c r="A1049" s="134" t="str">
        <f>IFERROR(__xludf.DUMMYFUNCTION("""COMPUTED_VALUE"""),"Boise")</f>
        <v>Boise</v>
      </c>
      <c r="B1049" s="120" t="str">
        <f>IFERROR(__xludf.DUMMYFUNCTION("""COMPUTED_VALUE"""),"BOI")</f>
        <v>BOI</v>
      </c>
      <c r="C1049" s="120" t="str">
        <f>IFERROR(__xludf.DUMMYFUNCTION("""COMPUTED_VALUE"""),"Air Term. (Gowen Fld)")</f>
        <v>Air Term. (Gowen Fld)</v>
      </c>
      <c r="D1049" s="120" t="str">
        <f>IFERROR(__xludf.DUMMYFUNCTION("""COMPUTED_VALUE"""),"United States")</f>
        <v>United States</v>
      </c>
      <c r="E1049" s="135"/>
      <c r="F1049" s="31"/>
    </row>
    <row r="1050">
      <c r="A1050" s="134" t="str">
        <f>IFERROR(__xludf.DUMMYFUNCTION("""COMPUTED_VALUE"""),"Bojnord")</f>
        <v>Bojnord</v>
      </c>
      <c r="B1050" s="120" t="str">
        <f>IFERROR(__xludf.DUMMYFUNCTION("""COMPUTED_VALUE"""),"BJB")</f>
        <v>BJB</v>
      </c>
      <c r="C1050" s="120" t="str">
        <f>IFERROR(__xludf.DUMMYFUNCTION("""COMPUTED_VALUE"""),"Bojnord")</f>
        <v>Bojnord</v>
      </c>
      <c r="D1050" s="120" t="str">
        <f>IFERROR(__xludf.DUMMYFUNCTION("""COMPUTED_VALUE"""),"Iran")</f>
        <v>Iran</v>
      </c>
      <c r="E1050" s="135"/>
      <c r="F1050" s="31"/>
    </row>
    <row r="1051">
      <c r="A1051" s="134" t="str">
        <f>IFERROR(__xludf.DUMMYFUNCTION("""COMPUTED_VALUE"""),"Boke")</f>
        <v>Boke</v>
      </c>
      <c r="B1051" s="120" t="str">
        <f>IFERROR(__xludf.DUMMYFUNCTION("""COMPUTED_VALUE"""),"BKJ")</f>
        <v>BKJ</v>
      </c>
      <c r="C1051" s="120" t="str">
        <f>IFERROR(__xludf.DUMMYFUNCTION("""COMPUTED_VALUE"""),"Boke")</f>
        <v>Boke</v>
      </c>
      <c r="D1051" s="120" t="str">
        <f>IFERROR(__xludf.DUMMYFUNCTION("""COMPUTED_VALUE"""),"Guinea")</f>
        <v>Guinea</v>
      </c>
      <c r="E1051" s="135"/>
      <c r="F1051" s="31"/>
    </row>
    <row r="1052">
      <c r="A1052" s="134" t="str">
        <f>IFERROR(__xludf.DUMMYFUNCTION("""COMPUTED_VALUE"""),"Bokondini")</f>
        <v>Bokondini</v>
      </c>
      <c r="B1052" s="120" t="str">
        <f>IFERROR(__xludf.DUMMYFUNCTION("""COMPUTED_VALUE"""),"BUI")</f>
        <v>BUI</v>
      </c>
      <c r="C1052" s="120" t="str">
        <f>IFERROR(__xludf.DUMMYFUNCTION("""COMPUTED_VALUE"""),"Bokondini")</f>
        <v>Bokondini</v>
      </c>
      <c r="D1052" s="120" t="str">
        <f>IFERROR(__xludf.DUMMYFUNCTION("""COMPUTED_VALUE"""),"Indonesia")</f>
        <v>Indonesia</v>
      </c>
      <c r="E1052" s="135"/>
      <c r="F1052" s="31"/>
    </row>
    <row r="1053">
      <c r="A1053" s="134" t="str">
        <f>IFERROR(__xludf.DUMMYFUNCTION("""COMPUTED_VALUE"""),"Bokoro")</f>
        <v>Bokoro</v>
      </c>
      <c r="B1053" s="120" t="str">
        <f>IFERROR(__xludf.DUMMYFUNCTION("""COMPUTED_VALUE"""),"BKR")</f>
        <v>BKR</v>
      </c>
      <c r="C1053" s="120" t="str">
        <f>IFERROR(__xludf.DUMMYFUNCTION("""COMPUTED_VALUE"""),"Bokoro")</f>
        <v>Bokoro</v>
      </c>
      <c r="D1053" s="120" t="str">
        <f>IFERROR(__xludf.DUMMYFUNCTION("""COMPUTED_VALUE"""),"Chad")</f>
        <v>Chad</v>
      </c>
      <c r="E1053" s="135"/>
      <c r="F1053" s="31"/>
    </row>
    <row r="1054">
      <c r="A1054" s="134" t="str">
        <f>IFERROR(__xludf.DUMMYFUNCTION("""COMPUTED_VALUE"""),"Boku")</f>
        <v>Boku</v>
      </c>
      <c r="B1054" s="120" t="str">
        <f>IFERROR(__xludf.DUMMYFUNCTION("""COMPUTED_VALUE"""),"BOQ")</f>
        <v>BOQ</v>
      </c>
      <c r="C1054" s="120" t="str">
        <f>IFERROR(__xludf.DUMMYFUNCTION("""COMPUTED_VALUE"""),"Boku")</f>
        <v>Boku</v>
      </c>
      <c r="D1054" s="120" t="str">
        <f>IFERROR(__xludf.DUMMYFUNCTION("""COMPUTED_VALUE"""),"Papua New Guinea")</f>
        <v>Papua New Guinea</v>
      </c>
      <c r="E1054" s="135"/>
      <c r="F1054" s="31"/>
    </row>
    <row r="1055">
      <c r="A1055" s="134" t="str">
        <f>IFERROR(__xludf.DUMMYFUNCTION("""COMPUTED_VALUE"""),"Bol")</f>
        <v>Bol</v>
      </c>
      <c r="B1055" s="120" t="str">
        <f>IFERROR(__xludf.DUMMYFUNCTION("""COMPUTED_VALUE"""),"BWK")</f>
        <v>BWK</v>
      </c>
      <c r="C1055" s="120" t="str">
        <f>IFERROR(__xludf.DUMMYFUNCTION("""COMPUTED_VALUE"""),"Bol")</f>
        <v>Bol</v>
      </c>
      <c r="D1055" s="120" t="str">
        <f>IFERROR(__xludf.DUMMYFUNCTION("""COMPUTED_VALUE"""),"Croatia")</f>
        <v>Croatia</v>
      </c>
      <c r="E1055" s="135"/>
      <c r="F1055" s="31"/>
    </row>
    <row r="1056">
      <c r="A1056" s="134" t="str">
        <f>IFERROR(__xludf.DUMMYFUNCTION("""COMPUTED_VALUE"""),"Bol")</f>
        <v>Bol</v>
      </c>
      <c r="B1056" s="120" t="str">
        <f>IFERROR(__xludf.DUMMYFUNCTION("""COMPUTED_VALUE"""),"OTC")</f>
        <v>OTC</v>
      </c>
      <c r="C1056" s="120" t="str">
        <f>IFERROR(__xludf.DUMMYFUNCTION("""COMPUTED_VALUE"""),"Bol")</f>
        <v>Bol</v>
      </c>
      <c r="D1056" s="120" t="str">
        <f>IFERROR(__xludf.DUMMYFUNCTION("""COMPUTED_VALUE"""),"Chad")</f>
        <v>Chad</v>
      </c>
      <c r="E1056" s="135"/>
      <c r="F1056" s="31"/>
    </row>
    <row r="1057">
      <c r="A1057" s="134" t="str">
        <f>IFERROR(__xludf.DUMMYFUNCTION("""COMPUTED_VALUE"""),"Bolaang")</f>
        <v>Bolaang</v>
      </c>
      <c r="B1057" s="120" t="str">
        <f>IFERROR(__xludf.DUMMYFUNCTION("""COMPUTED_VALUE"""),"BJG")</f>
        <v>BJG</v>
      </c>
      <c r="C1057" s="120" t="str">
        <f>IFERROR(__xludf.DUMMYFUNCTION("""COMPUTED_VALUE"""),"Bolaang")</f>
        <v>Bolaang</v>
      </c>
      <c r="D1057" s="120" t="str">
        <f>IFERROR(__xludf.DUMMYFUNCTION("""COMPUTED_VALUE"""),"Indonesia")</f>
        <v>Indonesia</v>
      </c>
      <c r="E1057" s="135"/>
      <c r="F1057" s="31"/>
    </row>
    <row r="1058">
      <c r="A1058" s="134" t="str">
        <f>IFERROR(__xludf.DUMMYFUNCTION("""COMPUTED_VALUE"""),"Bollon")</f>
        <v>Bollon</v>
      </c>
      <c r="B1058" s="120" t="str">
        <f>IFERROR(__xludf.DUMMYFUNCTION("""COMPUTED_VALUE"""),"BLS")</f>
        <v>BLS</v>
      </c>
      <c r="C1058" s="120" t="str">
        <f>IFERROR(__xludf.DUMMYFUNCTION("""COMPUTED_VALUE"""),"Bollon")</f>
        <v>Bollon</v>
      </c>
      <c r="D1058" s="120" t="str">
        <f>IFERROR(__xludf.DUMMYFUNCTION("""COMPUTED_VALUE"""),"Australia")</f>
        <v>Australia</v>
      </c>
      <c r="E1058" s="135"/>
      <c r="F1058" s="31"/>
    </row>
    <row r="1059">
      <c r="A1059" s="134" t="str">
        <f>IFERROR(__xludf.DUMMYFUNCTION("""COMPUTED_VALUE"""),"Bologna")</f>
        <v>Bologna</v>
      </c>
      <c r="B1059" s="120" t="str">
        <f>IFERROR(__xludf.DUMMYFUNCTION("""COMPUTED_VALUE"""),"BLQ")</f>
        <v>BLQ</v>
      </c>
      <c r="C1059" s="120" t="str">
        <f>IFERROR(__xludf.DUMMYFUNCTION("""COMPUTED_VALUE"""),"Guglielmo Marconi")</f>
        <v>Guglielmo Marconi</v>
      </c>
      <c r="D1059" s="120" t="str">
        <f>IFERROR(__xludf.DUMMYFUNCTION("""COMPUTED_VALUE"""),"Italy")</f>
        <v>Italy</v>
      </c>
      <c r="E1059" s="135"/>
      <c r="F1059" s="31"/>
    </row>
    <row r="1060">
      <c r="A1060" s="134" t="str">
        <f>IFERROR(__xludf.DUMMYFUNCTION("""COMPUTED_VALUE"""),"Bolovip")</f>
        <v>Bolovip</v>
      </c>
      <c r="B1060" s="120" t="str">
        <f>IFERROR(__xludf.DUMMYFUNCTION("""COMPUTED_VALUE"""),"BVP")</f>
        <v>BVP</v>
      </c>
      <c r="C1060" s="120" t="str">
        <f>IFERROR(__xludf.DUMMYFUNCTION("""COMPUTED_VALUE"""),"Bolovip")</f>
        <v>Bolovip</v>
      </c>
      <c r="D1060" s="120" t="str">
        <f>IFERROR(__xludf.DUMMYFUNCTION("""COMPUTED_VALUE"""),"Papua New Guinea")</f>
        <v>Papua New Guinea</v>
      </c>
      <c r="E1060" s="135"/>
      <c r="F1060" s="31"/>
    </row>
    <row r="1061">
      <c r="A1061" s="134" t="str">
        <f>IFERROR(__xludf.DUMMYFUNCTION("""COMPUTED_VALUE"""),"Bolwarra")</f>
        <v>Bolwarra</v>
      </c>
      <c r="B1061" s="120" t="str">
        <f>IFERROR(__xludf.DUMMYFUNCTION("""COMPUTED_VALUE"""),"BCK")</f>
        <v>BCK</v>
      </c>
      <c r="C1061" s="120" t="str">
        <f>IFERROR(__xludf.DUMMYFUNCTION("""COMPUTED_VALUE"""),"Bolwarra")</f>
        <v>Bolwarra</v>
      </c>
      <c r="D1061" s="120" t="str">
        <f>IFERROR(__xludf.DUMMYFUNCTION("""COMPUTED_VALUE"""),"Australia")</f>
        <v>Australia</v>
      </c>
      <c r="E1061" s="135"/>
      <c r="F1061" s="31"/>
    </row>
    <row r="1062">
      <c r="A1062" s="134" t="str">
        <f>IFERROR(__xludf.DUMMYFUNCTION("""COMPUTED_VALUE"""),"Bolzano")</f>
        <v>Bolzano</v>
      </c>
      <c r="B1062" s="120" t="str">
        <f>IFERROR(__xludf.DUMMYFUNCTION("""COMPUTED_VALUE"""),"BZO")</f>
        <v>BZO</v>
      </c>
      <c r="C1062" s="120" t="str">
        <f>IFERROR(__xludf.DUMMYFUNCTION("""COMPUTED_VALUE"""),"Bolzano")</f>
        <v>Bolzano</v>
      </c>
      <c r="D1062" s="120" t="str">
        <f>IFERROR(__xludf.DUMMYFUNCTION("""COMPUTED_VALUE"""),"Italy")</f>
        <v>Italy</v>
      </c>
      <c r="E1062" s="135"/>
      <c r="F1062" s="31"/>
    </row>
    <row r="1063">
      <c r="A1063" s="134" t="str">
        <f>IFERROR(__xludf.DUMMYFUNCTION("""COMPUTED_VALUE"""),"Bom Jesus Da Lapa")</f>
        <v>Bom Jesus Da Lapa</v>
      </c>
      <c r="B1063" s="120" t="str">
        <f>IFERROR(__xludf.DUMMYFUNCTION("""COMPUTED_VALUE"""),"LAZ")</f>
        <v>LAZ</v>
      </c>
      <c r="C1063" s="120" t="str">
        <f>IFERROR(__xludf.DUMMYFUNCTION("""COMPUTED_VALUE"""),"Bom Jesus Da Lapa")</f>
        <v>Bom Jesus Da Lapa</v>
      </c>
      <c r="D1063" s="120" t="str">
        <f>IFERROR(__xludf.DUMMYFUNCTION("""COMPUTED_VALUE"""),"Brazil")</f>
        <v>Brazil</v>
      </c>
      <c r="E1063" s="135"/>
      <c r="F1063" s="31"/>
    </row>
    <row r="1064">
      <c r="A1064" s="134" t="str">
        <f>IFERROR(__xludf.DUMMYFUNCTION("""COMPUTED_VALUE"""),"Boma")</f>
        <v>Boma</v>
      </c>
      <c r="B1064" s="120" t="str">
        <f>IFERROR(__xludf.DUMMYFUNCTION("""COMPUTED_VALUE"""),"BOA")</f>
        <v>BOA</v>
      </c>
      <c r="C1064" s="120" t="str">
        <f>IFERROR(__xludf.DUMMYFUNCTION("""COMPUTED_VALUE"""),"Boma")</f>
        <v>Boma</v>
      </c>
      <c r="D1064" s="120" t="str">
        <f>IFERROR(__xludf.DUMMYFUNCTION("""COMPUTED_VALUE"""),"Zaire")</f>
        <v>Zaire</v>
      </c>
      <c r="E1064" s="135"/>
      <c r="F1064" s="31"/>
    </row>
    <row r="1065">
      <c r="A1065" s="134" t="str">
        <f>IFERROR(__xludf.DUMMYFUNCTION("""COMPUTED_VALUE"""),"Bomai")</f>
        <v>Bomai</v>
      </c>
      <c r="B1065" s="120" t="str">
        <f>IFERROR(__xludf.DUMMYFUNCTION("""COMPUTED_VALUE"""),"BMH")</f>
        <v>BMH</v>
      </c>
      <c r="C1065" s="120" t="str">
        <f>IFERROR(__xludf.DUMMYFUNCTION("""COMPUTED_VALUE"""),"Bomai")</f>
        <v>Bomai</v>
      </c>
      <c r="D1065" s="120" t="str">
        <f>IFERROR(__xludf.DUMMYFUNCTION("""COMPUTED_VALUE"""),"Papua New Guinea")</f>
        <v>Papua New Guinea</v>
      </c>
      <c r="E1065" s="135"/>
      <c r="F1065" s="31"/>
    </row>
    <row r="1066">
      <c r="A1066" s="134" t="str">
        <f>IFERROR(__xludf.DUMMYFUNCTION("""COMPUTED_VALUE"""),"Bonaire")</f>
        <v>Bonaire</v>
      </c>
      <c r="B1066" s="120" t="str">
        <f>IFERROR(__xludf.DUMMYFUNCTION("""COMPUTED_VALUE"""),"BON")</f>
        <v>BON</v>
      </c>
      <c r="C1066" s="120" t="str">
        <f>IFERROR(__xludf.DUMMYFUNCTION("""COMPUTED_VALUE"""),"Flamingo International")</f>
        <v>Flamingo International</v>
      </c>
      <c r="D1066" s="120" t="str">
        <f>IFERROR(__xludf.DUMMYFUNCTION("""COMPUTED_VALUE"""),"Netherlands Antilles")</f>
        <v>Netherlands Antilles</v>
      </c>
      <c r="E1066" s="135"/>
      <c r="F1066" s="31"/>
    </row>
    <row r="1067">
      <c r="A1067" s="134" t="str">
        <f>IFERROR(__xludf.DUMMYFUNCTION("""COMPUTED_VALUE"""),"Bonanza")</f>
        <v>Bonanza</v>
      </c>
      <c r="B1067" s="120" t="str">
        <f>IFERROR(__xludf.DUMMYFUNCTION("""COMPUTED_VALUE"""),"BZA")</f>
        <v>BZA</v>
      </c>
      <c r="C1067" s="120" t="str">
        <f>IFERROR(__xludf.DUMMYFUNCTION("""COMPUTED_VALUE"""),"San Pedro")</f>
        <v>San Pedro</v>
      </c>
      <c r="D1067" s="120" t="str">
        <f>IFERROR(__xludf.DUMMYFUNCTION("""COMPUTED_VALUE"""),"Nicaragua")</f>
        <v>Nicaragua</v>
      </c>
      <c r="E1067" s="135"/>
      <c r="F1067" s="31"/>
    </row>
    <row r="1068">
      <c r="A1068" s="134" t="str">
        <f>IFERROR(__xludf.DUMMYFUNCTION("""COMPUTED_VALUE"""),"Bonaventure")</f>
        <v>Bonaventure</v>
      </c>
      <c r="B1068" s="120" t="str">
        <f>IFERROR(__xludf.DUMMYFUNCTION("""COMPUTED_VALUE"""),"YVB")</f>
        <v>YVB</v>
      </c>
      <c r="C1068" s="120" t="str">
        <f>IFERROR(__xludf.DUMMYFUNCTION("""COMPUTED_VALUE"""),"Bonaventure")</f>
        <v>Bonaventure</v>
      </c>
      <c r="D1068" s="120" t="str">
        <f>IFERROR(__xludf.DUMMYFUNCTION("""COMPUTED_VALUE"""),"Canada")</f>
        <v>Canada</v>
      </c>
      <c r="E1068" s="135"/>
      <c r="F1068" s="31"/>
    </row>
    <row r="1069">
      <c r="A1069" s="134" t="str">
        <f>IFERROR(__xludf.DUMMYFUNCTION("""COMPUTED_VALUE"""),"Bondoukou")</f>
        <v>Bondoukou</v>
      </c>
      <c r="B1069" s="120" t="str">
        <f>IFERROR(__xludf.DUMMYFUNCTION("""COMPUTED_VALUE"""),"BDK")</f>
        <v>BDK</v>
      </c>
      <c r="C1069" s="120" t="str">
        <f>IFERROR(__xludf.DUMMYFUNCTION("""COMPUTED_VALUE"""),"Bondoukou")</f>
        <v>Bondoukou</v>
      </c>
      <c r="D1069" s="120" t="str">
        <f>IFERROR(__xludf.DUMMYFUNCTION("""COMPUTED_VALUE"""),"Cote D'Ivoire (Ivory Coast)")</f>
        <v>Cote D'Ivoire (Ivory Coast)</v>
      </c>
      <c r="E1069" s="135"/>
      <c r="F1069" s="31"/>
    </row>
    <row r="1070">
      <c r="A1070" s="134" t="str">
        <f>IFERROR(__xludf.DUMMYFUNCTION("""COMPUTED_VALUE"""),"Bongo")</f>
        <v>Bongo</v>
      </c>
      <c r="B1070" s="120" t="str">
        <f>IFERROR(__xludf.DUMMYFUNCTION("""COMPUTED_VALUE"""),"BGP")</f>
        <v>BGP</v>
      </c>
      <c r="C1070" s="120" t="str">
        <f>IFERROR(__xludf.DUMMYFUNCTION("""COMPUTED_VALUE"""),"Bongo")</f>
        <v>Bongo</v>
      </c>
      <c r="D1070" s="120" t="str">
        <f>IFERROR(__xludf.DUMMYFUNCTION("""COMPUTED_VALUE"""),"Gabon")</f>
        <v>Gabon</v>
      </c>
      <c r="E1070" s="135"/>
      <c r="F1070" s="31"/>
    </row>
    <row r="1071">
      <c r="A1071" s="134" t="str">
        <f>IFERROR(__xludf.DUMMYFUNCTION("""COMPUTED_VALUE"""),"Bongor")</f>
        <v>Bongor</v>
      </c>
      <c r="B1071" s="120" t="str">
        <f>IFERROR(__xludf.DUMMYFUNCTION("""COMPUTED_VALUE"""),"OGR")</f>
        <v>OGR</v>
      </c>
      <c r="C1071" s="120" t="str">
        <f>IFERROR(__xludf.DUMMYFUNCTION("""COMPUTED_VALUE"""),"Bongor")</f>
        <v>Bongor</v>
      </c>
      <c r="D1071" s="120" t="str">
        <f>IFERROR(__xludf.DUMMYFUNCTION("""COMPUTED_VALUE"""),"Chad")</f>
        <v>Chad</v>
      </c>
      <c r="E1071" s="135"/>
      <c r="F1071" s="31"/>
    </row>
    <row r="1072">
      <c r="A1072" s="134" t="str">
        <f>IFERROR(__xludf.DUMMYFUNCTION("""COMPUTED_VALUE"""),"Bongouanou")</f>
        <v>Bongouanou</v>
      </c>
      <c r="B1072" s="120" t="str">
        <f>IFERROR(__xludf.DUMMYFUNCTION("""COMPUTED_VALUE"""),"BGG")</f>
        <v>BGG</v>
      </c>
      <c r="C1072" s="120" t="str">
        <f>IFERROR(__xludf.DUMMYFUNCTION("""COMPUTED_VALUE"""),"Bongouanou")</f>
        <v>Bongouanou</v>
      </c>
      <c r="D1072" s="120" t="str">
        <f>IFERROR(__xludf.DUMMYFUNCTION("""COMPUTED_VALUE"""),"Cote D'Ivoire (Ivory Coast)")</f>
        <v>Cote D'Ivoire (Ivory Coast)</v>
      </c>
      <c r="E1072" s="135"/>
      <c r="F1072" s="31"/>
    </row>
    <row r="1073">
      <c r="A1073" s="134" t="str">
        <f>IFERROR(__xludf.DUMMYFUNCTION("""COMPUTED_VALUE"""),"Bonito")</f>
        <v>Bonito</v>
      </c>
      <c r="B1073" s="120" t="str">
        <f>IFERROR(__xludf.DUMMYFUNCTION("""COMPUTED_VALUE"""),"BYO")</f>
        <v>BYO</v>
      </c>
      <c r="C1073" s="120" t="str">
        <f>IFERROR(__xludf.DUMMYFUNCTION("""COMPUTED_VALUE"""),"Bonito Airport")</f>
        <v>Bonito Airport</v>
      </c>
      <c r="D1073" s="120" t="str">
        <f>IFERROR(__xludf.DUMMYFUNCTION("""COMPUTED_VALUE"""),"Brazil")</f>
        <v>Brazil</v>
      </c>
      <c r="E1073" s="135"/>
      <c r="F1073" s="31"/>
    </row>
    <row r="1074">
      <c r="A1074" s="134" t="str">
        <f>IFERROR(__xludf.DUMMYFUNCTION("""COMPUTED_VALUE"""),"Bonnyville")</f>
        <v>Bonnyville</v>
      </c>
      <c r="B1074" s="120" t="str">
        <f>IFERROR(__xludf.DUMMYFUNCTION("""COMPUTED_VALUE"""),"YBY")</f>
        <v>YBY</v>
      </c>
      <c r="C1074" s="120" t="str">
        <f>IFERROR(__xludf.DUMMYFUNCTION("""COMPUTED_VALUE"""),"Bonnyville")</f>
        <v>Bonnyville</v>
      </c>
      <c r="D1074" s="120" t="str">
        <f>IFERROR(__xludf.DUMMYFUNCTION("""COMPUTED_VALUE"""),"Canada")</f>
        <v>Canada</v>
      </c>
      <c r="E1074" s="135"/>
      <c r="F1074" s="31"/>
    </row>
    <row r="1075">
      <c r="A1075" s="134" t="str">
        <f>IFERROR(__xludf.DUMMYFUNCTION("""COMPUTED_VALUE"""),"Bontang")</f>
        <v>Bontang</v>
      </c>
      <c r="B1075" s="120" t="str">
        <f>IFERROR(__xludf.DUMMYFUNCTION("""COMPUTED_VALUE"""),"BXT")</f>
        <v>BXT</v>
      </c>
      <c r="C1075" s="120" t="str">
        <f>IFERROR(__xludf.DUMMYFUNCTION("""COMPUTED_VALUE"""),"Bontang")</f>
        <v>Bontang</v>
      </c>
      <c r="D1075" s="120" t="str">
        <f>IFERROR(__xludf.DUMMYFUNCTION("""COMPUTED_VALUE"""),"Indonesia")</f>
        <v>Indonesia</v>
      </c>
      <c r="E1075" s="135"/>
      <c r="F1075" s="31"/>
    </row>
    <row r="1076">
      <c r="A1076" s="134" t="str">
        <f>IFERROR(__xludf.DUMMYFUNCTION("""COMPUTED_VALUE"""),"Bonthe")</f>
        <v>Bonthe</v>
      </c>
      <c r="B1076" s="120" t="str">
        <f>IFERROR(__xludf.DUMMYFUNCTION("""COMPUTED_VALUE"""),"BTE")</f>
        <v>BTE</v>
      </c>
      <c r="C1076" s="120" t="str">
        <f>IFERROR(__xludf.DUMMYFUNCTION("""COMPUTED_VALUE"""),"Bonthe")</f>
        <v>Bonthe</v>
      </c>
      <c r="D1076" s="120" t="str">
        <f>IFERROR(__xludf.DUMMYFUNCTION("""COMPUTED_VALUE"""),"Sierra Leone")</f>
        <v>Sierra Leone</v>
      </c>
      <c r="E1076" s="135"/>
      <c r="F1076" s="31"/>
    </row>
    <row r="1077">
      <c r="A1077" s="134" t="str">
        <f>IFERROR(__xludf.DUMMYFUNCTION("""COMPUTED_VALUE"""),"Boone")</f>
        <v>Boone</v>
      </c>
      <c r="B1077" s="120" t="str">
        <f>IFERROR(__xludf.DUMMYFUNCTION("""COMPUTED_VALUE"""),"BNW")</f>
        <v>BNW</v>
      </c>
      <c r="C1077" s="120" t="str">
        <f>IFERROR(__xludf.DUMMYFUNCTION("""COMPUTED_VALUE"""),"Boone")</f>
        <v>Boone</v>
      </c>
      <c r="D1077" s="120" t="str">
        <f>IFERROR(__xludf.DUMMYFUNCTION("""COMPUTED_VALUE"""),"United States")</f>
        <v>United States</v>
      </c>
      <c r="E1077" s="135"/>
      <c r="F1077" s="31"/>
    </row>
    <row r="1078">
      <c r="A1078" s="134" t="str">
        <f>IFERROR(__xludf.DUMMYFUNCTION("""COMPUTED_VALUE"""),"Booue")</f>
        <v>Booue</v>
      </c>
      <c r="B1078" s="120" t="str">
        <f>IFERROR(__xludf.DUMMYFUNCTION("""COMPUTED_VALUE"""),"BGB")</f>
        <v>BGB</v>
      </c>
      <c r="C1078" s="120" t="str">
        <f>IFERROR(__xludf.DUMMYFUNCTION("""COMPUTED_VALUE"""),"Booue")</f>
        <v>Booue</v>
      </c>
      <c r="D1078" s="120" t="str">
        <f>IFERROR(__xludf.DUMMYFUNCTION("""COMPUTED_VALUE"""),"Gabon")</f>
        <v>Gabon</v>
      </c>
      <c r="E1078" s="135"/>
      <c r="F1078" s="31"/>
    </row>
    <row r="1079">
      <c r="A1079" s="134" t="str">
        <f>IFERROR(__xludf.DUMMYFUNCTION("""COMPUTED_VALUE"""),"Bora Bora")</f>
        <v>Bora Bora</v>
      </c>
      <c r="B1079" s="120" t="str">
        <f>IFERROR(__xludf.DUMMYFUNCTION("""COMPUTED_VALUE"""),"BOB")</f>
        <v>BOB</v>
      </c>
      <c r="C1079" s="120" t="str">
        <f>IFERROR(__xludf.DUMMYFUNCTION("""COMPUTED_VALUE"""),"Motu-mute")</f>
        <v>Motu-mute</v>
      </c>
      <c r="D1079" s="120" t="str">
        <f>IFERROR(__xludf.DUMMYFUNCTION("""COMPUTED_VALUE"""),"French Polynesia")</f>
        <v>French Polynesia</v>
      </c>
      <c r="E1079" s="135"/>
      <c r="F1079" s="31"/>
    </row>
    <row r="1080">
      <c r="A1080" s="134" t="str">
        <f>IFERROR(__xludf.DUMMYFUNCTION("""COMPUTED_VALUE"""),"Borama")</f>
        <v>Borama</v>
      </c>
      <c r="B1080" s="120" t="str">
        <f>IFERROR(__xludf.DUMMYFUNCTION("""COMPUTED_VALUE"""),"BXX")</f>
        <v>BXX</v>
      </c>
      <c r="C1080" s="120" t="str">
        <f>IFERROR(__xludf.DUMMYFUNCTION("""COMPUTED_VALUE"""),"Borama")</f>
        <v>Borama</v>
      </c>
      <c r="D1080" s="120" t="str">
        <f>IFERROR(__xludf.DUMMYFUNCTION("""COMPUTED_VALUE"""),"Somalia")</f>
        <v>Somalia</v>
      </c>
      <c r="E1080" s="135"/>
      <c r="F1080" s="31"/>
    </row>
    <row r="1081">
      <c r="A1081" s="134" t="str">
        <f>IFERROR(__xludf.DUMMYFUNCTION("""COMPUTED_VALUE"""),"Borba")</f>
        <v>Borba</v>
      </c>
      <c r="B1081" s="120" t="str">
        <f>IFERROR(__xludf.DUMMYFUNCTION("""COMPUTED_VALUE"""),"RBB")</f>
        <v>RBB</v>
      </c>
      <c r="C1081" s="120" t="str">
        <f>IFERROR(__xludf.DUMMYFUNCTION("""COMPUTED_VALUE"""),"Borba")</f>
        <v>Borba</v>
      </c>
      <c r="D1081" s="120" t="str">
        <f>IFERROR(__xludf.DUMMYFUNCTION("""COMPUTED_VALUE"""),"Brazil")</f>
        <v>Brazil</v>
      </c>
      <c r="E1081" s="135"/>
      <c r="F1081" s="31"/>
    </row>
    <row r="1082">
      <c r="A1082" s="134" t="str">
        <f>IFERROR(__xludf.DUMMYFUNCTION("""COMPUTED_VALUE"""),"Bordeaux")</f>
        <v>Bordeaux</v>
      </c>
      <c r="B1082" s="120" t="str">
        <f>IFERROR(__xludf.DUMMYFUNCTION("""COMPUTED_VALUE"""),"BOD")</f>
        <v>BOD</v>
      </c>
      <c r="C1082" s="120" t="str">
        <f>IFERROR(__xludf.DUMMYFUNCTION("""COMPUTED_VALUE"""),"Bordeaux Airport")</f>
        <v>Bordeaux Airport</v>
      </c>
      <c r="D1082" s="120" t="str">
        <f>IFERROR(__xludf.DUMMYFUNCTION("""COMPUTED_VALUE"""),"France")</f>
        <v>France</v>
      </c>
      <c r="E1082" s="135"/>
      <c r="F1082" s="31"/>
    </row>
    <row r="1083">
      <c r="A1083" s="134" t="str">
        <f>IFERROR(__xludf.DUMMYFUNCTION("""COMPUTED_VALUE"""),"Bordeaux")</f>
        <v>Bordeaux</v>
      </c>
      <c r="B1083" s="120" t="str">
        <f>IFERROR(__xludf.DUMMYFUNCTION("""COMPUTED_VALUE"""),"ZFQ")</f>
        <v>ZFQ</v>
      </c>
      <c r="C1083" s="120" t="str">
        <f>IFERROR(__xludf.DUMMYFUNCTION("""COMPUTED_VALUE"""),"Gare de Bordeaux")</f>
        <v>Gare de Bordeaux</v>
      </c>
      <c r="D1083" s="120" t="str">
        <f>IFERROR(__xludf.DUMMYFUNCTION("""COMPUTED_VALUE"""),"France")</f>
        <v>France</v>
      </c>
      <c r="E1083" s="135"/>
      <c r="F1083" s="31"/>
    </row>
    <row r="1084">
      <c r="A1084" s="134" t="str">
        <f>IFERROR(__xludf.DUMMYFUNCTION("""COMPUTED_VALUE"""),"Borden")</f>
        <v>Borden</v>
      </c>
      <c r="B1084" s="120" t="str">
        <f>IFERROR(__xludf.DUMMYFUNCTION("""COMPUTED_VALUE"""),"YBN")</f>
        <v>YBN</v>
      </c>
      <c r="C1084" s="120" t="str">
        <f>IFERROR(__xludf.DUMMYFUNCTION("""COMPUTED_VALUE"""),"Borden")</f>
        <v>Borden</v>
      </c>
      <c r="D1084" s="120" t="str">
        <f>IFERROR(__xludf.DUMMYFUNCTION("""COMPUTED_VALUE"""),"Canada")</f>
        <v>Canada</v>
      </c>
      <c r="E1084" s="135"/>
      <c r="F1084" s="31"/>
    </row>
    <row r="1085">
      <c r="A1085" s="134" t="str">
        <f>IFERROR(__xludf.DUMMYFUNCTION("""COMPUTED_VALUE"""),"Bordj Badji Mokhtar")</f>
        <v>Bordj Badji Mokhtar</v>
      </c>
      <c r="B1085" s="120" t="str">
        <f>IFERROR(__xludf.DUMMYFUNCTION("""COMPUTED_VALUE"""),"BMW")</f>
        <v>BMW</v>
      </c>
      <c r="C1085" s="120" t="str">
        <f>IFERROR(__xludf.DUMMYFUNCTION("""COMPUTED_VALUE"""),"Bordj Badji Mokhtar")</f>
        <v>Bordj Badji Mokhtar</v>
      </c>
      <c r="D1085" s="120" t="str">
        <f>IFERROR(__xludf.DUMMYFUNCTION("""COMPUTED_VALUE"""),"Algeria")</f>
        <v>Algeria</v>
      </c>
      <c r="E1085" s="135"/>
      <c r="F1085" s="31"/>
    </row>
    <row r="1086">
      <c r="A1086" s="134" t="str">
        <f>IFERROR(__xludf.DUMMYFUNCTION("""COMPUTED_VALUE"""),"Borgarfjordur Eystri")</f>
        <v>Borgarfjordur Eystri</v>
      </c>
      <c r="B1086" s="120" t="str">
        <f>IFERROR(__xludf.DUMMYFUNCTION("""COMPUTED_VALUE"""),"BGJ")</f>
        <v>BGJ</v>
      </c>
      <c r="C1086" s="120" t="str">
        <f>IFERROR(__xludf.DUMMYFUNCTION("""COMPUTED_VALUE"""),"Borgarfjordur Eystri")</f>
        <v>Borgarfjordur Eystri</v>
      </c>
      <c r="D1086" s="120" t="str">
        <f>IFERROR(__xludf.DUMMYFUNCTION("""COMPUTED_VALUE"""),"Iceland")</f>
        <v>Iceland</v>
      </c>
      <c r="E1086" s="135"/>
      <c r="F1086" s="31"/>
    </row>
    <row r="1087">
      <c r="A1087" s="134" t="str">
        <f>IFERROR(__xludf.DUMMYFUNCTION("""COMPUTED_VALUE"""),"Borger")</f>
        <v>Borger</v>
      </c>
      <c r="B1087" s="120" t="str">
        <f>IFERROR(__xludf.DUMMYFUNCTION("""COMPUTED_VALUE"""),"BGD")</f>
        <v>BGD</v>
      </c>
      <c r="C1087" s="120" t="str">
        <f>IFERROR(__xludf.DUMMYFUNCTION("""COMPUTED_VALUE"""),"Borger")</f>
        <v>Borger</v>
      </c>
      <c r="D1087" s="120" t="str">
        <f>IFERROR(__xludf.DUMMYFUNCTION("""COMPUTED_VALUE"""),"United States")</f>
        <v>United States</v>
      </c>
      <c r="E1087" s="135"/>
      <c r="F1087" s="31"/>
    </row>
    <row r="1088">
      <c r="A1088" s="134" t="str">
        <f>IFERROR(__xludf.DUMMYFUNCTION("""COMPUTED_VALUE"""),"Boridi")</f>
        <v>Boridi</v>
      </c>
      <c r="B1088" s="120" t="str">
        <f>IFERROR(__xludf.DUMMYFUNCTION("""COMPUTED_VALUE"""),"BPB")</f>
        <v>BPB</v>
      </c>
      <c r="C1088" s="120" t="str">
        <f>IFERROR(__xludf.DUMMYFUNCTION("""COMPUTED_VALUE"""),"Boridi")</f>
        <v>Boridi</v>
      </c>
      <c r="D1088" s="120" t="str">
        <f>IFERROR(__xludf.DUMMYFUNCTION("""COMPUTED_VALUE"""),"Papua New Guinea")</f>
        <v>Papua New Guinea</v>
      </c>
      <c r="E1088" s="135"/>
      <c r="F1088" s="31"/>
    </row>
    <row r="1089">
      <c r="A1089" s="134" t="str">
        <f>IFERROR(__xludf.DUMMYFUNCTION("""COMPUTED_VALUE"""),"Borkum")</f>
        <v>Borkum</v>
      </c>
      <c r="B1089" s="120" t="str">
        <f>IFERROR(__xludf.DUMMYFUNCTION("""COMPUTED_VALUE"""),"BMK")</f>
        <v>BMK</v>
      </c>
      <c r="C1089" s="120" t="str">
        <f>IFERROR(__xludf.DUMMYFUNCTION("""COMPUTED_VALUE"""),"Borkum")</f>
        <v>Borkum</v>
      </c>
      <c r="D1089" s="120" t="str">
        <f>IFERROR(__xludf.DUMMYFUNCTION("""COMPUTED_VALUE"""),"Germany")</f>
        <v>Germany</v>
      </c>
      <c r="E1089" s="135"/>
      <c r="F1089" s="31"/>
    </row>
    <row r="1090">
      <c r="A1090" s="134" t="str">
        <f>IFERROR(__xludf.DUMMYFUNCTION("""COMPUTED_VALUE"""),"Borlange/Falun")</f>
        <v>Borlange/Falun</v>
      </c>
      <c r="B1090" s="120" t="str">
        <f>IFERROR(__xludf.DUMMYFUNCTION("""COMPUTED_VALUE"""),"XYB")</f>
        <v>XYB</v>
      </c>
      <c r="C1090" s="120" t="str">
        <f>IFERROR(__xludf.DUMMYFUNCTION("""COMPUTED_VALUE"""),"Borlange Railway Svc.")</f>
        <v>Borlange Railway Svc.</v>
      </c>
      <c r="D1090" s="120" t="str">
        <f>IFERROR(__xludf.DUMMYFUNCTION("""COMPUTED_VALUE"""),"Sweden")</f>
        <v>Sweden</v>
      </c>
      <c r="E1090" s="135"/>
      <c r="F1090" s="31"/>
    </row>
    <row r="1091">
      <c r="A1091" s="134" t="str">
        <f>IFERROR(__xludf.DUMMYFUNCTION("""COMPUTED_VALUE"""),"Borlange/Falun")</f>
        <v>Borlange/Falun</v>
      </c>
      <c r="B1091" s="120" t="str">
        <f>IFERROR(__xludf.DUMMYFUNCTION("""COMPUTED_VALUE"""),"BLE")</f>
        <v>BLE</v>
      </c>
      <c r="C1091" s="120" t="str">
        <f>IFERROR(__xludf.DUMMYFUNCTION("""COMPUTED_VALUE"""),"Dala")</f>
        <v>Dala</v>
      </c>
      <c r="D1091" s="120" t="str">
        <f>IFERROR(__xludf.DUMMYFUNCTION("""COMPUTED_VALUE"""),"Sweden")</f>
        <v>Sweden</v>
      </c>
      <c r="E1091" s="135"/>
      <c r="F1091" s="31"/>
    </row>
    <row r="1092">
      <c r="A1092" s="134" t="str">
        <f>IFERROR(__xludf.DUMMYFUNCTION("""COMPUTED_VALUE"""),"Bornholm")</f>
        <v>Bornholm</v>
      </c>
      <c r="B1092" s="120" t="str">
        <f>IFERROR(__xludf.DUMMYFUNCTION("""COMPUTED_VALUE"""),"RNN")</f>
        <v>RNN</v>
      </c>
      <c r="C1092" s="120" t="str">
        <f>IFERROR(__xludf.DUMMYFUNCTION("""COMPUTED_VALUE"""),"Bornholm")</f>
        <v>Bornholm</v>
      </c>
      <c r="D1092" s="120" t="str">
        <f>IFERROR(__xludf.DUMMYFUNCTION("""COMPUTED_VALUE"""),"Denmark")</f>
        <v>Denmark</v>
      </c>
      <c r="E1092" s="135"/>
      <c r="F1092" s="31"/>
    </row>
    <row r="1093">
      <c r="A1093" s="134" t="str">
        <f>IFERROR(__xludf.DUMMYFUNCTION("""COMPUTED_VALUE"""),"Bornite")</f>
        <v>Bornite</v>
      </c>
      <c r="B1093" s="120" t="str">
        <f>IFERROR(__xludf.DUMMYFUNCTION("""COMPUTED_VALUE"""),"RLU")</f>
        <v>RLU</v>
      </c>
      <c r="C1093" s="120" t="str">
        <f>IFERROR(__xludf.DUMMYFUNCTION("""COMPUTED_VALUE"""),"Bornite Upper")</f>
        <v>Bornite Upper</v>
      </c>
      <c r="D1093" s="120" t="str">
        <f>IFERROR(__xludf.DUMMYFUNCTION("""COMPUTED_VALUE"""),"United States")</f>
        <v>United States</v>
      </c>
      <c r="E1093" s="135"/>
      <c r="F1093" s="31"/>
    </row>
    <row r="1094">
      <c r="A1094" s="134" t="str">
        <f>IFERROR(__xludf.DUMMYFUNCTION("""COMPUTED_VALUE"""),"Borotou")</f>
        <v>Borotou</v>
      </c>
      <c r="B1094" s="120" t="str">
        <f>IFERROR(__xludf.DUMMYFUNCTION("""COMPUTED_VALUE"""),"BRZ")</f>
        <v>BRZ</v>
      </c>
      <c r="C1094" s="120" t="str">
        <f>IFERROR(__xludf.DUMMYFUNCTION("""COMPUTED_VALUE"""),"Borotou")</f>
        <v>Borotou</v>
      </c>
      <c r="D1094" s="120" t="str">
        <f>IFERROR(__xludf.DUMMYFUNCTION("""COMPUTED_VALUE"""),"Cote D'Ivoire (Ivory Coast)")</f>
        <v>Cote D'Ivoire (Ivory Coast)</v>
      </c>
      <c r="E1094" s="135"/>
      <c r="F1094" s="31"/>
    </row>
    <row r="1095">
      <c r="A1095" s="134" t="str">
        <f>IFERROR(__xludf.DUMMYFUNCTION("""COMPUTED_VALUE"""),"Borrego Springs")</f>
        <v>Borrego Springs</v>
      </c>
      <c r="B1095" s="120" t="str">
        <f>IFERROR(__xludf.DUMMYFUNCTION("""COMPUTED_VALUE"""),"BXS")</f>
        <v>BXS</v>
      </c>
      <c r="C1095" s="120" t="str">
        <f>IFERROR(__xludf.DUMMYFUNCTION("""COMPUTED_VALUE"""),"Borrego Springs")</f>
        <v>Borrego Springs</v>
      </c>
      <c r="D1095" s="120" t="str">
        <f>IFERROR(__xludf.DUMMYFUNCTION("""COMPUTED_VALUE"""),"United States")</f>
        <v>United States</v>
      </c>
      <c r="E1095" s="135"/>
      <c r="F1095" s="31"/>
    </row>
    <row r="1096">
      <c r="A1096" s="134" t="str">
        <f>IFERROR(__xludf.DUMMYFUNCTION("""COMPUTED_VALUE"""),"Borroloola")</f>
        <v>Borroloola</v>
      </c>
      <c r="B1096" s="120" t="str">
        <f>IFERROR(__xludf.DUMMYFUNCTION("""COMPUTED_VALUE"""),"BOX")</f>
        <v>BOX</v>
      </c>
      <c r="C1096" s="120" t="str">
        <f>IFERROR(__xludf.DUMMYFUNCTION("""COMPUTED_VALUE"""),"Borroloola")</f>
        <v>Borroloola</v>
      </c>
      <c r="D1096" s="120" t="str">
        <f>IFERROR(__xludf.DUMMYFUNCTION("""COMPUTED_VALUE"""),"Australia")</f>
        <v>Australia</v>
      </c>
      <c r="E1096" s="135"/>
      <c r="F1096" s="31"/>
    </row>
    <row r="1097">
      <c r="A1097" s="134" t="str">
        <f>IFERROR(__xludf.DUMMYFUNCTION("""COMPUTED_VALUE"""),"Boset")</f>
        <v>Boset</v>
      </c>
      <c r="B1097" s="120" t="str">
        <f>IFERROR(__xludf.DUMMYFUNCTION("""COMPUTED_VALUE"""),"BOT")</f>
        <v>BOT</v>
      </c>
      <c r="C1097" s="120" t="str">
        <f>IFERROR(__xludf.DUMMYFUNCTION("""COMPUTED_VALUE"""),"Boset")</f>
        <v>Boset</v>
      </c>
      <c r="D1097" s="120" t="str">
        <f>IFERROR(__xludf.DUMMYFUNCTION("""COMPUTED_VALUE"""),"Papua New Guinea")</f>
        <v>Papua New Guinea</v>
      </c>
      <c r="E1097" s="135"/>
      <c r="F1097" s="31"/>
    </row>
    <row r="1098">
      <c r="A1098" s="134" t="str">
        <f>IFERROR(__xludf.DUMMYFUNCTION("""COMPUTED_VALUE"""),"Bossangoa")</f>
        <v>Bossangoa</v>
      </c>
      <c r="B1098" s="120" t="str">
        <f>IFERROR(__xludf.DUMMYFUNCTION("""COMPUTED_VALUE"""),"BSN")</f>
        <v>BSN</v>
      </c>
      <c r="C1098" s="120" t="str">
        <f>IFERROR(__xludf.DUMMYFUNCTION("""COMPUTED_VALUE"""),"Bossangoa")</f>
        <v>Bossangoa</v>
      </c>
      <c r="D1098" s="120" t="str">
        <f>IFERROR(__xludf.DUMMYFUNCTION("""COMPUTED_VALUE"""),"Central African Republic")</f>
        <v>Central African Republic</v>
      </c>
      <c r="E1098" s="135"/>
      <c r="F1098" s="31"/>
    </row>
    <row r="1099">
      <c r="A1099" s="134" t="str">
        <f>IFERROR(__xludf.DUMMYFUNCTION("""COMPUTED_VALUE"""),"Bossaso")</f>
        <v>Bossaso</v>
      </c>
      <c r="B1099" s="120" t="str">
        <f>IFERROR(__xludf.DUMMYFUNCTION("""COMPUTED_VALUE"""),"BSA")</f>
        <v>BSA</v>
      </c>
      <c r="C1099" s="120" t="str">
        <f>IFERROR(__xludf.DUMMYFUNCTION("""COMPUTED_VALUE"""),"Bossaso")</f>
        <v>Bossaso</v>
      </c>
      <c r="D1099" s="120" t="str">
        <f>IFERROR(__xludf.DUMMYFUNCTION("""COMPUTED_VALUE"""),"Somalia")</f>
        <v>Somalia</v>
      </c>
      <c r="E1099" s="135"/>
      <c r="F1099" s="31"/>
    </row>
    <row r="1100">
      <c r="A1100" s="134" t="str">
        <f>IFERROR(__xludf.DUMMYFUNCTION("""COMPUTED_VALUE"""),"Bost")</f>
        <v>Bost</v>
      </c>
      <c r="B1100" s="120" t="str">
        <f>IFERROR(__xludf.DUMMYFUNCTION("""COMPUTED_VALUE"""),"BST")</f>
        <v>BST</v>
      </c>
      <c r="C1100" s="120" t="str">
        <f>IFERROR(__xludf.DUMMYFUNCTION("""COMPUTED_VALUE"""),"Bost")</f>
        <v>Bost</v>
      </c>
      <c r="D1100" s="120" t="str">
        <f>IFERROR(__xludf.DUMMYFUNCTION("""COMPUTED_VALUE"""),"Afghanistan")</f>
        <v>Afghanistan</v>
      </c>
      <c r="E1100" s="135"/>
      <c r="F1100" s="31"/>
    </row>
    <row r="1101">
      <c r="A1101" s="134" t="str">
        <f>IFERROR(__xludf.DUMMYFUNCTION("""COMPUTED_VALUE"""),"Boston")</f>
        <v>Boston</v>
      </c>
      <c r="B1101" s="120" t="str">
        <f>IFERROR(__xludf.DUMMYFUNCTION("""COMPUTED_VALUE"""),"ZTY")</f>
        <v>ZTY</v>
      </c>
      <c r="C1101" s="120" t="str">
        <f>IFERROR(__xludf.DUMMYFUNCTION("""COMPUTED_VALUE"""),"Boston BKBAY Rail")</f>
        <v>Boston BKBAY Rail</v>
      </c>
      <c r="D1101" s="120" t="str">
        <f>IFERROR(__xludf.DUMMYFUNCTION("""COMPUTED_VALUE"""),"United States")</f>
        <v>United States</v>
      </c>
      <c r="E1101" s="135"/>
      <c r="F1101" s="31"/>
    </row>
    <row r="1102">
      <c r="A1102" s="134" t="str">
        <f>IFERROR(__xludf.DUMMYFUNCTION("""COMPUTED_VALUE"""),"Boston")</f>
        <v>Boston</v>
      </c>
      <c r="B1102" s="120" t="str">
        <f>IFERROR(__xludf.DUMMYFUNCTION("""COMPUTED_VALUE"""),"JBC")</f>
        <v>JBC</v>
      </c>
      <c r="C1102" s="120" t="str">
        <f>IFERROR(__xludf.DUMMYFUNCTION("""COMPUTED_VALUE"""),"Boston City Heliport")</f>
        <v>Boston City Heliport</v>
      </c>
      <c r="D1102" s="120" t="str">
        <f>IFERROR(__xludf.DUMMYFUNCTION("""COMPUTED_VALUE"""),"United States")</f>
        <v>United States</v>
      </c>
      <c r="E1102" s="135"/>
      <c r="F1102" s="31"/>
    </row>
    <row r="1103">
      <c r="A1103" s="134" t="str">
        <f>IFERROR(__xludf.DUMMYFUNCTION("""COMPUTED_VALUE"""),"Boston")</f>
        <v>Boston</v>
      </c>
      <c r="B1103" s="120" t="str">
        <f>IFERROR(__xludf.DUMMYFUNCTION("""COMPUTED_VALUE"""),"ZRU")</f>
        <v>ZRU</v>
      </c>
      <c r="C1103" s="120" t="str">
        <f>IFERROR(__xludf.DUMMYFUNCTION("""COMPUTED_VALUE"""),"Boston RT128 Rail")</f>
        <v>Boston RT128 Rail</v>
      </c>
      <c r="D1103" s="120" t="str">
        <f>IFERROR(__xludf.DUMMYFUNCTION("""COMPUTED_VALUE"""),"United States")</f>
        <v>United States</v>
      </c>
      <c r="E1103" s="135"/>
      <c r="F1103" s="31"/>
    </row>
    <row r="1104">
      <c r="A1104" s="134" t="str">
        <f>IFERROR(__xludf.DUMMYFUNCTION("""COMPUTED_VALUE"""),"Boston")</f>
        <v>Boston</v>
      </c>
      <c r="B1104" s="120" t="str">
        <f>IFERROR(__xludf.DUMMYFUNCTION("""COMPUTED_VALUE"""),"ZTO")</f>
        <v>ZTO</v>
      </c>
      <c r="C1104" s="120" t="str">
        <f>IFERROR(__xludf.DUMMYFUNCTION("""COMPUTED_VALUE"""),"Boston South Rail")</f>
        <v>Boston South Rail</v>
      </c>
      <c r="D1104" s="120" t="str">
        <f>IFERROR(__xludf.DUMMYFUNCTION("""COMPUTED_VALUE"""),"United States")</f>
        <v>United States</v>
      </c>
      <c r="E1104" s="135"/>
      <c r="F1104" s="31"/>
    </row>
    <row r="1105">
      <c r="A1105" s="134" t="str">
        <f>IFERROR(__xludf.DUMMYFUNCTION("""COMPUTED_VALUE"""),"Boston")</f>
        <v>Boston</v>
      </c>
      <c r="B1105" s="120" t="str">
        <f>IFERROR(__xludf.DUMMYFUNCTION("""COMPUTED_VALUE"""),"BOS")</f>
        <v>BOS</v>
      </c>
      <c r="C1105" s="120" t="str">
        <f>IFERROR(__xludf.DUMMYFUNCTION("""COMPUTED_VALUE"""),"Logan International")</f>
        <v>Logan International</v>
      </c>
      <c r="D1105" s="120" t="str">
        <f>IFERROR(__xludf.DUMMYFUNCTION("""COMPUTED_VALUE"""),"United States")</f>
        <v>United States</v>
      </c>
      <c r="E1105" s="135"/>
      <c r="F1105" s="31"/>
    </row>
    <row r="1106">
      <c r="A1106" s="134" t="str">
        <f>IFERROR(__xludf.DUMMYFUNCTION("""COMPUTED_VALUE"""),"Boswell Bay")</f>
        <v>Boswell Bay</v>
      </c>
      <c r="B1106" s="120" t="str">
        <f>IFERROR(__xludf.DUMMYFUNCTION("""COMPUTED_VALUE"""),"BSW")</f>
        <v>BSW</v>
      </c>
      <c r="C1106" s="120" t="str">
        <f>IFERROR(__xludf.DUMMYFUNCTION("""COMPUTED_VALUE"""),"Boswell Bay")</f>
        <v>Boswell Bay</v>
      </c>
      <c r="D1106" s="120" t="str">
        <f>IFERROR(__xludf.DUMMYFUNCTION("""COMPUTED_VALUE"""),"United States")</f>
        <v>United States</v>
      </c>
      <c r="E1106" s="135"/>
      <c r="F1106" s="31"/>
    </row>
    <row r="1107">
      <c r="A1107" s="134" t="str">
        <f>IFERROR(__xludf.DUMMYFUNCTION("""COMPUTED_VALUE"""),"Botopasie")</f>
        <v>Botopasie</v>
      </c>
      <c r="B1107" s="120" t="str">
        <f>IFERROR(__xludf.DUMMYFUNCTION("""COMPUTED_VALUE"""),"BTO")</f>
        <v>BTO</v>
      </c>
      <c r="C1107" s="120" t="str">
        <f>IFERROR(__xludf.DUMMYFUNCTION("""COMPUTED_VALUE"""),"Botopasie")</f>
        <v>Botopasie</v>
      </c>
      <c r="D1107" s="120" t="str">
        <f>IFERROR(__xludf.DUMMYFUNCTION("""COMPUTED_VALUE"""),"Suriname")</f>
        <v>Suriname</v>
      </c>
      <c r="E1107" s="135"/>
      <c r="F1107" s="31"/>
    </row>
    <row r="1108">
      <c r="A1108" s="134" t="str">
        <f>IFERROR(__xludf.DUMMYFUNCTION("""COMPUTED_VALUE"""),"Bouake")</f>
        <v>Bouake</v>
      </c>
      <c r="B1108" s="120" t="str">
        <f>IFERROR(__xludf.DUMMYFUNCTION("""COMPUTED_VALUE"""),"BYK")</f>
        <v>BYK</v>
      </c>
      <c r="C1108" s="120" t="str">
        <f>IFERROR(__xludf.DUMMYFUNCTION("""COMPUTED_VALUE"""),"Bouake")</f>
        <v>Bouake</v>
      </c>
      <c r="D1108" s="120" t="str">
        <f>IFERROR(__xludf.DUMMYFUNCTION("""COMPUTED_VALUE"""),"Cote D'Ivoire (Ivory Coast)")</f>
        <v>Cote D'Ivoire (Ivory Coast)</v>
      </c>
      <c r="E1108" s="135"/>
      <c r="F1108" s="31"/>
    </row>
    <row r="1109">
      <c r="A1109" s="134" t="str">
        <f>IFERROR(__xludf.DUMMYFUNCTION("""COMPUTED_VALUE"""),"Bouar")</f>
        <v>Bouar</v>
      </c>
      <c r="B1109" s="120" t="str">
        <f>IFERROR(__xludf.DUMMYFUNCTION("""COMPUTED_VALUE"""),"BOP")</f>
        <v>BOP</v>
      </c>
      <c r="C1109" s="120" t="str">
        <f>IFERROR(__xludf.DUMMYFUNCTION("""COMPUTED_VALUE"""),"Bouar")</f>
        <v>Bouar</v>
      </c>
      <c r="D1109" s="120" t="str">
        <f>IFERROR(__xludf.DUMMYFUNCTION("""COMPUTED_VALUE"""),"Central African Republic")</f>
        <v>Central African Republic</v>
      </c>
      <c r="E1109" s="135"/>
      <c r="F1109" s="31"/>
    </row>
    <row r="1110">
      <c r="A1110" s="134" t="str">
        <f>IFERROR(__xludf.DUMMYFUNCTION("""COMPUTED_VALUE"""),"Bouca")</f>
        <v>Bouca</v>
      </c>
      <c r="B1110" s="120" t="str">
        <f>IFERROR(__xludf.DUMMYFUNCTION("""COMPUTED_VALUE"""),"BCF")</f>
        <v>BCF</v>
      </c>
      <c r="C1110" s="120" t="str">
        <f>IFERROR(__xludf.DUMMYFUNCTION("""COMPUTED_VALUE"""),"Bouca")</f>
        <v>Bouca</v>
      </c>
      <c r="D1110" s="120" t="str">
        <f>IFERROR(__xludf.DUMMYFUNCTION("""COMPUTED_VALUE"""),"Central African Republic")</f>
        <v>Central African Republic</v>
      </c>
      <c r="E1110" s="135"/>
      <c r="F1110" s="31"/>
    </row>
    <row r="1111">
      <c r="A1111" s="134" t="str">
        <f>IFERROR(__xludf.DUMMYFUNCTION("""COMPUTED_VALUE"""),"Boulder")</f>
        <v>Boulder</v>
      </c>
      <c r="B1111" s="120" t="str">
        <f>IFERROR(__xludf.DUMMYFUNCTION("""COMPUTED_VALUE"""),"WBI")</f>
        <v>WBI</v>
      </c>
      <c r="C1111" s="120" t="str">
        <f>IFERROR(__xludf.DUMMYFUNCTION("""COMPUTED_VALUE"""),"Broker Inn")</f>
        <v>Broker Inn</v>
      </c>
      <c r="D1111" s="120" t="str">
        <f>IFERROR(__xludf.DUMMYFUNCTION("""COMPUTED_VALUE"""),"United States")</f>
        <v>United States</v>
      </c>
      <c r="E1111" s="135"/>
      <c r="F1111" s="31"/>
    </row>
    <row r="1112">
      <c r="A1112" s="134" t="str">
        <f>IFERROR(__xludf.DUMMYFUNCTION("""COMPUTED_VALUE"""),"Boulder")</f>
        <v>Boulder</v>
      </c>
      <c r="B1112" s="120" t="str">
        <f>IFERROR(__xludf.DUMMYFUNCTION("""COMPUTED_VALUE"""),"WHH")</f>
        <v>WHH</v>
      </c>
      <c r="C1112" s="120" t="str">
        <f>IFERROR(__xludf.DUMMYFUNCTION("""COMPUTED_VALUE"""),"Hiltons Har H")</f>
        <v>Hiltons Har H</v>
      </c>
      <c r="D1112" s="120" t="str">
        <f>IFERROR(__xludf.DUMMYFUNCTION("""COMPUTED_VALUE"""),"United States")</f>
        <v>United States</v>
      </c>
      <c r="E1112" s="135"/>
      <c r="F1112" s="31"/>
    </row>
    <row r="1113">
      <c r="A1113" s="134" t="str">
        <f>IFERROR(__xludf.DUMMYFUNCTION("""COMPUTED_VALUE"""),"Boulder")</f>
        <v>Boulder</v>
      </c>
      <c r="B1113" s="120" t="str">
        <f>IFERROR(__xludf.DUMMYFUNCTION("""COMPUTED_VALUE"""),"WBU")</f>
        <v>WBU</v>
      </c>
      <c r="C1113" s="120" t="str">
        <f>IFERROR(__xludf.DUMMYFUNCTION("""COMPUTED_VALUE"""),"Municipal")</f>
        <v>Municipal</v>
      </c>
      <c r="D1113" s="120" t="str">
        <f>IFERROR(__xludf.DUMMYFUNCTION("""COMPUTED_VALUE"""),"United States")</f>
        <v>United States</v>
      </c>
      <c r="E1113" s="135"/>
      <c r="F1113" s="31"/>
    </row>
    <row r="1114">
      <c r="A1114" s="134" t="str">
        <f>IFERROR(__xludf.DUMMYFUNCTION("""COMPUTED_VALUE"""),"Boulder City")</f>
        <v>Boulder City</v>
      </c>
      <c r="B1114" s="120" t="str">
        <f>IFERROR(__xludf.DUMMYFUNCTION("""COMPUTED_VALUE"""),"BLD")</f>
        <v>BLD</v>
      </c>
      <c r="C1114" s="120" t="str">
        <f>IFERROR(__xludf.DUMMYFUNCTION("""COMPUTED_VALUE"""),"Boulder City")</f>
        <v>Boulder City</v>
      </c>
      <c r="D1114" s="120" t="str">
        <f>IFERROR(__xludf.DUMMYFUNCTION("""COMPUTED_VALUE"""),"United States")</f>
        <v>United States</v>
      </c>
      <c r="E1114" s="135"/>
      <c r="F1114" s="31"/>
    </row>
    <row r="1115">
      <c r="A1115" s="134" t="str">
        <f>IFERROR(__xludf.DUMMYFUNCTION("""COMPUTED_VALUE"""),"Boulia")</f>
        <v>Boulia</v>
      </c>
      <c r="B1115" s="120" t="str">
        <f>IFERROR(__xludf.DUMMYFUNCTION("""COMPUTED_VALUE"""),"BQL")</f>
        <v>BQL</v>
      </c>
      <c r="C1115" s="120" t="str">
        <f>IFERROR(__xludf.DUMMYFUNCTION("""COMPUTED_VALUE"""),"Boulia")</f>
        <v>Boulia</v>
      </c>
      <c r="D1115" s="120" t="str">
        <f>IFERROR(__xludf.DUMMYFUNCTION("""COMPUTED_VALUE"""),"Australia")</f>
        <v>Australia</v>
      </c>
      <c r="E1115" s="135"/>
      <c r="F1115" s="31"/>
    </row>
    <row r="1116">
      <c r="A1116" s="134" t="str">
        <f>IFERROR(__xludf.DUMMYFUNCTION("""COMPUTED_VALUE"""),"Boulsa")</f>
        <v>Boulsa</v>
      </c>
      <c r="B1116" s="120" t="str">
        <f>IFERROR(__xludf.DUMMYFUNCTION("""COMPUTED_VALUE"""),"XBO")</f>
        <v>XBO</v>
      </c>
      <c r="C1116" s="120" t="str">
        <f>IFERROR(__xludf.DUMMYFUNCTION("""COMPUTED_VALUE"""),"Boulsa")</f>
        <v>Boulsa</v>
      </c>
      <c r="D1116" s="120" t="str">
        <f>IFERROR(__xludf.DUMMYFUNCTION("""COMPUTED_VALUE"""),"Burkina Faso")</f>
        <v>Burkina Faso</v>
      </c>
      <c r="E1116" s="135"/>
      <c r="F1116" s="31"/>
    </row>
    <row r="1117">
      <c r="A1117" s="134" t="str">
        <f>IFERROR(__xludf.DUMMYFUNCTION("""COMPUTED_VALUE"""),"Bouna")</f>
        <v>Bouna</v>
      </c>
      <c r="B1117" s="120" t="str">
        <f>IFERROR(__xludf.DUMMYFUNCTION("""COMPUTED_VALUE"""),"BQO")</f>
        <v>BQO</v>
      </c>
      <c r="C1117" s="120" t="str">
        <f>IFERROR(__xludf.DUMMYFUNCTION("""COMPUTED_VALUE"""),"Bouna")</f>
        <v>Bouna</v>
      </c>
      <c r="D1117" s="120" t="str">
        <f>IFERROR(__xludf.DUMMYFUNCTION("""COMPUTED_VALUE"""),"Cote D'Ivoire (Ivory Coast)")</f>
        <v>Cote D'Ivoire (Ivory Coast)</v>
      </c>
      <c r="E1117" s="135"/>
      <c r="F1117" s="31"/>
    </row>
    <row r="1118">
      <c r="A1118" s="134" t="str">
        <f>IFERROR(__xludf.DUMMYFUNCTION("""COMPUTED_VALUE"""),"Boundary")</f>
        <v>Boundary</v>
      </c>
      <c r="B1118" s="120" t="str">
        <f>IFERROR(__xludf.DUMMYFUNCTION("""COMPUTED_VALUE"""),"BYA")</f>
        <v>BYA</v>
      </c>
      <c r="C1118" s="120" t="str">
        <f>IFERROR(__xludf.DUMMYFUNCTION("""COMPUTED_VALUE"""),"Boundary")</f>
        <v>Boundary</v>
      </c>
      <c r="D1118" s="120" t="str">
        <f>IFERROR(__xludf.DUMMYFUNCTION("""COMPUTED_VALUE"""),"United States")</f>
        <v>United States</v>
      </c>
      <c r="E1118" s="135"/>
      <c r="F1118" s="31"/>
    </row>
    <row r="1119">
      <c r="A1119" s="134" t="str">
        <f>IFERROR(__xludf.DUMMYFUNCTION("""COMPUTED_VALUE"""),"Boundiali")</f>
        <v>Boundiali</v>
      </c>
      <c r="B1119" s="120" t="str">
        <f>IFERROR(__xludf.DUMMYFUNCTION("""COMPUTED_VALUE"""),"BXI")</f>
        <v>BXI</v>
      </c>
      <c r="C1119" s="120" t="str">
        <f>IFERROR(__xludf.DUMMYFUNCTION("""COMPUTED_VALUE"""),"Boundiali")</f>
        <v>Boundiali</v>
      </c>
      <c r="D1119" s="120" t="str">
        <f>IFERROR(__xludf.DUMMYFUNCTION("""COMPUTED_VALUE"""),"Cote D'Ivoire (Ivory Coast)")</f>
        <v>Cote D'Ivoire (Ivory Coast)</v>
      </c>
      <c r="E1119" s="135"/>
      <c r="F1119" s="31"/>
    </row>
    <row r="1120">
      <c r="A1120" s="134" t="str">
        <f>IFERROR(__xludf.DUMMYFUNCTION("""COMPUTED_VALUE"""),"Boundji")</f>
        <v>Boundji</v>
      </c>
      <c r="B1120" s="120" t="str">
        <f>IFERROR(__xludf.DUMMYFUNCTION("""COMPUTED_VALUE"""),"BOE")</f>
        <v>BOE</v>
      </c>
      <c r="C1120" s="120" t="str">
        <f>IFERROR(__xludf.DUMMYFUNCTION("""COMPUTED_VALUE"""),"Boundji")</f>
        <v>Boundji</v>
      </c>
      <c r="D1120" s="120" t="str">
        <f>IFERROR(__xludf.DUMMYFUNCTION("""COMPUTED_VALUE"""),"Congo")</f>
        <v>Congo</v>
      </c>
      <c r="E1120" s="135"/>
      <c r="F1120" s="31"/>
    </row>
    <row r="1121">
      <c r="A1121" s="134" t="str">
        <f>IFERROR(__xludf.DUMMYFUNCTION("""COMPUTED_VALUE"""),"Bountiful")</f>
        <v>Bountiful</v>
      </c>
      <c r="B1121" s="120" t="str">
        <f>IFERROR(__xludf.DUMMYFUNCTION("""COMPUTED_VALUE"""),"BTF")</f>
        <v>BTF</v>
      </c>
      <c r="C1121" s="120" t="str">
        <f>IFERROR(__xludf.DUMMYFUNCTION("""COMPUTED_VALUE"""),"Salt Lake Skypark")</f>
        <v>Salt Lake Skypark</v>
      </c>
      <c r="D1121" s="120" t="str">
        <f>IFERROR(__xludf.DUMMYFUNCTION("""COMPUTED_VALUE"""),"United States")</f>
        <v>United States</v>
      </c>
      <c r="E1121" s="135"/>
      <c r="F1121" s="31"/>
    </row>
    <row r="1122">
      <c r="A1122" s="134" t="str">
        <f>IFERROR(__xludf.DUMMYFUNCTION("""COMPUTED_VALUE"""),"Bourgas")</f>
        <v>Bourgas</v>
      </c>
      <c r="B1122" s="120" t="str">
        <f>IFERROR(__xludf.DUMMYFUNCTION("""COMPUTED_VALUE"""),"BOJ")</f>
        <v>BOJ</v>
      </c>
      <c r="C1122" s="120" t="str">
        <f>IFERROR(__xludf.DUMMYFUNCTION("""COMPUTED_VALUE"""),"Bourgas")</f>
        <v>Bourgas</v>
      </c>
      <c r="D1122" s="120" t="str">
        <f>IFERROR(__xludf.DUMMYFUNCTION("""COMPUTED_VALUE"""),"Bulgaria")</f>
        <v>Bulgaria</v>
      </c>
      <c r="E1122" s="135"/>
      <c r="F1122" s="31"/>
    </row>
    <row r="1123">
      <c r="A1123" s="134" t="str">
        <f>IFERROR(__xludf.DUMMYFUNCTION("""COMPUTED_VALUE"""),"Bourges")</f>
        <v>Bourges</v>
      </c>
      <c r="B1123" s="120" t="str">
        <f>IFERROR(__xludf.DUMMYFUNCTION("""COMPUTED_VALUE"""),"BOU")</f>
        <v>BOU</v>
      </c>
      <c r="C1123" s="120" t="str">
        <f>IFERROR(__xludf.DUMMYFUNCTION("""COMPUTED_VALUE"""),"Bourges")</f>
        <v>Bourges</v>
      </c>
      <c r="D1123" s="120" t="str">
        <f>IFERROR(__xludf.DUMMYFUNCTION("""COMPUTED_VALUE"""),"France")</f>
        <v>France</v>
      </c>
      <c r="E1123" s="135"/>
      <c r="F1123" s="31"/>
    </row>
    <row r="1124">
      <c r="A1124" s="134" t="str">
        <f>IFERROR(__xludf.DUMMYFUNCTION("""COMPUTED_VALUE"""),"Bourke")</f>
        <v>Bourke</v>
      </c>
      <c r="B1124" s="120" t="str">
        <f>IFERROR(__xludf.DUMMYFUNCTION("""COMPUTED_VALUE"""),"BRK")</f>
        <v>BRK</v>
      </c>
      <c r="C1124" s="120" t="str">
        <f>IFERROR(__xludf.DUMMYFUNCTION("""COMPUTED_VALUE"""),"Bourke")</f>
        <v>Bourke</v>
      </c>
      <c r="D1124" s="120" t="str">
        <f>IFERROR(__xludf.DUMMYFUNCTION("""COMPUTED_VALUE"""),"Australia")</f>
        <v>Australia</v>
      </c>
      <c r="E1124" s="135"/>
      <c r="F1124" s="31"/>
    </row>
    <row r="1125">
      <c r="A1125" s="134" t="str">
        <f>IFERROR(__xludf.DUMMYFUNCTION("""COMPUTED_VALUE"""),"Bournemouth")</f>
        <v>Bournemouth</v>
      </c>
      <c r="B1125" s="120" t="str">
        <f>IFERROR(__xludf.DUMMYFUNCTION("""COMPUTED_VALUE"""),"BOH")</f>
        <v>BOH</v>
      </c>
      <c r="C1125" s="120" t="str">
        <f>IFERROR(__xludf.DUMMYFUNCTION("""COMPUTED_VALUE"""),"Bournemouth International")</f>
        <v>Bournemouth International</v>
      </c>
      <c r="D1125" s="120" t="str">
        <f>IFERROR(__xludf.DUMMYFUNCTION("""COMPUTED_VALUE"""),"United Kingdom")</f>
        <v>United Kingdom</v>
      </c>
      <c r="E1125" s="135"/>
      <c r="F1125" s="31"/>
    </row>
    <row r="1126">
      <c r="A1126" s="134" t="str">
        <f>IFERROR(__xludf.DUMMYFUNCTION("""COMPUTED_VALUE"""),"Boussaada")</f>
        <v>Boussaada</v>
      </c>
      <c r="B1126" s="120" t="str">
        <f>IFERROR(__xludf.DUMMYFUNCTION("""COMPUTED_VALUE"""),"BUJ")</f>
        <v>BUJ</v>
      </c>
      <c r="C1126" s="120" t="str">
        <f>IFERROR(__xludf.DUMMYFUNCTION("""COMPUTED_VALUE"""),"Ain Eddis")</f>
        <v>Ain Eddis</v>
      </c>
      <c r="D1126" s="120" t="str">
        <f>IFERROR(__xludf.DUMMYFUNCTION("""COMPUTED_VALUE"""),"Algeria")</f>
        <v>Algeria</v>
      </c>
      <c r="E1126" s="135"/>
      <c r="F1126" s="31"/>
    </row>
    <row r="1127">
      <c r="A1127" s="134" t="str">
        <f>IFERROR(__xludf.DUMMYFUNCTION("""COMPUTED_VALUE"""),"Bousso")</f>
        <v>Bousso</v>
      </c>
      <c r="B1127" s="120" t="str">
        <f>IFERROR(__xludf.DUMMYFUNCTION("""COMPUTED_VALUE"""),"OUT")</f>
        <v>OUT</v>
      </c>
      <c r="C1127" s="120" t="str">
        <f>IFERROR(__xludf.DUMMYFUNCTION("""COMPUTED_VALUE"""),"Bousso")</f>
        <v>Bousso</v>
      </c>
      <c r="D1127" s="120" t="str">
        <f>IFERROR(__xludf.DUMMYFUNCTION("""COMPUTED_VALUE"""),"Chad")</f>
        <v>Chad</v>
      </c>
      <c r="E1127" s="135"/>
      <c r="F1127" s="31"/>
    </row>
    <row r="1128">
      <c r="A1128" s="134" t="str">
        <f>IFERROR(__xludf.DUMMYFUNCTION("""COMPUTED_VALUE"""),"Boutilimit")</f>
        <v>Boutilimit</v>
      </c>
      <c r="B1128" s="120" t="str">
        <f>IFERROR(__xludf.DUMMYFUNCTION("""COMPUTED_VALUE"""),"OTL")</f>
        <v>OTL</v>
      </c>
      <c r="C1128" s="120" t="str">
        <f>IFERROR(__xludf.DUMMYFUNCTION("""COMPUTED_VALUE"""),"Boutilimit")</f>
        <v>Boutilimit</v>
      </c>
      <c r="D1128" s="120" t="str">
        <f>IFERROR(__xludf.DUMMYFUNCTION("""COMPUTED_VALUE"""),"Mauritania")</f>
        <v>Mauritania</v>
      </c>
      <c r="E1128" s="135"/>
      <c r="F1128" s="31"/>
    </row>
    <row r="1129">
      <c r="A1129" s="134" t="str">
        <f>IFERROR(__xludf.DUMMYFUNCTION("""COMPUTED_VALUE"""),"Bowen")</f>
        <v>Bowen</v>
      </c>
      <c r="B1129" s="120" t="str">
        <f>IFERROR(__xludf.DUMMYFUNCTION("""COMPUTED_VALUE"""),"ZBO")</f>
        <v>ZBO</v>
      </c>
      <c r="C1129" s="120" t="str">
        <f>IFERROR(__xludf.DUMMYFUNCTION("""COMPUTED_VALUE"""),"Bowen")</f>
        <v>Bowen</v>
      </c>
      <c r="D1129" s="120" t="str">
        <f>IFERROR(__xludf.DUMMYFUNCTION("""COMPUTED_VALUE"""),"Australia")</f>
        <v>Australia</v>
      </c>
      <c r="E1129" s="135"/>
      <c r="F1129" s="31"/>
    </row>
    <row r="1130">
      <c r="A1130" s="134" t="str">
        <f>IFERROR(__xludf.DUMMYFUNCTION("""COMPUTED_VALUE"""),"Bowling Green")</f>
        <v>Bowling Green</v>
      </c>
      <c r="B1130" s="120" t="str">
        <f>IFERROR(__xludf.DUMMYFUNCTION("""COMPUTED_VALUE"""),"BWG")</f>
        <v>BWG</v>
      </c>
      <c r="C1130" s="120" t="str">
        <f>IFERROR(__xludf.DUMMYFUNCTION("""COMPUTED_VALUE"""),"Warren County")</f>
        <v>Warren County</v>
      </c>
      <c r="D1130" s="120" t="str">
        <f>IFERROR(__xludf.DUMMYFUNCTION("""COMPUTED_VALUE"""),"United States")</f>
        <v>United States</v>
      </c>
      <c r="E1130" s="135"/>
      <c r="F1130" s="31"/>
    </row>
    <row r="1131">
      <c r="A1131" s="134" t="str">
        <f>IFERROR(__xludf.DUMMYFUNCTION("""COMPUTED_VALUE"""),"Bowling Green")</f>
        <v>Bowling Green</v>
      </c>
      <c r="B1131" s="120" t="str">
        <f>IFERROR(__xludf.DUMMYFUNCTION("""COMPUTED_VALUE"""),"APH")</f>
        <v>APH</v>
      </c>
      <c r="C1131" s="120" t="str">
        <f>IFERROR(__xludf.DUMMYFUNCTION("""COMPUTED_VALUE"""),"Camp A P Hill")</f>
        <v>Camp A P Hill</v>
      </c>
      <c r="D1131" s="120" t="str">
        <f>IFERROR(__xludf.DUMMYFUNCTION("""COMPUTED_VALUE"""),"United States")</f>
        <v>United States</v>
      </c>
      <c r="E1131" s="135"/>
      <c r="F1131" s="31"/>
    </row>
    <row r="1132">
      <c r="A1132" s="134" t="str">
        <f>IFERROR(__xludf.DUMMYFUNCTION("""COMPUTED_VALUE"""),"Bowman")</f>
        <v>Bowman</v>
      </c>
      <c r="B1132" s="120" t="str">
        <f>IFERROR(__xludf.DUMMYFUNCTION("""COMPUTED_VALUE"""),"BWM")</f>
        <v>BWM</v>
      </c>
      <c r="C1132" s="120" t="str">
        <f>IFERROR(__xludf.DUMMYFUNCTION("""COMPUTED_VALUE"""),"Bowman")</f>
        <v>Bowman</v>
      </c>
      <c r="D1132" s="120" t="str">
        <f>IFERROR(__xludf.DUMMYFUNCTION("""COMPUTED_VALUE"""),"United States")</f>
        <v>United States</v>
      </c>
      <c r="E1132" s="135"/>
      <c r="F1132" s="31"/>
    </row>
    <row r="1133">
      <c r="A1133" s="134" t="str">
        <f>IFERROR(__xludf.DUMMYFUNCTION("""COMPUTED_VALUE"""),"Boxborough")</f>
        <v>Boxborough</v>
      </c>
      <c r="B1133" s="120" t="str">
        <f>IFERROR(__xludf.DUMMYFUNCTION("""COMPUTED_VALUE"""),"BXC")</f>
        <v>BXC</v>
      </c>
      <c r="C1133" s="120" t="str">
        <f>IFERROR(__xludf.DUMMYFUNCTION("""COMPUTED_VALUE"""),"Boxborough")</f>
        <v>Boxborough</v>
      </c>
      <c r="D1133" s="120" t="str">
        <f>IFERROR(__xludf.DUMMYFUNCTION("""COMPUTED_VALUE"""),"United States")</f>
        <v>United States</v>
      </c>
      <c r="E1133" s="135"/>
      <c r="F1133" s="31"/>
    </row>
    <row r="1134">
      <c r="A1134" s="134" t="str">
        <f>IFERROR(__xludf.DUMMYFUNCTION("""COMPUTED_VALUE"""),"Bozeman")</f>
        <v>Bozeman</v>
      </c>
      <c r="B1134" s="120" t="str">
        <f>IFERROR(__xludf.DUMMYFUNCTION("""COMPUTED_VALUE"""),"BZN")</f>
        <v>BZN</v>
      </c>
      <c r="C1134" s="120" t="str">
        <f>IFERROR(__xludf.DUMMYFUNCTION("""COMPUTED_VALUE"""),"Gallatin Field")</f>
        <v>Gallatin Field</v>
      </c>
      <c r="D1134" s="120" t="str">
        <f>IFERROR(__xludf.DUMMYFUNCTION("""COMPUTED_VALUE"""),"United States")</f>
        <v>United States</v>
      </c>
      <c r="E1134" s="135"/>
      <c r="F1134" s="31"/>
    </row>
    <row r="1135">
      <c r="A1135" s="134" t="str">
        <f>IFERROR(__xludf.DUMMYFUNCTION("""COMPUTED_VALUE"""),"Bozen")</f>
        <v>Bozen</v>
      </c>
      <c r="B1135" s="120" t="str">
        <f>IFERROR(__xludf.DUMMYFUNCTION("""COMPUTED_VALUE"""),"ZBN")</f>
        <v>ZBN</v>
      </c>
      <c r="C1135" s="120" t="str">
        <f>IFERROR(__xludf.DUMMYFUNCTION("""COMPUTED_VALUE"""),"Bus Station")</f>
        <v>Bus Station</v>
      </c>
      <c r="D1135" s="120" t="str">
        <f>IFERROR(__xludf.DUMMYFUNCTION("""COMPUTED_VALUE"""),"Italy")</f>
        <v>Italy</v>
      </c>
      <c r="E1135" s="135"/>
      <c r="F1135" s="31"/>
    </row>
    <row r="1136">
      <c r="A1136" s="134" t="str">
        <f>IFERROR(__xludf.DUMMYFUNCTION("""COMPUTED_VALUE"""),"Bozoum")</f>
        <v>Bozoum</v>
      </c>
      <c r="B1136" s="120" t="str">
        <f>IFERROR(__xludf.DUMMYFUNCTION("""COMPUTED_VALUE"""),"BOZ")</f>
        <v>BOZ</v>
      </c>
      <c r="C1136" s="120" t="str">
        <f>IFERROR(__xludf.DUMMYFUNCTION("""COMPUTED_VALUE"""),"Bozoum")</f>
        <v>Bozoum</v>
      </c>
      <c r="D1136" s="120" t="str">
        <f>IFERROR(__xludf.DUMMYFUNCTION("""COMPUTED_VALUE"""),"Central African Republic")</f>
        <v>Central African Republic</v>
      </c>
      <c r="E1136" s="135"/>
      <c r="F1136" s="31"/>
    </row>
    <row r="1137">
      <c r="A1137" s="134" t="str">
        <f>IFERROR(__xludf.DUMMYFUNCTION("""COMPUTED_VALUE"""),"Brack")</f>
        <v>Brack</v>
      </c>
      <c r="B1137" s="120" t="str">
        <f>IFERROR(__xludf.DUMMYFUNCTION("""COMPUTED_VALUE"""),"BCQ")</f>
        <v>BCQ</v>
      </c>
      <c r="C1137" s="120" t="str">
        <f>IFERROR(__xludf.DUMMYFUNCTION("""COMPUTED_VALUE"""),"Brack")</f>
        <v>Brack</v>
      </c>
      <c r="D1137" s="120" t="str">
        <f>IFERROR(__xludf.DUMMYFUNCTION("""COMPUTED_VALUE"""),"Libya")</f>
        <v>Libya</v>
      </c>
      <c r="E1137" s="135"/>
      <c r="F1137" s="31"/>
    </row>
    <row r="1138">
      <c r="A1138" s="134" t="str">
        <f>IFERROR(__xludf.DUMMYFUNCTION("""COMPUTED_VALUE"""),"Bradford")</f>
        <v>Bradford</v>
      </c>
      <c r="B1138" s="120" t="str">
        <f>IFERROR(__xludf.DUMMYFUNCTION("""COMPUTED_VALUE"""),"BRF")</f>
        <v>BRF</v>
      </c>
      <c r="C1138" s="120" t="str">
        <f>IFERROR(__xludf.DUMMYFUNCTION("""COMPUTED_VALUE"""),"Bradford")</f>
        <v>Bradford</v>
      </c>
      <c r="D1138" s="120" t="str">
        <f>IFERROR(__xludf.DUMMYFUNCTION("""COMPUTED_VALUE"""),"United Kingdom")</f>
        <v>United Kingdom</v>
      </c>
      <c r="E1138" s="135"/>
      <c r="F1138" s="31"/>
    </row>
    <row r="1139">
      <c r="A1139" s="134" t="str">
        <f>IFERROR(__xludf.DUMMYFUNCTION("""COMPUTED_VALUE"""),"Bradford")</f>
        <v>Bradford</v>
      </c>
      <c r="B1139" s="120" t="str">
        <f>IFERROR(__xludf.DUMMYFUNCTION("""COMPUTED_VALUE"""),"ZFC")</f>
        <v>ZFC</v>
      </c>
      <c r="C1139" s="120" t="str">
        <f>IFERROR(__xludf.DUMMYFUNCTION("""COMPUTED_VALUE"""),"Bus Station")</f>
        <v>Bus Station</v>
      </c>
      <c r="D1139" s="120" t="str">
        <f>IFERROR(__xludf.DUMMYFUNCTION("""COMPUTED_VALUE"""),"United Kingdom")</f>
        <v>United Kingdom</v>
      </c>
      <c r="E1139" s="135"/>
      <c r="F1139" s="31"/>
    </row>
    <row r="1140">
      <c r="A1140" s="134" t="str">
        <f>IFERROR(__xludf.DUMMYFUNCTION("""COMPUTED_VALUE"""),"Bradford")</f>
        <v>Bradford</v>
      </c>
      <c r="B1140" s="120" t="str">
        <f>IFERROR(__xludf.DUMMYFUNCTION("""COMPUTED_VALUE"""),"BDF")</f>
        <v>BDF</v>
      </c>
      <c r="C1140" s="120" t="str">
        <f>IFERROR(__xludf.DUMMYFUNCTION("""COMPUTED_VALUE"""),"Rinkenberger")</f>
        <v>Rinkenberger</v>
      </c>
      <c r="D1140" s="120" t="str">
        <f>IFERROR(__xludf.DUMMYFUNCTION("""COMPUTED_VALUE"""),"United States")</f>
        <v>United States</v>
      </c>
      <c r="E1140" s="135"/>
      <c r="F1140" s="31"/>
    </row>
    <row r="1141">
      <c r="A1141" s="134" t="str">
        <f>IFERROR(__xludf.DUMMYFUNCTION("""COMPUTED_VALUE"""),"Bradford")</f>
        <v>Bradford</v>
      </c>
      <c r="B1141" s="120" t="str">
        <f>IFERROR(__xludf.DUMMYFUNCTION("""COMPUTED_VALUE"""),"BFD")</f>
        <v>BFD</v>
      </c>
      <c r="C1141" s="120" t="str">
        <f>IFERROR(__xludf.DUMMYFUNCTION("""COMPUTED_VALUE"""),"Bradford")</f>
        <v>Bradford</v>
      </c>
      <c r="D1141" s="120" t="str">
        <f>IFERROR(__xludf.DUMMYFUNCTION("""COMPUTED_VALUE"""),"United States")</f>
        <v>United States</v>
      </c>
      <c r="E1141" s="135"/>
      <c r="F1141" s="31"/>
    </row>
    <row r="1142">
      <c r="A1142" s="134" t="str">
        <f>IFERROR(__xludf.DUMMYFUNCTION("""COMPUTED_VALUE"""),"Brady")</f>
        <v>Brady</v>
      </c>
      <c r="B1142" s="120" t="str">
        <f>IFERROR(__xludf.DUMMYFUNCTION("""COMPUTED_VALUE"""),"BBD")</f>
        <v>BBD</v>
      </c>
      <c r="C1142" s="120" t="str">
        <f>IFERROR(__xludf.DUMMYFUNCTION("""COMPUTED_VALUE"""),"Curtis Field")</f>
        <v>Curtis Field</v>
      </c>
      <c r="D1142" s="120" t="str">
        <f>IFERROR(__xludf.DUMMYFUNCTION("""COMPUTED_VALUE"""),"United States")</f>
        <v>United States</v>
      </c>
      <c r="E1142" s="135"/>
      <c r="F1142" s="31"/>
    </row>
    <row r="1143">
      <c r="A1143" s="134" t="str">
        <f>IFERROR(__xludf.DUMMYFUNCTION("""COMPUTED_VALUE"""),"Braga")</f>
        <v>Braga</v>
      </c>
      <c r="B1143" s="120" t="str">
        <f>IFERROR(__xludf.DUMMYFUNCTION("""COMPUTED_VALUE"""),"BGZ")</f>
        <v>BGZ</v>
      </c>
      <c r="C1143" s="120" t="str">
        <f>IFERROR(__xludf.DUMMYFUNCTION("""COMPUTED_VALUE"""),"Braga")</f>
        <v>Braga</v>
      </c>
      <c r="D1143" s="120" t="str">
        <f>IFERROR(__xludf.DUMMYFUNCTION("""COMPUTED_VALUE"""),"Portugal")</f>
        <v>Portugal</v>
      </c>
      <c r="E1143" s="135"/>
      <c r="F1143" s="31"/>
    </row>
    <row r="1144">
      <c r="A1144" s="134" t="str">
        <f>IFERROR(__xludf.DUMMYFUNCTION("""COMPUTED_VALUE"""),"Braganca")</f>
        <v>Braganca</v>
      </c>
      <c r="B1144" s="120" t="str">
        <f>IFERROR(__xludf.DUMMYFUNCTION("""COMPUTED_VALUE"""),"BGC")</f>
        <v>BGC</v>
      </c>
      <c r="C1144" s="120" t="str">
        <f>IFERROR(__xludf.DUMMYFUNCTION("""COMPUTED_VALUE"""),"Braganca")</f>
        <v>Braganca</v>
      </c>
      <c r="D1144" s="120" t="str">
        <f>IFERROR(__xludf.DUMMYFUNCTION("""COMPUTED_VALUE"""),"Portugal")</f>
        <v>Portugal</v>
      </c>
      <c r="E1144" s="135"/>
      <c r="F1144" s="31"/>
    </row>
    <row r="1145">
      <c r="A1145" s="134" t="str">
        <f>IFERROR(__xludf.DUMMYFUNCTION("""COMPUTED_VALUE"""),"Braganca Paulista")</f>
        <v>Braganca Paulista</v>
      </c>
      <c r="B1145" s="120" t="str">
        <f>IFERROR(__xludf.DUMMYFUNCTION("""COMPUTED_VALUE"""),"BJP")</f>
        <v>BJP</v>
      </c>
      <c r="C1145" s="120" t="str">
        <f>IFERROR(__xludf.DUMMYFUNCTION("""COMPUTED_VALUE"""),"Braganca Paulista")</f>
        <v>Braganca Paulista</v>
      </c>
      <c r="D1145" s="120" t="str">
        <f>IFERROR(__xludf.DUMMYFUNCTION("""COMPUTED_VALUE"""),"Brazil")</f>
        <v>Brazil</v>
      </c>
      <c r="E1145" s="135"/>
      <c r="F1145" s="31"/>
    </row>
    <row r="1146">
      <c r="A1146" s="134" t="str">
        <f>IFERROR(__xludf.DUMMYFUNCTION("""COMPUTED_VALUE"""),"Brahman")</f>
        <v>Brahman</v>
      </c>
      <c r="B1146" s="120" t="str">
        <f>IFERROR(__xludf.DUMMYFUNCTION("""COMPUTED_VALUE"""),"BRH")</f>
        <v>BRH</v>
      </c>
      <c r="C1146" s="120" t="str">
        <f>IFERROR(__xludf.DUMMYFUNCTION("""COMPUTED_VALUE"""),"Brahman")</f>
        <v>Brahman</v>
      </c>
      <c r="D1146" s="120" t="str">
        <f>IFERROR(__xludf.DUMMYFUNCTION("""COMPUTED_VALUE"""),"Papua New Guinea")</f>
        <v>Papua New Guinea</v>
      </c>
      <c r="E1146" s="135"/>
      <c r="F1146" s="31"/>
    </row>
    <row r="1147">
      <c r="A1147" s="134" t="str">
        <f>IFERROR(__xludf.DUMMYFUNCTION("""COMPUTED_VALUE"""),"Brainerd")</f>
        <v>Brainerd</v>
      </c>
      <c r="B1147" s="120" t="str">
        <f>IFERROR(__xludf.DUMMYFUNCTION("""COMPUTED_VALUE"""),"BRD")</f>
        <v>BRD</v>
      </c>
      <c r="C1147" s="120" t="str">
        <f>IFERROR(__xludf.DUMMYFUNCTION("""COMPUTED_VALUE"""),"Crow Wing County")</f>
        <v>Crow Wing County</v>
      </c>
      <c r="D1147" s="120" t="str">
        <f>IFERROR(__xludf.DUMMYFUNCTION("""COMPUTED_VALUE"""),"United States")</f>
        <v>United States</v>
      </c>
      <c r="E1147" s="135"/>
      <c r="F1147" s="31"/>
    </row>
    <row r="1148">
      <c r="A1148" s="134" t="str">
        <f>IFERROR(__xludf.DUMMYFUNCTION("""COMPUTED_VALUE"""),"Braintree")</f>
        <v>Braintree</v>
      </c>
      <c r="B1148" s="120" t="str">
        <f>IFERROR(__xludf.DUMMYFUNCTION("""COMPUTED_VALUE"""),"WXF")</f>
        <v>WXF</v>
      </c>
      <c r="C1148" s="120" t="str">
        <f>IFERROR(__xludf.DUMMYFUNCTION("""COMPUTED_VALUE"""),"Wether Fld RAF")</f>
        <v>Wether Fld RAF</v>
      </c>
      <c r="D1148" s="120" t="str">
        <f>IFERROR(__xludf.DUMMYFUNCTION("""COMPUTED_VALUE"""),"United Kingdom")</f>
        <v>United Kingdom</v>
      </c>
      <c r="E1148" s="135"/>
      <c r="F1148" s="31"/>
    </row>
    <row r="1149">
      <c r="A1149" s="134" t="str">
        <f>IFERROR(__xludf.DUMMYFUNCTION("""COMPUTED_VALUE"""),"Brampton Island")</f>
        <v>Brampton Island</v>
      </c>
      <c r="B1149" s="120" t="str">
        <f>IFERROR(__xludf.DUMMYFUNCTION("""COMPUTED_VALUE"""),"BMP")</f>
        <v>BMP</v>
      </c>
      <c r="C1149" s="120" t="str">
        <f>IFERROR(__xludf.DUMMYFUNCTION("""COMPUTED_VALUE"""),"Brampton Island")</f>
        <v>Brampton Island</v>
      </c>
      <c r="D1149" s="120" t="str">
        <f>IFERROR(__xludf.DUMMYFUNCTION("""COMPUTED_VALUE"""),"Australia")</f>
        <v>Australia</v>
      </c>
      <c r="E1149" s="135"/>
      <c r="F1149" s="31"/>
    </row>
    <row r="1150">
      <c r="A1150" s="134" t="str">
        <f>IFERROR(__xludf.DUMMYFUNCTION("""COMPUTED_VALUE"""),"Brandon")</f>
        <v>Brandon</v>
      </c>
      <c r="B1150" s="120" t="str">
        <f>IFERROR(__xludf.DUMMYFUNCTION("""COMPUTED_VALUE"""),"LKZ")</f>
        <v>LKZ</v>
      </c>
      <c r="C1150" s="120" t="str">
        <f>IFERROR(__xludf.DUMMYFUNCTION("""COMPUTED_VALUE"""),"Lakenheath RAF")</f>
        <v>Lakenheath RAF</v>
      </c>
      <c r="D1150" s="120" t="str">
        <f>IFERROR(__xludf.DUMMYFUNCTION("""COMPUTED_VALUE"""),"United Kingdom")</f>
        <v>United Kingdom</v>
      </c>
      <c r="E1150" s="135"/>
      <c r="F1150" s="31"/>
    </row>
    <row r="1151">
      <c r="A1151" s="134" t="str">
        <f>IFERROR(__xludf.DUMMYFUNCTION("""COMPUTED_VALUE"""),"Brandon")</f>
        <v>Brandon</v>
      </c>
      <c r="B1151" s="120" t="str">
        <f>IFERROR(__xludf.DUMMYFUNCTION("""COMPUTED_VALUE"""),"YBR")</f>
        <v>YBR</v>
      </c>
      <c r="C1151" s="120" t="str">
        <f>IFERROR(__xludf.DUMMYFUNCTION("""COMPUTED_VALUE"""),"Brandon")</f>
        <v>Brandon</v>
      </c>
      <c r="D1151" s="120" t="str">
        <f>IFERROR(__xludf.DUMMYFUNCTION("""COMPUTED_VALUE"""),"Canada")</f>
        <v>Canada</v>
      </c>
      <c r="E1151" s="135"/>
      <c r="F1151" s="31"/>
    </row>
    <row r="1152">
      <c r="A1152" s="134" t="str">
        <f>IFERROR(__xludf.DUMMYFUNCTION("""COMPUTED_VALUE"""),"Branson/Point Lookout")</f>
        <v>Branson/Point Lookout</v>
      </c>
      <c r="B1152" s="120" t="str">
        <f>IFERROR(__xludf.DUMMYFUNCTION("""COMPUTED_VALUE"""),"PLK")</f>
        <v>PLK</v>
      </c>
      <c r="C1152" s="120" t="str">
        <f>IFERROR(__xludf.DUMMYFUNCTION("""COMPUTED_VALUE"""),"M Graham Clark")</f>
        <v>M Graham Clark</v>
      </c>
      <c r="D1152" s="120" t="str">
        <f>IFERROR(__xludf.DUMMYFUNCTION("""COMPUTED_VALUE"""),"United States")</f>
        <v>United States</v>
      </c>
      <c r="E1152" s="135"/>
      <c r="F1152" s="31"/>
    </row>
    <row r="1153">
      <c r="A1153" s="134" t="str">
        <f>IFERROR(__xludf.DUMMYFUNCTION("""COMPUTED_VALUE"""),"Brasilia")</f>
        <v>Brasilia</v>
      </c>
      <c r="B1153" s="120" t="str">
        <f>IFERROR(__xludf.DUMMYFUNCTION("""COMPUTED_VALUE"""),"BSB")</f>
        <v>BSB</v>
      </c>
      <c r="C1153" s="120" t="str">
        <f>IFERROR(__xludf.DUMMYFUNCTION("""COMPUTED_VALUE"""),"Presidente Juscelino Kubitschek International Airport")</f>
        <v>Presidente Juscelino Kubitschek International Airport</v>
      </c>
      <c r="D1153" s="120" t="str">
        <f>IFERROR(__xludf.DUMMYFUNCTION("""COMPUTED_VALUE"""),"Brazil")</f>
        <v>Brazil</v>
      </c>
      <c r="E1153" s="135"/>
      <c r="F1153" s="31"/>
    </row>
    <row r="1154">
      <c r="A1154" s="134" t="str">
        <f>IFERROR(__xludf.DUMMYFUNCTION("""COMPUTED_VALUE"""),"Bratislava")</f>
        <v>Bratislava</v>
      </c>
      <c r="B1154" s="120" t="str">
        <f>IFERROR(__xludf.DUMMYFUNCTION("""COMPUTED_VALUE"""),"BTS")</f>
        <v>BTS</v>
      </c>
      <c r="C1154" s="120" t="str">
        <f>IFERROR(__xludf.DUMMYFUNCTION("""COMPUTED_VALUE"""),"Ivanka")</f>
        <v>Ivanka</v>
      </c>
      <c r="D1154" s="120" t="str">
        <f>IFERROR(__xludf.DUMMYFUNCTION("""COMPUTED_VALUE"""),"Slovakia")</f>
        <v>Slovakia</v>
      </c>
      <c r="E1154" s="135"/>
      <c r="F1154" s="31"/>
    </row>
    <row r="1155">
      <c r="A1155" s="134" t="str">
        <f>IFERROR(__xludf.DUMMYFUNCTION("""COMPUTED_VALUE"""),"Bratsk")</f>
        <v>Bratsk</v>
      </c>
      <c r="B1155" s="120" t="str">
        <f>IFERROR(__xludf.DUMMYFUNCTION("""COMPUTED_VALUE"""),"BTK")</f>
        <v>BTK</v>
      </c>
      <c r="C1155" s="120" t="str">
        <f>IFERROR(__xludf.DUMMYFUNCTION("""COMPUTED_VALUE"""),"Bratsk")</f>
        <v>Bratsk</v>
      </c>
      <c r="D1155" s="120" t="str">
        <f>IFERROR(__xludf.DUMMYFUNCTION("""COMPUTED_VALUE"""),"Russia")</f>
        <v>Russia</v>
      </c>
      <c r="E1155" s="135"/>
      <c r="F1155" s="31"/>
    </row>
    <row r="1156">
      <c r="A1156" s="134" t="str">
        <f>IFERROR(__xludf.DUMMYFUNCTION("""COMPUTED_VALUE"""),"Braunschweig")</f>
        <v>Braunschweig</v>
      </c>
      <c r="B1156" s="120" t="str">
        <f>IFERROR(__xludf.DUMMYFUNCTION("""COMPUTED_VALUE"""),"BWE")</f>
        <v>BWE</v>
      </c>
      <c r="C1156" s="120" t="str">
        <f>IFERROR(__xludf.DUMMYFUNCTION("""COMPUTED_VALUE"""),"Braunschweig")</f>
        <v>Braunschweig</v>
      </c>
      <c r="D1156" s="120" t="str">
        <f>IFERROR(__xludf.DUMMYFUNCTION("""COMPUTED_VALUE"""),"Germany")</f>
        <v>Germany</v>
      </c>
      <c r="E1156" s="135"/>
      <c r="F1156" s="31"/>
    </row>
    <row r="1157">
      <c r="A1157" s="134" t="str">
        <f>IFERROR(__xludf.DUMMYFUNCTION("""COMPUTED_VALUE"""),"Brava")</f>
        <v>Brava</v>
      </c>
      <c r="B1157" s="120" t="str">
        <f>IFERROR(__xludf.DUMMYFUNCTION("""COMPUTED_VALUE"""),"BVR")</f>
        <v>BVR</v>
      </c>
      <c r="C1157" s="120" t="str">
        <f>IFERROR(__xludf.DUMMYFUNCTION("""COMPUTED_VALUE"""),"Esperadinha")</f>
        <v>Esperadinha</v>
      </c>
      <c r="D1157" s="120" t="str">
        <f>IFERROR(__xludf.DUMMYFUNCTION("""COMPUTED_VALUE"""),"Cape Verde")</f>
        <v>Cape Verde</v>
      </c>
      <c r="E1157" s="135"/>
      <c r="F1157" s="31"/>
    </row>
    <row r="1158">
      <c r="A1158" s="134" t="str">
        <f>IFERROR(__xludf.DUMMYFUNCTION("""COMPUTED_VALUE"""),"Brawley")</f>
        <v>Brawley</v>
      </c>
      <c r="B1158" s="120" t="str">
        <f>IFERROR(__xludf.DUMMYFUNCTION("""COMPUTED_VALUE"""),"BWC")</f>
        <v>BWC</v>
      </c>
      <c r="C1158" s="120" t="str">
        <f>IFERROR(__xludf.DUMMYFUNCTION("""COMPUTED_VALUE"""),"Brawley")</f>
        <v>Brawley</v>
      </c>
      <c r="D1158" s="120" t="str">
        <f>IFERROR(__xludf.DUMMYFUNCTION("""COMPUTED_VALUE"""),"United States")</f>
        <v>United States</v>
      </c>
      <c r="E1158" s="135"/>
      <c r="F1158" s="31"/>
    </row>
    <row r="1159">
      <c r="A1159" s="134" t="str">
        <f>IFERROR(__xludf.DUMMYFUNCTION("""COMPUTED_VALUE"""),"Brazoria")</f>
        <v>Brazoria</v>
      </c>
      <c r="B1159" s="120" t="str">
        <f>IFERROR(__xludf.DUMMYFUNCTION("""COMPUTED_VALUE"""),"BZT")</f>
        <v>BZT</v>
      </c>
      <c r="C1159" s="120" t="str">
        <f>IFERROR(__xludf.DUMMYFUNCTION("""COMPUTED_VALUE"""),"Hinkles Ferry")</f>
        <v>Hinkles Ferry</v>
      </c>
      <c r="D1159" s="120" t="str">
        <f>IFERROR(__xludf.DUMMYFUNCTION("""COMPUTED_VALUE"""),"United States")</f>
        <v>United States</v>
      </c>
      <c r="E1159" s="135"/>
      <c r="F1159" s="31"/>
    </row>
    <row r="1160">
      <c r="A1160" s="134" t="str">
        <f>IFERROR(__xludf.DUMMYFUNCTION("""COMPUTED_VALUE"""),"Brazzaville")</f>
        <v>Brazzaville</v>
      </c>
      <c r="B1160" s="120" t="str">
        <f>IFERROR(__xludf.DUMMYFUNCTION("""COMPUTED_VALUE"""),"BZV")</f>
        <v>BZV</v>
      </c>
      <c r="C1160" s="120" t="str">
        <f>IFERROR(__xludf.DUMMYFUNCTION("""COMPUTED_VALUE"""),"Maya Maya")</f>
        <v>Maya Maya</v>
      </c>
      <c r="D1160" s="120" t="str">
        <f>IFERROR(__xludf.DUMMYFUNCTION("""COMPUTED_VALUE"""),"Congo")</f>
        <v>Congo</v>
      </c>
      <c r="E1160" s="135"/>
      <c r="F1160" s="31"/>
    </row>
    <row r="1161">
      <c r="A1161" s="134" t="str">
        <f>IFERROR(__xludf.DUMMYFUNCTION("""COMPUTED_VALUE"""),"Breckenridge")</f>
        <v>Breckenridge</v>
      </c>
      <c r="B1161" s="120" t="str">
        <f>IFERROR(__xludf.DUMMYFUNCTION("""COMPUTED_VALUE"""),"QKB")</f>
        <v>QKB</v>
      </c>
      <c r="C1161" s="120" t="str">
        <f>IFERROR(__xludf.DUMMYFUNCTION("""COMPUTED_VALUE"""),"Van Service")</f>
        <v>Van Service</v>
      </c>
      <c r="D1161" s="120" t="str">
        <f>IFERROR(__xludf.DUMMYFUNCTION("""COMPUTED_VALUE"""),"United States")</f>
        <v>United States</v>
      </c>
      <c r="E1161" s="135"/>
      <c r="F1161" s="31"/>
    </row>
    <row r="1162">
      <c r="A1162" s="134" t="str">
        <f>IFERROR(__xludf.DUMMYFUNCTION("""COMPUTED_VALUE"""),"Breckenridge")</f>
        <v>Breckenridge</v>
      </c>
      <c r="B1162" s="120" t="str">
        <f>IFERROR(__xludf.DUMMYFUNCTION("""COMPUTED_VALUE"""),"BKD")</f>
        <v>BKD</v>
      </c>
      <c r="C1162" s="120" t="str">
        <f>IFERROR(__xludf.DUMMYFUNCTION("""COMPUTED_VALUE"""),"Stephens County")</f>
        <v>Stephens County</v>
      </c>
      <c r="D1162" s="120" t="str">
        <f>IFERROR(__xludf.DUMMYFUNCTION("""COMPUTED_VALUE"""),"United States")</f>
        <v>United States</v>
      </c>
      <c r="E1162" s="135"/>
      <c r="F1162" s="31"/>
    </row>
    <row r="1163">
      <c r="A1163" s="134" t="str">
        <f>IFERROR(__xludf.DUMMYFUNCTION("""COMPUTED_VALUE"""),"Breda")</f>
        <v>Breda</v>
      </c>
      <c r="B1163" s="120" t="str">
        <f>IFERROR(__xludf.DUMMYFUNCTION("""COMPUTED_VALUE"""),"GLZ")</f>
        <v>GLZ</v>
      </c>
      <c r="C1163" s="120" t="str">
        <f>IFERROR(__xludf.DUMMYFUNCTION("""COMPUTED_VALUE"""),"Gilze-Rijen")</f>
        <v>Gilze-Rijen</v>
      </c>
      <c r="D1163" s="120" t="str">
        <f>IFERROR(__xludf.DUMMYFUNCTION("""COMPUTED_VALUE"""),"Netherlands")</f>
        <v>Netherlands</v>
      </c>
      <c r="E1163" s="135"/>
      <c r="F1163" s="31"/>
    </row>
    <row r="1164">
      <c r="A1164" s="134" t="str">
        <f>IFERROR(__xludf.DUMMYFUNCTION("""COMPUTED_VALUE"""),"Bregenz")</f>
        <v>Bregenz</v>
      </c>
      <c r="B1164" s="120" t="str">
        <f>IFERROR(__xludf.DUMMYFUNCTION("""COMPUTED_VALUE"""),"XGZ")</f>
        <v>XGZ</v>
      </c>
      <c r="C1164" s="120" t="str">
        <f>IFERROR(__xludf.DUMMYFUNCTION("""COMPUTED_VALUE"""),"Railway Station")</f>
        <v>Railway Station</v>
      </c>
      <c r="D1164" s="120" t="str">
        <f>IFERROR(__xludf.DUMMYFUNCTION("""COMPUTED_VALUE"""),"Austria")</f>
        <v>Austria</v>
      </c>
      <c r="E1164" s="135"/>
      <c r="F1164" s="31"/>
    </row>
    <row r="1165">
      <c r="A1165" s="134" t="str">
        <f>IFERROR(__xludf.DUMMYFUNCTION("""COMPUTED_VALUE"""),"Breiddalsvik")</f>
        <v>Breiddalsvik</v>
      </c>
      <c r="B1165" s="120" t="str">
        <f>IFERROR(__xludf.DUMMYFUNCTION("""COMPUTED_VALUE"""),"BXV")</f>
        <v>BXV</v>
      </c>
      <c r="C1165" s="120" t="str">
        <f>IFERROR(__xludf.DUMMYFUNCTION("""COMPUTED_VALUE"""),"Breiddalsvik")</f>
        <v>Breiddalsvik</v>
      </c>
      <c r="D1165" s="120" t="str">
        <f>IFERROR(__xludf.DUMMYFUNCTION("""COMPUTED_VALUE"""),"Iceland")</f>
        <v>Iceland</v>
      </c>
      <c r="E1165" s="135"/>
      <c r="F1165" s="31"/>
    </row>
    <row r="1166">
      <c r="A1166" s="134" t="str">
        <f>IFERROR(__xludf.DUMMYFUNCTION("""COMPUTED_VALUE"""),"Bremen")</f>
        <v>Bremen</v>
      </c>
      <c r="B1166" s="120" t="str">
        <f>IFERROR(__xludf.DUMMYFUNCTION("""COMPUTED_VALUE"""),"BRE")</f>
        <v>BRE</v>
      </c>
      <c r="C1166" s="120" t="str">
        <f>IFERROR(__xludf.DUMMYFUNCTION("""COMPUTED_VALUE"""),"Bremen")</f>
        <v>Bremen</v>
      </c>
      <c r="D1166" s="120" t="str">
        <f>IFERROR(__xludf.DUMMYFUNCTION("""COMPUTED_VALUE"""),"Germany")</f>
        <v>Germany</v>
      </c>
      <c r="E1166" s="135"/>
      <c r="F1166" s="31"/>
    </row>
    <row r="1167">
      <c r="A1167" s="134" t="str">
        <f>IFERROR(__xludf.DUMMYFUNCTION("""COMPUTED_VALUE"""),"Bremerhaven")</f>
        <v>Bremerhaven</v>
      </c>
      <c r="B1167" s="120" t="str">
        <f>IFERROR(__xludf.DUMMYFUNCTION("""COMPUTED_VALUE"""),"BRV")</f>
        <v>BRV</v>
      </c>
      <c r="C1167" s="120" t="str">
        <f>IFERROR(__xludf.DUMMYFUNCTION("""COMPUTED_VALUE"""),"Bremerhaven")</f>
        <v>Bremerhaven</v>
      </c>
      <c r="D1167" s="120" t="str">
        <f>IFERROR(__xludf.DUMMYFUNCTION("""COMPUTED_VALUE"""),"Germany")</f>
        <v>Germany</v>
      </c>
      <c r="E1167" s="135"/>
      <c r="F1167" s="31"/>
    </row>
    <row r="1168">
      <c r="A1168" s="134" t="str">
        <f>IFERROR(__xludf.DUMMYFUNCTION("""COMPUTED_VALUE"""),"Bremerton")</f>
        <v>Bremerton</v>
      </c>
      <c r="B1168" s="120" t="str">
        <f>IFERROR(__xludf.DUMMYFUNCTION("""COMPUTED_VALUE"""),"PWT")</f>
        <v>PWT</v>
      </c>
      <c r="C1168" s="120" t="str">
        <f>IFERROR(__xludf.DUMMYFUNCTION("""COMPUTED_VALUE"""),"Bremerton")</f>
        <v>Bremerton</v>
      </c>
      <c r="D1168" s="120" t="str">
        <f>IFERROR(__xludf.DUMMYFUNCTION("""COMPUTED_VALUE"""),"United States")</f>
        <v>United States</v>
      </c>
      <c r="E1168" s="135"/>
      <c r="F1168" s="31"/>
    </row>
    <row r="1169">
      <c r="A1169" s="134" t="str">
        <f>IFERROR(__xludf.DUMMYFUNCTION("""COMPUTED_VALUE"""),"Brest")</f>
        <v>Brest</v>
      </c>
      <c r="B1169" s="120" t="str">
        <f>IFERROR(__xludf.DUMMYFUNCTION("""COMPUTED_VALUE"""),"BQT")</f>
        <v>BQT</v>
      </c>
      <c r="C1169" s="120" t="str">
        <f>IFERROR(__xludf.DUMMYFUNCTION("""COMPUTED_VALUE"""),"Brest")</f>
        <v>Brest</v>
      </c>
      <c r="D1169" s="120" t="str">
        <f>IFERROR(__xludf.DUMMYFUNCTION("""COMPUTED_VALUE"""),"Belarus")</f>
        <v>Belarus</v>
      </c>
      <c r="E1169" s="135"/>
      <c r="F1169" s="31"/>
    </row>
    <row r="1170">
      <c r="A1170" s="134" t="str">
        <f>IFERROR(__xludf.DUMMYFUNCTION("""COMPUTED_VALUE"""),"Brest")</f>
        <v>Brest</v>
      </c>
      <c r="B1170" s="120" t="str">
        <f>IFERROR(__xludf.DUMMYFUNCTION("""COMPUTED_VALUE"""),"BES")</f>
        <v>BES</v>
      </c>
      <c r="C1170" s="120" t="str">
        <f>IFERROR(__xludf.DUMMYFUNCTION("""COMPUTED_VALUE"""),"Guipavas")</f>
        <v>Guipavas</v>
      </c>
      <c r="D1170" s="120" t="str">
        <f>IFERROR(__xludf.DUMMYFUNCTION("""COMPUTED_VALUE"""),"France")</f>
        <v>France</v>
      </c>
      <c r="E1170" s="135"/>
      <c r="F1170" s="31"/>
    </row>
    <row r="1171">
      <c r="A1171" s="134" t="str">
        <f>IFERROR(__xludf.DUMMYFUNCTION("""COMPUTED_VALUE"""),"Breves")</f>
        <v>Breves</v>
      </c>
      <c r="B1171" s="120" t="str">
        <f>IFERROR(__xludf.DUMMYFUNCTION("""COMPUTED_VALUE"""),"BVS")</f>
        <v>BVS</v>
      </c>
      <c r="C1171" s="120" t="str">
        <f>IFERROR(__xludf.DUMMYFUNCTION("""COMPUTED_VALUE"""),"Breves")</f>
        <v>Breves</v>
      </c>
      <c r="D1171" s="120" t="str">
        <f>IFERROR(__xludf.DUMMYFUNCTION("""COMPUTED_VALUE"""),"Brazil")</f>
        <v>Brazil</v>
      </c>
      <c r="E1171" s="135"/>
      <c r="F1171" s="31"/>
    </row>
    <row r="1172">
      <c r="A1172" s="134" t="str">
        <f>IFERROR(__xludf.DUMMYFUNCTION("""COMPUTED_VALUE"""),"Brewarrina")</f>
        <v>Brewarrina</v>
      </c>
      <c r="B1172" s="120" t="str">
        <f>IFERROR(__xludf.DUMMYFUNCTION("""COMPUTED_VALUE"""),"BWQ")</f>
        <v>BWQ</v>
      </c>
      <c r="C1172" s="120" t="str">
        <f>IFERROR(__xludf.DUMMYFUNCTION("""COMPUTED_VALUE"""),"Brewarrina")</f>
        <v>Brewarrina</v>
      </c>
      <c r="D1172" s="120" t="str">
        <f>IFERROR(__xludf.DUMMYFUNCTION("""COMPUTED_VALUE"""),"Australia")</f>
        <v>Australia</v>
      </c>
      <c r="E1172" s="135"/>
      <c r="F1172" s="31"/>
    </row>
    <row r="1173">
      <c r="A1173" s="134" t="str">
        <f>IFERROR(__xludf.DUMMYFUNCTION("""COMPUTED_VALUE"""),"Bria")</f>
        <v>Bria</v>
      </c>
      <c r="B1173" s="120" t="str">
        <f>IFERROR(__xludf.DUMMYFUNCTION("""COMPUTED_VALUE"""),"BIV")</f>
        <v>BIV</v>
      </c>
      <c r="C1173" s="120" t="str">
        <f>IFERROR(__xludf.DUMMYFUNCTION("""COMPUTED_VALUE"""),"Bria")</f>
        <v>Bria</v>
      </c>
      <c r="D1173" s="120" t="str">
        <f>IFERROR(__xludf.DUMMYFUNCTION("""COMPUTED_VALUE"""),"Central African Republic")</f>
        <v>Central African Republic</v>
      </c>
      <c r="E1173" s="135"/>
      <c r="F1173" s="31"/>
    </row>
    <row r="1174">
      <c r="A1174" s="134" t="str">
        <f>IFERROR(__xludf.DUMMYFUNCTION("""COMPUTED_VALUE"""),"Briansk")</f>
        <v>Briansk</v>
      </c>
      <c r="B1174" s="120" t="str">
        <f>IFERROR(__xludf.DUMMYFUNCTION("""COMPUTED_VALUE"""),"BZK")</f>
        <v>BZK</v>
      </c>
      <c r="C1174" s="120" t="str">
        <f>IFERROR(__xludf.DUMMYFUNCTION("""COMPUTED_VALUE"""),"Briansk")</f>
        <v>Briansk</v>
      </c>
      <c r="D1174" s="120" t="str">
        <f>IFERROR(__xludf.DUMMYFUNCTION("""COMPUTED_VALUE"""),"Russia")</f>
        <v>Russia</v>
      </c>
      <c r="E1174" s="135"/>
      <c r="F1174" s="31"/>
    </row>
    <row r="1175">
      <c r="A1175" s="134" t="str">
        <f>IFERROR(__xludf.DUMMYFUNCTION("""COMPUTED_VALUE"""),"Bridgeport")</f>
        <v>Bridgeport</v>
      </c>
      <c r="B1175" s="120" t="str">
        <f>IFERROR(__xludf.DUMMYFUNCTION("""COMPUTED_VALUE"""),"BDR")</f>
        <v>BDR</v>
      </c>
      <c r="C1175" s="120" t="str">
        <f>IFERROR(__xludf.DUMMYFUNCTION("""COMPUTED_VALUE"""),"Igor I. Sikorsky Mem.")</f>
        <v>Igor I. Sikorsky Mem.</v>
      </c>
      <c r="D1175" s="120" t="str">
        <f>IFERROR(__xludf.DUMMYFUNCTION("""COMPUTED_VALUE"""),"United States")</f>
        <v>United States</v>
      </c>
      <c r="E1175" s="135"/>
      <c r="F1175" s="31"/>
    </row>
    <row r="1176">
      <c r="A1176" s="134" t="str">
        <f>IFERROR(__xludf.DUMMYFUNCTION("""COMPUTED_VALUE"""),"Bridgetown")</f>
        <v>Bridgetown</v>
      </c>
      <c r="B1176" s="120" t="str">
        <f>IFERROR(__xludf.DUMMYFUNCTION("""COMPUTED_VALUE"""),"BGI")</f>
        <v>BGI</v>
      </c>
      <c r="C1176" s="120" t="str">
        <f>IFERROR(__xludf.DUMMYFUNCTION("""COMPUTED_VALUE"""),"Grantley Adams Intl")</f>
        <v>Grantley Adams Intl</v>
      </c>
      <c r="D1176" s="120" t="str">
        <f>IFERROR(__xludf.DUMMYFUNCTION("""COMPUTED_VALUE"""),"Barbados")</f>
        <v>Barbados</v>
      </c>
      <c r="E1176" s="135"/>
      <c r="F1176" s="31"/>
    </row>
    <row r="1177">
      <c r="A1177" s="134" t="str">
        <f>IFERROR(__xludf.DUMMYFUNCTION("""COMPUTED_VALUE"""),"Brigham City")</f>
        <v>Brigham City</v>
      </c>
      <c r="B1177" s="120" t="str">
        <f>IFERROR(__xludf.DUMMYFUNCTION("""COMPUTED_VALUE"""),"BMC")</f>
        <v>BMC</v>
      </c>
      <c r="C1177" s="120" t="str">
        <f>IFERROR(__xludf.DUMMYFUNCTION("""COMPUTED_VALUE"""),"Brigham City")</f>
        <v>Brigham City</v>
      </c>
      <c r="D1177" s="120" t="str">
        <f>IFERROR(__xludf.DUMMYFUNCTION("""COMPUTED_VALUE"""),"United States")</f>
        <v>United States</v>
      </c>
      <c r="E1177" s="135"/>
      <c r="F1177" s="31"/>
    </row>
    <row r="1178">
      <c r="A1178" s="134" t="str">
        <f>IFERROR(__xludf.DUMMYFUNCTION("""COMPUTED_VALUE"""),"Bright")</f>
        <v>Bright</v>
      </c>
      <c r="B1178" s="120" t="str">
        <f>IFERROR(__xludf.DUMMYFUNCTION("""COMPUTED_VALUE"""),"BRJ")</f>
        <v>BRJ</v>
      </c>
      <c r="C1178" s="120" t="str">
        <f>IFERROR(__xludf.DUMMYFUNCTION("""COMPUTED_VALUE"""),"Bright")</f>
        <v>Bright</v>
      </c>
      <c r="D1178" s="120" t="str">
        <f>IFERROR(__xludf.DUMMYFUNCTION("""COMPUTED_VALUE"""),"Australia")</f>
        <v>Australia</v>
      </c>
      <c r="E1178" s="135"/>
      <c r="F1178" s="31"/>
    </row>
    <row r="1179">
      <c r="A1179" s="134" t="str">
        <f>IFERROR(__xludf.DUMMYFUNCTION("""COMPUTED_VALUE"""),"Brighton")</f>
        <v>Brighton</v>
      </c>
      <c r="B1179" s="120" t="str">
        <f>IFERROR(__xludf.DUMMYFUNCTION("""COMPUTED_VALUE"""),"BSH")</f>
        <v>BSH</v>
      </c>
      <c r="C1179" s="120" t="str">
        <f>IFERROR(__xludf.DUMMYFUNCTION("""COMPUTED_VALUE"""),"Brighton")</f>
        <v>Brighton</v>
      </c>
      <c r="D1179" s="120" t="str">
        <f>IFERROR(__xludf.DUMMYFUNCTION("""COMPUTED_VALUE"""),"United Kingdom")</f>
        <v>United Kingdom</v>
      </c>
      <c r="E1179" s="135"/>
      <c r="F1179" s="31"/>
    </row>
    <row r="1180">
      <c r="A1180" s="134" t="str">
        <f>IFERROR(__xludf.DUMMYFUNCTION("""COMPUTED_VALUE"""),"Brighton Downs")</f>
        <v>Brighton Downs</v>
      </c>
      <c r="B1180" s="120" t="str">
        <f>IFERROR(__xludf.DUMMYFUNCTION("""COMPUTED_VALUE"""),"BHT")</f>
        <v>BHT</v>
      </c>
      <c r="C1180" s="120" t="str">
        <f>IFERROR(__xludf.DUMMYFUNCTION("""COMPUTED_VALUE"""),"Brighton Downs")</f>
        <v>Brighton Downs</v>
      </c>
      <c r="D1180" s="120" t="str">
        <f>IFERROR(__xludf.DUMMYFUNCTION("""COMPUTED_VALUE"""),"Australia")</f>
        <v>Australia</v>
      </c>
      <c r="E1180" s="135"/>
      <c r="F1180" s="31"/>
    </row>
    <row r="1181">
      <c r="A1181" s="134" t="str">
        <f>IFERROR(__xludf.DUMMYFUNCTION("""COMPUTED_VALUE"""),"Brindisi")</f>
        <v>Brindisi</v>
      </c>
      <c r="B1181" s="120" t="str">
        <f>IFERROR(__xludf.DUMMYFUNCTION("""COMPUTED_VALUE"""),"BDS")</f>
        <v>BDS</v>
      </c>
      <c r="C1181" s="120" t="str">
        <f>IFERROR(__xludf.DUMMYFUNCTION("""COMPUTED_VALUE"""),"Papola Casale")</f>
        <v>Papola Casale</v>
      </c>
      <c r="D1181" s="120" t="str">
        <f>IFERROR(__xludf.DUMMYFUNCTION("""COMPUTED_VALUE"""),"Italy")</f>
        <v>Italy</v>
      </c>
      <c r="E1181" s="135"/>
      <c r="F1181" s="31"/>
    </row>
    <row r="1182">
      <c r="A1182" s="134" t="str">
        <f>IFERROR(__xludf.DUMMYFUNCTION("""COMPUTED_VALUE"""),"Brisbane")</f>
        <v>Brisbane</v>
      </c>
      <c r="B1182" s="120" t="str">
        <f>IFERROR(__xludf.DUMMYFUNCTION("""COMPUTED_VALUE"""),"BNE")</f>
        <v>BNE</v>
      </c>
      <c r="C1182" s="120" t="str">
        <f>IFERROR(__xludf.DUMMYFUNCTION("""COMPUTED_VALUE"""),"Brisbane International")</f>
        <v>Brisbane International</v>
      </c>
      <c r="D1182" s="120" t="str">
        <f>IFERROR(__xludf.DUMMYFUNCTION("""COMPUTED_VALUE"""),"Australia")</f>
        <v>Australia</v>
      </c>
      <c r="E1182" s="135"/>
      <c r="F1182" s="31"/>
    </row>
    <row r="1183">
      <c r="A1183" s="134" t="str">
        <f>IFERROR(__xludf.DUMMYFUNCTION("""COMPUTED_VALUE"""),"Bristol")</f>
        <v>Bristol</v>
      </c>
      <c r="B1183" s="120" t="str">
        <f>IFERROR(__xludf.DUMMYFUNCTION("""COMPUTED_VALUE"""),"BRS")</f>
        <v>BRS</v>
      </c>
      <c r="C1183" s="120" t="str">
        <f>IFERROR(__xludf.DUMMYFUNCTION("""COMPUTED_VALUE"""),"Bristol")</f>
        <v>Bristol</v>
      </c>
      <c r="D1183" s="120" t="str">
        <f>IFERROR(__xludf.DUMMYFUNCTION("""COMPUTED_VALUE"""),"United Kingdom")</f>
        <v>United Kingdom</v>
      </c>
      <c r="E1183" s="135"/>
      <c r="F1183" s="31"/>
    </row>
    <row r="1184">
      <c r="A1184" s="134" t="str">
        <f>IFERROR(__xludf.DUMMYFUNCTION("""COMPUTED_VALUE"""),"Britrail Rail Zone S")</f>
        <v>Britrail Rail Zone S</v>
      </c>
      <c r="B1184" s="120" t="str">
        <f>IFERROR(__xludf.DUMMYFUNCTION("""COMPUTED_VALUE"""),"QQS")</f>
        <v>QQS</v>
      </c>
      <c r="C1184" s="120" t="str">
        <f>IFERROR(__xludf.DUMMYFUNCTION("""COMPUTED_VALUE"""),"London St. Pancras")</f>
        <v>London St. Pancras</v>
      </c>
      <c r="D1184" s="120" t="str">
        <f>IFERROR(__xludf.DUMMYFUNCTION("""COMPUTED_VALUE"""),"United Kingdom")</f>
        <v>United Kingdom</v>
      </c>
      <c r="E1184" s="135"/>
      <c r="F1184" s="31"/>
    </row>
    <row r="1185">
      <c r="A1185" s="134" t="str">
        <f>IFERROR(__xludf.DUMMYFUNCTION("""COMPUTED_VALUE"""),"Britton")</f>
        <v>Britton</v>
      </c>
      <c r="B1185" s="120" t="str">
        <f>IFERROR(__xludf.DUMMYFUNCTION("""COMPUTED_VALUE"""),"TTO")</f>
        <v>TTO</v>
      </c>
      <c r="C1185" s="120" t="str">
        <f>IFERROR(__xludf.DUMMYFUNCTION("""COMPUTED_VALUE"""),"Municipal")</f>
        <v>Municipal</v>
      </c>
      <c r="D1185" s="120" t="str">
        <f>IFERROR(__xludf.DUMMYFUNCTION("""COMPUTED_VALUE"""),"United States")</f>
        <v>United States</v>
      </c>
      <c r="E1185" s="135"/>
      <c r="F1185" s="31"/>
    </row>
    <row r="1186">
      <c r="A1186" s="134" t="str">
        <f>IFERROR(__xludf.DUMMYFUNCTION("""COMPUTED_VALUE"""),"Brive-La-Gaillarde")</f>
        <v>Brive-La-Gaillarde</v>
      </c>
      <c r="B1186" s="120" t="str">
        <f>IFERROR(__xludf.DUMMYFUNCTION("""COMPUTED_VALUE"""),"BVE")</f>
        <v>BVE</v>
      </c>
      <c r="C1186" s="120" t="str">
        <f>IFERROR(__xludf.DUMMYFUNCTION("""COMPUTED_VALUE"""),"Laroche")</f>
        <v>Laroche</v>
      </c>
      <c r="D1186" s="120" t="str">
        <f>IFERROR(__xludf.DUMMYFUNCTION("""COMPUTED_VALUE"""),"France")</f>
        <v>France</v>
      </c>
      <c r="E1186" s="135"/>
      <c r="F1186" s="31"/>
    </row>
    <row r="1187">
      <c r="A1187" s="134" t="str">
        <f>IFERROR(__xludf.DUMMYFUNCTION("""COMPUTED_VALUE"""),"Brize Norton")</f>
        <v>Brize Norton</v>
      </c>
      <c r="B1187" s="120" t="str">
        <f>IFERROR(__xludf.DUMMYFUNCTION("""COMPUTED_VALUE"""),"BZZ")</f>
        <v>BZZ</v>
      </c>
      <c r="C1187" s="120" t="str">
        <f>IFERROR(__xludf.DUMMYFUNCTION("""COMPUTED_VALUE"""),"Raf Station")</f>
        <v>Raf Station</v>
      </c>
      <c r="D1187" s="120" t="str">
        <f>IFERROR(__xludf.DUMMYFUNCTION("""COMPUTED_VALUE"""),"United Kingdom")</f>
        <v>United Kingdom</v>
      </c>
      <c r="E1187" s="135"/>
      <c r="F1187" s="31"/>
    </row>
    <row r="1188">
      <c r="A1188" s="134" t="str">
        <f>IFERROR(__xludf.DUMMYFUNCTION("""COMPUTED_VALUE"""),"Brno")</f>
        <v>Brno</v>
      </c>
      <c r="B1188" s="120" t="str">
        <f>IFERROR(__xludf.DUMMYFUNCTION("""COMPUTED_VALUE"""),"BRQ")</f>
        <v>BRQ</v>
      </c>
      <c r="C1188" s="120" t="str">
        <f>IFERROR(__xludf.DUMMYFUNCTION("""COMPUTED_VALUE"""),"Turany")</f>
        <v>Turany</v>
      </c>
      <c r="D1188" s="120" t="str">
        <f>IFERROR(__xludf.DUMMYFUNCTION("""COMPUTED_VALUE"""),"Czech")</f>
        <v>Czech</v>
      </c>
      <c r="E1188" s="135"/>
      <c r="F1188" s="31"/>
    </row>
    <row r="1189">
      <c r="A1189" s="134" t="str">
        <f>IFERROR(__xludf.DUMMYFUNCTION("""COMPUTED_VALUE"""),"Broadus")</f>
        <v>Broadus</v>
      </c>
      <c r="B1189" s="120" t="str">
        <f>IFERROR(__xludf.DUMMYFUNCTION("""COMPUTED_VALUE"""),"BDX")</f>
        <v>BDX</v>
      </c>
      <c r="C1189" s="120" t="str">
        <f>IFERROR(__xludf.DUMMYFUNCTION("""COMPUTED_VALUE"""),"Broadus")</f>
        <v>Broadus</v>
      </c>
      <c r="D1189" s="120" t="str">
        <f>IFERROR(__xludf.DUMMYFUNCTION("""COMPUTED_VALUE"""),"United States")</f>
        <v>United States</v>
      </c>
      <c r="E1189" s="135"/>
      <c r="F1189" s="31"/>
    </row>
    <row r="1190">
      <c r="A1190" s="134" t="str">
        <f>IFERROR(__xludf.DUMMYFUNCTION("""COMPUTED_VALUE"""),"Broadview")</f>
        <v>Broadview</v>
      </c>
      <c r="B1190" s="120" t="str">
        <f>IFERROR(__xludf.DUMMYFUNCTION("""COMPUTED_VALUE"""),"YDR")</f>
        <v>YDR</v>
      </c>
      <c r="C1190" s="120" t="str">
        <f>IFERROR(__xludf.DUMMYFUNCTION("""COMPUTED_VALUE"""),"Broadview")</f>
        <v>Broadview</v>
      </c>
      <c r="D1190" s="120" t="str">
        <f>IFERROR(__xludf.DUMMYFUNCTION("""COMPUTED_VALUE"""),"Canada")</f>
        <v>Canada</v>
      </c>
      <c r="E1190" s="135"/>
      <c r="F1190" s="31"/>
    </row>
    <row r="1191">
      <c r="A1191" s="134" t="str">
        <f>IFERROR(__xludf.DUMMYFUNCTION("""COMPUTED_VALUE"""),"Brochet")</f>
        <v>Brochet</v>
      </c>
      <c r="B1191" s="120" t="str">
        <f>IFERROR(__xludf.DUMMYFUNCTION("""COMPUTED_VALUE"""),"YBT")</f>
        <v>YBT</v>
      </c>
      <c r="C1191" s="120" t="str">
        <f>IFERROR(__xludf.DUMMYFUNCTION("""COMPUTED_VALUE"""),"Brochet")</f>
        <v>Brochet</v>
      </c>
      <c r="D1191" s="120" t="str">
        <f>IFERROR(__xludf.DUMMYFUNCTION("""COMPUTED_VALUE"""),"Canada")</f>
        <v>Canada</v>
      </c>
      <c r="E1191" s="135"/>
      <c r="F1191" s="31"/>
    </row>
    <row r="1192">
      <c r="A1192" s="134" t="str">
        <f>IFERROR(__xludf.DUMMYFUNCTION("""COMPUTED_VALUE"""),"Brockville")</f>
        <v>Brockville</v>
      </c>
      <c r="B1192" s="120" t="str">
        <f>IFERROR(__xludf.DUMMYFUNCTION("""COMPUTED_VALUE"""),"XBR")</f>
        <v>XBR</v>
      </c>
      <c r="C1192" s="120" t="str">
        <f>IFERROR(__xludf.DUMMYFUNCTION("""COMPUTED_VALUE"""),"Brockville")</f>
        <v>Brockville</v>
      </c>
      <c r="D1192" s="120" t="str">
        <f>IFERROR(__xludf.DUMMYFUNCTION("""COMPUTED_VALUE"""),"Canada")</f>
        <v>Canada</v>
      </c>
      <c r="E1192" s="135"/>
      <c r="F1192" s="31"/>
    </row>
    <row r="1193">
      <c r="A1193" s="134" t="str">
        <f>IFERROR(__xludf.DUMMYFUNCTION("""COMPUTED_VALUE"""),"Broken Bow")</f>
        <v>Broken Bow</v>
      </c>
      <c r="B1193" s="120" t="str">
        <f>IFERROR(__xludf.DUMMYFUNCTION("""COMPUTED_VALUE"""),"BBW")</f>
        <v>BBW</v>
      </c>
      <c r="C1193" s="120" t="str">
        <f>IFERROR(__xludf.DUMMYFUNCTION("""COMPUTED_VALUE"""),"Broken Bow")</f>
        <v>Broken Bow</v>
      </c>
      <c r="D1193" s="120" t="str">
        <f>IFERROR(__xludf.DUMMYFUNCTION("""COMPUTED_VALUE"""),"United States")</f>
        <v>United States</v>
      </c>
      <c r="E1193" s="135"/>
      <c r="F1193" s="31"/>
    </row>
    <row r="1194">
      <c r="A1194" s="134" t="str">
        <f>IFERROR(__xludf.DUMMYFUNCTION("""COMPUTED_VALUE"""),"Broken Hill")</f>
        <v>Broken Hill</v>
      </c>
      <c r="B1194" s="120" t="str">
        <f>IFERROR(__xludf.DUMMYFUNCTION("""COMPUTED_VALUE"""),"BHQ")</f>
        <v>BHQ</v>
      </c>
      <c r="C1194" s="120" t="str">
        <f>IFERROR(__xludf.DUMMYFUNCTION("""COMPUTED_VALUE"""),"Broken Hill")</f>
        <v>Broken Hill</v>
      </c>
      <c r="D1194" s="120" t="str">
        <f>IFERROR(__xludf.DUMMYFUNCTION("""COMPUTED_VALUE"""),"Australia")</f>
        <v>Australia</v>
      </c>
      <c r="E1194" s="135"/>
      <c r="F1194" s="31"/>
    </row>
    <row r="1195">
      <c r="A1195" s="134" t="str">
        <f>IFERROR(__xludf.DUMMYFUNCTION("""COMPUTED_VALUE"""),"Bromont")</f>
        <v>Bromont</v>
      </c>
      <c r="B1195" s="120" t="str">
        <f>IFERROR(__xludf.DUMMYFUNCTION("""COMPUTED_VALUE"""),"ZBM")</f>
        <v>ZBM</v>
      </c>
      <c r="C1195" s="120" t="str">
        <f>IFERROR(__xludf.DUMMYFUNCTION("""COMPUTED_VALUE"""),"Bromont")</f>
        <v>Bromont</v>
      </c>
      <c r="D1195" s="120" t="str">
        <f>IFERROR(__xludf.DUMMYFUNCTION("""COMPUTED_VALUE"""),"Canada")</f>
        <v>Canada</v>
      </c>
      <c r="E1195" s="135"/>
      <c r="F1195" s="31"/>
    </row>
    <row r="1196">
      <c r="A1196" s="134" t="str">
        <f>IFERROR(__xludf.DUMMYFUNCTION("""COMPUTED_VALUE"""),"Bronnoysund")</f>
        <v>Bronnoysund</v>
      </c>
      <c r="B1196" s="120" t="str">
        <f>IFERROR(__xludf.DUMMYFUNCTION("""COMPUTED_VALUE"""),"BNN")</f>
        <v>BNN</v>
      </c>
      <c r="C1196" s="120" t="str">
        <f>IFERROR(__xludf.DUMMYFUNCTION("""COMPUTED_VALUE"""),"Bronnoy")</f>
        <v>Bronnoy</v>
      </c>
      <c r="D1196" s="120" t="str">
        <f>IFERROR(__xludf.DUMMYFUNCTION("""COMPUTED_VALUE"""),"Norway")</f>
        <v>Norway</v>
      </c>
      <c r="E1196" s="135"/>
      <c r="F1196" s="31"/>
    </row>
    <row r="1197">
      <c r="A1197" s="134" t="str">
        <f>IFERROR(__xludf.DUMMYFUNCTION("""COMPUTED_VALUE"""),"Bronson Creek")</f>
        <v>Bronson Creek</v>
      </c>
      <c r="B1197" s="120" t="str">
        <f>IFERROR(__xludf.DUMMYFUNCTION("""COMPUTED_VALUE"""),"YBM")</f>
        <v>YBM</v>
      </c>
      <c r="C1197" s="120" t="str">
        <f>IFERROR(__xludf.DUMMYFUNCTION("""COMPUTED_VALUE"""),"Bronson Creek")</f>
        <v>Bronson Creek</v>
      </c>
      <c r="D1197" s="120" t="str">
        <f>IFERROR(__xludf.DUMMYFUNCTION("""COMPUTED_VALUE"""),"Canada")</f>
        <v>Canada</v>
      </c>
      <c r="E1197" s="135"/>
      <c r="F1197" s="31"/>
    </row>
    <row r="1198">
      <c r="A1198" s="134" t="str">
        <f>IFERROR(__xludf.DUMMYFUNCTION("""COMPUTED_VALUE"""),"Brookings")</f>
        <v>Brookings</v>
      </c>
      <c r="B1198" s="120" t="str">
        <f>IFERROR(__xludf.DUMMYFUNCTION("""COMPUTED_VALUE"""),"BOK")</f>
        <v>BOK</v>
      </c>
      <c r="C1198" s="120" t="str">
        <f>IFERROR(__xludf.DUMMYFUNCTION("""COMPUTED_VALUE"""),"Brookings State")</f>
        <v>Brookings State</v>
      </c>
      <c r="D1198" s="120" t="str">
        <f>IFERROR(__xludf.DUMMYFUNCTION("""COMPUTED_VALUE"""),"United States")</f>
        <v>United States</v>
      </c>
      <c r="E1198" s="135"/>
      <c r="F1198" s="31"/>
    </row>
    <row r="1199">
      <c r="A1199" s="134" t="str">
        <f>IFERROR(__xludf.DUMMYFUNCTION("""COMPUTED_VALUE"""),"Brookings")</f>
        <v>Brookings</v>
      </c>
      <c r="B1199" s="120" t="str">
        <f>IFERROR(__xludf.DUMMYFUNCTION("""COMPUTED_VALUE"""),"BKX")</f>
        <v>BKX</v>
      </c>
      <c r="C1199" s="120" t="str">
        <f>IFERROR(__xludf.DUMMYFUNCTION("""COMPUTED_VALUE"""),"Brookings")</f>
        <v>Brookings</v>
      </c>
      <c r="D1199" s="120" t="str">
        <f>IFERROR(__xludf.DUMMYFUNCTION("""COMPUTED_VALUE"""),"United States")</f>
        <v>United States</v>
      </c>
      <c r="E1199" s="135"/>
      <c r="F1199" s="31"/>
    </row>
    <row r="1200">
      <c r="A1200" s="134" t="str">
        <f>IFERROR(__xludf.DUMMYFUNCTION("""COMPUTED_VALUE"""),"Brooks Lake")</f>
        <v>Brooks Lake</v>
      </c>
      <c r="B1200" s="120" t="str">
        <f>IFERROR(__xludf.DUMMYFUNCTION("""COMPUTED_VALUE"""),"BKF")</f>
        <v>BKF</v>
      </c>
      <c r="C1200" s="120" t="str">
        <f>IFERROR(__xludf.DUMMYFUNCTION("""COMPUTED_VALUE"""),"Brooks Lake")</f>
        <v>Brooks Lake</v>
      </c>
      <c r="D1200" s="120" t="str">
        <f>IFERROR(__xludf.DUMMYFUNCTION("""COMPUTED_VALUE"""),"United States")</f>
        <v>United States</v>
      </c>
      <c r="E1200" s="135"/>
      <c r="F1200" s="31"/>
    </row>
    <row r="1201">
      <c r="A1201" s="134" t="str">
        <f>IFERROR(__xludf.DUMMYFUNCTION("""COMPUTED_VALUE"""),"Brooks Lodge")</f>
        <v>Brooks Lodge</v>
      </c>
      <c r="B1201" s="120" t="str">
        <f>IFERROR(__xludf.DUMMYFUNCTION("""COMPUTED_VALUE"""),"RBH")</f>
        <v>RBH</v>
      </c>
      <c r="C1201" s="120" t="str">
        <f>IFERROR(__xludf.DUMMYFUNCTION("""COMPUTED_VALUE"""),"Brooks Lodge")</f>
        <v>Brooks Lodge</v>
      </c>
      <c r="D1201" s="120" t="str">
        <f>IFERROR(__xludf.DUMMYFUNCTION("""COMPUTED_VALUE"""),"United States")</f>
        <v>United States</v>
      </c>
      <c r="E1201" s="135"/>
      <c r="F1201" s="31"/>
    </row>
    <row r="1202">
      <c r="A1202" s="134" t="str">
        <f>IFERROR(__xludf.DUMMYFUNCTION("""COMPUTED_VALUE"""),"Broome")</f>
        <v>Broome</v>
      </c>
      <c r="B1202" s="120" t="str">
        <f>IFERROR(__xludf.DUMMYFUNCTION("""COMPUTED_VALUE"""),"BME")</f>
        <v>BME</v>
      </c>
      <c r="C1202" s="120" t="str">
        <f>IFERROR(__xludf.DUMMYFUNCTION("""COMPUTED_VALUE"""),"Broome")</f>
        <v>Broome</v>
      </c>
      <c r="D1202" s="120" t="str">
        <f>IFERROR(__xludf.DUMMYFUNCTION("""COMPUTED_VALUE"""),"Australia")</f>
        <v>Australia</v>
      </c>
      <c r="E1202" s="135"/>
      <c r="F1202" s="31"/>
    </row>
    <row r="1203">
      <c r="A1203" s="134" t="str">
        <f>IFERROR(__xludf.DUMMYFUNCTION("""COMPUTED_VALUE"""),"Broomfield")</f>
        <v>Broomfield</v>
      </c>
      <c r="B1203" s="120" t="str">
        <f>IFERROR(__xludf.DUMMYFUNCTION("""COMPUTED_VALUE"""),"BJC")</f>
        <v>BJC</v>
      </c>
      <c r="C1203" s="120" t="str">
        <f>IFERROR(__xludf.DUMMYFUNCTION("""COMPUTED_VALUE"""),"Jeffco")</f>
        <v>Jeffco</v>
      </c>
      <c r="D1203" s="120" t="str">
        <f>IFERROR(__xludf.DUMMYFUNCTION("""COMPUTED_VALUE"""),"United States")</f>
        <v>United States</v>
      </c>
      <c r="E1203" s="135"/>
      <c r="F1203" s="31"/>
    </row>
    <row r="1204">
      <c r="A1204" s="134" t="str">
        <f>IFERROR(__xludf.DUMMYFUNCTION("""COMPUTED_VALUE"""),"Brownsville")</f>
        <v>Brownsville</v>
      </c>
      <c r="B1204" s="120" t="str">
        <f>IFERROR(__xludf.DUMMYFUNCTION("""COMPUTED_VALUE"""),"BRO")</f>
        <v>BRO</v>
      </c>
      <c r="C1204" s="120" t="str">
        <f>IFERROR(__xludf.DUMMYFUNCTION("""COMPUTED_VALUE"""),"South Padre Is. Intl")</f>
        <v>South Padre Is. Intl</v>
      </c>
      <c r="D1204" s="120" t="str">
        <f>IFERROR(__xludf.DUMMYFUNCTION("""COMPUTED_VALUE"""),"United States")</f>
        <v>United States</v>
      </c>
      <c r="E1204" s="135"/>
      <c r="F1204" s="31"/>
    </row>
    <row r="1205">
      <c r="A1205" s="134" t="str">
        <f>IFERROR(__xludf.DUMMYFUNCTION("""COMPUTED_VALUE"""),"Brownwood")</f>
        <v>Brownwood</v>
      </c>
      <c r="B1205" s="120" t="str">
        <f>IFERROR(__xludf.DUMMYFUNCTION("""COMPUTED_VALUE"""),"BWD")</f>
        <v>BWD</v>
      </c>
      <c r="C1205" s="120" t="str">
        <f>IFERROR(__xludf.DUMMYFUNCTION("""COMPUTED_VALUE"""),"Brownwood")</f>
        <v>Brownwood</v>
      </c>
      <c r="D1205" s="120" t="str">
        <f>IFERROR(__xludf.DUMMYFUNCTION("""COMPUTED_VALUE"""),"United States")</f>
        <v>United States</v>
      </c>
      <c r="E1205" s="135"/>
      <c r="F1205" s="31"/>
    </row>
    <row r="1206">
      <c r="A1206" s="134" t="str">
        <f>IFERROR(__xludf.DUMMYFUNCTION("""COMPUTED_VALUE"""),"Brueggen")</f>
        <v>Brueggen</v>
      </c>
      <c r="B1206" s="120" t="str">
        <f>IFERROR(__xludf.DUMMYFUNCTION("""COMPUTED_VALUE"""),"BGN")</f>
        <v>BGN</v>
      </c>
      <c r="C1206" s="120" t="str">
        <f>IFERROR(__xludf.DUMMYFUNCTION("""COMPUTED_VALUE"""),"R.A.F.")</f>
        <v>R.A.F.</v>
      </c>
      <c r="D1206" s="120" t="str">
        <f>IFERROR(__xludf.DUMMYFUNCTION("""COMPUTED_VALUE"""),"Germany")</f>
        <v>Germany</v>
      </c>
      <c r="E1206" s="135"/>
      <c r="F1206" s="31"/>
    </row>
    <row r="1207">
      <c r="A1207" s="134" t="str">
        <f>IFERROR(__xludf.DUMMYFUNCTION("""COMPUTED_VALUE"""),"Brumado")</f>
        <v>Brumado</v>
      </c>
      <c r="B1207" s="120" t="str">
        <f>IFERROR(__xludf.DUMMYFUNCTION("""COMPUTED_VALUE"""),"BMS")</f>
        <v>BMS</v>
      </c>
      <c r="C1207" s="120" t="str">
        <f>IFERROR(__xludf.DUMMYFUNCTION("""COMPUTED_VALUE"""),"Brumado")</f>
        <v>Brumado</v>
      </c>
      <c r="D1207" s="120" t="str">
        <f>IFERROR(__xludf.DUMMYFUNCTION("""COMPUTED_VALUE"""),"Brazil")</f>
        <v>Brazil</v>
      </c>
      <c r="E1207" s="135"/>
      <c r="F1207" s="31"/>
    </row>
    <row r="1208">
      <c r="A1208" s="134" t="str">
        <f>IFERROR(__xludf.DUMMYFUNCTION("""COMPUTED_VALUE"""),"Brumunddal")</f>
        <v>Brumunddal</v>
      </c>
      <c r="B1208" s="120" t="str">
        <f>IFERROR(__xludf.DUMMYFUNCTION("""COMPUTED_VALUE"""),"ZVB")</f>
        <v>ZVB</v>
      </c>
      <c r="C1208" s="120" t="str">
        <f>IFERROR(__xludf.DUMMYFUNCTION("""COMPUTED_VALUE"""),"Brumunddal Railway")</f>
        <v>Brumunddal Railway</v>
      </c>
      <c r="D1208" s="120" t="str">
        <f>IFERROR(__xludf.DUMMYFUNCTION("""COMPUTED_VALUE"""),"Norway")</f>
        <v>Norway</v>
      </c>
      <c r="E1208" s="135"/>
      <c r="F1208" s="31"/>
    </row>
    <row r="1209">
      <c r="A1209" s="134" t="str">
        <f>IFERROR(__xludf.DUMMYFUNCTION("""COMPUTED_VALUE"""),"Brunette Downs")</f>
        <v>Brunette Downs</v>
      </c>
      <c r="B1209" s="120" t="str">
        <f>IFERROR(__xludf.DUMMYFUNCTION("""COMPUTED_VALUE"""),"BTD")</f>
        <v>BTD</v>
      </c>
      <c r="C1209" s="120" t="str">
        <f>IFERROR(__xludf.DUMMYFUNCTION("""COMPUTED_VALUE"""),"Brunette Downs")</f>
        <v>Brunette Downs</v>
      </c>
      <c r="D1209" s="120" t="str">
        <f>IFERROR(__xludf.DUMMYFUNCTION("""COMPUTED_VALUE"""),"Australia")</f>
        <v>Australia</v>
      </c>
      <c r="E1209" s="135"/>
      <c r="F1209" s="31"/>
    </row>
    <row r="1210">
      <c r="A1210" s="134" t="str">
        <f>IFERROR(__xludf.DUMMYFUNCTION("""COMPUTED_VALUE"""),"Brunswick")</f>
        <v>Brunswick</v>
      </c>
      <c r="B1210" s="120" t="str">
        <f>IFERROR(__xludf.DUMMYFUNCTION("""COMPUTED_VALUE"""),"BQK")</f>
        <v>BQK</v>
      </c>
      <c r="C1210" s="120" t="str">
        <f>IFERROR(__xludf.DUMMYFUNCTION("""COMPUTED_VALUE"""),"Glynco Jetport")</f>
        <v>Glynco Jetport</v>
      </c>
      <c r="D1210" s="120" t="str">
        <f>IFERROR(__xludf.DUMMYFUNCTION("""COMPUTED_VALUE"""),"United States")</f>
        <v>United States</v>
      </c>
      <c r="E1210" s="135"/>
      <c r="F1210" s="31"/>
    </row>
    <row r="1211">
      <c r="A1211" s="134" t="str">
        <f>IFERROR(__xludf.DUMMYFUNCTION("""COMPUTED_VALUE"""),"Brunswick")</f>
        <v>Brunswick</v>
      </c>
      <c r="B1211" s="120" t="str">
        <f>IFERROR(__xludf.DUMMYFUNCTION("""COMPUTED_VALUE"""),"SSI")</f>
        <v>SSI</v>
      </c>
      <c r="C1211" s="120" t="str">
        <f>IFERROR(__xludf.DUMMYFUNCTION("""COMPUTED_VALUE"""),"Mckinnon")</f>
        <v>Mckinnon</v>
      </c>
      <c r="D1211" s="120" t="str">
        <f>IFERROR(__xludf.DUMMYFUNCTION("""COMPUTED_VALUE"""),"United States")</f>
        <v>United States</v>
      </c>
      <c r="E1211" s="135"/>
      <c r="F1211" s="31"/>
    </row>
    <row r="1212">
      <c r="A1212" s="134" t="str">
        <f>IFERROR(__xludf.DUMMYFUNCTION("""COMPUTED_VALUE"""),"Brunswick")</f>
        <v>Brunswick</v>
      </c>
      <c r="B1212" s="120" t="str">
        <f>IFERROR(__xludf.DUMMYFUNCTION("""COMPUTED_VALUE"""),"NHZ")</f>
        <v>NHZ</v>
      </c>
      <c r="C1212" s="120" t="str">
        <f>IFERROR(__xludf.DUMMYFUNCTION("""COMPUTED_VALUE"""),"NAS")</f>
        <v>NAS</v>
      </c>
      <c r="D1212" s="120" t="str">
        <f>IFERROR(__xludf.DUMMYFUNCTION("""COMPUTED_VALUE"""),"United States")</f>
        <v>United States</v>
      </c>
      <c r="E1212" s="135"/>
      <c r="F1212" s="31"/>
    </row>
    <row r="1213">
      <c r="A1213" s="134" t="str">
        <f>IFERROR(__xludf.DUMMYFUNCTION("""COMPUTED_VALUE"""),"Brus Laguna")</f>
        <v>Brus Laguna</v>
      </c>
      <c r="B1213" s="120" t="str">
        <f>IFERROR(__xludf.DUMMYFUNCTION("""COMPUTED_VALUE"""),"BHG")</f>
        <v>BHG</v>
      </c>
      <c r="C1213" s="120" t="str">
        <f>IFERROR(__xludf.DUMMYFUNCTION("""COMPUTED_VALUE"""),"Brus Laguna")</f>
        <v>Brus Laguna</v>
      </c>
      <c r="D1213" s="120" t="str">
        <f>IFERROR(__xludf.DUMMYFUNCTION("""COMPUTED_VALUE"""),"Honduras")</f>
        <v>Honduras</v>
      </c>
      <c r="E1213" s="135"/>
      <c r="F1213" s="31"/>
    </row>
    <row r="1214">
      <c r="A1214" s="134" t="str">
        <f>IFERROR(__xludf.DUMMYFUNCTION("""COMPUTED_VALUE"""),"Brussels")</f>
        <v>Brussels</v>
      </c>
      <c r="B1214" s="120" t="str">
        <f>IFERROR(__xludf.DUMMYFUNCTION("""COMPUTED_VALUE"""),"CRL")</f>
        <v>CRL</v>
      </c>
      <c r="C1214" s="120" t="str">
        <f>IFERROR(__xludf.DUMMYFUNCTION("""COMPUTED_VALUE"""),"Charleroi Brussels South")</f>
        <v>Charleroi Brussels South</v>
      </c>
      <c r="D1214" s="120" t="str">
        <f>IFERROR(__xludf.DUMMYFUNCTION("""COMPUTED_VALUE"""),"Belgium")</f>
        <v>Belgium</v>
      </c>
      <c r="E1214" s="135"/>
      <c r="F1214" s="31"/>
    </row>
    <row r="1215">
      <c r="A1215" s="134" t="str">
        <f>IFERROR(__xludf.DUMMYFUNCTION("""COMPUTED_VALUE"""),"Brussels")</f>
        <v>Brussels</v>
      </c>
      <c r="B1215" s="120" t="str">
        <f>IFERROR(__xludf.DUMMYFUNCTION("""COMPUTED_VALUE"""),"ZYR")</f>
        <v>ZYR</v>
      </c>
      <c r="C1215" s="120" t="str">
        <f>IFERROR(__xludf.DUMMYFUNCTION("""COMPUTED_VALUE"""),"Midi Railway Station")</f>
        <v>Midi Railway Station</v>
      </c>
      <c r="D1215" s="120" t="str">
        <f>IFERROR(__xludf.DUMMYFUNCTION("""COMPUTED_VALUE"""),"Belgium")</f>
        <v>Belgium</v>
      </c>
      <c r="E1215" s="135"/>
      <c r="F1215" s="31"/>
    </row>
    <row r="1216">
      <c r="A1216" s="134" t="str">
        <f>IFERROR(__xludf.DUMMYFUNCTION("""COMPUTED_VALUE"""),"Brussels")</f>
        <v>Brussels</v>
      </c>
      <c r="B1216" s="120" t="str">
        <f>IFERROR(__xludf.DUMMYFUNCTION("""COMPUTED_VALUE"""),"BRU")</f>
        <v>BRU</v>
      </c>
      <c r="C1216" s="120" t="str">
        <f>IFERROR(__xludf.DUMMYFUNCTION("""COMPUTED_VALUE"""),"National")</f>
        <v>National</v>
      </c>
      <c r="D1216" s="120" t="str">
        <f>IFERROR(__xludf.DUMMYFUNCTION("""COMPUTED_VALUE"""),"Belgium")</f>
        <v>Belgium</v>
      </c>
      <c r="E1216" s="135"/>
      <c r="F1216" s="31"/>
    </row>
    <row r="1217">
      <c r="A1217" s="134" t="str">
        <f>IFERROR(__xludf.DUMMYFUNCTION("""COMPUTED_VALUE"""),"Bryan")</f>
        <v>Bryan</v>
      </c>
      <c r="B1217" s="120" t="str">
        <f>IFERROR(__xludf.DUMMYFUNCTION("""COMPUTED_VALUE"""),"CFD")</f>
        <v>CFD</v>
      </c>
      <c r="C1217" s="120" t="str">
        <f>IFERROR(__xludf.DUMMYFUNCTION("""COMPUTED_VALUE"""),"Coulter Field")</f>
        <v>Coulter Field</v>
      </c>
      <c r="D1217" s="120" t="str">
        <f>IFERROR(__xludf.DUMMYFUNCTION("""COMPUTED_VALUE"""),"United States")</f>
        <v>United States</v>
      </c>
      <c r="E1217" s="135"/>
      <c r="F1217" s="31"/>
    </row>
    <row r="1218">
      <c r="A1218" s="134" t="str">
        <f>IFERROR(__xludf.DUMMYFUNCTION("""COMPUTED_VALUE"""),"Bryce")</f>
        <v>Bryce</v>
      </c>
      <c r="B1218" s="120" t="str">
        <f>IFERROR(__xludf.DUMMYFUNCTION("""COMPUTED_VALUE"""),"BCE")</f>
        <v>BCE</v>
      </c>
      <c r="C1218" s="120" t="str">
        <f>IFERROR(__xludf.DUMMYFUNCTION("""COMPUTED_VALUE"""),"Bryce")</f>
        <v>Bryce</v>
      </c>
      <c r="D1218" s="120" t="str">
        <f>IFERROR(__xludf.DUMMYFUNCTION("""COMPUTED_VALUE"""),"United States")</f>
        <v>United States</v>
      </c>
      <c r="E1218" s="135"/>
      <c r="F1218" s="31"/>
    </row>
    <row r="1219">
      <c r="A1219" s="134" t="str">
        <f>IFERROR(__xludf.DUMMYFUNCTION("""COMPUTED_VALUE"""),"Bua")</f>
        <v>Bua</v>
      </c>
      <c r="B1219" s="120" t="str">
        <f>IFERROR(__xludf.DUMMYFUNCTION("""COMPUTED_VALUE"""),"BVF")</f>
        <v>BVF</v>
      </c>
      <c r="C1219" s="120" t="str">
        <f>IFERROR(__xludf.DUMMYFUNCTION("""COMPUTED_VALUE"""),"Dama")</f>
        <v>Dama</v>
      </c>
      <c r="D1219" s="120" t="str">
        <f>IFERROR(__xludf.DUMMYFUNCTION("""COMPUTED_VALUE"""),"Fiji")</f>
        <v>Fiji</v>
      </c>
      <c r="E1219" s="135"/>
      <c r="F1219" s="31"/>
    </row>
    <row r="1220">
      <c r="A1220" s="134" t="str">
        <f>IFERROR(__xludf.DUMMYFUNCTION("""COMPUTED_VALUE"""),"Bubaque")</f>
        <v>Bubaque</v>
      </c>
      <c r="B1220" s="120" t="str">
        <f>IFERROR(__xludf.DUMMYFUNCTION("""COMPUTED_VALUE"""),"BQE")</f>
        <v>BQE</v>
      </c>
      <c r="C1220" s="120" t="str">
        <f>IFERROR(__xludf.DUMMYFUNCTION("""COMPUTED_VALUE"""),"Bubaque")</f>
        <v>Bubaque</v>
      </c>
      <c r="D1220" s="120" t="str">
        <f>IFERROR(__xludf.DUMMYFUNCTION("""COMPUTED_VALUE"""),"Guinea-Bissau")</f>
        <v>Guinea-Bissau</v>
      </c>
      <c r="E1220" s="135"/>
      <c r="F1220" s="31"/>
    </row>
    <row r="1221">
      <c r="A1221" s="134" t="str">
        <f>IFERROR(__xludf.DUMMYFUNCTION("""COMPUTED_VALUE"""),"Bucaramanga")</f>
        <v>Bucaramanga</v>
      </c>
      <c r="B1221" s="120" t="str">
        <f>IFERROR(__xludf.DUMMYFUNCTION("""COMPUTED_VALUE"""),"BGA")</f>
        <v>BGA</v>
      </c>
      <c r="C1221" s="120" t="str">
        <f>IFERROR(__xludf.DUMMYFUNCTION("""COMPUTED_VALUE"""),"Palo Negro")</f>
        <v>Palo Negro</v>
      </c>
      <c r="D1221" s="120" t="str">
        <f>IFERROR(__xludf.DUMMYFUNCTION("""COMPUTED_VALUE"""),"Colombia")</f>
        <v>Colombia</v>
      </c>
      <c r="E1221" s="135"/>
      <c r="F1221" s="31"/>
    </row>
    <row r="1222">
      <c r="A1222" s="134" t="str">
        <f>IFERROR(__xludf.DUMMYFUNCTION("""COMPUTED_VALUE"""),"Buchanan")</f>
        <v>Buchanan</v>
      </c>
      <c r="B1222" s="120" t="str">
        <f>IFERROR(__xludf.DUMMYFUNCTION("""COMPUTED_VALUE"""),"UCN")</f>
        <v>UCN</v>
      </c>
      <c r="C1222" s="120" t="str">
        <f>IFERROR(__xludf.DUMMYFUNCTION("""COMPUTED_VALUE"""),"Buchanan")</f>
        <v>Buchanan</v>
      </c>
      <c r="D1222" s="120" t="str">
        <f>IFERROR(__xludf.DUMMYFUNCTION("""COMPUTED_VALUE"""),"Liberia")</f>
        <v>Liberia</v>
      </c>
      <c r="E1222" s="135"/>
      <c r="F1222" s="31"/>
    </row>
    <row r="1223">
      <c r="A1223" s="134" t="str">
        <f>IFERROR(__xludf.DUMMYFUNCTION("""COMPUTED_VALUE"""),"Buchans")</f>
        <v>Buchans</v>
      </c>
      <c r="B1223" s="120" t="str">
        <f>IFERROR(__xludf.DUMMYFUNCTION("""COMPUTED_VALUE"""),"YZM")</f>
        <v>YZM</v>
      </c>
      <c r="C1223" s="120" t="str">
        <f>IFERROR(__xludf.DUMMYFUNCTION("""COMPUTED_VALUE"""),"Buchans")</f>
        <v>Buchans</v>
      </c>
      <c r="D1223" s="120" t="str">
        <f>IFERROR(__xludf.DUMMYFUNCTION("""COMPUTED_VALUE"""),"Canada")</f>
        <v>Canada</v>
      </c>
      <c r="E1223" s="135"/>
      <c r="F1223" s="31"/>
    </row>
    <row r="1224">
      <c r="A1224" s="134" t="str">
        <f>IFERROR(__xludf.DUMMYFUNCTION("""COMPUTED_VALUE"""),"Bucharest")</f>
        <v>Bucharest</v>
      </c>
      <c r="B1224" s="120" t="str">
        <f>IFERROR(__xludf.DUMMYFUNCTION("""COMPUTED_VALUE"""),"BBU")</f>
        <v>BBU</v>
      </c>
      <c r="C1224" s="120" t="str">
        <f>IFERROR(__xludf.DUMMYFUNCTION("""COMPUTED_VALUE"""),"Baneasa")</f>
        <v>Baneasa</v>
      </c>
      <c r="D1224" s="120" t="str">
        <f>IFERROR(__xludf.DUMMYFUNCTION("""COMPUTED_VALUE"""),"Romania")</f>
        <v>Romania</v>
      </c>
      <c r="E1224" s="135"/>
      <c r="F1224" s="31"/>
    </row>
    <row r="1225">
      <c r="A1225" s="134" t="str">
        <f>IFERROR(__xludf.DUMMYFUNCTION("""COMPUTED_VALUE"""),"Bucharest")</f>
        <v>Bucharest</v>
      </c>
      <c r="B1225" s="120" t="str">
        <f>IFERROR(__xludf.DUMMYFUNCTION("""COMPUTED_VALUE"""),"OTP")</f>
        <v>OTP</v>
      </c>
      <c r="C1225" s="120" t="str">
        <f>IFERROR(__xludf.DUMMYFUNCTION("""COMPUTED_VALUE"""),"Henri Coanda International")</f>
        <v>Henri Coanda International</v>
      </c>
      <c r="D1225" s="120" t="str">
        <f>IFERROR(__xludf.DUMMYFUNCTION("""COMPUTED_VALUE"""),"Romania")</f>
        <v>Romania</v>
      </c>
      <c r="E1225" s="135"/>
      <c r="F1225" s="31"/>
    </row>
    <row r="1226">
      <c r="A1226" s="134" t="str">
        <f>IFERROR(__xludf.DUMMYFUNCTION("""COMPUTED_VALUE"""),"Buckeye")</f>
        <v>Buckeye</v>
      </c>
      <c r="B1226" s="120" t="str">
        <f>IFERROR(__xludf.DUMMYFUNCTION("""COMPUTED_VALUE"""),"BXK")</f>
        <v>BXK</v>
      </c>
      <c r="C1226" s="120" t="str">
        <f>IFERROR(__xludf.DUMMYFUNCTION("""COMPUTED_VALUE"""),"Buckeye")</f>
        <v>Buckeye</v>
      </c>
      <c r="D1226" s="120" t="str">
        <f>IFERROR(__xludf.DUMMYFUNCTION("""COMPUTED_VALUE"""),"United States")</f>
        <v>United States</v>
      </c>
      <c r="E1226" s="135"/>
      <c r="F1226" s="31"/>
    </row>
    <row r="1227">
      <c r="A1227" s="134" t="str">
        <f>IFERROR(__xludf.DUMMYFUNCTION("""COMPUTED_VALUE"""),"Buckland")</f>
        <v>Buckland</v>
      </c>
      <c r="B1227" s="120" t="str">
        <f>IFERROR(__xludf.DUMMYFUNCTION("""COMPUTED_VALUE"""),"BKC")</f>
        <v>BKC</v>
      </c>
      <c r="C1227" s="120" t="str">
        <f>IFERROR(__xludf.DUMMYFUNCTION("""COMPUTED_VALUE"""),"Buckland")</f>
        <v>Buckland</v>
      </c>
      <c r="D1227" s="120" t="str">
        <f>IFERROR(__xludf.DUMMYFUNCTION("""COMPUTED_VALUE"""),"United States")</f>
        <v>United States</v>
      </c>
      <c r="E1227" s="135"/>
      <c r="F1227" s="31"/>
    </row>
    <row r="1228">
      <c r="A1228" s="134" t="str">
        <f>IFERROR(__xludf.DUMMYFUNCTION("""COMPUTED_VALUE"""),"Budapest")</f>
        <v>Budapest</v>
      </c>
      <c r="B1228" s="120" t="str">
        <f>IFERROR(__xludf.DUMMYFUNCTION("""COMPUTED_VALUE"""),"XXJ")</f>
        <v>XXJ</v>
      </c>
      <c r="C1228" s="120" t="str">
        <f>IFERROR(__xludf.DUMMYFUNCTION("""COMPUTED_VALUE"""),"Deli Railway")</f>
        <v>Deli Railway</v>
      </c>
      <c r="D1228" s="120" t="str">
        <f>IFERROR(__xludf.DUMMYFUNCTION("""COMPUTED_VALUE"""),"Hungary")</f>
        <v>Hungary</v>
      </c>
      <c r="E1228" s="135"/>
      <c r="F1228" s="31"/>
    </row>
    <row r="1229">
      <c r="A1229" s="134" t="str">
        <f>IFERROR(__xludf.DUMMYFUNCTION("""COMPUTED_VALUE"""),"Budapest")</f>
        <v>Budapest</v>
      </c>
      <c r="B1229" s="120" t="str">
        <f>IFERROR(__xludf.DUMMYFUNCTION("""COMPUTED_VALUE"""),"BUD")</f>
        <v>BUD</v>
      </c>
      <c r="C1229" s="120" t="str">
        <f>IFERROR(__xludf.DUMMYFUNCTION("""COMPUTED_VALUE"""),"Ferihegy")</f>
        <v>Ferihegy</v>
      </c>
      <c r="D1229" s="120" t="str">
        <f>IFERROR(__xludf.DUMMYFUNCTION("""COMPUTED_VALUE"""),"Hungary")</f>
        <v>Hungary</v>
      </c>
      <c r="E1229" s="135"/>
      <c r="F1229" s="31"/>
    </row>
    <row r="1230">
      <c r="A1230" s="134" t="str">
        <f>IFERROR(__xludf.DUMMYFUNCTION("""COMPUTED_VALUE"""),"Budapest")</f>
        <v>Budapest</v>
      </c>
      <c r="B1230" s="120" t="str">
        <f>IFERROR(__xludf.DUMMYFUNCTION("""COMPUTED_VALUE"""),"XXQ")</f>
        <v>XXQ</v>
      </c>
      <c r="C1230" s="120" t="str">
        <f>IFERROR(__xludf.DUMMYFUNCTION("""COMPUTED_VALUE"""),"Keleti Railway")</f>
        <v>Keleti Railway</v>
      </c>
      <c r="D1230" s="120" t="str">
        <f>IFERROR(__xludf.DUMMYFUNCTION("""COMPUTED_VALUE"""),"Hungary")</f>
        <v>Hungary</v>
      </c>
      <c r="E1230" s="135"/>
      <c r="F1230" s="31"/>
    </row>
    <row r="1231">
      <c r="A1231" s="134" t="str">
        <f>IFERROR(__xludf.DUMMYFUNCTION("""COMPUTED_VALUE"""),"Buenaventura")</f>
        <v>Buenaventura</v>
      </c>
      <c r="B1231" s="120" t="str">
        <f>IFERROR(__xludf.DUMMYFUNCTION("""COMPUTED_VALUE"""),"BUN")</f>
        <v>BUN</v>
      </c>
      <c r="C1231" s="120" t="str">
        <f>IFERROR(__xludf.DUMMYFUNCTION("""COMPUTED_VALUE"""),"Buenaventura")</f>
        <v>Buenaventura</v>
      </c>
      <c r="D1231" s="120" t="str">
        <f>IFERROR(__xludf.DUMMYFUNCTION("""COMPUTED_VALUE"""),"Colombia")</f>
        <v>Colombia</v>
      </c>
      <c r="E1231" s="135"/>
      <c r="F1231" s="31"/>
    </row>
    <row r="1232">
      <c r="A1232" s="134" t="str">
        <f>IFERROR(__xludf.DUMMYFUNCTION("""COMPUTED_VALUE"""),"Buenos Aires")</f>
        <v>Buenos Aires</v>
      </c>
      <c r="B1232" s="120" t="str">
        <f>IFERROR(__xludf.DUMMYFUNCTION("""COMPUTED_VALUE"""),"AEP")</f>
        <v>AEP</v>
      </c>
      <c r="C1232" s="120" t="str">
        <f>IFERROR(__xludf.DUMMYFUNCTION("""COMPUTED_VALUE"""),"Arpt. Jorge Newbery")</f>
        <v>Arpt. Jorge Newbery</v>
      </c>
      <c r="D1232" s="120" t="str">
        <f>IFERROR(__xludf.DUMMYFUNCTION("""COMPUTED_VALUE"""),"Argentina")</f>
        <v>Argentina</v>
      </c>
      <c r="E1232" s="135"/>
      <c r="F1232" s="31"/>
    </row>
    <row r="1233">
      <c r="A1233" s="134" t="str">
        <f>IFERROR(__xludf.DUMMYFUNCTION("""COMPUTED_VALUE"""),"Buenos Aires")</f>
        <v>Buenos Aires</v>
      </c>
      <c r="B1233" s="120" t="str">
        <f>IFERROR(__xludf.DUMMYFUNCTION("""COMPUTED_VALUE"""),"EZE")</f>
        <v>EZE</v>
      </c>
      <c r="C1233" s="120" t="str">
        <f>IFERROR(__xludf.DUMMYFUNCTION("""COMPUTED_VALUE"""),"Ezeiza Ministro Pistarini")</f>
        <v>Ezeiza Ministro Pistarini</v>
      </c>
      <c r="D1233" s="120" t="str">
        <f>IFERROR(__xludf.DUMMYFUNCTION("""COMPUTED_VALUE"""),"Argentina")</f>
        <v>Argentina</v>
      </c>
      <c r="E1233" s="135"/>
      <c r="F1233" s="31"/>
    </row>
    <row r="1234">
      <c r="A1234" s="134" t="str">
        <f>IFERROR(__xludf.DUMMYFUNCTION("""COMPUTED_VALUE"""),"Buenos Aires")</f>
        <v>Buenos Aires</v>
      </c>
      <c r="B1234" s="120" t="str">
        <f>IFERROR(__xludf.DUMMYFUNCTION("""COMPUTED_VALUE"""),"BAI")</f>
        <v>BAI</v>
      </c>
      <c r="C1234" s="120" t="str">
        <f>IFERROR(__xludf.DUMMYFUNCTION("""COMPUTED_VALUE"""),"Buenos Aires")</f>
        <v>Buenos Aires</v>
      </c>
      <c r="D1234" s="120" t="str">
        <f>IFERROR(__xludf.DUMMYFUNCTION("""COMPUTED_VALUE"""),"Costa Rica")</f>
        <v>Costa Rica</v>
      </c>
      <c r="E1234" s="135"/>
      <c r="F1234" s="31"/>
    </row>
    <row r="1235">
      <c r="A1235" s="134" t="str">
        <f>IFERROR(__xludf.DUMMYFUNCTION("""COMPUTED_VALUE"""),"Buffalo")</f>
        <v>Buffalo</v>
      </c>
      <c r="B1235" s="120" t="str">
        <f>IFERROR(__xludf.DUMMYFUNCTION("""COMPUTED_VALUE"""),"ZFZ")</f>
        <v>ZFZ</v>
      </c>
      <c r="C1235" s="120" t="str">
        <f>IFERROR(__xludf.DUMMYFUNCTION("""COMPUTED_VALUE"""),"Buffalo Depew Rr")</f>
        <v>Buffalo Depew Rr</v>
      </c>
      <c r="D1235" s="120" t="str">
        <f>IFERROR(__xludf.DUMMYFUNCTION("""COMPUTED_VALUE"""),"United States")</f>
        <v>United States</v>
      </c>
      <c r="E1235" s="135"/>
      <c r="F1235" s="31"/>
    </row>
    <row r="1236">
      <c r="A1236" s="134" t="str">
        <f>IFERROR(__xludf.DUMMYFUNCTION("""COMPUTED_VALUE"""),"Buffalo")</f>
        <v>Buffalo</v>
      </c>
      <c r="B1236" s="120" t="str">
        <f>IFERROR(__xludf.DUMMYFUNCTION("""COMPUTED_VALUE"""),"ZXS")</f>
        <v>ZXS</v>
      </c>
      <c r="C1236" s="120" t="str">
        <f>IFERROR(__xludf.DUMMYFUNCTION("""COMPUTED_VALUE"""),"ExchangeSt Railway Svc")</f>
        <v>ExchangeSt Railway Svc</v>
      </c>
      <c r="D1236" s="120" t="str">
        <f>IFERROR(__xludf.DUMMYFUNCTION("""COMPUTED_VALUE"""),"United States")</f>
        <v>United States</v>
      </c>
      <c r="E1236" s="135"/>
      <c r="F1236" s="31"/>
    </row>
    <row r="1237">
      <c r="A1237" s="134" t="str">
        <f>IFERROR(__xludf.DUMMYFUNCTION("""COMPUTED_VALUE"""),"Buffalo")</f>
        <v>Buffalo</v>
      </c>
      <c r="B1237" s="120" t="str">
        <f>IFERROR(__xludf.DUMMYFUNCTION("""COMPUTED_VALUE"""),"BYG")</f>
        <v>BYG</v>
      </c>
      <c r="C1237" s="120" t="str">
        <f>IFERROR(__xludf.DUMMYFUNCTION("""COMPUTED_VALUE"""),"Municipal")</f>
        <v>Municipal</v>
      </c>
      <c r="D1237" s="120" t="str">
        <f>IFERROR(__xludf.DUMMYFUNCTION("""COMPUTED_VALUE"""),"United States")</f>
        <v>United States</v>
      </c>
      <c r="E1237" s="135"/>
      <c r="F1237" s="31"/>
    </row>
    <row r="1238">
      <c r="A1238" s="134" t="str">
        <f>IFERROR(__xludf.DUMMYFUNCTION("""COMPUTED_VALUE"""),"Buffalo Narrows")</f>
        <v>Buffalo Narrows</v>
      </c>
      <c r="B1238" s="120" t="str">
        <f>IFERROR(__xludf.DUMMYFUNCTION("""COMPUTED_VALUE"""),"YVT")</f>
        <v>YVT</v>
      </c>
      <c r="C1238" s="120" t="str">
        <f>IFERROR(__xludf.DUMMYFUNCTION("""COMPUTED_VALUE"""),"Buffalo Narrows")</f>
        <v>Buffalo Narrows</v>
      </c>
      <c r="D1238" s="120" t="str">
        <f>IFERROR(__xludf.DUMMYFUNCTION("""COMPUTED_VALUE"""),"Canada")</f>
        <v>Canada</v>
      </c>
      <c r="E1238" s="135"/>
      <c r="F1238" s="31"/>
    </row>
    <row r="1239">
      <c r="A1239" s="134" t="str">
        <f>IFERROR(__xludf.DUMMYFUNCTION("""COMPUTED_VALUE"""),"Buffalo Range")</f>
        <v>Buffalo Range</v>
      </c>
      <c r="B1239" s="120" t="str">
        <f>IFERROR(__xludf.DUMMYFUNCTION("""COMPUTED_VALUE"""),"BFO")</f>
        <v>BFO</v>
      </c>
      <c r="C1239" s="120" t="str">
        <f>IFERROR(__xludf.DUMMYFUNCTION("""COMPUTED_VALUE"""),"Buffalo Range")</f>
        <v>Buffalo Range</v>
      </c>
      <c r="D1239" s="120" t="str">
        <f>IFERROR(__xludf.DUMMYFUNCTION("""COMPUTED_VALUE"""),"Zimbabwe")</f>
        <v>Zimbabwe</v>
      </c>
      <c r="E1239" s="135"/>
      <c r="F1239" s="31"/>
    </row>
    <row r="1240">
      <c r="A1240" s="134" t="str">
        <f>IFERROR(__xludf.DUMMYFUNCTION("""COMPUTED_VALUE"""),"Bugulma")</f>
        <v>Bugulma</v>
      </c>
      <c r="B1240" s="120" t="str">
        <f>IFERROR(__xludf.DUMMYFUNCTION("""COMPUTED_VALUE"""),"UUA")</f>
        <v>UUA</v>
      </c>
      <c r="C1240" s="120" t="str">
        <f>IFERROR(__xludf.DUMMYFUNCTION("""COMPUTED_VALUE"""),"Bugulma")</f>
        <v>Bugulma</v>
      </c>
      <c r="D1240" s="120" t="str">
        <f>IFERROR(__xludf.DUMMYFUNCTION("""COMPUTED_VALUE"""),"Russia")</f>
        <v>Russia</v>
      </c>
      <c r="E1240" s="135"/>
      <c r="F1240" s="31"/>
    </row>
    <row r="1241">
      <c r="A1241" s="134" t="str">
        <f>IFERROR(__xludf.DUMMYFUNCTION("""COMPUTED_VALUE"""),"Buin")</f>
        <v>Buin</v>
      </c>
      <c r="B1241" s="120" t="str">
        <f>IFERROR(__xludf.DUMMYFUNCTION("""COMPUTED_VALUE"""),"UBI")</f>
        <v>UBI</v>
      </c>
      <c r="C1241" s="120" t="str">
        <f>IFERROR(__xludf.DUMMYFUNCTION("""COMPUTED_VALUE"""),"Buin")</f>
        <v>Buin</v>
      </c>
      <c r="D1241" s="120" t="str">
        <f>IFERROR(__xludf.DUMMYFUNCTION("""COMPUTED_VALUE"""),"Papua New Guinea")</f>
        <v>Papua New Guinea</v>
      </c>
      <c r="E1241" s="135"/>
      <c r="F1241" s="31"/>
    </row>
    <row r="1242">
      <c r="A1242" s="134" t="str">
        <f>IFERROR(__xludf.DUMMYFUNCTION("""COMPUTED_VALUE"""),"Bujumbura")</f>
        <v>Bujumbura</v>
      </c>
      <c r="B1242" s="120" t="str">
        <f>IFERROR(__xludf.DUMMYFUNCTION("""COMPUTED_VALUE"""),"BJM")</f>
        <v>BJM</v>
      </c>
      <c r="C1242" s="120" t="str">
        <f>IFERROR(__xludf.DUMMYFUNCTION("""COMPUTED_VALUE"""),"International")</f>
        <v>International</v>
      </c>
      <c r="D1242" s="120" t="str">
        <f>IFERROR(__xludf.DUMMYFUNCTION("""COMPUTED_VALUE"""),"Burundi")</f>
        <v>Burundi</v>
      </c>
      <c r="E1242" s="135"/>
      <c r="F1242" s="31"/>
    </row>
    <row r="1243">
      <c r="A1243" s="134" t="str">
        <f>IFERROR(__xludf.DUMMYFUNCTION("""COMPUTED_VALUE"""),"Buka")</f>
        <v>Buka</v>
      </c>
      <c r="B1243" s="120" t="str">
        <f>IFERROR(__xludf.DUMMYFUNCTION("""COMPUTED_VALUE"""),"BUA")</f>
        <v>BUA</v>
      </c>
      <c r="C1243" s="120" t="str">
        <f>IFERROR(__xludf.DUMMYFUNCTION("""COMPUTED_VALUE"""),"Buka")</f>
        <v>Buka</v>
      </c>
      <c r="D1243" s="120" t="str">
        <f>IFERROR(__xludf.DUMMYFUNCTION("""COMPUTED_VALUE"""),"Papua New Guinea")</f>
        <v>Papua New Guinea</v>
      </c>
      <c r="E1243" s="135"/>
      <c r="F1243" s="31"/>
    </row>
    <row r="1244">
      <c r="A1244" s="134" t="str">
        <f>IFERROR(__xludf.DUMMYFUNCTION("""COMPUTED_VALUE"""),"Bukavu")</f>
        <v>Bukavu</v>
      </c>
      <c r="B1244" s="120" t="str">
        <f>IFERROR(__xludf.DUMMYFUNCTION("""COMPUTED_VALUE"""),"BKY")</f>
        <v>BKY</v>
      </c>
      <c r="C1244" s="120" t="str">
        <f>IFERROR(__xludf.DUMMYFUNCTION("""COMPUTED_VALUE"""),"Kamenbe")</f>
        <v>Kamenbe</v>
      </c>
      <c r="D1244" s="120" t="str">
        <f>IFERROR(__xludf.DUMMYFUNCTION("""COMPUTED_VALUE"""),"Zaire")</f>
        <v>Zaire</v>
      </c>
      <c r="E1244" s="135"/>
      <c r="F1244" s="31"/>
    </row>
    <row r="1245">
      <c r="A1245" s="134" t="str">
        <f>IFERROR(__xludf.DUMMYFUNCTION("""COMPUTED_VALUE"""),"Bukhara")</f>
        <v>Bukhara</v>
      </c>
      <c r="B1245" s="120" t="str">
        <f>IFERROR(__xludf.DUMMYFUNCTION("""COMPUTED_VALUE"""),"BHK")</f>
        <v>BHK</v>
      </c>
      <c r="C1245" s="120" t="str">
        <f>IFERROR(__xludf.DUMMYFUNCTION("""COMPUTED_VALUE"""),"Bukhara")</f>
        <v>Bukhara</v>
      </c>
      <c r="D1245" s="120" t="str">
        <f>IFERROR(__xludf.DUMMYFUNCTION("""COMPUTED_VALUE"""),"Uzbekistan")</f>
        <v>Uzbekistan</v>
      </c>
      <c r="E1245" s="135"/>
      <c r="F1245" s="31"/>
    </row>
    <row r="1246">
      <c r="A1246" s="134" t="str">
        <f>IFERROR(__xludf.DUMMYFUNCTION("""COMPUTED_VALUE"""),"Bukoba")</f>
        <v>Bukoba</v>
      </c>
      <c r="B1246" s="120" t="str">
        <f>IFERROR(__xludf.DUMMYFUNCTION("""COMPUTED_VALUE"""),"BKZ")</f>
        <v>BKZ</v>
      </c>
      <c r="C1246" s="120" t="str">
        <f>IFERROR(__xludf.DUMMYFUNCTION("""COMPUTED_VALUE"""),"Bukoba")</f>
        <v>Bukoba</v>
      </c>
      <c r="D1246" s="120" t="str">
        <f>IFERROR(__xludf.DUMMYFUNCTION("""COMPUTED_VALUE"""),"Tanzania")</f>
        <v>Tanzania</v>
      </c>
      <c r="E1246" s="135"/>
      <c r="F1246" s="31"/>
    </row>
    <row r="1247">
      <c r="A1247" s="134" t="str">
        <f>IFERROR(__xludf.DUMMYFUNCTION("""COMPUTED_VALUE"""),"Bulawayo")</f>
        <v>Bulawayo</v>
      </c>
      <c r="B1247" s="120" t="str">
        <f>IFERROR(__xludf.DUMMYFUNCTION("""COMPUTED_VALUE"""),"BUQ")</f>
        <v>BUQ</v>
      </c>
      <c r="C1247" s="120" t="str">
        <f>IFERROR(__xludf.DUMMYFUNCTION("""COMPUTED_VALUE"""),"Bulawayo")</f>
        <v>Bulawayo</v>
      </c>
      <c r="D1247" s="120" t="str">
        <f>IFERROR(__xludf.DUMMYFUNCTION("""COMPUTED_VALUE"""),"Zimbabwe")</f>
        <v>Zimbabwe</v>
      </c>
      <c r="E1247" s="135"/>
      <c r="F1247" s="31"/>
    </row>
    <row r="1248">
      <c r="A1248" s="134" t="str">
        <f>IFERROR(__xludf.DUMMYFUNCTION("""COMPUTED_VALUE"""),"Bulchi")</f>
        <v>Bulchi</v>
      </c>
      <c r="B1248" s="120" t="str">
        <f>IFERROR(__xludf.DUMMYFUNCTION("""COMPUTED_VALUE"""),"BCY")</f>
        <v>BCY</v>
      </c>
      <c r="C1248" s="120" t="str">
        <f>IFERROR(__xludf.DUMMYFUNCTION("""COMPUTED_VALUE"""),"Bulchi")</f>
        <v>Bulchi</v>
      </c>
      <c r="D1248" s="120" t="str">
        <f>IFERROR(__xludf.DUMMYFUNCTION("""COMPUTED_VALUE"""),"Ethiopia")</f>
        <v>Ethiopia</v>
      </c>
      <c r="E1248" s="135"/>
      <c r="F1248" s="31"/>
    </row>
    <row r="1249">
      <c r="A1249" s="134" t="str">
        <f>IFERROR(__xludf.DUMMYFUNCTION("""COMPUTED_VALUE"""),"Bulgan")</f>
        <v>Bulgan</v>
      </c>
      <c r="B1249" s="120" t="str">
        <f>IFERROR(__xludf.DUMMYFUNCTION("""COMPUTED_VALUE"""),"UGA")</f>
        <v>UGA</v>
      </c>
      <c r="C1249" s="120" t="str">
        <f>IFERROR(__xludf.DUMMYFUNCTION("""COMPUTED_VALUE"""),"Bulgan")</f>
        <v>Bulgan</v>
      </c>
      <c r="D1249" s="120" t="str">
        <f>IFERROR(__xludf.DUMMYFUNCTION("""COMPUTED_VALUE"""),"Mongolia")</f>
        <v>Mongolia</v>
      </c>
      <c r="E1249" s="135"/>
      <c r="F1249" s="31"/>
    </row>
    <row r="1250">
      <c r="A1250" s="134" t="str">
        <f>IFERROR(__xludf.DUMMYFUNCTION("""COMPUTED_VALUE"""),"Bulimba")</f>
        <v>Bulimba</v>
      </c>
      <c r="B1250" s="120" t="str">
        <f>IFERROR(__xludf.DUMMYFUNCTION("""COMPUTED_VALUE"""),"BIP")</f>
        <v>BIP</v>
      </c>
      <c r="C1250" s="120" t="str">
        <f>IFERROR(__xludf.DUMMYFUNCTION("""COMPUTED_VALUE"""),"Bulimba")</f>
        <v>Bulimba</v>
      </c>
      <c r="D1250" s="120" t="str">
        <f>IFERROR(__xludf.DUMMYFUNCTION("""COMPUTED_VALUE"""),"Australia")</f>
        <v>Australia</v>
      </c>
      <c r="E1250" s="135"/>
      <c r="F1250" s="31"/>
    </row>
    <row r="1251">
      <c r="A1251" s="134" t="str">
        <f>IFERROR(__xludf.DUMMYFUNCTION("""COMPUTED_VALUE"""),"Bull Harbour")</f>
        <v>Bull Harbour</v>
      </c>
      <c r="B1251" s="120" t="str">
        <f>IFERROR(__xludf.DUMMYFUNCTION("""COMPUTED_VALUE"""),"YBH")</f>
        <v>YBH</v>
      </c>
      <c r="C1251" s="120" t="str">
        <f>IFERROR(__xludf.DUMMYFUNCTION("""COMPUTED_VALUE"""),"Bull Harbour")</f>
        <v>Bull Harbour</v>
      </c>
      <c r="D1251" s="120" t="str">
        <f>IFERROR(__xludf.DUMMYFUNCTION("""COMPUTED_VALUE"""),"Canada")</f>
        <v>Canada</v>
      </c>
      <c r="E1251" s="135"/>
      <c r="F1251" s="31"/>
    </row>
    <row r="1252">
      <c r="A1252" s="134" t="str">
        <f>IFERROR(__xludf.DUMMYFUNCTION("""COMPUTED_VALUE"""),"Bullfrog Basin")</f>
        <v>Bullfrog Basin</v>
      </c>
      <c r="B1252" s="120" t="str">
        <f>IFERROR(__xludf.DUMMYFUNCTION("""COMPUTED_VALUE"""),"BFG")</f>
        <v>BFG</v>
      </c>
      <c r="C1252" s="120" t="str">
        <f>IFERROR(__xludf.DUMMYFUNCTION("""COMPUTED_VALUE"""),"Bullfrog Basin")</f>
        <v>Bullfrog Basin</v>
      </c>
      <c r="D1252" s="120" t="str">
        <f>IFERROR(__xludf.DUMMYFUNCTION("""COMPUTED_VALUE"""),"United States")</f>
        <v>United States</v>
      </c>
      <c r="E1252" s="135"/>
      <c r="F1252" s="31"/>
    </row>
    <row r="1253">
      <c r="A1253" s="134" t="str">
        <f>IFERROR(__xludf.DUMMYFUNCTION("""COMPUTED_VALUE"""),"Bullhead City")</f>
        <v>Bullhead City</v>
      </c>
      <c r="B1253" s="120" t="str">
        <f>IFERROR(__xludf.DUMMYFUNCTION("""COMPUTED_VALUE"""),"IFP")</f>
        <v>IFP</v>
      </c>
      <c r="C1253" s="120" t="str">
        <f>IFERROR(__xludf.DUMMYFUNCTION("""COMPUTED_VALUE"""),"Laughlin Bullhead Intl")</f>
        <v>Laughlin Bullhead Intl</v>
      </c>
      <c r="D1253" s="120" t="str">
        <f>IFERROR(__xludf.DUMMYFUNCTION("""COMPUTED_VALUE"""),"United States")</f>
        <v>United States</v>
      </c>
      <c r="E1253" s="135"/>
      <c r="F1253" s="31"/>
    </row>
    <row r="1254">
      <c r="A1254" s="134" t="str">
        <f>IFERROR(__xludf.DUMMYFUNCTION("""COMPUTED_VALUE"""),"Bulolo")</f>
        <v>Bulolo</v>
      </c>
      <c r="B1254" s="120" t="str">
        <f>IFERROR(__xludf.DUMMYFUNCTION("""COMPUTED_VALUE"""),"BUL")</f>
        <v>BUL</v>
      </c>
      <c r="C1254" s="120" t="str">
        <f>IFERROR(__xludf.DUMMYFUNCTION("""COMPUTED_VALUE"""),"Bulolo")</f>
        <v>Bulolo</v>
      </c>
      <c r="D1254" s="120" t="str">
        <f>IFERROR(__xludf.DUMMYFUNCTION("""COMPUTED_VALUE"""),"Papua New Guinea")</f>
        <v>Papua New Guinea</v>
      </c>
      <c r="E1254" s="135"/>
      <c r="F1254" s="31"/>
    </row>
    <row r="1255">
      <c r="A1255" s="134" t="str">
        <f>IFERROR(__xludf.DUMMYFUNCTION("""COMPUTED_VALUE"""),"Bumba")</f>
        <v>Bumba</v>
      </c>
      <c r="B1255" s="120" t="str">
        <f>IFERROR(__xludf.DUMMYFUNCTION("""COMPUTED_VALUE"""),"BMB")</f>
        <v>BMB</v>
      </c>
      <c r="C1255" s="120" t="str">
        <f>IFERROR(__xludf.DUMMYFUNCTION("""COMPUTED_VALUE"""),"Bumba")</f>
        <v>Bumba</v>
      </c>
      <c r="D1255" s="120" t="str">
        <f>IFERROR(__xludf.DUMMYFUNCTION("""COMPUTED_VALUE"""),"Zaire")</f>
        <v>Zaire</v>
      </c>
      <c r="E1255" s="135"/>
      <c r="F1255" s="31"/>
    </row>
    <row r="1256">
      <c r="A1256" s="134" t="str">
        <f>IFERROR(__xludf.DUMMYFUNCTION("""COMPUTED_VALUE"""),"Bumi Hills")</f>
        <v>Bumi Hills</v>
      </c>
      <c r="B1256" s="120" t="str">
        <f>IFERROR(__xludf.DUMMYFUNCTION("""COMPUTED_VALUE"""),"BZH")</f>
        <v>BZH</v>
      </c>
      <c r="C1256" s="120" t="str">
        <f>IFERROR(__xludf.DUMMYFUNCTION("""COMPUTED_VALUE"""),"Bumi Hills")</f>
        <v>Bumi Hills</v>
      </c>
      <c r="D1256" s="120" t="str">
        <f>IFERROR(__xludf.DUMMYFUNCTION("""COMPUTED_VALUE"""),"Zimbabwe")</f>
        <v>Zimbabwe</v>
      </c>
      <c r="E1256" s="135"/>
      <c r="F1256" s="31"/>
    </row>
    <row r="1257">
      <c r="A1257" s="134" t="str">
        <f>IFERROR(__xludf.DUMMYFUNCTION("""COMPUTED_VALUE"""),"Bunbury")</f>
        <v>Bunbury</v>
      </c>
      <c r="B1257" s="120" t="str">
        <f>IFERROR(__xludf.DUMMYFUNCTION("""COMPUTED_VALUE"""),"BUY")</f>
        <v>BUY</v>
      </c>
      <c r="C1257" s="120" t="str">
        <f>IFERROR(__xludf.DUMMYFUNCTION("""COMPUTED_VALUE"""),"Bunbury")</f>
        <v>Bunbury</v>
      </c>
      <c r="D1257" s="120" t="str">
        <f>IFERROR(__xludf.DUMMYFUNCTION("""COMPUTED_VALUE"""),"Australia")</f>
        <v>Australia</v>
      </c>
      <c r="E1257" s="135"/>
      <c r="F1257" s="31"/>
    </row>
    <row r="1258">
      <c r="A1258" s="134" t="str">
        <f>IFERROR(__xludf.DUMMYFUNCTION("""COMPUTED_VALUE"""),"Bundaberg")</f>
        <v>Bundaberg</v>
      </c>
      <c r="B1258" s="120" t="str">
        <f>IFERROR(__xludf.DUMMYFUNCTION("""COMPUTED_VALUE"""),"BDB")</f>
        <v>BDB</v>
      </c>
      <c r="C1258" s="120" t="str">
        <f>IFERROR(__xludf.DUMMYFUNCTION("""COMPUTED_VALUE"""),"Bundaberg")</f>
        <v>Bundaberg</v>
      </c>
      <c r="D1258" s="120" t="str">
        <f>IFERROR(__xludf.DUMMYFUNCTION("""COMPUTED_VALUE"""),"Australia")</f>
        <v>Australia</v>
      </c>
      <c r="E1258" s="135"/>
      <c r="F1258" s="31"/>
    </row>
    <row r="1259">
      <c r="A1259" s="134" t="str">
        <f>IFERROR(__xludf.DUMMYFUNCTION("""COMPUTED_VALUE"""),"Bundi")</f>
        <v>Bundi</v>
      </c>
      <c r="B1259" s="120" t="str">
        <f>IFERROR(__xludf.DUMMYFUNCTION("""COMPUTED_VALUE"""),"BNT")</f>
        <v>BNT</v>
      </c>
      <c r="C1259" s="120" t="str">
        <f>IFERROR(__xludf.DUMMYFUNCTION("""COMPUTED_VALUE"""),"Bundi")</f>
        <v>Bundi</v>
      </c>
      <c r="D1259" s="120" t="str">
        <f>IFERROR(__xludf.DUMMYFUNCTION("""COMPUTED_VALUE"""),"Papua New Guinea")</f>
        <v>Papua New Guinea</v>
      </c>
      <c r="E1259" s="135"/>
      <c r="F1259" s="31"/>
    </row>
    <row r="1260">
      <c r="A1260" s="134" t="str">
        <f>IFERROR(__xludf.DUMMYFUNCTION("""COMPUTED_VALUE"""),"Bunia")</f>
        <v>Bunia</v>
      </c>
      <c r="B1260" s="120" t="str">
        <f>IFERROR(__xludf.DUMMYFUNCTION("""COMPUTED_VALUE"""),"BUX")</f>
        <v>BUX</v>
      </c>
      <c r="C1260" s="120" t="str">
        <f>IFERROR(__xludf.DUMMYFUNCTION("""COMPUTED_VALUE"""),"Bunia")</f>
        <v>Bunia</v>
      </c>
      <c r="D1260" s="120" t="str">
        <f>IFERROR(__xludf.DUMMYFUNCTION("""COMPUTED_VALUE"""),"Zaire")</f>
        <v>Zaire</v>
      </c>
      <c r="E1260" s="135"/>
      <c r="F1260" s="31"/>
    </row>
    <row r="1261">
      <c r="A1261" s="134" t="str">
        <f>IFERROR(__xludf.DUMMYFUNCTION("""COMPUTED_VALUE"""),"Buno Bedelle")</f>
        <v>Buno Bedelle</v>
      </c>
      <c r="B1261" s="120" t="str">
        <f>IFERROR(__xludf.DUMMYFUNCTION("""COMPUTED_VALUE"""),"XBL")</f>
        <v>XBL</v>
      </c>
      <c r="C1261" s="120" t="str">
        <f>IFERROR(__xludf.DUMMYFUNCTION("""COMPUTED_VALUE"""),"Buno Bedelle")</f>
        <v>Buno Bedelle</v>
      </c>
      <c r="D1261" s="120" t="str">
        <f>IFERROR(__xludf.DUMMYFUNCTION("""COMPUTED_VALUE"""),"Ethiopia")</f>
        <v>Ethiopia</v>
      </c>
      <c r="E1261" s="135"/>
      <c r="F1261" s="31"/>
    </row>
    <row r="1262">
      <c r="A1262" s="134" t="str">
        <f>IFERROR(__xludf.DUMMYFUNCTION("""COMPUTED_VALUE"""),"Bunsil")</f>
        <v>Bunsil</v>
      </c>
      <c r="B1262" s="120" t="str">
        <f>IFERROR(__xludf.DUMMYFUNCTION("""COMPUTED_VALUE"""),"BXZ")</f>
        <v>BXZ</v>
      </c>
      <c r="C1262" s="120" t="str">
        <f>IFERROR(__xludf.DUMMYFUNCTION("""COMPUTED_VALUE"""),"Bunsil")</f>
        <v>Bunsil</v>
      </c>
      <c r="D1262" s="120" t="str">
        <f>IFERROR(__xludf.DUMMYFUNCTION("""COMPUTED_VALUE"""),"Papua New Guinea")</f>
        <v>Papua New Guinea</v>
      </c>
      <c r="E1262" s="135"/>
      <c r="F1262" s="31"/>
    </row>
    <row r="1263">
      <c r="A1263" s="134" t="str">
        <f>IFERROR(__xludf.DUMMYFUNCTION("""COMPUTED_VALUE"""),"Bunyu")</f>
        <v>Bunyu</v>
      </c>
      <c r="B1263" s="120" t="str">
        <f>IFERROR(__xludf.DUMMYFUNCTION("""COMPUTED_VALUE"""),"BYQ")</f>
        <v>BYQ</v>
      </c>
      <c r="C1263" s="120" t="str">
        <f>IFERROR(__xludf.DUMMYFUNCTION("""COMPUTED_VALUE"""),"Bunyu")</f>
        <v>Bunyu</v>
      </c>
      <c r="D1263" s="120" t="str">
        <f>IFERROR(__xludf.DUMMYFUNCTION("""COMPUTED_VALUE"""),"Indonesia")</f>
        <v>Indonesia</v>
      </c>
      <c r="E1263" s="135"/>
      <c r="F1263" s="31"/>
    </row>
    <row r="1264">
      <c r="A1264" s="134" t="str">
        <f>IFERROR(__xludf.DUMMYFUNCTION("""COMPUTED_VALUE"""),"Buochs")</f>
        <v>Buochs</v>
      </c>
      <c r="B1264" s="120" t="str">
        <f>IFERROR(__xludf.DUMMYFUNCTION("""COMPUTED_VALUE"""),"BXO")</f>
        <v>BXO</v>
      </c>
      <c r="C1264" s="120" t="str">
        <f>IFERROR(__xludf.DUMMYFUNCTION("""COMPUTED_VALUE"""),"Buochs")</f>
        <v>Buochs</v>
      </c>
      <c r="D1264" s="120" t="str">
        <f>IFERROR(__xludf.DUMMYFUNCTION("""COMPUTED_VALUE"""),"Guinea-Bissau")</f>
        <v>Guinea-Bissau</v>
      </c>
      <c r="E1264" s="135"/>
      <c r="F1264" s="31"/>
    </row>
    <row r="1265">
      <c r="A1265" s="134" t="str">
        <f>IFERROR(__xludf.DUMMYFUNCTION("""COMPUTED_VALUE"""),"Buol")</f>
        <v>Buol</v>
      </c>
      <c r="B1265" s="120" t="str">
        <f>IFERROR(__xludf.DUMMYFUNCTION("""COMPUTED_VALUE"""),"UOL")</f>
        <v>UOL</v>
      </c>
      <c r="C1265" s="120" t="str">
        <f>IFERROR(__xludf.DUMMYFUNCTION("""COMPUTED_VALUE"""),"Buol")</f>
        <v>Buol</v>
      </c>
      <c r="D1265" s="120" t="str">
        <f>IFERROR(__xludf.DUMMYFUNCTION("""COMPUTED_VALUE"""),"Indonesia")</f>
        <v>Indonesia</v>
      </c>
      <c r="E1265" s="135"/>
      <c r="F1265" s="31"/>
    </row>
    <row r="1266">
      <c r="A1266" s="134" t="str">
        <f>IFERROR(__xludf.DUMMYFUNCTION("""COMPUTED_VALUE"""),"Buraimi")</f>
        <v>Buraimi</v>
      </c>
      <c r="B1266" s="120" t="str">
        <f>IFERROR(__xludf.DUMMYFUNCTION("""COMPUTED_VALUE"""),"RMB")</f>
        <v>RMB</v>
      </c>
      <c r="C1266" s="120" t="str">
        <f>IFERROR(__xludf.DUMMYFUNCTION("""COMPUTED_VALUE"""),"Buraimi")</f>
        <v>Buraimi</v>
      </c>
      <c r="D1266" s="120" t="str">
        <f>IFERROR(__xludf.DUMMYFUNCTION("""COMPUTED_VALUE"""),"Oman")</f>
        <v>Oman</v>
      </c>
      <c r="E1266" s="135"/>
      <c r="F1266" s="31"/>
    </row>
    <row r="1267">
      <c r="A1267" s="134" t="str">
        <f>IFERROR(__xludf.DUMMYFUNCTION("""COMPUTED_VALUE"""),"Burao")</f>
        <v>Burao</v>
      </c>
      <c r="B1267" s="120" t="str">
        <f>IFERROR(__xludf.DUMMYFUNCTION("""COMPUTED_VALUE"""),"BUO")</f>
        <v>BUO</v>
      </c>
      <c r="C1267" s="120" t="str">
        <f>IFERROR(__xludf.DUMMYFUNCTION("""COMPUTED_VALUE"""),"Burao")</f>
        <v>Burao</v>
      </c>
      <c r="D1267" s="120" t="str">
        <f>IFERROR(__xludf.DUMMYFUNCTION("""COMPUTED_VALUE"""),"Somalia")</f>
        <v>Somalia</v>
      </c>
      <c r="E1267" s="135"/>
      <c r="F1267" s="31"/>
    </row>
    <row r="1268">
      <c r="A1268" s="134" t="str">
        <f>IFERROR(__xludf.DUMMYFUNCTION("""COMPUTED_VALUE"""),"Burbank")</f>
        <v>Burbank</v>
      </c>
      <c r="B1268" s="120" t="str">
        <f>IFERROR(__xludf.DUMMYFUNCTION("""COMPUTED_VALUE"""),"BUR")</f>
        <v>BUR</v>
      </c>
      <c r="C1268" s="120" t="str">
        <f>IFERROR(__xludf.DUMMYFUNCTION("""COMPUTED_VALUE"""),"Bob Hope")</f>
        <v>Bob Hope</v>
      </c>
      <c r="D1268" s="120" t="str">
        <f>IFERROR(__xludf.DUMMYFUNCTION("""COMPUTED_VALUE"""),"United States")</f>
        <v>United States</v>
      </c>
      <c r="E1268" s="135"/>
      <c r="F1268" s="31"/>
    </row>
    <row r="1269">
      <c r="A1269" s="134" t="str">
        <f>IFERROR(__xludf.DUMMYFUNCTION("""COMPUTED_VALUE"""),"Bureta")</f>
        <v>Bureta</v>
      </c>
      <c r="B1269" s="120" t="str">
        <f>IFERROR(__xludf.DUMMYFUNCTION("""COMPUTED_VALUE"""),"LEV")</f>
        <v>LEV</v>
      </c>
      <c r="C1269" s="120" t="str">
        <f>IFERROR(__xludf.DUMMYFUNCTION("""COMPUTED_VALUE"""),"Levuka Airfield")</f>
        <v>Levuka Airfield</v>
      </c>
      <c r="D1269" s="120" t="str">
        <f>IFERROR(__xludf.DUMMYFUNCTION("""COMPUTED_VALUE"""),"Fiji")</f>
        <v>Fiji</v>
      </c>
      <c r="E1269" s="135"/>
      <c r="F1269" s="31"/>
    </row>
    <row r="1270">
      <c r="A1270" s="134" t="str">
        <f>IFERROR(__xludf.DUMMYFUNCTION("""COMPUTED_VALUE"""),"Burg Feuerstein")</f>
        <v>Burg Feuerstein</v>
      </c>
      <c r="B1270" s="120" t="str">
        <f>IFERROR(__xludf.DUMMYFUNCTION("""COMPUTED_VALUE"""),"URD")</f>
        <v>URD</v>
      </c>
      <c r="C1270" s="120" t="str">
        <f>IFERROR(__xludf.DUMMYFUNCTION("""COMPUTED_VALUE"""),"Burg Feuerstein")</f>
        <v>Burg Feuerstein</v>
      </c>
      <c r="D1270" s="120" t="str">
        <f>IFERROR(__xludf.DUMMYFUNCTION("""COMPUTED_VALUE"""),"Germany")</f>
        <v>Germany</v>
      </c>
      <c r="E1270" s="135"/>
      <c r="F1270" s="31"/>
    </row>
    <row r="1271">
      <c r="A1271" s="134" t="str">
        <f>IFERROR(__xludf.DUMMYFUNCTION("""COMPUTED_VALUE"""),"Buri Ram")</f>
        <v>Buri Ram</v>
      </c>
      <c r="B1271" s="120" t="str">
        <f>IFERROR(__xludf.DUMMYFUNCTION("""COMPUTED_VALUE"""),"BFV")</f>
        <v>BFV</v>
      </c>
      <c r="C1271" s="120" t="str">
        <f>IFERROR(__xludf.DUMMYFUNCTION("""COMPUTED_VALUE"""),"Buri Ram")</f>
        <v>Buri Ram</v>
      </c>
      <c r="D1271" s="120" t="str">
        <f>IFERROR(__xludf.DUMMYFUNCTION("""COMPUTED_VALUE"""),"Thailand")</f>
        <v>Thailand</v>
      </c>
      <c r="E1271" s="135"/>
      <c r="F1271" s="31"/>
    </row>
    <row r="1272">
      <c r="A1272" s="134" t="str">
        <f>IFERROR(__xludf.DUMMYFUNCTION("""COMPUTED_VALUE"""),"Burketown")</f>
        <v>Burketown</v>
      </c>
      <c r="B1272" s="120" t="str">
        <f>IFERROR(__xludf.DUMMYFUNCTION("""COMPUTED_VALUE"""),"BUC")</f>
        <v>BUC</v>
      </c>
      <c r="C1272" s="120" t="str">
        <f>IFERROR(__xludf.DUMMYFUNCTION("""COMPUTED_VALUE"""),"Burketown")</f>
        <v>Burketown</v>
      </c>
      <c r="D1272" s="120" t="str">
        <f>IFERROR(__xludf.DUMMYFUNCTION("""COMPUTED_VALUE"""),"Australia")</f>
        <v>Australia</v>
      </c>
      <c r="E1272" s="135"/>
      <c r="F1272" s="31"/>
    </row>
    <row r="1273">
      <c r="A1273" s="134" t="str">
        <f>IFERROR(__xludf.DUMMYFUNCTION("""COMPUTED_VALUE"""),"Burlington")</f>
        <v>Burlington</v>
      </c>
      <c r="B1273" s="120" t="str">
        <f>IFERROR(__xludf.DUMMYFUNCTION("""COMPUTED_VALUE"""),"BRL")</f>
        <v>BRL</v>
      </c>
      <c r="C1273" s="120" t="str">
        <f>IFERROR(__xludf.DUMMYFUNCTION("""COMPUTED_VALUE"""),"Burlington")</f>
        <v>Burlington</v>
      </c>
      <c r="D1273" s="120" t="str">
        <f>IFERROR(__xludf.DUMMYFUNCTION("""COMPUTED_VALUE"""),"United States")</f>
        <v>United States</v>
      </c>
      <c r="E1273" s="135"/>
      <c r="F1273" s="31"/>
    </row>
    <row r="1274">
      <c r="A1274" s="134" t="str">
        <f>IFERROR(__xludf.DUMMYFUNCTION("""COMPUTED_VALUE"""),"Burlington")</f>
        <v>Burlington</v>
      </c>
      <c r="B1274" s="120" t="str">
        <f>IFERROR(__xludf.DUMMYFUNCTION("""COMPUTED_VALUE"""),"BBF")</f>
        <v>BBF</v>
      </c>
      <c r="C1274" s="120" t="str">
        <f>IFERROR(__xludf.DUMMYFUNCTION("""COMPUTED_VALUE"""),"Burlington")</f>
        <v>Burlington</v>
      </c>
      <c r="D1274" s="120" t="str">
        <f>IFERROR(__xludf.DUMMYFUNCTION("""COMPUTED_VALUE"""),"United States")</f>
        <v>United States</v>
      </c>
      <c r="E1274" s="135"/>
      <c r="F1274" s="31"/>
    </row>
    <row r="1275">
      <c r="A1275" s="134" t="str">
        <f>IFERROR(__xludf.DUMMYFUNCTION("""COMPUTED_VALUE"""),"Burlington")</f>
        <v>Burlington</v>
      </c>
      <c r="B1275" s="120" t="str">
        <f>IFERROR(__xludf.DUMMYFUNCTION("""COMPUTED_VALUE"""),"BTV")</f>
        <v>BTV</v>
      </c>
      <c r="C1275" s="120" t="str">
        <f>IFERROR(__xludf.DUMMYFUNCTION("""COMPUTED_VALUE"""),"International")</f>
        <v>International</v>
      </c>
      <c r="D1275" s="120" t="str">
        <f>IFERROR(__xludf.DUMMYFUNCTION("""COMPUTED_VALUE"""),"United States")</f>
        <v>United States</v>
      </c>
      <c r="E1275" s="135"/>
      <c r="F1275" s="31"/>
    </row>
    <row r="1276">
      <c r="A1276" s="134" t="str">
        <f>IFERROR(__xludf.DUMMYFUNCTION("""COMPUTED_VALUE"""),"Burnie")</f>
        <v>Burnie</v>
      </c>
      <c r="B1276" s="120" t="str">
        <f>IFERROR(__xludf.DUMMYFUNCTION("""COMPUTED_VALUE"""),"BWT")</f>
        <v>BWT</v>
      </c>
      <c r="C1276" s="120" t="str">
        <f>IFERROR(__xludf.DUMMYFUNCTION("""COMPUTED_VALUE"""),"Burnie Wynyard")</f>
        <v>Burnie Wynyard</v>
      </c>
      <c r="D1276" s="120" t="str">
        <f>IFERROR(__xludf.DUMMYFUNCTION("""COMPUTED_VALUE"""),"Australia")</f>
        <v>Australia</v>
      </c>
      <c r="E1276" s="135"/>
      <c r="F1276" s="31"/>
    </row>
    <row r="1277">
      <c r="A1277" s="134" t="str">
        <f>IFERROR(__xludf.DUMMYFUNCTION("""COMPUTED_VALUE"""),"Burns")</f>
        <v>Burns</v>
      </c>
      <c r="B1277" s="120" t="str">
        <f>IFERROR(__xludf.DUMMYFUNCTION("""COMPUTED_VALUE"""),"BNO")</f>
        <v>BNO</v>
      </c>
      <c r="C1277" s="120" t="str">
        <f>IFERROR(__xludf.DUMMYFUNCTION("""COMPUTED_VALUE"""),"Burns")</f>
        <v>Burns</v>
      </c>
      <c r="D1277" s="120" t="str">
        <f>IFERROR(__xludf.DUMMYFUNCTION("""COMPUTED_VALUE"""),"United States")</f>
        <v>United States</v>
      </c>
      <c r="E1277" s="135"/>
      <c r="F1277" s="31"/>
    </row>
    <row r="1278">
      <c r="A1278" s="134" t="str">
        <f>IFERROR(__xludf.DUMMYFUNCTION("""COMPUTED_VALUE"""),"Burns Lake")</f>
        <v>Burns Lake</v>
      </c>
      <c r="B1278" s="120" t="str">
        <f>IFERROR(__xludf.DUMMYFUNCTION("""COMPUTED_VALUE"""),"YPZ")</f>
        <v>YPZ</v>
      </c>
      <c r="C1278" s="120" t="str">
        <f>IFERROR(__xludf.DUMMYFUNCTION("""COMPUTED_VALUE"""),"Burns Lake")</f>
        <v>Burns Lake</v>
      </c>
      <c r="D1278" s="120" t="str">
        <f>IFERROR(__xludf.DUMMYFUNCTION("""COMPUTED_VALUE"""),"Canada")</f>
        <v>Canada</v>
      </c>
      <c r="E1278" s="135"/>
      <c r="F1278" s="31"/>
    </row>
    <row r="1279">
      <c r="A1279" s="134" t="str">
        <f>IFERROR(__xludf.DUMMYFUNCTION("""COMPUTED_VALUE"""),"Bursa")</f>
        <v>Bursa</v>
      </c>
      <c r="B1279" s="120" t="str">
        <f>IFERROR(__xludf.DUMMYFUNCTION("""COMPUTED_VALUE"""),"BTZ")</f>
        <v>BTZ</v>
      </c>
      <c r="C1279" s="120" t="str">
        <f>IFERROR(__xludf.DUMMYFUNCTION("""COMPUTED_VALUE"""),"Bursa Airport")</f>
        <v>Bursa Airport</v>
      </c>
      <c r="D1279" s="120" t="str">
        <f>IFERROR(__xludf.DUMMYFUNCTION("""COMPUTED_VALUE"""),"Turkey")</f>
        <v>Turkey</v>
      </c>
      <c r="E1279" s="135"/>
      <c r="F1279" s="31"/>
    </row>
    <row r="1280">
      <c r="A1280" s="134" t="str">
        <f>IFERROR(__xludf.DUMMYFUNCTION("""COMPUTED_VALUE"""),"Bursa")</f>
        <v>Bursa</v>
      </c>
      <c r="B1280" s="120" t="str">
        <f>IFERROR(__xludf.DUMMYFUNCTION("""COMPUTED_VALUE"""),"YEI")</f>
        <v>YEI</v>
      </c>
      <c r="C1280" s="120" t="str">
        <f>IFERROR(__xludf.DUMMYFUNCTION("""COMPUTED_VALUE"""),"Yenisehir")</f>
        <v>Yenisehir</v>
      </c>
      <c r="D1280" s="120" t="str">
        <f>IFERROR(__xludf.DUMMYFUNCTION("""COMPUTED_VALUE"""),"Canada")</f>
        <v>Canada</v>
      </c>
      <c r="E1280" s="135"/>
      <c r="F1280" s="31"/>
    </row>
    <row r="1281">
      <c r="A1281" s="134" t="str">
        <f>IFERROR(__xludf.DUMMYFUNCTION("""COMPUTED_VALUE"""),"Burtonwood")</f>
        <v>Burtonwood</v>
      </c>
      <c r="B1281" s="120" t="str">
        <f>IFERROR(__xludf.DUMMYFUNCTION("""COMPUTED_VALUE"""),"BUT")</f>
        <v>BUT</v>
      </c>
      <c r="C1281" s="120" t="str">
        <f>IFERROR(__xludf.DUMMYFUNCTION("""COMPUTED_VALUE"""),"Burtonwood")</f>
        <v>Burtonwood</v>
      </c>
      <c r="D1281" s="120" t="str">
        <f>IFERROR(__xludf.DUMMYFUNCTION("""COMPUTED_VALUE"""),"United Kingdom")</f>
        <v>United Kingdom</v>
      </c>
      <c r="E1281" s="135"/>
      <c r="F1281" s="31"/>
    </row>
    <row r="1282">
      <c r="A1282" s="134" t="str">
        <f>IFERROR(__xludf.DUMMYFUNCTION("""COMPUTED_VALUE"""),"Burundai")</f>
        <v>Burundai</v>
      </c>
      <c r="B1282" s="120" t="str">
        <f>IFERROR(__xludf.DUMMYFUNCTION("""COMPUTED_VALUE"""),"BXJ")</f>
        <v>BXJ</v>
      </c>
      <c r="C1282" s="120" t="str">
        <f>IFERROR(__xludf.DUMMYFUNCTION("""COMPUTED_VALUE"""),"Burundai")</f>
        <v>Burundai</v>
      </c>
      <c r="D1282" s="120" t="str">
        <f>IFERROR(__xludf.DUMMYFUNCTION("""COMPUTED_VALUE"""),"Kazakhstan")</f>
        <v>Kazakhstan</v>
      </c>
      <c r="E1282" s="135"/>
      <c r="F1282" s="31"/>
    </row>
    <row r="1283">
      <c r="A1283" s="134" t="str">
        <f>IFERROR(__xludf.DUMMYFUNCTION("""COMPUTED_VALUE"""),"Burwash Landings")</f>
        <v>Burwash Landings</v>
      </c>
      <c r="B1283" s="120" t="str">
        <f>IFERROR(__xludf.DUMMYFUNCTION("""COMPUTED_VALUE"""),"YDB")</f>
        <v>YDB</v>
      </c>
      <c r="C1283" s="120" t="str">
        <f>IFERROR(__xludf.DUMMYFUNCTION("""COMPUTED_VALUE"""),"Burwash Landings")</f>
        <v>Burwash Landings</v>
      </c>
      <c r="D1283" s="120" t="str">
        <f>IFERROR(__xludf.DUMMYFUNCTION("""COMPUTED_VALUE"""),"Canada")</f>
        <v>Canada</v>
      </c>
      <c r="E1283" s="135"/>
      <c r="F1283" s="31"/>
    </row>
    <row r="1284">
      <c r="A1284" s="134" t="str">
        <f>IFERROR(__xludf.DUMMYFUNCTION("""COMPUTED_VALUE"""),"Burwell")</f>
        <v>Burwell</v>
      </c>
      <c r="B1284" s="120" t="str">
        <f>IFERROR(__xludf.DUMMYFUNCTION("""COMPUTED_VALUE"""),"BUB")</f>
        <v>BUB</v>
      </c>
      <c r="C1284" s="120" t="str">
        <f>IFERROR(__xludf.DUMMYFUNCTION("""COMPUTED_VALUE"""),"Municipal")</f>
        <v>Municipal</v>
      </c>
      <c r="D1284" s="120" t="str">
        <f>IFERROR(__xludf.DUMMYFUNCTION("""COMPUTED_VALUE"""),"United States")</f>
        <v>United States</v>
      </c>
      <c r="E1284" s="135"/>
      <c r="F1284" s="31"/>
    </row>
    <row r="1285">
      <c r="A1285" s="134" t="str">
        <f>IFERROR(__xludf.DUMMYFUNCTION("""COMPUTED_VALUE"""),"Bury St Edmunds")</f>
        <v>Bury St Edmunds</v>
      </c>
      <c r="B1285" s="120" t="str">
        <f>IFERROR(__xludf.DUMMYFUNCTION("""COMPUTED_VALUE"""),"BEQ")</f>
        <v>BEQ</v>
      </c>
      <c r="C1285" s="120" t="str">
        <f>IFERROR(__xludf.DUMMYFUNCTION("""COMPUTED_VALUE"""),"Honington")</f>
        <v>Honington</v>
      </c>
      <c r="D1285" s="120" t="str">
        <f>IFERROR(__xludf.DUMMYFUNCTION("""COMPUTED_VALUE"""),"United Kingdom")</f>
        <v>United Kingdom</v>
      </c>
      <c r="E1285" s="135"/>
      <c r="F1285" s="31"/>
    </row>
    <row r="1286">
      <c r="A1286" s="134" t="str">
        <f>IFERROR(__xludf.DUMMYFUNCTION("""COMPUTED_VALUE"""),"Busan")</f>
        <v>Busan</v>
      </c>
      <c r="B1286" s="120" t="str">
        <f>IFERROR(__xludf.DUMMYFUNCTION("""COMPUTED_VALUE"""),"PUS")</f>
        <v>PUS</v>
      </c>
      <c r="C1286" s="120" t="str">
        <f>IFERROR(__xludf.DUMMYFUNCTION("""COMPUTED_VALUE"""),"Gimhae")</f>
        <v>Gimhae</v>
      </c>
      <c r="D1286" s="120" t="str">
        <f>IFERROR(__xludf.DUMMYFUNCTION("""COMPUTED_VALUE"""),"Korea (South)")</f>
        <v>Korea (South)</v>
      </c>
      <c r="E1286" s="135"/>
      <c r="F1286" s="31"/>
    </row>
    <row r="1287">
      <c r="A1287" s="134" t="str">
        <f>IFERROR(__xludf.DUMMYFUNCTION("""COMPUTED_VALUE"""),"Bushehr")</f>
        <v>Bushehr</v>
      </c>
      <c r="B1287" s="120" t="str">
        <f>IFERROR(__xludf.DUMMYFUNCTION("""COMPUTED_VALUE"""),"BUZ")</f>
        <v>BUZ</v>
      </c>
      <c r="C1287" s="120" t="str">
        <f>IFERROR(__xludf.DUMMYFUNCTION("""COMPUTED_VALUE"""),"Bushehr")</f>
        <v>Bushehr</v>
      </c>
      <c r="D1287" s="120" t="str">
        <f>IFERROR(__xludf.DUMMYFUNCTION("""COMPUTED_VALUE"""),"Iran")</f>
        <v>Iran</v>
      </c>
      <c r="E1287" s="135"/>
      <c r="F1287" s="31"/>
    </row>
    <row r="1288">
      <c r="A1288" s="134" t="str">
        <f>IFERROR(__xludf.DUMMYFUNCTION("""COMPUTED_VALUE"""),"Bussellton")</f>
        <v>Bussellton</v>
      </c>
      <c r="B1288" s="120" t="str">
        <f>IFERROR(__xludf.DUMMYFUNCTION("""COMPUTED_VALUE"""),"BQB")</f>
        <v>BQB</v>
      </c>
      <c r="C1288" s="120" t="str">
        <f>IFERROR(__xludf.DUMMYFUNCTION("""COMPUTED_VALUE"""),"Bussellton Airport")</f>
        <v>Bussellton Airport</v>
      </c>
      <c r="D1288" s="120" t="str">
        <f>IFERROR(__xludf.DUMMYFUNCTION("""COMPUTED_VALUE"""),"Australia")</f>
        <v>Australia</v>
      </c>
      <c r="E1288" s="135"/>
      <c r="F1288" s="31"/>
    </row>
    <row r="1289">
      <c r="A1289" s="134" t="str">
        <f>IFERROR(__xludf.DUMMYFUNCTION("""COMPUTED_VALUE"""),"Busuanga")</f>
        <v>Busuanga</v>
      </c>
      <c r="B1289" s="120" t="str">
        <f>IFERROR(__xludf.DUMMYFUNCTION("""COMPUTED_VALUE"""),"USU")</f>
        <v>USU</v>
      </c>
      <c r="C1289" s="120" t="str">
        <f>IFERROR(__xludf.DUMMYFUNCTION("""COMPUTED_VALUE"""),"Busuanga")</f>
        <v>Busuanga</v>
      </c>
      <c r="D1289" s="120" t="str">
        <f>IFERROR(__xludf.DUMMYFUNCTION("""COMPUTED_VALUE"""),"Philippines")</f>
        <v>Philippines</v>
      </c>
      <c r="E1289" s="135"/>
      <c r="F1289" s="31"/>
    </row>
    <row r="1290">
      <c r="A1290" s="134" t="str">
        <f>IFERROR(__xludf.DUMMYFUNCTION("""COMPUTED_VALUE"""),"Buta")</f>
        <v>Buta</v>
      </c>
      <c r="B1290" s="120" t="str">
        <f>IFERROR(__xludf.DUMMYFUNCTION("""COMPUTED_VALUE"""),"BZU")</f>
        <v>BZU</v>
      </c>
      <c r="C1290" s="120" t="str">
        <f>IFERROR(__xludf.DUMMYFUNCTION("""COMPUTED_VALUE"""),"Buta")</f>
        <v>Buta</v>
      </c>
      <c r="D1290" s="120" t="str">
        <f>IFERROR(__xludf.DUMMYFUNCTION("""COMPUTED_VALUE"""),"Zaire")</f>
        <v>Zaire</v>
      </c>
      <c r="E1290" s="135"/>
      <c r="F1290" s="31"/>
    </row>
    <row r="1291">
      <c r="A1291" s="134" t="str">
        <f>IFERROR(__xludf.DUMMYFUNCTION("""COMPUTED_VALUE"""),"Butare")</f>
        <v>Butare</v>
      </c>
      <c r="B1291" s="120" t="str">
        <f>IFERROR(__xludf.DUMMYFUNCTION("""COMPUTED_VALUE"""),"BTQ")</f>
        <v>BTQ</v>
      </c>
      <c r="C1291" s="120" t="str">
        <f>IFERROR(__xludf.DUMMYFUNCTION("""COMPUTED_VALUE"""),"Butare")</f>
        <v>Butare</v>
      </c>
      <c r="D1291" s="120" t="str">
        <f>IFERROR(__xludf.DUMMYFUNCTION("""COMPUTED_VALUE"""),"Rwanda")</f>
        <v>Rwanda</v>
      </c>
      <c r="E1291" s="135"/>
      <c r="F1291" s="31"/>
    </row>
    <row r="1292">
      <c r="A1292" s="134" t="str">
        <f>IFERROR(__xludf.DUMMYFUNCTION("""COMPUTED_VALUE"""),"Butaritari")</f>
        <v>Butaritari</v>
      </c>
      <c r="B1292" s="120" t="str">
        <f>IFERROR(__xludf.DUMMYFUNCTION("""COMPUTED_VALUE"""),"BBG")</f>
        <v>BBG</v>
      </c>
      <c r="C1292" s="120" t="str">
        <f>IFERROR(__xludf.DUMMYFUNCTION("""COMPUTED_VALUE"""),"Butaritari")</f>
        <v>Butaritari</v>
      </c>
      <c r="D1292" s="120" t="str">
        <f>IFERROR(__xludf.DUMMYFUNCTION("""COMPUTED_VALUE"""),"Kiribati")</f>
        <v>Kiribati</v>
      </c>
      <c r="E1292" s="135"/>
      <c r="F1292" s="31"/>
    </row>
    <row r="1293">
      <c r="A1293" s="134" t="str">
        <f>IFERROR(__xludf.DUMMYFUNCTION("""COMPUTED_VALUE"""),"Butler")</f>
        <v>Butler</v>
      </c>
      <c r="B1293" s="120" t="str">
        <f>IFERROR(__xludf.DUMMYFUNCTION("""COMPUTED_VALUE"""),"BUM")</f>
        <v>BUM</v>
      </c>
      <c r="C1293" s="120" t="str">
        <f>IFERROR(__xludf.DUMMYFUNCTION("""COMPUTED_VALUE"""),"Butler")</f>
        <v>Butler</v>
      </c>
      <c r="D1293" s="120" t="str">
        <f>IFERROR(__xludf.DUMMYFUNCTION("""COMPUTED_VALUE"""),"United States")</f>
        <v>United States</v>
      </c>
      <c r="E1293" s="135"/>
      <c r="F1293" s="31"/>
    </row>
    <row r="1294">
      <c r="A1294" s="134" t="str">
        <f>IFERROR(__xludf.DUMMYFUNCTION("""COMPUTED_VALUE"""),"Butler")</f>
        <v>Butler</v>
      </c>
      <c r="B1294" s="120" t="str">
        <f>IFERROR(__xludf.DUMMYFUNCTION("""COMPUTED_VALUE"""),"BTP")</f>
        <v>BTP</v>
      </c>
      <c r="C1294" s="120" t="str">
        <f>IFERROR(__xludf.DUMMYFUNCTION("""COMPUTED_VALUE"""),"Graham Field")</f>
        <v>Graham Field</v>
      </c>
      <c r="D1294" s="120" t="str">
        <f>IFERROR(__xludf.DUMMYFUNCTION("""COMPUTED_VALUE"""),"United States")</f>
        <v>United States</v>
      </c>
      <c r="E1294" s="135"/>
      <c r="F1294" s="31"/>
    </row>
    <row r="1295">
      <c r="A1295" s="134" t="str">
        <f>IFERROR(__xludf.DUMMYFUNCTION("""COMPUTED_VALUE"""),"Butte")</f>
        <v>Butte</v>
      </c>
      <c r="B1295" s="120" t="str">
        <f>IFERROR(__xludf.DUMMYFUNCTION("""COMPUTED_VALUE"""),"BTM")</f>
        <v>BTM</v>
      </c>
      <c r="C1295" s="120" t="str">
        <f>IFERROR(__xludf.DUMMYFUNCTION("""COMPUTED_VALUE"""),"Butte")</f>
        <v>Butte</v>
      </c>
      <c r="D1295" s="120" t="str">
        <f>IFERROR(__xludf.DUMMYFUNCTION("""COMPUTED_VALUE"""),"United States")</f>
        <v>United States</v>
      </c>
      <c r="E1295" s="135"/>
      <c r="F1295" s="31"/>
    </row>
    <row r="1296">
      <c r="A1296" s="134" t="str">
        <f>IFERROR(__xludf.DUMMYFUNCTION("""COMPUTED_VALUE"""),"Butterworth")</f>
        <v>Butterworth</v>
      </c>
      <c r="B1296" s="120" t="str">
        <f>IFERROR(__xludf.DUMMYFUNCTION("""COMPUTED_VALUE"""),"BWH")</f>
        <v>BWH</v>
      </c>
      <c r="C1296" s="120" t="str">
        <f>IFERROR(__xludf.DUMMYFUNCTION("""COMPUTED_VALUE"""),"Butterworth")</f>
        <v>Butterworth</v>
      </c>
      <c r="D1296" s="120" t="str">
        <f>IFERROR(__xludf.DUMMYFUNCTION("""COMPUTED_VALUE"""),"Malaysia")</f>
        <v>Malaysia</v>
      </c>
      <c r="E1296" s="135"/>
      <c r="F1296" s="31"/>
    </row>
    <row r="1297">
      <c r="A1297" s="134" t="str">
        <f>IFERROR(__xludf.DUMMYFUNCTION("""COMPUTED_VALUE"""),"Butterworth")</f>
        <v>Butterworth</v>
      </c>
      <c r="B1297" s="120" t="str">
        <f>IFERROR(__xludf.DUMMYFUNCTION("""COMPUTED_VALUE"""),"UTE")</f>
        <v>UTE</v>
      </c>
      <c r="C1297" s="120" t="str">
        <f>IFERROR(__xludf.DUMMYFUNCTION("""COMPUTED_VALUE"""),"Butterworth")</f>
        <v>Butterworth</v>
      </c>
      <c r="D1297" s="120" t="str">
        <f>IFERROR(__xludf.DUMMYFUNCTION("""COMPUTED_VALUE"""),"South Africa")</f>
        <v>South Africa</v>
      </c>
      <c r="E1297" s="135"/>
      <c r="F1297" s="31"/>
    </row>
    <row r="1298">
      <c r="A1298" s="134" t="str">
        <f>IFERROR(__xludf.DUMMYFUNCTION("""COMPUTED_VALUE"""),"Butuan")</f>
        <v>Butuan</v>
      </c>
      <c r="B1298" s="120" t="str">
        <f>IFERROR(__xludf.DUMMYFUNCTION("""COMPUTED_VALUE"""),"BXU")</f>
        <v>BXU</v>
      </c>
      <c r="C1298" s="120" t="str">
        <f>IFERROR(__xludf.DUMMYFUNCTION("""COMPUTED_VALUE"""),"Butuan")</f>
        <v>Butuan</v>
      </c>
      <c r="D1298" s="120" t="str">
        <f>IFERROR(__xludf.DUMMYFUNCTION("""COMPUTED_VALUE"""),"Philippines")</f>
        <v>Philippines</v>
      </c>
      <c r="E1298" s="135"/>
      <c r="F1298" s="31"/>
    </row>
    <row r="1299">
      <c r="A1299" s="134" t="str">
        <f>IFERROR(__xludf.DUMMYFUNCTION("""COMPUTED_VALUE"""),"Buyo")</f>
        <v>Buyo</v>
      </c>
      <c r="B1299" s="120" t="str">
        <f>IFERROR(__xludf.DUMMYFUNCTION("""COMPUTED_VALUE"""),"BUU")</f>
        <v>BUU</v>
      </c>
      <c r="C1299" s="120" t="str">
        <f>IFERROR(__xludf.DUMMYFUNCTION("""COMPUTED_VALUE"""),"Buyo")</f>
        <v>Buyo</v>
      </c>
      <c r="D1299" s="120" t="str">
        <f>IFERROR(__xludf.DUMMYFUNCTION("""COMPUTED_VALUE"""),"Cote D'Ivoire (Ivory Coast)")</f>
        <v>Cote D'Ivoire (Ivory Coast)</v>
      </c>
      <c r="E1299" s="135"/>
      <c r="F1299" s="31"/>
    </row>
    <row r="1300">
      <c r="A1300" s="134" t="str">
        <f>IFERROR(__xludf.DUMMYFUNCTION("""COMPUTED_VALUE"""),"Buzios")</f>
        <v>Buzios</v>
      </c>
      <c r="B1300" s="120" t="str">
        <f>IFERROR(__xludf.DUMMYFUNCTION("""COMPUTED_VALUE"""),"BZC")</f>
        <v>BZC</v>
      </c>
      <c r="C1300" s="120" t="str">
        <f>IFERROR(__xludf.DUMMYFUNCTION("""COMPUTED_VALUE"""),"Buzios")</f>
        <v>Buzios</v>
      </c>
      <c r="D1300" s="120" t="str">
        <f>IFERROR(__xludf.DUMMYFUNCTION("""COMPUTED_VALUE"""),"Brazil")</f>
        <v>Brazil</v>
      </c>
      <c r="E1300" s="135"/>
      <c r="F1300" s="31"/>
    </row>
    <row r="1301">
      <c r="A1301" s="134" t="str">
        <f>IFERROR(__xludf.DUMMYFUNCTION("""COMPUTED_VALUE"""),"Bydgoszcz")</f>
        <v>Bydgoszcz</v>
      </c>
      <c r="B1301" s="120" t="str">
        <f>IFERROR(__xludf.DUMMYFUNCTION("""COMPUTED_VALUE"""),"BZG")</f>
        <v>BZG</v>
      </c>
      <c r="C1301" s="120" t="str">
        <f>IFERROR(__xludf.DUMMYFUNCTION("""COMPUTED_VALUE"""),"Bydgoszcz I. J. Paderewski Airport")</f>
        <v>Bydgoszcz I. J. Paderewski Airport</v>
      </c>
      <c r="D1301" s="120" t="str">
        <f>IFERROR(__xludf.DUMMYFUNCTION("""COMPUTED_VALUE"""),"Poland")</f>
        <v>Poland</v>
      </c>
      <c r="E1301" s="135"/>
      <c r="F1301" s="31"/>
    </row>
    <row r="1302">
      <c r="A1302" s="134" t="str">
        <f>IFERROR(__xludf.DUMMYFUNCTION("""COMPUTED_VALUE"""),"Ca Mau")</f>
        <v>Ca Mau</v>
      </c>
      <c r="B1302" s="120" t="str">
        <f>IFERROR(__xludf.DUMMYFUNCTION("""COMPUTED_VALUE"""),"CAH")</f>
        <v>CAH</v>
      </c>
      <c r="C1302" s="120" t="str">
        <f>IFERROR(__xludf.DUMMYFUNCTION("""COMPUTED_VALUE"""),"Ca Mau")</f>
        <v>Ca Mau</v>
      </c>
      <c r="D1302" s="120" t="str">
        <f>IFERROR(__xludf.DUMMYFUNCTION("""COMPUTED_VALUE"""),"Vietnam")</f>
        <v>Vietnam</v>
      </c>
      <c r="E1302" s="135"/>
      <c r="F1302" s="31"/>
    </row>
    <row r="1303">
      <c r="A1303" s="134" t="str">
        <f>IFERROR(__xludf.DUMMYFUNCTION("""COMPUTED_VALUE"""),"Cabimas")</f>
        <v>Cabimas</v>
      </c>
      <c r="B1303" s="120" t="str">
        <f>IFERROR(__xludf.DUMMYFUNCTION("""COMPUTED_VALUE"""),"CBS")</f>
        <v>CBS</v>
      </c>
      <c r="C1303" s="120" t="str">
        <f>IFERROR(__xludf.DUMMYFUNCTION("""COMPUTED_VALUE"""),"Oro Negro")</f>
        <v>Oro Negro</v>
      </c>
      <c r="D1303" s="120" t="str">
        <f>IFERROR(__xludf.DUMMYFUNCTION("""COMPUTED_VALUE"""),"Venezuela")</f>
        <v>Venezuela</v>
      </c>
      <c r="E1303" s="135"/>
      <c r="F1303" s="31"/>
    </row>
    <row r="1304">
      <c r="A1304" s="134" t="str">
        <f>IFERROR(__xludf.DUMMYFUNCTION("""COMPUTED_VALUE"""),"Cabin Creek")</f>
        <v>Cabin Creek</v>
      </c>
      <c r="B1304" s="120" t="str">
        <f>IFERROR(__xludf.DUMMYFUNCTION("""COMPUTED_VALUE"""),"CBZ")</f>
        <v>CBZ</v>
      </c>
      <c r="C1304" s="120" t="str">
        <f>IFERROR(__xludf.DUMMYFUNCTION("""COMPUTED_VALUE"""),"Cabin Creek")</f>
        <v>Cabin Creek</v>
      </c>
      <c r="D1304" s="120" t="str">
        <f>IFERROR(__xludf.DUMMYFUNCTION("""COMPUTED_VALUE"""),"United States")</f>
        <v>United States</v>
      </c>
      <c r="E1304" s="135"/>
      <c r="F1304" s="31"/>
    </row>
    <row r="1305">
      <c r="A1305" s="134" t="str">
        <f>IFERROR(__xludf.DUMMYFUNCTION("""COMPUTED_VALUE"""),"Cabinda")</f>
        <v>Cabinda</v>
      </c>
      <c r="B1305" s="120" t="str">
        <f>IFERROR(__xludf.DUMMYFUNCTION("""COMPUTED_VALUE"""),"CAB")</f>
        <v>CAB</v>
      </c>
      <c r="C1305" s="120" t="str">
        <f>IFERROR(__xludf.DUMMYFUNCTION("""COMPUTED_VALUE"""),"Cabinda")</f>
        <v>Cabinda</v>
      </c>
      <c r="D1305" s="120" t="str">
        <f>IFERROR(__xludf.DUMMYFUNCTION("""COMPUTED_VALUE"""),"Angola")</f>
        <v>Angola</v>
      </c>
      <c r="E1305" s="135"/>
      <c r="F1305" s="31"/>
    </row>
    <row r="1306">
      <c r="A1306" s="134" t="str">
        <f>IFERROR(__xludf.DUMMYFUNCTION("""COMPUTED_VALUE"""),"Cabo Frio")</f>
        <v>Cabo Frio</v>
      </c>
      <c r="B1306" s="120" t="str">
        <f>IFERROR(__xludf.DUMMYFUNCTION("""COMPUTED_VALUE"""),"CFB")</f>
        <v>CFB</v>
      </c>
      <c r="C1306" s="120" t="str">
        <f>IFERROR(__xludf.DUMMYFUNCTION("""COMPUTED_VALUE"""),"Cabo Frio")</f>
        <v>Cabo Frio</v>
      </c>
      <c r="D1306" s="120" t="str">
        <f>IFERROR(__xludf.DUMMYFUNCTION("""COMPUTED_VALUE"""),"Brazil")</f>
        <v>Brazil</v>
      </c>
      <c r="E1306" s="135"/>
      <c r="F1306" s="31"/>
    </row>
    <row r="1307">
      <c r="A1307" s="134" t="str">
        <f>IFERROR(__xludf.DUMMYFUNCTION("""COMPUTED_VALUE"""),"Cabo Rojo")</f>
        <v>Cabo Rojo</v>
      </c>
      <c r="B1307" s="120" t="str">
        <f>IFERROR(__xludf.DUMMYFUNCTION("""COMPUTED_VALUE"""),"CBJ")</f>
        <v>CBJ</v>
      </c>
      <c r="C1307" s="120" t="str">
        <f>IFERROR(__xludf.DUMMYFUNCTION("""COMPUTED_VALUE"""),"Cabo Rojo")</f>
        <v>Cabo Rojo</v>
      </c>
      <c r="D1307" s="120" t="str">
        <f>IFERROR(__xludf.DUMMYFUNCTION("""COMPUTED_VALUE"""),"Dominican Republic")</f>
        <v>Dominican Republic</v>
      </c>
      <c r="E1307" s="135"/>
      <c r="F1307" s="31"/>
    </row>
    <row r="1308">
      <c r="A1308" s="134" t="str">
        <f>IFERROR(__xludf.DUMMYFUNCTION("""COMPUTED_VALUE"""),"Cacador")</f>
        <v>Cacador</v>
      </c>
      <c r="B1308" s="120" t="str">
        <f>IFERROR(__xludf.DUMMYFUNCTION("""COMPUTED_VALUE"""),"CFC")</f>
        <v>CFC</v>
      </c>
      <c r="C1308" s="120" t="str">
        <f>IFERROR(__xludf.DUMMYFUNCTION("""COMPUTED_VALUE"""),"Cacador")</f>
        <v>Cacador</v>
      </c>
      <c r="D1308" s="120" t="str">
        <f>IFERROR(__xludf.DUMMYFUNCTION("""COMPUTED_VALUE"""),"Brazil")</f>
        <v>Brazil</v>
      </c>
      <c r="E1308" s="135"/>
      <c r="F1308" s="31"/>
    </row>
    <row r="1309">
      <c r="A1309" s="134" t="str">
        <f>IFERROR(__xludf.DUMMYFUNCTION("""COMPUTED_VALUE"""),"Caceres")</f>
        <v>Caceres</v>
      </c>
      <c r="B1309" s="120" t="str">
        <f>IFERROR(__xludf.DUMMYFUNCTION("""COMPUTED_VALUE"""),"CCX")</f>
        <v>CCX</v>
      </c>
      <c r="C1309" s="120" t="str">
        <f>IFERROR(__xludf.DUMMYFUNCTION("""COMPUTED_VALUE"""),"Caceres")</f>
        <v>Caceres</v>
      </c>
      <c r="D1309" s="120" t="str">
        <f>IFERROR(__xludf.DUMMYFUNCTION("""COMPUTED_VALUE"""),"Brazil")</f>
        <v>Brazil</v>
      </c>
      <c r="E1309" s="135"/>
      <c r="F1309" s="31"/>
    </row>
    <row r="1310">
      <c r="A1310" s="134" t="str">
        <f>IFERROR(__xludf.DUMMYFUNCTION("""COMPUTED_VALUE"""),"Cachoeira")</f>
        <v>Cachoeira</v>
      </c>
      <c r="B1310" s="120" t="str">
        <f>IFERROR(__xludf.DUMMYFUNCTION("""COMPUTED_VALUE"""),"CCQ")</f>
        <v>CCQ</v>
      </c>
      <c r="C1310" s="120" t="str">
        <f>IFERROR(__xludf.DUMMYFUNCTION("""COMPUTED_VALUE"""),"Cachoeira")</f>
        <v>Cachoeira</v>
      </c>
      <c r="D1310" s="120" t="str">
        <f>IFERROR(__xludf.DUMMYFUNCTION("""COMPUTED_VALUE"""),"Brazil")</f>
        <v>Brazil</v>
      </c>
      <c r="E1310" s="135"/>
      <c r="F1310" s="31"/>
    </row>
    <row r="1311">
      <c r="A1311" s="134" t="str">
        <f>IFERROR(__xludf.DUMMYFUNCTION("""COMPUTED_VALUE"""),"Cachoeiro Itapemirim")</f>
        <v>Cachoeiro Itapemirim</v>
      </c>
      <c r="B1311" s="120" t="str">
        <f>IFERROR(__xludf.DUMMYFUNCTION("""COMPUTED_VALUE"""),"CDI")</f>
        <v>CDI</v>
      </c>
      <c r="C1311" s="120" t="str">
        <f>IFERROR(__xludf.DUMMYFUNCTION("""COMPUTED_VALUE"""),"Cachoeiro Itapemirim")</f>
        <v>Cachoeiro Itapemirim</v>
      </c>
      <c r="D1311" s="120" t="str">
        <f>IFERROR(__xludf.DUMMYFUNCTION("""COMPUTED_VALUE"""),"Brazil")</f>
        <v>Brazil</v>
      </c>
      <c r="E1311" s="135"/>
      <c r="F1311" s="31"/>
    </row>
    <row r="1312">
      <c r="A1312" s="134" t="str">
        <f>IFERROR(__xludf.DUMMYFUNCTION("""COMPUTED_VALUE"""),"Cacoal")</f>
        <v>Cacoal</v>
      </c>
      <c r="B1312" s="120" t="str">
        <f>IFERROR(__xludf.DUMMYFUNCTION("""COMPUTED_VALUE"""),"OAL")</f>
        <v>OAL</v>
      </c>
      <c r="C1312" s="120" t="str">
        <f>IFERROR(__xludf.DUMMYFUNCTION("""COMPUTED_VALUE"""),"Cacoal")</f>
        <v>Cacoal</v>
      </c>
      <c r="D1312" s="120" t="str">
        <f>IFERROR(__xludf.DUMMYFUNCTION("""COMPUTED_VALUE"""),"Brazil")</f>
        <v>Brazil</v>
      </c>
      <c r="E1312" s="135"/>
      <c r="F1312" s="31"/>
    </row>
    <row r="1313">
      <c r="A1313" s="134" t="str">
        <f>IFERROR(__xludf.DUMMYFUNCTION("""COMPUTED_VALUE"""),"Cadillac")</f>
        <v>Cadillac</v>
      </c>
      <c r="B1313" s="120" t="str">
        <f>IFERROR(__xludf.DUMMYFUNCTION("""COMPUTED_VALUE"""),"CAD")</f>
        <v>CAD</v>
      </c>
      <c r="C1313" s="120" t="str">
        <f>IFERROR(__xludf.DUMMYFUNCTION("""COMPUTED_VALUE"""),"Cadillac")</f>
        <v>Cadillac</v>
      </c>
      <c r="D1313" s="120" t="str">
        <f>IFERROR(__xludf.DUMMYFUNCTION("""COMPUTED_VALUE"""),"United States")</f>
        <v>United States</v>
      </c>
      <c r="E1313" s="135"/>
      <c r="F1313" s="31"/>
    </row>
    <row r="1314">
      <c r="A1314" s="134" t="str">
        <f>IFERROR(__xludf.DUMMYFUNCTION("""COMPUTED_VALUE"""),"Cadiz")</f>
        <v>Cadiz</v>
      </c>
      <c r="B1314" s="120" t="str">
        <f>IFERROR(__xludf.DUMMYFUNCTION("""COMPUTED_VALUE"""),"CDZ")</f>
        <v>CDZ</v>
      </c>
      <c r="C1314" s="120" t="str">
        <f>IFERROR(__xludf.DUMMYFUNCTION("""COMPUTED_VALUE"""),"Cadiz")</f>
        <v>Cadiz</v>
      </c>
      <c r="D1314" s="120" t="str">
        <f>IFERROR(__xludf.DUMMYFUNCTION("""COMPUTED_VALUE"""),"Spain")</f>
        <v>Spain</v>
      </c>
      <c r="E1314" s="135"/>
      <c r="F1314" s="31"/>
    </row>
    <row r="1315">
      <c r="A1315" s="134" t="str">
        <f>IFERROR(__xludf.DUMMYFUNCTION("""COMPUTED_VALUE"""),"Caen")</f>
        <v>Caen</v>
      </c>
      <c r="B1315" s="120" t="str">
        <f>IFERROR(__xludf.DUMMYFUNCTION("""COMPUTED_VALUE"""),"CFR")</f>
        <v>CFR</v>
      </c>
      <c r="C1315" s="120" t="str">
        <f>IFERROR(__xludf.DUMMYFUNCTION("""COMPUTED_VALUE"""),"Carpiquet")</f>
        <v>Carpiquet</v>
      </c>
      <c r="D1315" s="120" t="str">
        <f>IFERROR(__xludf.DUMMYFUNCTION("""COMPUTED_VALUE"""),"France")</f>
        <v>France</v>
      </c>
      <c r="E1315" s="135"/>
      <c r="F1315" s="31"/>
    </row>
    <row r="1316">
      <c r="A1316" s="134" t="str">
        <f>IFERROR(__xludf.DUMMYFUNCTION("""COMPUTED_VALUE"""),"Cafunfo")</f>
        <v>Cafunfo</v>
      </c>
      <c r="B1316" s="120" t="str">
        <f>IFERROR(__xludf.DUMMYFUNCTION("""COMPUTED_VALUE"""),"CFF")</f>
        <v>CFF</v>
      </c>
      <c r="C1316" s="120" t="str">
        <f>IFERROR(__xludf.DUMMYFUNCTION("""COMPUTED_VALUE"""),"Cafunfo")</f>
        <v>Cafunfo</v>
      </c>
      <c r="D1316" s="120" t="str">
        <f>IFERROR(__xludf.DUMMYFUNCTION("""COMPUTED_VALUE"""),"Angola")</f>
        <v>Angola</v>
      </c>
      <c r="E1316" s="135"/>
      <c r="F1316" s="31"/>
    </row>
    <row r="1317">
      <c r="A1317" s="134" t="str">
        <f>IFERROR(__xludf.DUMMYFUNCTION("""COMPUTED_VALUE"""),"Cagayan De Oro")</f>
        <v>Cagayan De Oro</v>
      </c>
      <c r="B1317" s="120" t="str">
        <f>IFERROR(__xludf.DUMMYFUNCTION("""COMPUTED_VALUE"""),"CGY")</f>
        <v>CGY</v>
      </c>
      <c r="C1317" s="120" t="str">
        <f>IFERROR(__xludf.DUMMYFUNCTION("""COMPUTED_VALUE"""),"Lumbia")</f>
        <v>Lumbia</v>
      </c>
      <c r="D1317" s="120" t="str">
        <f>IFERROR(__xludf.DUMMYFUNCTION("""COMPUTED_VALUE"""),"Philippines")</f>
        <v>Philippines</v>
      </c>
      <c r="E1317" s="135"/>
      <c r="F1317" s="31"/>
    </row>
    <row r="1318">
      <c r="A1318" s="134" t="str">
        <f>IFERROR(__xludf.DUMMYFUNCTION("""COMPUTED_VALUE"""),"Cagayan De Sulu")</f>
        <v>Cagayan De Sulu</v>
      </c>
      <c r="B1318" s="120" t="str">
        <f>IFERROR(__xludf.DUMMYFUNCTION("""COMPUTED_VALUE"""),"CDY")</f>
        <v>CDY</v>
      </c>
      <c r="C1318" s="120" t="str">
        <f>IFERROR(__xludf.DUMMYFUNCTION("""COMPUTED_VALUE"""),"Cagayan De Sulu")</f>
        <v>Cagayan De Sulu</v>
      </c>
      <c r="D1318" s="120" t="str">
        <f>IFERROR(__xludf.DUMMYFUNCTION("""COMPUTED_VALUE"""),"Philippines")</f>
        <v>Philippines</v>
      </c>
      <c r="E1318" s="135"/>
      <c r="F1318" s="31"/>
    </row>
    <row r="1319">
      <c r="A1319" s="134" t="str">
        <f>IFERROR(__xludf.DUMMYFUNCTION("""COMPUTED_VALUE"""),"Cagliari")</f>
        <v>Cagliari</v>
      </c>
      <c r="B1319" s="120" t="str">
        <f>IFERROR(__xludf.DUMMYFUNCTION("""COMPUTED_VALUE"""),"CAG")</f>
        <v>CAG</v>
      </c>
      <c r="C1319" s="120" t="str">
        <f>IFERROR(__xludf.DUMMYFUNCTION("""COMPUTED_VALUE"""),"Cagliari Elmas - Mario Mameli")</f>
        <v>Cagliari Elmas - Mario Mameli</v>
      </c>
      <c r="D1319" s="120" t="str">
        <f>IFERROR(__xludf.DUMMYFUNCTION("""COMPUTED_VALUE"""),"Italy")</f>
        <v>Italy</v>
      </c>
      <c r="E1319" s="135"/>
      <c r="F1319" s="31"/>
    </row>
    <row r="1320">
      <c r="A1320" s="134" t="str">
        <f>IFERROR(__xludf.DUMMYFUNCTION("""COMPUTED_VALUE"""),"Caherciveen")</f>
        <v>Caherciveen</v>
      </c>
      <c r="B1320" s="120" t="str">
        <f>IFERROR(__xludf.DUMMYFUNCTION("""COMPUTED_VALUE"""),"CHE")</f>
        <v>CHE</v>
      </c>
      <c r="C1320" s="120" t="str">
        <f>IFERROR(__xludf.DUMMYFUNCTION("""COMPUTED_VALUE"""),"Reenroe")</f>
        <v>Reenroe</v>
      </c>
      <c r="D1320" s="120" t="str">
        <f>IFERROR(__xludf.DUMMYFUNCTION("""COMPUTED_VALUE"""),"Ireland")</f>
        <v>Ireland</v>
      </c>
      <c r="E1320" s="135"/>
      <c r="F1320" s="31"/>
    </row>
    <row r="1321">
      <c r="A1321" s="134" t="str">
        <f>IFERROR(__xludf.DUMMYFUNCTION("""COMPUTED_VALUE"""),"Cahors")</f>
        <v>Cahors</v>
      </c>
      <c r="B1321" s="120" t="str">
        <f>IFERROR(__xludf.DUMMYFUNCTION("""COMPUTED_VALUE"""),"ZAO")</f>
        <v>ZAO</v>
      </c>
      <c r="C1321" s="120" t="str">
        <f>IFERROR(__xludf.DUMMYFUNCTION("""COMPUTED_VALUE"""),"Laberandie")</f>
        <v>Laberandie</v>
      </c>
      <c r="D1321" s="120" t="str">
        <f>IFERROR(__xludf.DUMMYFUNCTION("""COMPUTED_VALUE"""),"France")</f>
        <v>France</v>
      </c>
      <c r="E1321" s="135"/>
      <c r="F1321" s="31"/>
    </row>
    <row r="1322">
      <c r="A1322" s="134" t="str">
        <f>IFERROR(__xludf.DUMMYFUNCTION("""COMPUTED_VALUE"""),"Caia")</f>
        <v>Caia</v>
      </c>
      <c r="B1322" s="120" t="str">
        <f>IFERROR(__xludf.DUMMYFUNCTION("""COMPUTED_VALUE"""),"CMZ")</f>
        <v>CMZ</v>
      </c>
      <c r="C1322" s="120" t="str">
        <f>IFERROR(__xludf.DUMMYFUNCTION("""COMPUTED_VALUE"""),"Caia")</f>
        <v>Caia</v>
      </c>
      <c r="D1322" s="120" t="str">
        <f>IFERROR(__xludf.DUMMYFUNCTION("""COMPUTED_VALUE"""),"Mozambique")</f>
        <v>Mozambique</v>
      </c>
      <c r="E1322" s="135"/>
      <c r="F1322" s="31"/>
    </row>
    <row r="1323">
      <c r="A1323" s="134" t="str">
        <f>IFERROR(__xludf.DUMMYFUNCTION("""COMPUTED_VALUE"""),"Caicara De Oro")</f>
        <v>Caicara De Oro</v>
      </c>
      <c r="B1323" s="120" t="str">
        <f>IFERROR(__xludf.DUMMYFUNCTION("""COMPUTED_VALUE"""),"CXA")</f>
        <v>CXA</v>
      </c>
      <c r="C1323" s="120" t="str">
        <f>IFERROR(__xludf.DUMMYFUNCTION("""COMPUTED_VALUE"""),"Caicara De Oro")</f>
        <v>Caicara De Oro</v>
      </c>
      <c r="D1323" s="120" t="str">
        <f>IFERROR(__xludf.DUMMYFUNCTION("""COMPUTED_VALUE"""),"Venezuela")</f>
        <v>Venezuela</v>
      </c>
      <c r="E1323" s="135"/>
      <c r="F1323" s="31"/>
    </row>
    <row r="1324">
      <c r="A1324" s="134" t="str">
        <f>IFERROR(__xludf.DUMMYFUNCTION("""COMPUTED_VALUE"""),"Caiguna")</f>
        <v>Caiguna</v>
      </c>
      <c r="B1324" s="120" t="str">
        <f>IFERROR(__xludf.DUMMYFUNCTION("""COMPUTED_VALUE"""),"CGV")</f>
        <v>CGV</v>
      </c>
      <c r="C1324" s="120" t="str">
        <f>IFERROR(__xludf.DUMMYFUNCTION("""COMPUTED_VALUE"""),"Caiguna")</f>
        <v>Caiguna</v>
      </c>
      <c r="D1324" s="120" t="str">
        <f>IFERROR(__xludf.DUMMYFUNCTION("""COMPUTED_VALUE"""),"Australia")</f>
        <v>Australia</v>
      </c>
      <c r="E1324" s="135"/>
      <c r="F1324" s="31"/>
    </row>
    <row r="1325">
      <c r="A1325" s="134" t="str">
        <f>IFERROR(__xludf.DUMMYFUNCTION("""COMPUTED_VALUE"""),"Cairns")</f>
        <v>Cairns</v>
      </c>
      <c r="B1325" s="120" t="str">
        <f>IFERROR(__xludf.DUMMYFUNCTION("""COMPUTED_VALUE"""),"CNS")</f>
        <v>CNS</v>
      </c>
      <c r="C1325" s="120" t="str">
        <f>IFERROR(__xludf.DUMMYFUNCTION("""COMPUTED_VALUE"""),"Cairns")</f>
        <v>Cairns</v>
      </c>
      <c r="D1325" s="120" t="str">
        <f>IFERROR(__xludf.DUMMYFUNCTION("""COMPUTED_VALUE"""),"Australia")</f>
        <v>Australia</v>
      </c>
      <c r="E1325" s="135"/>
      <c r="F1325" s="31"/>
    </row>
    <row r="1326">
      <c r="A1326" s="134" t="str">
        <f>IFERROR(__xludf.DUMMYFUNCTION("""COMPUTED_VALUE"""),"Cairo")</f>
        <v>Cairo</v>
      </c>
      <c r="B1326" s="120" t="str">
        <f>IFERROR(__xludf.DUMMYFUNCTION("""COMPUTED_VALUE"""),"CAI")</f>
        <v>CAI</v>
      </c>
      <c r="C1326" s="120" t="str">
        <f>IFERROR(__xludf.DUMMYFUNCTION("""COMPUTED_VALUE"""),"International")</f>
        <v>International</v>
      </c>
      <c r="D1326" s="120" t="str">
        <f>IFERROR(__xludf.DUMMYFUNCTION("""COMPUTED_VALUE"""),"Egypt")</f>
        <v>Egypt</v>
      </c>
      <c r="E1326" s="135"/>
      <c r="F1326" s="31"/>
    </row>
    <row r="1327">
      <c r="A1327" s="134" t="str">
        <f>IFERROR(__xludf.DUMMYFUNCTION("""COMPUTED_VALUE"""),"Cairo")</f>
        <v>Cairo</v>
      </c>
      <c r="B1327" s="120" t="str">
        <f>IFERROR(__xludf.DUMMYFUNCTION("""COMPUTED_VALUE"""),"CIR")</f>
        <v>CIR</v>
      </c>
      <c r="C1327" s="120" t="str">
        <f>IFERROR(__xludf.DUMMYFUNCTION("""COMPUTED_VALUE"""),"Cairo")</f>
        <v>Cairo</v>
      </c>
      <c r="D1327" s="120" t="str">
        <f>IFERROR(__xludf.DUMMYFUNCTION("""COMPUTED_VALUE"""),"United States")</f>
        <v>United States</v>
      </c>
      <c r="E1327" s="135"/>
      <c r="F1327" s="31"/>
    </row>
    <row r="1328">
      <c r="A1328" s="134" t="str">
        <f>IFERROR(__xludf.DUMMYFUNCTION("""COMPUTED_VALUE"""),"Cajamarca")</f>
        <v>Cajamarca</v>
      </c>
      <c r="B1328" s="120" t="str">
        <f>IFERROR(__xludf.DUMMYFUNCTION("""COMPUTED_VALUE"""),"CJA")</f>
        <v>CJA</v>
      </c>
      <c r="C1328" s="120" t="str">
        <f>IFERROR(__xludf.DUMMYFUNCTION("""COMPUTED_VALUE"""),"Cajamarca")</f>
        <v>Cajamarca</v>
      </c>
      <c r="D1328" s="120" t="str">
        <f>IFERROR(__xludf.DUMMYFUNCTION("""COMPUTED_VALUE"""),"Peru")</f>
        <v>Peru</v>
      </c>
      <c r="E1328" s="135"/>
      <c r="F1328" s="31"/>
    </row>
    <row r="1329">
      <c r="A1329" s="134" t="str">
        <f>IFERROR(__xludf.DUMMYFUNCTION("""COMPUTED_VALUE"""),"Calabar")</f>
        <v>Calabar</v>
      </c>
      <c r="B1329" s="120" t="str">
        <f>IFERROR(__xludf.DUMMYFUNCTION("""COMPUTED_VALUE"""),"CBQ")</f>
        <v>CBQ</v>
      </c>
      <c r="C1329" s="137" t="str">
        <f>IFERROR(__xludf.DUMMYFUNCTION("""COMPUTED_VALUE"""),"Calabar")</f>
        <v>Calabar</v>
      </c>
      <c r="D1329" s="120" t="str">
        <f>IFERROR(__xludf.DUMMYFUNCTION("""COMPUTED_VALUE"""),"Nigeria")</f>
        <v>Nigeria</v>
      </c>
      <c r="E1329" s="135"/>
      <c r="F1329" s="31"/>
    </row>
    <row r="1330">
      <c r="A1330" s="134" t="str">
        <f>IFERROR(__xludf.DUMMYFUNCTION("""COMPUTED_VALUE"""),"Calabozo")</f>
        <v>Calabozo</v>
      </c>
      <c r="B1330" s="120" t="str">
        <f>IFERROR(__xludf.DUMMYFUNCTION("""COMPUTED_VALUE"""),"CLZ")</f>
        <v>CLZ</v>
      </c>
      <c r="C1330" s="137" t="str">
        <f>IFERROR(__xludf.DUMMYFUNCTION("""COMPUTED_VALUE"""),"Calabozo")</f>
        <v>Calabozo</v>
      </c>
      <c r="D1330" s="120" t="str">
        <f>IFERROR(__xludf.DUMMYFUNCTION("""COMPUTED_VALUE"""),"Venezuela")</f>
        <v>Venezuela</v>
      </c>
      <c r="E1330" s="135"/>
      <c r="F1330" s="31"/>
    </row>
    <row r="1331">
      <c r="A1331" s="134" t="str">
        <f>IFERROR(__xludf.DUMMYFUNCTION("""COMPUTED_VALUE"""),"Calais")</f>
        <v>Calais</v>
      </c>
      <c r="B1331" s="120" t="str">
        <f>IFERROR(__xludf.DUMMYFUNCTION("""COMPUTED_VALUE"""),"CQF")</f>
        <v>CQF</v>
      </c>
      <c r="C1331" s="120" t="str">
        <f>IFERROR(__xludf.DUMMYFUNCTION("""COMPUTED_VALUE"""),"Calais")</f>
        <v>Calais</v>
      </c>
      <c r="D1331" s="120" t="str">
        <f>IFERROR(__xludf.DUMMYFUNCTION("""COMPUTED_VALUE"""),"France")</f>
        <v>France</v>
      </c>
      <c r="E1331" s="135"/>
      <c r="F1331" s="31"/>
    </row>
    <row r="1332">
      <c r="A1332" s="134" t="str">
        <f>IFERROR(__xludf.DUMMYFUNCTION("""COMPUTED_VALUE"""),"Calama")</f>
        <v>Calama</v>
      </c>
      <c r="B1332" s="120" t="str">
        <f>IFERROR(__xludf.DUMMYFUNCTION("""COMPUTED_VALUE"""),"CJC")</f>
        <v>CJC</v>
      </c>
      <c r="C1332" s="120" t="str">
        <f>IFERROR(__xludf.DUMMYFUNCTION("""COMPUTED_VALUE"""),"El Loa")</f>
        <v>El Loa</v>
      </c>
      <c r="D1332" s="120" t="str">
        <f>IFERROR(__xludf.DUMMYFUNCTION("""COMPUTED_VALUE"""),"Chile")</f>
        <v>Chile</v>
      </c>
      <c r="E1332" s="135"/>
      <c r="F1332" s="31"/>
    </row>
    <row r="1333">
      <c r="A1333" s="134" t="str">
        <f>IFERROR(__xludf.DUMMYFUNCTION("""COMPUTED_VALUE"""),"Calbayog")</f>
        <v>Calbayog</v>
      </c>
      <c r="B1333" s="120" t="str">
        <f>IFERROR(__xludf.DUMMYFUNCTION("""COMPUTED_VALUE"""),"CYP")</f>
        <v>CYP</v>
      </c>
      <c r="C1333" s="120" t="str">
        <f>IFERROR(__xludf.DUMMYFUNCTION("""COMPUTED_VALUE"""),"Calbayog")</f>
        <v>Calbayog</v>
      </c>
      <c r="D1333" s="120" t="str">
        <f>IFERROR(__xludf.DUMMYFUNCTION("""COMPUTED_VALUE"""),"Philippines")</f>
        <v>Philippines</v>
      </c>
      <c r="E1333" s="135"/>
      <c r="F1333" s="31"/>
    </row>
    <row r="1334">
      <c r="A1334" s="134" t="str">
        <f>IFERROR(__xludf.DUMMYFUNCTION("""COMPUTED_VALUE"""),"Caldas Novas")</f>
        <v>Caldas Novas</v>
      </c>
      <c r="B1334" s="120" t="str">
        <f>IFERROR(__xludf.DUMMYFUNCTION("""COMPUTED_VALUE"""),"CLV")</f>
        <v>CLV</v>
      </c>
      <c r="C1334" s="120" t="str">
        <f>IFERROR(__xludf.DUMMYFUNCTION("""COMPUTED_VALUE"""),"Caldas Novas")</f>
        <v>Caldas Novas</v>
      </c>
      <c r="D1334" s="120" t="str">
        <f>IFERROR(__xludf.DUMMYFUNCTION("""COMPUTED_VALUE"""),"Brazil")</f>
        <v>Brazil</v>
      </c>
      <c r="E1334" s="135"/>
      <c r="F1334" s="31"/>
    </row>
    <row r="1335">
      <c r="A1335" s="134" t="str">
        <f>IFERROR(__xludf.DUMMYFUNCTION("""COMPUTED_VALUE"""),"Caldwell")</f>
        <v>Caldwell</v>
      </c>
      <c r="B1335" s="120" t="str">
        <f>IFERROR(__xludf.DUMMYFUNCTION("""COMPUTED_VALUE"""),"CDW")</f>
        <v>CDW</v>
      </c>
      <c r="C1335" s="120" t="str">
        <f>IFERROR(__xludf.DUMMYFUNCTION("""COMPUTED_VALUE"""),"Caldwell Wright")</f>
        <v>Caldwell Wright</v>
      </c>
      <c r="D1335" s="120" t="str">
        <f>IFERROR(__xludf.DUMMYFUNCTION("""COMPUTED_VALUE"""),"United States")</f>
        <v>United States</v>
      </c>
      <c r="E1335" s="135"/>
      <c r="F1335" s="31"/>
    </row>
    <row r="1336">
      <c r="A1336" s="134" t="str">
        <f>IFERROR(__xludf.DUMMYFUNCTION("""COMPUTED_VALUE"""),"Caledonia")</f>
        <v>Caledonia</v>
      </c>
      <c r="B1336" s="120" t="str">
        <f>IFERROR(__xludf.DUMMYFUNCTION("""COMPUTED_VALUE"""),"CDE")</f>
        <v>CDE</v>
      </c>
      <c r="C1336" s="120" t="str">
        <f>IFERROR(__xludf.DUMMYFUNCTION("""COMPUTED_VALUE"""),"Caledonia")</f>
        <v>Caledonia</v>
      </c>
      <c r="D1336" s="120" t="str">
        <f>IFERROR(__xludf.DUMMYFUNCTION("""COMPUTED_VALUE"""),"Panama")</f>
        <v>Panama</v>
      </c>
      <c r="E1336" s="135"/>
      <c r="F1336" s="31"/>
    </row>
    <row r="1337">
      <c r="A1337" s="134" t="str">
        <f>IFERROR(__xludf.DUMMYFUNCTION("""COMPUTED_VALUE"""),"Caleta Olivia")</f>
        <v>Caleta Olivia</v>
      </c>
      <c r="B1337" s="120" t="str">
        <f>IFERROR(__xludf.DUMMYFUNCTION("""COMPUTED_VALUE"""),"CVI")</f>
        <v>CVI</v>
      </c>
      <c r="C1337" s="120" t="str">
        <f>IFERROR(__xludf.DUMMYFUNCTION("""COMPUTED_VALUE"""),"Caleta Olivia")</f>
        <v>Caleta Olivia</v>
      </c>
      <c r="D1337" s="120" t="str">
        <f>IFERROR(__xludf.DUMMYFUNCTION("""COMPUTED_VALUE"""),"Argentina")</f>
        <v>Argentina</v>
      </c>
      <c r="E1337" s="135"/>
      <c r="F1337" s="31"/>
    </row>
    <row r="1338">
      <c r="A1338" s="134" t="str">
        <f>IFERROR(__xludf.DUMMYFUNCTION("""COMPUTED_VALUE"""),"Calexico")</f>
        <v>Calexico</v>
      </c>
      <c r="B1338" s="120" t="str">
        <f>IFERROR(__xludf.DUMMYFUNCTION("""COMPUTED_VALUE"""),"CXL")</f>
        <v>CXL</v>
      </c>
      <c r="C1338" s="120" t="str">
        <f>IFERROR(__xludf.DUMMYFUNCTION("""COMPUTED_VALUE"""),"International")</f>
        <v>International</v>
      </c>
      <c r="D1338" s="120" t="str">
        <f>IFERROR(__xludf.DUMMYFUNCTION("""COMPUTED_VALUE"""),"United States")</f>
        <v>United States</v>
      </c>
      <c r="E1338" s="135"/>
      <c r="F1338" s="31"/>
    </row>
    <row r="1339">
      <c r="A1339" s="134" t="str">
        <f>IFERROR(__xludf.DUMMYFUNCTION("""COMPUTED_VALUE"""),"Calgary")</f>
        <v>Calgary</v>
      </c>
      <c r="B1339" s="120" t="str">
        <f>IFERROR(__xludf.DUMMYFUNCTION("""COMPUTED_VALUE"""),"YYC")</f>
        <v>YYC</v>
      </c>
      <c r="C1339" s="120" t="str">
        <f>IFERROR(__xludf.DUMMYFUNCTION("""COMPUTED_VALUE"""),"Calgary International Airport")</f>
        <v>Calgary International Airport</v>
      </c>
      <c r="D1339" s="120" t="str">
        <f>IFERROR(__xludf.DUMMYFUNCTION("""COMPUTED_VALUE"""),"Canada")</f>
        <v>Canada</v>
      </c>
      <c r="E1339" s="135"/>
      <c r="F1339" s="31"/>
    </row>
    <row r="1340">
      <c r="A1340" s="134" t="str">
        <f>IFERROR(__xludf.DUMMYFUNCTION("""COMPUTED_VALUE"""),"Cali")</f>
        <v>Cali</v>
      </c>
      <c r="B1340" s="120" t="str">
        <f>IFERROR(__xludf.DUMMYFUNCTION("""COMPUTED_VALUE"""),"CLO")</f>
        <v>CLO</v>
      </c>
      <c r="C1340" s="120" t="str">
        <f>IFERROR(__xludf.DUMMYFUNCTION("""COMPUTED_VALUE"""),"Alfonso B. Aragon")</f>
        <v>Alfonso B. Aragon</v>
      </c>
      <c r="D1340" s="120" t="str">
        <f>IFERROR(__xludf.DUMMYFUNCTION("""COMPUTED_VALUE"""),"Colombia")</f>
        <v>Colombia</v>
      </c>
      <c r="E1340" s="135"/>
      <c r="F1340" s="31"/>
    </row>
    <row r="1341">
      <c r="A1341" s="134" t="str">
        <f>IFERROR(__xludf.DUMMYFUNCTION("""COMPUTED_VALUE"""),"Calipatria")</f>
        <v>Calipatria</v>
      </c>
      <c r="B1341" s="120" t="str">
        <f>IFERROR(__xludf.DUMMYFUNCTION("""COMPUTED_VALUE"""),"CLR")</f>
        <v>CLR</v>
      </c>
      <c r="C1341" s="120" t="str">
        <f>IFERROR(__xludf.DUMMYFUNCTION("""COMPUTED_VALUE"""),"Calipatria")</f>
        <v>Calipatria</v>
      </c>
      <c r="D1341" s="120" t="str">
        <f>IFERROR(__xludf.DUMMYFUNCTION("""COMPUTED_VALUE"""),"United States")</f>
        <v>United States</v>
      </c>
      <c r="E1341" s="135"/>
      <c r="F1341" s="31"/>
    </row>
    <row r="1342">
      <c r="A1342" s="134" t="str">
        <f>IFERROR(__xludf.DUMMYFUNCTION("""COMPUTED_VALUE"""),"Callaway Gardens")</f>
        <v>Callaway Gardens</v>
      </c>
      <c r="B1342" s="120" t="str">
        <f>IFERROR(__xludf.DUMMYFUNCTION("""COMPUTED_VALUE"""),"CWG")</f>
        <v>CWG</v>
      </c>
      <c r="C1342" s="120" t="str">
        <f>IFERROR(__xludf.DUMMYFUNCTION("""COMPUTED_VALUE"""),"Callaway Gardens")</f>
        <v>Callaway Gardens</v>
      </c>
      <c r="D1342" s="120" t="str">
        <f>IFERROR(__xludf.DUMMYFUNCTION("""COMPUTED_VALUE"""),"United States")</f>
        <v>United States</v>
      </c>
      <c r="E1342" s="135"/>
      <c r="F1342" s="31"/>
    </row>
    <row r="1343">
      <c r="A1343" s="134" t="str">
        <f>IFERROR(__xludf.DUMMYFUNCTION("""COMPUTED_VALUE"""),"Caloundra")</f>
        <v>Caloundra</v>
      </c>
      <c r="B1343" s="120" t="str">
        <f>IFERROR(__xludf.DUMMYFUNCTION("""COMPUTED_VALUE"""),"CUD")</f>
        <v>CUD</v>
      </c>
      <c r="C1343" s="120" t="str">
        <f>IFERROR(__xludf.DUMMYFUNCTION("""COMPUTED_VALUE"""),"Caloundra")</f>
        <v>Caloundra</v>
      </c>
      <c r="D1343" s="120" t="str">
        <f>IFERROR(__xludf.DUMMYFUNCTION("""COMPUTED_VALUE"""),"Australia")</f>
        <v>Australia</v>
      </c>
      <c r="E1343" s="135"/>
      <c r="F1343" s="31"/>
    </row>
    <row r="1344">
      <c r="A1344" s="134" t="str">
        <f>IFERROR(__xludf.DUMMYFUNCTION("""COMPUTED_VALUE"""),"Calverton")</f>
        <v>Calverton</v>
      </c>
      <c r="B1344" s="120" t="str">
        <f>IFERROR(__xludf.DUMMYFUNCTION("""COMPUTED_VALUE"""),"CTO")</f>
        <v>CTO</v>
      </c>
      <c r="C1344" s="120" t="str">
        <f>IFERROR(__xludf.DUMMYFUNCTION("""COMPUTED_VALUE"""),"Peconic River")</f>
        <v>Peconic River</v>
      </c>
      <c r="D1344" s="120" t="str">
        <f>IFERROR(__xludf.DUMMYFUNCTION("""COMPUTED_VALUE"""),"United States")</f>
        <v>United States</v>
      </c>
      <c r="E1344" s="135"/>
      <c r="F1344" s="31"/>
    </row>
    <row r="1345">
      <c r="A1345" s="134" t="str">
        <f>IFERROR(__xludf.DUMMYFUNCTION("""COMPUTED_VALUE"""),"Calvi")</f>
        <v>Calvi</v>
      </c>
      <c r="B1345" s="120" t="str">
        <f>IFERROR(__xludf.DUMMYFUNCTION("""COMPUTED_VALUE"""),"CLY")</f>
        <v>CLY</v>
      </c>
      <c r="C1345" s="120" t="str">
        <f>IFERROR(__xludf.DUMMYFUNCTION("""COMPUTED_VALUE"""),"Ste Catherine")</f>
        <v>Ste Catherine</v>
      </c>
      <c r="D1345" s="120" t="str">
        <f>IFERROR(__xludf.DUMMYFUNCTION("""COMPUTED_VALUE"""),"France")</f>
        <v>France</v>
      </c>
      <c r="E1345" s="135"/>
      <c r="F1345" s="31"/>
    </row>
    <row r="1346">
      <c r="A1346" s="134" t="str">
        <f>IFERROR(__xludf.DUMMYFUNCTION("""COMPUTED_VALUE"""),"Camaguey")</f>
        <v>Camaguey</v>
      </c>
      <c r="B1346" s="120" t="str">
        <f>IFERROR(__xludf.DUMMYFUNCTION("""COMPUTED_VALUE"""),"CMW")</f>
        <v>CMW</v>
      </c>
      <c r="C1346" s="120" t="str">
        <f>IFERROR(__xludf.DUMMYFUNCTION("""COMPUTED_VALUE"""),"Ign Agramonte Intl")</f>
        <v>Ign Agramonte Intl</v>
      </c>
      <c r="D1346" s="120" t="str">
        <f>IFERROR(__xludf.DUMMYFUNCTION("""COMPUTED_VALUE"""),"Cuba")</f>
        <v>Cuba</v>
      </c>
      <c r="E1346" s="135"/>
      <c r="F1346" s="31"/>
    </row>
    <row r="1347">
      <c r="A1347" s="134" t="str">
        <f>IFERROR(__xludf.DUMMYFUNCTION("""COMPUTED_VALUE"""),"Cambridge")</f>
        <v>Cambridge</v>
      </c>
      <c r="B1347" s="120" t="str">
        <f>IFERROR(__xludf.DUMMYFUNCTION("""COMPUTED_VALUE"""),"CBG")</f>
        <v>CBG</v>
      </c>
      <c r="C1347" s="120" t="str">
        <f>IFERROR(__xludf.DUMMYFUNCTION("""COMPUTED_VALUE"""),"Cambridge")</f>
        <v>Cambridge</v>
      </c>
      <c r="D1347" s="120" t="str">
        <f>IFERROR(__xludf.DUMMYFUNCTION("""COMPUTED_VALUE"""),"United Kingdom")</f>
        <v>United Kingdom</v>
      </c>
      <c r="E1347" s="135"/>
      <c r="F1347" s="31"/>
    </row>
    <row r="1348">
      <c r="A1348" s="134" t="str">
        <f>IFERROR(__xludf.DUMMYFUNCTION("""COMPUTED_VALUE"""),"Cambridge")</f>
        <v>Cambridge</v>
      </c>
      <c r="B1348" s="120" t="str">
        <f>IFERROR(__xludf.DUMMYFUNCTION("""COMPUTED_VALUE"""),"JHY")</f>
        <v>JHY</v>
      </c>
      <c r="C1348" s="120" t="str">
        <f>IFERROR(__xludf.DUMMYFUNCTION("""COMPUTED_VALUE"""),"Hyatt Regency H/P")</f>
        <v>Hyatt Regency H/P</v>
      </c>
      <c r="D1348" s="120" t="str">
        <f>IFERROR(__xludf.DUMMYFUNCTION("""COMPUTED_VALUE"""),"United States")</f>
        <v>United States</v>
      </c>
      <c r="E1348" s="135"/>
      <c r="F1348" s="31"/>
    </row>
    <row r="1349">
      <c r="A1349" s="134" t="str">
        <f>IFERROR(__xludf.DUMMYFUNCTION("""COMPUTED_VALUE"""),"Cambridge")</f>
        <v>Cambridge</v>
      </c>
      <c r="B1349" s="120" t="str">
        <f>IFERROR(__xludf.DUMMYFUNCTION("""COMPUTED_VALUE"""),"CGE")</f>
        <v>CGE</v>
      </c>
      <c r="C1349" s="120" t="str">
        <f>IFERROR(__xludf.DUMMYFUNCTION("""COMPUTED_VALUE"""),"Cambridge")</f>
        <v>Cambridge</v>
      </c>
      <c r="D1349" s="120" t="str">
        <f>IFERROR(__xludf.DUMMYFUNCTION("""COMPUTED_VALUE"""),"United States")</f>
        <v>United States</v>
      </c>
      <c r="E1349" s="135"/>
      <c r="F1349" s="31"/>
    </row>
    <row r="1350">
      <c r="A1350" s="134" t="str">
        <f>IFERROR(__xludf.DUMMYFUNCTION("""COMPUTED_VALUE"""),"Cambridge Bay")</f>
        <v>Cambridge Bay</v>
      </c>
      <c r="B1350" s="120" t="str">
        <f>IFERROR(__xludf.DUMMYFUNCTION("""COMPUTED_VALUE"""),"YCB")</f>
        <v>YCB</v>
      </c>
      <c r="C1350" s="120" t="str">
        <f>IFERROR(__xludf.DUMMYFUNCTION("""COMPUTED_VALUE"""),"Cambridge Bay")</f>
        <v>Cambridge Bay</v>
      </c>
      <c r="D1350" s="120" t="str">
        <f>IFERROR(__xludf.DUMMYFUNCTION("""COMPUTED_VALUE"""),"Canada")</f>
        <v>Canada</v>
      </c>
      <c r="E1350" s="135"/>
      <c r="F1350" s="31"/>
    </row>
    <row r="1351">
      <c r="A1351" s="134" t="str">
        <f>IFERROR(__xludf.DUMMYFUNCTION("""COMPUTED_VALUE"""),"Camden")</f>
        <v>Camden</v>
      </c>
      <c r="B1351" s="120" t="str">
        <f>IFERROR(__xludf.DUMMYFUNCTION("""COMPUTED_VALUE"""),"CDH")</f>
        <v>CDH</v>
      </c>
      <c r="C1351" s="120" t="str">
        <f>IFERROR(__xludf.DUMMYFUNCTION("""COMPUTED_VALUE"""),"Harrell Fld")</f>
        <v>Harrell Fld</v>
      </c>
      <c r="D1351" s="120" t="str">
        <f>IFERROR(__xludf.DUMMYFUNCTION("""COMPUTED_VALUE"""),"United States")</f>
        <v>United States</v>
      </c>
      <c r="E1351" s="135"/>
      <c r="F1351" s="31"/>
    </row>
    <row r="1352">
      <c r="A1352" s="134" t="str">
        <f>IFERROR(__xludf.DUMMYFUNCTION("""COMPUTED_VALUE"""),"Camden")</f>
        <v>Camden</v>
      </c>
      <c r="B1352" s="120" t="str">
        <f>IFERROR(__xludf.DUMMYFUNCTION("""COMPUTED_VALUE"""),"CDU")</f>
        <v>CDU</v>
      </c>
      <c r="C1352" s="120" t="str">
        <f>IFERROR(__xludf.DUMMYFUNCTION("""COMPUTED_VALUE"""),"Camden")</f>
        <v>Camden</v>
      </c>
      <c r="D1352" s="120" t="str">
        <f>IFERROR(__xludf.DUMMYFUNCTION("""COMPUTED_VALUE"""),"Australia")</f>
        <v>Australia</v>
      </c>
      <c r="E1352" s="135"/>
      <c r="F1352" s="31"/>
    </row>
    <row r="1353">
      <c r="A1353" s="134" t="str">
        <f>IFERROR(__xludf.DUMMYFUNCTION("""COMPUTED_VALUE"""),"Camden")</f>
        <v>Camden</v>
      </c>
      <c r="B1353" s="120" t="str">
        <f>IFERROR(__xludf.DUMMYFUNCTION("""COMPUTED_VALUE"""),"CDN")</f>
        <v>CDN</v>
      </c>
      <c r="C1353" s="120" t="str">
        <f>IFERROR(__xludf.DUMMYFUNCTION("""COMPUTED_VALUE"""),"Woodward Fld")</f>
        <v>Woodward Fld</v>
      </c>
      <c r="D1353" s="120" t="str">
        <f>IFERROR(__xludf.DUMMYFUNCTION("""COMPUTED_VALUE"""),"United States")</f>
        <v>United States</v>
      </c>
      <c r="E1353" s="135"/>
      <c r="F1353" s="31"/>
    </row>
    <row r="1354">
      <c r="A1354" s="134" t="str">
        <f>IFERROR(__xludf.DUMMYFUNCTION("""COMPUTED_VALUE"""),"Cameta")</f>
        <v>Cameta</v>
      </c>
      <c r="B1354" s="120" t="str">
        <f>IFERROR(__xludf.DUMMYFUNCTION("""COMPUTED_VALUE"""),"CMT")</f>
        <v>CMT</v>
      </c>
      <c r="C1354" s="120" t="str">
        <f>IFERROR(__xludf.DUMMYFUNCTION("""COMPUTED_VALUE"""),"Cameta")</f>
        <v>Cameta</v>
      </c>
      <c r="D1354" s="120" t="str">
        <f>IFERROR(__xludf.DUMMYFUNCTION("""COMPUTED_VALUE"""),"Brazil")</f>
        <v>Brazil</v>
      </c>
      <c r="E1354" s="135"/>
      <c r="F1354" s="31"/>
    </row>
    <row r="1355">
      <c r="A1355" s="134" t="str">
        <f>IFERROR(__xludf.DUMMYFUNCTION("""COMPUTED_VALUE"""),"Camfield")</f>
        <v>Camfield</v>
      </c>
      <c r="B1355" s="120" t="str">
        <f>IFERROR(__xludf.DUMMYFUNCTION("""COMPUTED_VALUE"""),"CFI")</f>
        <v>CFI</v>
      </c>
      <c r="C1355" s="120" t="str">
        <f>IFERROR(__xludf.DUMMYFUNCTION("""COMPUTED_VALUE"""),"Camfield")</f>
        <v>Camfield</v>
      </c>
      <c r="D1355" s="120" t="str">
        <f>IFERROR(__xludf.DUMMYFUNCTION("""COMPUTED_VALUE"""),"Australia")</f>
        <v>Australia</v>
      </c>
      <c r="E1355" s="135"/>
      <c r="F1355" s="31"/>
    </row>
    <row r="1356">
      <c r="A1356" s="134" t="str">
        <f>IFERROR(__xludf.DUMMYFUNCTION("""COMPUTED_VALUE"""),"Camiguin")</f>
        <v>Camiguin</v>
      </c>
      <c r="B1356" s="120" t="str">
        <f>IFERROR(__xludf.DUMMYFUNCTION("""COMPUTED_VALUE"""),"CGM")</f>
        <v>CGM</v>
      </c>
      <c r="C1356" s="120" t="str">
        <f>IFERROR(__xludf.DUMMYFUNCTION("""COMPUTED_VALUE"""),"Mambajao")</f>
        <v>Mambajao</v>
      </c>
      <c r="D1356" s="120" t="str">
        <f>IFERROR(__xludf.DUMMYFUNCTION("""COMPUTED_VALUE"""),"Philippines")</f>
        <v>Philippines</v>
      </c>
      <c r="E1356" s="135"/>
      <c r="F1356" s="31"/>
    </row>
    <row r="1357">
      <c r="A1357" s="134" t="str">
        <f>IFERROR(__xludf.DUMMYFUNCTION("""COMPUTED_VALUE"""),"Camiri")</f>
        <v>Camiri</v>
      </c>
      <c r="B1357" s="120" t="str">
        <f>IFERROR(__xludf.DUMMYFUNCTION("""COMPUTED_VALUE"""),"CAM")</f>
        <v>CAM</v>
      </c>
      <c r="C1357" s="120" t="str">
        <f>IFERROR(__xludf.DUMMYFUNCTION("""COMPUTED_VALUE"""),"Camiri")</f>
        <v>Camiri</v>
      </c>
      <c r="D1357" s="120" t="str">
        <f>IFERROR(__xludf.DUMMYFUNCTION("""COMPUTED_VALUE"""),"Bolivia")</f>
        <v>Bolivia</v>
      </c>
      <c r="E1357" s="135"/>
      <c r="F1357" s="31"/>
    </row>
    <row r="1358">
      <c r="A1358" s="134" t="str">
        <f>IFERROR(__xludf.DUMMYFUNCTION("""COMPUTED_VALUE"""),"Camocim")</f>
        <v>Camocim</v>
      </c>
      <c r="B1358" s="120" t="str">
        <f>IFERROR(__xludf.DUMMYFUNCTION("""COMPUTED_VALUE"""),"CMC")</f>
        <v>CMC</v>
      </c>
      <c r="C1358" s="120" t="str">
        <f>IFERROR(__xludf.DUMMYFUNCTION("""COMPUTED_VALUE"""),"Camocim")</f>
        <v>Camocim</v>
      </c>
      <c r="D1358" s="120" t="str">
        <f>IFERROR(__xludf.DUMMYFUNCTION("""COMPUTED_VALUE"""),"Brazil")</f>
        <v>Brazil</v>
      </c>
      <c r="E1358" s="135"/>
      <c r="F1358" s="31"/>
    </row>
    <row r="1359">
      <c r="A1359" s="134" t="str">
        <f>IFERROR(__xludf.DUMMYFUNCTION("""COMPUTED_VALUE"""),"Camooweal")</f>
        <v>Camooweal</v>
      </c>
      <c r="B1359" s="120" t="str">
        <f>IFERROR(__xludf.DUMMYFUNCTION("""COMPUTED_VALUE"""),"CML")</f>
        <v>CML</v>
      </c>
      <c r="C1359" s="120" t="str">
        <f>IFERROR(__xludf.DUMMYFUNCTION("""COMPUTED_VALUE"""),"Camooweal")</f>
        <v>Camooweal</v>
      </c>
      <c r="D1359" s="120" t="str">
        <f>IFERROR(__xludf.DUMMYFUNCTION("""COMPUTED_VALUE"""),"Australia")</f>
        <v>Australia</v>
      </c>
      <c r="E1359" s="135"/>
      <c r="F1359" s="31"/>
    </row>
    <row r="1360">
      <c r="A1360" s="134" t="str">
        <f>IFERROR(__xludf.DUMMYFUNCTION("""COMPUTED_VALUE"""),"Camp Douglas")</f>
        <v>Camp Douglas</v>
      </c>
      <c r="B1360" s="120" t="str">
        <f>IFERROR(__xludf.DUMMYFUNCTION("""COMPUTED_VALUE"""),"VOK")</f>
        <v>VOK</v>
      </c>
      <c r="C1360" s="120" t="str">
        <f>IFERROR(__xludf.DUMMYFUNCTION("""COMPUTED_VALUE"""),"Volk Field")</f>
        <v>Volk Field</v>
      </c>
      <c r="D1360" s="120" t="str">
        <f>IFERROR(__xludf.DUMMYFUNCTION("""COMPUTED_VALUE"""),"United States")</f>
        <v>United States</v>
      </c>
      <c r="E1360" s="135"/>
      <c r="F1360" s="31"/>
    </row>
    <row r="1361">
      <c r="A1361" s="134" t="str">
        <f>IFERROR(__xludf.DUMMYFUNCTION("""COMPUTED_VALUE"""),"Camp Springs")</f>
        <v>Camp Springs</v>
      </c>
      <c r="B1361" s="120" t="str">
        <f>IFERROR(__xludf.DUMMYFUNCTION("""COMPUTED_VALUE"""),"ADW")</f>
        <v>ADW</v>
      </c>
      <c r="C1361" s="120" t="str">
        <f>IFERROR(__xludf.DUMMYFUNCTION("""COMPUTED_VALUE"""),"Andrews AFB")</f>
        <v>Andrews AFB</v>
      </c>
      <c r="D1361" s="120" t="str">
        <f>IFERROR(__xludf.DUMMYFUNCTION("""COMPUTED_VALUE"""),"United States")</f>
        <v>United States</v>
      </c>
      <c r="E1361" s="135"/>
      <c r="F1361" s="31"/>
    </row>
    <row r="1362">
      <c r="A1362" s="134" t="str">
        <f>IFERROR(__xludf.DUMMYFUNCTION("""COMPUTED_VALUE"""),"Camp Springs")</f>
        <v>Camp Springs</v>
      </c>
      <c r="B1362" s="120" t="str">
        <f>IFERROR(__xludf.DUMMYFUNCTION("""COMPUTED_VALUE"""),"NSF")</f>
        <v>NSF</v>
      </c>
      <c r="C1362" s="120" t="str">
        <f>IFERROR(__xludf.DUMMYFUNCTION("""COMPUTED_VALUE"""),"Andrews NAF")</f>
        <v>Andrews NAF</v>
      </c>
      <c r="D1362" s="120" t="str">
        <f>IFERROR(__xludf.DUMMYFUNCTION("""COMPUTED_VALUE"""),"United States")</f>
        <v>United States</v>
      </c>
      <c r="E1362" s="135"/>
      <c r="F1362" s="31"/>
    </row>
    <row r="1363">
      <c r="A1363" s="134" t="str">
        <f>IFERROR(__xludf.DUMMYFUNCTION("""COMPUTED_VALUE"""),"Campbell River")</f>
        <v>Campbell River</v>
      </c>
      <c r="B1363" s="120" t="str">
        <f>IFERROR(__xludf.DUMMYFUNCTION("""COMPUTED_VALUE"""),"YBL")</f>
        <v>YBL</v>
      </c>
      <c r="C1363" s="120" t="str">
        <f>IFERROR(__xludf.DUMMYFUNCTION("""COMPUTED_VALUE"""),"Campbell River")</f>
        <v>Campbell River</v>
      </c>
      <c r="D1363" s="120" t="str">
        <f>IFERROR(__xludf.DUMMYFUNCTION("""COMPUTED_VALUE"""),"Canada")</f>
        <v>Canada</v>
      </c>
      <c r="E1363" s="135"/>
      <c r="F1363" s="31"/>
    </row>
    <row r="1364">
      <c r="A1364" s="134" t="str">
        <f>IFERROR(__xludf.DUMMYFUNCTION("""COMPUTED_VALUE"""),"Campbell River")</f>
        <v>Campbell River</v>
      </c>
      <c r="B1364" s="120" t="str">
        <f>IFERROR(__xludf.DUMMYFUNCTION("""COMPUTED_VALUE"""),"YHH")</f>
        <v>YHH</v>
      </c>
      <c r="C1364" s="120" t="str">
        <f>IFERROR(__xludf.DUMMYFUNCTION("""COMPUTED_VALUE"""),"Harbor SPB")</f>
        <v>Harbor SPB</v>
      </c>
      <c r="D1364" s="120" t="str">
        <f>IFERROR(__xludf.DUMMYFUNCTION("""COMPUTED_VALUE"""),"Canada")</f>
        <v>Canada</v>
      </c>
      <c r="E1364" s="135"/>
      <c r="F1364" s="31"/>
    </row>
    <row r="1365">
      <c r="A1365" s="134" t="str">
        <f>IFERROR(__xludf.DUMMYFUNCTION("""COMPUTED_VALUE"""),"Campbellpore")</f>
        <v>Campbellpore</v>
      </c>
      <c r="B1365" s="120" t="str">
        <f>IFERROR(__xludf.DUMMYFUNCTION("""COMPUTED_VALUE"""),"CWP")</f>
        <v>CWP</v>
      </c>
      <c r="C1365" s="120" t="str">
        <f>IFERROR(__xludf.DUMMYFUNCTION("""COMPUTED_VALUE"""),"Campbellpore")</f>
        <v>Campbellpore</v>
      </c>
      <c r="D1365" s="120" t="str">
        <f>IFERROR(__xludf.DUMMYFUNCTION("""COMPUTED_VALUE"""),"Pakistan")</f>
        <v>Pakistan</v>
      </c>
      <c r="E1365" s="135"/>
      <c r="F1365" s="31"/>
    </row>
    <row r="1366">
      <c r="A1366" s="134" t="str">
        <f>IFERROR(__xludf.DUMMYFUNCTION("""COMPUTED_VALUE"""),"Campbeltown")</f>
        <v>Campbeltown</v>
      </c>
      <c r="B1366" s="120" t="str">
        <f>IFERROR(__xludf.DUMMYFUNCTION("""COMPUTED_VALUE"""),"CAL")</f>
        <v>CAL</v>
      </c>
      <c r="C1366" s="120" t="str">
        <f>IFERROR(__xludf.DUMMYFUNCTION("""COMPUTED_VALUE"""),"Machrihanish")</f>
        <v>Machrihanish</v>
      </c>
      <c r="D1366" s="120" t="str">
        <f>IFERROR(__xludf.DUMMYFUNCTION("""COMPUTED_VALUE"""),"United Kingdom")</f>
        <v>United Kingdom</v>
      </c>
      <c r="E1366" s="135"/>
      <c r="F1366" s="31"/>
    </row>
    <row r="1367">
      <c r="A1367" s="134" t="str">
        <f>IFERROR(__xludf.DUMMYFUNCTION("""COMPUTED_VALUE"""),"Campeche")</f>
        <v>Campeche</v>
      </c>
      <c r="B1367" s="120" t="str">
        <f>IFERROR(__xludf.DUMMYFUNCTION("""COMPUTED_VALUE"""),"CPE")</f>
        <v>CPE</v>
      </c>
      <c r="C1367" s="120" t="str">
        <f>IFERROR(__xludf.DUMMYFUNCTION("""COMPUTED_VALUE"""),"Campeche International")</f>
        <v>Campeche International</v>
      </c>
      <c r="D1367" s="120" t="str">
        <f>IFERROR(__xludf.DUMMYFUNCTION("""COMPUTED_VALUE"""),"Mexico")</f>
        <v>Mexico</v>
      </c>
      <c r="E1367" s="135"/>
      <c r="F1367" s="31"/>
    </row>
    <row r="1368">
      <c r="A1368" s="134" t="str">
        <f>IFERROR(__xludf.DUMMYFUNCTION("""COMPUTED_VALUE"""),"Campina Grande")</f>
        <v>Campina Grande</v>
      </c>
      <c r="B1368" s="120" t="str">
        <f>IFERROR(__xludf.DUMMYFUNCTION("""COMPUTED_VALUE"""),"CPV")</f>
        <v>CPV</v>
      </c>
      <c r="C1368" s="120" t="str">
        <f>IFERROR(__xludf.DUMMYFUNCTION("""COMPUTED_VALUE"""),"Joao Suassuna")</f>
        <v>Joao Suassuna</v>
      </c>
      <c r="D1368" s="120" t="str">
        <f>IFERROR(__xludf.DUMMYFUNCTION("""COMPUTED_VALUE"""),"Brazil")</f>
        <v>Brazil</v>
      </c>
      <c r="E1368" s="135"/>
      <c r="F1368" s="31"/>
    </row>
    <row r="1369">
      <c r="A1369" s="134" t="str">
        <f>IFERROR(__xludf.DUMMYFUNCTION("""COMPUTED_VALUE"""),"Campinas")</f>
        <v>Campinas</v>
      </c>
      <c r="B1369" s="120" t="str">
        <f>IFERROR(__xludf.DUMMYFUNCTION("""COMPUTED_VALUE"""),"CPQ")</f>
        <v>CPQ</v>
      </c>
      <c r="C1369" s="120" t="str">
        <f>IFERROR(__xludf.DUMMYFUNCTION("""COMPUTED_VALUE"""),"International")</f>
        <v>International</v>
      </c>
      <c r="D1369" s="120" t="str">
        <f>IFERROR(__xludf.DUMMYFUNCTION("""COMPUTED_VALUE"""),"Brazil")</f>
        <v>Brazil</v>
      </c>
      <c r="E1369" s="135"/>
      <c r="F1369" s="31"/>
    </row>
    <row r="1370">
      <c r="A1370" s="134" t="str">
        <f>IFERROR(__xludf.DUMMYFUNCTION("""COMPUTED_VALUE"""),"Campo")</f>
        <v>Campo</v>
      </c>
      <c r="B1370" s="120" t="str">
        <f>IFERROR(__xludf.DUMMYFUNCTION("""COMPUTED_VALUE"""),"CZZ")</f>
        <v>CZZ</v>
      </c>
      <c r="C1370" s="120" t="str">
        <f>IFERROR(__xludf.DUMMYFUNCTION("""COMPUTED_VALUE"""),"Campo")</f>
        <v>Campo</v>
      </c>
      <c r="D1370" s="120" t="str">
        <f>IFERROR(__xludf.DUMMYFUNCTION("""COMPUTED_VALUE"""),"United States")</f>
        <v>United States</v>
      </c>
      <c r="E1370" s="135"/>
      <c r="F1370" s="31"/>
    </row>
    <row r="1371">
      <c r="A1371" s="134" t="str">
        <f>IFERROR(__xludf.DUMMYFUNCTION("""COMPUTED_VALUE"""),"Campo Grande")</f>
        <v>Campo Grande</v>
      </c>
      <c r="B1371" s="120" t="str">
        <f>IFERROR(__xludf.DUMMYFUNCTION("""COMPUTED_VALUE"""),"CGR")</f>
        <v>CGR</v>
      </c>
      <c r="C1371" s="120" t="str">
        <f>IFERROR(__xludf.DUMMYFUNCTION("""COMPUTED_VALUE"""),"Internacional")</f>
        <v>Internacional</v>
      </c>
      <c r="D1371" s="120" t="str">
        <f>IFERROR(__xludf.DUMMYFUNCTION("""COMPUTED_VALUE"""),"Brazil")</f>
        <v>Brazil</v>
      </c>
      <c r="E1371" s="135"/>
      <c r="F1371" s="31"/>
    </row>
    <row r="1372">
      <c r="A1372" s="134" t="str">
        <f>IFERROR(__xludf.DUMMYFUNCTION("""COMPUTED_VALUE"""),"Campo Mourao")</f>
        <v>Campo Mourao</v>
      </c>
      <c r="B1372" s="120" t="str">
        <f>IFERROR(__xludf.DUMMYFUNCTION("""COMPUTED_VALUE"""),"CBW")</f>
        <v>CBW</v>
      </c>
      <c r="C1372" s="137" t="str">
        <f>IFERROR(__xludf.DUMMYFUNCTION("""COMPUTED_VALUE"""),"Campo Mourao")</f>
        <v>Campo Mourao</v>
      </c>
      <c r="D1372" s="120" t="str">
        <f>IFERROR(__xludf.DUMMYFUNCTION("""COMPUTED_VALUE"""),"Brazil")</f>
        <v>Brazil</v>
      </c>
      <c r="E1372" s="135"/>
      <c r="F1372" s="31"/>
    </row>
    <row r="1373">
      <c r="A1373" s="134" t="str">
        <f>IFERROR(__xludf.DUMMYFUNCTION("""COMPUTED_VALUE"""),"Campos")</f>
        <v>Campos</v>
      </c>
      <c r="B1373" s="120" t="str">
        <f>IFERROR(__xludf.DUMMYFUNCTION("""COMPUTED_VALUE"""),"CAW")</f>
        <v>CAW</v>
      </c>
      <c r="C1373" s="120" t="str">
        <f>IFERROR(__xludf.DUMMYFUNCTION("""COMPUTED_VALUE"""),"Bartolomeu Lisandro")</f>
        <v>Bartolomeu Lisandro</v>
      </c>
      <c r="D1373" s="120" t="str">
        <f>IFERROR(__xludf.DUMMYFUNCTION("""COMPUTED_VALUE"""),"Brazil")</f>
        <v>Brazil</v>
      </c>
      <c r="E1373" s="135"/>
      <c r="F1373" s="31"/>
    </row>
    <row r="1374">
      <c r="A1374" s="134" t="str">
        <f>IFERROR(__xludf.DUMMYFUNCTION("""COMPUTED_VALUE"""),"Can Tho")</f>
        <v>Can Tho</v>
      </c>
      <c r="B1374" s="120" t="str">
        <f>IFERROR(__xludf.DUMMYFUNCTION("""COMPUTED_VALUE"""),"VCA")</f>
        <v>VCA</v>
      </c>
      <c r="C1374" s="120" t="str">
        <f>IFERROR(__xludf.DUMMYFUNCTION("""COMPUTED_VALUE"""),"Can Tho")</f>
        <v>Can Tho</v>
      </c>
      <c r="D1374" s="120" t="str">
        <f>IFERROR(__xludf.DUMMYFUNCTION("""COMPUTED_VALUE"""),"Vietnam")</f>
        <v>Vietnam</v>
      </c>
      <c r="E1374" s="135"/>
      <c r="F1374" s="31"/>
    </row>
    <row r="1375">
      <c r="A1375" s="134" t="str">
        <f>IFERROR(__xludf.DUMMYFUNCTION("""COMPUTED_VALUE"""),"Cana Brava")</f>
        <v>Cana Brava</v>
      </c>
      <c r="B1375" s="120" t="str">
        <f>IFERROR(__xludf.DUMMYFUNCTION("""COMPUTED_VALUE"""),"NBV")</f>
        <v>NBV</v>
      </c>
      <c r="C1375" s="120" t="str">
        <f>IFERROR(__xludf.DUMMYFUNCTION("""COMPUTED_VALUE"""),"Cana Brava")</f>
        <v>Cana Brava</v>
      </c>
      <c r="D1375" s="120" t="str">
        <f>IFERROR(__xludf.DUMMYFUNCTION("""COMPUTED_VALUE"""),"Brazil")</f>
        <v>Brazil</v>
      </c>
      <c r="E1375" s="135"/>
      <c r="F1375" s="31"/>
    </row>
    <row r="1376">
      <c r="A1376" s="134" t="str">
        <f>IFERROR(__xludf.DUMMYFUNCTION("""COMPUTED_VALUE"""),"Canaima")</f>
        <v>Canaima</v>
      </c>
      <c r="B1376" s="120" t="str">
        <f>IFERROR(__xludf.DUMMYFUNCTION("""COMPUTED_VALUE"""),"CAJ")</f>
        <v>CAJ</v>
      </c>
      <c r="C1376" s="120" t="str">
        <f>IFERROR(__xludf.DUMMYFUNCTION("""COMPUTED_VALUE"""),"Canaima")</f>
        <v>Canaima</v>
      </c>
      <c r="D1376" s="120" t="str">
        <f>IFERROR(__xludf.DUMMYFUNCTION("""COMPUTED_VALUE"""),"Venezuela")</f>
        <v>Venezuela</v>
      </c>
      <c r="E1376" s="135"/>
      <c r="F1376" s="31"/>
    </row>
    <row r="1377">
      <c r="A1377" s="134" t="str">
        <f>IFERROR(__xludf.DUMMYFUNCTION("""COMPUTED_VALUE"""),"Canakkale")</f>
        <v>Canakkale</v>
      </c>
      <c r="B1377" s="120" t="str">
        <f>IFERROR(__xludf.DUMMYFUNCTION("""COMPUTED_VALUE"""),"CKZ")</f>
        <v>CKZ</v>
      </c>
      <c r="C1377" s="120" t="str">
        <f>IFERROR(__xludf.DUMMYFUNCTION("""COMPUTED_VALUE"""),"Canakkale")</f>
        <v>Canakkale</v>
      </c>
      <c r="D1377" s="120" t="str">
        <f>IFERROR(__xludf.DUMMYFUNCTION("""COMPUTED_VALUE"""),"Turkey")</f>
        <v>Turkey</v>
      </c>
      <c r="E1377" s="135"/>
      <c r="F1377" s="31"/>
    </row>
    <row r="1378">
      <c r="A1378" s="134" t="str">
        <f>IFERROR(__xludf.DUMMYFUNCTION("""COMPUTED_VALUE"""),"Cananea")</f>
        <v>Cananea</v>
      </c>
      <c r="B1378" s="120" t="str">
        <f>IFERROR(__xludf.DUMMYFUNCTION("""COMPUTED_VALUE"""),"CNA")</f>
        <v>CNA</v>
      </c>
      <c r="C1378" s="120" t="str">
        <f>IFERROR(__xludf.DUMMYFUNCTION("""COMPUTED_VALUE"""),"Cananea")</f>
        <v>Cananea</v>
      </c>
      <c r="D1378" s="120" t="str">
        <f>IFERROR(__xludf.DUMMYFUNCTION("""COMPUTED_VALUE"""),"Mexico")</f>
        <v>Mexico</v>
      </c>
      <c r="E1378" s="135"/>
      <c r="F1378" s="31"/>
    </row>
    <row r="1379">
      <c r="A1379" s="134" t="str">
        <f>IFERROR(__xludf.DUMMYFUNCTION("""COMPUTED_VALUE"""),"Canarana")</f>
        <v>Canarana</v>
      </c>
      <c r="B1379" s="120" t="str">
        <f>IFERROR(__xludf.DUMMYFUNCTION("""COMPUTED_VALUE"""),"CQA")</f>
        <v>CQA</v>
      </c>
      <c r="C1379" s="120" t="str">
        <f>IFERROR(__xludf.DUMMYFUNCTION("""COMPUTED_VALUE"""),"Canarana Airport")</f>
        <v>Canarana Airport</v>
      </c>
      <c r="D1379" s="120" t="str">
        <f>IFERROR(__xludf.DUMMYFUNCTION("""COMPUTED_VALUE"""),"Brazil")</f>
        <v>Brazil</v>
      </c>
      <c r="E1379" s="135"/>
      <c r="F1379" s="31"/>
    </row>
    <row r="1380">
      <c r="A1380" s="134" t="str">
        <f>IFERROR(__xludf.DUMMYFUNCTION("""COMPUTED_VALUE"""),"Canas")</f>
        <v>Canas</v>
      </c>
      <c r="B1380" s="120" t="str">
        <f>IFERROR(__xludf.DUMMYFUNCTION("""COMPUTED_VALUE"""),"CSC")</f>
        <v>CSC</v>
      </c>
      <c r="C1380" s="120" t="str">
        <f>IFERROR(__xludf.DUMMYFUNCTION("""COMPUTED_VALUE"""),"Canas")</f>
        <v>Canas</v>
      </c>
      <c r="D1380" s="120" t="str">
        <f>IFERROR(__xludf.DUMMYFUNCTION("""COMPUTED_VALUE"""),"Costa Rica")</f>
        <v>Costa Rica</v>
      </c>
      <c r="E1380" s="135"/>
      <c r="F1380" s="31"/>
    </row>
    <row r="1381">
      <c r="A1381" s="134" t="str">
        <f>IFERROR(__xludf.DUMMYFUNCTION("""COMPUTED_VALUE"""),"Canavieiras")</f>
        <v>Canavieiras</v>
      </c>
      <c r="B1381" s="120" t="str">
        <f>IFERROR(__xludf.DUMMYFUNCTION("""COMPUTED_VALUE"""),"CNV")</f>
        <v>CNV</v>
      </c>
      <c r="C1381" s="120" t="str">
        <f>IFERROR(__xludf.DUMMYFUNCTION("""COMPUTED_VALUE"""),"Canavieiras")</f>
        <v>Canavieiras</v>
      </c>
      <c r="D1381" s="120" t="str">
        <f>IFERROR(__xludf.DUMMYFUNCTION("""COMPUTED_VALUE"""),"Brazil")</f>
        <v>Brazil</v>
      </c>
      <c r="E1381" s="135"/>
      <c r="F1381" s="31"/>
    </row>
    <row r="1382">
      <c r="A1382" s="134" t="str">
        <f>IFERROR(__xludf.DUMMYFUNCTION("""COMPUTED_VALUE"""),"Canberra")</f>
        <v>Canberra</v>
      </c>
      <c r="B1382" s="120" t="str">
        <f>IFERROR(__xludf.DUMMYFUNCTION("""COMPUTED_VALUE"""),"CBR")</f>
        <v>CBR</v>
      </c>
      <c r="C1382" s="120" t="str">
        <f>IFERROR(__xludf.DUMMYFUNCTION("""COMPUTED_VALUE"""),"Canberra")</f>
        <v>Canberra</v>
      </c>
      <c r="D1382" s="120" t="str">
        <f>IFERROR(__xludf.DUMMYFUNCTION("""COMPUTED_VALUE"""),"Australia")</f>
        <v>Australia</v>
      </c>
      <c r="E1382" s="135"/>
      <c r="F1382" s="31"/>
    </row>
    <row r="1383">
      <c r="A1383" s="134" t="str">
        <f>IFERROR(__xludf.DUMMYFUNCTION("""COMPUTED_VALUE"""),"Cancun")</f>
        <v>Cancun</v>
      </c>
      <c r="B1383" s="120" t="str">
        <f>IFERROR(__xludf.DUMMYFUNCTION("""COMPUTED_VALUE"""),"CUN")</f>
        <v>CUN</v>
      </c>
      <c r="C1383" s="120" t="str">
        <f>IFERROR(__xludf.DUMMYFUNCTION("""COMPUTED_VALUE"""),"Cancun")</f>
        <v>Cancun</v>
      </c>
      <c r="D1383" s="120" t="str">
        <f>IFERROR(__xludf.DUMMYFUNCTION("""COMPUTED_VALUE"""),"Mexico")</f>
        <v>Mexico</v>
      </c>
      <c r="E1383" s="135"/>
      <c r="F1383" s="31"/>
    </row>
    <row r="1384">
      <c r="A1384" s="134" t="str">
        <f>IFERROR(__xludf.DUMMYFUNCTION("""COMPUTED_VALUE"""),"Candala")</f>
        <v>Candala</v>
      </c>
      <c r="B1384" s="120" t="str">
        <f>IFERROR(__xludf.DUMMYFUNCTION("""COMPUTED_VALUE"""),"CXN")</f>
        <v>CXN</v>
      </c>
      <c r="C1384" s="120" t="str">
        <f>IFERROR(__xludf.DUMMYFUNCTION("""COMPUTED_VALUE"""),"Candala")</f>
        <v>Candala</v>
      </c>
      <c r="D1384" s="120" t="str">
        <f>IFERROR(__xludf.DUMMYFUNCTION("""COMPUTED_VALUE"""),"Somalia")</f>
        <v>Somalia</v>
      </c>
      <c r="E1384" s="135"/>
      <c r="F1384" s="31"/>
    </row>
    <row r="1385">
      <c r="A1385" s="134" t="str">
        <f>IFERROR(__xludf.DUMMYFUNCTION("""COMPUTED_VALUE"""),"Candilejas")</f>
        <v>Candilejas</v>
      </c>
      <c r="B1385" s="120" t="str">
        <f>IFERROR(__xludf.DUMMYFUNCTION("""COMPUTED_VALUE"""),"CJD")</f>
        <v>CJD</v>
      </c>
      <c r="C1385" s="120" t="str">
        <f>IFERROR(__xludf.DUMMYFUNCTION("""COMPUTED_VALUE"""),"Candilejas")</f>
        <v>Candilejas</v>
      </c>
      <c r="D1385" s="120" t="str">
        <f>IFERROR(__xludf.DUMMYFUNCTION("""COMPUTED_VALUE"""),"Colombia")</f>
        <v>Colombia</v>
      </c>
      <c r="E1385" s="135"/>
      <c r="F1385" s="31"/>
    </row>
    <row r="1386">
      <c r="A1386" s="134" t="str">
        <f>IFERROR(__xludf.DUMMYFUNCTION("""COMPUTED_VALUE"""),"Candle")</f>
        <v>Candle</v>
      </c>
      <c r="B1386" s="120" t="str">
        <f>IFERROR(__xludf.DUMMYFUNCTION("""COMPUTED_VALUE"""),"CDL")</f>
        <v>CDL</v>
      </c>
      <c r="C1386" s="120" t="str">
        <f>IFERROR(__xludf.DUMMYFUNCTION("""COMPUTED_VALUE"""),"Candle")</f>
        <v>Candle</v>
      </c>
      <c r="D1386" s="120" t="str">
        <f>IFERROR(__xludf.DUMMYFUNCTION("""COMPUTED_VALUE"""),"United States")</f>
        <v>United States</v>
      </c>
      <c r="E1386" s="135"/>
      <c r="F1386" s="31"/>
    </row>
    <row r="1387">
      <c r="A1387" s="134" t="str">
        <f>IFERROR(__xludf.DUMMYFUNCTION("""COMPUTED_VALUE"""),"Cangamba")</f>
        <v>Cangamba</v>
      </c>
      <c r="B1387" s="120" t="str">
        <f>IFERROR(__xludf.DUMMYFUNCTION("""COMPUTED_VALUE"""),"CNZ")</f>
        <v>CNZ</v>
      </c>
      <c r="C1387" s="120" t="str">
        <f>IFERROR(__xludf.DUMMYFUNCTION("""COMPUTED_VALUE"""),"Cangamba")</f>
        <v>Cangamba</v>
      </c>
      <c r="D1387" s="120" t="str">
        <f>IFERROR(__xludf.DUMMYFUNCTION("""COMPUTED_VALUE"""),"Angola")</f>
        <v>Angola</v>
      </c>
      <c r="E1387" s="135"/>
      <c r="F1387" s="31"/>
    </row>
    <row r="1388">
      <c r="A1388" s="134" t="str">
        <f>IFERROR(__xludf.DUMMYFUNCTION("""COMPUTED_VALUE"""),"Cannes")</f>
        <v>Cannes</v>
      </c>
      <c r="B1388" s="120" t="str">
        <f>IFERROR(__xludf.DUMMYFUNCTION("""COMPUTED_VALUE"""),"JCA")</f>
        <v>JCA</v>
      </c>
      <c r="C1388" s="120" t="str">
        <f>IFERROR(__xludf.DUMMYFUNCTION("""COMPUTED_VALUE"""),"Croisette Heliport")</f>
        <v>Croisette Heliport</v>
      </c>
      <c r="D1388" s="120" t="str">
        <f>IFERROR(__xludf.DUMMYFUNCTION("""COMPUTED_VALUE"""),"France")</f>
        <v>France</v>
      </c>
      <c r="E1388" s="135"/>
      <c r="F1388" s="31"/>
    </row>
    <row r="1389">
      <c r="A1389" s="134" t="str">
        <f>IFERROR(__xludf.DUMMYFUNCTION("""COMPUTED_VALUE"""),"Cannes")</f>
        <v>Cannes</v>
      </c>
      <c r="B1389" s="120" t="str">
        <f>IFERROR(__xludf.DUMMYFUNCTION("""COMPUTED_VALUE"""),"CEQ")</f>
        <v>CEQ</v>
      </c>
      <c r="C1389" s="120" t="str">
        <f>IFERROR(__xludf.DUMMYFUNCTION("""COMPUTED_VALUE"""),"Mandelieu")</f>
        <v>Mandelieu</v>
      </c>
      <c r="D1389" s="120" t="str">
        <f>IFERROR(__xludf.DUMMYFUNCTION("""COMPUTED_VALUE"""),"France")</f>
        <v>France</v>
      </c>
      <c r="E1389" s="135"/>
      <c r="F1389" s="31"/>
    </row>
    <row r="1390">
      <c r="A1390" s="134" t="str">
        <f>IFERROR(__xludf.DUMMYFUNCTION("""COMPUTED_VALUE"""),"Cannes")</f>
        <v>Cannes</v>
      </c>
      <c r="B1390" s="120" t="str">
        <f>IFERROR(__xludf.DUMMYFUNCTION("""COMPUTED_VALUE"""),"QYW")</f>
        <v>QYW</v>
      </c>
      <c r="C1390" s="120" t="str">
        <f>IFERROR(__xludf.DUMMYFUNCTION("""COMPUTED_VALUE"""),"Vieux Port")</f>
        <v>Vieux Port</v>
      </c>
      <c r="D1390" s="120" t="str">
        <f>IFERROR(__xludf.DUMMYFUNCTION("""COMPUTED_VALUE"""),"France")</f>
        <v>France</v>
      </c>
      <c r="E1390" s="135"/>
      <c r="F1390" s="31"/>
    </row>
    <row r="1391">
      <c r="A1391" s="134" t="str">
        <f>IFERROR(__xludf.DUMMYFUNCTION("""COMPUTED_VALUE"""),"Canobie")</f>
        <v>Canobie</v>
      </c>
      <c r="B1391" s="120" t="str">
        <f>IFERROR(__xludf.DUMMYFUNCTION("""COMPUTED_VALUE"""),"CBY")</f>
        <v>CBY</v>
      </c>
      <c r="C1391" s="120" t="str">
        <f>IFERROR(__xludf.DUMMYFUNCTION("""COMPUTED_VALUE"""),"Canobie")</f>
        <v>Canobie</v>
      </c>
      <c r="D1391" s="120" t="str">
        <f>IFERROR(__xludf.DUMMYFUNCTION("""COMPUTED_VALUE"""),"Australia")</f>
        <v>Australia</v>
      </c>
      <c r="E1391" s="135"/>
      <c r="F1391" s="31"/>
    </row>
    <row r="1392">
      <c r="A1392" s="134" t="str">
        <f>IFERROR(__xludf.DUMMYFUNCTION("""COMPUTED_VALUE"""),"Canon City")</f>
        <v>Canon City</v>
      </c>
      <c r="B1392" s="120" t="str">
        <f>IFERROR(__xludf.DUMMYFUNCTION("""COMPUTED_VALUE"""),"CNE")</f>
        <v>CNE</v>
      </c>
      <c r="C1392" s="120" t="str">
        <f>IFERROR(__xludf.DUMMYFUNCTION("""COMPUTED_VALUE"""),"Canon City")</f>
        <v>Canon City</v>
      </c>
      <c r="D1392" s="120" t="str">
        <f>IFERROR(__xludf.DUMMYFUNCTION("""COMPUTED_VALUE"""),"United States")</f>
        <v>United States</v>
      </c>
      <c r="E1392" s="135"/>
      <c r="F1392" s="31"/>
    </row>
    <row r="1393">
      <c r="A1393" s="134" t="str">
        <f>IFERROR(__xludf.DUMMYFUNCTION("""COMPUTED_VALUE"""),"Canouan Island")</f>
        <v>Canouan Island</v>
      </c>
      <c r="B1393" s="120" t="str">
        <f>IFERROR(__xludf.DUMMYFUNCTION("""COMPUTED_VALUE"""),"CIW")</f>
        <v>CIW</v>
      </c>
      <c r="C1393" s="120" t="str">
        <f>IFERROR(__xludf.DUMMYFUNCTION("""COMPUTED_VALUE"""),"Canouan Island")</f>
        <v>Canouan Island</v>
      </c>
      <c r="D1393" s="120" t="str">
        <f>IFERROR(__xludf.DUMMYFUNCTION("""COMPUTED_VALUE"""),"Saint Vincent and the Grenadines")</f>
        <v>Saint Vincent and the Grenadines</v>
      </c>
      <c r="E1393" s="135"/>
      <c r="F1393" s="31"/>
    </row>
    <row r="1394">
      <c r="A1394" s="134" t="str">
        <f>IFERROR(__xludf.DUMMYFUNCTION("""COMPUTED_VALUE"""),"Canton")</f>
        <v>Canton</v>
      </c>
      <c r="B1394" s="120" t="str">
        <f>IFERROR(__xludf.DUMMYFUNCTION("""COMPUTED_VALUE"""),"CTK")</f>
        <v>CTK</v>
      </c>
      <c r="C1394" s="120" t="str">
        <f>IFERROR(__xludf.DUMMYFUNCTION("""COMPUTED_VALUE"""),"Canton")</f>
        <v>Canton</v>
      </c>
      <c r="D1394" s="120" t="str">
        <f>IFERROR(__xludf.DUMMYFUNCTION("""COMPUTED_VALUE"""),"United States")</f>
        <v>United States</v>
      </c>
      <c r="E1394" s="135"/>
      <c r="F1394" s="31"/>
    </row>
    <row r="1395">
      <c r="A1395" s="134" t="str">
        <f>IFERROR(__xludf.DUMMYFUNCTION("""COMPUTED_VALUE"""),"Canton Island")</f>
        <v>Canton Island</v>
      </c>
      <c r="B1395" s="120" t="str">
        <f>IFERROR(__xludf.DUMMYFUNCTION("""COMPUTED_VALUE"""),"CIS")</f>
        <v>CIS</v>
      </c>
      <c r="C1395" s="120" t="str">
        <f>IFERROR(__xludf.DUMMYFUNCTION("""COMPUTED_VALUE"""),"Canton Island")</f>
        <v>Canton Island</v>
      </c>
      <c r="D1395" s="120" t="str">
        <f>IFERROR(__xludf.DUMMYFUNCTION("""COMPUTED_VALUE"""),"Kiribati")</f>
        <v>Kiribati</v>
      </c>
      <c r="E1395" s="135"/>
      <c r="F1395" s="31"/>
    </row>
    <row r="1396">
      <c r="A1396" s="134" t="str">
        <f>IFERROR(__xludf.DUMMYFUNCTION("""COMPUTED_VALUE"""),"Cap Haitien")</f>
        <v>Cap Haitien</v>
      </c>
      <c r="B1396" s="120" t="str">
        <f>IFERROR(__xludf.DUMMYFUNCTION("""COMPUTED_VALUE"""),"CAP")</f>
        <v>CAP</v>
      </c>
      <c r="C1396" s="120" t="str">
        <f>IFERROR(__xludf.DUMMYFUNCTION("""COMPUTED_VALUE"""),"Cap Haitien")</f>
        <v>Cap Haitien</v>
      </c>
      <c r="D1396" s="120" t="str">
        <f>IFERROR(__xludf.DUMMYFUNCTION("""COMPUTED_VALUE"""),"Haiti")</f>
        <v>Haiti</v>
      </c>
      <c r="E1396" s="135"/>
      <c r="F1396" s="31"/>
    </row>
    <row r="1397">
      <c r="A1397" s="134" t="str">
        <f>IFERROR(__xludf.DUMMYFUNCTION("""COMPUTED_VALUE"""),"Cap Skirring")</f>
        <v>Cap Skirring</v>
      </c>
      <c r="B1397" s="120" t="str">
        <f>IFERROR(__xludf.DUMMYFUNCTION("""COMPUTED_VALUE"""),"CSK")</f>
        <v>CSK</v>
      </c>
      <c r="C1397" s="120" t="str">
        <f>IFERROR(__xludf.DUMMYFUNCTION("""COMPUTED_VALUE"""),"Cap Skirring")</f>
        <v>Cap Skirring</v>
      </c>
      <c r="D1397" s="120" t="str">
        <f>IFERROR(__xludf.DUMMYFUNCTION("""COMPUTED_VALUE"""),"Senegal")</f>
        <v>Senegal</v>
      </c>
      <c r="E1397" s="135"/>
      <c r="F1397" s="31"/>
    </row>
    <row r="1398">
      <c r="A1398" s="134" t="str">
        <f>IFERROR(__xludf.DUMMYFUNCTION("""COMPUTED_VALUE"""),"Capanda")</f>
        <v>Capanda</v>
      </c>
      <c r="B1398" s="120" t="str">
        <f>IFERROR(__xludf.DUMMYFUNCTION("""COMPUTED_VALUE"""),"KNP")</f>
        <v>KNP</v>
      </c>
      <c r="C1398" s="120" t="str">
        <f>IFERROR(__xludf.DUMMYFUNCTION("""COMPUTED_VALUE"""),"Capanda")</f>
        <v>Capanda</v>
      </c>
      <c r="D1398" s="120" t="str">
        <f>IFERROR(__xludf.DUMMYFUNCTION("""COMPUTED_VALUE"""),"Angola")</f>
        <v>Angola</v>
      </c>
      <c r="E1398" s="135"/>
      <c r="F1398" s="31"/>
    </row>
    <row r="1399">
      <c r="A1399" s="134" t="str">
        <f>IFERROR(__xludf.DUMMYFUNCTION("""COMPUTED_VALUE"""),"Cape Barren Island")</f>
        <v>Cape Barren Island</v>
      </c>
      <c r="B1399" s="120" t="str">
        <f>IFERROR(__xludf.DUMMYFUNCTION("""COMPUTED_VALUE"""),"CBI")</f>
        <v>CBI</v>
      </c>
      <c r="C1399" s="120" t="str">
        <f>IFERROR(__xludf.DUMMYFUNCTION("""COMPUTED_VALUE"""),"Cape Barren Island")</f>
        <v>Cape Barren Island</v>
      </c>
      <c r="D1399" s="120" t="str">
        <f>IFERROR(__xludf.DUMMYFUNCTION("""COMPUTED_VALUE"""),"Australia")</f>
        <v>Australia</v>
      </c>
      <c r="E1399" s="135"/>
      <c r="F1399" s="31"/>
    </row>
    <row r="1400">
      <c r="A1400" s="134" t="str">
        <f>IFERROR(__xludf.DUMMYFUNCTION("""COMPUTED_VALUE"""),"Cape Dorset")</f>
        <v>Cape Dorset</v>
      </c>
      <c r="B1400" s="120" t="str">
        <f>IFERROR(__xludf.DUMMYFUNCTION("""COMPUTED_VALUE"""),"YTE")</f>
        <v>YTE</v>
      </c>
      <c r="C1400" s="120" t="str">
        <f>IFERROR(__xludf.DUMMYFUNCTION("""COMPUTED_VALUE"""),"Cape Dorset")</f>
        <v>Cape Dorset</v>
      </c>
      <c r="D1400" s="120" t="str">
        <f>IFERROR(__xludf.DUMMYFUNCTION("""COMPUTED_VALUE"""),"Canada")</f>
        <v>Canada</v>
      </c>
      <c r="E1400" s="135"/>
      <c r="F1400" s="31"/>
    </row>
    <row r="1401">
      <c r="A1401" s="134" t="str">
        <f>IFERROR(__xludf.DUMMYFUNCTION("""COMPUTED_VALUE"""),"Cape Eleuthera")</f>
        <v>Cape Eleuthera</v>
      </c>
      <c r="B1401" s="120" t="str">
        <f>IFERROR(__xludf.DUMMYFUNCTION("""COMPUTED_VALUE"""),"CEL")</f>
        <v>CEL</v>
      </c>
      <c r="C1401" s="137" t="str">
        <f>IFERROR(__xludf.DUMMYFUNCTION("""COMPUTED_VALUE"""),"Cape Eleuthera")</f>
        <v>Cape Eleuthera</v>
      </c>
      <c r="D1401" s="120" t="str">
        <f>IFERROR(__xludf.DUMMYFUNCTION("""COMPUTED_VALUE"""),"Bahamas")</f>
        <v>Bahamas</v>
      </c>
      <c r="E1401" s="135"/>
      <c r="F1401" s="31"/>
    </row>
    <row r="1402">
      <c r="A1402" s="134" t="str">
        <f>IFERROR(__xludf.DUMMYFUNCTION("""COMPUTED_VALUE"""),"Cape Flattery")</f>
        <v>Cape Flattery</v>
      </c>
      <c r="B1402" s="120" t="str">
        <f>IFERROR(__xludf.DUMMYFUNCTION("""COMPUTED_VALUE"""),"CQP")</f>
        <v>CQP</v>
      </c>
      <c r="C1402" s="120" t="str">
        <f>IFERROR(__xludf.DUMMYFUNCTION("""COMPUTED_VALUE"""),"Cape Flattery")</f>
        <v>Cape Flattery</v>
      </c>
      <c r="D1402" s="120" t="str">
        <f>IFERROR(__xludf.DUMMYFUNCTION("""COMPUTED_VALUE"""),"Australia")</f>
        <v>Australia</v>
      </c>
      <c r="E1402" s="135"/>
      <c r="F1402" s="31"/>
    </row>
    <row r="1403">
      <c r="A1403" s="134" t="str">
        <f>IFERROR(__xludf.DUMMYFUNCTION("""COMPUTED_VALUE"""),"Cape Girardeau")</f>
        <v>Cape Girardeau</v>
      </c>
      <c r="B1403" s="120" t="str">
        <f>IFERROR(__xludf.DUMMYFUNCTION("""COMPUTED_VALUE"""),"CGI")</f>
        <v>CGI</v>
      </c>
      <c r="C1403" s="120" t="str">
        <f>IFERROR(__xludf.DUMMYFUNCTION("""COMPUTED_VALUE"""),"Cape Girardeau")</f>
        <v>Cape Girardeau</v>
      </c>
      <c r="D1403" s="120" t="str">
        <f>IFERROR(__xludf.DUMMYFUNCTION("""COMPUTED_VALUE"""),"United States")</f>
        <v>United States</v>
      </c>
      <c r="E1403" s="135"/>
      <c r="F1403" s="31"/>
    </row>
    <row r="1404">
      <c r="A1404" s="134" t="str">
        <f>IFERROR(__xludf.DUMMYFUNCTION("""COMPUTED_VALUE"""),"Cape Gloucester")</f>
        <v>Cape Gloucester</v>
      </c>
      <c r="B1404" s="120" t="str">
        <f>IFERROR(__xludf.DUMMYFUNCTION("""COMPUTED_VALUE"""),"CGC")</f>
        <v>CGC</v>
      </c>
      <c r="C1404" s="120" t="str">
        <f>IFERROR(__xludf.DUMMYFUNCTION("""COMPUTED_VALUE"""),"Cape Gloucester")</f>
        <v>Cape Gloucester</v>
      </c>
      <c r="D1404" s="120" t="str">
        <f>IFERROR(__xludf.DUMMYFUNCTION("""COMPUTED_VALUE"""),"Papua New Guinea")</f>
        <v>Papua New Guinea</v>
      </c>
      <c r="E1404" s="135"/>
      <c r="F1404" s="31"/>
    </row>
    <row r="1405">
      <c r="A1405" s="134" t="str">
        <f>IFERROR(__xludf.DUMMYFUNCTION("""COMPUTED_VALUE"""),"Cape Lisburne")</f>
        <v>Cape Lisburne</v>
      </c>
      <c r="B1405" s="120" t="str">
        <f>IFERROR(__xludf.DUMMYFUNCTION("""COMPUTED_VALUE"""),"LUR")</f>
        <v>LUR</v>
      </c>
      <c r="C1405" s="120" t="str">
        <f>IFERROR(__xludf.DUMMYFUNCTION("""COMPUTED_VALUE"""),"Cape Lisburne")</f>
        <v>Cape Lisburne</v>
      </c>
      <c r="D1405" s="120" t="str">
        <f>IFERROR(__xludf.DUMMYFUNCTION("""COMPUTED_VALUE"""),"United States")</f>
        <v>United States</v>
      </c>
      <c r="E1405" s="135"/>
      <c r="F1405" s="31"/>
    </row>
    <row r="1406">
      <c r="A1406" s="134" t="str">
        <f>IFERROR(__xludf.DUMMYFUNCTION("""COMPUTED_VALUE"""),"Cape Newenham")</f>
        <v>Cape Newenham</v>
      </c>
      <c r="B1406" s="120" t="str">
        <f>IFERROR(__xludf.DUMMYFUNCTION("""COMPUTED_VALUE"""),"EHM")</f>
        <v>EHM</v>
      </c>
      <c r="C1406" s="120" t="str">
        <f>IFERROR(__xludf.DUMMYFUNCTION("""COMPUTED_VALUE"""),"Cape Newenham")</f>
        <v>Cape Newenham</v>
      </c>
      <c r="D1406" s="120" t="str">
        <f>IFERROR(__xludf.DUMMYFUNCTION("""COMPUTED_VALUE"""),"United States")</f>
        <v>United States</v>
      </c>
      <c r="E1406" s="135"/>
      <c r="F1406" s="31"/>
    </row>
    <row r="1407">
      <c r="A1407" s="134" t="str">
        <f>IFERROR(__xludf.DUMMYFUNCTION("""COMPUTED_VALUE"""),"Cape Orford")</f>
        <v>Cape Orford</v>
      </c>
      <c r="B1407" s="120" t="str">
        <f>IFERROR(__xludf.DUMMYFUNCTION("""COMPUTED_VALUE"""),"CPI")</f>
        <v>CPI</v>
      </c>
      <c r="C1407" s="120" t="str">
        <f>IFERROR(__xludf.DUMMYFUNCTION("""COMPUTED_VALUE"""),"Cape Orford")</f>
        <v>Cape Orford</v>
      </c>
      <c r="D1407" s="120" t="str">
        <f>IFERROR(__xludf.DUMMYFUNCTION("""COMPUTED_VALUE"""),"Papua New Guinea")</f>
        <v>Papua New Guinea</v>
      </c>
      <c r="E1407" s="135"/>
      <c r="F1407" s="31"/>
    </row>
    <row r="1408">
      <c r="A1408" s="134" t="str">
        <f>IFERROR(__xludf.DUMMYFUNCTION("""COMPUTED_VALUE"""),"Cape Palmas")</f>
        <v>Cape Palmas</v>
      </c>
      <c r="B1408" s="120" t="str">
        <f>IFERROR(__xludf.DUMMYFUNCTION("""COMPUTED_VALUE"""),"CPA")</f>
        <v>CPA</v>
      </c>
      <c r="C1408" s="120" t="str">
        <f>IFERROR(__xludf.DUMMYFUNCTION("""COMPUTED_VALUE"""),"A. Tubman")</f>
        <v>A. Tubman</v>
      </c>
      <c r="D1408" s="120" t="str">
        <f>IFERROR(__xludf.DUMMYFUNCTION("""COMPUTED_VALUE"""),"Liberia")</f>
        <v>Liberia</v>
      </c>
      <c r="E1408" s="135"/>
      <c r="F1408" s="31"/>
    </row>
    <row r="1409">
      <c r="A1409" s="134" t="str">
        <f>IFERROR(__xludf.DUMMYFUNCTION("""COMPUTED_VALUE"""),"Cape Pole")</f>
        <v>Cape Pole</v>
      </c>
      <c r="B1409" s="120" t="str">
        <f>IFERROR(__xludf.DUMMYFUNCTION("""COMPUTED_VALUE"""),"CZP")</f>
        <v>CZP</v>
      </c>
      <c r="C1409" s="120" t="str">
        <f>IFERROR(__xludf.DUMMYFUNCTION("""COMPUTED_VALUE"""),"Cape Pole")</f>
        <v>Cape Pole</v>
      </c>
      <c r="D1409" s="120" t="str">
        <f>IFERROR(__xludf.DUMMYFUNCTION("""COMPUTED_VALUE"""),"United States")</f>
        <v>United States</v>
      </c>
      <c r="E1409" s="135"/>
      <c r="F1409" s="31"/>
    </row>
    <row r="1410">
      <c r="A1410" s="134" t="str">
        <f>IFERROR(__xludf.DUMMYFUNCTION("""COMPUTED_VALUE"""),"Cape Rodney")</f>
        <v>Cape Rodney</v>
      </c>
      <c r="B1410" s="120" t="str">
        <f>IFERROR(__xludf.DUMMYFUNCTION("""COMPUTED_VALUE"""),"CPN")</f>
        <v>CPN</v>
      </c>
      <c r="C1410" s="120" t="str">
        <f>IFERROR(__xludf.DUMMYFUNCTION("""COMPUTED_VALUE"""),"Cape Rodney")</f>
        <v>Cape Rodney</v>
      </c>
      <c r="D1410" s="120" t="str">
        <f>IFERROR(__xludf.DUMMYFUNCTION("""COMPUTED_VALUE"""),"Papua New Guinea")</f>
        <v>Papua New Guinea</v>
      </c>
      <c r="E1410" s="135"/>
      <c r="F1410" s="31"/>
    </row>
    <row r="1411">
      <c r="A1411" s="134" t="str">
        <f>IFERROR(__xludf.DUMMYFUNCTION("""COMPUTED_VALUE"""),"Cape Romanzof")</f>
        <v>Cape Romanzof</v>
      </c>
      <c r="B1411" s="120" t="str">
        <f>IFERROR(__xludf.DUMMYFUNCTION("""COMPUTED_VALUE"""),"CZF")</f>
        <v>CZF</v>
      </c>
      <c r="C1411" s="120" t="str">
        <f>IFERROR(__xludf.DUMMYFUNCTION("""COMPUTED_VALUE"""),"Cape Romanzof")</f>
        <v>Cape Romanzof</v>
      </c>
      <c r="D1411" s="120" t="str">
        <f>IFERROR(__xludf.DUMMYFUNCTION("""COMPUTED_VALUE"""),"United States")</f>
        <v>United States</v>
      </c>
      <c r="E1411" s="135"/>
      <c r="F1411" s="31"/>
    </row>
    <row r="1412">
      <c r="A1412" s="134" t="str">
        <f>IFERROR(__xludf.DUMMYFUNCTION("""COMPUTED_VALUE"""),"Cape Spencer")</f>
        <v>Cape Spencer</v>
      </c>
      <c r="B1412" s="120" t="str">
        <f>IFERROR(__xludf.DUMMYFUNCTION("""COMPUTED_VALUE"""),"CSP")</f>
        <v>CSP</v>
      </c>
      <c r="C1412" s="120" t="str">
        <f>IFERROR(__xludf.DUMMYFUNCTION("""COMPUTED_VALUE"""),"Coast Guard Heliport")</f>
        <v>Coast Guard Heliport</v>
      </c>
      <c r="D1412" s="120" t="str">
        <f>IFERROR(__xludf.DUMMYFUNCTION("""COMPUTED_VALUE"""),"United States")</f>
        <v>United States</v>
      </c>
      <c r="E1412" s="135"/>
      <c r="F1412" s="31"/>
    </row>
    <row r="1413">
      <c r="A1413" s="134" t="str">
        <f>IFERROR(__xludf.DUMMYFUNCTION("""COMPUTED_VALUE"""),"Cape St Jacques")</f>
        <v>Cape St Jacques</v>
      </c>
      <c r="B1413" s="120" t="str">
        <f>IFERROR(__xludf.DUMMYFUNCTION("""COMPUTED_VALUE"""),"CSJ")</f>
        <v>CSJ</v>
      </c>
      <c r="C1413" s="120" t="str">
        <f>IFERROR(__xludf.DUMMYFUNCTION("""COMPUTED_VALUE"""),"Cape St Jacques")</f>
        <v>Cape St Jacques</v>
      </c>
      <c r="D1413" s="120" t="str">
        <f>IFERROR(__xludf.DUMMYFUNCTION("""COMPUTED_VALUE"""),"Vietnam")</f>
        <v>Vietnam</v>
      </c>
      <c r="E1413" s="135"/>
      <c r="F1413" s="31"/>
    </row>
    <row r="1414">
      <c r="A1414" s="134" t="str">
        <f>IFERROR(__xludf.DUMMYFUNCTION("""COMPUTED_VALUE"""),"Cape St James")</f>
        <v>Cape St James</v>
      </c>
      <c r="B1414" s="120" t="str">
        <f>IFERROR(__xludf.DUMMYFUNCTION("""COMPUTED_VALUE"""),"YCJ")</f>
        <v>YCJ</v>
      </c>
      <c r="C1414" s="120" t="str">
        <f>IFERROR(__xludf.DUMMYFUNCTION("""COMPUTED_VALUE"""),"Cape St James")</f>
        <v>Cape St James</v>
      </c>
      <c r="D1414" s="120" t="str">
        <f>IFERROR(__xludf.DUMMYFUNCTION("""COMPUTED_VALUE"""),"Canada")</f>
        <v>Canada</v>
      </c>
      <c r="E1414" s="135"/>
      <c r="F1414" s="31"/>
    </row>
    <row r="1415">
      <c r="A1415" s="134" t="str">
        <f>IFERROR(__xludf.DUMMYFUNCTION("""COMPUTED_VALUE"""),"Cape Town")</f>
        <v>Cape Town</v>
      </c>
      <c r="B1415" s="120" t="str">
        <f>IFERROR(__xludf.DUMMYFUNCTION("""COMPUTED_VALUE"""),"CPT")</f>
        <v>CPT</v>
      </c>
      <c r="C1415" s="120" t="str">
        <f>IFERROR(__xludf.DUMMYFUNCTION("""COMPUTED_VALUE"""),"Cape Town International")</f>
        <v>Cape Town International</v>
      </c>
      <c r="D1415" s="120" t="str">
        <f>IFERROR(__xludf.DUMMYFUNCTION("""COMPUTED_VALUE"""),"South Africa")</f>
        <v>South Africa</v>
      </c>
      <c r="E1415" s="135"/>
      <c r="F1415" s="31"/>
    </row>
    <row r="1416">
      <c r="A1416" s="134" t="str">
        <f>IFERROR(__xludf.DUMMYFUNCTION("""COMPUTED_VALUE"""),"Cape Vogel")</f>
        <v>Cape Vogel</v>
      </c>
      <c r="B1416" s="120" t="str">
        <f>IFERROR(__xludf.DUMMYFUNCTION("""COMPUTED_VALUE"""),"CVL")</f>
        <v>CVL</v>
      </c>
      <c r="C1416" s="120" t="str">
        <f>IFERROR(__xludf.DUMMYFUNCTION("""COMPUTED_VALUE"""),"Cape Vogel")</f>
        <v>Cape Vogel</v>
      </c>
      <c r="D1416" s="120" t="str">
        <f>IFERROR(__xludf.DUMMYFUNCTION("""COMPUTED_VALUE"""),"Papua New Guinea")</f>
        <v>Papua New Guinea</v>
      </c>
      <c r="E1416" s="135"/>
      <c r="F1416" s="31"/>
    </row>
    <row r="1417">
      <c r="A1417" s="134" t="str">
        <f>IFERROR(__xludf.DUMMYFUNCTION("""COMPUTED_VALUE"""),"Capri")</f>
        <v>Capri</v>
      </c>
      <c r="B1417" s="120" t="str">
        <f>IFERROR(__xludf.DUMMYFUNCTION("""COMPUTED_VALUE"""),"PRJ")</f>
        <v>PRJ</v>
      </c>
      <c r="C1417" s="120" t="str">
        <f>IFERROR(__xludf.DUMMYFUNCTION("""COMPUTED_VALUE"""),"Capri")</f>
        <v>Capri</v>
      </c>
      <c r="D1417" s="120" t="str">
        <f>IFERROR(__xludf.DUMMYFUNCTION("""COMPUTED_VALUE"""),"Italy")</f>
        <v>Italy</v>
      </c>
      <c r="E1417" s="135"/>
      <c r="F1417" s="31"/>
    </row>
    <row r="1418">
      <c r="A1418" s="134" t="str">
        <f>IFERROR(__xludf.DUMMYFUNCTION("""COMPUTED_VALUE"""),"Caprivi")</f>
        <v>Caprivi</v>
      </c>
      <c r="B1418" s="120" t="str">
        <f>IFERROR(__xludf.DUMMYFUNCTION("""COMPUTED_VALUE"""),"LHU")</f>
        <v>LHU</v>
      </c>
      <c r="C1418" s="120" t="str">
        <f>IFERROR(__xludf.DUMMYFUNCTION("""COMPUTED_VALUE"""),"Lianshulu")</f>
        <v>Lianshulu</v>
      </c>
      <c r="D1418" s="120" t="str">
        <f>IFERROR(__xludf.DUMMYFUNCTION("""COMPUTED_VALUE"""),"Namibia")</f>
        <v>Namibia</v>
      </c>
      <c r="E1418" s="135"/>
      <c r="F1418" s="31"/>
    </row>
    <row r="1419">
      <c r="A1419" s="134" t="str">
        <f>IFERROR(__xludf.DUMMYFUNCTION("""COMPUTED_VALUE"""),"Capurgana")</f>
        <v>Capurgana</v>
      </c>
      <c r="B1419" s="120" t="str">
        <f>IFERROR(__xludf.DUMMYFUNCTION("""COMPUTED_VALUE"""),"CPB")</f>
        <v>CPB</v>
      </c>
      <c r="C1419" s="120" t="str">
        <f>IFERROR(__xludf.DUMMYFUNCTION("""COMPUTED_VALUE"""),"Capurgana")</f>
        <v>Capurgana</v>
      </c>
      <c r="D1419" s="120" t="str">
        <f>IFERROR(__xludf.DUMMYFUNCTION("""COMPUTED_VALUE"""),"Colombia")</f>
        <v>Colombia</v>
      </c>
      <c r="E1419" s="135"/>
      <c r="F1419" s="31"/>
    </row>
    <row r="1420">
      <c r="A1420" s="134" t="str">
        <f>IFERROR(__xludf.DUMMYFUNCTION("""COMPUTED_VALUE"""),"Caquetania")</f>
        <v>Caquetania</v>
      </c>
      <c r="B1420" s="120" t="str">
        <f>IFERROR(__xludf.DUMMYFUNCTION("""COMPUTED_VALUE"""),"CQT")</f>
        <v>CQT</v>
      </c>
      <c r="C1420" s="120" t="str">
        <f>IFERROR(__xludf.DUMMYFUNCTION("""COMPUTED_VALUE"""),"Caquetania")</f>
        <v>Caquetania</v>
      </c>
      <c r="D1420" s="120" t="str">
        <f>IFERROR(__xludf.DUMMYFUNCTION("""COMPUTED_VALUE"""),"Colombia")</f>
        <v>Colombia</v>
      </c>
      <c r="E1420" s="135"/>
      <c r="F1420" s="31"/>
    </row>
    <row r="1421">
      <c r="A1421" s="134" t="str">
        <f>IFERROR(__xludf.DUMMYFUNCTION("""COMPUTED_VALUE"""),"Car Nicobar")</f>
        <v>Car Nicobar</v>
      </c>
      <c r="B1421" s="120" t="str">
        <f>IFERROR(__xludf.DUMMYFUNCTION("""COMPUTED_VALUE"""),"CBD")</f>
        <v>CBD</v>
      </c>
      <c r="C1421" s="120" t="str">
        <f>IFERROR(__xludf.DUMMYFUNCTION("""COMPUTED_VALUE"""),"Car Nicobar")</f>
        <v>Car Nicobar</v>
      </c>
      <c r="D1421" s="120" t="str">
        <f>IFERROR(__xludf.DUMMYFUNCTION("""COMPUTED_VALUE"""),"India")</f>
        <v>India</v>
      </c>
      <c r="E1421" s="135"/>
      <c r="F1421" s="31"/>
    </row>
    <row r="1422">
      <c r="A1422" s="134" t="str">
        <f>IFERROR(__xludf.DUMMYFUNCTION("""COMPUTED_VALUE"""),"Caracas")</f>
        <v>Caracas</v>
      </c>
      <c r="B1422" s="120" t="str">
        <f>IFERROR(__xludf.DUMMYFUNCTION("""COMPUTED_VALUE"""),"CCS")</f>
        <v>CCS</v>
      </c>
      <c r="C1422" s="120" t="str">
        <f>IFERROR(__xludf.DUMMYFUNCTION("""COMPUTED_VALUE"""),"Maiquetia")</f>
        <v>Maiquetia</v>
      </c>
      <c r="D1422" s="120" t="str">
        <f>IFERROR(__xludf.DUMMYFUNCTION("""COMPUTED_VALUE"""),"Venezuela")</f>
        <v>Venezuela</v>
      </c>
      <c r="E1422" s="135"/>
      <c r="F1422" s="31"/>
    </row>
    <row r="1423">
      <c r="A1423" s="134" t="str">
        <f>IFERROR(__xludf.DUMMYFUNCTION("""COMPUTED_VALUE"""),"Carajas")</f>
        <v>Carajas</v>
      </c>
      <c r="B1423" s="120" t="str">
        <f>IFERROR(__xludf.DUMMYFUNCTION("""COMPUTED_VALUE"""),"CKS")</f>
        <v>CKS</v>
      </c>
      <c r="C1423" s="120" t="str">
        <f>IFERROR(__xludf.DUMMYFUNCTION("""COMPUTED_VALUE"""),"Carajas")</f>
        <v>Carajas</v>
      </c>
      <c r="D1423" s="120" t="str">
        <f>IFERROR(__xludf.DUMMYFUNCTION("""COMPUTED_VALUE"""),"Brazil")</f>
        <v>Brazil</v>
      </c>
      <c r="E1423" s="135"/>
      <c r="F1423" s="31"/>
    </row>
    <row r="1424">
      <c r="A1424" s="134" t="str">
        <f>IFERROR(__xludf.DUMMYFUNCTION("""COMPUTED_VALUE"""),"Caransebes")</f>
        <v>Caransebes</v>
      </c>
      <c r="B1424" s="120" t="str">
        <f>IFERROR(__xludf.DUMMYFUNCTION("""COMPUTED_VALUE"""),"CSB")</f>
        <v>CSB</v>
      </c>
      <c r="C1424" s="120" t="str">
        <f>IFERROR(__xludf.DUMMYFUNCTION("""COMPUTED_VALUE"""),"Caransebes")</f>
        <v>Caransebes</v>
      </c>
      <c r="D1424" s="120" t="str">
        <f>IFERROR(__xludf.DUMMYFUNCTION("""COMPUTED_VALUE"""),"Romania")</f>
        <v>Romania</v>
      </c>
      <c r="E1424" s="135"/>
      <c r="F1424" s="31"/>
    </row>
    <row r="1425">
      <c r="A1425" s="134" t="str">
        <f>IFERROR(__xludf.DUMMYFUNCTION("""COMPUTED_VALUE"""),"Carauari")</f>
        <v>Carauari</v>
      </c>
      <c r="B1425" s="120" t="str">
        <f>IFERROR(__xludf.DUMMYFUNCTION("""COMPUTED_VALUE"""),"CAF")</f>
        <v>CAF</v>
      </c>
      <c r="C1425" s="120" t="str">
        <f>IFERROR(__xludf.DUMMYFUNCTION("""COMPUTED_VALUE"""),"Carauari")</f>
        <v>Carauari</v>
      </c>
      <c r="D1425" s="120" t="str">
        <f>IFERROR(__xludf.DUMMYFUNCTION("""COMPUTED_VALUE"""),"Brazil")</f>
        <v>Brazil</v>
      </c>
      <c r="E1425" s="135"/>
      <c r="F1425" s="31"/>
    </row>
    <row r="1426">
      <c r="A1426" s="134" t="str">
        <f>IFERROR(__xludf.DUMMYFUNCTION("""COMPUTED_VALUE"""),"Caravelas")</f>
        <v>Caravelas</v>
      </c>
      <c r="B1426" s="120" t="str">
        <f>IFERROR(__xludf.DUMMYFUNCTION("""COMPUTED_VALUE"""),"CRQ")</f>
        <v>CRQ</v>
      </c>
      <c r="C1426" s="120" t="str">
        <f>IFERROR(__xludf.DUMMYFUNCTION("""COMPUTED_VALUE"""),"Caravelas")</f>
        <v>Caravelas</v>
      </c>
      <c r="D1426" s="120" t="str">
        <f>IFERROR(__xludf.DUMMYFUNCTION("""COMPUTED_VALUE"""),"Brazil")</f>
        <v>Brazil</v>
      </c>
      <c r="E1426" s="135"/>
      <c r="F1426" s="31"/>
    </row>
    <row r="1427">
      <c r="A1427" s="134" t="str">
        <f>IFERROR(__xludf.DUMMYFUNCTION("""COMPUTED_VALUE"""),"Carbondale")</f>
        <v>Carbondale</v>
      </c>
      <c r="B1427" s="120" t="str">
        <f>IFERROR(__xludf.DUMMYFUNCTION("""COMPUTED_VALUE"""),"MDH")</f>
        <v>MDH</v>
      </c>
      <c r="C1427" s="120" t="str">
        <f>IFERROR(__xludf.DUMMYFUNCTION("""COMPUTED_VALUE"""),"Southern Illinois")</f>
        <v>Southern Illinois</v>
      </c>
      <c r="D1427" s="120" t="str">
        <f>IFERROR(__xludf.DUMMYFUNCTION("""COMPUTED_VALUE"""),"United States")</f>
        <v>United States</v>
      </c>
      <c r="E1427" s="135"/>
      <c r="F1427" s="31"/>
    </row>
    <row r="1428">
      <c r="A1428" s="134" t="str">
        <f>IFERROR(__xludf.DUMMYFUNCTION("""COMPUTED_VALUE"""),"Carcassonne")</f>
        <v>Carcassonne</v>
      </c>
      <c r="B1428" s="120" t="str">
        <f>IFERROR(__xludf.DUMMYFUNCTION("""COMPUTED_VALUE"""),"CCF")</f>
        <v>CCF</v>
      </c>
      <c r="C1428" s="120" t="str">
        <f>IFERROR(__xludf.DUMMYFUNCTION("""COMPUTED_VALUE"""),"Salvaza")</f>
        <v>Salvaza</v>
      </c>
      <c r="D1428" s="120" t="str">
        <f>IFERROR(__xludf.DUMMYFUNCTION("""COMPUTED_VALUE"""),"France")</f>
        <v>France</v>
      </c>
      <c r="E1428" s="135"/>
      <c r="F1428" s="31"/>
    </row>
    <row r="1429">
      <c r="A1429" s="134" t="str">
        <f>IFERROR(__xludf.DUMMYFUNCTION("""COMPUTED_VALUE"""),"Cardiff")</f>
        <v>Cardiff</v>
      </c>
      <c r="B1429" s="120" t="str">
        <f>IFERROR(__xludf.DUMMYFUNCTION("""COMPUTED_VALUE"""),"CWL")</f>
        <v>CWL</v>
      </c>
      <c r="C1429" s="120" t="str">
        <f>IFERROR(__xludf.DUMMYFUNCTION("""COMPUTED_VALUE"""),"Cardiff-wales Arpt")</f>
        <v>Cardiff-wales Arpt</v>
      </c>
      <c r="D1429" s="120" t="str">
        <f>IFERROR(__xludf.DUMMYFUNCTION("""COMPUTED_VALUE"""),"United Kingdom")</f>
        <v>United Kingdom</v>
      </c>
      <c r="E1429" s="135"/>
      <c r="F1429" s="31"/>
    </row>
    <row r="1430">
      <c r="A1430" s="134" t="str">
        <f>IFERROR(__xludf.DUMMYFUNCTION("""COMPUTED_VALUE"""),"Caribou")</f>
        <v>Caribou</v>
      </c>
      <c r="B1430" s="120" t="str">
        <f>IFERROR(__xludf.DUMMYFUNCTION("""COMPUTED_VALUE"""),"CAR")</f>
        <v>CAR</v>
      </c>
      <c r="C1430" s="120" t="str">
        <f>IFERROR(__xludf.DUMMYFUNCTION("""COMPUTED_VALUE"""),"Municipal")</f>
        <v>Municipal</v>
      </c>
      <c r="D1430" s="120" t="str">
        <f>IFERROR(__xludf.DUMMYFUNCTION("""COMPUTED_VALUE"""),"United States")</f>
        <v>United States</v>
      </c>
      <c r="E1430" s="135"/>
      <c r="F1430" s="31"/>
    </row>
    <row r="1431">
      <c r="A1431" s="134" t="str">
        <f>IFERROR(__xludf.DUMMYFUNCTION("""COMPUTED_VALUE"""),"Caribou Island")</f>
        <v>Caribou Island</v>
      </c>
      <c r="B1431" s="120" t="str">
        <f>IFERROR(__xludf.DUMMYFUNCTION("""COMPUTED_VALUE"""),"YCI")</f>
        <v>YCI</v>
      </c>
      <c r="C1431" s="120" t="str">
        <f>IFERROR(__xludf.DUMMYFUNCTION("""COMPUTED_VALUE"""),"Caribou Island")</f>
        <v>Caribou Island</v>
      </c>
      <c r="D1431" s="120" t="str">
        <f>IFERROR(__xludf.DUMMYFUNCTION("""COMPUTED_VALUE"""),"Canada")</f>
        <v>Canada</v>
      </c>
      <c r="E1431" s="135"/>
      <c r="F1431" s="31"/>
    </row>
    <row r="1432">
      <c r="A1432" s="134" t="str">
        <f>IFERROR(__xludf.DUMMYFUNCTION("""COMPUTED_VALUE"""),"Carimagua")</f>
        <v>Carimagua</v>
      </c>
      <c r="B1432" s="120" t="str">
        <f>IFERROR(__xludf.DUMMYFUNCTION("""COMPUTED_VALUE"""),"CCO")</f>
        <v>CCO</v>
      </c>
      <c r="C1432" s="120" t="str">
        <f>IFERROR(__xludf.DUMMYFUNCTION("""COMPUTED_VALUE"""),"Carimagua")</f>
        <v>Carimagua</v>
      </c>
      <c r="D1432" s="120" t="str">
        <f>IFERROR(__xludf.DUMMYFUNCTION("""COMPUTED_VALUE"""),"Colombia")</f>
        <v>Colombia</v>
      </c>
      <c r="E1432" s="135"/>
      <c r="F1432" s="31"/>
    </row>
    <row r="1433">
      <c r="A1433" s="134" t="str">
        <f>IFERROR(__xludf.DUMMYFUNCTION("""COMPUTED_VALUE"""),"Carlisle")</f>
        <v>Carlisle</v>
      </c>
      <c r="B1433" s="120" t="str">
        <f>IFERROR(__xludf.DUMMYFUNCTION("""COMPUTED_VALUE"""),"CAX")</f>
        <v>CAX</v>
      </c>
      <c r="C1433" s="120" t="str">
        <f>IFERROR(__xludf.DUMMYFUNCTION("""COMPUTED_VALUE"""),"Carlisle")</f>
        <v>Carlisle</v>
      </c>
      <c r="D1433" s="120" t="str">
        <f>IFERROR(__xludf.DUMMYFUNCTION("""COMPUTED_VALUE"""),"United Kingdom")</f>
        <v>United Kingdom</v>
      </c>
      <c r="E1433" s="135"/>
      <c r="F1433" s="31"/>
    </row>
    <row r="1434">
      <c r="A1434" s="134" t="str">
        <f>IFERROR(__xludf.DUMMYFUNCTION("""COMPUTED_VALUE"""),"Carlsbad")</f>
        <v>Carlsbad</v>
      </c>
      <c r="B1434" s="120" t="str">
        <f>IFERROR(__xludf.DUMMYFUNCTION("""COMPUTED_VALUE"""),"CNM")</f>
        <v>CNM</v>
      </c>
      <c r="C1434" s="120" t="str">
        <f>IFERROR(__xludf.DUMMYFUNCTION("""COMPUTED_VALUE"""),"Carlsbad")</f>
        <v>Carlsbad</v>
      </c>
      <c r="D1434" s="120" t="str">
        <f>IFERROR(__xludf.DUMMYFUNCTION("""COMPUTED_VALUE"""),"United States")</f>
        <v>United States</v>
      </c>
      <c r="E1434" s="135"/>
      <c r="F1434" s="31"/>
    </row>
    <row r="1435">
      <c r="A1435" s="134" t="str">
        <f>IFERROR(__xludf.DUMMYFUNCTION("""COMPUTED_VALUE"""),"Carlton Hill")</f>
        <v>Carlton Hill</v>
      </c>
      <c r="B1435" s="120" t="str">
        <f>IFERROR(__xludf.DUMMYFUNCTION("""COMPUTED_VALUE"""),"CRY")</f>
        <v>CRY</v>
      </c>
      <c r="C1435" s="120" t="str">
        <f>IFERROR(__xludf.DUMMYFUNCTION("""COMPUTED_VALUE"""),"Carlton Hill")</f>
        <v>Carlton Hill</v>
      </c>
      <c r="D1435" s="120" t="str">
        <f>IFERROR(__xludf.DUMMYFUNCTION("""COMPUTED_VALUE"""),"Australia")</f>
        <v>Australia</v>
      </c>
      <c r="E1435" s="135"/>
      <c r="F1435" s="31"/>
    </row>
    <row r="1436">
      <c r="A1436" s="134" t="str">
        <f>IFERROR(__xludf.DUMMYFUNCTION("""COMPUTED_VALUE"""),"Carmelita")</f>
        <v>Carmelita</v>
      </c>
      <c r="B1436" s="120" t="str">
        <f>IFERROR(__xludf.DUMMYFUNCTION("""COMPUTED_VALUE"""),"CMM")</f>
        <v>CMM</v>
      </c>
      <c r="C1436" s="120" t="str">
        <f>IFERROR(__xludf.DUMMYFUNCTION("""COMPUTED_VALUE"""),"Carmelita")</f>
        <v>Carmelita</v>
      </c>
      <c r="D1436" s="120" t="str">
        <f>IFERROR(__xludf.DUMMYFUNCTION("""COMPUTED_VALUE"""),"Guatemala")</f>
        <v>Guatemala</v>
      </c>
      <c r="E1436" s="135"/>
      <c r="F1436" s="31"/>
    </row>
    <row r="1437">
      <c r="A1437" s="134" t="str">
        <f>IFERROR(__xludf.DUMMYFUNCTION("""COMPUTED_VALUE"""),"Carmen De Patagones")</f>
        <v>Carmen De Patagones</v>
      </c>
      <c r="B1437" s="120" t="str">
        <f>IFERROR(__xludf.DUMMYFUNCTION("""COMPUTED_VALUE"""),"CPG")</f>
        <v>CPG</v>
      </c>
      <c r="C1437" s="120" t="str">
        <f>IFERROR(__xludf.DUMMYFUNCTION("""COMPUTED_VALUE"""),"Carmen De Patagones")</f>
        <v>Carmen De Patagones</v>
      </c>
      <c r="D1437" s="120" t="str">
        <f>IFERROR(__xludf.DUMMYFUNCTION("""COMPUTED_VALUE"""),"Argentina")</f>
        <v>Argentina</v>
      </c>
      <c r="E1437" s="135"/>
      <c r="F1437" s="31"/>
    </row>
    <row r="1438">
      <c r="A1438" s="134" t="str">
        <f>IFERROR(__xludf.DUMMYFUNCTION("""COMPUTED_VALUE"""),"Carnarvon")</f>
        <v>Carnarvon</v>
      </c>
      <c r="B1438" s="120" t="str">
        <f>IFERROR(__xludf.DUMMYFUNCTION("""COMPUTED_VALUE"""),"CVQ")</f>
        <v>CVQ</v>
      </c>
      <c r="C1438" s="120" t="str">
        <f>IFERROR(__xludf.DUMMYFUNCTION("""COMPUTED_VALUE"""),"Carnarvon")</f>
        <v>Carnarvon</v>
      </c>
      <c r="D1438" s="120" t="str">
        <f>IFERROR(__xludf.DUMMYFUNCTION("""COMPUTED_VALUE"""),"Australia")</f>
        <v>Australia</v>
      </c>
      <c r="E1438" s="135"/>
      <c r="F1438" s="31"/>
    </row>
    <row r="1439">
      <c r="A1439" s="134" t="str">
        <f>IFERROR(__xludf.DUMMYFUNCTION("""COMPUTED_VALUE"""),"Carnot")</f>
        <v>Carnot</v>
      </c>
      <c r="B1439" s="120" t="str">
        <f>IFERROR(__xludf.DUMMYFUNCTION("""COMPUTED_VALUE"""),"CRF")</f>
        <v>CRF</v>
      </c>
      <c r="C1439" s="120" t="str">
        <f>IFERROR(__xludf.DUMMYFUNCTION("""COMPUTED_VALUE"""),"Carnot")</f>
        <v>Carnot</v>
      </c>
      <c r="D1439" s="120" t="str">
        <f>IFERROR(__xludf.DUMMYFUNCTION("""COMPUTED_VALUE"""),"Central African Republic")</f>
        <v>Central African Republic</v>
      </c>
      <c r="E1439" s="135"/>
      <c r="F1439" s="31"/>
    </row>
    <row r="1440">
      <c r="A1440" s="134" t="str">
        <f>IFERROR(__xludf.DUMMYFUNCTION("""COMPUTED_VALUE"""),"Carolina")</f>
        <v>Carolina</v>
      </c>
      <c r="B1440" s="120" t="str">
        <f>IFERROR(__xludf.DUMMYFUNCTION("""COMPUTED_VALUE"""),"CLN")</f>
        <v>CLN</v>
      </c>
      <c r="C1440" s="120" t="str">
        <f>IFERROR(__xludf.DUMMYFUNCTION("""COMPUTED_VALUE"""),"Carolina")</f>
        <v>Carolina</v>
      </c>
      <c r="D1440" s="120" t="str">
        <f>IFERROR(__xludf.DUMMYFUNCTION("""COMPUTED_VALUE"""),"Brazil")</f>
        <v>Brazil</v>
      </c>
      <c r="E1440" s="135"/>
      <c r="F1440" s="31"/>
    </row>
    <row r="1441">
      <c r="A1441" s="134" t="str">
        <f>IFERROR(__xludf.DUMMYFUNCTION("""COMPUTED_VALUE"""),"Carora")</f>
        <v>Carora</v>
      </c>
      <c r="B1441" s="120" t="str">
        <f>IFERROR(__xludf.DUMMYFUNCTION("""COMPUTED_VALUE"""),"VCR")</f>
        <v>VCR</v>
      </c>
      <c r="C1441" s="120" t="str">
        <f>IFERROR(__xludf.DUMMYFUNCTION("""COMPUTED_VALUE"""),"Carora")</f>
        <v>Carora</v>
      </c>
      <c r="D1441" s="120" t="str">
        <f>IFERROR(__xludf.DUMMYFUNCTION("""COMPUTED_VALUE"""),"Venezuela")</f>
        <v>Venezuela</v>
      </c>
      <c r="E1441" s="135"/>
      <c r="F1441" s="31"/>
    </row>
    <row r="1442">
      <c r="A1442" s="134" t="str">
        <f>IFERROR(__xludf.DUMMYFUNCTION("""COMPUTED_VALUE"""),"Carpentaria Downs")</f>
        <v>Carpentaria Downs</v>
      </c>
      <c r="B1442" s="120" t="str">
        <f>IFERROR(__xludf.DUMMYFUNCTION("""COMPUTED_VALUE"""),"CFP")</f>
        <v>CFP</v>
      </c>
      <c r="C1442" s="120" t="str">
        <f>IFERROR(__xludf.DUMMYFUNCTION("""COMPUTED_VALUE"""),"Carpentaria Downs")</f>
        <v>Carpentaria Downs</v>
      </c>
      <c r="D1442" s="120" t="str">
        <f>IFERROR(__xludf.DUMMYFUNCTION("""COMPUTED_VALUE"""),"Australia")</f>
        <v>Australia</v>
      </c>
      <c r="E1442" s="135"/>
      <c r="F1442" s="31"/>
    </row>
    <row r="1443">
      <c r="A1443" s="134" t="str">
        <f>IFERROR(__xludf.DUMMYFUNCTION("""COMPUTED_VALUE"""),"Carriacou Is")</f>
        <v>Carriacou Is</v>
      </c>
      <c r="B1443" s="120" t="str">
        <f>IFERROR(__xludf.DUMMYFUNCTION("""COMPUTED_VALUE"""),"CRU")</f>
        <v>CRU</v>
      </c>
      <c r="C1443" s="120" t="str">
        <f>IFERROR(__xludf.DUMMYFUNCTION("""COMPUTED_VALUE"""),"Carriacou Is")</f>
        <v>Carriacou Is</v>
      </c>
      <c r="D1443" s="120" t="str">
        <f>IFERROR(__xludf.DUMMYFUNCTION("""COMPUTED_VALUE"""),"Grenada")</f>
        <v>Grenada</v>
      </c>
      <c r="E1443" s="135"/>
      <c r="F1443" s="31"/>
    </row>
    <row r="1444">
      <c r="A1444" s="134" t="str">
        <f>IFERROR(__xludf.DUMMYFUNCTION("""COMPUTED_VALUE"""),"Carrillo")</f>
        <v>Carrillo</v>
      </c>
      <c r="B1444" s="120" t="str">
        <f>IFERROR(__xludf.DUMMYFUNCTION("""COMPUTED_VALUE"""),"RIK")</f>
        <v>RIK</v>
      </c>
      <c r="C1444" s="120" t="str">
        <f>IFERROR(__xludf.DUMMYFUNCTION("""COMPUTED_VALUE"""),"Carrillo")</f>
        <v>Carrillo</v>
      </c>
      <c r="D1444" s="120" t="str">
        <f>IFERROR(__xludf.DUMMYFUNCTION("""COMPUTED_VALUE"""),"Costa Rica")</f>
        <v>Costa Rica</v>
      </c>
      <c r="E1444" s="135"/>
      <c r="F1444" s="31"/>
    </row>
    <row r="1445">
      <c r="A1445" s="134" t="str">
        <f>IFERROR(__xludf.DUMMYFUNCTION("""COMPUTED_VALUE"""),"Carrizo Springs")</f>
        <v>Carrizo Springs</v>
      </c>
      <c r="B1445" s="120" t="str">
        <f>IFERROR(__xludf.DUMMYFUNCTION("""COMPUTED_VALUE"""),"CZT")</f>
        <v>CZT</v>
      </c>
      <c r="C1445" s="120" t="str">
        <f>IFERROR(__xludf.DUMMYFUNCTION("""COMPUTED_VALUE"""),"Carrizo Springs")</f>
        <v>Carrizo Springs</v>
      </c>
      <c r="D1445" s="120" t="str">
        <f>IFERROR(__xludf.DUMMYFUNCTION("""COMPUTED_VALUE"""),"United States")</f>
        <v>United States</v>
      </c>
      <c r="E1445" s="135"/>
      <c r="F1445" s="31"/>
    </row>
    <row r="1446">
      <c r="A1446" s="134" t="str">
        <f>IFERROR(__xludf.DUMMYFUNCTION("""COMPUTED_VALUE"""),"Carroll")</f>
        <v>Carroll</v>
      </c>
      <c r="B1446" s="120" t="str">
        <f>IFERROR(__xludf.DUMMYFUNCTION("""COMPUTED_VALUE"""),"CIN")</f>
        <v>CIN</v>
      </c>
      <c r="C1446" s="120" t="str">
        <f>IFERROR(__xludf.DUMMYFUNCTION("""COMPUTED_VALUE"""),"Carroll")</f>
        <v>Carroll</v>
      </c>
      <c r="D1446" s="120" t="str">
        <f>IFERROR(__xludf.DUMMYFUNCTION("""COMPUTED_VALUE"""),"United States")</f>
        <v>United States</v>
      </c>
      <c r="E1446" s="135"/>
      <c r="F1446" s="31"/>
    </row>
    <row r="1447">
      <c r="A1447" s="134" t="str">
        <f>IFERROR(__xludf.DUMMYFUNCTION("""COMPUTED_VALUE"""),"Carson City")</f>
        <v>Carson City</v>
      </c>
      <c r="B1447" s="120" t="str">
        <f>IFERROR(__xludf.DUMMYFUNCTION("""COMPUTED_VALUE"""),"CSN")</f>
        <v>CSN</v>
      </c>
      <c r="C1447" s="120" t="str">
        <f>IFERROR(__xludf.DUMMYFUNCTION("""COMPUTED_VALUE"""),"Carson City")</f>
        <v>Carson City</v>
      </c>
      <c r="D1447" s="120" t="str">
        <f>IFERROR(__xludf.DUMMYFUNCTION("""COMPUTED_VALUE"""),"United States")</f>
        <v>United States</v>
      </c>
      <c r="E1447" s="135"/>
      <c r="F1447" s="31"/>
    </row>
    <row r="1448">
      <c r="A1448" s="134" t="str">
        <f>IFERROR(__xludf.DUMMYFUNCTION("""COMPUTED_VALUE"""),"Cartagena")</f>
        <v>Cartagena</v>
      </c>
      <c r="B1448" s="120" t="str">
        <f>IFERROR(__xludf.DUMMYFUNCTION("""COMPUTED_VALUE"""),"CTG")</f>
        <v>CTG</v>
      </c>
      <c r="C1448" s="120" t="str">
        <f>IFERROR(__xludf.DUMMYFUNCTION("""COMPUTED_VALUE"""),"Rafael Nunez")</f>
        <v>Rafael Nunez</v>
      </c>
      <c r="D1448" s="120" t="str">
        <f>IFERROR(__xludf.DUMMYFUNCTION("""COMPUTED_VALUE"""),"Colombia")</f>
        <v>Colombia</v>
      </c>
      <c r="E1448" s="135"/>
      <c r="F1448" s="31"/>
    </row>
    <row r="1449">
      <c r="A1449" s="134" t="str">
        <f>IFERROR(__xludf.DUMMYFUNCTION("""COMPUTED_VALUE"""),"Cartago")</f>
        <v>Cartago</v>
      </c>
      <c r="B1449" s="120" t="str">
        <f>IFERROR(__xludf.DUMMYFUNCTION("""COMPUTED_VALUE"""),"CRC")</f>
        <v>CRC</v>
      </c>
      <c r="C1449" s="137" t="str">
        <f>IFERROR(__xludf.DUMMYFUNCTION("""COMPUTED_VALUE"""),"Cartago")</f>
        <v>Cartago</v>
      </c>
      <c r="D1449" s="120" t="str">
        <f>IFERROR(__xludf.DUMMYFUNCTION("""COMPUTED_VALUE"""),"Colombia")</f>
        <v>Colombia</v>
      </c>
      <c r="E1449" s="135"/>
      <c r="F1449" s="31"/>
    </row>
    <row r="1450">
      <c r="A1450" s="134" t="str">
        <f>IFERROR(__xludf.DUMMYFUNCTION("""COMPUTED_VALUE"""),"Carti")</f>
        <v>Carti</v>
      </c>
      <c r="B1450" s="120" t="str">
        <f>IFERROR(__xludf.DUMMYFUNCTION("""COMPUTED_VALUE"""),"CTE")</f>
        <v>CTE</v>
      </c>
      <c r="C1450" s="120" t="str">
        <f>IFERROR(__xludf.DUMMYFUNCTION("""COMPUTED_VALUE"""),"Carti")</f>
        <v>Carti</v>
      </c>
      <c r="D1450" s="120" t="str">
        <f>IFERROR(__xludf.DUMMYFUNCTION("""COMPUTED_VALUE"""),"Panama")</f>
        <v>Panama</v>
      </c>
      <c r="E1450" s="135"/>
      <c r="F1450" s="31"/>
    </row>
    <row r="1451">
      <c r="A1451" s="134" t="str">
        <f>IFERROR(__xludf.DUMMYFUNCTION("""COMPUTED_VALUE"""),"Cartierville")</f>
        <v>Cartierville</v>
      </c>
      <c r="B1451" s="120" t="str">
        <f>IFERROR(__xludf.DUMMYFUNCTION("""COMPUTED_VALUE"""),"YCV")</f>
        <v>YCV</v>
      </c>
      <c r="C1451" s="120" t="str">
        <f>IFERROR(__xludf.DUMMYFUNCTION("""COMPUTED_VALUE"""),"Cartierville")</f>
        <v>Cartierville</v>
      </c>
      <c r="D1451" s="120" t="str">
        <f>IFERROR(__xludf.DUMMYFUNCTION("""COMPUTED_VALUE"""),"Canada")</f>
        <v>Canada</v>
      </c>
      <c r="E1451" s="135"/>
      <c r="F1451" s="31"/>
    </row>
    <row r="1452">
      <c r="A1452" s="134" t="str">
        <f>IFERROR(__xludf.DUMMYFUNCTION("""COMPUTED_VALUE"""),"Cartwright")</f>
        <v>Cartwright</v>
      </c>
      <c r="B1452" s="120" t="str">
        <f>IFERROR(__xludf.DUMMYFUNCTION("""COMPUTED_VALUE"""),"YRF")</f>
        <v>YRF</v>
      </c>
      <c r="C1452" s="120" t="str">
        <f>IFERROR(__xludf.DUMMYFUNCTION("""COMPUTED_VALUE"""),"Cartwright")</f>
        <v>Cartwright</v>
      </c>
      <c r="D1452" s="120" t="str">
        <f>IFERROR(__xludf.DUMMYFUNCTION("""COMPUTED_VALUE"""),"Canada")</f>
        <v>Canada</v>
      </c>
      <c r="E1452" s="135"/>
      <c r="F1452" s="31"/>
    </row>
    <row r="1453">
      <c r="A1453" s="134" t="str">
        <f>IFERROR(__xludf.DUMMYFUNCTION("""COMPUTED_VALUE"""),"Caruaru")</f>
        <v>Caruaru</v>
      </c>
      <c r="B1453" s="120" t="str">
        <f>IFERROR(__xludf.DUMMYFUNCTION("""COMPUTED_VALUE"""),"CAU")</f>
        <v>CAU</v>
      </c>
      <c r="C1453" s="120" t="str">
        <f>IFERROR(__xludf.DUMMYFUNCTION("""COMPUTED_VALUE"""),"Caruaru")</f>
        <v>Caruaru</v>
      </c>
      <c r="D1453" s="120" t="str">
        <f>IFERROR(__xludf.DUMMYFUNCTION("""COMPUTED_VALUE"""),"Brazil")</f>
        <v>Brazil</v>
      </c>
      <c r="E1453" s="135"/>
      <c r="F1453" s="31"/>
    </row>
    <row r="1454">
      <c r="A1454" s="134" t="str">
        <f>IFERROR(__xludf.DUMMYFUNCTION("""COMPUTED_VALUE"""),"Carupano")</f>
        <v>Carupano</v>
      </c>
      <c r="B1454" s="120" t="str">
        <f>IFERROR(__xludf.DUMMYFUNCTION("""COMPUTED_VALUE"""),"CUP")</f>
        <v>CUP</v>
      </c>
      <c r="C1454" s="120" t="str">
        <f>IFERROR(__xludf.DUMMYFUNCTION("""COMPUTED_VALUE"""),"Carupano")</f>
        <v>Carupano</v>
      </c>
      <c r="D1454" s="120" t="str">
        <f>IFERROR(__xludf.DUMMYFUNCTION("""COMPUTED_VALUE"""),"Venezuela")</f>
        <v>Venezuela</v>
      </c>
      <c r="E1454" s="135"/>
      <c r="F1454" s="31"/>
    </row>
    <row r="1455">
      <c r="A1455" s="134" t="str">
        <f>IFERROR(__xludf.DUMMYFUNCTION("""COMPUTED_VALUE"""),"Caruru")</f>
        <v>Caruru</v>
      </c>
      <c r="B1455" s="120" t="str">
        <f>IFERROR(__xludf.DUMMYFUNCTION("""COMPUTED_VALUE"""),"CUO")</f>
        <v>CUO</v>
      </c>
      <c r="C1455" s="120" t="str">
        <f>IFERROR(__xludf.DUMMYFUNCTION("""COMPUTED_VALUE"""),"Caruru")</f>
        <v>Caruru</v>
      </c>
      <c r="D1455" s="120" t="str">
        <f>IFERROR(__xludf.DUMMYFUNCTION("""COMPUTED_VALUE"""),"Colombia")</f>
        <v>Colombia</v>
      </c>
      <c r="E1455" s="135"/>
      <c r="F1455" s="31"/>
    </row>
    <row r="1456">
      <c r="A1456" s="134" t="str">
        <f>IFERROR(__xludf.DUMMYFUNCTION("""COMPUTED_VALUE"""),"Carutapera")</f>
        <v>Carutapera</v>
      </c>
      <c r="B1456" s="120" t="str">
        <f>IFERROR(__xludf.DUMMYFUNCTION("""COMPUTED_VALUE"""),"CTP")</f>
        <v>CTP</v>
      </c>
      <c r="C1456" s="120" t="str">
        <f>IFERROR(__xludf.DUMMYFUNCTION("""COMPUTED_VALUE"""),"Carutapera")</f>
        <v>Carutapera</v>
      </c>
      <c r="D1456" s="120" t="str">
        <f>IFERROR(__xludf.DUMMYFUNCTION("""COMPUTED_VALUE"""),"Brazil")</f>
        <v>Brazil</v>
      </c>
      <c r="E1456" s="135"/>
      <c r="F1456" s="31"/>
    </row>
    <row r="1457">
      <c r="A1457" s="134" t="str">
        <f>IFERROR(__xludf.DUMMYFUNCTION("""COMPUTED_VALUE"""),"Casa Grande")</f>
        <v>Casa Grande</v>
      </c>
      <c r="B1457" s="120" t="str">
        <f>IFERROR(__xludf.DUMMYFUNCTION("""COMPUTED_VALUE"""),"CGZ")</f>
        <v>CGZ</v>
      </c>
      <c r="C1457" s="120" t="str">
        <f>IFERROR(__xludf.DUMMYFUNCTION("""COMPUTED_VALUE"""),"Municipal")</f>
        <v>Municipal</v>
      </c>
      <c r="D1457" s="120" t="str">
        <f>IFERROR(__xludf.DUMMYFUNCTION("""COMPUTED_VALUE"""),"United States")</f>
        <v>United States</v>
      </c>
      <c r="E1457" s="135"/>
      <c r="F1457" s="31"/>
    </row>
    <row r="1458">
      <c r="A1458" s="134" t="str">
        <f>IFERROR(__xludf.DUMMYFUNCTION("""COMPUTED_VALUE"""),"Casablanca")</f>
        <v>Casablanca</v>
      </c>
      <c r="B1458" s="120" t="str">
        <f>IFERROR(__xludf.DUMMYFUNCTION("""COMPUTED_VALUE"""),"CAS")</f>
        <v>CAS</v>
      </c>
      <c r="C1458" s="120" t="str">
        <f>IFERROR(__xludf.DUMMYFUNCTION("""COMPUTED_VALUE"""),"Anfa")</f>
        <v>Anfa</v>
      </c>
      <c r="D1458" s="120" t="str">
        <f>IFERROR(__xludf.DUMMYFUNCTION("""COMPUTED_VALUE"""),"Morocco")</f>
        <v>Morocco</v>
      </c>
      <c r="E1458" s="135"/>
      <c r="F1458" s="31"/>
    </row>
    <row r="1459">
      <c r="A1459" s="134" t="str">
        <f>IFERROR(__xludf.DUMMYFUNCTION("""COMPUTED_VALUE"""),"Casablanca")</f>
        <v>Casablanca</v>
      </c>
      <c r="B1459" s="120" t="str">
        <f>IFERROR(__xludf.DUMMYFUNCTION("""COMPUTED_VALUE"""),"CMN")</f>
        <v>CMN</v>
      </c>
      <c r="C1459" s="120" t="str">
        <f>IFERROR(__xludf.DUMMYFUNCTION("""COMPUTED_VALUE"""),"Mohamed V")</f>
        <v>Mohamed V</v>
      </c>
      <c r="D1459" s="120" t="str">
        <f>IFERROR(__xludf.DUMMYFUNCTION("""COMPUTED_VALUE"""),"Morocco")</f>
        <v>Morocco</v>
      </c>
      <c r="E1459" s="135"/>
      <c r="F1459" s="31"/>
    </row>
    <row r="1460">
      <c r="A1460" s="134" t="str">
        <f>IFERROR(__xludf.DUMMYFUNCTION("""COMPUTED_VALUE"""),"Cascade Locks")</f>
        <v>Cascade Locks</v>
      </c>
      <c r="B1460" s="120" t="str">
        <f>IFERROR(__xludf.DUMMYFUNCTION("""COMPUTED_VALUE"""),"CZK")</f>
        <v>CZK</v>
      </c>
      <c r="C1460" s="120" t="str">
        <f>IFERROR(__xludf.DUMMYFUNCTION("""COMPUTED_VALUE"""),"Cascade Locks/Stevens")</f>
        <v>Cascade Locks/Stevens</v>
      </c>
      <c r="D1460" s="120" t="str">
        <f>IFERROR(__xludf.DUMMYFUNCTION("""COMPUTED_VALUE"""),"United States")</f>
        <v>United States</v>
      </c>
      <c r="E1460" s="135"/>
      <c r="F1460" s="31"/>
    </row>
    <row r="1461">
      <c r="A1461" s="134" t="str">
        <f>IFERROR(__xludf.DUMMYFUNCTION("""COMPUTED_VALUE"""),"Cascavel")</f>
        <v>Cascavel</v>
      </c>
      <c r="B1461" s="120" t="str">
        <f>IFERROR(__xludf.DUMMYFUNCTION("""COMPUTED_VALUE"""),"CAC")</f>
        <v>CAC</v>
      </c>
      <c r="C1461" s="120" t="str">
        <f>IFERROR(__xludf.DUMMYFUNCTION("""COMPUTED_VALUE"""),"Cascavel")</f>
        <v>Cascavel</v>
      </c>
      <c r="D1461" s="120" t="str">
        <f>IFERROR(__xludf.DUMMYFUNCTION("""COMPUTED_VALUE"""),"Brazil")</f>
        <v>Brazil</v>
      </c>
      <c r="E1461" s="135"/>
      <c r="F1461" s="31"/>
    </row>
    <row r="1462">
      <c r="A1462" s="134" t="str">
        <f>IFERROR(__xludf.DUMMYFUNCTION("""COMPUTED_VALUE"""),"Casigua")</f>
        <v>Casigua</v>
      </c>
      <c r="B1462" s="120" t="str">
        <f>IFERROR(__xludf.DUMMYFUNCTION("""COMPUTED_VALUE"""),"CUV")</f>
        <v>CUV</v>
      </c>
      <c r="C1462" s="120" t="str">
        <f>IFERROR(__xludf.DUMMYFUNCTION("""COMPUTED_VALUE"""),"Casigua")</f>
        <v>Casigua</v>
      </c>
      <c r="D1462" s="120" t="str">
        <f>IFERROR(__xludf.DUMMYFUNCTION("""COMPUTED_VALUE"""),"Venezuela")</f>
        <v>Venezuela</v>
      </c>
      <c r="E1462" s="135"/>
      <c r="F1462" s="31"/>
    </row>
    <row r="1463">
      <c r="A1463" s="134" t="str">
        <f>IFERROR(__xludf.DUMMYFUNCTION("""COMPUTED_VALUE"""),"Casiguran")</f>
        <v>Casiguran</v>
      </c>
      <c r="B1463" s="120" t="str">
        <f>IFERROR(__xludf.DUMMYFUNCTION("""COMPUTED_VALUE"""),"CGG")</f>
        <v>CGG</v>
      </c>
      <c r="C1463" s="120" t="str">
        <f>IFERROR(__xludf.DUMMYFUNCTION("""COMPUTED_VALUE"""),"Casiguran")</f>
        <v>Casiguran</v>
      </c>
      <c r="D1463" s="120" t="str">
        <f>IFERROR(__xludf.DUMMYFUNCTION("""COMPUTED_VALUE"""),"Philippines")</f>
        <v>Philippines</v>
      </c>
      <c r="E1463" s="135"/>
      <c r="F1463" s="31"/>
    </row>
    <row r="1464">
      <c r="A1464" s="134" t="str">
        <f>IFERROR(__xludf.DUMMYFUNCTION("""COMPUTED_VALUE"""),"Casino")</f>
        <v>Casino</v>
      </c>
      <c r="B1464" s="120" t="str">
        <f>IFERROR(__xludf.DUMMYFUNCTION("""COMPUTED_VALUE"""),"CSI")</f>
        <v>CSI</v>
      </c>
      <c r="C1464" s="120" t="str">
        <f>IFERROR(__xludf.DUMMYFUNCTION("""COMPUTED_VALUE"""),"Casino")</f>
        <v>Casino</v>
      </c>
      <c r="D1464" s="120" t="str">
        <f>IFERROR(__xludf.DUMMYFUNCTION("""COMPUTED_VALUE"""),"Australia")</f>
        <v>Australia</v>
      </c>
      <c r="E1464" s="135"/>
      <c r="F1464" s="31"/>
    </row>
    <row r="1465">
      <c r="A1465" s="134" t="str">
        <f>IFERROR(__xludf.DUMMYFUNCTION("""COMPUTED_VALUE"""),"Casper")</f>
        <v>Casper</v>
      </c>
      <c r="B1465" s="120" t="str">
        <f>IFERROR(__xludf.DUMMYFUNCTION("""COMPUTED_VALUE"""),"CPR")</f>
        <v>CPR</v>
      </c>
      <c r="C1465" s="120" t="str">
        <f>IFERROR(__xludf.DUMMYFUNCTION("""COMPUTED_VALUE"""),"Casper")</f>
        <v>Casper</v>
      </c>
      <c r="D1465" s="120" t="str">
        <f>IFERROR(__xludf.DUMMYFUNCTION("""COMPUTED_VALUE"""),"United States")</f>
        <v>United States</v>
      </c>
      <c r="E1465" s="135"/>
      <c r="F1465" s="31"/>
    </row>
    <row r="1466">
      <c r="A1466" s="134" t="str">
        <f>IFERROR(__xludf.DUMMYFUNCTION("""COMPUTED_VALUE"""),"Cassilandia")</f>
        <v>Cassilandia</v>
      </c>
      <c r="B1466" s="120" t="str">
        <f>IFERROR(__xludf.DUMMYFUNCTION("""COMPUTED_VALUE"""),"CSS")</f>
        <v>CSS</v>
      </c>
      <c r="C1466" s="120" t="str">
        <f>IFERROR(__xludf.DUMMYFUNCTION("""COMPUTED_VALUE"""),"Cassilandia")</f>
        <v>Cassilandia</v>
      </c>
      <c r="D1466" s="120" t="str">
        <f>IFERROR(__xludf.DUMMYFUNCTION("""COMPUTED_VALUE"""),"Brazil")</f>
        <v>Brazil</v>
      </c>
      <c r="E1466" s="135"/>
      <c r="F1466" s="31"/>
    </row>
    <row r="1467">
      <c r="A1467" s="134" t="str">
        <f>IFERROR(__xludf.DUMMYFUNCTION("""COMPUTED_VALUE"""),"Castaway")</f>
        <v>Castaway</v>
      </c>
      <c r="B1467" s="120" t="str">
        <f>IFERROR(__xludf.DUMMYFUNCTION("""COMPUTED_VALUE"""),"CST")</f>
        <v>CST</v>
      </c>
      <c r="C1467" s="120" t="str">
        <f>IFERROR(__xludf.DUMMYFUNCTION("""COMPUTED_VALUE"""),"Castaway")</f>
        <v>Castaway</v>
      </c>
      <c r="D1467" s="120" t="str">
        <f>IFERROR(__xludf.DUMMYFUNCTION("""COMPUTED_VALUE"""),"Fiji")</f>
        <v>Fiji</v>
      </c>
      <c r="E1467" s="135"/>
      <c r="F1467" s="31"/>
    </row>
    <row r="1468">
      <c r="A1468" s="134" t="str">
        <f>IFERROR(__xludf.DUMMYFUNCTION("""COMPUTED_VALUE"""),"Castlebar")</f>
        <v>Castlebar</v>
      </c>
      <c r="B1468" s="120" t="str">
        <f>IFERROR(__xludf.DUMMYFUNCTION("""COMPUTED_VALUE"""),"CLB")</f>
        <v>CLB</v>
      </c>
      <c r="C1468" s="120" t="str">
        <f>IFERROR(__xludf.DUMMYFUNCTION("""COMPUTED_VALUE"""),"Castlebar")</f>
        <v>Castlebar</v>
      </c>
      <c r="D1468" s="120" t="str">
        <f>IFERROR(__xludf.DUMMYFUNCTION("""COMPUTED_VALUE"""),"Ireland")</f>
        <v>Ireland</v>
      </c>
      <c r="E1468" s="135"/>
      <c r="F1468" s="31"/>
    </row>
    <row r="1469">
      <c r="A1469" s="134" t="str">
        <f>IFERROR(__xludf.DUMMYFUNCTION("""COMPUTED_VALUE"""),"Castlegar")</f>
        <v>Castlegar</v>
      </c>
      <c r="B1469" s="120" t="str">
        <f>IFERROR(__xludf.DUMMYFUNCTION("""COMPUTED_VALUE"""),"YCG")</f>
        <v>YCG</v>
      </c>
      <c r="C1469" s="120" t="str">
        <f>IFERROR(__xludf.DUMMYFUNCTION("""COMPUTED_VALUE"""),"Castlegar")</f>
        <v>Castlegar</v>
      </c>
      <c r="D1469" s="120" t="str">
        <f>IFERROR(__xludf.DUMMYFUNCTION("""COMPUTED_VALUE"""),"Canada")</f>
        <v>Canada</v>
      </c>
      <c r="E1469" s="135"/>
      <c r="F1469" s="31"/>
    </row>
    <row r="1470">
      <c r="A1470" s="134" t="str">
        <f>IFERROR(__xludf.DUMMYFUNCTION("""COMPUTED_VALUE"""),"Castres")</f>
        <v>Castres</v>
      </c>
      <c r="B1470" s="120" t="str">
        <f>IFERROR(__xludf.DUMMYFUNCTION("""COMPUTED_VALUE"""),"DCM")</f>
        <v>DCM</v>
      </c>
      <c r="C1470" s="120" t="str">
        <f>IFERROR(__xludf.DUMMYFUNCTION("""COMPUTED_VALUE"""),"Mazamet")</f>
        <v>Mazamet</v>
      </c>
      <c r="D1470" s="120" t="str">
        <f>IFERROR(__xludf.DUMMYFUNCTION("""COMPUTED_VALUE"""),"France")</f>
        <v>France</v>
      </c>
      <c r="E1470" s="135"/>
      <c r="F1470" s="31"/>
    </row>
    <row r="1471">
      <c r="A1471" s="134" t="str">
        <f>IFERROR(__xludf.DUMMYFUNCTION("""COMPUTED_VALUE"""),"Castro")</f>
        <v>Castro</v>
      </c>
      <c r="B1471" s="120" t="str">
        <f>IFERROR(__xludf.DUMMYFUNCTION("""COMPUTED_VALUE"""),"WCA")</f>
        <v>WCA</v>
      </c>
      <c r="C1471" s="120" t="str">
        <f>IFERROR(__xludf.DUMMYFUNCTION("""COMPUTED_VALUE"""),"Gamboa")</f>
        <v>Gamboa</v>
      </c>
      <c r="D1471" s="120" t="str">
        <f>IFERROR(__xludf.DUMMYFUNCTION("""COMPUTED_VALUE"""),"Chile")</f>
        <v>Chile</v>
      </c>
      <c r="E1471" s="135"/>
      <c r="F1471" s="31"/>
    </row>
    <row r="1472">
      <c r="A1472" s="134" t="str">
        <f>IFERROR(__xludf.DUMMYFUNCTION("""COMPUTED_VALUE"""),"Casuarito")</f>
        <v>Casuarito</v>
      </c>
      <c r="B1472" s="120" t="str">
        <f>IFERROR(__xludf.DUMMYFUNCTION("""COMPUTED_VALUE"""),"CSR")</f>
        <v>CSR</v>
      </c>
      <c r="C1472" s="120" t="str">
        <f>IFERROR(__xludf.DUMMYFUNCTION("""COMPUTED_VALUE"""),"Casuarito")</f>
        <v>Casuarito</v>
      </c>
      <c r="D1472" s="120" t="str">
        <f>IFERROR(__xludf.DUMMYFUNCTION("""COMPUTED_VALUE"""),"Colombia")</f>
        <v>Colombia</v>
      </c>
      <c r="E1472" s="135"/>
      <c r="F1472" s="31"/>
    </row>
    <row r="1473">
      <c r="A1473" s="134" t="str">
        <f>IFERROR(__xludf.DUMMYFUNCTION("""COMPUTED_VALUE"""),"Cat Cays")</f>
        <v>Cat Cays</v>
      </c>
      <c r="B1473" s="120" t="str">
        <f>IFERROR(__xludf.DUMMYFUNCTION("""COMPUTED_VALUE"""),"CXY")</f>
        <v>CXY</v>
      </c>
      <c r="C1473" s="120" t="str">
        <f>IFERROR(__xludf.DUMMYFUNCTION("""COMPUTED_VALUE"""),"Cat Cays")</f>
        <v>Cat Cays</v>
      </c>
      <c r="D1473" s="120" t="str">
        <f>IFERROR(__xludf.DUMMYFUNCTION("""COMPUTED_VALUE"""),"Bahamas")</f>
        <v>Bahamas</v>
      </c>
      <c r="E1473" s="135"/>
      <c r="F1473" s="31"/>
    </row>
    <row r="1474">
      <c r="A1474" s="134" t="str">
        <f>IFERROR(__xludf.DUMMYFUNCTION("""COMPUTED_VALUE"""),"Cat Island")</f>
        <v>Cat Island</v>
      </c>
      <c r="B1474" s="120" t="str">
        <f>IFERROR(__xludf.DUMMYFUNCTION("""COMPUTED_VALUE"""),"CAT")</f>
        <v>CAT</v>
      </c>
      <c r="C1474" s="120" t="str">
        <f>IFERROR(__xludf.DUMMYFUNCTION("""COMPUTED_VALUE"""),"Cat Island")</f>
        <v>Cat Island</v>
      </c>
      <c r="D1474" s="120" t="str">
        <f>IFERROR(__xludf.DUMMYFUNCTION("""COMPUTED_VALUE"""),"Bahamas")</f>
        <v>Bahamas</v>
      </c>
      <c r="E1474" s="135"/>
      <c r="F1474" s="31"/>
    </row>
    <row r="1475">
      <c r="A1475" s="134" t="str">
        <f>IFERROR(__xludf.DUMMYFUNCTION("""COMPUTED_VALUE"""),"Cat Lake")</f>
        <v>Cat Lake</v>
      </c>
      <c r="B1475" s="120" t="str">
        <f>IFERROR(__xludf.DUMMYFUNCTION("""COMPUTED_VALUE"""),"YAC")</f>
        <v>YAC</v>
      </c>
      <c r="C1475" s="120" t="str">
        <f>IFERROR(__xludf.DUMMYFUNCTION("""COMPUTED_VALUE"""),"Cat Lake")</f>
        <v>Cat Lake</v>
      </c>
      <c r="D1475" s="120" t="str">
        <f>IFERROR(__xludf.DUMMYFUNCTION("""COMPUTED_VALUE"""),"Canada")</f>
        <v>Canada</v>
      </c>
      <c r="E1475" s="135"/>
      <c r="F1475" s="31"/>
    </row>
    <row r="1476">
      <c r="A1476" s="134" t="str">
        <f>IFERROR(__xludf.DUMMYFUNCTION("""COMPUTED_VALUE"""),"Catacamas")</f>
        <v>Catacamas</v>
      </c>
      <c r="B1476" s="120" t="str">
        <f>IFERROR(__xludf.DUMMYFUNCTION("""COMPUTED_VALUE"""),"CAA")</f>
        <v>CAA</v>
      </c>
      <c r="C1476" s="120" t="str">
        <f>IFERROR(__xludf.DUMMYFUNCTION("""COMPUTED_VALUE"""),"Catacamas")</f>
        <v>Catacamas</v>
      </c>
      <c r="D1476" s="120" t="str">
        <f>IFERROR(__xludf.DUMMYFUNCTION("""COMPUTED_VALUE"""),"Honduras")</f>
        <v>Honduras</v>
      </c>
      <c r="E1476" s="135"/>
      <c r="F1476" s="31"/>
    </row>
    <row r="1477">
      <c r="A1477" s="134" t="str">
        <f>IFERROR(__xludf.DUMMYFUNCTION("""COMPUTED_VALUE"""),"Catalao")</f>
        <v>Catalao</v>
      </c>
      <c r="B1477" s="120" t="str">
        <f>IFERROR(__xludf.DUMMYFUNCTION("""COMPUTED_VALUE"""),"TLZ")</f>
        <v>TLZ</v>
      </c>
      <c r="C1477" s="120" t="str">
        <f>IFERROR(__xludf.DUMMYFUNCTION("""COMPUTED_VALUE"""),"Catalao")</f>
        <v>Catalao</v>
      </c>
      <c r="D1477" s="120" t="str">
        <f>IFERROR(__xludf.DUMMYFUNCTION("""COMPUTED_VALUE"""),"Brazil")</f>
        <v>Brazil</v>
      </c>
      <c r="E1477" s="135"/>
      <c r="F1477" s="31"/>
    </row>
    <row r="1478">
      <c r="A1478" s="134" t="str">
        <f>IFERROR(__xludf.DUMMYFUNCTION("""COMPUTED_VALUE"""),"Catalina Island")</f>
        <v>Catalina Island</v>
      </c>
      <c r="B1478" s="120" t="str">
        <f>IFERROR(__xludf.DUMMYFUNCTION("""COMPUTED_VALUE"""),"CIB")</f>
        <v>CIB</v>
      </c>
      <c r="C1478" s="120" t="str">
        <f>IFERROR(__xludf.DUMMYFUNCTION("""COMPUTED_VALUE"""),"Ap In The Sky")</f>
        <v>Ap In The Sky</v>
      </c>
      <c r="D1478" s="120" t="str">
        <f>IFERROR(__xludf.DUMMYFUNCTION("""COMPUTED_VALUE"""),"United States")</f>
        <v>United States</v>
      </c>
      <c r="E1478" s="135"/>
      <c r="F1478" s="31"/>
    </row>
    <row r="1479">
      <c r="A1479" s="134" t="str">
        <f>IFERROR(__xludf.DUMMYFUNCTION("""COMPUTED_VALUE"""),"Catalina Island")</f>
        <v>Catalina Island</v>
      </c>
      <c r="B1479" s="120" t="str">
        <f>IFERROR(__xludf.DUMMYFUNCTION("""COMPUTED_VALUE"""),"SXC")</f>
        <v>SXC</v>
      </c>
      <c r="C1479" s="120" t="str">
        <f>IFERROR(__xludf.DUMMYFUNCTION("""COMPUTED_VALUE"""),"Avalo Vor/WP")</f>
        <v>Avalo Vor/WP</v>
      </c>
      <c r="D1479" s="120" t="str">
        <f>IFERROR(__xludf.DUMMYFUNCTION("""COMPUTED_VALUE"""),"United States")</f>
        <v>United States</v>
      </c>
      <c r="E1479" s="135"/>
      <c r="F1479" s="31"/>
    </row>
    <row r="1480">
      <c r="A1480" s="134" t="str">
        <f>IFERROR(__xludf.DUMMYFUNCTION("""COMPUTED_VALUE"""),"Catalina Island")</f>
        <v>Catalina Island</v>
      </c>
      <c r="B1480" s="120" t="str">
        <f>IFERROR(__xludf.DUMMYFUNCTION("""COMPUTED_VALUE"""),"AVX")</f>
        <v>AVX</v>
      </c>
      <c r="C1480" s="120" t="str">
        <f>IFERROR(__xludf.DUMMYFUNCTION("""COMPUTED_VALUE"""),"Avalon Bay")</f>
        <v>Avalon Bay</v>
      </c>
      <c r="D1480" s="120" t="str">
        <f>IFERROR(__xludf.DUMMYFUNCTION("""COMPUTED_VALUE"""),"United States")</f>
        <v>United States</v>
      </c>
      <c r="E1480" s="135"/>
      <c r="F1480" s="31"/>
    </row>
    <row r="1481">
      <c r="A1481" s="134" t="str">
        <f>IFERROR(__xludf.DUMMYFUNCTION("""COMPUTED_VALUE"""),"Catalina Island")</f>
        <v>Catalina Island</v>
      </c>
      <c r="B1481" s="120" t="str">
        <f>IFERROR(__xludf.DUMMYFUNCTION("""COMPUTED_VALUE"""),"TWH")</f>
        <v>TWH</v>
      </c>
      <c r="C1481" s="120" t="str">
        <f>IFERROR(__xludf.DUMMYFUNCTION("""COMPUTED_VALUE"""),"Two Harbors")</f>
        <v>Two Harbors</v>
      </c>
      <c r="D1481" s="120" t="str">
        <f>IFERROR(__xludf.DUMMYFUNCTION("""COMPUTED_VALUE"""),"United States")</f>
        <v>United States</v>
      </c>
      <c r="E1481" s="135"/>
      <c r="F1481" s="31"/>
    </row>
    <row r="1482">
      <c r="A1482" s="134" t="str">
        <f>IFERROR(__xludf.DUMMYFUNCTION("""COMPUTED_VALUE"""),"Catamarca")</f>
        <v>Catamarca</v>
      </c>
      <c r="B1482" s="120" t="str">
        <f>IFERROR(__xludf.DUMMYFUNCTION("""COMPUTED_VALUE"""),"CTC")</f>
        <v>CTC</v>
      </c>
      <c r="C1482" s="120" t="str">
        <f>IFERROR(__xludf.DUMMYFUNCTION("""COMPUTED_VALUE"""),"Catamarca")</f>
        <v>Catamarca</v>
      </c>
      <c r="D1482" s="120" t="str">
        <f>IFERROR(__xludf.DUMMYFUNCTION("""COMPUTED_VALUE"""),"Argentina")</f>
        <v>Argentina</v>
      </c>
      <c r="E1482" s="135"/>
      <c r="F1482" s="31"/>
    </row>
    <row r="1483">
      <c r="A1483" s="134" t="str">
        <f>IFERROR(__xludf.DUMMYFUNCTION("""COMPUTED_VALUE"""),"Catania")</f>
        <v>Catania</v>
      </c>
      <c r="B1483" s="120" t="str">
        <f>IFERROR(__xludf.DUMMYFUNCTION("""COMPUTED_VALUE"""),"CTA")</f>
        <v>CTA</v>
      </c>
      <c r="C1483" s="120" t="str">
        <f>IFERROR(__xludf.DUMMYFUNCTION("""COMPUTED_VALUE"""),"Fontanarossa")</f>
        <v>Fontanarossa</v>
      </c>
      <c r="D1483" s="120" t="str">
        <f>IFERROR(__xludf.DUMMYFUNCTION("""COMPUTED_VALUE"""),"Italy")</f>
        <v>Italy</v>
      </c>
      <c r="E1483" s="135"/>
      <c r="F1483" s="31"/>
    </row>
    <row r="1484">
      <c r="A1484" s="134" t="str">
        <f>IFERROR(__xludf.DUMMYFUNCTION("""COMPUTED_VALUE"""),"Catarman")</f>
        <v>Catarman</v>
      </c>
      <c r="B1484" s="120" t="str">
        <f>IFERROR(__xludf.DUMMYFUNCTION("""COMPUTED_VALUE"""),"CRM")</f>
        <v>CRM</v>
      </c>
      <c r="C1484" s="120" t="str">
        <f>IFERROR(__xludf.DUMMYFUNCTION("""COMPUTED_VALUE"""),"National")</f>
        <v>National</v>
      </c>
      <c r="D1484" s="120" t="str">
        <f>IFERROR(__xludf.DUMMYFUNCTION("""COMPUTED_VALUE"""),"Philippines")</f>
        <v>Philippines</v>
      </c>
      <c r="E1484" s="135"/>
      <c r="F1484" s="31"/>
    </row>
    <row r="1485">
      <c r="A1485" s="134" t="str">
        <f>IFERROR(__xludf.DUMMYFUNCTION("""COMPUTED_VALUE"""),"Caticlan")</f>
        <v>Caticlan</v>
      </c>
      <c r="B1485" s="120" t="str">
        <f>IFERROR(__xludf.DUMMYFUNCTION("""COMPUTED_VALUE"""),"MPH")</f>
        <v>MPH</v>
      </c>
      <c r="C1485" s="120" t="str">
        <f>IFERROR(__xludf.DUMMYFUNCTION("""COMPUTED_VALUE"""),"Malay")</f>
        <v>Malay</v>
      </c>
      <c r="D1485" s="120" t="str">
        <f>IFERROR(__xludf.DUMMYFUNCTION("""COMPUTED_VALUE"""),"Philippines")</f>
        <v>Philippines</v>
      </c>
      <c r="E1485" s="135"/>
      <c r="F1485" s="31"/>
    </row>
    <row r="1486">
      <c r="A1486" s="134" t="str">
        <f>IFERROR(__xludf.DUMMYFUNCTION("""COMPUTED_VALUE"""),"Cattle Creek")</f>
        <v>Cattle Creek</v>
      </c>
      <c r="B1486" s="120" t="str">
        <f>IFERROR(__xludf.DUMMYFUNCTION("""COMPUTED_VALUE"""),"CTR")</f>
        <v>CTR</v>
      </c>
      <c r="C1486" s="120" t="str">
        <f>IFERROR(__xludf.DUMMYFUNCTION("""COMPUTED_VALUE"""),"Cattle Creek")</f>
        <v>Cattle Creek</v>
      </c>
      <c r="D1486" s="120" t="str">
        <f>IFERROR(__xludf.DUMMYFUNCTION("""COMPUTED_VALUE"""),"Australia")</f>
        <v>Australia</v>
      </c>
      <c r="E1486" s="135"/>
      <c r="F1486" s="31"/>
    </row>
    <row r="1487">
      <c r="A1487" s="134" t="str">
        <f>IFERROR(__xludf.DUMMYFUNCTION("""COMPUTED_VALUE"""),"Catumbela")</f>
        <v>Catumbela</v>
      </c>
      <c r="B1487" s="120" t="str">
        <f>IFERROR(__xludf.DUMMYFUNCTION("""COMPUTED_VALUE"""),"CBT")</f>
        <v>CBT</v>
      </c>
      <c r="C1487" s="120" t="str">
        <f>IFERROR(__xludf.DUMMYFUNCTION("""COMPUTED_VALUE"""),"Catumbela")</f>
        <v>Catumbela</v>
      </c>
      <c r="D1487" s="120" t="str">
        <f>IFERROR(__xludf.DUMMYFUNCTION("""COMPUTED_VALUE"""),"Angola")</f>
        <v>Angola</v>
      </c>
      <c r="E1487" s="135"/>
      <c r="F1487" s="31"/>
    </row>
    <row r="1488">
      <c r="A1488" s="134" t="str">
        <f>IFERROR(__xludf.DUMMYFUNCTION("""COMPUTED_VALUE"""),"Cauayan")</f>
        <v>Cauayan</v>
      </c>
      <c r="B1488" s="120" t="str">
        <f>IFERROR(__xludf.DUMMYFUNCTION("""COMPUTED_VALUE"""),"CYZ")</f>
        <v>CYZ</v>
      </c>
      <c r="C1488" s="120" t="str">
        <f>IFERROR(__xludf.DUMMYFUNCTION("""COMPUTED_VALUE"""),"Cauayan")</f>
        <v>Cauayan</v>
      </c>
      <c r="D1488" s="120" t="str">
        <f>IFERROR(__xludf.DUMMYFUNCTION("""COMPUTED_VALUE"""),"Philippines")</f>
        <v>Philippines</v>
      </c>
      <c r="E1488" s="135"/>
      <c r="F1488" s="31"/>
    </row>
    <row r="1489">
      <c r="A1489" s="134" t="str">
        <f>IFERROR(__xludf.DUMMYFUNCTION("""COMPUTED_VALUE"""),"Caucasia")</f>
        <v>Caucasia</v>
      </c>
      <c r="B1489" s="120" t="str">
        <f>IFERROR(__xludf.DUMMYFUNCTION("""COMPUTED_VALUE"""),"CAQ")</f>
        <v>CAQ</v>
      </c>
      <c r="C1489" s="120" t="str">
        <f>IFERROR(__xludf.DUMMYFUNCTION("""COMPUTED_VALUE"""),"Caucasia")</f>
        <v>Caucasia</v>
      </c>
      <c r="D1489" s="120" t="str">
        <f>IFERROR(__xludf.DUMMYFUNCTION("""COMPUTED_VALUE"""),"Colombia")</f>
        <v>Colombia</v>
      </c>
      <c r="E1489" s="135"/>
      <c r="F1489" s="31"/>
    </row>
    <row r="1490">
      <c r="A1490" s="134" t="str">
        <f>IFERROR(__xludf.DUMMYFUNCTION("""COMPUTED_VALUE"""),"Cauquira")</f>
        <v>Cauquira</v>
      </c>
      <c r="B1490" s="120" t="str">
        <f>IFERROR(__xludf.DUMMYFUNCTION("""COMPUTED_VALUE"""),"CDD")</f>
        <v>CDD</v>
      </c>
      <c r="C1490" s="120" t="str">
        <f>IFERROR(__xludf.DUMMYFUNCTION("""COMPUTED_VALUE"""),"Cauquira")</f>
        <v>Cauquira</v>
      </c>
      <c r="D1490" s="120" t="str">
        <f>IFERROR(__xludf.DUMMYFUNCTION("""COMPUTED_VALUE"""),"Honduras")</f>
        <v>Honduras</v>
      </c>
      <c r="E1490" s="135"/>
      <c r="F1490" s="31"/>
    </row>
    <row r="1491">
      <c r="A1491" s="134" t="str">
        <f>IFERROR(__xludf.DUMMYFUNCTION("""COMPUTED_VALUE"""),"Caviahue")</f>
        <v>Caviahue</v>
      </c>
      <c r="B1491" s="120" t="str">
        <f>IFERROR(__xludf.DUMMYFUNCTION("""COMPUTED_VALUE"""),"CVH")</f>
        <v>CVH</v>
      </c>
      <c r="C1491" s="137" t="str">
        <f>IFERROR(__xludf.DUMMYFUNCTION("""COMPUTED_VALUE"""),"Caviahue")</f>
        <v>Caviahue</v>
      </c>
      <c r="D1491" s="120" t="str">
        <f>IFERROR(__xludf.DUMMYFUNCTION("""COMPUTED_VALUE"""),"Argentina")</f>
        <v>Argentina</v>
      </c>
      <c r="E1491" s="135"/>
      <c r="F1491" s="31"/>
    </row>
    <row r="1492">
      <c r="A1492" s="134" t="str">
        <f>IFERROR(__xludf.DUMMYFUNCTION("""COMPUTED_VALUE"""),"Caxias Do Sul")</f>
        <v>Caxias Do Sul</v>
      </c>
      <c r="B1492" s="120" t="str">
        <f>IFERROR(__xludf.DUMMYFUNCTION("""COMPUTED_VALUE"""),"CXJ")</f>
        <v>CXJ</v>
      </c>
      <c r="C1492" s="120" t="str">
        <f>IFERROR(__xludf.DUMMYFUNCTION("""COMPUTED_VALUE"""),"Campo Dos Bugres")</f>
        <v>Campo Dos Bugres</v>
      </c>
      <c r="D1492" s="120" t="str">
        <f>IFERROR(__xludf.DUMMYFUNCTION("""COMPUTED_VALUE"""),"Brazil")</f>
        <v>Brazil</v>
      </c>
      <c r="E1492" s="135"/>
      <c r="F1492" s="31"/>
    </row>
    <row r="1493">
      <c r="A1493" s="134" t="str">
        <f>IFERROR(__xludf.DUMMYFUNCTION("""COMPUTED_VALUE"""),"Caye Caulker")</f>
        <v>Caye Caulker</v>
      </c>
      <c r="B1493" s="120" t="str">
        <f>IFERROR(__xludf.DUMMYFUNCTION("""COMPUTED_VALUE"""),"CUK")</f>
        <v>CUK</v>
      </c>
      <c r="C1493" s="120" t="str">
        <f>IFERROR(__xludf.DUMMYFUNCTION("""COMPUTED_VALUE"""),"Caye Caulker")</f>
        <v>Caye Caulker</v>
      </c>
      <c r="D1493" s="120" t="str">
        <f>IFERROR(__xludf.DUMMYFUNCTION("""COMPUTED_VALUE"""),"Belize")</f>
        <v>Belize</v>
      </c>
      <c r="E1493" s="135"/>
      <c r="F1493" s="31"/>
    </row>
    <row r="1494">
      <c r="A1494" s="134" t="str">
        <f>IFERROR(__xludf.DUMMYFUNCTION("""COMPUTED_VALUE"""),"Caye Chapel")</f>
        <v>Caye Chapel</v>
      </c>
      <c r="B1494" s="120" t="str">
        <f>IFERROR(__xludf.DUMMYFUNCTION("""COMPUTED_VALUE"""),"CYC")</f>
        <v>CYC</v>
      </c>
      <c r="C1494" s="120" t="str">
        <f>IFERROR(__xludf.DUMMYFUNCTION("""COMPUTED_VALUE"""),"Caye Chapel")</f>
        <v>Caye Chapel</v>
      </c>
      <c r="D1494" s="120" t="str">
        <f>IFERROR(__xludf.DUMMYFUNCTION("""COMPUTED_VALUE"""),"Belize")</f>
        <v>Belize</v>
      </c>
      <c r="E1494" s="135"/>
      <c r="F1494" s="31"/>
    </row>
    <row r="1495">
      <c r="A1495" s="134" t="str">
        <f>IFERROR(__xludf.DUMMYFUNCTION("""COMPUTED_VALUE"""),"Cayenne")</f>
        <v>Cayenne</v>
      </c>
      <c r="B1495" s="120" t="str">
        <f>IFERROR(__xludf.DUMMYFUNCTION("""COMPUTED_VALUE"""),"CAY")</f>
        <v>CAY</v>
      </c>
      <c r="C1495" s="120" t="str">
        <f>IFERROR(__xludf.DUMMYFUNCTION("""COMPUTED_VALUE"""),"Rochambeau")</f>
        <v>Rochambeau</v>
      </c>
      <c r="D1495" s="120" t="str">
        <f>IFERROR(__xludf.DUMMYFUNCTION("""COMPUTED_VALUE"""),"French Guiana")</f>
        <v>French Guiana</v>
      </c>
      <c r="E1495" s="135"/>
      <c r="F1495" s="31"/>
    </row>
    <row r="1496">
      <c r="A1496" s="134" t="str">
        <f>IFERROR(__xludf.DUMMYFUNCTION("""COMPUTED_VALUE"""),"Cayman Brac Is")</f>
        <v>Cayman Brac Is</v>
      </c>
      <c r="B1496" s="120" t="str">
        <f>IFERROR(__xludf.DUMMYFUNCTION("""COMPUTED_VALUE"""),"CYB")</f>
        <v>CYB</v>
      </c>
      <c r="C1496" s="120" t="str">
        <f>IFERROR(__xludf.DUMMYFUNCTION("""COMPUTED_VALUE"""),"Gerrard-Smith")</f>
        <v>Gerrard-Smith</v>
      </c>
      <c r="D1496" s="120" t="str">
        <f>IFERROR(__xludf.DUMMYFUNCTION("""COMPUTED_VALUE"""),"Cayman Islands")</f>
        <v>Cayman Islands</v>
      </c>
      <c r="E1496" s="135"/>
      <c r="F1496" s="31"/>
    </row>
    <row r="1497">
      <c r="A1497" s="134" t="str">
        <f>IFERROR(__xludf.DUMMYFUNCTION("""COMPUTED_VALUE"""),"Cayo Coco")</f>
        <v>Cayo Coco</v>
      </c>
      <c r="B1497" s="120" t="str">
        <f>IFERROR(__xludf.DUMMYFUNCTION("""COMPUTED_VALUE"""),"CCC")</f>
        <v>CCC</v>
      </c>
      <c r="C1497" s="120" t="str">
        <f>IFERROR(__xludf.DUMMYFUNCTION("""COMPUTED_VALUE"""),"Cayo Coco")</f>
        <v>Cayo Coco</v>
      </c>
      <c r="D1497" s="120" t="str">
        <f>IFERROR(__xludf.DUMMYFUNCTION("""COMPUTED_VALUE"""),"Cuba")</f>
        <v>Cuba</v>
      </c>
      <c r="E1497" s="135"/>
      <c r="F1497" s="31"/>
    </row>
    <row r="1498">
      <c r="A1498" s="134" t="str">
        <f>IFERROR(__xludf.DUMMYFUNCTION("""COMPUTED_VALUE"""),"Cayo Largo Del Sur")</f>
        <v>Cayo Largo Del Sur</v>
      </c>
      <c r="B1498" s="120" t="str">
        <f>IFERROR(__xludf.DUMMYFUNCTION("""COMPUTED_VALUE"""),"CYO")</f>
        <v>CYO</v>
      </c>
      <c r="C1498" s="120" t="str">
        <f>IFERROR(__xludf.DUMMYFUNCTION("""COMPUTED_VALUE"""),"Cayo Largo Del Sur")</f>
        <v>Cayo Largo Del Sur</v>
      </c>
      <c r="D1498" s="120" t="str">
        <f>IFERROR(__xludf.DUMMYFUNCTION("""COMPUTED_VALUE"""),"Cuba")</f>
        <v>Cuba</v>
      </c>
      <c r="E1498" s="135"/>
      <c r="F1498" s="31"/>
    </row>
    <row r="1499">
      <c r="A1499" s="134" t="str">
        <f>IFERROR(__xludf.DUMMYFUNCTION("""COMPUTED_VALUE"""),"Cazombo")</f>
        <v>Cazombo</v>
      </c>
      <c r="B1499" s="120" t="str">
        <f>IFERROR(__xludf.DUMMYFUNCTION("""COMPUTED_VALUE"""),"CAV")</f>
        <v>CAV</v>
      </c>
      <c r="C1499" s="120" t="str">
        <f>IFERROR(__xludf.DUMMYFUNCTION("""COMPUTED_VALUE"""),"Cazombo")</f>
        <v>Cazombo</v>
      </c>
      <c r="D1499" s="120" t="str">
        <f>IFERROR(__xludf.DUMMYFUNCTION("""COMPUTED_VALUE"""),"Angola")</f>
        <v>Angola</v>
      </c>
      <c r="E1499" s="135"/>
      <c r="F1499" s="31"/>
    </row>
    <row r="1500">
      <c r="A1500" s="134" t="str">
        <f>IFERROR(__xludf.DUMMYFUNCTION("""COMPUTED_VALUE"""),"Cebu")</f>
        <v>Cebu</v>
      </c>
      <c r="B1500" s="120" t="str">
        <f>IFERROR(__xludf.DUMMYFUNCTION("""COMPUTED_VALUE"""),"CEB")</f>
        <v>CEB</v>
      </c>
      <c r="C1500" s="120" t="str">
        <f>IFERROR(__xludf.DUMMYFUNCTION("""COMPUTED_VALUE"""),"Mactan International")</f>
        <v>Mactan International</v>
      </c>
      <c r="D1500" s="120" t="str">
        <f>IFERROR(__xludf.DUMMYFUNCTION("""COMPUTED_VALUE"""),"Philippines")</f>
        <v>Philippines</v>
      </c>
      <c r="E1500" s="135"/>
      <c r="F1500" s="31"/>
    </row>
    <row r="1501">
      <c r="A1501" s="134" t="str">
        <f>IFERROR(__xludf.DUMMYFUNCTION("""COMPUTED_VALUE"""),"Cedar City")</f>
        <v>Cedar City</v>
      </c>
      <c r="B1501" s="120" t="str">
        <f>IFERROR(__xludf.DUMMYFUNCTION("""COMPUTED_VALUE"""),"CDC")</f>
        <v>CDC</v>
      </c>
      <c r="C1501" s="120" t="str">
        <f>IFERROR(__xludf.DUMMYFUNCTION("""COMPUTED_VALUE"""),"Cedar City")</f>
        <v>Cedar City</v>
      </c>
      <c r="D1501" s="120" t="str">
        <f>IFERROR(__xludf.DUMMYFUNCTION("""COMPUTED_VALUE"""),"United States")</f>
        <v>United States</v>
      </c>
      <c r="E1501" s="135"/>
      <c r="F1501" s="31"/>
    </row>
    <row r="1502">
      <c r="A1502" s="134" t="str">
        <f>IFERROR(__xludf.DUMMYFUNCTION("""COMPUTED_VALUE"""),"Cedar Key")</f>
        <v>Cedar Key</v>
      </c>
      <c r="B1502" s="120" t="str">
        <f>IFERROR(__xludf.DUMMYFUNCTION("""COMPUTED_VALUE"""),"CDK")</f>
        <v>CDK</v>
      </c>
      <c r="C1502" s="120" t="str">
        <f>IFERROR(__xludf.DUMMYFUNCTION("""COMPUTED_VALUE"""),"Lewis")</f>
        <v>Lewis</v>
      </c>
      <c r="D1502" s="120" t="str">
        <f>IFERROR(__xludf.DUMMYFUNCTION("""COMPUTED_VALUE"""),"United States")</f>
        <v>United States</v>
      </c>
      <c r="E1502" s="135"/>
      <c r="F1502" s="31"/>
    </row>
    <row r="1503">
      <c r="A1503" s="134" t="str">
        <f>IFERROR(__xludf.DUMMYFUNCTION("""COMPUTED_VALUE"""),"Cedar Rapids")</f>
        <v>Cedar Rapids</v>
      </c>
      <c r="B1503" s="120" t="str">
        <f>IFERROR(__xludf.DUMMYFUNCTION("""COMPUTED_VALUE"""),"CID")</f>
        <v>CID</v>
      </c>
      <c r="C1503" s="120" t="str">
        <f>IFERROR(__xludf.DUMMYFUNCTION("""COMPUTED_VALUE"""),"Cedar Rapids")</f>
        <v>Cedar Rapids</v>
      </c>
      <c r="D1503" s="120" t="str">
        <f>IFERROR(__xludf.DUMMYFUNCTION("""COMPUTED_VALUE"""),"United States")</f>
        <v>United States</v>
      </c>
      <c r="E1503" s="135"/>
      <c r="F1503" s="31"/>
    </row>
    <row r="1504">
      <c r="A1504" s="134" t="str">
        <f>IFERROR(__xludf.DUMMYFUNCTION("""COMPUTED_VALUE"""),"Ceduna")</f>
        <v>Ceduna</v>
      </c>
      <c r="B1504" s="120" t="str">
        <f>IFERROR(__xludf.DUMMYFUNCTION("""COMPUTED_VALUE"""),"CED")</f>
        <v>CED</v>
      </c>
      <c r="C1504" s="120" t="str">
        <f>IFERROR(__xludf.DUMMYFUNCTION("""COMPUTED_VALUE"""),"Ceduna")</f>
        <v>Ceduna</v>
      </c>
      <c r="D1504" s="120" t="str">
        <f>IFERROR(__xludf.DUMMYFUNCTION("""COMPUTED_VALUE"""),"Australia")</f>
        <v>Australia</v>
      </c>
      <c r="E1504" s="135"/>
      <c r="F1504" s="31"/>
    </row>
    <row r="1505">
      <c r="A1505" s="134" t="str">
        <f>IFERROR(__xludf.DUMMYFUNCTION("""COMPUTED_VALUE"""),"Center Island")</f>
        <v>Center Island</v>
      </c>
      <c r="B1505" s="120" t="str">
        <f>IFERROR(__xludf.DUMMYFUNCTION("""COMPUTED_VALUE"""),"CWS")</f>
        <v>CWS</v>
      </c>
      <c r="C1505" s="120" t="str">
        <f>IFERROR(__xludf.DUMMYFUNCTION("""COMPUTED_VALUE"""),"Center Island")</f>
        <v>Center Island</v>
      </c>
      <c r="D1505" s="120" t="str">
        <f>IFERROR(__xludf.DUMMYFUNCTION("""COMPUTED_VALUE"""),"United States")</f>
        <v>United States</v>
      </c>
      <c r="E1505" s="135"/>
      <c r="F1505" s="31"/>
    </row>
    <row r="1506">
      <c r="A1506" s="134" t="str">
        <f>IFERROR(__xludf.DUMMYFUNCTION("""COMPUTED_VALUE"""),"Centerville")</f>
        <v>Centerville</v>
      </c>
      <c r="B1506" s="120" t="str">
        <f>IFERROR(__xludf.DUMMYFUNCTION("""COMPUTED_VALUE"""),"GHM")</f>
        <v>GHM</v>
      </c>
      <c r="C1506" s="120" t="str">
        <f>IFERROR(__xludf.DUMMYFUNCTION("""COMPUTED_VALUE"""),"Municipal")</f>
        <v>Municipal</v>
      </c>
      <c r="D1506" s="120" t="str">
        <f>IFERROR(__xludf.DUMMYFUNCTION("""COMPUTED_VALUE"""),"United States")</f>
        <v>United States</v>
      </c>
      <c r="E1506" s="135"/>
      <c r="F1506" s="31"/>
    </row>
    <row r="1507">
      <c r="A1507" s="134" t="str">
        <f>IFERROR(__xludf.DUMMYFUNCTION("""COMPUTED_VALUE"""),"Central")</f>
        <v>Central</v>
      </c>
      <c r="B1507" s="120" t="str">
        <f>IFERROR(__xludf.DUMMYFUNCTION("""COMPUTED_VALUE"""),"CEM")</f>
        <v>CEM</v>
      </c>
      <c r="C1507" s="120" t="str">
        <f>IFERROR(__xludf.DUMMYFUNCTION("""COMPUTED_VALUE"""),"Central")</f>
        <v>Central</v>
      </c>
      <c r="D1507" s="120" t="str">
        <f>IFERROR(__xludf.DUMMYFUNCTION("""COMPUTED_VALUE"""),"United States")</f>
        <v>United States</v>
      </c>
      <c r="E1507" s="135"/>
      <c r="F1507" s="31"/>
    </row>
    <row r="1508">
      <c r="A1508" s="134" t="str">
        <f>IFERROR(__xludf.DUMMYFUNCTION("""COMPUTED_VALUE"""),"Centralia")</f>
        <v>Centralia</v>
      </c>
      <c r="B1508" s="120" t="str">
        <f>IFERROR(__xludf.DUMMYFUNCTION("""COMPUTED_VALUE"""),"ENL")</f>
        <v>ENL</v>
      </c>
      <c r="C1508" s="120" t="str">
        <f>IFERROR(__xludf.DUMMYFUNCTION("""COMPUTED_VALUE"""),"Municipal")</f>
        <v>Municipal</v>
      </c>
      <c r="D1508" s="120" t="str">
        <f>IFERROR(__xludf.DUMMYFUNCTION("""COMPUTED_VALUE"""),"United States")</f>
        <v>United States</v>
      </c>
      <c r="E1508" s="135"/>
      <c r="F1508" s="31"/>
    </row>
    <row r="1509">
      <c r="A1509" s="134" t="str">
        <f>IFERROR(__xludf.DUMMYFUNCTION("""COMPUTED_VALUE"""),"Centralia")</f>
        <v>Centralia</v>
      </c>
      <c r="B1509" s="120" t="str">
        <f>IFERROR(__xludf.DUMMYFUNCTION("""COMPUTED_VALUE"""),"YCE")</f>
        <v>YCE</v>
      </c>
      <c r="C1509" s="120" t="str">
        <f>IFERROR(__xludf.DUMMYFUNCTION("""COMPUTED_VALUE"""),"Centralia")</f>
        <v>Centralia</v>
      </c>
      <c r="D1509" s="120" t="str">
        <f>IFERROR(__xludf.DUMMYFUNCTION("""COMPUTED_VALUE"""),"Canada")</f>
        <v>Canada</v>
      </c>
      <c r="E1509" s="135"/>
      <c r="F1509" s="31"/>
    </row>
    <row r="1510">
      <c r="A1510" s="134" t="str">
        <f>IFERROR(__xludf.DUMMYFUNCTION("""COMPUTED_VALUE"""),"Cepu")</f>
        <v>Cepu</v>
      </c>
      <c r="B1510" s="120" t="str">
        <f>IFERROR(__xludf.DUMMYFUNCTION("""COMPUTED_VALUE"""),"CPF")</f>
        <v>CPF</v>
      </c>
      <c r="C1510" s="120" t="str">
        <f>IFERROR(__xludf.DUMMYFUNCTION("""COMPUTED_VALUE"""),"Cepu")</f>
        <v>Cepu</v>
      </c>
      <c r="D1510" s="120" t="str">
        <f>IFERROR(__xludf.DUMMYFUNCTION("""COMPUTED_VALUE"""),"Indonesia")</f>
        <v>Indonesia</v>
      </c>
      <c r="E1510" s="135"/>
      <c r="F1510" s="31"/>
    </row>
    <row r="1511">
      <c r="A1511" s="134" t="str">
        <f>IFERROR(__xludf.DUMMYFUNCTION("""COMPUTED_VALUE"""),"Ceres")</f>
        <v>Ceres</v>
      </c>
      <c r="B1511" s="120" t="str">
        <f>IFERROR(__xludf.DUMMYFUNCTION("""COMPUTED_VALUE"""),"CRR")</f>
        <v>CRR</v>
      </c>
      <c r="C1511" s="120" t="str">
        <f>IFERROR(__xludf.DUMMYFUNCTION("""COMPUTED_VALUE"""),"Ceres")</f>
        <v>Ceres</v>
      </c>
      <c r="D1511" s="120" t="str">
        <f>IFERROR(__xludf.DUMMYFUNCTION("""COMPUTED_VALUE"""),"Argentina")</f>
        <v>Argentina</v>
      </c>
      <c r="E1511" s="135"/>
      <c r="F1511" s="31"/>
    </row>
    <row r="1512">
      <c r="A1512" s="134" t="str">
        <f>IFERROR(__xludf.DUMMYFUNCTION("""COMPUTED_VALUE"""),"Cerro Sombrero")</f>
        <v>Cerro Sombrero</v>
      </c>
      <c r="B1512" s="120" t="str">
        <f>IFERROR(__xludf.DUMMYFUNCTION("""COMPUTED_VALUE"""),"SMB")</f>
        <v>SMB</v>
      </c>
      <c r="C1512" s="120" t="str">
        <f>IFERROR(__xludf.DUMMYFUNCTION("""COMPUTED_VALUE"""),"Cerro Sombrero")</f>
        <v>Cerro Sombrero</v>
      </c>
      <c r="D1512" s="120" t="str">
        <f>IFERROR(__xludf.DUMMYFUNCTION("""COMPUTED_VALUE"""),"Chile")</f>
        <v>Chile</v>
      </c>
      <c r="E1512" s="135"/>
      <c r="F1512" s="31"/>
    </row>
    <row r="1513">
      <c r="A1513" s="134" t="str">
        <f>IFERROR(__xludf.DUMMYFUNCTION("""COMPUTED_VALUE"""),"Cessnock")</f>
        <v>Cessnock</v>
      </c>
      <c r="B1513" s="120" t="str">
        <f>IFERROR(__xludf.DUMMYFUNCTION("""COMPUTED_VALUE"""),"CES")</f>
        <v>CES</v>
      </c>
      <c r="C1513" s="120" t="str">
        <f>IFERROR(__xludf.DUMMYFUNCTION("""COMPUTED_VALUE"""),"Cessnock")</f>
        <v>Cessnock</v>
      </c>
      <c r="D1513" s="120" t="str">
        <f>IFERROR(__xludf.DUMMYFUNCTION("""COMPUTED_VALUE"""),"Australia")</f>
        <v>Australia</v>
      </c>
      <c r="E1513" s="135"/>
      <c r="F1513" s="31"/>
    </row>
    <row r="1514">
      <c r="A1514" s="134" t="str">
        <f>IFERROR(__xludf.DUMMYFUNCTION("""COMPUTED_VALUE"""),"Ceuta")</f>
        <v>Ceuta</v>
      </c>
      <c r="B1514" s="120" t="str">
        <f>IFERROR(__xludf.DUMMYFUNCTION("""COMPUTED_VALUE"""),"JCU")</f>
        <v>JCU</v>
      </c>
      <c r="C1514" s="120" t="str">
        <f>IFERROR(__xludf.DUMMYFUNCTION("""COMPUTED_VALUE"""),"Ceuta Heliport")</f>
        <v>Ceuta Heliport</v>
      </c>
      <c r="D1514" s="120" t="str">
        <f>IFERROR(__xludf.DUMMYFUNCTION("""COMPUTED_VALUE"""),"Spain")</f>
        <v>Spain</v>
      </c>
      <c r="E1514" s="135"/>
      <c r="F1514" s="31"/>
    </row>
    <row r="1515">
      <c r="A1515" s="134" t="str">
        <f>IFERROR(__xludf.DUMMYFUNCTION("""COMPUTED_VALUE"""),"Chachapoyas")</f>
        <v>Chachapoyas</v>
      </c>
      <c r="B1515" s="120" t="str">
        <f>IFERROR(__xludf.DUMMYFUNCTION("""COMPUTED_VALUE"""),"CHH")</f>
        <v>CHH</v>
      </c>
      <c r="C1515" s="120" t="str">
        <f>IFERROR(__xludf.DUMMYFUNCTION("""COMPUTED_VALUE"""),"Chachapoyas")</f>
        <v>Chachapoyas</v>
      </c>
      <c r="D1515" s="120" t="str">
        <f>IFERROR(__xludf.DUMMYFUNCTION("""COMPUTED_VALUE"""),"Peru")</f>
        <v>Peru</v>
      </c>
      <c r="E1515" s="135"/>
      <c r="F1515" s="31"/>
    </row>
    <row r="1516">
      <c r="A1516" s="134" t="str">
        <f>IFERROR(__xludf.DUMMYFUNCTION("""COMPUTED_VALUE"""),"Chadron")</f>
        <v>Chadron</v>
      </c>
      <c r="B1516" s="120" t="str">
        <f>IFERROR(__xludf.DUMMYFUNCTION("""COMPUTED_VALUE"""),"CDR")</f>
        <v>CDR</v>
      </c>
      <c r="C1516" s="120" t="str">
        <f>IFERROR(__xludf.DUMMYFUNCTION("""COMPUTED_VALUE"""),"Chadron")</f>
        <v>Chadron</v>
      </c>
      <c r="D1516" s="120" t="str">
        <f>IFERROR(__xludf.DUMMYFUNCTION("""COMPUTED_VALUE"""),"United States")</f>
        <v>United States</v>
      </c>
      <c r="E1516" s="135"/>
      <c r="F1516" s="31"/>
    </row>
    <row r="1517">
      <c r="A1517" s="134" t="str">
        <f>IFERROR(__xludf.DUMMYFUNCTION("""COMPUTED_VALUE"""),"Chagni")</f>
        <v>Chagni</v>
      </c>
      <c r="B1517" s="120" t="str">
        <f>IFERROR(__xludf.DUMMYFUNCTION("""COMPUTED_VALUE"""),"MKD")</f>
        <v>MKD</v>
      </c>
      <c r="C1517" s="120" t="str">
        <f>IFERROR(__xludf.DUMMYFUNCTION("""COMPUTED_VALUE"""),"Chagni")</f>
        <v>Chagni</v>
      </c>
      <c r="D1517" s="120" t="str">
        <f>IFERROR(__xludf.DUMMYFUNCTION("""COMPUTED_VALUE"""),"Ethiopia")</f>
        <v>Ethiopia</v>
      </c>
      <c r="E1517" s="135"/>
      <c r="F1517" s="31"/>
    </row>
    <row r="1518">
      <c r="A1518" s="134" t="str">
        <f>IFERROR(__xludf.DUMMYFUNCTION("""COMPUTED_VALUE"""),"Chah-Bahar")</f>
        <v>Chah-Bahar</v>
      </c>
      <c r="B1518" s="120" t="str">
        <f>IFERROR(__xludf.DUMMYFUNCTION("""COMPUTED_VALUE"""),"ZBR")</f>
        <v>ZBR</v>
      </c>
      <c r="C1518" s="120" t="str">
        <f>IFERROR(__xludf.DUMMYFUNCTION("""COMPUTED_VALUE"""),"Chah-Bahar")</f>
        <v>Chah-Bahar</v>
      </c>
      <c r="D1518" s="120" t="str">
        <f>IFERROR(__xludf.DUMMYFUNCTION("""COMPUTED_VALUE"""),"Iran")</f>
        <v>Iran</v>
      </c>
      <c r="E1518" s="135"/>
      <c r="F1518" s="31"/>
    </row>
    <row r="1519">
      <c r="A1519" s="134" t="str">
        <f>IFERROR(__xludf.DUMMYFUNCTION("""COMPUTED_VALUE"""),"Chaiten")</f>
        <v>Chaiten</v>
      </c>
      <c r="B1519" s="120" t="str">
        <f>IFERROR(__xludf.DUMMYFUNCTION("""COMPUTED_VALUE"""),"WCH")</f>
        <v>WCH</v>
      </c>
      <c r="C1519" s="120" t="str">
        <f>IFERROR(__xludf.DUMMYFUNCTION("""COMPUTED_VALUE"""),"Chaiten")</f>
        <v>Chaiten</v>
      </c>
      <c r="D1519" s="120" t="str">
        <f>IFERROR(__xludf.DUMMYFUNCTION("""COMPUTED_VALUE"""),"Chile")</f>
        <v>Chile</v>
      </c>
      <c r="E1519" s="135"/>
      <c r="F1519" s="31"/>
    </row>
    <row r="1520">
      <c r="A1520" s="134" t="str">
        <f>IFERROR(__xludf.DUMMYFUNCTION("""COMPUTED_VALUE"""),"Chakcharan")</f>
        <v>Chakcharan</v>
      </c>
      <c r="B1520" s="120" t="str">
        <f>IFERROR(__xludf.DUMMYFUNCTION("""COMPUTED_VALUE"""),"CCN")</f>
        <v>CCN</v>
      </c>
      <c r="C1520" s="120" t="str">
        <f>IFERROR(__xludf.DUMMYFUNCTION("""COMPUTED_VALUE"""),"Chakcharan")</f>
        <v>Chakcharan</v>
      </c>
      <c r="D1520" s="120" t="str">
        <f>IFERROR(__xludf.DUMMYFUNCTION("""COMPUTED_VALUE"""),"Afghanistan")</f>
        <v>Afghanistan</v>
      </c>
      <c r="E1520" s="135"/>
      <c r="F1520" s="31"/>
    </row>
    <row r="1521">
      <c r="A1521" s="134" t="str">
        <f>IFERROR(__xludf.DUMMYFUNCTION("""COMPUTED_VALUE"""),"Chalkyitsik")</f>
        <v>Chalkyitsik</v>
      </c>
      <c r="B1521" s="120" t="str">
        <f>IFERROR(__xludf.DUMMYFUNCTION("""COMPUTED_VALUE"""),"CIK")</f>
        <v>CIK</v>
      </c>
      <c r="C1521" s="120" t="str">
        <f>IFERROR(__xludf.DUMMYFUNCTION("""COMPUTED_VALUE"""),"Chalkyitsik")</f>
        <v>Chalkyitsik</v>
      </c>
      <c r="D1521" s="120" t="str">
        <f>IFERROR(__xludf.DUMMYFUNCTION("""COMPUTED_VALUE"""),"United States")</f>
        <v>United States</v>
      </c>
      <c r="E1521" s="135"/>
      <c r="F1521" s="31"/>
    </row>
    <row r="1522">
      <c r="A1522" s="134" t="str">
        <f>IFERROR(__xludf.DUMMYFUNCTION("""COMPUTED_VALUE"""),"Challis")</f>
        <v>Challis</v>
      </c>
      <c r="B1522" s="120" t="str">
        <f>IFERROR(__xludf.DUMMYFUNCTION("""COMPUTED_VALUE"""),"CHL")</f>
        <v>CHL</v>
      </c>
      <c r="C1522" s="120" t="str">
        <f>IFERROR(__xludf.DUMMYFUNCTION("""COMPUTED_VALUE"""),"Challis")</f>
        <v>Challis</v>
      </c>
      <c r="D1522" s="120" t="str">
        <f>IFERROR(__xludf.DUMMYFUNCTION("""COMPUTED_VALUE"""),"United States")</f>
        <v>United States</v>
      </c>
      <c r="E1522" s="135"/>
      <c r="F1522" s="31"/>
    </row>
    <row r="1523">
      <c r="A1523" s="134" t="str">
        <f>IFERROR(__xludf.DUMMYFUNCTION("""COMPUTED_VALUE"""),"Chalons Sur Marne")</f>
        <v>Chalons Sur Marne</v>
      </c>
      <c r="B1523" s="120" t="str">
        <f>IFERROR(__xludf.DUMMYFUNCTION("""COMPUTED_VALUE"""),"XCR")</f>
        <v>XCR</v>
      </c>
      <c r="C1523" s="120" t="str">
        <f>IFERROR(__xludf.DUMMYFUNCTION("""COMPUTED_VALUE"""),"Vatry Airport")</f>
        <v>Vatry Airport</v>
      </c>
      <c r="D1523" s="120" t="str">
        <f>IFERROR(__xludf.DUMMYFUNCTION("""COMPUTED_VALUE"""),"France")</f>
        <v>France</v>
      </c>
      <c r="E1523" s="135"/>
      <c r="F1523" s="31"/>
    </row>
    <row r="1524">
      <c r="A1524" s="134" t="str">
        <f>IFERROR(__xludf.DUMMYFUNCTION("""COMPUTED_VALUE"""),"Chambery")</f>
        <v>Chambery</v>
      </c>
      <c r="B1524" s="120" t="str">
        <f>IFERROR(__xludf.DUMMYFUNCTION("""COMPUTED_VALUE"""),"CMF")</f>
        <v>CMF</v>
      </c>
      <c r="C1524" s="120" t="str">
        <f>IFERROR(__xludf.DUMMYFUNCTION("""COMPUTED_VALUE"""),"Chambery")</f>
        <v>Chambery</v>
      </c>
      <c r="D1524" s="120" t="str">
        <f>IFERROR(__xludf.DUMMYFUNCTION("""COMPUTED_VALUE"""),"France")</f>
        <v>France</v>
      </c>
      <c r="E1524" s="135"/>
      <c r="F1524" s="31"/>
    </row>
    <row r="1525">
      <c r="A1525" s="134" t="str">
        <f>IFERROR(__xludf.DUMMYFUNCTION("""COMPUTED_VALUE"""),"Champaign")</f>
        <v>Champaign</v>
      </c>
      <c r="B1525" s="120" t="str">
        <f>IFERROR(__xludf.DUMMYFUNCTION("""COMPUTED_VALUE"""),"CMI")</f>
        <v>CMI</v>
      </c>
      <c r="C1525" s="120" t="str">
        <f>IFERROR(__xludf.DUMMYFUNCTION("""COMPUTED_VALUE"""),"University Of Illinois Willard")</f>
        <v>University Of Illinois Willard</v>
      </c>
      <c r="D1525" s="120" t="str">
        <f>IFERROR(__xludf.DUMMYFUNCTION("""COMPUTED_VALUE"""),"United States")</f>
        <v>United States</v>
      </c>
      <c r="E1525" s="135"/>
      <c r="F1525" s="31"/>
    </row>
    <row r="1526">
      <c r="A1526" s="134" t="str">
        <f>IFERROR(__xludf.DUMMYFUNCTION("""COMPUTED_VALUE"""),"Chanaral")</f>
        <v>Chanaral</v>
      </c>
      <c r="B1526" s="120" t="str">
        <f>IFERROR(__xludf.DUMMYFUNCTION("""COMPUTED_VALUE"""),"CNR")</f>
        <v>CNR</v>
      </c>
      <c r="C1526" s="120" t="str">
        <f>IFERROR(__xludf.DUMMYFUNCTION("""COMPUTED_VALUE"""),"Chanaral")</f>
        <v>Chanaral</v>
      </c>
      <c r="D1526" s="120" t="str">
        <f>IFERROR(__xludf.DUMMYFUNCTION("""COMPUTED_VALUE"""),"Chile")</f>
        <v>Chile</v>
      </c>
      <c r="E1526" s="135"/>
      <c r="F1526" s="31"/>
    </row>
    <row r="1527">
      <c r="A1527" s="134" t="str">
        <f>IFERROR(__xludf.DUMMYFUNCTION("""COMPUTED_VALUE"""),"Chandalar")</f>
        <v>Chandalar</v>
      </c>
      <c r="B1527" s="120" t="str">
        <f>IFERROR(__xludf.DUMMYFUNCTION("""COMPUTED_VALUE"""),"WCR")</f>
        <v>WCR</v>
      </c>
      <c r="C1527" s="120" t="str">
        <f>IFERROR(__xludf.DUMMYFUNCTION("""COMPUTED_VALUE"""),"Chandalar")</f>
        <v>Chandalar</v>
      </c>
      <c r="D1527" s="120" t="str">
        <f>IFERROR(__xludf.DUMMYFUNCTION("""COMPUTED_VALUE"""),"United States")</f>
        <v>United States</v>
      </c>
      <c r="E1527" s="135"/>
      <c r="F1527" s="31"/>
    </row>
    <row r="1528">
      <c r="A1528" s="134" t="str">
        <f>IFERROR(__xludf.DUMMYFUNCTION("""COMPUTED_VALUE"""),"Chandigarh")</f>
        <v>Chandigarh</v>
      </c>
      <c r="B1528" s="120" t="str">
        <f>IFERROR(__xludf.DUMMYFUNCTION("""COMPUTED_VALUE"""),"IXC")</f>
        <v>IXC</v>
      </c>
      <c r="C1528" s="120" t="str">
        <f>IFERROR(__xludf.DUMMYFUNCTION("""COMPUTED_VALUE"""),"Chandigarh")</f>
        <v>Chandigarh</v>
      </c>
      <c r="D1528" s="120" t="str">
        <f>IFERROR(__xludf.DUMMYFUNCTION("""COMPUTED_VALUE"""),"India")</f>
        <v>India</v>
      </c>
      <c r="E1528" s="135"/>
      <c r="F1528" s="31"/>
    </row>
    <row r="1529">
      <c r="A1529" s="134" t="str">
        <f>IFERROR(__xludf.DUMMYFUNCTION("""COMPUTED_VALUE"""),"Chandler")</f>
        <v>Chandler</v>
      </c>
      <c r="B1529" s="120" t="str">
        <f>IFERROR(__xludf.DUMMYFUNCTION("""COMPUTED_VALUE"""),"SLJ")</f>
        <v>SLJ</v>
      </c>
      <c r="C1529" s="120" t="str">
        <f>IFERROR(__xludf.DUMMYFUNCTION("""COMPUTED_VALUE"""),"Stellar Air Park")</f>
        <v>Stellar Air Park</v>
      </c>
      <c r="D1529" s="120" t="str">
        <f>IFERROR(__xludf.DUMMYFUNCTION("""COMPUTED_VALUE"""),"United States")</f>
        <v>United States</v>
      </c>
      <c r="E1529" s="135"/>
      <c r="F1529" s="31"/>
    </row>
    <row r="1530">
      <c r="A1530" s="134" t="str">
        <f>IFERROR(__xludf.DUMMYFUNCTION("""COMPUTED_VALUE"""),"Chandler")</f>
        <v>Chandler</v>
      </c>
      <c r="B1530" s="120" t="str">
        <f>IFERROR(__xludf.DUMMYFUNCTION("""COMPUTED_VALUE"""),"CHD")</f>
        <v>CHD</v>
      </c>
      <c r="C1530" s="120" t="str">
        <f>IFERROR(__xludf.DUMMYFUNCTION("""COMPUTED_VALUE"""),"Williams AFB")</f>
        <v>Williams AFB</v>
      </c>
      <c r="D1530" s="120" t="str">
        <f>IFERROR(__xludf.DUMMYFUNCTION("""COMPUTED_VALUE"""),"United States")</f>
        <v>United States</v>
      </c>
      <c r="E1530" s="135"/>
      <c r="F1530" s="31"/>
    </row>
    <row r="1531">
      <c r="A1531" s="134" t="str">
        <f>IFERROR(__xludf.DUMMYFUNCTION("""COMPUTED_VALUE"""),"Changchun")</f>
        <v>Changchun</v>
      </c>
      <c r="B1531" s="120" t="str">
        <f>IFERROR(__xludf.DUMMYFUNCTION("""COMPUTED_VALUE"""),"CGQ")</f>
        <v>CGQ</v>
      </c>
      <c r="C1531" s="120" t="str">
        <f>IFERROR(__xludf.DUMMYFUNCTION("""COMPUTED_VALUE"""),"Changchun")</f>
        <v>Changchun</v>
      </c>
      <c r="D1531" s="120" t="str">
        <f>IFERROR(__xludf.DUMMYFUNCTION("""COMPUTED_VALUE"""),"China")</f>
        <v>China</v>
      </c>
      <c r="E1531" s="135"/>
      <c r="F1531" s="31"/>
    </row>
    <row r="1532">
      <c r="A1532" s="134" t="str">
        <f>IFERROR(__xludf.DUMMYFUNCTION("""COMPUTED_VALUE"""),"Changde")</f>
        <v>Changde</v>
      </c>
      <c r="B1532" s="120" t="str">
        <f>IFERROR(__xludf.DUMMYFUNCTION("""COMPUTED_VALUE"""),"CGD")</f>
        <v>CGD</v>
      </c>
      <c r="C1532" s="120" t="str">
        <f>IFERROR(__xludf.DUMMYFUNCTION("""COMPUTED_VALUE"""),"Changde")</f>
        <v>Changde</v>
      </c>
      <c r="D1532" s="120" t="str">
        <f>IFERROR(__xludf.DUMMYFUNCTION("""COMPUTED_VALUE"""),"China")</f>
        <v>China</v>
      </c>
      <c r="E1532" s="135"/>
      <c r="F1532" s="31"/>
    </row>
    <row r="1533">
      <c r="A1533" s="134" t="str">
        <f>IFERROR(__xludf.DUMMYFUNCTION("""COMPUTED_VALUE"""),"Changhai")</f>
        <v>Changhai</v>
      </c>
      <c r="B1533" s="120" t="str">
        <f>IFERROR(__xludf.DUMMYFUNCTION("""COMPUTED_VALUE"""),"CNI")</f>
        <v>CNI</v>
      </c>
      <c r="C1533" s="120" t="str">
        <f>IFERROR(__xludf.DUMMYFUNCTION("""COMPUTED_VALUE"""),"Changhai")</f>
        <v>Changhai</v>
      </c>
      <c r="D1533" s="120" t="str">
        <f>IFERROR(__xludf.DUMMYFUNCTION("""COMPUTED_VALUE"""),"China")</f>
        <v>China</v>
      </c>
      <c r="E1533" s="135"/>
      <c r="F1533" s="31"/>
    </row>
    <row r="1534">
      <c r="A1534" s="134" t="str">
        <f>IFERROR(__xludf.DUMMYFUNCTION("""COMPUTED_VALUE"""),"Changsha")</f>
        <v>Changsha</v>
      </c>
      <c r="B1534" s="120" t="str">
        <f>IFERROR(__xludf.DUMMYFUNCTION("""COMPUTED_VALUE"""),"CSX")</f>
        <v>CSX</v>
      </c>
      <c r="C1534" s="120" t="str">
        <f>IFERROR(__xludf.DUMMYFUNCTION("""COMPUTED_VALUE"""),"Changsha")</f>
        <v>Changsha</v>
      </c>
      <c r="D1534" s="120" t="str">
        <f>IFERROR(__xludf.DUMMYFUNCTION("""COMPUTED_VALUE"""),"China")</f>
        <v>China</v>
      </c>
      <c r="E1534" s="135"/>
      <c r="F1534" s="31"/>
    </row>
    <row r="1535">
      <c r="A1535" s="134" t="str">
        <f>IFERROR(__xludf.DUMMYFUNCTION("""COMPUTED_VALUE"""),"Changuinola")</f>
        <v>Changuinola</v>
      </c>
      <c r="B1535" s="120" t="str">
        <f>IFERROR(__xludf.DUMMYFUNCTION("""COMPUTED_VALUE"""),"CHX")</f>
        <v>CHX</v>
      </c>
      <c r="C1535" s="120" t="str">
        <f>IFERROR(__xludf.DUMMYFUNCTION("""COMPUTED_VALUE"""),"Changuinola")</f>
        <v>Changuinola</v>
      </c>
      <c r="D1535" s="120" t="str">
        <f>IFERROR(__xludf.DUMMYFUNCTION("""COMPUTED_VALUE"""),"Panama")</f>
        <v>Panama</v>
      </c>
      <c r="E1535" s="135"/>
      <c r="F1535" s="31"/>
    </row>
    <row r="1536">
      <c r="A1536" s="134" t="str">
        <f>IFERROR(__xludf.DUMMYFUNCTION("""COMPUTED_VALUE"""),"Changzhi")</f>
        <v>Changzhi</v>
      </c>
      <c r="B1536" s="120" t="str">
        <f>IFERROR(__xludf.DUMMYFUNCTION("""COMPUTED_VALUE"""),"CIH")</f>
        <v>CIH</v>
      </c>
      <c r="C1536" s="120" t="str">
        <f>IFERROR(__xludf.DUMMYFUNCTION("""COMPUTED_VALUE"""),"Changzhi")</f>
        <v>Changzhi</v>
      </c>
      <c r="D1536" s="120" t="str">
        <f>IFERROR(__xludf.DUMMYFUNCTION("""COMPUTED_VALUE"""),"China")</f>
        <v>China</v>
      </c>
      <c r="E1536" s="135"/>
      <c r="F1536" s="31"/>
    </row>
    <row r="1537">
      <c r="A1537" s="134" t="str">
        <f>IFERROR(__xludf.DUMMYFUNCTION("""COMPUTED_VALUE"""),"Changzhou")</f>
        <v>Changzhou</v>
      </c>
      <c r="B1537" s="120" t="str">
        <f>IFERROR(__xludf.DUMMYFUNCTION("""COMPUTED_VALUE"""),"CZX")</f>
        <v>CZX</v>
      </c>
      <c r="C1537" s="120" t="str">
        <f>IFERROR(__xludf.DUMMYFUNCTION("""COMPUTED_VALUE"""),"Changzhou")</f>
        <v>Changzhou</v>
      </c>
      <c r="D1537" s="120" t="str">
        <f>IFERROR(__xludf.DUMMYFUNCTION("""COMPUTED_VALUE"""),"China")</f>
        <v>China</v>
      </c>
      <c r="E1537" s="135"/>
      <c r="F1537" s="31"/>
    </row>
    <row r="1538">
      <c r="A1538" s="134" t="str">
        <f>IFERROR(__xludf.DUMMYFUNCTION("""COMPUTED_VALUE"""),"Chania")</f>
        <v>Chania</v>
      </c>
      <c r="B1538" s="120" t="str">
        <f>IFERROR(__xludf.DUMMYFUNCTION("""COMPUTED_VALUE"""),"CHQ")</f>
        <v>CHQ</v>
      </c>
      <c r="C1538" s="120" t="str">
        <f>IFERROR(__xludf.DUMMYFUNCTION("""COMPUTED_VALUE"""),"Souda")</f>
        <v>Souda</v>
      </c>
      <c r="D1538" s="120" t="str">
        <f>IFERROR(__xludf.DUMMYFUNCTION("""COMPUTED_VALUE"""),"Greece")</f>
        <v>Greece</v>
      </c>
      <c r="E1538" s="135"/>
      <c r="F1538" s="31"/>
    </row>
    <row r="1539">
      <c r="A1539" s="134" t="str">
        <f>IFERROR(__xludf.DUMMYFUNCTION("""COMPUTED_VALUE"""),"Chanute")</f>
        <v>Chanute</v>
      </c>
      <c r="B1539" s="120" t="str">
        <f>IFERROR(__xludf.DUMMYFUNCTION("""COMPUTED_VALUE"""),"CNU")</f>
        <v>CNU</v>
      </c>
      <c r="C1539" s="120" t="str">
        <f>IFERROR(__xludf.DUMMYFUNCTION("""COMPUTED_VALUE"""),"Martin Johnson")</f>
        <v>Martin Johnson</v>
      </c>
      <c r="D1539" s="120" t="str">
        <f>IFERROR(__xludf.DUMMYFUNCTION("""COMPUTED_VALUE"""),"United States")</f>
        <v>United States</v>
      </c>
      <c r="E1539" s="135"/>
      <c r="F1539" s="31"/>
    </row>
    <row r="1540">
      <c r="A1540" s="134" t="str">
        <f>IFERROR(__xludf.DUMMYFUNCTION("""COMPUTED_VALUE"""),"Chaoyang")</f>
        <v>Chaoyang</v>
      </c>
      <c r="B1540" s="120" t="str">
        <f>IFERROR(__xludf.DUMMYFUNCTION("""COMPUTED_VALUE"""),"CHG")</f>
        <v>CHG</v>
      </c>
      <c r="C1540" s="120" t="str">
        <f>IFERROR(__xludf.DUMMYFUNCTION("""COMPUTED_VALUE"""),"Chaoyang Airport")</f>
        <v>Chaoyang Airport</v>
      </c>
      <c r="D1540" s="120" t="str">
        <f>IFERROR(__xludf.DUMMYFUNCTION("""COMPUTED_VALUE"""),"China")</f>
        <v>China</v>
      </c>
      <c r="E1540" s="135"/>
      <c r="F1540" s="31"/>
    </row>
    <row r="1541">
      <c r="A1541" s="134" t="str">
        <f>IFERROR(__xludf.DUMMYFUNCTION("""COMPUTED_VALUE"""),"Chaparral")</f>
        <v>Chaparral</v>
      </c>
      <c r="B1541" s="120" t="str">
        <f>IFERROR(__xludf.DUMMYFUNCTION("""COMPUTED_VALUE"""),"CPL")</f>
        <v>CPL</v>
      </c>
      <c r="C1541" s="120" t="str">
        <f>IFERROR(__xludf.DUMMYFUNCTION("""COMPUTED_VALUE"""),"Chaparral")</f>
        <v>Chaparral</v>
      </c>
      <c r="D1541" s="120" t="str">
        <f>IFERROR(__xludf.DUMMYFUNCTION("""COMPUTED_VALUE"""),"Colombia")</f>
        <v>Colombia</v>
      </c>
      <c r="E1541" s="135"/>
      <c r="F1541" s="31"/>
    </row>
    <row r="1542">
      <c r="A1542" s="134" t="str">
        <f>IFERROR(__xludf.DUMMYFUNCTION("""COMPUTED_VALUE"""),"Chapeco")</f>
        <v>Chapeco</v>
      </c>
      <c r="B1542" s="120" t="str">
        <f>IFERROR(__xludf.DUMMYFUNCTION("""COMPUTED_VALUE"""),"XAP")</f>
        <v>XAP</v>
      </c>
      <c r="C1542" s="120" t="str">
        <f>IFERROR(__xludf.DUMMYFUNCTION("""COMPUTED_VALUE"""),"Chapeco")</f>
        <v>Chapeco</v>
      </c>
      <c r="D1542" s="120" t="str">
        <f>IFERROR(__xludf.DUMMYFUNCTION("""COMPUTED_VALUE"""),"Brazil")</f>
        <v>Brazil</v>
      </c>
      <c r="E1542" s="135"/>
      <c r="F1542" s="31"/>
    </row>
    <row r="1543">
      <c r="A1543" s="134" t="str">
        <f>IFERROR(__xludf.DUMMYFUNCTION("""COMPUTED_VALUE"""),"Chapleau")</f>
        <v>Chapleau</v>
      </c>
      <c r="B1543" s="120" t="str">
        <f>IFERROR(__xludf.DUMMYFUNCTION("""COMPUTED_VALUE"""),"YLD")</f>
        <v>YLD</v>
      </c>
      <c r="C1543" s="120" t="str">
        <f>IFERROR(__xludf.DUMMYFUNCTION("""COMPUTED_VALUE"""),"Chapleau")</f>
        <v>Chapleau</v>
      </c>
      <c r="D1543" s="120" t="str">
        <f>IFERROR(__xludf.DUMMYFUNCTION("""COMPUTED_VALUE"""),"Canada")</f>
        <v>Canada</v>
      </c>
      <c r="E1543" s="135"/>
      <c r="F1543" s="31"/>
    </row>
    <row r="1544">
      <c r="A1544" s="134" t="str">
        <f>IFERROR(__xludf.DUMMYFUNCTION("""COMPUTED_VALUE"""),"Charata")</f>
        <v>Charata</v>
      </c>
      <c r="B1544" s="120" t="str">
        <f>IFERROR(__xludf.DUMMYFUNCTION("""COMPUTED_VALUE"""),"CNT")</f>
        <v>CNT</v>
      </c>
      <c r="C1544" s="120" t="str">
        <f>IFERROR(__xludf.DUMMYFUNCTION("""COMPUTED_VALUE"""),"Charata")</f>
        <v>Charata</v>
      </c>
      <c r="D1544" s="120" t="str">
        <f>IFERROR(__xludf.DUMMYFUNCTION("""COMPUTED_VALUE"""),"Argentina")</f>
        <v>Argentina</v>
      </c>
      <c r="E1544" s="135"/>
      <c r="F1544" s="31"/>
    </row>
    <row r="1545">
      <c r="A1545" s="134" t="str">
        <f>IFERROR(__xludf.DUMMYFUNCTION("""COMPUTED_VALUE"""),"Charles City")</f>
        <v>Charles City</v>
      </c>
      <c r="B1545" s="120" t="str">
        <f>IFERROR(__xludf.DUMMYFUNCTION("""COMPUTED_VALUE"""),"CCY")</f>
        <v>CCY</v>
      </c>
      <c r="C1545" s="120" t="str">
        <f>IFERROR(__xludf.DUMMYFUNCTION("""COMPUTED_VALUE"""),"Municipal")</f>
        <v>Municipal</v>
      </c>
      <c r="D1545" s="120" t="str">
        <f>IFERROR(__xludf.DUMMYFUNCTION("""COMPUTED_VALUE"""),"United States")</f>
        <v>United States</v>
      </c>
      <c r="E1545" s="135"/>
      <c r="F1545" s="31"/>
    </row>
    <row r="1546">
      <c r="A1546" s="134" t="str">
        <f>IFERROR(__xludf.DUMMYFUNCTION("""COMPUTED_VALUE"""),"Charleston")</f>
        <v>Charleston</v>
      </c>
      <c r="B1546" s="120" t="str">
        <f>IFERROR(__xludf.DUMMYFUNCTION("""COMPUTED_VALUE"""),"CHS")</f>
        <v>CHS</v>
      </c>
      <c r="C1546" s="120" t="str">
        <f>IFERROR(__xludf.DUMMYFUNCTION("""COMPUTED_VALUE"""),"AFB Municipal")</f>
        <v>AFB Municipal</v>
      </c>
      <c r="D1546" s="120" t="str">
        <f>IFERROR(__xludf.DUMMYFUNCTION("""COMPUTED_VALUE"""),"United States")</f>
        <v>United States</v>
      </c>
      <c r="E1546" s="135"/>
      <c r="F1546" s="31"/>
    </row>
    <row r="1547">
      <c r="A1547" s="134" t="str">
        <f>IFERROR(__xludf.DUMMYFUNCTION("""COMPUTED_VALUE"""),"Charleston")</f>
        <v>Charleston</v>
      </c>
      <c r="B1547" s="120" t="str">
        <f>IFERROR(__xludf.DUMMYFUNCTION("""COMPUTED_VALUE"""),"CRW")</f>
        <v>CRW</v>
      </c>
      <c r="C1547" s="120" t="str">
        <f>IFERROR(__xludf.DUMMYFUNCTION("""COMPUTED_VALUE"""),"Yeager")</f>
        <v>Yeager</v>
      </c>
      <c r="D1547" s="120" t="str">
        <f>IFERROR(__xludf.DUMMYFUNCTION("""COMPUTED_VALUE"""),"United States")</f>
        <v>United States</v>
      </c>
      <c r="E1547" s="135"/>
      <c r="F1547" s="31"/>
    </row>
    <row r="1548">
      <c r="A1548" s="134" t="str">
        <f>IFERROR(__xludf.DUMMYFUNCTION("""COMPUTED_VALUE"""),"Charleville")</f>
        <v>Charleville</v>
      </c>
      <c r="B1548" s="120" t="str">
        <f>IFERROR(__xludf.DUMMYFUNCTION("""COMPUTED_VALUE"""),"CTL")</f>
        <v>CTL</v>
      </c>
      <c r="C1548" s="120" t="str">
        <f>IFERROR(__xludf.DUMMYFUNCTION("""COMPUTED_VALUE"""),"Charleville")</f>
        <v>Charleville</v>
      </c>
      <c r="D1548" s="120" t="str">
        <f>IFERROR(__xludf.DUMMYFUNCTION("""COMPUTED_VALUE"""),"Australia")</f>
        <v>Australia</v>
      </c>
      <c r="E1548" s="135"/>
      <c r="F1548" s="31"/>
    </row>
    <row r="1549">
      <c r="A1549" s="134" t="str">
        <f>IFERROR(__xludf.DUMMYFUNCTION("""COMPUTED_VALUE"""),"Charlo")</f>
        <v>Charlo</v>
      </c>
      <c r="B1549" s="120" t="str">
        <f>IFERROR(__xludf.DUMMYFUNCTION("""COMPUTED_VALUE"""),"YCL")</f>
        <v>YCL</v>
      </c>
      <c r="C1549" s="120" t="str">
        <f>IFERROR(__xludf.DUMMYFUNCTION("""COMPUTED_VALUE"""),"Charlo")</f>
        <v>Charlo</v>
      </c>
      <c r="D1549" s="120" t="str">
        <f>IFERROR(__xludf.DUMMYFUNCTION("""COMPUTED_VALUE"""),"Canada")</f>
        <v>Canada</v>
      </c>
      <c r="E1549" s="135"/>
      <c r="F1549" s="31"/>
    </row>
    <row r="1550">
      <c r="A1550" s="134" t="str">
        <f>IFERROR(__xludf.DUMMYFUNCTION("""COMPUTED_VALUE"""),"Charlotte")</f>
        <v>Charlotte</v>
      </c>
      <c r="B1550" s="120" t="str">
        <f>IFERROR(__xludf.DUMMYFUNCTION("""COMPUTED_VALUE"""),"CLT")</f>
        <v>CLT</v>
      </c>
      <c r="C1550" s="120" t="str">
        <f>IFERROR(__xludf.DUMMYFUNCTION("""COMPUTED_VALUE"""),"Douglas")</f>
        <v>Douglas</v>
      </c>
      <c r="D1550" s="120" t="str">
        <f>IFERROR(__xludf.DUMMYFUNCTION("""COMPUTED_VALUE"""),"United States")</f>
        <v>United States</v>
      </c>
      <c r="E1550" s="135"/>
      <c r="F1550" s="31"/>
    </row>
    <row r="1551">
      <c r="A1551" s="134" t="str">
        <f>IFERROR(__xludf.DUMMYFUNCTION("""COMPUTED_VALUE"""),"Charlotte")</f>
        <v>Charlotte</v>
      </c>
      <c r="B1551" s="120" t="str">
        <f>IFERROR(__xludf.DUMMYFUNCTION("""COMPUTED_VALUE"""),"QWG")</f>
        <v>QWG</v>
      </c>
      <c r="C1551" s="120" t="str">
        <f>IFERROR(__xludf.DUMMYFUNCTION("""COMPUTED_VALUE"""),"Wilgrove Air Park")</f>
        <v>Wilgrove Air Park</v>
      </c>
      <c r="D1551" s="120" t="str">
        <f>IFERROR(__xludf.DUMMYFUNCTION("""COMPUTED_VALUE"""),"United States")</f>
        <v>United States</v>
      </c>
      <c r="E1551" s="135"/>
      <c r="F1551" s="31"/>
    </row>
    <row r="1552">
      <c r="A1552" s="134" t="str">
        <f>IFERROR(__xludf.DUMMYFUNCTION("""COMPUTED_VALUE"""),"Charlottesville")</f>
        <v>Charlottesville</v>
      </c>
      <c r="B1552" s="120" t="str">
        <f>IFERROR(__xludf.DUMMYFUNCTION("""COMPUTED_VALUE"""),"CHO")</f>
        <v>CHO</v>
      </c>
      <c r="C1552" s="120" t="str">
        <f>IFERROR(__xludf.DUMMYFUNCTION("""COMPUTED_VALUE"""),"Albemarle")</f>
        <v>Albemarle</v>
      </c>
      <c r="D1552" s="120" t="str">
        <f>IFERROR(__xludf.DUMMYFUNCTION("""COMPUTED_VALUE"""),"United States")</f>
        <v>United States</v>
      </c>
      <c r="E1552" s="135"/>
      <c r="F1552" s="31"/>
    </row>
    <row r="1553">
      <c r="A1553" s="134" t="str">
        <f>IFERROR(__xludf.DUMMYFUNCTION("""COMPUTED_VALUE"""),"Charlottetown")</f>
        <v>Charlottetown</v>
      </c>
      <c r="B1553" s="120" t="str">
        <f>IFERROR(__xludf.DUMMYFUNCTION("""COMPUTED_VALUE"""),"YHG")</f>
        <v>YHG</v>
      </c>
      <c r="C1553" s="120" t="str">
        <f>IFERROR(__xludf.DUMMYFUNCTION("""COMPUTED_VALUE"""),"Charlottetown")</f>
        <v>Charlottetown</v>
      </c>
      <c r="D1553" s="120" t="str">
        <f>IFERROR(__xludf.DUMMYFUNCTION("""COMPUTED_VALUE"""),"Canada")</f>
        <v>Canada</v>
      </c>
      <c r="E1553" s="135"/>
      <c r="F1553" s="31"/>
    </row>
    <row r="1554">
      <c r="A1554" s="134" t="str">
        <f>IFERROR(__xludf.DUMMYFUNCTION("""COMPUTED_VALUE"""),"Charlottetown")</f>
        <v>Charlottetown</v>
      </c>
      <c r="B1554" s="120" t="str">
        <f>IFERROR(__xludf.DUMMYFUNCTION("""COMPUTED_VALUE"""),"YYG")</f>
        <v>YYG</v>
      </c>
      <c r="C1554" s="120" t="str">
        <f>IFERROR(__xludf.DUMMYFUNCTION("""COMPUTED_VALUE"""),"Charlottetown")</f>
        <v>Charlottetown</v>
      </c>
      <c r="D1554" s="120" t="str">
        <f>IFERROR(__xludf.DUMMYFUNCTION("""COMPUTED_VALUE"""),"Canada")</f>
        <v>Canada</v>
      </c>
      <c r="E1554" s="135"/>
      <c r="F1554" s="31"/>
    </row>
    <row r="1555">
      <c r="A1555" s="134" t="str">
        <f>IFERROR(__xludf.DUMMYFUNCTION("""COMPUTED_VALUE"""),"Charters Towers")</f>
        <v>Charters Towers</v>
      </c>
      <c r="B1555" s="120" t="str">
        <f>IFERROR(__xludf.DUMMYFUNCTION("""COMPUTED_VALUE"""),"CXT")</f>
        <v>CXT</v>
      </c>
      <c r="C1555" s="120" t="str">
        <f>IFERROR(__xludf.DUMMYFUNCTION("""COMPUTED_VALUE"""),"Charters Towers")</f>
        <v>Charters Towers</v>
      </c>
      <c r="D1555" s="120" t="str">
        <f>IFERROR(__xludf.DUMMYFUNCTION("""COMPUTED_VALUE"""),"Australia")</f>
        <v>Australia</v>
      </c>
      <c r="E1555" s="135"/>
      <c r="F1555" s="31"/>
    </row>
    <row r="1556">
      <c r="A1556" s="134" t="str">
        <f>IFERROR(__xludf.DUMMYFUNCTION("""COMPUTED_VALUE"""),"Chateauroux")</f>
        <v>Chateauroux</v>
      </c>
      <c r="B1556" s="120" t="str">
        <f>IFERROR(__xludf.DUMMYFUNCTION("""COMPUTED_VALUE"""),"CHR")</f>
        <v>CHR</v>
      </c>
      <c r="C1556" s="120" t="str">
        <f>IFERROR(__xludf.DUMMYFUNCTION("""COMPUTED_VALUE"""),"Chateauroux")</f>
        <v>Chateauroux</v>
      </c>
      <c r="D1556" s="120" t="str">
        <f>IFERROR(__xludf.DUMMYFUNCTION("""COMPUTED_VALUE"""),"France")</f>
        <v>France</v>
      </c>
      <c r="E1556" s="135"/>
      <c r="F1556" s="31"/>
    </row>
    <row r="1557">
      <c r="A1557" s="134" t="str">
        <f>IFERROR(__xludf.DUMMYFUNCTION("""COMPUTED_VALUE"""),"Chatham")</f>
        <v>Chatham</v>
      </c>
      <c r="B1557" s="120" t="str">
        <f>IFERROR(__xludf.DUMMYFUNCTION("""COMPUTED_VALUE"""),"CYM")</f>
        <v>CYM</v>
      </c>
      <c r="C1557" s="120" t="str">
        <f>IFERROR(__xludf.DUMMYFUNCTION("""COMPUTED_VALUE"""),"Chatham SPB")</f>
        <v>Chatham SPB</v>
      </c>
      <c r="D1557" s="120" t="str">
        <f>IFERROR(__xludf.DUMMYFUNCTION("""COMPUTED_VALUE"""),"United States")</f>
        <v>United States</v>
      </c>
      <c r="E1557" s="135"/>
      <c r="F1557" s="31"/>
    </row>
    <row r="1558">
      <c r="A1558" s="134" t="str">
        <f>IFERROR(__xludf.DUMMYFUNCTION("""COMPUTED_VALUE"""),"Chatham")</f>
        <v>Chatham</v>
      </c>
      <c r="B1558" s="120" t="str">
        <f>IFERROR(__xludf.DUMMYFUNCTION("""COMPUTED_VALUE"""),"XCM")</f>
        <v>XCM</v>
      </c>
      <c r="C1558" s="120" t="str">
        <f>IFERROR(__xludf.DUMMYFUNCTION("""COMPUTED_VALUE"""),"Chatham")</f>
        <v>Chatham</v>
      </c>
      <c r="D1558" s="120" t="str">
        <f>IFERROR(__xludf.DUMMYFUNCTION("""COMPUTED_VALUE"""),"Canada")</f>
        <v>Canada</v>
      </c>
      <c r="E1558" s="135"/>
      <c r="F1558" s="31"/>
    </row>
    <row r="1559">
      <c r="A1559" s="134" t="str">
        <f>IFERROR(__xludf.DUMMYFUNCTION("""COMPUTED_VALUE"""),"Chatham Island")</f>
        <v>Chatham Island</v>
      </c>
      <c r="B1559" s="120" t="str">
        <f>IFERROR(__xludf.DUMMYFUNCTION("""COMPUTED_VALUE"""),"CHT")</f>
        <v>CHT</v>
      </c>
      <c r="C1559" s="120" t="str">
        <f>IFERROR(__xludf.DUMMYFUNCTION("""COMPUTED_VALUE"""),"Karewa")</f>
        <v>Karewa</v>
      </c>
      <c r="D1559" s="120" t="str">
        <f>IFERROR(__xludf.DUMMYFUNCTION("""COMPUTED_VALUE"""),"New Zealand (Aotearoa)")</f>
        <v>New Zealand (Aotearoa)</v>
      </c>
      <c r="E1559" s="135"/>
      <c r="F1559" s="31"/>
    </row>
    <row r="1560">
      <c r="A1560" s="134" t="str">
        <f>IFERROR(__xludf.DUMMYFUNCTION("""COMPUTED_VALUE"""),"Chattanooga")</f>
        <v>Chattanooga</v>
      </c>
      <c r="B1560" s="120" t="str">
        <f>IFERROR(__xludf.DUMMYFUNCTION("""COMPUTED_VALUE"""),"CHA")</f>
        <v>CHA</v>
      </c>
      <c r="C1560" s="120" t="str">
        <f>IFERROR(__xludf.DUMMYFUNCTION("""COMPUTED_VALUE"""),"Lovell Field")</f>
        <v>Lovell Field</v>
      </c>
      <c r="D1560" s="120" t="str">
        <f>IFERROR(__xludf.DUMMYFUNCTION("""COMPUTED_VALUE"""),"United States")</f>
        <v>United States</v>
      </c>
      <c r="E1560" s="135"/>
      <c r="F1560" s="31"/>
    </row>
    <row r="1561">
      <c r="A1561" s="134" t="str">
        <f>IFERROR(__xludf.DUMMYFUNCTION("""COMPUTED_VALUE"""),"Chaurjhari")</f>
        <v>Chaurjhari</v>
      </c>
      <c r="B1561" s="120" t="str">
        <f>IFERROR(__xludf.DUMMYFUNCTION("""COMPUTED_VALUE"""),"HRJ")</f>
        <v>HRJ</v>
      </c>
      <c r="C1561" s="120" t="str">
        <f>IFERROR(__xludf.DUMMYFUNCTION("""COMPUTED_VALUE"""),"Chaurjhari")</f>
        <v>Chaurjhari</v>
      </c>
      <c r="D1561" s="120" t="str">
        <f>IFERROR(__xludf.DUMMYFUNCTION("""COMPUTED_VALUE"""),"Nepal")</f>
        <v>Nepal</v>
      </c>
      <c r="E1561" s="135"/>
      <c r="F1561" s="31"/>
    </row>
    <row r="1562">
      <c r="A1562" s="134" t="str">
        <f>IFERROR(__xludf.DUMMYFUNCTION("""COMPUTED_VALUE"""),"Chaves")</f>
        <v>Chaves</v>
      </c>
      <c r="B1562" s="120" t="str">
        <f>IFERROR(__xludf.DUMMYFUNCTION("""COMPUTED_VALUE"""),"CHV")</f>
        <v>CHV</v>
      </c>
      <c r="C1562" s="120" t="str">
        <f>IFERROR(__xludf.DUMMYFUNCTION("""COMPUTED_VALUE"""),"Chaves")</f>
        <v>Chaves</v>
      </c>
      <c r="D1562" s="120" t="str">
        <f>IFERROR(__xludf.DUMMYFUNCTION("""COMPUTED_VALUE"""),"Portugal")</f>
        <v>Portugal</v>
      </c>
      <c r="E1562" s="135"/>
      <c r="F1562" s="31"/>
    </row>
    <row r="1563">
      <c r="A1563" s="134" t="str">
        <f>IFERROR(__xludf.DUMMYFUNCTION("""COMPUTED_VALUE"""),"Cheboksary")</f>
        <v>Cheboksary</v>
      </c>
      <c r="B1563" s="120" t="str">
        <f>IFERROR(__xludf.DUMMYFUNCTION("""COMPUTED_VALUE"""),"CSY")</f>
        <v>CSY</v>
      </c>
      <c r="C1563" s="120" t="str">
        <f>IFERROR(__xludf.DUMMYFUNCTION("""COMPUTED_VALUE"""),"Cheboksary")</f>
        <v>Cheboksary</v>
      </c>
      <c r="D1563" s="120" t="str">
        <f>IFERROR(__xludf.DUMMYFUNCTION("""COMPUTED_VALUE"""),"Russia")</f>
        <v>Russia</v>
      </c>
      <c r="E1563" s="135"/>
      <c r="F1563" s="31"/>
    </row>
    <row r="1564">
      <c r="A1564" s="134" t="str">
        <f>IFERROR(__xludf.DUMMYFUNCTION("""COMPUTED_VALUE"""),"Chefornak")</f>
        <v>Chefornak</v>
      </c>
      <c r="B1564" s="120" t="str">
        <f>IFERROR(__xludf.DUMMYFUNCTION("""COMPUTED_VALUE"""),"CYF")</f>
        <v>CYF</v>
      </c>
      <c r="C1564" s="120" t="str">
        <f>IFERROR(__xludf.DUMMYFUNCTION("""COMPUTED_VALUE"""),"Chefornak SPB")</f>
        <v>Chefornak SPB</v>
      </c>
      <c r="D1564" s="120" t="str">
        <f>IFERROR(__xludf.DUMMYFUNCTION("""COMPUTED_VALUE"""),"United States")</f>
        <v>United States</v>
      </c>
      <c r="E1564" s="135"/>
      <c r="F1564" s="31"/>
    </row>
    <row r="1565">
      <c r="A1565" s="134" t="str">
        <f>IFERROR(__xludf.DUMMYFUNCTION("""COMPUTED_VALUE"""),"Chehalis")</f>
        <v>Chehalis</v>
      </c>
      <c r="B1565" s="120" t="str">
        <f>IFERROR(__xludf.DUMMYFUNCTION("""COMPUTED_VALUE"""),"CLS")</f>
        <v>CLS</v>
      </c>
      <c r="C1565" s="120" t="str">
        <f>IFERROR(__xludf.DUMMYFUNCTION("""COMPUTED_VALUE"""),"Centralia")</f>
        <v>Centralia</v>
      </c>
      <c r="D1565" s="120" t="str">
        <f>IFERROR(__xludf.DUMMYFUNCTION("""COMPUTED_VALUE"""),"United States")</f>
        <v>United States</v>
      </c>
      <c r="E1565" s="135"/>
      <c r="F1565" s="31"/>
    </row>
    <row r="1566">
      <c r="A1566" s="134" t="str">
        <f>IFERROR(__xludf.DUMMYFUNCTION("""COMPUTED_VALUE"""),"Chek Lap Kok")</f>
        <v>Chek Lap Kok</v>
      </c>
      <c r="B1566" s="120" t="str">
        <f>IFERROR(__xludf.DUMMYFUNCTION("""COMPUTED_VALUE"""),"ZJK")</f>
        <v>ZJK</v>
      </c>
      <c r="C1566" s="120" t="str">
        <f>IFERROR(__xludf.DUMMYFUNCTION("""COMPUTED_VALUE"""),"Off Line Point")</f>
        <v>Off Line Point</v>
      </c>
      <c r="D1566" s="120" t="str">
        <f>IFERROR(__xludf.DUMMYFUNCTION("""COMPUTED_VALUE"""),"Hong Kong")</f>
        <v>Hong Kong</v>
      </c>
      <c r="E1566" s="135"/>
      <c r="F1566" s="31"/>
    </row>
    <row r="1567">
      <c r="A1567" s="134" t="str">
        <f>IFERROR(__xludf.DUMMYFUNCTION("""COMPUTED_VALUE"""),"Chelinda")</f>
        <v>Chelinda</v>
      </c>
      <c r="B1567" s="120" t="str">
        <f>IFERROR(__xludf.DUMMYFUNCTION("""COMPUTED_VALUE"""),"CEH")</f>
        <v>CEH</v>
      </c>
      <c r="C1567" s="120" t="str">
        <f>IFERROR(__xludf.DUMMYFUNCTION("""COMPUTED_VALUE"""),"Chelinda")</f>
        <v>Chelinda</v>
      </c>
      <c r="D1567" s="120" t="str">
        <f>IFERROR(__xludf.DUMMYFUNCTION("""COMPUTED_VALUE"""),"Malawi")</f>
        <v>Malawi</v>
      </c>
      <c r="E1567" s="135"/>
      <c r="F1567" s="31"/>
    </row>
    <row r="1568">
      <c r="A1568" s="134" t="str">
        <f>IFERROR(__xludf.DUMMYFUNCTION("""COMPUTED_VALUE"""),"Chelyabinsk")</f>
        <v>Chelyabinsk</v>
      </c>
      <c r="B1568" s="120" t="str">
        <f>IFERROR(__xludf.DUMMYFUNCTION("""COMPUTED_VALUE"""),"CEK")</f>
        <v>CEK</v>
      </c>
      <c r="C1568" s="120" t="str">
        <f>IFERROR(__xludf.DUMMYFUNCTION("""COMPUTED_VALUE"""),"Chelyabinsk")</f>
        <v>Chelyabinsk</v>
      </c>
      <c r="D1568" s="120" t="str">
        <f>IFERROR(__xludf.DUMMYFUNCTION("""COMPUTED_VALUE"""),"Russia")</f>
        <v>Russia</v>
      </c>
      <c r="E1568" s="135"/>
      <c r="F1568" s="31"/>
    </row>
    <row r="1569">
      <c r="A1569" s="134" t="str">
        <f>IFERROR(__xludf.DUMMYFUNCTION("""COMPUTED_VALUE"""),"Chemnitz")</f>
        <v>Chemnitz</v>
      </c>
      <c r="B1569" s="120" t="str">
        <f>IFERROR(__xludf.DUMMYFUNCTION("""COMPUTED_VALUE"""),"ZTZ")</f>
        <v>ZTZ</v>
      </c>
      <c r="C1569" s="137" t="str">
        <f>IFERROR(__xludf.DUMMYFUNCTION("""COMPUTED_VALUE"""),"Chemnitz Railway Stn.")</f>
        <v>Chemnitz Railway Stn.</v>
      </c>
      <c r="D1569" s="120" t="str">
        <f>IFERROR(__xludf.DUMMYFUNCTION("""COMPUTED_VALUE"""),"Germany")</f>
        <v>Germany</v>
      </c>
      <c r="E1569" s="135"/>
      <c r="F1569" s="31"/>
    </row>
    <row r="1570">
      <c r="A1570" s="134" t="str">
        <f>IFERROR(__xludf.DUMMYFUNCTION("""COMPUTED_VALUE"""),"Chena Hot Springs")</f>
        <v>Chena Hot Springs</v>
      </c>
      <c r="B1570" s="120" t="str">
        <f>IFERROR(__xludf.DUMMYFUNCTION("""COMPUTED_VALUE"""),"CEX")</f>
        <v>CEX</v>
      </c>
      <c r="C1570" s="120" t="str">
        <f>IFERROR(__xludf.DUMMYFUNCTION("""COMPUTED_VALUE"""),"Chena Hot Springs")</f>
        <v>Chena Hot Springs</v>
      </c>
      <c r="D1570" s="120" t="str">
        <f>IFERROR(__xludf.DUMMYFUNCTION("""COMPUTED_VALUE"""),"United States")</f>
        <v>United States</v>
      </c>
      <c r="E1570" s="135"/>
      <c r="F1570" s="31"/>
    </row>
    <row r="1571">
      <c r="A1571" s="134" t="str">
        <f>IFERROR(__xludf.DUMMYFUNCTION("""COMPUTED_VALUE"""),"Chengdu")</f>
        <v>Chengdu</v>
      </c>
      <c r="B1571" s="120" t="str">
        <f>IFERROR(__xludf.DUMMYFUNCTION("""COMPUTED_VALUE"""),"CTU")</f>
        <v>CTU</v>
      </c>
      <c r="C1571" s="120" t="str">
        <f>IFERROR(__xludf.DUMMYFUNCTION("""COMPUTED_VALUE"""),"Chengdu")</f>
        <v>Chengdu</v>
      </c>
      <c r="D1571" s="120" t="str">
        <f>IFERROR(__xludf.DUMMYFUNCTION("""COMPUTED_VALUE"""),"China")</f>
        <v>China</v>
      </c>
      <c r="E1571" s="135"/>
      <c r="F1571" s="31"/>
    </row>
    <row r="1572">
      <c r="A1572" s="134" t="str">
        <f>IFERROR(__xludf.DUMMYFUNCTION("""COMPUTED_VALUE"""),"Chennai/Madras")</f>
        <v>Chennai/Madras</v>
      </c>
      <c r="B1572" s="120" t="str">
        <f>IFERROR(__xludf.DUMMYFUNCTION("""COMPUTED_VALUE"""),"MAA")</f>
        <v>MAA</v>
      </c>
      <c r="C1572" s="120" t="str">
        <f>IFERROR(__xludf.DUMMYFUNCTION("""COMPUTED_VALUE"""),"Meenambakkam")</f>
        <v>Meenambakkam</v>
      </c>
      <c r="D1572" s="120" t="str">
        <f>IFERROR(__xludf.DUMMYFUNCTION("""COMPUTED_VALUE"""),"India")</f>
        <v>India</v>
      </c>
      <c r="E1572" s="135"/>
      <c r="F1572" s="31"/>
    </row>
    <row r="1573">
      <c r="A1573" s="134" t="str">
        <f>IFERROR(__xludf.DUMMYFUNCTION("""COMPUTED_VALUE"""),"Cheongju")</f>
        <v>Cheongju</v>
      </c>
      <c r="B1573" s="120" t="str">
        <f>IFERROR(__xludf.DUMMYFUNCTION("""COMPUTED_VALUE"""),"CJJ")</f>
        <v>CJJ</v>
      </c>
      <c r="C1573" s="120" t="str">
        <f>IFERROR(__xludf.DUMMYFUNCTION("""COMPUTED_VALUE"""),"Cheongju")</f>
        <v>Cheongju</v>
      </c>
      <c r="D1573" s="120" t="str">
        <f>IFERROR(__xludf.DUMMYFUNCTION("""COMPUTED_VALUE"""),"Korea (South)")</f>
        <v>Korea (South)</v>
      </c>
      <c r="E1573" s="135"/>
      <c r="F1573" s="31"/>
    </row>
    <row r="1574">
      <c r="A1574" s="134" t="str">
        <f>IFERROR(__xludf.DUMMYFUNCTION("""COMPUTED_VALUE"""),"Cheraw")</f>
        <v>Cheraw</v>
      </c>
      <c r="B1574" s="120" t="str">
        <f>IFERROR(__xludf.DUMMYFUNCTION("""COMPUTED_VALUE"""),"HCW")</f>
        <v>HCW</v>
      </c>
      <c r="C1574" s="120" t="str">
        <f>IFERROR(__xludf.DUMMYFUNCTION("""COMPUTED_VALUE"""),"Cheraw")</f>
        <v>Cheraw</v>
      </c>
      <c r="D1574" s="120" t="str">
        <f>IFERROR(__xludf.DUMMYFUNCTION("""COMPUTED_VALUE"""),"United States")</f>
        <v>United States</v>
      </c>
      <c r="E1574" s="135"/>
      <c r="F1574" s="31"/>
    </row>
    <row r="1575">
      <c r="A1575" s="134" t="str">
        <f>IFERROR(__xludf.DUMMYFUNCTION("""COMPUTED_VALUE"""),"Cherbourg")</f>
        <v>Cherbourg</v>
      </c>
      <c r="B1575" s="120" t="str">
        <f>IFERROR(__xludf.DUMMYFUNCTION("""COMPUTED_VALUE"""),"CER")</f>
        <v>CER</v>
      </c>
      <c r="C1575" s="120" t="str">
        <f>IFERROR(__xludf.DUMMYFUNCTION("""COMPUTED_VALUE"""),"Maupertus")</f>
        <v>Maupertus</v>
      </c>
      <c r="D1575" s="120" t="str">
        <f>IFERROR(__xludf.DUMMYFUNCTION("""COMPUTED_VALUE"""),"France")</f>
        <v>France</v>
      </c>
      <c r="E1575" s="135"/>
      <c r="F1575" s="31"/>
    </row>
    <row r="1576">
      <c r="A1576" s="134" t="str">
        <f>IFERROR(__xludf.DUMMYFUNCTION("""COMPUTED_VALUE"""),"Cherepovets")</f>
        <v>Cherepovets</v>
      </c>
      <c r="B1576" s="120" t="str">
        <f>IFERROR(__xludf.DUMMYFUNCTION("""COMPUTED_VALUE"""),"CEE")</f>
        <v>CEE</v>
      </c>
      <c r="C1576" s="120" t="str">
        <f>IFERROR(__xludf.DUMMYFUNCTION("""COMPUTED_VALUE"""),"Cherepovets")</f>
        <v>Cherepovets</v>
      </c>
      <c r="D1576" s="120" t="str">
        <f>IFERROR(__xludf.DUMMYFUNCTION("""COMPUTED_VALUE"""),"Russia")</f>
        <v>Russia</v>
      </c>
      <c r="E1576" s="135"/>
      <c r="F1576" s="31"/>
    </row>
    <row r="1577">
      <c r="A1577" s="134" t="str">
        <f>IFERROR(__xludf.DUMMYFUNCTION("""COMPUTED_VALUE"""),"Cherkassy")</f>
        <v>Cherkassy</v>
      </c>
      <c r="B1577" s="120" t="str">
        <f>IFERROR(__xludf.DUMMYFUNCTION("""COMPUTED_VALUE"""),"CKC")</f>
        <v>CKC</v>
      </c>
      <c r="C1577" s="120" t="str">
        <f>IFERROR(__xludf.DUMMYFUNCTION("""COMPUTED_VALUE"""),"Cherkassy")</f>
        <v>Cherkassy</v>
      </c>
      <c r="D1577" s="120" t="str">
        <f>IFERROR(__xludf.DUMMYFUNCTION("""COMPUTED_VALUE"""),"Ukraine")</f>
        <v>Ukraine</v>
      </c>
      <c r="E1577" s="135"/>
      <c r="F1577" s="31"/>
    </row>
    <row r="1578">
      <c r="A1578" s="134" t="str">
        <f>IFERROR(__xludf.DUMMYFUNCTION("""COMPUTED_VALUE"""),"Chernigov")</f>
        <v>Chernigov</v>
      </c>
      <c r="B1578" s="120" t="str">
        <f>IFERROR(__xludf.DUMMYFUNCTION("""COMPUTED_VALUE"""),"CEJ")</f>
        <v>CEJ</v>
      </c>
      <c r="C1578" s="120" t="str">
        <f>IFERROR(__xludf.DUMMYFUNCTION("""COMPUTED_VALUE"""),"Chernigov")</f>
        <v>Chernigov</v>
      </c>
      <c r="D1578" s="120" t="str">
        <f>IFERROR(__xludf.DUMMYFUNCTION("""COMPUTED_VALUE"""),"Ukraine")</f>
        <v>Ukraine</v>
      </c>
      <c r="E1578" s="135"/>
      <c r="F1578" s="31"/>
    </row>
    <row r="1579">
      <c r="A1579" s="134" t="str">
        <f>IFERROR(__xludf.DUMMYFUNCTION("""COMPUTED_VALUE"""),"Chernofski")</f>
        <v>Chernofski</v>
      </c>
      <c r="B1579" s="120" t="str">
        <f>IFERROR(__xludf.DUMMYFUNCTION("""COMPUTED_VALUE"""),"KCN")</f>
        <v>KCN</v>
      </c>
      <c r="C1579" s="120" t="str">
        <f>IFERROR(__xludf.DUMMYFUNCTION("""COMPUTED_VALUE"""),"SPB")</f>
        <v>SPB</v>
      </c>
      <c r="D1579" s="120" t="str">
        <f>IFERROR(__xludf.DUMMYFUNCTION("""COMPUTED_VALUE"""),"United States")</f>
        <v>United States</v>
      </c>
      <c r="E1579" s="135"/>
      <c r="F1579" s="31"/>
    </row>
    <row r="1580">
      <c r="A1580" s="134" t="str">
        <f>IFERROR(__xludf.DUMMYFUNCTION("""COMPUTED_VALUE"""),"Chernovtsy")</f>
        <v>Chernovtsy</v>
      </c>
      <c r="B1580" s="120" t="str">
        <f>IFERROR(__xludf.DUMMYFUNCTION("""COMPUTED_VALUE"""),"CWC")</f>
        <v>CWC</v>
      </c>
      <c r="C1580" s="120" t="str">
        <f>IFERROR(__xludf.DUMMYFUNCTION("""COMPUTED_VALUE"""),"Chernovtsy")</f>
        <v>Chernovtsy</v>
      </c>
      <c r="D1580" s="120" t="str">
        <f>IFERROR(__xludf.DUMMYFUNCTION("""COMPUTED_VALUE"""),"Ukraine")</f>
        <v>Ukraine</v>
      </c>
      <c r="E1580" s="135"/>
      <c r="F1580" s="31"/>
    </row>
    <row r="1581">
      <c r="A1581" s="134" t="str">
        <f>IFERROR(__xludf.DUMMYFUNCTION("""COMPUTED_VALUE"""),"Cherokee")</f>
        <v>Cherokee</v>
      </c>
      <c r="B1581" s="120" t="str">
        <f>IFERROR(__xludf.DUMMYFUNCTION("""COMPUTED_VALUE"""),"CKK")</f>
        <v>CKK</v>
      </c>
      <c r="C1581" s="120" t="str">
        <f>IFERROR(__xludf.DUMMYFUNCTION("""COMPUTED_VALUE"""),"Cherokee")</f>
        <v>Cherokee</v>
      </c>
      <c r="D1581" s="120" t="str">
        <f>IFERROR(__xludf.DUMMYFUNCTION("""COMPUTED_VALUE"""),"United States")</f>
        <v>United States</v>
      </c>
      <c r="E1581" s="135"/>
      <c r="F1581" s="31"/>
    </row>
    <row r="1582">
      <c r="A1582" s="134" t="str">
        <f>IFERROR(__xludf.DUMMYFUNCTION("""COMPUTED_VALUE"""),"Cherokee")</f>
        <v>Cherokee</v>
      </c>
      <c r="B1582" s="120" t="str">
        <f>IFERROR(__xludf.DUMMYFUNCTION("""COMPUTED_VALUE"""),"CKA")</f>
        <v>CKA</v>
      </c>
      <c r="C1582" s="120" t="str">
        <f>IFERROR(__xludf.DUMMYFUNCTION("""COMPUTED_VALUE"""),"Kegelman Af")</f>
        <v>Kegelman Af</v>
      </c>
      <c r="D1582" s="120" t="str">
        <f>IFERROR(__xludf.DUMMYFUNCTION("""COMPUTED_VALUE"""),"United States")</f>
        <v>United States</v>
      </c>
      <c r="E1582" s="135"/>
      <c r="F1582" s="31"/>
    </row>
    <row r="1583">
      <c r="A1583" s="134" t="str">
        <f>IFERROR(__xludf.DUMMYFUNCTION("""COMPUTED_VALUE"""),"Cherrabun")</f>
        <v>Cherrabun</v>
      </c>
      <c r="B1583" s="120" t="str">
        <f>IFERROR(__xludf.DUMMYFUNCTION("""COMPUTED_VALUE"""),"CBC")</f>
        <v>CBC</v>
      </c>
      <c r="C1583" s="120" t="str">
        <f>IFERROR(__xludf.DUMMYFUNCTION("""COMPUTED_VALUE"""),"Cherrabun")</f>
        <v>Cherrabun</v>
      </c>
      <c r="D1583" s="120" t="str">
        <f>IFERROR(__xludf.DUMMYFUNCTION("""COMPUTED_VALUE"""),"Australia")</f>
        <v>Australia</v>
      </c>
      <c r="E1583" s="135"/>
      <c r="F1583" s="31"/>
    </row>
    <row r="1584">
      <c r="A1584" s="134" t="str">
        <f>IFERROR(__xludf.DUMMYFUNCTION("""COMPUTED_VALUE"""),"Cherribah")</f>
        <v>Cherribah</v>
      </c>
      <c r="B1584" s="120" t="str">
        <f>IFERROR(__xludf.DUMMYFUNCTION("""COMPUTED_VALUE"""),"CRH")</f>
        <v>CRH</v>
      </c>
      <c r="C1584" s="120" t="str">
        <f>IFERROR(__xludf.DUMMYFUNCTION("""COMPUTED_VALUE"""),"Cherribah")</f>
        <v>Cherribah</v>
      </c>
      <c r="D1584" s="120" t="str">
        <f>IFERROR(__xludf.DUMMYFUNCTION("""COMPUTED_VALUE"""),"Australia")</f>
        <v>Australia</v>
      </c>
      <c r="E1584" s="135"/>
      <c r="F1584" s="31"/>
    </row>
    <row r="1585">
      <c r="A1585" s="134" t="str">
        <f>IFERROR(__xludf.DUMMYFUNCTION("""COMPUTED_VALUE"""),"Cherskiy")</f>
        <v>Cherskiy</v>
      </c>
      <c r="B1585" s="120" t="str">
        <f>IFERROR(__xludf.DUMMYFUNCTION("""COMPUTED_VALUE"""),"CYX")</f>
        <v>CYX</v>
      </c>
      <c r="C1585" s="120" t="str">
        <f>IFERROR(__xludf.DUMMYFUNCTION("""COMPUTED_VALUE"""),"Cherskiy")</f>
        <v>Cherskiy</v>
      </c>
      <c r="D1585" s="120" t="str">
        <f>IFERROR(__xludf.DUMMYFUNCTION("""COMPUTED_VALUE"""),"Russia")</f>
        <v>Russia</v>
      </c>
      <c r="E1585" s="135"/>
      <c r="F1585" s="31"/>
    </row>
    <row r="1586">
      <c r="A1586" s="134" t="str">
        <f>IFERROR(__xludf.DUMMYFUNCTION("""COMPUTED_VALUE"""),"Chesapeake")</f>
        <v>Chesapeake</v>
      </c>
      <c r="B1586" s="120" t="str">
        <f>IFERROR(__xludf.DUMMYFUNCTION("""COMPUTED_VALUE"""),"HTW")</f>
        <v>HTW</v>
      </c>
      <c r="C1586" s="120" t="str">
        <f>IFERROR(__xludf.DUMMYFUNCTION("""COMPUTED_VALUE"""),"Huntington County")</f>
        <v>Huntington County</v>
      </c>
      <c r="D1586" s="120" t="str">
        <f>IFERROR(__xludf.DUMMYFUNCTION("""COMPUTED_VALUE"""),"United States")</f>
        <v>United States</v>
      </c>
      <c r="E1586" s="135"/>
      <c r="F1586" s="31"/>
    </row>
    <row r="1587">
      <c r="A1587" s="134" t="str">
        <f>IFERROR(__xludf.DUMMYFUNCTION("""COMPUTED_VALUE"""),"Chester")</f>
        <v>Chester</v>
      </c>
      <c r="B1587" s="120" t="str">
        <f>IFERROR(__xludf.DUMMYFUNCTION("""COMPUTED_VALUE"""),"CEG")</f>
        <v>CEG</v>
      </c>
      <c r="C1587" s="120" t="str">
        <f>IFERROR(__xludf.DUMMYFUNCTION("""COMPUTED_VALUE"""),"Chester")</f>
        <v>Chester</v>
      </c>
      <c r="D1587" s="120" t="str">
        <f>IFERROR(__xludf.DUMMYFUNCTION("""COMPUTED_VALUE"""),"United Kingdom")</f>
        <v>United Kingdom</v>
      </c>
      <c r="E1587" s="135"/>
      <c r="F1587" s="31"/>
    </row>
    <row r="1588">
      <c r="A1588" s="134" t="str">
        <f>IFERROR(__xludf.DUMMYFUNCTION("""COMPUTED_VALUE"""),"Chesterfield Inlet")</f>
        <v>Chesterfield Inlet</v>
      </c>
      <c r="B1588" s="120" t="str">
        <f>IFERROR(__xludf.DUMMYFUNCTION("""COMPUTED_VALUE"""),"YCS")</f>
        <v>YCS</v>
      </c>
      <c r="C1588" s="120" t="str">
        <f>IFERROR(__xludf.DUMMYFUNCTION("""COMPUTED_VALUE"""),"Chesterfield Inlet")</f>
        <v>Chesterfield Inlet</v>
      </c>
      <c r="D1588" s="120" t="str">
        <f>IFERROR(__xludf.DUMMYFUNCTION("""COMPUTED_VALUE"""),"Canada")</f>
        <v>Canada</v>
      </c>
      <c r="E1588" s="135"/>
      <c r="F1588" s="31"/>
    </row>
    <row r="1589">
      <c r="A1589" s="134" t="str">
        <f>IFERROR(__xludf.DUMMYFUNCTION("""COMPUTED_VALUE"""),"Chetumal")</f>
        <v>Chetumal</v>
      </c>
      <c r="B1589" s="120" t="str">
        <f>IFERROR(__xludf.DUMMYFUNCTION("""COMPUTED_VALUE"""),"CTM")</f>
        <v>CTM</v>
      </c>
      <c r="C1589" s="120" t="str">
        <f>IFERROR(__xludf.DUMMYFUNCTION("""COMPUTED_VALUE"""),"Chetumal")</f>
        <v>Chetumal</v>
      </c>
      <c r="D1589" s="120" t="str">
        <f>IFERROR(__xludf.DUMMYFUNCTION("""COMPUTED_VALUE"""),"Mexico")</f>
        <v>Mexico</v>
      </c>
      <c r="E1589" s="135"/>
      <c r="F1589" s="31"/>
    </row>
    <row r="1590">
      <c r="A1590" s="134" t="str">
        <f>IFERROR(__xludf.DUMMYFUNCTION("""COMPUTED_VALUE"""),"Chetwynd")</f>
        <v>Chetwynd</v>
      </c>
      <c r="B1590" s="120" t="str">
        <f>IFERROR(__xludf.DUMMYFUNCTION("""COMPUTED_VALUE"""),"YCQ")</f>
        <v>YCQ</v>
      </c>
      <c r="C1590" s="120" t="str">
        <f>IFERROR(__xludf.DUMMYFUNCTION("""COMPUTED_VALUE"""),"Chetwynd")</f>
        <v>Chetwynd</v>
      </c>
      <c r="D1590" s="120" t="str">
        <f>IFERROR(__xludf.DUMMYFUNCTION("""COMPUTED_VALUE"""),"Canada")</f>
        <v>Canada</v>
      </c>
      <c r="E1590" s="135"/>
      <c r="F1590" s="31"/>
    </row>
    <row r="1591">
      <c r="A1591" s="134" t="str">
        <f>IFERROR(__xludf.DUMMYFUNCTION("""COMPUTED_VALUE"""),"Chevak")</f>
        <v>Chevak</v>
      </c>
      <c r="B1591" s="120" t="str">
        <f>IFERROR(__xludf.DUMMYFUNCTION("""COMPUTED_VALUE"""),"VAK")</f>
        <v>VAK</v>
      </c>
      <c r="C1591" s="120" t="str">
        <f>IFERROR(__xludf.DUMMYFUNCTION("""COMPUTED_VALUE"""),"Chevak")</f>
        <v>Chevak</v>
      </c>
      <c r="D1591" s="120" t="str">
        <f>IFERROR(__xludf.DUMMYFUNCTION("""COMPUTED_VALUE"""),"United States")</f>
        <v>United States</v>
      </c>
      <c r="E1591" s="135"/>
      <c r="F1591" s="31"/>
    </row>
    <row r="1592">
      <c r="A1592" s="134" t="str">
        <f>IFERROR(__xludf.DUMMYFUNCTION("""COMPUTED_VALUE"""),"Chevery")</f>
        <v>Chevery</v>
      </c>
      <c r="B1592" s="120" t="str">
        <f>IFERROR(__xludf.DUMMYFUNCTION("""COMPUTED_VALUE"""),"YHR")</f>
        <v>YHR</v>
      </c>
      <c r="C1592" s="120" t="str">
        <f>IFERROR(__xludf.DUMMYFUNCTION("""COMPUTED_VALUE"""),"Chevery")</f>
        <v>Chevery</v>
      </c>
      <c r="D1592" s="120" t="str">
        <f>IFERROR(__xludf.DUMMYFUNCTION("""COMPUTED_VALUE"""),"Canada")</f>
        <v>Canada</v>
      </c>
      <c r="E1592" s="135"/>
      <c r="F1592" s="31"/>
    </row>
    <row r="1593">
      <c r="A1593" s="134" t="str">
        <f>IFERROR(__xludf.DUMMYFUNCTION("""COMPUTED_VALUE"""),"Cheyenne")</f>
        <v>Cheyenne</v>
      </c>
      <c r="B1593" s="120" t="str">
        <f>IFERROR(__xludf.DUMMYFUNCTION("""COMPUTED_VALUE"""),"CYS")</f>
        <v>CYS</v>
      </c>
      <c r="C1593" s="137" t="str">
        <f>IFERROR(__xludf.DUMMYFUNCTION("""COMPUTED_VALUE"""),"Cheyenne")</f>
        <v>Cheyenne</v>
      </c>
      <c r="D1593" s="120" t="str">
        <f>IFERROR(__xludf.DUMMYFUNCTION("""COMPUTED_VALUE"""),"United States")</f>
        <v>United States</v>
      </c>
      <c r="E1593" s="135"/>
      <c r="F1593" s="31"/>
    </row>
    <row r="1594">
      <c r="A1594" s="134" t="str">
        <f>IFERROR(__xludf.DUMMYFUNCTION("""COMPUTED_VALUE"""),"Cheyenne")</f>
        <v>Cheyenne</v>
      </c>
      <c r="B1594" s="120" t="str">
        <f>IFERROR(__xludf.DUMMYFUNCTION("""COMPUTED_VALUE"""),"FEW")</f>
        <v>FEW</v>
      </c>
      <c r="C1594" s="120" t="str">
        <f>IFERROR(__xludf.DUMMYFUNCTION("""COMPUTED_VALUE"""),"Warren AFB")</f>
        <v>Warren AFB</v>
      </c>
      <c r="D1594" s="120" t="str">
        <f>IFERROR(__xludf.DUMMYFUNCTION("""COMPUTED_VALUE"""),"United States")</f>
        <v>United States</v>
      </c>
      <c r="E1594" s="135"/>
      <c r="F1594" s="31"/>
    </row>
    <row r="1595">
      <c r="A1595" s="134" t="str">
        <f>IFERROR(__xludf.DUMMYFUNCTION("""COMPUTED_VALUE"""),"Chi Mei")</f>
        <v>Chi Mei</v>
      </c>
      <c r="B1595" s="120" t="str">
        <f>IFERROR(__xludf.DUMMYFUNCTION("""COMPUTED_VALUE"""),"CMJ")</f>
        <v>CMJ</v>
      </c>
      <c r="C1595" s="120" t="str">
        <f>IFERROR(__xludf.DUMMYFUNCTION("""COMPUTED_VALUE"""),"Chi Mei")</f>
        <v>Chi Mei</v>
      </c>
      <c r="D1595" s="120" t="str">
        <f>IFERROR(__xludf.DUMMYFUNCTION("""COMPUTED_VALUE"""),"Taiwan")</f>
        <v>Taiwan</v>
      </c>
      <c r="E1595" s="135"/>
      <c r="F1595" s="31"/>
    </row>
    <row r="1596">
      <c r="A1596" s="134" t="str">
        <f>IFERROR(__xludf.DUMMYFUNCTION("""COMPUTED_VALUE"""),"Chiang Mai")</f>
        <v>Chiang Mai</v>
      </c>
      <c r="B1596" s="120" t="str">
        <f>IFERROR(__xludf.DUMMYFUNCTION("""COMPUTED_VALUE"""),"CNX")</f>
        <v>CNX</v>
      </c>
      <c r="C1596" s="120" t="str">
        <f>IFERROR(__xludf.DUMMYFUNCTION("""COMPUTED_VALUE"""),"International")</f>
        <v>International</v>
      </c>
      <c r="D1596" s="120" t="str">
        <f>IFERROR(__xludf.DUMMYFUNCTION("""COMPUTED_VALUE"""),"Thailand")</f>
        <v>Thailand</v>
      </c>
      <c r="E1596" s="135"/>
      <c r="F1596" s="31"/>
    </row>
    <row r="1597">
      <c r="A1597" s="134" t="str">
        <f>IFERROR(__xludf.DUMMYFUNCTION("""COMPUTED_VALUE"""),"Chiang Rai")</f>
        <v>Chiang Rai</v>
      </c>
      <c r="B1597" s="120" t="str">
        <f>IFERROR(__xludf.DUMMYFUNCTION("""COMPUTED_VALUE"""),"CEI")</f>
        <v>CEI</v>
      </c>
      <c r="C1597" s="120" t="str">
        <f>IFERROR(__xludf.DUMMYFUNCTION("""COMPUTED_VALUE"""),"Chiang Rai")</f>
        <v>Chiang Rai</v>
      </c>
      <c r="D1597" s="120" t="str">
        <f>IFERROR(__xludf.DUMMYFUNCTION("""COMPUTED_VALUE"""),"Thailand")</f>
        <v>Thailand</v>
      </c>
      <c r="E1597" s="135"/>
      <c r="F1597" s="31"/>
    </row>
    <row r="1598">
      <c r="A1598" s="134" t="str">
        <f>IFERROR(__xludf.DUMMYFUNCTION("""COMPUTED_VALUE"""),"Chiayi")</f>
        <v>Chiayi</v>
      </c>
      <c r="B1598" s="120" t="str">
        <f>IFERROR(__xludf.DUMMYFUNCTION("""COMPUTED_VALUE"""),"CYI")</f>
        <v>CYI</v>
      </c>
      <c r="C1598" s="120" t="str">
        <f>IFERROR(__xludf.DUMMYFUNCTION("""COMPUTED_VALUE"""),"Chiayi")</f>
        <v>Chiayi</v>
      </c>
      <c r="D1598" s="120" t="str">
        <f>IFERROR(__xludf.DUMMYFUNCTION("""COMPUTED_VALUE"""),"Taiwan")</f>
        <v>Taiwan</v>
      </c>
      <c r="E1598" s="135"/>
      <c r="F1598" s="31"/>
    </row>
    <row r="1599">
      <c r="A1599" s="134" t="str">
        <f>IFERROR(__xludf.DUMMYFUNCTION("""COMPUTED_VALUE"""),"Chibougamau")</f>
        <v>Chibougamau</v>
      </c>
      <c r="B1599" s="120" t="str">
        <f>IFERROR(__xludf.DUMMYFUNCTION("""COMPUTED_VALUE"""),"YMT")</f>
        <v>YMT</v>
      </c>
      <c r="C1599" s="120" t="str">
        <f>IFERROR(__xludf.DUMMYFUNCTION("""COMPUTED_VALUE"""),"Chibougamau")</f>
        <v>Chibougamau</v>
      </c>
      <c r="D1599" s="120" t="str">
        <f>IFERROR(__xludf.DUMMYFUNCTION("""COMPUTED_VALUE"""),"Canada")</f>
        <v>Canada</v>
      </c>
      <c r="E1599" s="135"/>
      <c r="F1599" s="31"/>
    </row>
    <row r="1600">
      <c r="A1600" s="134" t="str">
        <f>IFERROR(__xludf.DUMMYFUNCTION("""COMPUTED_VALUE"""),"Chicago")</f>
        <v>Chicago</v>
      </c>
      <c r="B1600" s="120" t="str">
        <f>IFERROR(__xludf.DUMMYFUNCTION("""COMPUTED_VALUE"""),"CHI")</f>
        <v>CHI</v>
      </c>
      <c r="C1600" s="120" t="str">
        <f>IFERROR(__xludf.DUMMYFUNCTION("""COMPUTED_VALUE"""),"Chicago FSS")</f>
        <v>Chicago FSS</v>
      </c>
      <c r="D1600" s="120" t="str">
        <f>IFERROR(__xludf.DUMMYFUNCTION("""COMPUTED_VALUE"""),"United States")</f>
        <v>United States</v>
      </c>
      <c r="E1600" s="135"/>
      <c r="F1600" s="31"/>
    </row>
    <row r="1601">
      <c r="A1601" s="134" t="str">
        <f>IFERROR(__xludf.DUMMYFUNCTION("""COMPUTED_VALUE"""),"Chicago")</f>
        <v>Chicago</v>
      </c>
      <c r="B1601" s="120" t="str">
        <f>IFERROR(__xludf.DUMMYFUNCTION("""COMPUTED_VALUE"""),"NOH")</f>
        <v>NOH</v>
      </c>
      <c r="C1601" s="120" t="str">
        <f>IFERROR(__xludf.DUMMYFUNCTION("""COMPUTED_VALUE"""),"Chicago NAS")</f>
        <v>Chicago NAS</v>
      </c>
      <c r="D1601" s="120" t="str">
        <f>IFERROR(__xludf.DUMMYFUNCTION("""COMPUTED_VALUE"""),"United States")</f>
        <v>United States</v>
      </c>
      <c r="E1601" s="135"/>
      <c r="F1601" s="31"/>
    </row>
    <row r="1602">
      <c r="A1602" s="134" t="str">
        <f>IFERROR(__xludf.DUMMYFUNCTION("""COMPUTED_VALUE"""),"Chicago")</f>
        <v>Chicago</v>
      </c>
      <c r="B1602" s="120" t="str">
        <f>IFERROR(__xludf.DUMMYFUNCTION("""COMPUTED_VALUE"""),"RFD")</f>
        <v>RFD</v>
      </c>
      <c r="C1602" s="120" t="str">
        <f>IFERROR(__xludf.DUMMYFUNCTION("""COMPUTED_VALUE"""),"Chicago Rockford")</f>
        <v>Chicago Rockford</v>
      </c>
      <c r="D1602" s="120" t="str">
        <f>IFERROR(__xludf.DUMMYFUNCTION("""COMPUTED_VALUE"""),"United States")</f>
        <v>United States</v>
      </c>
      <c r="E1602" s="135"/>
      <c r="F1602" s="31"/>
    </row>
    <row r="1603">
      <c r="A1603" s="134" t="str">
        <f>IFERROR(__xludf.DUMMYFUNCTION("""COMPUTED_VALUE"""),"Chicago")</f>
        <v>Chicago</v>
      </c>
      <c r="B1603" s="120" t="str">
        <f>IFERROR(__xludf.DUMMYFUNCTION("""COMPUTED_VALUE"""),"DPA")</f>
        <v>DPA</v>
      </c>
      <c r="C1603" s="120" t="str">
        <f>IFERROR(__xludf.DUMMYFUNCTION("""COMPUTED_VALUE"""),"Dupage County")</f>
        <v>Dupage County</v>
      </c>
      <c r="D1603" s="120" t="str">
        <f>IFERROR(__xludf.DUMMYFUNCTION("""COMPUTED_VALUE"""),"United States")</f>
        <v>United States</v>
      </c>
      <c r="E1603" s="135"/>
      <c r="F1603" s="31"/>
    </row>
    <row r="1604">
      <c r="A1604" s="134" t="str">
        <f>IFERROR(__xludf.DUMMYFUNCTION("""COMPUTED_VALUE"""),"Chicago")</f>
        <v>Chicago</v>
      </c>
      <c r="B1604" s="120" t="str">
        <f>IFERROR(__xludf.DUMMYFUNCTION("""COMPUTED_VALUE"""),"GYY")</f>
        <v>GYY</v>
      </c>
      <c r="C1604" s="120" t="str">
        <f>IFERROR(__xludf.DUMMYFUNCTION("""COMPUTED_VALUE"""),"Gary Regional")</f>
        <v>Gary Regional</v>
      </c>
      <c r="D1604" s="120" t="str">
        <f>IFERROR(__xludf.DUMMYFUNCTION("""COMPUTED_VALUE"""),"United States")</f>
        <v>United States</v>
      </c>
      <c r="E1604" s="135"/>
      <c r="F1604" s="31"/>
    </row>
    <row r="1605">
      <c r="A1605" s="134" t="str">
        <f>IFERROR(__xludf.DUMMYFUNCTION("""COMPUTED_VALUE"""),"Chicago")</f>
        <v>Chicago</v>
      </c>
      <c r="B1605" s="120" t="str">
        <f>IFERROR(__xludf.DUMMYFUNCTION("""COMPUTED_VALUE"""),"CGX")</f>
        <v>CGX</v>
      </c>
      <c r="C1605" s="120" t="str">
        <f>IFERROR(__xludf.DUMMYFUNCTION("""COMPUTED_VALUE"""),"Merrill C Meigs")</f>
        <v>Merrill C Meigs</v>
      </c>
      <c r="D1605" s="120" t="str">
        <f>IFERROR(__xludf.DUMMYFUNCTION("""COMPUTED_VALUE"""),"United States")</f>
        <v>United States</v>
      </c>
      <c r="E1605" s="135"/>
      <c r="F1605" s="31"/>
    </row>
    <row r="1606">
      <c r="A1606" s="134" t="str">
        <f>IFERROR(__xludf.DUMMYFUNCTION("""COMPUTED_VALUE"""),"Chicago")</f>
        <v>Chicago</v>
      </c>
      <c r="B1606" s="120" t="str">
        <f>IFERROR(__xludf.DUMMYFUNCTION("""COMPUTED_VALUE"""),"MDW")</f>
        <v>MDW</v>
      </c>
      <c r="C1606" s="120" t="str">
        <f>IFERROR(__xludf.DUMMYFUNCTION("""COMPUTED_VALUE"""),"Midway")</f>
        <v>Midway</v>
      </c>
      <c r="D1606" s="120" t="str">
        <f>IFERROR(__xludf.DUMMYFUNCTION("""COMPUTED_VALUE"""),"United States")</f>
        <v>United States</v>
      </c>
      <c r="E1606" s="135"/>
      <c r="F1606" s="31"/>
    </row>
    <row r="1607">
      <c r="A1607" s="134" t="str">
        <f>IFERROR(__xludf.DUMMYFUNCTION("""COMPUTED_VALUE"""),"Chicago")</f>
        <v>Chicago</v>
      </c>
      <c r="B1607" s="120" t="str">
        <f>IFERROR(__xludf.DUMMYFUNCTION("""COMPUTED_VALUE"""),"PWK")</f>
        <v>PWK</v>
      </c>
      <c r="C1607" s="120" t="str">
        <f>IFERROR(__xludf.DUMMYFUNCTION("""COMPUTED_VALUE"""),"Pal-Waukee")</f>
        <v>Pal-Waukee</v>
      </c>
      <c r="D1607" s="120" t="str">
        <f>IFERROR(__xludf.DUMMYFUNCTION("""COMPUTED_VALUE"""),"United States")</f>
        <v>United States</v>
      </c>
      <c r="E1607" s="135"/>
      <c r="F1607" s="31"/>
    </row>
    <row r="1608">
      <c r="A1608" s="134" t="str">
        <f>IFERROR(__xludf.DUMMYFUNCTION("""COMPUTED_VALUE"""),"Chichen Itza")</f>
        <v>Chichen Itza</v>
      </c>
      <c r="B1608" s="120" t="str">
        <f>IFERROR(__xludf.DUMMYFUNCTION("""COMPUTED_VALUE"""),"CZA")</f>
        <v>CZA</v>
      </c>
      <c r="C1608" s="120" t="str">
        <f>IFERROR(__xludf.DUMMYFUNCTION("""COMPUTED_VALUE"""),"Chichen Itza")</f>
        <v>Chichen Itza</v>
      </c>
      <c r="D1608" s="120" t="str">
        <f>IFERROR(__xludf.DUMMYFUNCTION("""COMPUTED_VALUE"""),"Mexico")</f>
        <v>Mexico</v>
      </c>
      <c r="E1608" s="135"/>
      <c r="F1608" s="31"/>
    </row>
    <row r="1609">
      <c r="A1609" s="134" t="str">
        <f>IFERROR(__xludf.DUMMYFUNCTION("""COMPUTED_VALUE"""),"Chickasha")</f>
        <v>Chickasha</v>
      </c>
      <c r="B1609" s="120" t="str">
        <f>IFERROR(__xludf.DUMMYFUNCTION("""COMPUTED_VALUE"""),"CHK")</f>
        <v>CHK</v>
      </c>
      <c r="C1609" s="120" t="str">
        <f>IFERROR(__xludf.DUMMYFUNCTION("""COMPUTED_VALUE"""),"Municipal")</f>
        <v>Municipal</v>
      </c>
      <c r="D1609" s="120" t="str">
        <f>IFERROR(__xludf.DUMMYFUNCTION("""COMPUTED_VALUE"""),"United States")</f>
        <v>United States</v>
      </c>
      <c r="E1609" s="135"/>
      <c r="F1609" s="31"/>
    </row>
    <row r="1610">
      <c r="A1610" s="134" t="str">
        <f>IFERROR(__xludf.DUMMYFUNCTION("""COMPUTED_VALUE"""),"Chicken")</f>
        <v>Chicken</v>
      </c>
      <c r="B1610" s="120" t="str">
        <f>IFERROR(__xludf.DUMMYFUNCTION("""COMPUTED_VALUE"""),"CKX")</f>
        <v>CKX</v>
      </c>
      <c r="C1610" s="120" t="str">
        <f>IFERROR(__xludf.DUMMYFUNCTION("""COMPUTED_VALUE"""),"Chicken")</f>
        <v>Chicken</v>
      </c>
      <c r="D1610" s="120" t="str">
        <f>IFERROR(__xludf.DUMMYFUNCTION("""COMPUTED_VALUE"""),"United States")</f>
        <v>United States</v>
      </c>
      <c r="E1610" s="135"/>
      <c r="F1610" s="31"/>
    </row>
    <row r="1611">
      <c r="A1611" s="134" t="str">
        <f>IFERROR(__xludf.DUMMYFUNCTION("""COMPUTED_VALUE"""),"Chiclayo")</f>
        <v>Chiclayo</v>
      </c>
      <c r="B1611" s="120" t="str">
        <f>IFERROR(__xludf.DUMMYFUNCTION("""COMPUTED_VALUE"""),"CIX")</f>
        <v>CIX</v>
      </c>
      <c r="C1611" s="137" t="str">
        <f>IFERROR(__xludf.DUMMYFUNCTION("""COMPUTED_VALUE"""),"Cornel Ruiz")</f>
        <v>Cornel Ruiz</v>
      </c>
      <c r="D1611" s="120" t="str">
        <f>IFERROR(__xludf.DUMMYFUNCTION("""COMPUTED_VALUE"""),"Peru")</f>
        <v>Peru</v>
      </c>
      <c r="E1611" s="135"/>
      <c r="F1611" s="31"/>
    </row>
    <row r="1612">
      <c r="A1612" s="134" t="str">
        <f>IFERROR(__xludf.DUMMYFUNCTION("""COMPUTED_VALUE"""),"Chico")</f>
        <v>Chico</v>
      </c>
      <c r="B1612" s="120" t="str">
        <f>IFERROR(__xludf.DUMMYFUNCTION("""COMPUTED_VALUE"""),"CIC")</f>
        <v>CIC</v>
      </c>
      <c r="C1612" s="120" t="str">
        <f>IFERROR(__xludf.DUMMYFUNCTION("""COMPUTED_VALUE"""),"Chico")</f>
        <v>Chico</v>
      </c>
      <c r="D1612" s="120" t="str">
        <f>IFERROR(__xludf.DUMMYFUNCTION("""COMPUTED_VALUE"""),"United States")</f>
        <v>United States</v>
      </c>
      <c r="E1612" s="135"/>
      <c r="F1612" s="31"/>
    </row>
    <row r="1613">
      <c r="A1613" s="134" t="str">
        <f>IFERROR(__xludf.DUMMYFUNCTION("""COMPUTED_VALUE"""),"Chifeng")</f>
        <v>Chifeng</v>
      </c>
      <c r="B1613" s="120" t="str">
        <f>IFERROR(__xludf.DUMMYFUNCTION("""COMPUTED_VALUE"""),"CIF")</f>
        <v>CIF</v>
      </c>
      <c r="C1613" s="120" t="str">
        <f>IFERROR(__xludf.DUMMYFUNCTION("""COMPUTED_VALUE"""),"Chifeng")</f>
        <v>Chifeng</v>
      </c>
      <c r="D1613" s="120" t="str">
        <f>IFERROR(__xludf.DUMMYFUNCTION("""COMPUTED_VALUE"""),"China")</f>
        <v>China</v>
      </c>
      <c r="E1613" s="135"/>
      <c r="F1613" s="31"/>
    </row>
    <row r="1614">
      <c r="A1614" s="134" t="str">
        <f>IFERROR(__xludf.DUMMYFUNCTION("""COMPUTED_VALUE"""),"Chignik")</f>
        <v>Chignik</v>
      </c>
      <c r="B1614" s="120" t="str">
        <f>IFERROR(__xludf.DUMMYFUNCTION("""COMPUTED_VALUE"""),"KCQ")</f>
        <v>KCQ</v>
      </c>
      <c r="C1614" s="120" t="str">
        <f>IFERROR(__xludf.DUMMYFUNCTION("""COMPUTED_VALUE"""),"Chignik")</f>
        <v>Chignik</v>
      </c>
      <c r="D1614" s="120" t="str">
        <f>IFERROR(__xludf.DUMMYFUNCTION("""COMPUTED_VALUE"""),"United States")</f>
        <v>United States</v>
      </c>
      <c r="E1614" s="135"/>
      <c r="F1614" s="31"/>
    </row>
    <row r="1615">
      <c r="A1615" s="134" t="str">
        <f>IFERROR(__xludf.DUMMYFUNCTION("""COMPUTED_VALUE"""),"Chignik")</f>
        <v>Chignik</v>
      </c>
      <c r="B1615" s="120" t="str">
        <f>IFERROR(__xludf.DUMMYFUNCTION("""COMPUTED_VALUE"""),"KBW")</f>
        <v>KBW</v>
      </c>
      <c r="C1615" s="120" t="str">
        <f>IFERROR(__xludf.DUMMYFUNCTION("""COMPUTED_VALUE"""),"Chignik Bay")</f>
        <v>Chignik Bay</v>
      </c>
      <c r="D1615" s="120" t="str">
        <f>IFERROR(__xludf.DUMMYFUNCTION("""COMPUTED_VALUE"""),"United States")</f>
        <v>United States</v>
      </c>
      <c r="E1615" s="135"/>
      <c r="F1615" s="31"/>
    </row>
    <row r="1616">
      <c r="A1616" s="134" t="str">
        <f>IFERROR(__xludf.DUMMYFUNCTION("""COMPUTED_VALUE"""),"Chignik")</f>
        <v>Chignik</v>
      </c>
      <c r="B1616" s="120" t="str">
        <f>IFERROR(__xludf.DUMMYFUNCTION("""COMPUTED_VALUE"""),"KCG")</f>
        <v>KCG</v>
      </c>
      <c r="C1616" s="120" t="str">
        <f>IFERROR(__xludf.DUMMYFUNCTION("""COMPUTED_VALUE"""),"Fisheries")</f>
        <v>Fisheries</v>
      </c>
      <c r="D1616" s="120" t="str">
        <f>IFERROR(__xludf.DUMMYFUNCTION("""COMPUTED_VALUE"""),"United States")</f>
        <v>United States</v>
      </c>
      <c r="E1616" s="135"/>
      <c r="F1616" s="31"/>
    </row>
    <row r="1617">
      <c r="A1617" s="134" t="str">
        <f>IFERROR(__xludf.DUMMYFUNCTION("""COMPUTED_VALUE"""),"Chignik")</f>
        <v>Chignik</v>
      </c>
      <c r="B1617" s="120" t="str">
        <f>IFERROR(__xludf.DUMMYFUNCTION("""COMPUTED_VALUE"""),"KCL")</f>
        <v>KCL</v>
      </c>
      <c r="C1617" s="120" t="str">
        <f>IFERROR(__xludf.DUMMYFUNCTION("""COMPUTED_VALUE"""),"Lagoon")</f>
        <v>Lagoon</v>
      </c>
      <c r="D1617" s="120" t="str">
        <f>IFERROR(__xludf.DUMMYFUNCTION("""COMPUTED_VALUE"""),"United States")</f>
        <v>United States</v>
      </c>
      <c r="E1617" s="135"/>
      <c r="F1617" s="31"/>
    </row>
    <row r="1618">
      <c r="A1618" s="134" t="str">
        <f>IFERROR(__xludf.DUMMYFUNCTION("""COMPUTED_VALUE"""),"Chigorodo")</f>
        <v>Chigorodo</v>
      </c>
      <c r="B1618" s="120" t="str">
        <f>IFERROR(__xludf.DUMMYFUNCTION("""COMPUTED_VALUE"""),"IGO")</f>
        <v>IGO</v>
      </c>
      <c r="C1618" s="120" t="str">
        <f>IFERROR(__xludf.DUMMYFUNCTION("""COMPUTED_VALUE"""),"Chigorodo")</f>
        <v>Chigorodo</v>
      </c>
      <c r="D1618" s="120" t="str">
        <f>IFERROR(__xludf.DUMMYFUNCTION("""COMPUTED_VALUE"""),"Colombia")</f>
        <v>Colombia</v>
      </c>
      <c r="E1618" s="135"/>
      <c r="F1618" s="31"/>
    </row>
    <row r="1619">
      <c r="A1619" s="134" t="str">
        <f>IFERROR(__xludf.DUMMYFUNCTION("""COMPUTED_VALUE"""),"Chihuahua")</f>
        <v>Chihuahua</v>
      </c>
      <c r="B1619" s="120" t="str">
        <f>IFERROR(__xludf.DUMMYFUNCTION("""COMPUTED_VALUE"""),"CUU")</f>
        <v>CUU</v>
      </c>
      <c r="C1619" s="120" t="str">
        <f>IFERROR(__xludf.DUMMYFUNCTION("""COMPUTED_VALUE"""),"Gen Fierro Villalobos")</f>
        <v>Gen Fierro Villalobos</v>
      </c>
      <c r="D1619" s="120" t="str">
        <f>IFERROR(__xludf.DUMMYFUNCTION("""COMPUTED_VALUE"""),"Mexico")</f>
        <v>Mexico</v>
      </c>
      <c r="E1619" s="135"/>
      <c r="F1619" s="31"/>
    </row>
    <row r="1620">
      <c r="A1620" s="134" t="str">
        <f>IFERROR(__xludf.DUMMYFUNCTION("""COMPUTED_VALUE"""),"Chilas")</f>
        <v>Chilas</v>
      </c>
      <c r="B1620" s="120" t="str">
        <f>IFERROR(__xludf.DUMMYFUNCTION("""COMPUTED_VALUE"""),"CHB")</f>
        <v>CHB</v>
      </c>
      <c r="C1620" s="120" t="str">
        <f>IFERROR(__xludf.DUMMYFUNCTION("""COMPUTED_VALUE"""),"Chilas")</f>
        <v>Chilas</v>
      </c>
      <c r="D1620" s="120" t="str">
        <f>IFERROR(__xludf.DUMMYFUNCTION("""COMPUTED_VALUE"""),"Pakistan")</f>
        <v>Pakistan</v>
      </c>
      <c r="E1620" s="135"/>
      <c r="F1620" s="31"/>
    </row>
    <row r="1621">
      <c r="A1621" s="134" t="str">
        <f>IFERROR(__xludf.DUMMYFUNCTION("""COMPUTED_VALUE"""),"Childress")</f>
        <v>Childress</v>
      </c>
      <c r="B1621" s="120" t="str">
        <f>IFERROR(__xludf.DUMMYFUNCTION("""COMPUTED_VALUE"""),"CDS")</f>
        <v>CDS</v>
      </c>
      <c r="C1621" s="120" t="str">
        <f>IFERROR(__xludf.DUMMYFUNCTION("""COMPUTED_VALUE"""),"Childress")</f>
        <v>Childress</v>
      </c>
      <c r="D1621" s="120" t="str">
        <f>IFERROR(__xludf.DUMMYFUNCTION("""COMPUTED_VALUE"""),"United States")</f>
        <v>United States</v>
      </c>
      <c r="E1621" s="135"/>
      <c r="F1621" s="31"/>
    </row>
    <row r="1622">
      <c r="A1622" s="134" t="str">
        <f>IFERROR(__xludf.DUMMYFUNCTION("""COMPUTED_VALUE"""),"Chile Chico")</f>
        <v>Chile Chico</v>
      </c>
      <c r="B1622" s="120" t="str">
        <f>IFERROR(__xludf.DUMMYFUNCTION("""COMPUTED_VALUE"""),"CCH")</f>
        <v>CCH</v>
      </c>
      <c r="C1622" s="120" t="str">
        <f>IFERROR(__xludf.DUMMYFUNCTION("""COMPUTED_VALUE"""),"Chile Chico")</f>
        <v>Chile Chico</v>
      </c>
      <c r="D1622" s="120" t="str">
        <f>IFERROR(__xludf.DUMMYFUNCTION("""COMPUTED_VALUE"""),"Chile")</f>
        <v>Chile</v>
      </c>
      <c r="E1622" s="135"/>
      <c r="F1622" s="31"/>
    </row>
    <row r="1623">
      <c r="A1623" s="134" t="str">
        <f>IFERROR(__xludf.DUMMYFUNCTION("""COMPUTED_VALUE"""),"Chilko Lake")</f>
        <v>Chilko Lake</v>
      </c>
      <c r="B1623" s="120" t="str">
        <f>IFERROR(__xludf.DUMMYFUNCTION("""COMPUTED_VALUE"""),"CJH")</f>
        <v>CJH</v>
      </c>
      <c r="C1623" s="120" t="str">
        <f>IFERROR(__xludf.DUMMYFUNCTION("""COMPUTED_VALUE"""),"Chilko Lake")</f>
        <v>Chilko Lake</v>
      </c>
      <c r="D1623" s="120" t="str">
        <f>IFERROR(__xludf.DUMMYFUNCTION("""COMPUTED_VALUE"""),"Canada")</f>
        <v>Canada</v>
      </c>
      <c r="E1623" s="135"/>
      <c r="F1623" s="31"/>
    </row>
    <row r="1624">
      <c r="A1624" s="134" t="str">
        <f>IFERROR(__xludf.DUMMYFUNCTION("""COMPUTED_VALUE"""),"Chillagoe")</f>
        <v>Chillagoe</v>
      </c>
      <c r="B1624" s="120" t="str">
        <f>IFERROR(__xludf.DUMMYFUNCTION("""COMPUTED_VALUE"""),"LLG")</f>
        <v>LLG</v>
      </c>
      <c r="C1624" s="120" t="str">
        <f>IFERROR(__xludf.DUMMYFUNCTION("""COMPUTED_VALUE"""),"Chillagoe")</f>
        <v>Chillagoe</v>
      </c>
      <c r="D1624" s="120" t="str">
        <f>IFERROR(__xludf.DUMMYFUNCTION("""COMPUTED_VALUE"""),"Australia")</f>
        <v>Australia</v>
      </c>
      <c r="E1624" s="135"/>
      <c r="F1624" s="31"/>
    </row>
    <row r="1625">
      <c r="A1625" s="134" t="str">
        <f>IFERROR(__xludf.DUMMYFUNCTION("""COMPUTED_VALUE"""),"Chillan")</f>
        <v>Chillan</v>
      </c>
      <c r="B1625" s="120" t="str">
        <f>IFERROR(__xludf.DUMMYFUNCTION("""COMPUTED_VALUE"""),"YAI")</f>
        <v>YAI</v>
      </c>
      <c r="C1625" s="120" t="str">
        <f>IFERROR(__xludf.DUMMYFUNCTION("""COMPUTED_VALUE"""),"Chillan")</f>
        <v>Chillan</v>
      </c>
      <c r="D1625" s="120" t="str">
        <f>IFERROR(__xludf.DUMMYFUNCTION("""COMPUTED_VALUE"""),"Chile")</f>
        <v>Chile</v>
      </c>
      <c r="E1625" s="135"/>
      <c r="F1625" s="31"/>
    </row>
    <row r="1626">
      <c r="A1626" s="134" t="str">
        <f>IFERROR(__xludf.DUMMYFUNCTION("""COMPUTED_VALUE"""),"Chilliwack")</f>
        <v>Chilliwack</v>
      </c>
      <c r="B1626" s="120" t="str">
        <f>IFERROR(__xludf.DUMMYFUNCTION("""COMPUTED_VALUE"""),"YCW")</f>
        <v>YCW</v>
      </c>
      <c r="C1626" s="120" t="str">
        <f>IFERROR(__xludf.DUMMYFUNCTION("""COMPUTED_VALUE"""),"Chilliwack Municipal Airport")</f>
        <v>Chilliwack Municipal Airport</v>
      </c>
      <c r="D1626" s="120" t="str">
        <f>IFERROR(__xludf.DUMMYFUNCTION("""COMPUTED_VALUE"""),"Canada")</f>
        <v>Canada</v>
      </c>
      <c r="E1626" s="135"/>
      <c r="F1626" s="31"/>
    </row>
    <row r="1627">
      <c r="A1627" s="134" t="str">
        <f>IFERROR(__xludf.DUMMYFUNCTION("""COMPUTED_VALUE"""),"Chiloquin")</f>
        <v>Chiloquin</v>
      </c>
      <c r="B1627" s="120" t="str">
        <f>IFERROR(__xludf.DUMMYFUNCTION("""COMPUTED_VALUE"""),"CHZ")</f>
        <v>CHZ</v>
      </c>
      <c r="C1627" s="120" t="str">
        <f>IFERROR(__xludf.DUMMYFUNCTION("""COMPUTED_VALUE"""),"State")</f>
        <v>State</v>
      </c>
      <c r="D1627" s="120" t="str">
        <f>IFERROR(__xludf.DUMMYFUNCTION("""COMPUTED_VALUE"""),"United States")</f>
        <v>United States</v>
      </c>
      <c r="E1627" s="135"/>
      <c r="F1627" s="31"/>
    </row>
    <row r="1628">
      <c r="A1628" s="134" t="str">
        <f>IFERROR(__xludf.DUMMYFUNCTION("""COMPUTED_VALUE"""),"Chimbote")</f>
        <v>Chimbote</v>
      </c>
      <c r="B1628" s="120" t="str">
        <f>IFERROR(__xludf.DUMMYFUNCTION("""COMPUTED_VALUE"""),"CHM")</f>
        <v>CHM</v>
      </c>
      <c r="C1628" s="120" t="str">
        <f>IFERROR(__xludf.DUMMYFUNCTION("""COMPUTED_VALUE"""),"Chimbote")</f>
        <v>Chimbote</v>
      </c>
      <c r="D1628" s="120" t="str">
        <f>IFERROR(__xludf.DUMMYFUNCTION("""COMPUTED_VALUE"""),"Peru")</f>
        <v>Peru</v>
      </c>
      <c r="E1628" s="135"/>
      <c r="F1628" s="31"/>
    </row>
    <row r="1629">
      <c r="A1629" s="134" t="str">
        <f>IFERROR(__xludf.DUMMYFUNCTION("""COMPUTED_VALUE"""),"Chimoio")</f>
        <v>Chimoio</v>
      </c>
      <c r="B1629" s="120" t="str">
        <f>IFERROR(__xludf.DUMMYFUNCTION("""COMPUTED_VALUE"""),"VPY")</f>
        <v>VPY</v>
      </c>
      <c r="C1629" s="120" t="str">
        <f>IFERROR(__xludf.DUMMYFUNCTION("""COMPUTED_VALUE"""),"Chimoio")</f>
        <v>Chimoio</v>
      </c>
      <c r="D1629" s="120" t="str">
        <f>IFERROR(__xludf.DUMMYFUNCTION("""COMPUTED_VALUE"""),"Mozambique")</f>
        <v>Mozambique</v>
      </c>
      <c r="E1629" s="135"/>
      <c r="F1629" s="31"/>
    </row>
    <row r="1630">
      <c r="A1630" s="134" t="str">
        <f>IFERROR(__xludf.DUMMYFUNCTION("""COMPUTED_VALUE"""),"Chinchilla")</f>
        <v>Chinchilla</v>
      </c>
      <c r="B1630" s="120" t="str">
        <f>IFERROR(__xludf.DUMMYFUNCTION("""COMPUTED_VALUE"""),"CCL")</f>
        <v>CCL</v>
      </c>
      <c r="C1630" s="120" t="str">
        <f>IFERROR(__xludf.DUMMYFUNCTION("""COMPUTED_VALUE"""),"Chinchilla")</f>
        <v>Chinchilla</v>
      </c>
      <c r="D1630" s="120" t="str">
        <f>IFERROR(__xludf.DUMMYFUNCTION("""COMPUTED_VALUE"""),"Australia")</f>
        <v>Australia</v>
      </c>
      <c r="E1630" s="135"/>
      <c r="F1630" s="31"/>
    </row>
    <row r="1631">
      <c r="A1631" s="134" t="str">
        <f>IFERROR(__xludf.DUMMYFUNCTION("""COMPUTED_VALUE"""),"Chincoteague")</f>
        <v>Chincoteague</v>
      </c>
      <c r="B1631" s="120" t="str">
        <f>IFERROR(__xludf.DUMMYFUNCTION("""COMPUTED_VALUE"""),"WAL")</f>
        <v>WAL</v>
      </c>
      <c r="C1631" s="120" t="str">
        <f>IFERROR(__xludf.DUMMYFUNCTION("""COMPUTED_VALUE"""),"Wallops Flight Center")</f>
        <v>Wallops Flight Center</v>
      </c>
      <c r="D1631" s="120" t="str">
        <f>IFERROR(__xludf.DUMMYFUNCTION("""COMPUTED_VALUE"""),"United States")</f>
        <v>United States</v>
      </c>
      <c r="E1631" s="135"/>
      <c r="F1631" s="31"/>
    </row>
    <row r="1632">
      <c r="A1632" s="134" t="str">
        <f>IFERROR(__xludf.DUMMYFUNCTION("""COMPUTED_VALUE"""),"Chinde")</f>
        <v>Chinde</v>
      </c>
      <c r="B1632" s="120" t="str">
        <f>IFERROR(__xludf.DUMMYFUNCTION("""COMPUTED_VALUE"""),"INE")</f>
        <v>INE</v>
      </c>
      <c r="C1632" s="120" t="str">
        <f>IFERROR(__xludf.DUMMYFUNCTION("""COMPUTED_VALUE"""),"Chinde")</f>
        <v>Chinde</v>
      </c>
      <c r="D1632" s="120" t="str">
        <f>IFERROR(__xludf.DUMMYFUNCTION("""COMPUTED_VALUE"""),"Mozambique")</f>
        <v>Mozambique</v>
      </c>
      <c r="E1632" s="135"/>
      <c r="F1632" s="31"/>
    </row>
    <row r="1633">
      <c r="A1633" s="134" t="str">
        <f>IFERROR(__xludf.DUMMYFUNCTION("""COMPUTED_VALUE"""),"Chingola")</f>
        <v>Chingola</v>
      </c>
      <c r="B1633" s="120" t="str">
        <f>IFERROR(__xludf.DUMMYFUNCTION("""COMPUTED_VALUE"""),"CGJ")</f>
        <v>CGJ</v>
      </c>
      <c r="C1633" s="120" t="str">
        <f>IFERROR(__xludf.DUMMYFUNCTION("""COMPUTED_VALUE"""),"Chingola")</f>
        <v>Chingola</v>
      </c>
      <c r="D1633" s="120" t="str">
        <f>IFERROR(__xludf.DUMMYFUNCTION("""COMPUTED_VALUE"""),"Zambia")</f>
        <v>Zambia</v>
      </c>
      <c r="E1633" s="135"/>
      <c r="F1633" s="31"/>
    </row>
    <row r="1634">
      <c r="A1634" s="134" t="str">
        <f>IFERROR(__xludf.DUMMYFUNCTION("""COMPUTED_VALUE"""),"Chinguitti")</f>
        <v>Chinguitti</v>
      </c>
      <c r="B1634" s="120" t="str">
        <f>IFERROR(__xludf.DUMMYFUNCTION("""COMPUTED_VALUE"""),"CGT")</f>
        <v>CGT</v>
      </c>
      <c r="C1634" s="120" t="str">
        <f>IFERROR(__xludf.DUMMYFUNCTION("""COMPUTED_VALUE"""),"Chinguitti")</f>
        <v>Chinguitti</v>
      </c>
      <c r="D1634" s="120" t="str">
        <f>IFERROR(__xludf.DUMMYFUNCTION("""COMPUTED_VALUE"""),"Mauritania")</f>
        <v>Mauritania</v>
      </c>
      <c r="E1634" s="135"/>
      <c r="F1634" s="31"/>
    </row>
    <row r="1635">
      <c r="A1635" s="134" t="str">
        <f>IFERROR(__xludf.DUMMYFUNCTION("""COMPUTED_VALUE"""),"Chino")</f>
        <v>Chino</v>
      </c>
      <c r="B1635" s="120" t="str">
        <f>IFERROR(__xludf.DUMMYFUNCTION("""COMPUTED_VALUE"""),"CNO")</f>
        <v>CNO</v>
      </c>
      <c r="C1635" s="120" t="str">
        <f>IFERROR(__xludf.DUMMYFUNCTION("""COMPUTED_VALUE"""),"Chino")</f>
        <v>Chino</v>
      </c>
      <c r="D1635" s="120" t="str">
        <f>IFERROR(__xludf.DUMMYFUNCTION("""COMPUTED_VALUE"""),"United States")</f>
        <v>United States</v>
      </c>
      <c r="E1635" s="135"/>
      <c r="F1635" s="31"/>
    </row>
    <row r="1636">
      <c r="A1636" s="134" t="str">
        <f>IFERROR(__xludf.DUMMYFUNCTION("""COMPUTED_VALUE"""),"Chios")</f>
        <v>Chios</v>
      </c>
      <c r="B1636" s="120" t="str">
        <f>IFERROR(__xludf.DUMMYFUNCTION("""COMPUTED_VALUE"""),"JKH")</f>
        <v>JKH</v>
      </c>
      <c r="C1636" s="120" t="str">
        <f>IFERROR(__xludf.DUMMYFUNCTION("""COMPUTED_VALUE"""),"Chios")</f>
        <v>Chios</v>
      </c>
      <c r="D1636" s="120" t="str">
        <f>IFERROR(__xludf.DUMMYFUNCTION("""COMPUTED_VALUE"""),"Greece")</f>
        <v>Greece</v>
      </c>
      <c r="E1636" s="135"/>
      <c r="F1636" s="31"/>
    </row>
    <row r="1637">
      <c r="A1637" s="134" t="str">
        <f>IFERROR(__xludf.DUMMYFUNCTION("""COMPUTED_VALUE"""),"Chipata")</f>
        <v>Chipata</v>
      </c>
      <c r="B1637" s="120" t="str">
        <f>IFERROR(__xludf.DUMMYFUNCTION("""COMPUTED_VALUE"""),"CIP")</f>
        <v>CIP</v>
      </c>
      <c r="C1637" s="120" t="str">
        <f>IFERROR(__xludf.DUMMYFUNCTION("""COMPUTED_VALUE"""),"Chipata")</f>
        <v>Chipata</v>
      </c>
      <c r="D1637" s="120" t="str">
        <f>IFERROR(__xludf.DUMMYFUNCTION("""COMPUTED_VALUE"""),"Zambia")</f>
        <v>Zambia</v>
      </c>
      <c r="E1637" s="135"/>
      <c r="F1637" s="31"/>
    </row>
    <row r="1638">
      <c r="A1638" s="134" t="str">
        <f>IFERROR(__xludf.DUMMYFUNCTION("""COMPUTED_VALUE"""),"Chipinge")</f>
        <v>Chipinge</v>
      </c>
      <c r="B1638" s="120" t="str">
        <f>IFERROR(__xludf.DUMMYFUNCTION("""COMPUTED_VALUE"""),"CHJ")</f>
        <v>CHJ</v>
      </c>
      <c r="C1638" s="120" t="str">
        <f>IFERROR(__xludf.DUMMYFUNCTION("""COMPUTED_VALUE"""),"Chipinge")</f>
        <v>Chipinge</v>
      </c>
      <c r="D1638" s="120" t="str">
        <f>IFERROR(__xludf.DUMMYFUNCTION("""COMPUTED_VALUE"""),"Zimbabwe")</f>
        <v>Zimbabwe</v>
      </c>
      <c r="E1638" s="135"/>
      <c r="F1638" s="31"/>
    </row>
    <row r="1639">
      <c r="A1639" s="134" t="str">
        <f>IFERROR(__xludf.DUMMYFUNCTION("""COMPUTED_VALUE"""),"Chiquimula")</f>
        <v>Chiquimula</v>
      </c>
      <c r="B1639" s="120" t="str">
        <f>IFERROR(__xludf.DUMMYFUNCTION("""COMPUTED_VALUE"""),"CIQ")</f>
        <v>CIQ</v>
      </c>
      <c r="C1639" s="120" t="str">
        <f>IFERROR(__xludf.DUMMYFUNCTION("""COMPUTED_VALUE"""),"Chiquimula")</f>
        <v>Chiquimula</v>
      </c>
      <c r="D1639" s="120" t="str">
        <f>IFERROR(__xludf.DUMMYFUNCTION("""COMPUTED_VALUE"""),"Guatemala")</f>
        <v>Guatemala</v>
      </c>
      <c r="E1639" s="135"/>
      <c r="F1639" s="31"/>
    </row>
    <row r="1640">
      <c r="A1640" s="134" t="str">
        <f>IFERROR(__xludf.DUMMYFUNCTION("""COMPUTED_VALUE"""),"Chisana")</f>
        <v>Chisana</v>
      </c>
      <c r="B1640" s="120" t="str">
        <f>IFERROR(__xludf.DUMMYFUNCTION("""COMPUTED_VALUE"""),"CZN")</f>
        <v>CZN</v>
      </c>
      <c r="C1640" s="120" t="str">
        <f>IFERROR(__xludf.DUMMYFUNCTION("""COMPUTED_VALUE"""),"Chisana Field")</f>
        <v>Chisana Field</v>
      </c>
      <c r="D1640" s="120" t="str">
        <f>IFERROR(__xludf.DUMMYFUNCTION("""COMPUTED_VALUE"""),"United States")</f>
        <v>United States</v>
      </c>
      <c r="E1640" s="135"/>
      <c r="F1640" s="31"/>
    </row>
    <row r="1641">
      <c r="A1641" s="134" t="str">
        <f>IFERROR(__xludf.DUMMYFUNCTION("""COMPUTED_VALUE"""),"Chisasibi")</f>
        <v>Chisasibi</v>
      </c>
      <c r="B1641" s="120" t="str">
        <f>IFERROR(__xludf.DUMMYFUNCTION("""COMPUTED_VALUE"""),"YKU")</f>
        <v>YKU</v>
      </c>
      <c r="C1641" s="120" t="str">
        <f>IFERROR(__xludf.DUMMYFUNCTION("""COMPUTED_VALUE"""),"Chisasibi")</f>
        <v>Chisasibi</v>
      </c>
      <c r="D1641" s="120" t="str">
        <f>IFERROR(__xludf.DUMMYFUNCTION("""COMPUTED_VALUE"""),"Canada")</f>
        <v>Canada</v>
      </c>
      <c r="E1641" s="135"/>
      <c r="F1641" s="31"/>
    </row>
    <row r="1642">
      <c r="A1642" s="134" t="str">
        <f>IFERROR(__xludf.DUMMYFUNCTION("""COMPUTED_VALUE"""),"Chisholm")</f>
        <v>Chisholm</v>
      </c>
      <c r="B1642" s="120" t="str">
        <f>IFERROR(__xludf.DUMMYFUNCTION("""COMPUTED_VALUE"""),"HIB")</f>
        <v>HIB</v>
      </c>
      <c r="C1642" s="120" t="str">
        <f>IFERROR(__xludf.DUMMYFUNCTION("""COMPUTED_VALUE"""),"Chisholm")</f>
        <v>Chisholm</v>
      </c>
      <c r="D1642" s="120" t="str">
        <f>IFERROR(__xludf.DUMMYFUNCTION("""COMPUTED_VALUE"""),"United States")</f>
        <v>United States</v>
      </c>
      <c r="E1642" s="135"/>
      <c r="F1642" s="31"/>
    </row>
    <row r="1643">
      <c r="A1643" s="134" t="str">
        <f>IFERROR(__xludf.DUMMYFUNCTION("""COMPUTED_VALUE"""),"Chisinau")</f>
        <v>Chisinau</v>
      </c>
      <c r="B1643" s="120" t="str">
        <f>IFERROR(__xludf.DUMMYFUNCTION("""COMPUTED_VALUE"""),"KIV")</f>
        <v>KIV</v>
      </c>
      <c r="C1643" s="120" t="str">
        <f>IFERROR(__xludf.DUMMYFUNCTION("""COMPUTED_VALUE"""),"Chisinau")</f>
        <v>Chisinau</v>
      </c>
      <c r="D1643" s="120" t="str">
        <f>IFERROR(__xludf.DUMMYFUNCTION("""COMPUTED_VALUE"""),"Moldova")</f>
        <v>Moldova</v>
      </c>
      <c r="E1643" s="135"/>
      <c r="F1643" s="31"/>
    </row>
    <row r="1644">
      <c r="A1644" s="134" t="str">
        <f>IFERROR(__xludf.DUMMYFUNCTION("""COMPUTED_VALUE"""),"Chistochina")</f>
        <v>Chistochina</v>
      </c>
      <c r="B1644" s="120" t="str">
        <f>IFERROR(__xludf.DUMMYFUNCTION("""COMPUTED_VALUE"""),"CZO")</f>
        <v>CZO</v>
      </c>
      <c r="C1644" s="120" t="str">
        <f>IFERROR(__xludf.DUMMYFUNCTION("""COMPUTED_VALUE"""),"Chistochina")</f>
        <v>Chistochina</v>
      </c>
      <c r="D1644" s="120" t="str">
        <f>IFERROR(__xludf.DUMMYFUNCTION("""COMPUTED_VALUE"""),"United States")</f>
        <v>United States</v>
      </c>
      <c r="E1644" s="135"/>
      <c r="F1644" s="31"/>
    </row>
    <row r="1645">
      <c r="A1645" s="134" t="str">
        <f>IFERROR(__xludf.DUMMYFUNCTION("""COMPUTED_VALUE"""),"Chita")</f>
        <v>Chita</v>
      </c>
      <c r="B1645" s="120" t="str">
        <f>IFERROR(__xludf.DUMMYFUNCTION("""COMPUTED_VALUE"""),"HTA")</f>
        <v>HTA</v>
      </c>
      <c r="C1645" s="120" t="str">
        <f>IFERROR(__xludf.DUMMYFUNCTION("""COMPUTED_VALUE"""),"Chita")</f>
        <v>Chita</v>
      </c>
      <c r="D1645" s="120" t="str">
        <f>IFERROR(__xludf.DUMMYFUNCTION("""COMPUTED_VALUE"""),"Russia")</f>
        <v>Russia</v>
      </c>
      <c r="E1645" s="135"/>
      <c r="F1645" s="31"/>
    </row>
    <row r="1646">
      <c r="A1646" s="134" t="str">
        <f>IFERROR(__xludf.DUMMYFUNCTION("""COMPUTED_VALUE"""),"Chitato")</f>
        <v>Chitato</v>
      </c>
      <c r="B1646" s="120" t="str">
        <f>IFERROR(__xludf.DUMMYFUNCTION("""COMPUTED_VALUE"""),"PGI")</f>
        <v>PGI</v>
      </c>
      <c r="C1646" s="120" t="str">
        <f>IFERROR(__xludf.DUMMYFUNCTION("""COMPUTED_VALUE"""),"Chitato")</f>
        <v>Chitato</v>
      </c>
      <c r="D1646" s="120" t="str">
        <f>IFERROR(__xludf.DUMMYFUNCTION("""COMPUTED_VALUE"""),"Angola")</f>
        <v>Angola</v>
      </c>
      <c r="E1646" s="135"/>
      <c r="F1646" s="31"/>
    </row>
    <row r="1647">
      <c r="A1647" s="134" t="str">
        <f>IFERROR(__xludf.DUMMYFUNCTION("""COMPUTED_VALUE"""),"Chitina")</f>
        <v>Chitina</v>
      </c>
      <c r="B1647" s="120" t="str">
        <f>IFERROR(__xludf.DUMMYFUNCTION("""COMPUTED_VALUE"""),"CXC")</f>
        <v>CXC</v>
      </c>
      <c r="C1647" s="120" t="str">
        <f>IFERROR(__xludf.DUMMYFUNCTION("""COMPUTED_VALUE"""),"Chitina Arpt")</f>
        <v>Chitina Arpt</v>
      </c>
      <c r="D1647" s="120" t="str">
        <f>IFERROR(__xludf.DUMMYFUNCTION("""COMPUTED_VALUE"""),"United States")</f>
        <v>United States</v>
      </c>
      <c r="E1647" s="135"/>
      <c r="F1647" s="31"/>
    </row>
    <row r="1648">
      <c r="A1648" s="134" t="str">
        <f>IFERROR(__xludf.DUMMYFUNCTION("""COMPUTED_VALUE"""),"Chitral")</f>
        <v>Chitral</v>
      </c>
      <c r="B1648" s="120" t="str">
        <f>IFERROR(__xludf.DUMMYFUNCTION("""COMPUTED_VALUE"""),"CJL")</f>
        <v>CJL</v>
      </c>
      <c r="C1648" s="120" t="str">
        <f>IFERROR(__xludf.DUMMYFUNCTION("""COMPUTED_VALUE"""),"Chitral")</f>
        <v>Chitral</v>
      </c>
      <c r="D1648" s="120" t="str">
        <f>IFERROR(__xludf.DUMMYFUNCTION("""COMPUTED_VALUE"""),"Pakistan")</f>
        <v>Pakistan</v>
      </c>
      <c r="E1648" s="135"/>
      <c r="F1648" s="31"/>
    </row>
    <row r="1649">
      <c r="A1649" s="134" t="str">
        <f>IFERROR(__xludf.DUMMYFUNCTION("""COMPUTED_VALUE"""),"Chitre")</f>
        <v>Chitre</v>
      </c>
      <c r="B1649" s="120" t="str">
        <f>IFERROR(__xludf.DUMMYFUNCTION("""COMPUTED_VALUE"""),"CTD")</f>
        <v>CTD</v>
      </c>
      <c r="C1649" s="120" t="str">
        <f>IFERROR(__xludf.DUMMYFUNCTION("""COMPUTED_VALUE"""),"Chitre")</f>
        <v>Chitre</v>
      </c>
      <c r="D1649" s="120" t="str">
        <f>IFERROR(__xludf.DUMMYFUNCTION("""COMPUTED_VALUE"""),"Panama")</f>
        <v>Panama</v>
      </c>
      <c r="E1649" s="135"/>
      <c r="F1649" s="31"/>
    </row>
    <row r="1650">
      <c r="A1650" s="134" t="str">
        <f>IFERROR(__xludf.DUMMYFUNCTION("""COMPUTED_VALUE"""),"Chittagong")</f>
        <v>Chittagong</v>
      </c>
      <c r="B1650" s="120" t="str">
        <f>IFERROR(__xludf.DUMMYFUNCTION("""COMPUTED_VALUE"""),"CGP")</f>
        <v>CGP</v>
      </c>
      <c r="C1650" s="120" t="str">
        <f>IFERROR(__xludf.DUMMYFUNCTION("""COMPUTED_VALUE"""),"Patenga")</f>
        <v>Patenga</v>
      </c>
      <c r="D1650" s="120" t="str">
        <f>IFERROR(__xludf.DUMMYFUNCTION("""COMPUTED_VALUE"""),"Bangladesh")</f>
        <v>Bangladesh</v>
      </c>
      <c r="E1650" s="135"/>
      <c r="F1650" s="31"/>
    </row>
    <row r="1651">
      <c r="A1651" s="134" t="str">
        <f>IFERROR(__xludf.DUMMYFUNCTION("""COMPUTED_VALUE"""),"Chiusa/Klausen")</f>
        <v>Chiusa/Klausen</v>
      </c>
      <c r="B1651" s="120" t="str">
        <f>IFERROR(__xludf.DUMMYFUNCTION("""COMPUTED_VALUE"""),"ZAK")</f>
        <v>ZAK</v>
      </c>
      <c r="C1651" s="120" t="str">
        <f>IFERROR(__xludf.DUMMYFUNCTION("""COMPUTED_VALUE"""),"Bus Station")</f>
        <v>Bus Station</v>
      </c>
      <c r="D1651" s="120" t="str">
        <f>IFERROR(__xludf.DUMMYFUNCTION("""COMPUTED_VALUE"""),"Italy")</f>
        <v>Italy</v>
      </c>
      <c r="E1651" s="135"/>
      <c r="F1651" s="31"/>
    </row>
    <row r="1652">
      <c r="A1652" s="134" t="str">
        <f>IFERROR(__xludf.DUMMYFUNCTION("""COMPUTED_VALUE"""),"Chivolo")</f>
        <v>Chivolo</v>
      </c>
      <c r="B1652" s="120" t="str">
        <f>IFERROR(__xludf.DUMMYFUNCTION("""COMPUTED_VALUE"""),"IVO")</f>
        <v>IVO</v>
      </c>
      <c r="C1652" s="120" t="str">
        <f>IFERROR(__xludf.DUMMYFUNCTION("""COMPUTED_VALUE"""),"Chivolo")</f>
        <v>Chivolo</v>
      </c>
      <c r="D1652" s="120" t="str">
        <f>IFERROR(__xludf.DUMMYFUNCTION("""COMPUTED_VALUE"""),"Colombia")</f>
        <v>Colombia</v>
      </c>
      <c r="E1652" s="135"/>
      <c r="F1652" s="31"/>
    </row>
    <row r="1653">
      <c r="A1653" s="134" t="str">
        <f>IFERROR(__xludf.DUMMYFUNCTION("""COMPUTED_VALUE"""),"Chkalovsky")</f>
        <v>Chkalovsky</v>
      </c>
      <c r="B1653" s="120" t="str">
        <f>IFERROR(__xludf.DUMMYFUNCTION("""COMPUTED_VALUE"""),"CKL")</f>
        <v>CKL</v>
      </c>
      <c r="C1653" s="120" t="str">
        <f>IFERROR(__xludf.DUMMYFUNCTION("""COMPUTED_VALUE"""),"Chkalovsky")</f>
        <v>Chkalovsky</v>
      </c>
      <c r="D1653" s="120" t="str">
        <f>IFERROR(__xludf.DUMMYFUNCTION("""COMPUTED_VALUE"""),"Russia")</f>
        <v>Russia</v>
      </c>
      <c r="E1653" s="135"/>
      <c r="F1653" s="31"/>
    </row>
    <row r="1654">
      <c r="A1654" s="134" t="str">
        <f>IFERROR(__xludf.DUMMYFUNCTION("""COMPUTED_VALUE"""),"Chlef")</f>
        <v>Chlef</v>
      </c>
      <c r="B1654" s="120" t="str">
        <f>IFERROR(__xludf.DUMMYFUNCTION("""COMPUTED_VALUE"""),"CFK")</f>
        <v>CFK</v>
      </c>
      <c r="C1654" s="120" t="str">
        <f>IFERROR(__xludf.DUMMYFUNCTION("""COMPUTED_VALUE"""),"Abou Bakr Belkaid")</f>
        <v>Abou Bakr Belkaid</v>
      </c>
      <c r="D1654" s="120" t="str">
        <f>IFERROR(__xludf.DUMMYFUNCTION("""COMPUTED_VALUE"""),"Algeria")</f>
        <v>Algeria</v>
      </c>
      <c r="E1654" s="135"/>
      <c r="F1654" s="31"/>
    </row>
    <row r="1655">
      <c r="A1655" s="134" t="str">
        <f>IFERROR(__xludf.DUMMYFUNCTION("""COMPUTED_VALUE"""),"Choibalsan")</f>
        <v>Choibalsan</v>
      </c>
      <c r="B1655" s="120" t="str">
        <f>IFERROR(__xludf.DUMMYFUNCTION("""COMPUTED_VALUE"""),"COQ")</f>
        <v>COQ</v>
      </c>
      <c r="C1655" s="120" t="str">
        <f>IFERROR(__xludf.DUMMYFUNCTION("""COMPUTED_VALUE"""),"Choibalsan")</f>
        <v>Choibalsan</v>
      </c>
      <c r="D1655" s="120" t="str">
        <f>IFERROR(__xludf.DUMMYFUNCTION("""COMPUTED_VALUE"""),"Mongolia")</f>
        <v>Mongolia</v>
      </c>
      <c r="E1655" s="135"/>
      <c r="F1655" s="31"/>
    </row>
    <row r="1656">
      <c r="A1656" s="134" t="str">
        <f>IFERROR(__xludf.DUMMYFUNCTION("""COMPUTED_VALUE"""),"Choiseul Bay")</f>
        <v>Choiseul Bay</v>
      </c>
      <c r="B1656" s="120" t="str">
        <f>IFERROR(__xludf.DUMMYFUNCTION("""COMPUTED_VALUE"""),"CHY")</f>
        <v>CHY</v>
      </c>
      <c r="C1656" s="120" t="str">
        <f>IFERROR(__xludf.DUMMYFUNCTION("""COMPUTED_VALUE"""),"Choiseul Bay")</f>
        <v>Choiseul Bay</v>
      </c>
      <c r="D1656" s="120" t="str">
        <f>IFERROR(__xludf.DUMMYFUNCTION("""COMPUTED_VALUE"""),"Solomon Islands")</f>
        <v>Solomon Islands</v>
      </c>
      <c r="E1656" s="135"/>
      <c r="F1656" s="31"/>
    </row>
    <row r="1657">
      <c r="A1657" s="134" t="str">
        <f>IFERROR(__xludf.DUMMYFUNCTION("""COMPUTED_VALUE"""),"Chokurdah")</f>
        <v>Chokurdah</v>
      </c>
      <c r="B1657" s="120" t="str">
        <f>IFERROR(__xludf.DUMMYFUNCTION("""COMPUTED_VALUE"""),"CKH")</f>
        <v>CKH</v>
      </c>
      <c r="C1657" s="120" t="str">
        <f>IFERROR(__xludf.DUMMYFUNCTION("""COMPUTED_VALUE"""),"Chokurdah")</f>
        <v>Chokurdah</v>
      </c>
      <c r="D1657" s="120" t="str">
        <f>IFERROR(__xludf.DUMMYFUNCTION("""COMPUTED_VALUE"""),"Russia")</f>
        <v>Russia</v>
      </c>
      <c r="E1657" s="135"/>
      <c r="F1657" s="31"/>
    </row>
    <row r="1658">
      <c r="A1658" s="134" t="str">
        <f>IFERROR(__xludf.DUMMYFUNCTION("""COMPUTED_VALUE"""),"Chokwe")</f>
        <v>Chokwe</v>
      </c>
      <c r="B1658" s="120" t="str">
        <f>IFERROR(__xludf.DUMMYFUNCTION("""COMPUTED_VALUE"""),"TGS")</f>
        <v>TGS</v>
      </c>
      <c r="C1658" s="120" t="str">
        <f>IFERROR(__xludf.DUMMYFUNCTION("""COMPUTED_VALUE"""),"Chokwe")</f>
        <v>Chokwe</v>
      </c>
      <c r="D1658" s="120" t="str">
        <f>IFERROR(__xludf.DUMMYFUNCTION("""COMPUTED_VALUE"""),"Mozambique")</f>
        <v>Mozambique</v>
      </c>
      <c r="E1658" s="135"/>
      <c r="F1658" s="31"/>
    </row>
    <row r="1659">
      <c r="A1659" s="134" t="str">
        <f>IFERROR(__xludf.DUMMYFUNCTION("""COMPUTED_VALUE"""),"Cholet")</f>
        <v>Cholet</v>
      </c>
      <c r="B1659" s="120" t="str">
        <f>IFERROR(__xludf.DUMMYFUNCTION("""COMPUTED_VALUE"""),"CET")</f>
        <v>CET</v>
      </c>
      <c r="C1659" s="120" t="str">
        <f>IFERROR(__xludf.DUMMYFUNCTION("""COMPUTED_VALUE"""),"Le Pontreau")</f>
        <v>Le Pontreau</v>
      </c>
      <c r="D1659" s="120" t="str">
        <f>IFERROR(__xludf.DUMMYFUNCTION("""COMPUTED_VALUE"""),"France")</f>
        <v>France</v>
      </c>
      <c r="E1659" s="135"/>
      <c r="F1659" s="31"/>
    </row>
    <row r="1660">
      <c r="A1660" s="134" t="str">
        <f>IFERROR(__xludf.DUMMYFUNCTION("""COMPUTED_VALUE"""),"Chomley")</f>
        <v>Chomley</v>
      </c>
      <c r="B1660" s="120" t="str">
        <f>IFERROR(__xludf.DUMMYFUNCTION("""COMPUTED_VALUE"""),"CIV")</f>
        <v>CIV</v>
      </c>
      <c r="C1660" s="120" t="str">
        <f>IFERROR(__xludf.DUMMYFUNCTION("""COMPUTED_VALUE"""),"Chomley")</f>
        <v>Chomley</v>
      </c>
      <c r="D1660" s="120" t="str">
        <f>IFERROR(__xludf.DUMMYFUNCTION("""COMPUTED_VALUE"""),"United States")</f>
        <v>United States</v>
      </c>
      <c r="E1660" s="135"/>
      <c r="F1660" s="31"/>
    </row>
    <row r="1661">
      <c r="A1661" s="134" t="str">
        <f>IFERROR(__xludf.DUMMYFUNCTION("""COMPUTED_VALUE"""),"Chongqing")</f>
        <v>Chongqing</v>
      </c>
      <c r="B1661" s="120" t="str">
        <f>IFERROR(__xludf.DUMMYFUNCTION("""COMPUTED_VALUE"""),"CKG")</f>
        <v>CKG</v>
      </c>
      <c r="C1661" s="120" t="str">
        <f>IFERROR(__xludf.DUMMYFUNCTION("""COMPUTED_VALUE"""),"Chongqing Jiangbei International")</f>
        <v>Chongqing Jiangbei International</v>
      </c>
      <c r="D1661" s="120" t="str">
        <f>IFERROR(__xludf.DUMMYFUNCTION("""COMPUTED_VALUE"""),"China")</f>
        <v>China</v>
      </c>
      <c r="E1661" s="135"/>
      <c r="F1661" s="31"/>
    </row>
    <row r="1662">
      <c r="A1662" s="134" t="str">
        <f>IFERROR(__xludf.DUMMYFUNCTION("""COMPUTED_VALUE"""),"Chos Malal")</f>
        <v>Chos Malal</v>
      </c>
      <c r="B1662" s="120" t="str">
        <f>IFERROR(__xludf.DUMMYFUNCTION("""COMPUTED_VALUE"""),"HOS")</f>
        <v>HOS</v>
      </c>
      <c r="C1662" s="120" t="str">
        <f>IFERROR(__xludf.DUMMYFUNCTION("""COMPUTED_VALUE"""),"Oscar Reguera")</f>
        <v>Oscar Reguera</v>
      </c>
      <c r="D1662" s="120" t="str">
        <f>IFERROR(__xludf.DUMMYFUNCTION("""COMPUTED_VALUE"""),"Argentina")</f>
        <v>Argentina</v>
      </c>
      <c r="E1662" s="135"/>
      <c r="F1662" s="31"/>
    </row>
    <row r="1663">
      <c r="A1663" s="134" t="str">
        <f>IFERROR(__xludf.DUMMYFUNCTION("""COMPUTED_VALUE"""),"Christchurch")</f>
        <v>Christchurch</v>
      </c>
      <c r="B1663" s="120" t="str">
        <f>IFERROR(__xludf.DUMMYFUNCTION("""COMPUTED_VALUE"""),"CHC")</f>
        <v>CHC</v>
      </c>
      <c r="C1663" s="120" t="str">
        <f>IFERROR(__xludf.DUMMYFUNCTION("""COMPUTED_VALUE"""),"Christchurch International")</f>
        <v>Christchurch International</v>
      </c>
      <c r="D1663" s="120" t="str">
        <f>IFERROR(__xludf.DUMMYFUNCTION("""COMPUTED_VALUE"""),"New Zealand (Aotearoa)")</f>
        <v>New Zealand (Aotearoa)</v>
      </c>
      <c r="E1663" s="135"/>
      <c r="F1663" s="31"/>
    </row>
    <row r="1664">
      <c r="A1664" s="134" t="str">
        <f>IFERROR(__xludf.DUMMYFUNCTION("""COMPUTED_VALUE"""),"Christmas Creek")</f>
        <v>Christmas Creek</v>
      </c>
      <c r="B1664" s="120" t="str">
        <f>IFERROR(__xludf.DUMMYFUNCTION("""COMPUTED_VALUE"""),"CXQ")</f>
        <v>CXQ</v>
      </c>
      <c r="C1664" s="120" t="str">
        <f>IFERROR(__xludf.DUMMYFUNCTION("""COMPUTED_VALUE"""),"Christmas Creek")</f>
        <v>Christmas Creek</v>
      </c>
      <c r="D1664" s="120" t="str">
        <f>IFERROR(__xludf.DUMMYFUNCTION("""COMPUTED_VALUE"""),"Australia")</f>
        <v>Australia</v>
      </c>
      <c r="E1664" s="135"/>
      <c r="F1664" s="31"/>
    </row>
    <row r="1665">
      <c r="A1665" s="134" t="str">
        <f>IFERROR(__xludf.DUMMYFUNCTION("""COMPUTED_VALUE"""),"Christmas Island")</f>
        <v>Christmas Island</v>
      </c>
      <c r="B1665" s="120" t="str">
        <f>IFERROR(__xludf.DUMMYFUNCTION("""COMPUTED_VALUE"""),"XCH")</f>
        <v>XCH</v>
      </c>
      <c r="C1665" s="120" t="str">
        <f>IFERROR(__xludf.DUMMYFUNCTION("""COMPUTED_VALUE"""),"Christmas Island")</f>
        <v>Christmas Island</v>
      </c>
      <c r="D1665" s="120" t="str">
        <f>IFERROR(__xludf.DUMMYFUNCTION("""COMPUTED_VALUE"""),"Christmas Island")</f>
        <v>Christmas Island</v>
      </c>
      <c r="E1665" s="135"/>
      <c r="F1665" s="31"/>
    </row>
    <row r="1666">
      <c r="A1666" s="134" t="str">
        <f>IFERROR(__xludf.DUMMYFUNCTION("""COMPUTED_VALUE"""),"Christmas Island")</f>
        <v>Christmas Island</v>
      </c>
      <c r="B1666" s="120" t="str">
        <f>IFERROR(__xludf.DUMMYFUNCTION("""COMPUTED_VALUE"""),"CXI")</f>
        <v>CXI</v>
      </c>
      <c r="C1666" s="120" t="str">
        <f>IFERROR(__xludf.DUMMYFUNCTION("""COMPUTED_VALUE"""),"Christmas Island")</f>
        <v>Christmas Island</v>
      </c>
      <c r="D1666" s="120" t="str">
        <f>IFERROR(__xludf.DUMMYFUNCTION("""COMPUTED_VALUE"""),"Kiribati")</f>
        <v>Kiribati</v>
      </c>
      <c r="E1666" s="135"/>
      <c r="F1666" s="31"/>
    </row>
    <row r="1667">
      <c r="A1667" s="134" t="str">
        <f>IFERROR(__xludf.DUMMYFUNCTION("""COMPUTED_VALUE"""),"Chuathbaluk")</f>
        <v>Chuathbaluk</v>
      </c>
      <c r="B1667" s="120" t="str">
        <f>IFERROR(__xludf.DUMMYFUNCTION("""COMPUTED_VALUE"""),"CHU")</f>
        <v>CHU</v>
      </c>
      <c r="C1667" s="120" t="str">
        <f>IFERROR(__xludf.DUMMYFUNCTION("""COMPUTED_VALUE"""),"Chuathbaluk")</f>
        <v>Chuathbaluk</v>
      </c>
      <c r="D1667" s="120" t="str">
        <f>IFERROR(__xludf.DUMMYFUNCTION("""COMPUTED_VALUE"""),"United States")</f>
        <v>United States</v>
      </c>
      <c r="E1667" s="135"/>
      <c r="F1667" s="31"/>
    </row>
    <row r="1668">
      <c r="A1668" s="134" t="str">
        <f>IFERROR(__xludf.DUMMYFUNCTION("""COMPUTED_VALUE"""),"Chub Cay")</f>
        <v>Chub Cay</v>
      </c>
      <c r="B1668" s="120" t="str">
        <f>IFERROR(__xludf.DUMMYFUNCTION("""COMPUTED_VALUE"""),"CCZ")</f>
        <v>CCZ</v>
      </c>
      <c r="C1668" s="120" t="str">
        <f>IFERROR(__xludf.DUMMYFUNCTION("""COMPUTED_VALUE"""),"Chub Cay")</f>
        <v>Chub Cay</v>
      </c>
      <c r="D1668" s="120" t="str">
        <f>IFERROR(__xludf.DUMMYFUNCTION("""COMPUTED_VALUE"""),"Bahamas")</f>
        <v>Bahamas</v>
      </c>
      <c r="E1668" s="135"/>
      <c r="F1668" s="31"/>
    </row>
    <row r="1669">
      <c r="A1669" s="134" t="str">
        <f>IFERROR(__xludf.DUMMYFUNCTION("""COMPUTED_VALUE"""),"Chulman")</f>
        <v>Chulman</v>
      </c>
      <c r="B1669" s="120" t="str">
        <f>IFERROR(__xludf.DUMMYFUNCTION("""COMPUTED_VALUE"""),"CNN")</f>
        <v>CNN</v>
      </c>
      <c r="C1669" s="120" t="str">
        <f>IFERROR(__xludf.DUMMYFUNCTION("""COMPUTED_VALUE"""),"Chulman")</f>
        <v>Chulman</v>
      </c>
      <c r="D1669" s="120" t="str">
        <f>IFERROR(__xludf.DUMMYFUNCTION("""COMPUTED_VALUE"""),"Russia")</f>
        <v>Russia</v>
      </c>
      <c r="E1669" s="135"/>
      <c r="F1669" s="31"/>
    </row>
    <row r="1670">
      <c r="A1670" s="134" t="str">
        <f>IFERROR(__xludf.DUMMYFUNCTION("""COMPUTED_VALUE"""),"Chumphon")</f>
        <v>Chumphon</v>
      </c>
      <c r="B1670" s="120" t="str">
        <f>IFERROR(__xludf.DUMMYFUNCTION("""COMPUTED_VALUE"""),"CJM")</f>
        <v>CJM</v>
      </c>
      <c r="C1670" s="120" t="str">
        <f>IFERROR(__xludf.DUMMYFUNCTION("""COMPUTED_VALUE"""),"Chumphon Airport")</f>
        <v>Chumphon Airport</v>
      </c>
      <c r="D1670" s="120" t="str">
        <f>IFERROR(__xludf.DUMMYFUNCTION("""COMPUTED_VALUE"""),"Thailand")</f>
        <v>Thailand</v>
      </c>
      <c r="E1670" s="135"/>
      <c r="F1670" s="31"/>
    </row>
    <row r="1671">
      <c r="A1671" s="134" t="str">
        <f>IFERROR(__xludf.DUMMYFUNCTION("""COMPUTED_VALUE"""),"Chungribu")</f>
        <v>Chungribu</v>
      </c>
      <c r="B1671" s="120" t="str">
        <f>IFERROR(__xludf.DUMMYFUNCTION("""COMPUTED_VALUE"""),"CVB")</f>
        <v>CVB</v>
      </c>
      <c r="C1671" s="120" t="str">
        <f>IFERROR(__xludf.DUMMYFUNCTION("""COMPUTED_VALUE"""),"Chungribu")</f>
        <v>Chungribu</v>
      </c>
      <c r="D1671" s="120" t="str">
        <f>IFERROR(__xludf.DUMMYFUNCTION("""COMPUTED_VALUE"""),"Papua New Guinea")</f>
        <v>Papua New Guinea</v>
      </c>
      <c r="E1671" s="135"/>
      <c r="F1671" s="31"/>
    </row>
    <row r="1672">
      <c r="A1672" s="134" t="str">
        <f>IFERROR(__xludf.DUMMYFUNCTION("""COMPUTED_VALUE"""),"Churchill Falls")</f>
        <v>Churchill Falls</v>
      </c>
      <c r="B1672" s="120" t="str">
        <f>IFERROR(__xludf.DUMMYFUNCTION("""COMPUTED_VALUE"""),"ZUM")</f>
        <v>ZUM</v>
      </c>
      <c r="C1672" s="120" t="str">
        <f>IFERROR(__xludf.DUMMYFUNCTION("""COMPUTED_VALUE"""),"Churchill Falls")</f>
        <v>Churchill Falls</v>
      </c>
      <c r="D1672" s="120" t="str">
        <f>IFERROR(__xludf.DUMMYFUNCTION("""COMPUTED_VALUE"""),"Canada")</f>
        <v>Canada</v>
      </c>
      <c r="E1672" s="135"/>
      <c r="F1672" s="31"/>
    </row>
    <row r="1673">
      <c r="A1673" s="134" t="str">
        <f>IFERROR(__xludf.DUMMYFUNCTION("""COMPUTED_VALUE"""),"Chute-Des-Passes")</f>
        <v>Chute-Des-Passes</v>
      </c>
      <c r="B1673" s="120" t="str">
        <f>IFERROR(__xludf.DUMMYFUNCTION("""COMPUTED_VALUE"""),"YWQ")</f>
        <v>YWQ</v>
      </c>
      <c r="C1673" s="120" t="str">
        <f>IFERROR(__xludf.DUMMYFUNCTION("""COMPUTED_VALUE"""),"Chute-Des-Passes")</f>
        <v>Chute-Des-Passes</v>
      </c>
      <c r="D1673" s="120" t="str">
        <f>IFERROR(__xludf.DUMMYFUNCTION("""COMPUTED_VALUE"""),"Canada")</f>
        <v>Canada</v>
      </c>
      <c r="E1673" s="135"/>
      <c r="F1673" s="31"/>
    </row>
    <row r="1674">
      <c r="A1674" s="134" t="str">
        <f>IFERROR(__xludf.DUMMYFUNCTION("""COMPUTED_VALUE"""),"Cicia")</f>
        <v>Cicia</v>
      </c>
      <c r="B1674" s="120" t="str">
        <f>IFERROR(__xludf.DUMMYFUNCTION("""COMPUTED_VALUE"""),"ICI")</f>
        <v>ICI</v>
      </c>
      <c r="C1674" s="120" t="str">
        <f>IFERROR(__xludf.DUMMYFUNCTION("""COMPUTED_VALUE"""),"Cicia")</f>
        <v>Cicia</v>
      </c>
      <c r="D1674" s="120" t="str">
        <f>IFERROR(__xludf.DUMMYFUNCTION("""COMPUTED_VALUE"""),"Fiji")</f>
        <v>Fiji</v>
      </c>
      <c r="E1674" s="135"/>
      <c r="F1674" s="31"/>
    </row>
    <row r="1675">
      <c r="A1675" s="134" t="str">
        <f>IFERROR(__xludf.DUMMYFUNCTION("""COMPUTED_VALUE"""),"Ciego De Avila")</f>
        <v>Ciego De Avila</v>
      </c>
      <c r="B1675" s="120" t="str">
        <f>IFERROR(__xludf.DUMMYFUNCTION("""COMPUTED_VALUE"""),"AVI")</f>
        <v>AVI</v>
      </c>
      <c r="C1675" s="120" t="str">
        <f>IFERROR(__xludf.DUMMYFUNCTION("""COMPUTED_VALUE"""),"Maximo Gomez")</f>
        <v>Maximo Gomez</v>
      </c>
      <c r="D1675" s="120" t="str">
        <f>IFERROR(__xludf.DUMMYFUNCTION("""COMPUTED_VALUE"""),"Cuba")</f>
        <v>Cuba</v>
      </c>
      <c r="E1675" s="135"/>
      <c r="F1675" s="31"/>
    </row>
    <row r="1676">
      <c r="A1676" s="134" t="str">
        <f>IFERROR(__xludf.DUMMYFUNCTION("""COMPUTED_VALUE"""),"Cienfuegos")</f>
        <v>Cienfuegos</v>
      </c>
      <c r="B1676" s="120" t="str">
        <f>IFERROR(__xludf.DUMMYFUNCTION("""COMPUTED_VALUE"""),"CFG")</f>
        <v>CFG</v>
      </c>
      <c r="C1676" s="120" t="str">
        <f>IFERROR(__xludf.DUMMYFUNCTION("""COMPUTED_VALUE"""),"Cienfuegos")</f>
        <v>Cienfuegos</v>
      </c>
      <c r="D1676" s="120" t="str">
        <f>IFERROR(__xludf.DUMMYFUNCTION("""COMPUTED_VALUE"""),"Cuba")</f>
        <v>Cuba</v>
      </c>
      <c r="E1676" s="135"/>
      <c r="F1676" s="31"/>
    </row>
    <row r="1677">
      <c r="A1677" s="134" t="str">
        <f>IFERROR(__xludf.DUMMYFUNCTION("""COMPUTED_VALUE"""),"Cilacap")</f>
        <v>Cilacap</v>
      </c>
      <c r="B1677" s="120" t="str">
        <f>IFERROR(__xludf.DUMMYFUNCTION("""COMPUTED_VALUE"""),"CXP")</f>
        <v>CXP</v>
      </c>
      <c r="C1677" s="120" t="str">
        <f>IFERROR(__xludf.DUMMYFUNCTION("""COMPUTED_VALUE"""),"Tunggul Wulung")</f>
        <v>Tunggul Wulung</v>
      </c>
      <c r="D1677" s="120" t="str">
        <f>IFERROR(__xludf.DUMMYFUNCTION("""COMPUTED_VALUE"""),"Indonesia")</f>
        <v>Indonesia</v>
      </c>
      <c r="E1677" s="135"/>
      <c r="F1677" s="31"/>
    </row>
    <row r="1678">
      <c r="A1678" s="134" t="str">
        <f>IFERROR(__xludf.DUMMYFUNCTION("""COMPUTED_VALUE"""),"Cimitarra")</f>
        <v>Cimitarra</v>
      </c>
      <c r="B1678" s="120" t="str">
        <f>IFERROR(__xludf.DUMMYFUNCTION("""COMPUTED_VALUE"""),"CIM")</f>
        <v>CIM</v>
      </c>
      <c r="C1678" s="120" t="str">
        <f>IFERROR(__xludf.DUMMYFUNCTION("""COMPUTED_VALUE"""),"Cimitarra")</f>
        <v>Cimitarra</v>
      </c>
      <c r="D1678" s="120" t="str">
        <f>IFERROR(__xludf.DUMMYFUNCTION("""COMPUTED_VALUE"""),"Colombia")</f>
        <v>Colombia</v>
      </c>
      <c r="E1678" s="135"/>
      <c r="F1678" s="31"/>
    </row>
    <row r="1679">
      <c r="A1679" s="134" t="str">
        <f>IFERROR(__xludf.DUMMYFUNCTION("""COMPUTED_VALUE"""),"Cincinnati")</f>
        <v>Cincinnati</v>
      </c>
      <c r="B1679" s="120" t="str">
        <f>IFERROR(__xludf.DUMMYFUNCTION("""COMPUTED_VALUE"""),"CVG")</f>
        <v>CVG</v>
      </c>
      <c r="C1679" s="120" t="str">
        <f>IFERROR(__xludf.DUMMYFUNCTION("""COMPUTED_VALUE"""),"Cinci./Nrthrn Kentucky")</f>
        <v>Cinci./Nrthrn Kentucky</v>
      </c>
      <c r="D1679" s="120" t="str">
        <f>IFERROR(__xludf.DUMMYFUNCTION("""COMPUTED_VALUE"""),"United States")</f>
        <v>United States</v>
      </c>
      <c r="E1679" s="135"/>
      <c r="F1679" s="31"/>
    </row>
    <row r="1680">
      <c r="A1680" s="134" t="str">
        <f>IFERROR(__xludf.DUMMYFUNCTION("""COMPUTED_VALUE"""),"Cincinnati")</f>
        <v>Cincinnati</v>
      </c>
      <c r="B1680" s="120" t="str">
        <f>IFERROR(__xludf.DUMMYFUNCTION("""COMPUTED_VALUE"""),"LUK")</f>
        <v>LUK</v>
      </c>
      <c r="C1680" s="120" t="str">
        <f>IFERROR(__xludf.DUMMYFUNCTION("""COMPUTED_VALUE"""),"Municipal")</f>
        <v>Municipal</v>
      </c>
      <c r="D1680" s="120" t="str">
        <f>IFERROR(__xludf.DUMMYFUNCTION("""COMPUTED_VALUE"""),"United States")</f>
        <v>United States</v>
      </c>
      <c r="E1680" s="135"/>
      <c r="F1680" s="31"/>
    </row>
    <row r="1681">
      <c r="A1681" s="134" t="str">
        <f>IFERROR(__xludf.DUMMYFUNCTION("""COMPUTED_VALUE"""),"Cinder River")</f>
        <v>Cinder River</v>
      </c>
      <c r="B1681" s="120" t="str">
        <f>IFERROR(__xludf.DUMMYFUNCTION("""COMPUTED_VALUE"""),"RCP")</f>
        <v>RCP</v>
      </c>
      <c r="C1681" s="120" t="str">
        <f>IFERROR(__xludf.DUMMYFUNCTION("""COMPUTED_VALUE"""),"Cinder River")</f>
        <v>Cinder River</v>
      </c>
      <c r="D1681" s="120" t="str">
        <f>IFERROR(__xludf.DUMMYFUNCTION("""COMPUTED_VALUE"""),"United States")</f>
        <v>United States</v>
      </c>
      <c r="E1681" s="135"/>
      <c r="F1681" s="31"/>
    </row>
    <row r="1682">
      <c r="A1682" s="134" t="str">
        <f>IFERROR(__xludf.DUMMYFUNCTION("""COMPUTED_VALUE"""),"Circle")</f>
        <v>Circle</v>
      </c>
      <c r="B1682" s="120" t="str">
        <f>IFERROR(__xludf.DUMMYFUNCTION("""COMPUTED_VALUE"""),"IRC")</f>
        <v>IRC</v>
      </c>
      <c r="C1682" s="120" t="str">
        <f>IFERROR(__xludf.DUMMYFUNCTION("""COMPUTED_VALUE"""),"Circle City")</f>
        <v>Circle City</v>
      </c>
      <c r="D1682" s="120" t="str">
        <f>IFERROR(__xludf.DUMMYFUNCTION("""COMPUTED_VALUE"""),"United States")</f>
        <v>United States</v>
      </c>
      <c r="E1682" s="135"/>
      <c r="F1682" s="31"/>
    </row>
    <row r="1683">
      <c r="A1683" s="134" t="str">
        <f>IFERROR(__xludf.DUMMYFUNCTION("""COMPUTED_VALUE"""),"Circle Hot Springs")</f>
        <v>Circle Hot Springs</v>
      </c>
      <c r="B1683" s="120" t="str">
        <f>IFERROR(__xludf.DUMMYFUNCTION("""COMPUTED_VALUE"""),"CHP")</f>
        <v>CHP</v>
      </c>
      <c r="C1683" s="120" t="str">
        <f>IFERROR(__xludf.DUMMYFUNCTION("""COMPUTED_VALUE"""),"Circle Hot Springs")</f>
        <v>Circle Hot Springs</v>
      </c>
      <c r="D1683" s="120" t="str">
        <f>IFERROR(__xludf.DUMMYFUNCTION("""COMPUTED_VALUE"""),"United States")</f>
        <v>United States</v>
      </c>
      <c r="E1683" s="135"/>
      <c r="F1683" s="31"/>
    </row>
    <row r="1684">
      <c r="A1684" s="134" t="str">
        <f>IFERROR(__xludf.DUMMYFUNCTION("""COMPUTED_VALUE"""),"Cirebon")</f>
        <v>Cirebon</v>
      </c>
      <c r="B1684" s="120" t="str">
        <f>IFERROR(__xludf.DUMMYFUNCTION("""COMPUTED_VALUE"""),"CBN")</f>
        <v>CBN</v>
      </c>
      <c r="C1684" s="120" t="str">
        <f>IFERROR(__xludf.DUMMYFUNCTION("""COMPUTED_VALUE"""),"Penggung")</f>
        <v>Penggung</v>
      </c>
      <c r="D1684" s="120" t="str">
        <f>IFERROR(__xludf.DUMMYFUNCTION("""COMPUTED_VALUE"""),"Indonesia")</f>
        <v>Indonesia</v>
      </c>
      <c r="E1684" s="135"/>
      <c r="F1684" s="31"/>
    </row>
    <row r="1685">
      <c r="A1685" s="134" t="str">
        <f>IFERROR(__xludf.DUMMYFUNCTION("""COMPUTED_VALUE"""),"Ciudad Acuna")</f>
        <v>Ciudad Acuna</v>
      </c>
      <c r="B1685" s="120" t="str">
        <f>IFERROR(__xludf.DUMMYFUNCTION("""COMPUTED_VALUE"""),"ACN")</f>
        <v>ACN</v>
      </c>
      <c r="C1685" s="120" t="str">
        <f>IFERROR(__xludf.DUMMYFUNCTION("""COMPUTED_VALUE"""),"International")</f>
        <v>International</v>
      </c>
      <c r="D1685" s="120" t="str">
        <f>IFERROR(__xludf.DUMMYFUNCTION("""COMPUTED_VALUE"""),"Mexico")</f>
        <v>Mexico</v>
      </c>
      <c r="E1685" s="135"/>
      <c r="F1685" s="31"/>
    </row>
    <row r="1686">
      <c r="A1686" s="134" t="str">
        <f>IFERROR(__xludf.DUMMYFUNCTION("""COMPUTED_VALUE"""),"Ciudad Bolivar")</f>
        <v>Ciudad Bolivar</v>
      </c>
      <c r="B1686" s="120" t="str">
        <f>IFERROR(__xludf.DUMMYFUNCTION("""COMPUTED_VALUE"""),"CBL")</f>
        <v>CBL</v>
      </c>
      <c r="C1686" s="120" t="str">
        <f>IFERROR(__xludf.DUMMYFUNCTION("""COMPUTED_VALUE"""),"Ciudad Bolivar")</f>
        <v>Ciudad Bolivar</v>
      </c>
      <c r="D1686" s="120" t="str">
        <f>IFERROR(__xludf.DUMMYFUNCTION("""COMPUTED_VALUE"""),"Venezuela")</f>
        <v>Venezuela</v>
      </c>
      <c r="E1686" s="135"/>
      <c r="F1686" s="31"/>
    </row>
    <row r="1687">
      <c r="A1687" s="134" t="str">
        <f>IFERROR(__xludf.DUMMYFUNCTION("""COMPUTED_VALUE"""),"Ciudad Constitucion")</f>
        <v>Ciudad Constitucion</v>
      </c>
      <c r="B1687" s="120" t="str">
        <f>IFERROR(__xludf.DUMMYFUNCTION("""COMPUTED_VALUE"""),"CUA")</f>
        <v>CUA</v>
      </c>
      <c r="C1687" s="120" t="str">
        <f>IFERROR(__xludf.DUMMYFUNCTION("""COMPUTED_VALUE"""),"Ciudad Constitucion")</f>
        <v>Ciudad Constitucion</v>
      </c>
      <c r="D1687" s="120" t="str">
        <f>IFERROR(__xludf.DUMMYFUNCTION("""COMPUTED_VALUE"""),"Mexico")</f>
        <v>Mexico</v>
      </c>
      <c r="E1687" s="135"/>
      <c r="F1687" s="31"/>
    </row>
    <row r="1688">
      <c r="A1688" s="134" t="str">
        <f>IFERROR(__xludf.DUMMYFUNCTION("""COMPUTED_VALUE"""),"Ciudad Del Carmen")</f>
        <v>Ciudad Del Carmen</v>
      </c>
      <c r="B1688" s="120" t="str">
        <f>IFERROR(__xludf.DUMMYFUNCTION("""COMPUTED_VALUE"""),"CME")</f>
        <v>CME</v>
      </c>
      <c r="C1688" s="120" t="str">
        <f>IFERROR(__xludf.DUMMYFUNCTION("""COMPUTED_VALUE"""),"Ciudad Del Carmen")</f>
        <v>Ciudad Del Carmen</v>
      </c>
      <c r="D1688" s="120" t="str">
        <f>IFERROR(__xludf.DUMMYFUNCTION("""COMPUTED_VALUE"""),"Mexico")</f>
        <v>Mexico</v>
      </c>
      <c r="E1688" s="135"/>
      <c r="F1688" s="31"/>
    </row>
    <row r="1689">
      <c r="A1689" s="134" t="str">
        <f>IFERROR(__xludf.DUMMYFUNCTION("""COMPUTED_VALUE"""),"Ciudad del Este")</f>
        <v>Ciudad del Este</v>
      </c>
      <c r="B1689" s="120" t="str">
        <f>IFERROR(__xludf.DUMMYFUNCTION("""COMPUTED_VALUE"""),"AGT")</f>
        <v>AGT</v>
      </c>
      <c r="C1689" s="120" t="str">
        <f>IFERROR(__xludf.DUMMYFUNCTION("""COMPUTED_VALUE"""),"Alejo Garcia")</f>
        <v>Alejo Garcia</v>
      </c>
      <c r="D1689" s="120" t="str">
        <f>IFERROR(__xludf.DUMMYFUNCTION("""COMPUTED_VALUE"""),"Paraguay")</f>
        <v>Paraguay</v>
      </c>
      <c r="E1689" s="135"/>
      <c r="F1689" s="31"/>
    </row>
    <row r="1690">
      <c r="A1690" s="134" t="str">
        <f>IFERROR(__xludf.DUMMYFUNCTION("""COMPUTED_VALUE"""),"Ciudad Guayana")</f>
        <v>Ciudad Guayana</v>
      </c>
      <c r="B1690" s="120" t="str">
        <f>IFERROR(__xludf.DUMMYFUNCTION("""COMPUTED_VALUE"""),"CGU")</f>
        <v>CGU</v>
      </c>
      <c r="C1690" s="120" t="str">
        <f>IFERROR(__xludf.DUMMYFUNCTION("""COMPUTED_VALUE"""),"Ciudad Guayana")</f>
        <v>Ciudad Guayana</v>
      </c>
      <c r="D1690" s="120" t="str">
        <f>IFERROR(__xludf.DUMMYFUNCTION("""COMPUTED_VALUE"""),"Venezuela")</f>
        <v>Venezuela</v>
      </c>
      <c r="E1690" s="135"/>
      <c r="F1690" s="31"/>
    </row>
    <row r="1691">
      <c r="A1691" s="134" t="str">
        <f>IFERROR(__xludf.DUMMYFUNCTION("""COMPUTED_VALUE"""),"Ciudad Juarez")</f>
        <v>Ciudad Juarez</v>
      </c>
      <c r="B1691" s="120" t="str">
        <f>IFERROR(__xludf.DUMMYFUNCTION("""COMPUTED_VALUE"""),"CJS")</f>
        <v>CJS</v>
      </c>
      <c r="C1691" s="120" t="str">
        <f>IFERROR(__xludf.DUMMYFUNCTION("""COMPUTED_VALUE"""),"Intl Abraham Gonzalez")</f>
        <v>Intl Abraham Gonzalez</v>
      </c>
      <c r="D1691" s="120" t="str">
        <f>IFERROR(__xludf.DUMMYFUNCTION("""COMPUTED_VALUE"""),"Mexico")</f>
        <v>Mexico</v>
      </c>
      <c r="E1691" s="135"/>
      <c r="F1691" s="31"/>
    </row>
    <row r="1692">
      <c r="A1692" s="134" t="str">
        <f>IFERROR(__xludf.DUMMYFUNCTION("""COMPUTED_VALUE"""),"Ciudad Mante")</f>
        <v>Ciudad Mante</v>
      </c>
      <c r="B1692" s="120" t="str">
        <f>IFERROR(__xludf.DUMMYFUNCTION("""COMPUTED_VALUE"""),"MMC")</f>
        <v>MMC</v>
      </c>
      <c r="C1692" s="120" t="str">
        <f>IFERROR(__xludf.DUMMYFUNCTION("""COMPUTED_VALUE"""),"Ciudad Mante")</f>
        <v>Ciudad Mante</v>
      </c>
      <c r="D1692" s="120" t="str">
        <f>IFERROR(__xludf.DUMMYFUNCTION("""COMPUTED_VALUE"""),"Mexico")</f>
        <v>Mexico</v>
      </c>
      <c r="E1692" s="135"/>
      <c r="F1692" s="31"/>
    </row>
    <row r="1693">
      <c r="A1693" s="134" t="str">
        <f>IFERROR(__xludf.DUMMYFUNCTION("""COMPUTED_VALUE"""),"Ciudad Obregon")</f>
        <v>Ciudad Obregon</v>
      </c>
      <c r="B1693" s="120" t="str">
        <f>IFERROR(__xludf.DUMMYFUNCTION("""COMPUTED_VALUE"""),"CEN")</f>
        <v>CEN</v>
      </c>
      <c r="C1693" s="120" t="str">
        <f>IFERROR(__xludf.DUMMYFUNCTION("""COMPUTED_VALUE"""),"Ciudad Obregon")</f>
        <v>Ciudad Obregon</v>
      </c>
      <c r="D1693" s="120" t="str">
        <f>IFERROR(__xludf.DUMMYFUNCTION("""COMPUTED_VALUE"""),"Mexico")</f>
        <v>Mexico</v>
      </c>
      <c r="E1693" s="135"/>
      <c r="F1693" s="31"/>
    </row>
    <row r="1694">
      <c r="A1694" s="134" t="str">
        <f>IFERROR(__xludf.DUMMYFUNCTION("""COMPUTED_VALUE"""),"Ciudad Real")</f>
        <v>Ciudad Real</v>
      </c>
      <c r="B1694" s="120" t="str">
        <f>IFERROR(__xludf.DUMMYFUNCTION("""COMPUTED_VALUE"""),"CJI")</f>
        <v>CJI</v>
      </c>
      <c r="C1694" s="120" t="str">
        <f>IFERROR(__xludf.DUMMYFUNCTION("""COMPUTED_VALUE"""),"Ciudad Real")</f>
        <v>Ciudad Real</v>
      </c>
      <c r="D1694" s="120" t="str">
        <f>IFERROR(__xludf.DUMMYFUNCTION("""COMPUTED_VALUE"""),"Spain")</f>
        <v>Spain</v>
      </c>
      <c r="E1694" s="135"/>
      <c r="F1694" s="31"/>
    </row>
    <row r="1695">
      <c r="A1695" s="134" t="str">
        <f>IFERROR(__xludf.DUMMYFUNCTION("""COMPUTED_VALUE"""),"Ciudad Victoria")</f>
        <v>Ciudad Victoria</v>
      </c>
      <c r="B1695" s="120" t="str">
        <f>IFERROR(__xludf.DUMMYFUNCTION("""COMPUTED_VALUE"""),"CVM")</f>
        <v>CVM</v>
      </c>
      <c r="C1695" s="120" t="str">
        <f>IFERROR(__xludf.DUMMYFUNCTION("""COMPUTED_VALUE"""),"Ciudad Victoria")</f>
        <v>Ciudad Victoria</v>
      </c>
      <c r="D1695" s="120" t="str">
        <f>IFERROR(__xludf.DUMMYFUNCTION("""COMPUTED_VALUE"""),"Mexico")</f>
        <v>Mexico</v>
      </c>
      <c r="E1695" s="135"/>
      <c r="F1695" s="31"/>
    </row>
    <row r="1696">
      <c r="A1696" s="134" t="str">
        <f>IFERROR(__xludf.DUMMYFUNCTION("""COMPUTED_VALUE"""),"Claremont")</f>
        <v>Claremont</v>
      </c>
      <c r="B1696" s="120" t="str">
        <f>IFERROR(__xludf.DUMMYFUNCTION("""COMPUTED_VALUE"""),"CNH")</f>
        <v>CNH</v>
      </c>
      <c r="C1696" s="120" t="str">
        <f>IFERROR(__xludf.DUMMYFUNCTION("""COMPUTED_VALUE"""),"Municipal")</f>
        <v>Municipal</v>
      </c>
      <c r="D1696" s="120" t="str">
        <f>IFERROR(__xludf.DUMMYFUNCTION("""COMPUTED_VALUE"""),"United States")</f>
        <v>United States</v>
      </c>
      <c r="E1696" s="135"/>
      <c r="F1696" s="31"/>
    </row>
    <row r="1697">
      <c r="A1697" s="134" t="str">
        <f>IFERROR(__xludf.DUMMYFUNCTION("""COMPUTED_VALUE"""),"Clarinda")</f>
        <v>Clarinda</v>
      </c>
      <c r="B1697" s="120" t="str">
        <f>IFERROR(__xludf.DUMMYFUNCTION("""COMPUTED_VALUE"""),"ICL")</f>
        <v>ICL</v>
      </c>
      <c r="C1697" s="120" t="str">
        <f>IFERROR(__xludf.DUMMYFUNCTION("""COMPUTED_VALUE"""),"Municipal")</f>
        <v>Municipal</v>
      </c>
      <c r="D1697" s="120" t="str">
        <f>IFERROR(__xludf.DUMMYFUNCTION("""COMPUTED_VALUE"""),"United States")</f>
        <v>United States</v>
      </c>
      <c r="E1697" s="135"/>
      <c r="F1697" s="31"/>
    </row>
    <row r="1698">
      <c r="A1698" s="134" t="str">
        <f>IFERROR(__xludf.DUMMYFUNCTION("""COMPUTED_VALUE"""),"Clarks Point")</f>
        <v>Clarks Point</v>
      </c>
      <c r="B1698" s="120" t="str">
        <f>IFERROR(__xludf.DUMMYFUNCTION("""COMPUTED_VALUE"""),"CLP")</f>
        <v>CLP</v>
      </c>
      <c r="C1698" s="120" t="str">
        <f>IFERROR(__xludf.DUMMYFUNCTION("""COMPUTED_VALUE"""),"Clarks Point")</f>
        <v>Clarks Point</v>
      </c>
      <c r="D1698" s="120" t="str">
        <f>IFERROR(__xludf.DUMMYFUNCTION("""COMPUTED_VALUE"""),"United States")</f>
        <v>United States</v>
      </c>
      <c r="E1698" s="135"/>
      <c r="F1698" s="31"/>
    </row>
    <row r="1699">
      <c r="A1699" s="134" t="str">
        <f>IFERROR(__xludf.DUMMYFUNCTION("""COMPUTED_VALUE"""),"Clarksburg")</f>
        <v>Clarksburg</v>
      </c>
      <c r="B1699" s="120" t="str">
        <f>IFERROR(__xludf.DUMMYFUNCTION("""COMPUTED_VALUE"""),"CKB")</f>
        <v>CKB</v>
      </c>
      <c r="C1699" s="120" t="str">
        <f>IFERROR(__xludf.DUMMYFUNCTION("""COMPUTED_VALUE"""),"Benedum")</f>
        <v>Benedum</v>
      </c>
      <c r="D1699" s="120" t="str">
        <f>IFERROR(__xludf.DUMMYFUNCTION("""COMPUTED_VALUE"""),"United States")</f>
        <v>United States</v>
      </c>
      <c r="E1699" s="135"/>
      <c r="F1699" s="31"/>
    </row>
    <row r="1700">
      <c r="A1700" s="134" t="str">
        <f>IFERROR(__xludf.DUMMYFUNCTION("""COMPUTED_VALUE"""),"Clarksdale")</f>
        <v>Clarksdale</v>
      </c>
      <c r="B1700" s="120" t="str">
        <f>IFERROR(__xludf.DUMMYFUNCTION("""COMPUTED_VALUE"""),"CKM")</f>
        <v>CKM</v>
      </c>
      <c r="C1700" s="120" t="str">
        <f>IFERROR(__xludf.DUMMYFUNCTION("""COMPUTED_VALUE"""),"Fletcher Field")</f>
        <v>Fletcher Field</v>
      </c>
      <c r="D1700" s="120" t="str">
        <f>IFERROR(__xludf.DUMMYFUNCTION("""COMPUTED_VALUE"""),"United States")</f>
        <v>United States</v>
      </c>
      <c r="E1700" s="135"/>
      <c r="F1700" s="31"/>
    </row>
    <row r="1701">
      <c r="A1701" s="134" t="str">
        <f>IFERROR(__xludf.DUMMYFUNCTION("""COMPUTED_VALUE"""),"Clarksville")</f>
        <v>Clarksville</v>
      </c>
      <c r="B1701" s="120" t="str">
        <f>IFERROR(__xludf.DUMMYFUNCTION("""COMPUTED_VALUE"""),"CKV")</f>
        <v>CKV</v>
      </c>
      <c r="C1701" s="120" t="str">
        <f>IFERROR(__xludf.DUMMYFUNCTION("""COMPUTED_VALUE"""),"Outlaw Field")</f>
        <v>Outlaw Field</v>
      </c>
      <c r="D1701" s="120" t="str">
        <f>IFERROR(__xludf.DUMMYFUNCTION("""COMPUTED_VALUE"""),"United States")</f>
        <v>United States</v>
      </c>
      <c r="E1701" s="135"/>
      <c r="F1701" s="31"/>
    </row>
    <row r="1702">
      <c r="A1702" s="134" t="str">
        <f>IFERROR(__xludf.DUMMYFUNCTION("""COMPUTED_VALUE"""),"Clayton")</f>
        <v>Clayton</v>
      </c>
      <c r="B1702" s="120" t="str">
        <f>IFERROR(__xludf.DUMMYFUNCTION("""COMPUTED_VALUE"""),"CAO")</f>
        <v>CAO</v>
      </c>
      <c r="C1702" s="120" t="str">
        <f>IFERROR(__xludf.DUMMYFUNCTION("""COMPUTED_VALUE"""),"Clayton")</f>
        <v>Clayton</v>
      </c>
      <c r="D1702" s="120" t="str">
        <f>IFERROR(__xludf.DUMMYFUNCTION("""COMPUTED_VALUE"""),"United States")</f>
        <v>United States</v>
      </c>
      <c r="E1702" s="135"/>
      <c r="F1702" s="31"/>
    </row>
    <row r="1703">
      <c r="A1703" s="134" t="str">
        <f>IFERROR(__xludf.DUMMYFUNCTION("""COMPUTED_VALUE"""),"Clear Lake")</f>
        <v>Clear Lake</v>
      </c>
      <c r="B1703" s="120" t="str">
        <f>IFERROR(__xludf.DUMMYFUNCTION("""COMPUTED_VALUE"""),"CKE")</f>
        <v>CKE</v>
      </c>
      <c r="C1703" s="120" t="str">
        <f>IFERROR(__xludf.DUMMYFUNCTION("""COMPUTED_VALUE"""),"Clear Lake")</f>
        <v>Clear Lake</v>
      </c>
      <c r="D1703" s="120" t="str">
        <f>IFERROR(__xludf.DUMMYFUNCTION("""COMPUTED_VALUE"""),"United States")</f>
        <v>United States</v>
      </c>
      <c r="E1703" s="135"/>
      <c r="F1703" s="31"/>
    </row>
    <row r="1704">
      <c r="A1704" s="134" t="str">
        <f>IFERROR(__xludf.DUMMYFUNCTION("""COMPUTED_VALUE"""),"Clearlake")</f>
        <v>Clearlake</v>
      </c>
      <c r="B1704" s="120" t="str">
        <f>IFERROR(__xludf.DUMMYFUNCTION("""COMPUTED_VALUE"""),"CLC")</f>
        <v>CLC</v>
      </c>
      <c r="C1704" s="120" t="str">
        <f>IFERROR(__xludf.DUMMYFUNCTION("""COMPUTED_VALUE"""),"Metroport")</f>
        <v>Metroport</v>
      </c>
      <c r="D1704" s="120" t="str">
        <f>IFERROR(__xludf.DUMMYFUNCTION("""COMPUTED_VALUE"""),"United States")</f>
        <v>United States</v>
      </c>
      <c r="E1704" s="135"/>
      <c r="F1704" s="31"/>
    </row>
    <row r="1705">
      <c r="A1705" s="134" t="str">
        <f>IFERROR(__xludf.DUMMYFUNCTION("""COMPUTED_VALUE"""),"Clearwater")</f>
        <v>Clearwater</v>
      </c>
      <c r="B1705" s="120" t="str">
        <f>IFERROR(__xludf.DUMMYFUNCTION("""COMPUTED_VALUE"""),"CLW")</f>
        <v>CLW</v>
      </c>
      <c r="C1705" s="120" t="str">
        <f>IFERROR(__xludf.DUMMYFUNCTION("""COMPUTED_VALUE"""),"Executive")</f>
        <v>Executive</v>
      </c>
      <c r="D1705" s="120" t="str">
        <f>IFERROR(__xludf.DUMMYFUNCTION("""COMPUTED_VALUE"""),"United States")</f>
        <v>United States</v>
      </c>
      <c r="E1705" s="135"/>
      <c r="F1705" s="31"/>
    </row>
    <row r="1706">
      <c r="A1706" s="134" t="str">
        <f>IFERROR(__xludf.DUMMYFUNCTION("""COMPUTED_VALUE"""),"Clemson")</f>
        <v>Clemson</v>
      </c>
      <c r="B1706" s="120" t="str">
        <f>IFERROR(__xludf.DUMMYFUNCTION("""COMPUTED_VALUE"""),"CEU")</f>
        <v>CEU</v>
      </c>
      <c r="C1706" s="120" t="str">
        <f>IFERROR(__xludf.DUMMYFUNCTION("""COMPUTED_VALUE"""),"Oconee County")</f>
        <v>Oconee County</v>
      </c>
      <c r="D1706" s="120" t="str">
        <f>IFERROR(__xludf.DUMMYFUNCTION("""COMPUTED_VALUE"""),"United States")</f>
        <v>United States</v>
      </c>
      <c r="E1706" s="135"/>
      <c r="F1706" s="31"/>
    </row>
    <row r="1707">
      <c r="A1707" s="134" t="str">
        <f>IFERROR(__xludf.DUMMYFUNCTION("""COMPUTED_VALUE"""),"Clermont")</f>
        <v>Clermont</v>
      </c>
      <c r="B1707" s="120" t="str">
        <f>IFERROR(__xludf.DUMMYFUNCTION("""COMPUTED_VALUE"""),"CMQ")</f>
        <v>CMQ</v>
      </c>
      <c r="C1707" s="120" t="str">
        <f>IFERROR(__xludf.DUMMYFUNCTION("""COMPUTED_VALUE"""),"Clermont")</f>
        <v>Clermont</v>
      </c>
      <c r="D1707" s="120" t="str">
        <f>IFERROR(__xludf.DUMMYFUNCTION("""COMPUTED_VALUE"""),"Australia")</f>
        <v>Australia</v>
      </c>
      <c r="E1707" s="135"/>
      <c r="F1707" s="31"/>
    </row>
    <row r="1708">
      <c r="A1708" s="134" t="str">
        <f>IFERROR(__xludf.DUMMYFUNCTION("""COMPUTED_VALUE"""),"Clermont-Ferrand")</f>
        <v>Clermont-Ferrand</v>
      </c>
      <c r="B1708" s="120" t="str">
        <f>IFERROR(__xludf.DUMMYFUNCTION("""COMPUTED_VALUE"""),"CFE")</f>
        <v>CFE</v>
      </c>
      <c r="C1708" s="120" t="str">
        <f>IFERROR(__xludf.DUMMYFUNCTION("""COMPUTED_VALUE"""),"Aulnat")</f>
        <v>Aulnat</v>
      </c>
      <c r="D1708" s="120" t="str">
        <f>IFERROR(__xludf.DUMMYFUNCTION("""COMPUTED_VALUE"""),"France")</f>
        <v>France</v>
      </c>
      <c r="E1708" s="135"/>
      <c r="F1708" s="31"/>
    </row>
    <row r="1709">
      <c r="A1709" s="134" t="str">
        <f>IFERROR(__xludf.DUMMYFUNCTION("""COMPUTED_VALUE"""),"Cleve")</f>
        <v>Cleve</v>
      </c>
      <c r="B1709" s="120" t="str">
        <f>IFERROR(__xludf.DUMMYFUNCTION("""COMPUTED_VALUE"""),"CVC")</f>
        <v>CVC</v>
      </c>
      <c r="C1709" s="120" t="str">
        <f>IFERROR(__xludf.DUMMYFUNCTION("""COMPUTED_VALUE"""),"Cleve")</f>
        <v>Cleve</v>
      </c>
      <c r="D1709" s="120" t="str">
        <f>IFERROR(__xludf.DUMMYFUNCTION("""COMPUTED_VALUE"""),"Australia")</f>
        <v>Australia</v>
      </c>
      <c r="E1709" s="135"/>
      <c r="F1709" s="31"/>
    </row>
    <row r="1710">
      <c r="A1710" s="134" t="str">
        <f>IFERROR(__xludf.DUMMYFUNCTION("""COMPUTED_VALUE"""),"Cleveland")</f>
        <v>Cleveland</v>
      </c>
      <c r="B1710" s="120" t="str">
        <f>IFERROR(__xludf.DUMMYFUNCTION("""COMPUTED_VALUE"""),"BKL")</f>
        <v>BKL</v>
      </c>
      <c r="C1710" s="120" t="str">
        <f>IFERROR(__xludf.DUMMYFUNCTION("""COMPUTED_VALUE"""),"Burke Lakefront")</f>
        <v>Burke Lakefront</v>
      </c>
      <c r="D1710" s="120" t="str">
        <f>IFERROR(__xludf.DUMMYFUNCTION("""COMPUTED_VALUE"""),"United States")</f>
        <v>United States</v>
      </c>
      <c r="E1710" s="135"/>
      <c r="F1710" s="31"/>
    </row>
    <row r="1711">
      <c r="A1711" s="134" t="str">
        <f>IFERROR(__xludf.DUMMYFUNCTION("""COMPUTED_VALUE"""),"Cleveland")</f>
        <v>Cleveland</v>
      </c>
      <c r="B1711" s="120" t="str">
        <f>IFERROR(__xludf.DUMMYFUNCTION("""COMPUTED_VALUE"""),"CGF")</f>
        <v>CGF</v>
      </c>
      <c r="C1711" s="120" t="str">
        <f>IFERROR(__xludf.DUMMYFUNCTION("""COMPUTED_VALUE"""),"Cuyahoga County")</f>
        <v>Cuyahoga County</v>
      </c>
      <c r="D1711" s="120" t="str">
        <f>IFERROR(__xludf.DUMMYFUNCTION("""COMPUTED_VALUE"""),"United States")</f>
        <v>United States</v>
      </c>
      <c r="E1711" s="135"/>
      <c r="F1711" s="31"/>
    </row>
    <row r="1712">
      <c r="A1712" s="134" t="str">
        <f>IFERROR(__xludf.DUMMYFUNCTION("""COMPUTED_VALUE"""),"Cleveland")</f>
        <v>Cleveland</v>
      </c>
      <c r="B1712" s="120" t="str">
        <f>IFERROR(__xludf.DUMMYFUNCTION("""COMPUTED_VALUE"""),"CLE")</f>
        <v>CLE</v>
      </c>
      <c r="C1712" s="120" t="str">
        <f>IFERROR(__xludf.DUMMYFUNCTION("""COMPUTED_VALUE"""),"Hopkins International")</f>
        <v>Hopkins International</v>
      </c>
      <c r="D1712" s="120" t="str">
        <f>IFERROR(__xludf.DUMMYFUNCTION("""COMPUTED_VALUE"""),"United States")</f>
        <v>United States</v>
      </c>
      <c r="E1712" s="135"/>
      <c r="F1712" s="31"/>
    </row>
    <row r="1713">
      <c r="A1713" s="134" t="str">
        <f>IFERROR(__xludf.DUMMYFUNCTION("""COMPUTED_VALUE"""),"Clifton")</f>
        <v>Clifton</v>
      </c>
      <c r="B1713" s="120" t="str">
        <f>IFERROR(__xludf.DUMMYFUNCTION("""COMPUTED_VALUE"""),"CFT")</f>
        <v>CFT</v>
      </c>
      <c r="C1713" s="120" t="str">
        <f>IFERROR(__xludf.DUMMYFUNCTION("""COMPUTED_VALUE"""),"Morenci")</f>
        <v>Morenci</v>
      </c>
      <c r="D1713" s="120" t="str">
        <f>IFERROR(__xludf.DUMMYFUNCTION("""COMPUTED_VALUE"""),"United States")</f>
        <v>United States</v>
      </c>
      <c r="E1713" s="135"/>
      <c r="F1713" s="31"/>
    </row>
    <row r="1714">
      <c r="A1714" s="134" t="str">
        <f>IFERROR(__xludf.DUMMYFUNCTION("""COMPUTED_VALUE"""),"Clifton Hills")</f>
        <v>Clifton Hills</v>
      </c>
      <c r="B1714" s="120" t="str">
        <f>IFERROR(__xludf.DUMMYFUNCTION("""COMPUTED_VALUE"""),"CFH")</f>
        <v>CFH</v>
      </c>
      <c r="C1714" s="120" t="str">
        <f>IFERROR(__xludf.DUMMYFUNCTION("""COMPUTED_VALUE"""),"Clifton Hills")</f>
        <v>Clifton Hills</v>
      </c>
      <c r="D1714" s="120" t="str">
        <f>IFERROR(__xludf.DUMMYFUNCTION("""COMPUTED_VALUE"""),"Australia")</f>
        <v>Australia</v>
      </c>
      <c r="E1714" s="135"/>
      <c r="F1714" s="31"/>
    </row>
    <row r="1715">
      <c r="A1715" s="134" t="str">
        <f>IFERROR(__xludf.DUMMYFUNCTION("""COMPUTED_VALUE"""),"Clinton")</f>
        <v>Clinton</v>
      </c>
      <c r="B1715" s="120" t="str">
        <f>IFERROR(__xludf.DUMMYFUNCTION("""COMPUTED_VALUE"""),"CWI")</f>
        <v>CWI</v>
      </c>
      <c r="C1715" s="120" t="str">
        <f>IFERROR(__xludf.DUMMYFUNCTION("""COMPUTED_VALUE"""),"Clinton")</f>
        <v>Clinton</v>
      </c>
      <c r="D1715" s="120" t="str">
        <f>IFERROR(__xludf.DUMMYFUNCTION("""COMPUTED_VALUE"""),"United States")</f>
        <v>United States</v>
      </c>
      <c r="E1715" s="135"/>
      <c r="F1715" s="31"/>
    </row>
    <row r="1716">
      <c r="A1716" s="134" t="str">
        <f>IFERROR(__xludf.DUMMYFUNCTION("""COMPUTED_VALUE"""),"Clinton")</f>
        <v>Clinton</v>
      </c>
      <c r="B1716" s="120" t="str">
        <f>IFERROR(__xludf.DUMMYFUNCTION("""COMPUTED_VALUE"""),"CTZ")</f>
        <v>CTZ</v>
      </c>
      <c r="C1716" s="120" t="str">
        <f>IFERROR(__xludf.DUMMYFUNCTION("""COMPUTED_VALUE"""),"Sampson County")</f>
        <v>Sampson County</v>
      </c>
      <c r="D1716" s="120" t="str">
        <f>IFERROR(__xludf.DUMMYFUNCTION("""COMPUTED_VALUE"""),"United States")</f>
        <v>United States</v>
      </c>
      <c r="E1716" s="135"/>
      <c r="F1716" s="31"/>
    </row>
    <row r="1717">
      <c r="A1717" s="134" t="str">
        <f>IFERROR(__xludf.DUMMYFUNCTION("""COMPUTED_VALUE"""),"Clinton")</f>
        <v>Clinton</v>
      </c>
      <c r="B1717" s="120" t="str">
        <f>IFERROR(__xludf.DUMMYFUNCTION("""COMPUTED_VALUE"""),"CLK")</f>
        <v>CLK</v>
      </c>
      <c r="C1717" s="120" t="str">
        <f>IFERROR(__xludf.DUMMYFUNCTION("""COMPUTED_VALUE"""),"Municipal")</f>
        <v>Municipal</v>
      </c>
      <c r="D1717" s="120" t="str">
        <f>IFERROR(__xludf.DUMMYFUNCTION("""COMPUTED_VALUE"""),"United States")</f>
        <v>United States</v>
      </c>
      <c r="E1717" s="135"/>
      <c r="F1717" s="31"/>
    </row>
    <row r="1718">
      <c r="A1718" s="134" t="str">
        <f>IFERROR(__xludf.DUMMYFUNCTION("""COMPUTED_VALUE"""),"Clinton")</f>
        <v>Clinton</v>
      </c>
      <c r="B1718" s="120" t="str">
        <f>IFERROR(__xludf.DUMMYFUNCTION("""COMPUTED_VALUE"""),"CSM")</f>
        <v>CSM</v>
      </c>
      <c r="C1718" s="120" t="str">
        <f>IFERROR(__xludf.DUMMYFUNCTION("""COMPUTED_VALUE"""),"Sherman")</f>
        <v>Sherman</v>
      </c>
      <c r="D1718" s="120" t="str">
        <f>IFERROR(__xludf.DUMMYFUNCTION("""COMPUTED_VALUE"""),"United States")</f>
        <v>United States</v>
      </c>
      <c r="E1718" s="135"/>
      <c r="F1718" s="31"/>
    </row>
    <row r="1719">
      <c r="A1719" s="134" t="str">
        <f>IFERROR(__xludf.DUMMYFUNCTION("""COMPUTED_VALUE"""),"Clinton Creek")</f>
        <v>Clinton Creek</v>
      </c>
      <c r="B1719" s="120" t="str">
        <f>IFERROR(__xludf.DUMMYFUNCTION("""COMPUTED_VALUE"""),"YLM")</f>
        <v>YLM</v>
      </c>
      <c r="C1719" s="120" t="str">
        <f>IFERROR(__xludf.DUMMYFUNCTION("""COMPUTED_VALUE"""),"Clinton Creek")</f>
        <v>Clinton Creek</v>
      </c>
      <c r="D1719" s="120" t="str">
        <f>IFERROR(__xludf.DUMMYFUNCTION("""COMPUTED_VALUE"""),"Canada")</f>
        <v>Canada</v>
      </c>
      <c r="E1719" s="135"/>
      <c r="F1719" s="31"/>
    </row>
    <row r="1720">
      <c r="A1720" s="134" t="str">
        <f>IFERROR(__xludf.DUMMYFUNCTION("""COMPUTED_VALUE"""),"Clintonville")</f>
        <v>Clintonville</v>
      </c>
      <c r="B1720" s="120" t="str">
        <f>IFERROR(__xludf.DUMMYFUNCTION("""COMPUTED_VALUE"""),"CLI")</f>
        <v>CLI</v>
      </c>
      <c r="C1720" s="120" t="str">
        <f>IFERROR(__xludf.DUMMYFUNCTION("""COMPUTED_VALUE"""),"Clintonville")</f>
        <v>Clintonville</v>
      </c>
      <c r="D1720" s="120" t="str">
        <f>IFERROR(__xludf.DUMMYFUNCTION("""COMPUTED_VALUE"""),"United States")</f>
        <v>United States</v>
      </c>
      <c r="E1720" s="135"/>
      <c r="F1720" s="31"/>
    </row>
    <row r="1721">
      <c r="A1721" s="134" t="str">
        <f>IFERROR(__xludf.DUMMYFUNCTION("""COMPUTED_VALUE"""),"Cloncurry")</f>
        <v>Cloncurry</v>
      </c>
      <c r="B1721" s="120" t="str">
        <f>IFERROR(__xludf.DUMMYFUNCTION("""COMPUTED_VALUE"""),"CNJ")</f>
        <v>CNJ</v>
      </c>
      <c r="C1721" s="120" t="str">
        <f>IFERROR(__xludf.DUMMYFUNCTION("""COMPUTED_VALUE"""),"Cloncurry")</f>
        <v>Cloncurry</v>
      </c>
      <c r="D1721" s="120" t="str">
        <f>IFERROR(__xludf.DUMMYFUNCTION("""COMPUTED_VALUE"""),"Australia")</f>
        <v>Australia</v>
      </c>
      <c r="E1721" s="135"/>
      <c r="F1721" s="31"/>
    </row>
    <row r="1722">
      <c r="A1722" s="134" t="str">
        <f>IFERROR(__xludf.DUMMYFUNCTION("""COMPUTED_VALUE"""),"Clorinda")</f>
        <v>Clorinda</v>
      </c>
      <c r="B1722" s="120" t="str">
        <f>IFERROR(__xludf.DUMMYFUNCTION("""COMPUTED_VALUE"""),"CLX")</f>
        <v>CLX</v>
      </c>
      <c r="C1722" s="120" t="str">
        <f>IFERROR(__xludf.DUMMYFUNCTION("""COMPUTED_VALUE"""),"Clorinda")</f>
        <v>Clorinda</v>
      </c>
      <c r="D1722" s="120" t="str">
        <f>IFERROR(__xludf.DUMMYFUNCTION("""COMPUTED_VALUE"""),"Argentina")</f>
        <v>Argentina</v>
      </c>
      <c r="E1722" s="135"/>
      <c r="F1722" s="31"/>
    </row>
    <row r="1723">
      <c r="A1723" s="134" t="str">
        <f>IFERROR(__xludf.DUMMYFUNCTION("""COMPUTED_VALUE"""),"Clovis")</f>
        <v>Clovis</v>
      </c>
      <c r="B1723" s="120" t="str">
        <f>IFERROR(__xludf.DUMMYFUNCTION("""COMPUTED_VALUE"""),"CVS")</f>
        <v>CVS</v>
      </c>
      <c r="C1723" s="120" t="str">
        <f>IFERROR(__xludf.DUMMYFUNCTION("""COMPUTED_VALUE"""),"Cannon AFB")</f>
        <v>Cannon AFB</v>
      </c>
      <c r="D1723" s="120" t="str">
        <f>IFERROR(__xludf.DUMMYFUNCTION("""COMPUTED_VALUE"""),"United States")</f>
        <v>United States</v>
      </c>
      <c r="E1723" s="135"/>
      <c r="F1723" s="31"/>
    </row>
    <row r="1724">
      <c r="A1724" s="134" t="str">
        <f>IFERROR(__xludf.DUMMYFUNCTION("""COMPUTED_VALUE"""),"Clovis")</f>
        <v>Clovis</v>
      </c>
      <c r="B1724" s="120" t="str">
        <f>IFERROR(__xludf.DUMMYFUNCTION("""COMPUTED_VALUE"""),"CVN")</f>
        <v>CVN</v>
      </c>
      <c r="C1724" s="120" t="str">
        <f>IFERROR(__xludf.DUMMYFUNCTION("""COMPUTED_VALUE"""),"Municipal")</f>
        <v>Municipal</v>
      </c>
      <c r="D1724" s="120" t="str">
        <f>IFERROR(__xludf.DUMMYFUNCTION("""COMPUTED_VALUE"""),"United States")</f>
        <v>United States</v>
      </c>
      <c r="E1724" s="135"/>
      <c r="F1724" s="31"/>
    </row>
    <row r="1725">
      <c r="A1725" s="134" t="str">
        <f>IFERROR(__xludf.DUMMYFUNCTION("""COMPUTED_VALUE"""),"Club Makokola")</f>
        <v>Club Makokola</v>
      </c>
      <c r="B1725" s="120" t="str">
        <f>IFERROR(__xludf.DUMMYFUNCTION("""COMPUTED_VALUE"""),"CMK")</f>
        <v>CMK</v>
      </c>
      <c r="C1725" s="120" t="str">
        <f>IFERROR(__xludf.DUMMYFUNCTION("""COMPUTED_VALUE"""),"Club Makokola")</f>
        <v>Club Makokola</v>
      </c>
      <c r="D1725" s="120" t="str">
        <f>IFERROR(__xludf.DUMMYFUNCTION("""COMPUTED_VALUE"""),"Malawi")</f>
        <v>Malawi</v>
      </c>
      <c r="E1725" s="135"/>
      <c r="F1725" s="31"/>
    </row>
    <row r="1726">
      <c r="A1726" s="134" t="str">
        <f>IFERROR(__xludf.DUMMYFUNCTION("""COMPUTED_VALUE"""),"Cluff Lake")</f>
        <v>Cluff Lake</v>
      </c>
      <c r="B1726" s="120" t="str">
        <f>IFERROR(__xludf.DUMMYFUNCTION("""COMPUTED_VALUE"""),"XCL")</f>
        <v>XCL</v>
      </c>
      <c r="C1726" s="120" t="str">
        <f>IFERROR(__xludf.DUMMYFUNCTION("""COMPUTED_VALUE"""),"Cluff Lake")</f>
        <v>Cluff Lake</v>
      </c>
      <c r="D1726" s="120" t="str">
        <f>IFERROR(__xludf.DUMMYFUNCTION("""COMPUTED_VALUE"""),"Canada")</f>
        <v>Canada</v>
      </c>
      <c r="E1726" s="135"/>
      <c r="F1726" s="31"/>
    </row>
    <row r="1727">
      <c r="A1727" s="134" t="str">
        <f>IFERROR(__xludf.DUMMYFUNCTION("""COMPUTED_VALUE"""),"Cluj-Napoca")</f>
        <v>Cluj-Napoca</v>
      </c>
      <c r="B1727" s="120" t="str">
        <f>IFERROR(__xludf.DUMMYFUNCTION("""COMPUTED_VALUE"""),"CLJ")</f>
        <v>CLJ</v>
      </c>
      <c r="C1727" s="120" t="str">
        <f>IFERROR(__xludf.DUMMYFUNCTION("""COMPUTED_VALUE"""),"Someseni International Airport")</f>
        <v>Someseni International Airport</v>
      </c>
      <c r="D1727" s="120" t="str">
        <f>IFERROR(__xludf.DUMMYFUNCTION("""COMPUTED_VALUE"""),"Romania")</f>
        <v>Romania</v>
      </c>
      <c r="E1727" s="135"/>
      <c r="F1727" s="31"/>
    </row>
    <row r="1728">
      <c r="A1728" s="134" t="str">
        <f>IFERROR(__xludf.DUMMYFUNCTION("""COMPUTED_VALUE"""),"Cluny")</f>
        <v>Cluny</v>
      </c>
      <c r="B1728" s="120" t="str">
        <f>IFERROR(__xludf.DUMMYFUNCTION("""COMPUTED_VALUE"""),"CZY")</f>
        <v>CZY</v>
      </c>
      <c r="C1728" s="120" t="str">
        <f>IFERROR(__xludf.DUMMYFUNCTION("""COMPUTED_VALUE"""),"Cluny")</f>
        <v>Cluny</v>
      </c>
      <c r="D1728" s="120" t="str">
        <f>IFERROR(__xludf.DUMMYFUNCTION("""COMPUTED_VALUE"""),"Australia")</f>
        <v>Australia</v>
      </c>
      <c r="E1728" s="135"/>
      <c r="F1728" s="31"/>
    </row>
    <row r="1729">
      <c r="A1729" s="134" t="str">
        <f>IFERROR(__xludf.DUMMYFUNCTION("""COMPUTED_VALUE"""),"Clyde River")</f>
        <v>Clyde River</v>
      </c>
      <c r="B1729" s="120" t="str">
        <f>IFERROR(__xludf.DUMMYFUNCTION("""COMPUTED_VALUE"""),"YCY")</f>
        <v>YCY</v>
      </c>
      <c r="C1729" s="120" t="str">
        <f>IFERROR(__xludf.DUMMYFUNCTION("""COMPUTED_VALUE"""),"Clyde River")</f>
        <v>Clyde River</v>
      </c>
      <c r="D1729" s="120" t="str">
        <f>IFERROR(__xludf.DUMMYFUNCTION("""COMPUTED_VALUE"""),"Canada")</f>
        <v>Canada</v>
      </c>
      <c r="E1729" s="135"/>
      <c r="F1729" s="31"/>
    </row>
    <row r="1730">
      <c r="A1730" s="134" t="str">
        <f>IFERROR(__xludf.DUMMYFUNCTION("""COMPUTED_VALUE"""),"Coalinga")</f>
        <v>Coalinga</v>
      </c>
      <c r="B1730" s="120" t="str">
        <f>IFERROR(__xludf.DUMMYFUNCTION("""COMPUTED_VALUE"""),"CLG")</f>
        <v>CLG</v>
      </c>
      <c r="C1730" s="120" t="str">
        <f>IFERROR(__xludf.DUMMYFUNCTION("""COMPUTED_VALUE"""),"Coalinga")</f>
        <v>Coalinga</v>
      </c>
      <c r="D1730" s="120" t="str">
        <f>IFERROR(__xludf.DUMMYFUNCTION("""COMPUTED_VALUE"""),"United States")</f>
        <v>United States</v>
      </c>
      <c r="E1730" s="135"/>
      <c r="F1730" s="31"/>
    </row>
    <row r="1731">
      <c r="A1731" s="134" t="str">
        <f>IFERROR(__xludf.DUMMYFUNCTION("""COMPUTED_VALUE"""),"Coari")</f>
        <v>Coari</v>
      </c>
      <c r="B1731" s="120" t="str">
        <f>IFERROR(__xludf.DUMMYFUNCTION("""COMPUTED_VALUE"""),"CIZ")</f>
        <v>CIZ</v>
      </c>
      <c r="C1731" s="120" t="str">
        <f>IFERROR(__xludf.DUMMYFUNCTION("""COMPUTED_VALUE"""),"Coari")</f>
        <v>Coari</v>
      </c>
      <c r="D1731" s="120" t="str">
        <f>IFERROR(__xludf.DUMMYFUNCTION("""COMPUTED_VALUE"""),"Brazil")</f>
        <v>Brazil</v>
      </c>
      <c r="E1731" s="135"/>
      <c r="F1731" s="31"/>
    </row>
    <row r="1732">
      <c r="A1732" s="134" t="str">
        <f>IFERROR(__xludf.DUMMYFUNCTION("""COMPUTED_VALUE"""),"Coatepeque")</f>
        <v>Coatepeque</v>
      </c>
      <c r="B1732" s="120" t="str">
        <f>IFERROR(__xludf.DUMMYFUNCTION("""COMPUTED_VALUE"""),"CTF")</f>
        <v>CTF</v>
      </c>
      <c r="C1732" s="120" t="str">
        <f>IFERROR(__xludf.DUMMYFUNCTION("""COMPUTED_VALUE"""),"Coatepeque Airport")</f>
        <v>Coatepeque Airport</v>
      </c>
      <c r="D1732" s="120" t="str">
        <f>IFERROR(__xludf.DUMMYFUNCTION("""COMPUTED_VALUE"""),"Guatemala")</f>
        <v>Guatemala</v>
      </c>
      <c r="E1732" s="135"/>
      <c r="F1732" s="31"/>
    </row>
    <row r="1733">
      <c r="A1733" s="134" t="str">
        <f>IFERROR(__xludf.DUMMYFUNCTION("""COMPUTED_VALUE"""),"Coatesville")</f>
        <v>Coatesville</v>
      </c>
      <c r="B1733" s="120" t="str">
        <f>IFERROR(__xludf.DUMMYFUNCTION("""COMPUTED_VALUE"""),"CTH")</f>
        <v>CTH</v>
      </c>
      <c r="C1733" s="120" t="str">
        <f>IFERROR(__xludf.DUMMYFUNCTION("""COMPUTED_VALUE"""),"Chestercounty Carlson")</f>
        <v>Chestercounty Carlson</v>
      </c>
      <c r="D1733" s="120" t="str">
        <f>IFERROR(__xludf.DUMMYFUNCTION("""COMPUTED_VALUE"""),"United States")</f>
        <v>United States</v>
      </c>
      <c r="E1733" s="135"/>
      <c r="F1733" s="31"/>
    </row>
    <row r="1734">
      <c r="A1734" s="134" t="str">
        <f>IFERROR(__xludf.DUMMYFUNCTION("""COMPUTED_VALUE"""),"Coban")</f>
        <v>Coban</v>
      </c>
      <c r="B1734" s="120" t="str">
        <f>IFERROR(__xludf.DUMMYFUNCTION("""COMPUTED_VALUE"""),"CBV")</f>
        <v>CBV</v>
      </c>
      <c r="C1734" s="120" t="str">
        <f>IFERROR(__xludf.DUMMYFUNCTION("""COMPUTED_VALUE"""),"Coban")</f>
        <v>Coban</v>
      </c>
      <c r="D1734" s="120" t="str">
        <f>IFERROR(__xludf.DUMMYFUNCTION("""COMPUTED_VALUE"""),"Guatemala")</f>
        <v>Guatemala</v>
      </c>
      <c r="E1734" s="135"/>
      <c r="F1734" s="31"/>
    </row>
    <row r="1735">
      <c r="A1735" s="134" t="str">
        <f>IFERROR(__xludf.DUMMYFUNCTION("""COMPUTED_VALUE"""),"Cobar")</f>
        <v>Cobar</v>
      </c>
      <c r="B1735" s="120" t="str">
        <f>IFERROR(__xludf.DUMMYFUNCTION("""COMPUTED_VALUE"""),"CAZ")</f>
        <v>CAZ</v>
      </c>
      <c r="C1735" s="120" t="str">
        <f>IFERROR(__xludf.DUMMYFUNCTION("""COMPUTED_VALUE"""),"Cobar")</f>
        <v>Cobar</v>
      </c>
      <c r="D1735" s="120" t="str">
        <f>IFERROR(__xludf.DUMMYFUNCTION("""COMPUTED_VALUE"""),"Australia")</f>
        <v>Australia</v>
      </c>
      <c r="E1735" s="135"/>
      <c r="F1735" s="31"/>
    </row>
    <row r="1736">
      <c r="A1736" s="134" t="str">
        <f>IFERROR(__xludf.DUMMYFUNCTION("""COMPUTED_VALUE"""),"Cobija")</f>
        <v>Cobija</v>
      </c>
      <c r="B1736" s="120" t="str">
        <f>IFERROR(__xludf.DUMMYFUNCTION("""COMPUTED_VALUE"""),"CIJ")</f>
        <v>CIJ</v>
      </c>
      <c r="C1736" s="120" t="str">
        <f>IFERROR(__xludf.DUMMYFUNCTION("""COMPUTED_VALUE"""),"E. Beltram")</f>
        <v>E. Beltram</v>
      </c>
      <c r="D1736" s="120" t="str">
        <f>IFERROR(__xludf.DUMMYFUNCTION("""COMPUTED_VALUE"""),"Bolivia")</f>
        <v>Bolivia</v>
      </c>
      <c r="E1736" s="135"/>
      <c r="F1736" s="31"/>
    </row>
    <row r="1737">
      <c r="A1737" s="134" t="str">
        <f>IFERROR(__xludf.DUMMYFUNCTION("""COMPUTED_VALUE"""),"Coca")</f>
        <v>Coca</v>
      </c>
      <c r="B1737" s="120" t="str">
        <f>IFERROR(__xludf.DUMMYFUNCTION("""COMPUTED_VALUE"""),"OCC")</f>
        <v>OCC</v>
      </c>
      <c r="C1737" s="120" t="str">
        <f>IFERROR(__xludf.DUMMYFUNCTION("""COMPUTED_VALUE"""),"Coca")</f>
        <v>Coca</v>
      </c>
      <c r="D1737" s="120" t="str">
        <f>IFERROR(__xludf.DUMMYFUNCTION("""COMPUTED_VALUE"""),"Ecuador")</f>
        <v>Ecuador</v>
      </c>
      <c r="E1737" s="135"/>
      <c r="F1737" s="31"/>
    </row>
    <row r="1738">
      <c r="A1738" s="134" t="str">
        <f>IFERROR(__xludf.DUMMYFUNCTION("""COMPUTED_VALUE"""),"Cochabamba")</f>
        <v>Cochabamba</v>
      </c>
      <c r="B1738" s="120" t="str">
        <f>IFERROR(__xludf.DUMMYFUNCTION("""COMPUTED_VALUE"""),"CBB")</f>
        <v>CBB</v>
      </c>
      <c r="C1738" s="120" t="str">
        <f>IFERROR(__xludf.DUMMYFUNCTION("""COMPUTED_VALUE"""),"J Wilsterman")</f>
        <v>J Wilsterman</v>
      </c>
      <c r="D1738" s="120" t="str">
        <f>IFERROR(__xludf.DUMMYFUNCTION("""COMPUTED_VALUE"""),"Bolivia")</f>
        <v>Bolivia</v>
      </c>
      <c r="E1738" s="135"/>
      <c r="F1738" s="31"/>
    </row>
    <row r="1739">
      <c r="A1739" s="134" t="str">
        <f>IFERROR(__xludf.DUMMYFUNCTION("""COMPUTED_VALUE"""),"Cochrane")</f>
        <v>Cochrane</v>
      </c>
      <c r="B1739" s="120" t="str">
        <f>IFERROR(__xludf.DUMMYFUNCTION("""COMPUTED_VALUE"""),"LGR")</f>
        <v>LGR</v>
      </c>
      <c r="C1739" s="120" t="str">
        <f>IFERROR(__xludf.DUMMYFUNCTION("""COMPUTED_VALUE"""),"Cochrane")</f>
        <v>Cochrane</v>
      </c>
      <c r="D1739" s="120" t="str">
        <f>IFERROR(__xludf.DUMMYFUNCTION("""COMPUTED_VALUE"""),"Chile")</f>
        <v>Chile</v>
      </c>
      <c r="E1739" s="135"/>
      <c r="F1739" s="31"/>
    </row>
    <row r="1740">
      <c r="A1740" s="134" t="str">
        <f>IFERROR(__xludf.DUMMYFUNCTION("""COMPUTED_VALUE"""),"Cochrane")</f>
        <v>Cochrane</v>
      </c>
      <c r="B1740" s="120" t="str">
        <f>IFERROR(__xludf.DUMMYFUNCTION("""COMPUTED_VALUE"""),"YCN")</f>
        <v>YCN</v>
      </c>
      <c r="C1740" s="120" t="str">
        <f>IFERROR(__xludf.DUMMYFUNCTION("""COMPUTED_VALUE"""),"Cochrane")</f>
        <v>Cochrane</v>
      </c>
      <c r="D1740" s="120" t="str">
        <f>IFERROR(__xludf.DUMMYFUNCTION("""COMPUTED_VALUE"""),"Canada")</f>
        <v>Canada</v>
      </c>
      <c r="E1740" s="135"/>
      <c r="F1740" s="31"/>
    </row>
    <row r="1741">
      <c r="A1741" s="134" t="str">
        <f>IFERROR(__xludf.DUMMYFUNCTION("""COMPUTED_VALUE"""),"Cochstedt")</f>
        <v>Cochstedt</v>
      </c>
      <c r="B1741" s="120" t="str">
        <f>IFERROR(__xludf.DUMMYFUNCTION("""COMPUTED_VALUE"""),"CSO")</f>
        <v>CSO</v>
      </c>
      <c r="C1741" s="120" t="str">
        <f>IFERROR(__xludf.DUMMYFUNCTION("""COMPUTED_VALUE"""),"Cochstedt")</f>
        <v>Cochstedt</v>
      </c>
      <c r="D1741" s="120" t="str">
        <f>IFERROR(__xludf.DUMMYFUNCTION("""COMPUTED_VALUE"""),"Germany")</f>
        <v>Germany</v>
      </c>
      <c r="E1741" s="135"/>
      <c r="F1741" s="31"/>
    </row>
    <row r="1742">
      <c r="A1742" s="134" t="str">
        <f>IFERROR(__xludf.DUMMYFUNCTION("""COMPUTED_VALUE"""),"Cocoa")</f>
        <v>Cocoa</v>
      </c>
      <c r="B1742" s="120" t="str">
        <f>IFERROR(__xludf.DUMMYFUNCTION("""COMPUTED_VALUE"""),"COI")</f>
        <v>COI</v>
      </c>
      <c r="C1742" s="120" t="str">
        <f>IFERROR(__xludf.DUMMYFUNCTION("""COMPUTED_VALUE"""),"Merritt Island")</f>
        <v>Merritt Island</v>
      </c>
      <c r="D1742" s="120" t="str">
        <f>IFERROR(__xludf.DUMMYFUNCTION("""COMPUTED_VALUE"""),"United States")</f>
        <v>United States</v>
      </c>
      <c r="E1742" s="135"/>
      <c r="F1742" s="31"/>
    </row>
    <row r="1743">
      <c r="A1743" s="134" t="str">
        <f>IFERROR(__xludf.DUMMYFUNCTION("""COMPUTED_VALUE"""),"Cocoa")</f>
        <v>Cocoa</v>
      </c>
      <c r="B1743" s="120" t="str">
        <f>IFERROR(__xludf.DUMMYFUNCTION("""COMPUTED_VALUE"""),"COF")</f>
        <v>COF</v>
      </c>
      <c r="C1743" s="120" t="str">
        <f>IFERROR(__xludf.DUMMYFUNCTION("""COMPUTED_VALUE"""),"Patrick AFB")</f>
        <v>Patrick AFB</v>
      </c>
      <c r="D1743" s="120" t="str">
        <f>IFERROR(__xludf.DUMMYFUNCTION("""COMPUTED_VALUE"""),"United States")</f>
        <v>United States</v>
      </c>
      <c r="E1743" s="135"/>
      <c r="F1743" s="31"/>
    </row>
    <row r="1744">
      <c r="A1744" s="134" t="str">
        <f>IFERROR(__xludf.DUMMYFUNCTION("""COMPUTED_VALUE"""),"Coconut Island")</f>
        <v>Coconut Island</v>
      </c>
      <c r="B1744" s="120" t="str">
        <f>IFERROR(__xludf.DUMMYFUNCTION("""COMPUTED_VALUE"""),"CNC")</f>
        <v>CNC</v>
      </c>
      <c r="C1744" s="120" t="str">
        <f>IFERROR(__xludf.DUMMYFUNCTION("""COMPUTED_VALUE"""),"Coconut Island")</f>
        <v>Coconut Island</v>
      </c>
      <c r="D1744" s="120" t="str">
        <f>IFERROR(__xludf.DUMMYFUNCTION("""COMPUTED_VALUE"""),"Australia")</f>
        <v>Australia</v>
      </c>
      <c r="E1744" s="135"/>
      <c r="F1744" s="31"/>
    </row>
    <row r="1745">
      <c r="A1745" s="134" t="str">
        <f>IFERROR(__xludf.DUMMYFUNCTION("""COMPUTED_VALUE"""),"Cocos Islands")</f>
        <v>Cocos Islands</v>
      </c>
      <c r="B1745" s="120" t="str">
        <f>IFERROR(__xludf.DUMMYFUNCTION("""COMPUTED_VALUE"""),"CCK")</f>
        <v>CCK</v>
      </c>
      <c r="C1745" s="120" t="str">
        <f>IFERROR(__xludf.DUMMYFUNCTION("""COMPUTED_VALUE"""),"Cocos Islands")</f>
        <v>Cocos Islands</v>
      </c>
      <c r="D1745" s="120" t="str">
        <f>IFERROR(__xludf.DUMMYFUNCTION("""COMPUTED_VALUE"""),"Cocos (Keeling) Islands")</f>
        <v>Cocos (Keeling) Islands</v>
      </c>
      <c r="E1745" s="135"/>
      <c r="F1745" s="31"/>
    </row>
    <row r="1746">
      <c r="A1746" s="134" t="str">
        <f>IFERROR(__xludf.DUMMYFUNCTION("""COMPUTED_VALUE"""),"Codazzi")</f>
        <v>Codazzi</v>
      </c>
      <c r="B1746" s="120" t="str">
        <f>IFERROR(__xludf.DUMMYFUNCTION("""COMPUTED_VALUE"""),"DZI")</f>
        <v>DZI</v>
      </c>
      <c r="C1746" s="120" t="str">
        <f>IFERROR(__xludf.DUMMYFUNCTION("""COMPUTED_VALUE"""),"Codazzi")</f>
        <v>Codazzi</v>
      </c>
      <c r="D1746" s="120" t="str">
        <f>IFERROR(__xludf.DUMMYFUNCTION("""COMPUTED_VALUE"""),"Colombia")</f>
        <v>Colombia</v>
      </c>
      <c r="E1746" s="135"/>
      <c r="F1746" s="31"/>
    </row>
    <row r="1747">
      <c r="A1747" s="134" t="str">
        <f>IFERROR(__xludf.DUMMYFUNCTION("""COMPUTED_VALUE"""),"Cody/Yellowstone")</f>
        <v>Cody/Yellowstone</v>
      </c>
      <c r="B1747" s="120" t="str">
        <f>IFERROR(__xludf.DUMMYFUNCTION("""COMPUTED_VALUE"""),"COD")</f>
        <v>COD</v>
      </c>
      <c r="C1747" s="120" t="str">
        <f>IFERROR(__xludf.DUMMYFUNCTION("""COMPUTED_VALUE"""),"Yellowstone Regional")</f>
        <v>Yellowstone Regional</v>
      </c>
      <c r="D1747" s="120" t="str">
        <f>IFERROR(__xludf.DUMMYFUNCTION("""COMPUTED_VALUE"""),"United States")</f>
        <v>United States</v>
      </c>
      <c r="E1747" s="135"/>
      <c r="F1747" s="31"/>
    </row>
    <row r="1748">
      <c r="A1748" s="134" t="str">
        <f>IFERROR(__xludf.DUMMYFUNCTION("""COMPUTED_VALUE"""),"Coen")</f>
        <v>Coen</v>
      </c>
      <c r="B1748" s="120" t="str">
        <f>IFERROR(__xludf.DUMMYFUNCTION("""COMPUTED_VALUE"""),"CUQ")</f>
        <v>CUQ</v>
      </c>
      <c r="C1748" s="120" t="str">
        <f>IFERROR(__xludf.DUMMYFUNCTION("""COMPUTED_VALUE"""),"Coen")</f>
        <v>Coen</v>
      </c>
      <c r="D1748" s="120" t="str">
        <f>IFERROR(__xludf.DUMMYFUNCTION("""COMPUTED_VALUE"""),"Australia")</f>
        <v>Australia</v>
      </c>
      <c r="E1748" s="135"/>
      <c r="F1748" s="31"/>
    </row>
    <row r="1749">
      <c r="A1749" s="134" t="str">
        <f>IFERROR(__xludf.DUMMYFUNCTION("""COMPUTED_VALUE"""),"Coffee Point")</f>
        <v>Coffee Point</v>
      </c>
      <c r="B1749" s="120" t="str">
        <f>IFERROR(__xludf.DUMMYFUNCTION("""COMPUTED_VALUE"""),"CFA")</f>
        <v>CFA</v>
      </c>
      <c r="C1749" s="120" t="str">
        <f>IFERROR(__xludf.DUMMYFUNCTION("""COMPUTED_VALUE"""),"Coffee Point")</f>
        <v>Coffee Point</v>
      </c>
      <c r="D1749" s="120" t="str">
        <f>IFERROR(__xludf.DUMMYFUNCTION("""COMPUTED_VALUE"""),"United States")</f>
        <v>United States</v>
      </c>
      <c r="E1749" s="135"/>
      <c r="F1749" s="31"/>
    </row>
    <row r="1750">
      <c r="A1750" s="134" t="str">
        <f>IFERROR(__xludf.DUMMYFUNCTION("""COMPUTED_VALUE"""),"Coffeyville")</f>
        <v>Coffeyville</v>
      </c>
      <c r="B1750" s="120" t="str">
        <f>IFERROR(__xludf.DUMMYFUNCTION("""COMPUTED_VALUE"""),"CFV")</f>
        <v>CFV</v>
      </c>
      <c r="C1750" s="120" t="str">
        <f>IFERROR(__xludf.DUMMYFUNCTION("""COMPUTED_VALUE"""),"Municipal")</f>
        <v>Municipal</v>
      </c>
      <c r="D1750" s="120" t="str">
        <f>IFERROR(__xludf.DUMMYFUNCTION("""COMPUTED_VALUE"""),"United States")</f>
        <v>United States</v>
      </c>
      <c r="E1750" s="135"/>
      <c r="F1750" s="31"/>
    </row>
    <row r="1751">
      <c r="A1751" s="134" t="str">
        <f>IFERROR(__xludf.DUMMYFUNCTION("""COMPUTED_VALUE"""),"Coffman Cove")</f>
        <v>Coffman Cove</v>
      </c>
      <c r="B1751" s="120" t="str">
        <f>IFERROR(__xludf.DUMMYFUNCTION("""COMPUTED_VALUE"""),"KCC")</f>
        <v>KCC</v>
      </c>
      <c r="C1751" s="120" t="str">
        <f>IFERROR(__xludf.DUMMYFUNCTION("""COMPUTED_VALUE"""),"Coffman Cove SPB")</f>
        <v>Coffman Cove SPB</v>
      </c>
      <c r="D1751" s="120" t="str">
        <f>IFERROR(__xludf.DUMMYFUNCTION("""COMPUTED_VALUE"""),"United States")</f>
        <v>United States</v>
      </c>
      <c r="E1751" s="135"/>
      <c r="F1751" s="31"/>
    </row>
    <row r="1752">
      <c r="A1752" s="134" t="str">
        <f>IFERROR(__xludf.DUMMYFUNCTION("""COMPUTED_VALUE"""),"Coffs Harbour")</f>
        <v>Coffs Harbour</v>
      </c>
      <c r="B1752" s="120" t="str">
        <f>IFERROR(__xludf.DUMMYFUNCTION("""COMPUTED_VALUE"""),"CFS")</f>
        <v>CFS</v>
      </c>
      <c r="C1752" s="120" t="str">
        <f>IFERROR(__xludf.DUMMYFUNCTION("""COMPUTED_VALUE"""),"Coffs Harbour")</f>
        <v>Coffs Harbour</v>
      </c>
      <c r="D1752" s="120" t="str">
        <f>IFERROR(__xludf.DUMMYFUNCTION("""COMPUTED_VALUE"""),"Australia")</f>
        <v>Australia</v>
      </c>
      <c r="E1752" s="135"/>
      <c r="F1752" s="31"/>
    </row>
    <row r="1753">
      <c r="A1753" s="134" t="str">
        <f>IFERROR(__xludf.DUMMYFUNCTION("""COMPUTED_VALUE"""),"Cognac")</f>
        <v>Cognac</v>
      </c>
      <c r="B1753" s="120" t="str">
        <f>IFERROR(__xludf.DUMMYFUNCTION("""COMPUTED_VALUE"""),"CNG")</f>
        <v>CNG</v>
      </c>
      <c r="C1753" s="120" t="str">
        <f>IFERROR(__xludf.DUMMYFUNCTION("""COMPUTED_VALUE"""),"Parvaud")</f>
        <v>Parvaud</v>
      </c>
      <c r="D1753" s="120" t="str">
        <f>IFERROR(__xludf.DUMMYFUNCTION("""COMPUTED_VALUE"""),"France")</f>
        <v>France</v>
      </c>
      <c r="E1753" s="135"/>
      <c r="F1753" s="31"/>
    </row>
    <row r="1754">
      <c r="A1754" s="134" t="str">
        <f>IFERROR(__xludf.DUMMYFUNCTION("""COMPUTED_VALUE"""),"Coimbatore")</f>
        <v>Coimbatore</v>
      </c>
      <c r="B1754" s="120" t="str">
        <f>IFERROR(__xludf.DUMMYFUNCTION("""COMPUTED_VALUE"""),"CJB")</f>
        <v>CJB</v>
      </c>
      <c r="C1754" s="120" t="str">
        <f>IFERROR(__xludf.DUMMYFUNCTION("""COMPUTED_VALUE"""),"Peelamedu")</f>
        <v>Peelamedu</v>
      </c>
      <c r="D1754" s="120" t="str">
        <f>IFERROR(__xludf.DUMMYFUNCTION("""COMPUTED_VALUE"""),"India")</f>
        <v>India</v>
      </c>
      <c r="E1754" s="135"/>
      <c r="F1754" s="31"/>
    </row>
    <row r="1755">
      <c r="A1755" s="134" t="str">
        <f>IFERROR(__xludf.DUMMYFUNCTION("""COMPUTED_VALUE"""),"Coimbra")</f>
        <v>Coimbra</v>
      </c>
      <c r="B1755" s="120" t="str">
        <f>IFERROR(__xludf.DUMMYFUNCTION("""COMPUTED_VALUE"""),"CBP")</f>
        <v>CBP</v>
      </c>
      <c r="C1755" s="120" t="str">
        <f>IFERROR(__xludf.DUMMYFUNCTION("""COMPUTED_VALUE"""),"Coimbra")</f>
        <v>Coimbra</v>
      </c>
      <c r="D1755" s="120" t="str">
        <f>IFERROR(__xludf.DUMMYFUNCTION("""COMPUTED_VALUE"""),"Portugal")</f>
        <v>Portugal</v>
      </c>
      <c r="E1755" s="135"/>
      <c r="F1755" s="31"/>
    </row>
    <row r="1756">
      <c r="A1756" s="134" t="str">
        <f>IFERROR(__xludf.DUMMYFUNCTION("""COMPUTED_VALUE"""),"Colac")</f>
        <v>Colac</v>
      </c>
      <c r="B1756" s="120" t="str">
        <f>IFERROR(__xludf.DUMMYFUNCTION("""COMPUTED_VALUE"""),"XCO")</f>
        <v>XCO</v>
      </c>
      <c r="C1756" s="120" t="str">
        <f>IFERROR(__xludf.DUMMYFUNCTION("""COMPUTED_VALUE"""),"Colac")</f>
        <v>Colac</v>
      </c>
      <c r="D1756" s="120" t="str">
        <f>IFERROR(__xludf.DUMMYFUNCTION("""COMPUTED_VALUE"""),"Australia")</f>
        <v>Australia</v>
      </c>
      <c r="E1756" s="135"/>
      <c r="F1756" s="31"/>
    </row>
    <row r="1757">
      <c r="A1757" s="134" t="str">
        <f>IFERROR(__xludf.DUMMYFUNCTION("""COMPUTED_VALUE"""),"Colby")</f>
        <v>Colby</v>
      </c>
      <c r="B1757" s="120" t="str">
        <f>IFERROR(__xludf.DUMMYFUNCTION("""COMPUTED_VALUE"""),"CBK")</f>
        <v>CBK</v>
      </c>
      <c r="C1757" s="120" t="str">
        <f>IFERROR(__xludf.DUMMYFUNCTION("""COMPUTED_VALUE"""),"Municipal")</f>
        <v>Municipal</v>
      </c>
      <c r="D1757" s="120" t="str">
        <f>IFERROR(__xludf.DUMMYFUNCTION("""COMPUTED_VALUE"""),"United States")</f>
        <v>United States</v>
      </c>
      <c r="E1757" s="135"/>
      <c r="F1757" s="31"/>
    </row>
    <row r="1758">
      <c r="A1758" s="134" t="str">
        <f>IFERROR(__xludf.DUMMYFUNCTION("""COMPUTED_VALUE"""),"Cold Bay")</f>
        <v>Cold Bay</v>
      </c>
      <c r="B1758" s="120" t="str">
        <f>IFERROR(__xludf.DUMMYFUNCTION("""COMPUTED_VALUE"""),"CDB")</f>
        <v>CDB</v>
      </c>
      <c r="C1758" s="120" t="str">
        <f>IFERROR(__xludf.DUMMYFUNCTION("""COMPUTED_VALUE"""),"Cold Bay")</f>
        <v>Cold Bay</v>
      </c>
      <c r="D1758" s="120" t="str">
        <f>IFERROR(__xludf.DUMMYFUNCTION("""COMPUTED_VALUE"""),"United States")</f>
        <v>United States</v>
      </c>
      <c r="E1758" s="135"/>
      <c r="F1758" s="31"/>
    </row>
    <row r="1759">
      <c r="A1759" s="134" t="str">
        <f>IFERROR(__xludf.DUMMYFUNCTION("""COMPUTED_VALUE"""),"Cold Lake")</f>
        <v>Cold Lake</v>
      </c>
      <c r="B1759" s="120" t="str">
        <f>IFERROR(__xludf.DUMMYFUNCTION("""COMPUTED_VALUE"""),"YOD")</f>
        <v>YOD</v>
      </c>
      <c r="C1759" s="120" t="str">
        <f>IFERROR(__xludf.DUMMYFUNCTION("""COMPUTED_VALUE"""),"Cold Lake")</f>
        <v>Cold Lake</v>
      </c>
      <c r="D1759" s="120" t="str">
        <f>IFERROR(__xludf.DUMMYFUNCTION("""COMPUTED_VALUE"""),"Canada")</f>
        <v>Canada</v>
      </c>
      <c r="E1759" s="135"/>
      <c r="F1759" s="31"/>
    </row>
    <row r="1760">
      <c r="A1760" s="134" t="str">
        <f>IFERROR(__xludf.DUMMYFUNCTION("""COMPUTED_VALUE"""),"Coldfoot")</f>
        <v>Coldfoot</v>
      </c>
      <c r="B1760" s="120" t="str">
        <f>IFERROR(__xludf.DUMMYFUNCTION("""COMPUTED_VALUE"""),"CXF")</f>
        <v>CXF</v>
      </c>
      <c r="C1760" s="120" t="str">
        <f>IFERROR(__xludf.DUMMYFUNCTION("""COMPUTED_VALUE"""),"Coldfoot")</f>
        <v>Coldfoot</v>
      </c>
      <c r="D1760" s="120" t="str">
        <f>IFERROR(__xludf.DUMMYFUNCTION("""COMPUTED_VALUE"""),"United States")</f>
        <v>United States</v>
      </c>
      <c r="E1760" s="135"/>
      <c r="F1760" s="31"/>
    </row>
    <row r="1761">
      <c r="A1761" s="134" t="str">
        <f>IFERROR(__xludf.DUMMYFUNCTION("""COMPUTED_VALUE"""),"Coleman")</f>
        <v>Coleman</v>
      </c>
      <c r="B1761" s="120" t="str">
        <f>IFERROR(__xludf.DUMMYFUNCTION("""COMPUTED_VALUE"""),"COM")</f>
        <v>COM</v>
      </c>
      <c r="C1761" s="120" t="str">
        <f>IFERROR(__xludf.DUMMYFUNCTION("""COMPUTED_VALUE"""),"Coleman")</f>
        <v>Coleman</v>
      </c>
      <c r="D1761" s="120" t="str">
        <f>IFERROR(__xludf.DUMMYFUNCTION("""COMPUTED_VALUE"""),"United States")</f>
        <v>United States</v>
      </c>
      <c r="E1761" s="135"/>
      <c r="F1761" s="31"/>
    </row>
    <row r="1762">
      <c r="A1762" s="134" t="str">
        <f>IFERROR(__xludf.DUMMYFUNCTION("""COMPUTED_VALUE"""),"Colima")</f>
        <v>Colima</v>
      </c>
      <c r="B1762" s="120" t="str">
        <f>IFERROR(__xludf.DUMMYFUNCTION("""COMPUTED_VALUE"""),"CLQ")</f>
        <v>CLQ</v>
      </c>
      <c r="C1762" s="120" t="str">
        <f>IFERROR(__xludf.DUMMYFUNCTION("""COMPUTED_VALUE"""),"Colima")</f>
        <v>Colima</v>
      </c>
      <c r="D1762" s="120" t="str">
        <f>IFERROR(__xludf.DUMMYFUNCTION("""COMPUTED_VALUE"""),"Mexico")</f>
        <v>Mexico</v>
      </c>
      <c r="E1762" s="135"/>
      <c r="F1762" s="31"/>
    </row>
    <row r="1763">
      <c r="A1763" s="134" t="str">
        <f>IFERROR(__xludf.DUMMYFUNCTION("""COMPUTED_VALUE"""),"Isle Of Coll")</f>
        <v>Isle Of Coll</v>
      </c>
      <c r="B1763" s="120" t="str">
        <f>IFERROR(__xludf.DUMMYFUNCTION("""COMPUTED_VALUE"""),"COL")</f>
        <v>COL</v>
      </c>
      <c r="C1763" s="120" t="str">
        <f>IFERROR(__xludf.DUMMYFUNCTION("""COMPUTED_VALUE"""),"Isle Of Coll")</f>
        <v>Isle Of Coll</v>
      </c>
      <c r="D1763" s="120" t="str">
        <f>IFERROR(__xludf.DUMMYFUNCTION("""COMPUTED_VALUE"""),"United Kingdom")</f>
        <v>United Kingdom</v>
      </c>
      <c r="E1763" s="135"/>
      <c r="F1763" s="31"/>
    </row>
    <row r="1764">
      <c r="A1764" s="134" t="str">
        <f>IFERROR(__xludf.DUMMYFUNCTION("""COMPUTED_VALUE"""),"Collarenebri")</f>
        <v>Collarenebri</v>
      </c>
      <c r="B1764" s="120" t="str">
        <f>IFERROR(__xludf.DUMMYFUNCTION("""COMPUTED_VALUE"""),"CRB")</f>
        <v>CRB</v>
      </c>
      <c r="C1764" s="120" t="str">
        <f>IFERROR(__xludf.DUMMYFUNCTION("""COMPUTED_VALUE"""),"Collarenebri")</f>
        <v>Collarenebri</v>
      </c>
      <c r="D1764" s="120" t="str">
        <f>IFERROR(__xludf.DUMMYFUNCTION("""COMPUTED_VALUE"""),"Australia")</f>
        <v>Australia</v>
      </c>
      <c r="E1764" s="135"/>
      <c r="F1764" s="31"/>
    </row>
    <row r="1765">
      <c r="A1765" s="134" t="str">
        <f>IFERROR(__xludf.DUMMYFUNCTION("""COMPUTED_VALUE"""),"College Park")</f>
        <v>College Park</v>
      </c>
      <c r="B1765" s="120" t="str">
        <f>IFERROR(__xludf.DUMMYFUNCTION("""COMPUTED_VALUE"""),"CGS")</f>
        <v>CGS</v>
      </c>
      <c r="C1765" s="120" t="str">
        <f>IFERROR(__xludf.DUMMYFUNCTION("""COMPUTED_VALUE"""),"College Park")</f>
        <v>College Park</v>
      </c>
      <c r="D1765" s="120" t="str">
        <f>IFERROR(__xludf.DUMMYFUNCTION("""COMPUTED_VALUE"""),"United States")</f>
        <v>United States</v>
      </c>
      <c r="E1765" s="135"/>
      <c r="F1765" s="31"/>
    </row>
    <row r="1766">
      <c r="A1766" s="134" t="str">
        <f>IFERROR(__xludf.DUMMYFUNCTION("""COMPUTED_VALUE"""),"College Station")</f>
        <v>College Station</v>
      </c>
      <c r="B1766" s="120" t="str">
        <f>IFERROR(__xludf.DUMMYFUNCTION("""COMPUTED_VALUE"""),"CLL")</f>
        <v>CLL</v>
      </c>
      <c r="C1766" s="120" t="str">
        <f>IFERROR(__xludf.DUMMYFUNCTION("""COMPUTED_VALUE"""),"Easterwood Field")</f>
        <v>Easterwood Field</v>
      </c>
      <c r="D1766" s="120" t="str">
        <f>IFERROR(__xludf.DUMMYFUNCTION("""COMPUTED_VALUE"""),"United States")</f>
        <v>United States</v>
      </c>
      <c r="E1766" s="135"/>
      <c r="F1766" s="31"/>
    </row>
    <row r="1767">
      <c r="A1767" s="134" t="str">
        <f>IFERROR(__xludf.DUMMYFUNCTION("""COMPUTED_VALUE"""),"Collie")</f>
        <v>Collie</v>
      </c>
      <c r="B1767" s="120" t="str">
        <f>IFERROR(__xludf.DUMMYFUNCTION("""COMPUTED_VALUE"""),"CIE")</f>
        <v>CIE</v>
      </c>
      <c r="C1767" s="120" t="str">
        <f>IFERROR(__xludf.DUMMYFUNCTION("""COMPUTED_VALUE"""),"Collie")</f>
        <v>Collie</v>
      </c>
      <c r="D1767" s="120" t="str">
        <f>IFERROR(__xludf.DUMMYFUNCTION("""COMPUTED_VALUE"""),"Australia")</f>
        <v>Australia</v>
      </c>
      <c r="E1767" s="135"/>
      <c r="F1767" s="31"/>
    </row>
    <row r="1768">
      <c r="A1768" s="134" t="str">
        <f>IFERROR(__xludf.DUMMYFUNCTION("""COMPUTED_VALUE"""),"Collins Bay")</f>
        <v>Collins Bay</v>
      </c>
      <c r="B1768" s="120" t="str">
        <f>IFERROR(__xludf.DUMMYFUNCTION("""COMPUTED_VALUE"""),"YKC")</f>
        <v>YKC</v>
      </c>
      <c r="C1768" s="120" t="str">
        <f>IFERROR(__xludf.DUMMYFUNCTION("""COMPUTED_VALUE"""),"Collins Bay")</f>
        <v>Collins Bay</v>
      </c>
      <c r="D1768" s="120" t="str">
        <f>IFERROR(__xludf.DUMMYFUNCTION("""COMPUTED_VALUE"""),"Canada")</f>
        <v>Canada</v>
      </c>
      <c r="E1768" s="135"/>
      <c r="F1768" s="31"/>
    </row>
    <row r="1769">
      <c r="A1769" s="134" t="str">
        <f>IFERROR(__xludf.DUMMYFUNCTION("""COMPUTED_VALUE"""),"Collinsville")</f>
        <v>Collinsville</v>
      </c>
      <c r="B1769" s="120" t="str">
        <f>IFERROR(__xludf.DUMMYFUNCTION("""COMPUTED_VALUE"""),"KCE")</f>
        <v>KCE</v>
      </c>
      <c r="C1769" s="120" t="str">
        <f>IFERROR(__xludf.DUMMYFUNCTION("""COMPUTED_VALUE"""),"Collinsville")</f>
        <v>Collinsville</v>
      </c>
      <c r="D1769" s="120" t="str">
        <f>IFERROR(__xludf.DUMMYFUNCTION("""COMPUTED_VALUE"""),"Australia")</f>
        <v>Australia</v>
      </c>
      <c r="E1769" s="135"/>
      <c r="F1769" s="31"/>
    </row>
    <row r="1770">
      <c r="A1770" s="134" t="str">
        <f>IFERROR(__xludf.DUMMYFUNCTION("""COMPUTED_VALUE"""),"Colmar")</f>
        <v>Colmar</v>
      </c>
      <c r="B1770" s="120" t="str">
        <f>IFERROR(__xludf.DUMMYFUNCTION("""COMPUTED_VALUE"""),"CMR")</f>
        <v>CMR</v>
      </c>
      <c r="C1770" s="120" t="str">
        <f>IFERROR(__xludf.DUMMYFUNCTION("""COMPUTED_VALUE"""),"Colmar-Houssen")</f>
        <v>Colmar-Houssen</v>
      </c>
      <c r="D1770" s="120" t="str">
        <f>IFERROR(__xludf.DUMMYFUNCTION("""COMPUTED_VALUE"""),"France")</f>
        <v>France</v>
      </c>
      <c r="E1770" s="135"/>
      <c r="F1770" s="31"/>
    </row>
    <row r="1771">
      <c r="A1771" s="134" t="str">
        <f>IFERROR(__xludf.DUMMYFUNCTION("""COMPUTED_VALUE"""),"Cologne")</f>
        <v>Cologne</v>
      </c>
      <c r="B1771" s="120" t="str">
        <f>IFERROR(__xludf.DUMMYFUNCTION("""COMPUTED_VALUE"""),"CGN")</f>
        <v>CGN</v>
      </c>
      <c r="C1771" s="120" t="str">
        <f>IFERROR(__xludf.DUMMYFUNCTION("""COMPUTED_VALUE"""),"Cologne/bonn")</f>
        <v>Cologne/bonn</v>
      </c>
      <c r="D1771" s="120" t="str">
        <f>IFERROR(__xludf.DUMMYFUNCTION("""COMPUTED_VALUE"""),"Germany")</f>
        <v>Germany</v>
      </c>
      <c r="E1771" s="135"/>
      <c r="F1771" s="31"/>
    </row>
    <row r="1772">
      <c r="A1772" s="134" t="str">
        <f>IFERROR(__xludf.DUMMYFUNCTION("""COMPUTED_VALUE"""),"Colombo")</f>
        <v>Colombo</v>
      </c>
      <c r="B1772" s="120" t="str">
        <f>IFERROR(__xludf.DUMMYFUNCTION("""COMPUTED_VALUE"""),"CMB")</f>
        <v>CMB</v>
      </c>
      <c r="C1772" s="120" t="str">
        <f>IFERROR(__xludf.DUMMYFUNCTION("""COMPUTED_VALUE"""),"Bandaranayake")</f>
        <v>Bandaranayake</v>
      </c>
      <c r="D1772" s="120" t="str">
        <f>IFERROR(__xludf.DUMMYFUNCTION("""COMPUTED_VALUE"""),"Sri Lanka")</f>
        <v>Sri Lanka</v>
      </c>
      <c r="E1772" s="135"/>
      <c r="F1772" s="31"/>
    </row>
    <row r="1773">
      <c r="A1773" s="134" t="str">
        <f>IFERROR(__xludf.DUMMYFUNCTION("""COMPUTED_VALUE"""),"Colon")</f>
        <v>Colon</v>
      </c>
      <c r="B1773" s="120" t="str">
        <f>IFERROR(__xludf.DUMMYFUNCTION("""COMPUTED_VALUE"""),"ONX")</f>
        <v>ONX</v>
      </c>
      <c r="C1773" s="120" t="str">
        <f>IFERROR(__xludf.DUMMYFUNCTION("""COMPUTED_VALUE"""),"Colon")</f>
        <v>Colon</v>
      </c>
      <c r="D1773" s="120" t="str">
        <f>IFERROR(__xludf.DUMMYFUNCTION("""COMPUTED_VALUE"""),"Panama")</f>
        <v>Panama</v>
      </c>
      <c r="E1773" s="135"/>
      <c r="F1773" s="31"/>
    </row>
    <row r="1774">
      <c r="A1774" s="134" t="str">
        <f>IFERROR(__xludf.DUMMYFUNCTION("""COMPUTED_VALUE"""),"Colonia")</f>
        <v>Colonia</v>
      </c>
      <c r="B1774" s="120" t="str">
        <f>IFERROR(__xludf.DUMMYFUNCTION("""COMPUTED_VALUE"""),"CYR")</f>
        <v>CYR</v>
      </c>
      <c r="C1774" s="120" t="str">
        <f>IFERROR(__xludf.DUMMYFUNCTION("""COMPUTED_VALUE"""),"Laguna De Los Patos")</f>
        <v>Laguna De Los Patos</v>
      </c>
      <c r="D1774" s="120" t="str">
        <f>IFERROR(__xludf.DUMMYFUNCTION("""COMPUTED_VALUE"""),"Uruguay")</f>
        <v>Uruguay</v>
      </c>
      <c r="E1774" s="135"/>
      <c r="F1774" s="31"/>
    </row>
    <row r="1775">
      <c r="A1775" s="134" t="str">
        <f>IFERROR(__xludf.DUMMYFUNCTION("""COMPUTED_VALUE"""),"Colonia Catriel")</f>
        <v>Colonia Catriel</v>
      </c>
      <c r="B1775" s="120" t="str">
        <f>IFERROR(__xludf.DUMMYFUNCTION("""COMPUTED_VALUE"""),"CCT")</f>
        <v>CCT</v>
      </c>
      <c r="C1775" s="120" t="str">
        <f>IFERROR(__xludf.DUMMYFUNCTION("""COMPUTED_VALUE"""),"Colonia Catriel")</f>
        <v>Colonia Catriel</v>
      </c>
      <c r="D1775" s="120" t="str">
        <f>IFERROR(__xludf.DUMMYFUNCTION("""COMPUTED_VALUE"""),"Argentina")</f>
        <v>Argentina</v>
      </c>
      <c r="E1775" s="135"/>
      <c r="F1775" s="31"/>
    </row>
    <row r="1776">
      <c r="A1776" s="134" t="str">
        <f>IFERROR(__xludf.DUMMYFUNCTION("""COMPUTED_VALUE"""),"Colonia Sarmiento")</f>
        <v>Colonia Sarmiento</v>
      </c>
      <c r="B1776" s="120" t="str">
        <f>IFERROR(__xludf.DUMMYFUNCTION("""COMPUTED_VALUE"""),"OLN")</f>
        <v>OLN</v>
      </c>
      <c r="C1776" s="120" t="str">
        <f>IFERROR(__xludf.DUMMYFUNCTION("""COMPUTED_VALUE"""),"Colonia Sarmiento")</f>
        <v>Colonia Sarmiento</v>
      </c>
      <c r="D1776" s="120" t="str">
        <f>IFERROR(__xludf.DUMMYFUNCTION("""COMPUTED_VALUE"""),"Argentina")</f>
        <v>Argentina</v>
      </c>
      <c r="E1776" s="135"/>
      <c r="F1776" s="31"/>
    </row>
    <row r="1777">
      <c r="A1777" s="134" t="str">
        <f>IFERROR(__xludf.DUMMYFUNCTION("""COMPUTED_VALUE"""),"Isle Of Colonsay")</f>
        <v>Isle Of Colonsay</v>
      </c>
      <c r="B1777" s="120" t="str">
        <f>IFERROR(__xludf.DUMMYFUNCTION("""COMPUTED_VALUE"""),"CSA")</f>
        <v>CSA</v>
      </c>
      <c r="C1777" s="120" t="str">
        <f>IFERROR(__xludf.DUMMYFUNCTION("""COMPUTED_VALUE"""),"Isle Of Colonsay")</f>
        <v>Isle Of Colonsay</v>
      </c>
      <c r="D1777" s="120" t="str">
        <f>IFERROR(__xludf.DUMMYFUNCTION("""COMPUTED_VALUE"""),"United Kingdom")</f>
        <v>United Kingdom</v>
      </c>
      <c r="E1777" s="135"/>
      <c r="F1777" s="31"/>
    </row>
    <row r="1778">
      <c r="A1778" s="134" t="str">
        <f>IFERROR(__xludf.DUMMYFUNCTION("""COMPUTED_VALUE"""),"Colorado Creek")</f>
        <v>Colorado Creek</v>
      </c>
      <c r="B1778" s="120" t="str">
        <f>IFERROR(__xludf.DUMMYFUNCTION("""COMPUTED_VALUE"""),"KCR")</f>
        <v>KCR</v>
      </c>
      <c r="C1778" s="120" t="str">
        <f>IFERROR(__xludf.DUMMYFUNCTION("""COMPUTED_VALUE"""),"Colorado Creek")</f>
        <v>Colorado Creek</v>
      </c>
      <c r="D1778" s="120" t="str">
        <f>IFERROR(__xludf.DUMMYFUNCTION("""COMPUTED_VALUE"""),"United States")</f>
        <v>United States</v>
      </c>
      <c r="E1778" s="135"/>
      <c r="F1778" s="31"/>
    </row>
    <row r="1779">
      <c r="A1779" s="134" t="str">
        <f>IFERROR(__xludf.DUMMYFUNCTION("""COMPUTED_VALUE"""),"Colorado do Oeste")</f>
        <v>Colorado do Oeste</v>
      </c>
      <c r="B1779" s="120" t="str">
        <f>IFERROR(__xludf.DUMMYFUNCTION("""COMPUTED_VALUE"""),"CSW")</f>
        <v>CSW</v>
      </c>
      <c r="C1779" s="120" t="str">
        <f>IFERROR(__xludf.DUMMYFUNCTION("""COMPUTED_VALUE"""),"Colorado do Oeste")</f>
        <v>Colorado do Oeste</v>
      </c>
      <c r="D1779" s="120" t="str">
        <f>IFERROR(__xludf.DUMMYFUNCTION("""COMPUTED_VALUE"""),"Brazil")</f>
        <v>Brazil</v>
      </c>
      <c r="E1779" s="135"/>
      <c r="F1779" s="31"/>
    </row>
    <row r="1780">
      <c r="A1780" s="134" t="str">
        <f>IFERROR(__xludf.DUMMYFUNCTION("""COMPUTED_VALUE"""),"Colorado Springs")</f>
        <v>Colorado Springs</v>
      </c>
      <c r="B1780" s="120" t="str">
        <f>IFERROR(__xludf.DUMMYFUNCTION("""COMPUTED_VALUE"""),"FCS")</f>
        <v>FCS</v>
      </c>
      <c r="C1780" s="120" t="str">
        <f>IFERROR(__xludf.DUMMYFUNCTION("""COMPUTED_VALUE"""),"Butts AAF")</f>
        <v>Butts AAF</v>
      </c>
      <c r="D1780" s="120" t="str">
        <f>IFERROR(__xludf.DUMMYFUNCTION("""COMPUTED_VALUE"""),"United States")</f>
        <v>United States</v>
      </c>
      <c r="E1780" s="135"/>
      <c r="F1780" s="31"/>
    </row>
    <row r="1781">
      <c r="A1781" s="134" t="str">
        <f>IFERROR(__xludf.DUMMYFUNCTION("""COMPUTED_VALUE"""),"Colorado Springs")</f>
        <v>Colorado Springs</v>
      </c>
      <c r="B1781" s="120" t="str">
        <f>IFERROR(__xludf.DUMMYFUNCTION("""COMPUTED_VALUE"""),"COS")</f>
        <v>COS</v>
      </c>
      <c r="C1781" s="120" t="str">
        <f>IFERROR(__xludf.DUMMYFUNCTION("""COMPUTED_VALUE"""),"Colorado Springs")</f>
        <v>Colorado Springs</v>
      </c>
      <c r="D1781" s="120" t="str">
        <f>IFERROR(__xludf.DUMMYFUNCTION("""COMPUTED_VALUE"""),"United States")</f>
        <v>United States</v>
      </c>
      <c r="E1781" s="135"/>
      <c r="F1781" s="31"/>
    </row>
    <row r="1782">
      <c r="A1782" s="134" t="str">
        <f>IFERROR(__xludf.DUMMYFUNCTION("""COMPUTED_VALUE"""),"Colorado Springs")</f>
        <v>Colorado Springs</v>
      </c>
      <c r="B1782" s="120" t="str">
        <f>IFERROR(__xludf.DUMMYFUNCTION("""COMPUTED_VALUE"""),"AFF")</f>
        <v>AFF</v>
      </c>
      <c r="C1782" s="120" t="str">
        <f>IFERROR(__xludf.DUMMYFUNCTION("""COMPUTED_VALUE"""),"USAF Academy")</f>
        <v>USAF Academy</v>
      </c>
      <c r="D1782" s="120" t="str">
        <f>IFERROR(__xludf.DUMMYFUNCTION("""COMPUTED_VALUE"""),"United States")</f>
        <v>United States</v>
      </c>
      <c r="E1782" s="135"/>
      <c r="F1782" s="31"/>
    </row>
    <row r="1783">
      <c r="A1783" s="134" t="str">
        <f>IFERROR(__xludf.DUMMYFUNCTION("""COMPUTED_VALUE"""),"Columbia")</f>
        <v>Columbia</v>
      </c>
      <c r="B1783" s="120" t="str">
        <f>IFERROR(__xludf.DUMMYFUNCTION("""COMPUTED_VALUE"""),"COA")</f>
        <v>COA</v>
      </c>
      <c r="C1783" s="120" t="str">
        <f>IFERROR(__xludf.DUMMYFUNCTION("""COMPUTED_VALUE"""),"Columbia")</f>
        <v>Columbia</v>
      </c>
      <c r="D1783" s="120" t="str">
        <f>IFERROR(__xludf.DUMMYFUNCTION("""COMPUTED_VALUE"""),"United States")</f>
        <v>United States</v>
      </c>
      <c r="E1783" s="135"/>
      <c r="F1783" s="31"/>
    </row>
    <row r="1784">
      <c r="A1784" s="134" t="str">
        <f>IFERROR(__xludf.DUMMYFUNCTION("""COMPUTED_VALUE"""),"Columbia")</f>
        <v>Columbia</v>
      </c>
      <c r="B1784" s="120" t="str">
        <f>IFERROR(__xludf.DUMMYFUNCTION("""COMPUTED_VALUE"""),"COU")</f>
        <v>COU</v>
      </c>
      <c r="C1784" s="120" t="str">
        <f>IFERROR(__xludf.DUMMYFUNCTION("""COMPUTED_VALUE"""),"Columbia Regional")</f>
        <v>Columbia Regional</v>
      </c>
      <c r="D1784" s="120" t="str">
        <f>IFERROR(__xludf.DUMMYFUNCTION("""COMPUTED_VALUE"""),"United States")</f>
        <v>United States</v>
      </c>
      <c r="E1784" s="135"/>
      <c r="F1784" s="31"/>
    </row>
    <row r="1785">
      <c r="A1785" s="134" t="str">
        <f>IFERROR(__xludf.DUMMYFUNCTION("""COMPUTED_VALUE"""),"Columbia")</f>
        <v>Columbia</v>
      </c>
      <c r="B1785" s="120" t="str">
        <f>IFERROR(__xludf.DUMMYFUNCTION("""COMPUTED_VALUE"""),"MMT")</f>
        <v>MMT</v>
      </c>
      <c r="C1785" s="120" t="str">
        <f>IFERROR(__xludf.DUMMYFUNCTION("""COMPUTED_VALUE"""),"Mc Entire ANG Base")</f>
        <v>Mc Entire ANG Base</v>
      </c>
      <c r="D1785" s="120" t="str">
        <f>IFERROR(__xludf.DUMMYFUNCTION("""COMPUTED_VALUE"""),"United States")</f>
        <v>United States</v>
      </c>
      <c r="E1785" s="135"/>
      <c r="F1785" s="31"/>
    </row>
    <row r="1786">
      <c r="A1786" s="134" t="str">
        <f>IFERROR(__xludf.DUMMYFUNCTION("""COMPUTED_VALUE"""),"Columbia")</f>
        <v>Columbia</v>
      </c>
      <c r="B1786" s="120" t="str">
        <f>IFERROR(__xludf.DUMMYFUNCTION("""COMPUTED_VALUE"""),"CAE")</f>
        <v>CAE</v>
      </c>
      <c r="C1786" s="120" t="str">
        <f>IFERROR(__xludf.DUMMYFUNCTION("""COMPUTED_VALUE"""),"Metropolitan Airport")</f>
        <v>Metropolitan Airport</v>
      </c>
      <c r="D1786" s="120" t="str">
        <f>IFERROR(__xludf.DUMMYFUNCTION("""COMPUTED_VALUE"""),"United States")</f>
        <v>United States</v>
      </c>
      <c r="E1786" s="135"/>
      <c r="F1786" s="31"/>
    </row>
    <row r="1787">
      <c r="A1787" s="134" t="str">
        <f>IFERROR(__xludf.DUMMYFUNCTION("""COMPUTED_VALUE"""),"Columbia")</f>
        <v>Columbia</v>
      </c>
      <c r="B1787" s="120" t="str">
        <f>IFERROR(__xludf.DUMMYFUNCTION("""COMPUTED_VALUE"""),"CUB")</f>
        <v>CUB</v>
      </c>
      <c r="C1787" s="120" t="str">
        <f>IFERROR(__xludf.DUMMYFUNCTION("""COMPUTED_VALUE"""),"Owens Field")</f>
        <v>Owens Field</v>
      </c>
      <c r="D1787" s="120" t="str">
        <f>IFERROR(__xludf.DUMMYFUNCTION("""COMPUTED_VALUE"""),"United States")</f>
        <v>United States</v>
      </c>
      <c r="E1787" s="135"/>
      <c r="F1787" s="31"/>
    </row>
    <row r="1788">
      <c r="A1788" s="134" t="str">
        <f>IFERROR(__xludf.DUMMYFUNCTION("""COMPUTED_VALUE"""),"Columbia")</f>
        <v>Columbia</v>
      </c>
      <c r="B1788" s="120" t="str">
        <f>IFERROR(__xludf.DUMMYFUNCTION("""COMPUTED_VALUE"""),"MRC")</f>
        <v>MRC</v>
      </c>
      <c r="C1788" s="120" t="str">
        <f>IFERROR(__xludf.DUMMYFUNCTION("""COMPUTED_VALUE"""),"Maury County")</f>
        <v>Maury County</v>
      </c>
      <c r="D1788" s="120" t="str">
        <f>IFERROR(__xludf.DUMMYFUNCTION("""COMPUTED_VALUE"""),"United States")</f>
        <v>United States</v>
      </c>
      <c r="E1788" s="135"/>
      <c r="F1788" s="31"/>
    </row>
    <row r="1789">
      <c r="A1789" s="134" t="str">
        <f>IFERROR(__xludf.DUMMYFUNCTION("""COMPUTED_VALUE"""),"Columbus")</f>
        <v>Columbus</v>
      </c>
      <c r="B1789" s="120" t="str">
        <f>IFERROR(__xludf.DUMMYFUNCTION("""COMPUTED_VALUE"""),"LSF")</f>
        <v>LSF</v>
      </c>
      <c r="C1789" s="120" t="str">
        <f>IFERROR(__xludf.DUMMYFUNCTION("""COMPUTED_VALUE"""),"Lawson AAF")</f>
        <v>Lawson AAF</v>
      </c>
      <c r="D1789" s="120" t="str">
        <f>IFERROR(__xludf.DUMMYFUNCTION("""COMPUTED_VALUE"""),"United States")</f>
        <v>United States</v>
      </c>
      <c r="E1789" s="135"/>
      <c r="F1789" s="31"/>
    </row>
    <row r="1790">
      <c r="A1790" s="134" t="str">
        <f>IFERROR(__xludf.DUMMYFUNCTION("""COMPUTED_VALUE"""),"Columbus")</f>
        <v>Columbus</v>
      </c>
      <c r="B1790" s="120" t="str">
        <f>IFERROR(__xludf.DUMMYFUNCTION("""COMPUTED_VALUE"""),"MKF")</f>
        <v>MKF</v>
      </c>
      <c r="C1790" s="120" t="str">
        <f>IFERROR(__xludf.DUMMYFUNCTION("""COMPUTED_VALUE"""),"Mckenna AAF")</f>
        <v>Mckenna AAF</v>
      </c>
      <c r="D1790" s="120" t="str">
        <f>IFERROR(__xludf.DUMMYFUNCTION("""COMPUTED_VALUE"""),"United States")</f>
        <v>United States</v>
      </c>
      <c r="E1790" s="135"/>
      <c r="F1790" s="31"/>
    </row>
    <row r="1791">
      <c r="A1791" s="134" t="str">
        <f>IFERROR(__xludf.DUMMYFUNCTION("""COMPUTED_VALUE"""),"Columbus")</f>
        <v>Columbus</v>
      </c>
      <c r="B1791" s="120" t="str">
        <f>IFERROR(__xludf.DUMMYFUNCTION("""COMPUTED_VALUE"""),"CLU")</f>
        <v>CLU</v>
      </c>
      <c r="C1791" s="120" t="str">
        <f>IFERROR(__xludf.DUMMYFUNCTION("""COMPUTED_VALUE"""),"Columbus Municipal")</f>
        <v>Columbus Municipal</v>
      </c>
      <c r="D1791" s="120" t="str">
        <f>IFERROR(__xludf.DUMMYFUNCTION("""COMPUTED_VALUE"""),"United States")</f>
        <v>United States</v>
      </c>
      <c r="E1791" s="135"/>
      <c r="F1791" s="31"/>
    </row>
    <row r="1792">
      <c r="A1792" s="134" t="str">
        <f>IFERROR(__xludf.DUMMYFUNCTION("""COMPUTED_VALUE"""),"Columbus")</f>
        <v>Columbus</v>
      </c>
      <c r="B1792" s="120" t="str">
        <f>IFERROR(__xludf.DUMMYFUNCTION("""COMPUTED_VALUE"""),"CBM")</f>
        <v>CBM</v>
      </c>
      <c r="C1792" s="120" t="str">
        <f>IFERROR(__xludf.DUMMYFUNCTION("""COMPUTED_VALUE"""),"Columbus AFB")</f>
        <v>Columbus AFB</v>
      </c>
      <c r="D1792" s="120" t="str">
        <f>IFERROR(__xludf.DUMMYFUNCTION("""COMPUTED_VALUE"""),"United States")</f>
        <v>United States</v>
      </c>
      <c r="E1792" s="135"/>
      <c r="F1792" s="31"/>
    </row>
    <row r="1793">
      <c r="A1793" s="134" t="str">
        <f>IFERROR(__xludf.DUMMYFUNCTION("""COMPUTED_VALUE"""),"Columbus")</f>
        <v>Columbus</v>
      </c>
      <c r="B1793" s="120" t="str">
        <f>IFERROR(__xludf.DUMMYFUNCTION("""COMPUTED_VALUE"""),"GTR")</f>
        <v>GTR</v>
      </c>
      <c r="C1793" s="120" t="str">
        <f>IFERROR(__xludf.DUMMYFUNCTION("""COMPUTED_VALUE"""),"Golden Triangle Reg.")</f>
        <v>Golden Triangle Reg.</v>
      </c>
      <c r="D1793" s="120" t="str">
        <f>IFERROR(__xludf.DUMMYFUNCTION("""COMPUTED_VALUE"""),"United States")</f>
        <v>United States</v>
      </c>
      <c r="E1793" s="135"/>
      <c r="F1793" s="31"/>
    </row>
    <row r="1794">
      <c r="A1794" s="134" t="str">
        <f>IFERROR(__xludf.DUMMYFUNCTION("""COMPUTED_VALUE"""),"Columbus")</f>
        <v>Columbus</v>
      </c>
      <c r="B1794" s="120" t="str">
        <f>IFERROR(__xludf.DUMMYFUNCTION("""COMPUTED_VALUE"""),"UBS")</f>
        <v>UBS</v>
      </c>
      <c r="C1794" s="120" t="str">
        <f>IFERROR(__xludf.DUMMYFUNCTION("""COMPUTED_VALUE"""),"Lowndes County")</f>
        <v>Lowndes County</v>
      </c>
      <c r="D1794" s="120" t="str">
        <f>IFERROR(__xludf.DUMMYFUNCTION("""COMPUTED_VALUE"""),"United States")</f>
        <v>United States</v>
      </c>
      <c r="E1794" s="135"/>
      <c r="F1794" s="31"/>
    </row>
    <row r="1795">
      <c r="A1795" s="134" t="str">
        <f>IFERROR(__xludf.DUMMYFUNCTION("""COMPUTED_VALUE"""),"Columbus")</f>
        <v>Columbus</v>
      </c>
      <c r="B1795" s="120" t="str">
        <f>IFERROR(__xludf.DUMMYFUNCTION("""COMPUTED_VALUE"""),"OLU")</f>
        <v>OLU</v>
      </c>
      <c r="C1795" s="120" t="str">
        <f>IFERROR(__xludf.DUMMYFUNCTION("""COMPUTED_VALUE"""),"Columbus")</f>
        <v>Columbus</v>
      </c>
      <c r="D1795" s="120" t="str">
        <f>IFERROR(__xludf.DUMMYFUNCTION("""COMPUTED_VALUE"""),"United States")</f>
        <v>United States</v>
      </c>
      <c r="E1795" s="135"/>
      <c r="F1795" s="31"/>
    </row>
    <row r="1796">
      <c r="A1796" s="134" t="str">
        <f>IFERROR(__xludf.DUMMYFUNCTION("""COMPUTED_VALUE"""),"Columbus")</f>
        <v>Columbus</v>
      </c>
      <c r="B1796" s="120" t="str">
        <f>IFERROR(__xludf.DUMMYFUNCTION("""COMPUTED_VALUE"""),"CUS")</f>
        <v>CUS</v>
      </c>
      <c r="C1796" s="120" t="str">
        <f>IFERROR(__xludf.DUMMYFUNCTION("""COMPUTED_VALUE"""),"Municipal")</f>
        <v>Municipal</v>
      </c>
      <c r="D1796" s="120" t="str">
        <f>IFERROR(__xludf.DUMMYFUNCTION("""COMPUTED_VALUE"""),"United States")</f>
        <v>United States</v>
      </c>
      <c r="E1796" s="135"/>
      <c r="F1796" s="31"/>
    </row>
    <row r="1797">
      <c r="A1797" s="134" t="str">
        <f>IFERROR(__xludf.DUMMYFUNCTION("""COMPUTED_VALUE"""),"Columbus")</f>
        <v>Columbus</v>
      </c>
      <c r="B1797" s="120" t="str">
        <f>IFERROR(__xludf.DUMMYFUNCTION("""COMPUTED_VALUE"""),"OSU")</f>
        <v>OSU</v>
      </c>
      <c r="C1797" s="120" t="str">
        <f>IFERROR(__xludf.DUMMYFUNCTION("""COMPUTED_VALUE"""),"Ohio State University")</f>
        <v>Ohio State University</v>
      </c>
      <c r="D1797" s="120" t="str">
        <f>IFERROR(__xludf.DUMMYFUNCTION("""COMPUTED_VALUE"""),"United States")</f>
        <v>United States</v>
      </c>
      <c r="E1797" s="135"/>
      <c r="F1797" s="31"/>
    </row>
    <row r="1798">
      <c r="A1798" s="134" t="str">
        <f>IFERROR(__xludf.DUMMYFUNCTION("""COMPUTED_VALUE"""),"Columbus")</f>
        <v>Columbus</v>
      </c>
      <c r="B1798" s="120" t="str">
        <f>IFERROR(__xludf.DUMMYFUNCTION("""COMPUTED_VALUE"""),"CMH")</f>
        <v>CMH</v>
      </c>
      <c r="C1798" s="120" t="str">
        <f>IFERROR(__xludf.DUMMYFUNCTION("""COMPUTED_VALUE"""),"Port Columbus Intl")</f>
        <v>Port Columbus Intl</v>
      </c>
      <c r="D1798" s="120" t="str">
        <f>IFERROR(__xludf.DUMMYFUNCTION("""COMPUTED_VALUE"""),"United States")</f>
        <v>United States</v>
      </c>
      <c r="E1798" s="135"/>
      <c r="F1798" s="31"/>
    </row>
    <row r="1799">
      <c r="A1799" s="134" t="str">
        <f>IFERROR(__xludf.DUMMYFUNCTION("""COMPUTED_VALUE"""),"Columbus")</f>
        <v>Columbus</v>
      </c>
      <c r="B1799" s="120" t="str">
        <f>IFERROR(__xludf.DUMMYFUNCTION("""COMPUTED_VALUE"""),"LCK")</f>
        <v>LCK</v>
      </c>
      <c r="C1799" s="120" t="str">
        <f>IFERROR(__xludf.DUMMYFUNCTION("""COMPUTED_VALUE"""),"Rickenbacker")</f>
        <v>Rickenbacker</v>
      </c>
      <c r="D1799" s="120" t="str">
        <f>IFERROR(__xludf.DUMMYFUNCTION("""COMPUTED_VALUE"""),"United States")</f>
        <v>United States</v>
      </c>
      <c r="E1799" s="135"/>
      <c r="F1799" s="31"/>
    </row>
    <row r="1800">
      <c r="A1800" s="134" t="str">
        <f>IFERROR(__xludf.DUMMYFUNCTION("""COMPUTED_VALUE"""),"Colville Lake")</f>
        <v>Colville Lake</v>
      </c>
      <c r="B1800" s="120" t="str">
        <f>IFERROR(__xludf.DUMMYFUNCTION("""COMPUTED_VALUE"""),"YCK")</f>
        <v>YCK</v>
      </c>
      <c r="C1800" s="120" t="str">
        <f>IFERROR(__xludf.DUMMYFUNCTION("""COMPUTED_VALUE"""),"Colville Lake")</f>
        <v>Colville Lake</v>
      </c>
      <c r="D1800" s="120" t="str">
        <f>IFERROR(__xludf.DUMMYFUNCTION("""COMPUTED_VALUE"""),"Canada")</f>
        <v>Canada</v>
      </c>
      <c r="E1800" s="135"/>
      <c r="F1800" s="31"/>
    </row>
    <row r="1801">
      <c r="A1801" s="134" t="str">
        <f>IFERROR(__xludf.DUMMYFUNCTION("""COMPUTED_VALUE"""),"Comayagua")</f>
        <v>Comayagua</v>
      </c>
      <c r="B1801" s="120" t="str">
        <f>IFERROR(__xludf.DUMMYFUNCTION("""COMPUTED_VALUE"""),"XPL")</f>
        <v>XPL</v>
      </c>
      <c r="C1801" s="120" t="str">
        <f>IFERROR(__xludf.DUMMYFUNCTION("""COMPUTED_VALUE"""),"Palmerola Air Base")</f>
        <v>Palmerola Air Base</v>
      </c>
      <c r="D1801" s="120" t="str">
        <f>IFERROR(__xludf.DUMMYFUNCTION("""COMPUTED_VALUE"""),"Honduras")</f>
        <v>Honduras</v>
      </c>
      <c r="E1801" s="135"/>
      <c r="F1801" s="31"/>
    </row>
    <row r="1802">
      <c r="A1802" s="134" t="str">
        <f>IFERROR(__xludf.DUMMYFUNCTION("""COMPUTED_VALUE"""),"Comilla")</f>
        <v>Comilla</v>
      </c>
      <c r="B1802" s="120" t="str">
        <f>IFERROR(__xludf.DUMMYFUNCTION("""COMPUTED_VALUE"""),"CLA")</f>
        <v>CLA</v>
      </c>
      <c r="C1802" s="120" t="str">
        <f>IFERROR(__xludf.DUMMYFUNCTION("""COMPUTED_VALUE"""),"Comilla")</f>
        <v>Comilla</v>
      </c>
      <c r="D1802" s="120" t="str">
        <f>IFERROR(__xludf.DUMMYFUNCTION("""COMPUTED_VALUE"""),"Bangladesh")</f>
        <v>Bangladesh</v>
      </c>
      <c r="E1802" s="135"/>
      <c r="F1802" s="31"/>
    </row>
    <row r="1803">
      <c r="A1803" s="134" t="str">
        <f>IFERROR(__xludf.DUMMYFUNCTION("""COMPUTED_VALUE"""),"Comino")</f>
        <v>Comino</v>
      </c>
      <c r="B1803" s="120" t="str">
        <f>IFERROR(__xludf.DUMMYFUNCTION("""COMPUTED_VALUE"""),"JCO")</f>
        <v>JCO</v>
      </c>
      <c r="C1803" s="120" t="str">
        <f>IFERROR(__xludf.DUMMYFUNCTION("""COMPUTED_VALUE"""),"Heliport")</f>
        <v>Heliport</v>
      </c>
      <c r="D1803" s="120" t="str">
        <f>IFERROR(__xludf.DUMMYFUNCTION("""COMPUTED_VALUE"""),"Malta")</f>
        <v>Malta</v>
      </c>
      <c r="E1803" s="135"/>
      <c r="F1803" s="31"/>
    </row>
    <row r="1804">
      <c r="A1804" s="134" t="str">
        <f>IFERROR(__xludf.DUMMYFUNCTION("""COMPUTED_VALUE"""),"Comiso")</f>
        <v>Comiso</v>
      </c>
      <c r="B1804" s="120" t="str">
        <f>IFERROR(__xludf.DUMMYFUNCTION("""COMPUTED_VALUE"""),"CIY")</f>
        <v>CIY</v>
      </c>
      <c r="C1804" s="120" t="str">
        <f>IFERROR(__xludf.DUMMYFUNCTION("""COMPUTED_VALUE"""),"Comiso")</f>
        <v>Comiso</v>
      </c>
      <c r="D1804" s="120" t="str">
        <f>IFERROR(__xludf.DUMMYFUNCTION("""COMPUTED_VALUE"""),"Italy")</f>
        <v>Italy</v>
      </c>
      <c r="E1804" s="135"/>
      <c r="F1804" s="31"/>
    </row>
    <row r="1805">
      <c r="A1805" s="134" t="str">
        <f>IFERROR(__xludf.DUMMYFUNCTION("""COMPUTED_VALUE"""),"Comitan")</f>
        <v>Comitan</v>
      </c>
      <c r="B1805" s="120" t="str">
        <f>IFERROR(__xludf.DUMMYFUNCTION("""COMPUTED_VALUE"""),"CJT")</f>
        <v>CJT</v>
      </c>
      <c r="C1805" s="120" t="str">
        <f>IFERROR(__xludf.DUMMYFUNCTION("""COMPUTED_VALUE"""),"Copalar")</f>
        <v>Copalar</v>
      </c>
      <c r="D1805" s="120" t="str">
        <f>IFERROR(__xludf.DUMMYFUNCTION("""COMPUTED_VALUE"""),"Mexico")</f>
        <v>Mexico</v>
      </c>
      <c r="E1805" s="135"/>
      <c r="F1805" s="31"/>
    </row>
    <row r="1806">
      <c r="A1806" s="134" t="str">
        <f>IFERROR(__xludf.DUMMYFUNCTION("""COMPUTED_VALUE"""),"Comodoro Rivadavia")</f>
        <v>Comodoro Rivadavia</v>
      </c>
      <c r="B1806" s="120" t="str">
        <f>IFERROR(__xludf.DUMMYFUNCTION("""COMPUTED_VALUE"""),"CRD")</f>
        <v>CRD</v>
      </c>
      <c r="C1806" s="120" t="str">
        <f>IFERROR(__xludf.DUMMYFUNCTION("""COMPUTED_VALUE"""),"Comodoro Rivadavia")</f>
        <v>Comodoro Rivadavia</v>
      </c>
      <c r="D1806" s="120" t="str">
        <f>IFERROR(__xludf.DUMMYFUNCTION("""COMPUTED_VALUE"""),"Argentina")</f>
        <v>Argentina</v>
      </c>
      <c r="E1806" s="135"/>
      <c r="F1806" s="31"/>
    </row>
    <row r="1807">
      <c r="A1807" s="134" t="str">
        <f>IFERROR(__xludf.DUMMYFUNCTION("""COMPUTED_VALUE"""),"Comox")</f>
        <v>Comox</v>
      </c>
      <c r="B1807" s="120" t="str">
        <f>IFERROR(__xludf.DUMMYFUNCTION("""COMPUTED_VALUE"""),"YQQ")</f>
        <v>YQQ</v>
      </c>
      <c r="C1807" s="120" t="str">
        <f>IFERROR(__xludf.DUMMYFUNCTION("""COMPUTED_VALUE"""),"Comox")</f>
        <v>Comox</v>
      </c>
      <c r="D1807" s="120" t="str">
        <f>IFERROR(__xludf.DUMMYFUNCTION("""COMPUTED_VALUE"""),"Canada")</f>
        <v>Canada</v>
      </c>
      <c r="E1807" s="135"/>
      <c r="F1807" s="31"/>
    </row>
    <row r="1808">
      <c r="A1808" s="134" t="str">
        <f>IFERROR(__xludf.DUMMYFUNCTION("""COMPUTED_VALUE"""),"Compton")</f>
        <v>Compton</v>
      </c>
      <c r="B1808" s="120" t="str">
        <f>IFERROR(__xludf.DUMMYFUNCTION("""COMPUTED_VALUE"""),"CPM")</f>
        <v>CPM</v>
      </c>
      <c r="C1808" s="120" t="str">
        <f>IFERROR(__xludf.DUMMYFUNCTION("""COMPUTED_VALUE"""),"Compton")</f>
        <v>Compton</v>
      </c>
      <c r="D1808" s="120" t="str">
        <f>IFERROR(__xludf.DUMMYFUNCTION("""COMPUTED_VALUE"""),"United States")</f>
        <v>United States</v>
      </c>
      <c r="E1808" s="135"/>
      <c r="F1808" s="31"/>
    </row>
    <row r="1809">
      <c r="A1809" s="134" t="str">
        <f>IFERROR(__xludf.DUMMYFUNCTION("""COMPUTED_VALUE"""),"Con Dao")</f>
        <v>Con Dao</v>
      </c>
      <c r="B1809" s="120" t="str">
        <f>IFERROR(__xludf.DUMMYFUNCTION("""COMPUTED_VALUE"""),"VCS")</f>
        <v>VCS</v>
      </c>
      <c r="C1809" s="120" t="str">
        <f>IFERROR(__xludf.DUMMYFUNCTION("""COMPUTED_VALUE"""),"Coong")</f>
        <v>Coong</v>
      </c>
      <c r="D1809" s="120" t="str">
        <f>IFERROR(__xludf.DUMMYFUNCTION("""COMPUTED_VALUE"""),"Vietnam")</f>
        <v>Vietnam</v>
      </c>
      <c r="E1809" s="135"/>
      <c r="F1809" s="31"/>
    </row>
    <row r="1810">
      <c r="A1810" s="134" t="str">
        <f>IFERROR(__xludf.DUMMYFUNCTION("""COMPUTED_VALUE"""),"Conakry")</f>
        <v>Conakry</v>
      </c>
      <c r="B1810" s="120" t="str">
        <f>IFERROR(__xludf.DUMMYFUNCTION("""COMPUTED_VALUE"""),"CKY")</f>
        <v>CKY</v>
      </c>
      <c r="C1810" s="120" t="str">
        <f>IFERROR(__xludf.DUMMYFUNCTION("""COMPUTED_VALUE"""),"Conakry")</f>
        <v>Conakry</v>
      </c>
      <c r="D1810" s="120" t="str">
        <f>IFERROR(__xludf.DUMMYFUNCTION("""COMPUTED_VALUE"""),"Guinea")</f>
        <v>Guinea</v>
      </c>
      <c r="E1810" s="135"/>
      <c r="F1810" s="31"/>
    </row>
    <row r="1811">
      <c r="A1811" s="134" t="str">
        <f>IFERROR(__xludf.DUMMYFUNCTION("""COMPUTED_VALUE"""),"Conceicao Do Araguaia")</f>
        <v>Conceicao Do Araguaia</v>
      </c>
      <c r="B1811" s="120" t="str">
        <f>IFERROR(__xludf.DUMMYFUNCTION("""COMPUTED_VALUE"""),"CDJ")</f>
        <v>CDJ</v>
      </c>
      <c r="C1811" s="120" t="str">
        <f>IFERROR(__xludf.DUMMYFUNCTION("""COMPUTED_VALUE"""),"Conceicao Do Araguaia")</f>
        <v>Conceicao Do Araguaia</v>
      </c>
      <c r="D1811" s="120" t="str">
        <f>IFERROR(__xludf.DUMMYFUNCTION("""COMPUTED_VALUE"""),"Brazil")</f>
        <v>Brazil</v>
      </c>
      <c r="E1811" s="135"/>
      <c r="F1811" s="31"/>
    </row>
    <row r="1812">
      <c r="A1812" s="134" t="str">
        <f>IFERROR(__xludf.DUMMYFUNCTION("""COMPUTED_VALUE"""),"Concepcion")</f>
        <v>Concepcion</v>
      </c>
      <c r="B1812" s="120" t="str">
        <f>IFERROR(__xludf.DUMMYFUNCTION("""COMPUTED_VALUE"""),"CEP")</f>
        <v>CEP</v>
      </c>
      <c r="C1812" s="120" t="str">
        <f>IFERROR(__xludf.DUMMYFUNCTION("""COMPUTED_VALUE"""),"Concepcion")</f>
        <v>Concepcion</v>
      </c>
      <c r="D1812" s="120" t="str">
        <f>IFERROR(__xludf.DUMMYFUNCTION("""COMPUTED_VALUE"""),"Bolivia")</f>
        <v>Bolivia</v>
      </c>
      <c r="E1812" s="135"/>
      <c r="F1812" s="31"/>
    </row>
    <row r="1813">
      <c r="A1813" s="134" t="str">
        <f>IFERROR(__xludf.DUMMYFUNCTION("""COMPUTED_VALUE"""),"Concepcion")</f>
        <v>Concepcion</v>
      </c>
      <c r="B1813" s="120" t="str">
        <f>IFERROR(__xludf.DUMMYFUNCTION("""COMPUTED_VALUE"""),"CCP")</f>
        <v>CCP</v>
      </c>
      <c r="C1813" s="120" t="str">
        <f>IFERROR(__xludf.DUMMYFUNCTION("""COMPUTED_VALUE"""),"Carriel Sur")</f>
        <v>Carriel Sur</v>
      </c>
      <c r="D1813" s="120" t="str">
        <f>IFERROR(__xludf.DUMMYFUNCTION("""COMPUTED_VALUE"""),"Chile")</f>
        <v>Chile</v>
      </c>
      <c r="E1813" s="135"/>
      <c r="F1813" s="31"/>
    </row>
    <row r="1814">
      <c r="A1814" s="134" t="str">
        <f>IFERROR(__xludf.DUMMYFUNCTION("""COMPUTED_VALUE"""),"Concepcion")</f>
        <v>Concepcion</v>
      </c>
      <c r="B1814" s="120" t="str">
        <f>IFERROR(__xludf.DUMMYFUNCTION("""COMPUTED_VALUE"""),"CIO")</f>
        <v>CIO</v>
      </c>
      <c r="C1814" s="120" t="str">
        <f>IFERROR(__xludf.DUMMYFUNCTION("""COMPUTED_VALUE"""),"MCAL Lopez")</f>
        <v>MCAL Lopez</v>
      </c>
      <c r="D1814" s="120" t="str">
        <f>IFERROR(__xludf.DUMMYFUNCTION("""COMPUTED_VALUE"""),"Paraguay")</f>
        <v>Paraguay</v>
      </c>
      <c r="E1814" s="135"/>
      <c r="F1814" s="31"/>
    </row>
    <row r="1815">
      <c r="A1815" s="134" t="str">
        <f>IFERROR(__xludf.DUMMYFUNCTION("""COMPUTED_VALUE"""),"Concord")</f>
        <v>Concord</v>
      </c>
      <c r="B1815" s="120" t="str">
        <f>IFERROR(__xludf.DUMMYFUNCTION("""COMPUTED_VALUE"""),"CCR")</f>
        <v>CCR</v>
      </c>
      <c r="C1815" s="120" t="str">
        <f>IFERROR(__xludf.DUMMYFUNCTION("""COMPUTED_VALUE"""),"Buchanan Fld")</f>
        <v>Buchanan Fld</v>
      </c>
      <c r="D1815" s="120" t="str">
        <f>IFERROR(__xludf.DUMMYFUNCTION("""COMPUTED_VALUE"""),"United States")</f>
        <v>United States</v>
      </c>
      <c r="E1815" s="135"/>
      <c r="F1815" s="31"/>
    </row>
    <row r="1816">
      <c r="A1816" s="134" t="str">
        <f>IFERROR(__xludf.DUMMYFUNCTION("""COMPUTED_VALUE"""),"Concord")</f>
        <v>Concord</v>
      </c>
      <c r="B1816" s="120" t="str">
        <f>IFERROR(__xludf.DUMMYFUNCTION("""COMPUTED_VALUE"""),"CON")</f>
        <v>CON</v>
      </c>
      <c r="C1816" s="120" t="str">
        <f>IFERROR(__xludf.DUMMYFUNCTION("""COMPUTED_VALUE"""),"Concord")</f>
        <v>Concord</v>
      </c>
      <c r="D1816" s="120" t="str">
        <f>IFERROR(__xludf.DUMMYFUNCTION("""COMPUTED_VALUE"""),"United States")</f>
        <v>United States</v>
      </c>
      <c r="E1816" s="135"/>
      <c r="F1816" s="31"/>
    </row>
    <row r="1817">
      <c r="A1817" s="134" t="str">
        <f>IFERROR(__xludf.DUMMYFUNCTION("""COMPUTED_VALUE"""),"Concordia")</f>
        <v>Concordia</v>
      </c>
      <c r="B1817" s="120" t="str">
        <f>IFERROR(__xludf.DUMMYFUNCTION("""COMPUTED_VALUE"""),"COC")</f>
        <v>COC</v>
      </c>
      <c r="C1817" s="120" t="str">
        <f>IFERROR(__xludf.DUMMYFUNCTION("""COMPUTED_VALUE"""),"Concordia")</f>
        <v>Concordia</v>
      </c>
      <c r="D1817" s="120" t="str">
        <f>IFERROR(__xludf.DUMMYFUNCTION("""COMPUTED_VALUE"""),"Argentina")</f>
        <v>Argentina</v>
      </c>
      <c r="E1817" s="135"/>
      <c r="F1817" s="31"/>
    </row>
    <row r="1818">
      <c r="A1818" s="134" t="str">
        <f>IFERROR(__xludf.DUMMYFUNCTION("""COMPUTED_VALUE"""),"Concordia")</f>
        <v>Concordia</v>
      </c>
      <c r="B1818" s="120" t="str">
        <f>IFERROR(__xludf.DUMMYFUNCTION("""COMPUTED_VALUE"""),"CNK")</f>
        <v>CNK</v>
      </c>
      <c r="C1818" s="120" t="str">
        <f>IFERROR(__xludf.DUMMYFUNCTION("""COMPUTED_VALUE"""),"Blosser Municipal")</f>
        <v>Blosser Municipal</v>
      </c>
      <c r="D1818" s="120" t="str">
        <f>IFERROR(__xludf.DUMMYFUNCTION("""COMPUTED_VALUE"""),"United States")</f>
        <v>United States</v>
      </c>
      <c r="E1818" s="135"/>
      <c r="F1818" s="31"/>
    </row>
    <row r="1819">
      <c r="A1819" s="134" t="str">
        <f>IFERROR(__xludf.DUMMYFUNCTION("""COMPUTED_VALUE"""),"Concordia")</f>
        <v>Concordia</v>
      </c>
      <c r="B1819" s="120" t="str">
        <f>IFERROR(__xludf.DUMMYFUNCTION("""COMPUTED_VALUE"""),"CCI")</f>
        <v>CCI</v>
      </c>
      <c r="C1819" s="120" t="str">
        <f>IFERROR(__xludf.DUMMYFUNCTION("""COMPUTED_VALUE"""),"Concordia")</f>
        <v>Concordia</v>
      </c>
      <c r="D1819" s="120" t="str">
        <f>IFERROR(__xludf.DUMMYFUNCTION("""COMPUTED_VALUE"""),"Brazil")</f>
        <v>Brazil</v>
      </c>
      <c r="E1819" s="135"/>
      <c r="F1819" s="31"/>
    </row>
    <row r="1820">
      <c r="A1820" s="134" t="str">
        <f>IFERROR(__xludf.DUMMYFUNCTION("""COMPUTED_VALUE"""),"Condobolin")</f>
        <v>Condobolin</v>
      </c>
      <c r="B1820" s="120" t="str">
        <f>IFERROR(__xludf.DUMMYFUNCTION("""COMPUTED_VALUE"""),"CBX")</f>
        <v>CBX</v>
      </c>
      <c r="C1820" s="120" t="str">
        <f>IFERROR(__xludf.DUMMYFUNCTION("""COMPUTED_VALUE"""),"Condobolin")</f>
        <v>Condobolin</v>
      </c>
      <c r="D1820" s="120" t="str">
        <f>IFERROR(__xludf.DUMMYFUNCTION("""COMPUTED_VALUE"""),"Australia")</f>
        <v>Australia</v>
      </c>
      <c r="E1820" s="135"/>
      <c r="F1820" s="31"/>
    </row>
    <row r="1821">
      <c r="A1821" s="134" t="str">
        <f>IFERROR(__xludf.DUMMYFUNCTION("""COMPUTED_VALUE"""),"Condoto")</f>
        <v>Condoto</v>
      </c>
      <c r="B1821" s="120" t="str">
        <f>IFERROR(__xludf.DUMMYFUNCTION("""COMPUTED_VALUE"""),"COG")</f>
        <v>COG</v>
      </c>
      <c r="C1821" s="120" t="str">
        <f>IFERROR(__xludf.DUMMYFUNCTION("""COMPUTED_VALUE"""),"Mandinga")</f>
        <v>Mandinga</v>
      </c>
      <c r="D1821" s="120" t="str">
        <f>IFERROR(__xludf.DUMMYFUNCTION("""COMPUTED_VALUE"""),"Colombia")</f>
        <v>Colombia</v>
      </c>
      <c r="E1821" s="135"/>
      <c r="F1821" s="31"/>
    </row>
    <row r="1822">
      <c r="A1822" s="134" t="str">
        <f>IFERROR(__xludf.DUMMYFUNCTION("""COMPUTED_VALUE"""),"Confreza")</f>
        <v>Confreza</v>
      </c>
      <c r="B1822" s="120" t="str">
        <f>IFERROR(__xludf.DUMMYFUNCTION("""COMPUTED_VALUE"""),"CFO")</f>
        <v>CFO</v>
      </c>
      <c r="C1822" s="120" t="str">
        <f>IFERROR(__xludf.DUMMYFUNCTION("""COMPUTED_VALUE"""),"Confreza")</f>
        <v>Confreza</v>
      </c>
      <c r="D1822" s="120" t="str">
        <f>IFERROR(__xludf.DUMMYFUNCTION("""COMPUTED_VALUE"""),"Brazil")</f>
        <v>Brazil</v>
      </c>
      <c r="E1822" s="135"/>
      <c r="F1822" s="31"/>
    </row>
    <row r="1823">
      <c r="A1823" s="134" t="str">
        <f>IFERROR(__xludf.DUMMYFUNCTION("""COMPUTED_VALUE"""),"Congo Town")</f>
        <v>Congo Town</v>
      </c>
      <c r="B1823" s="120" t="str">
        <f>IFERROR(__xludf.DUMMYFUNCTION("""COMPUTED_VALUE"""),"COX")</f>
        <v>COX</v>
      </c>
      <c r="C1823" s="120" t="str">
        <f>IFERROR(__xludf.DUMMYFUNCTION("""COMPUTED_VALUE"""),"Congo Town")</f>
        <v>Congo Town</v>
      </c>
      <c r="D1823" s="120" t="str">
        <f>IFERROR(__xludf.DUMMYFUNCTION("""COMPUTED_VALUE"""),"Bahamas")</f>
        <v>Bahamas</v>
      </c>
      <c r="E1823" s="135"/>
      <c r="F1823" s="31"/>
    </row>
    <row r="1824">
      <c r="A1824" s="134" t="str">
        <f>IFERROR(__xludf.DUMMYFUNCTION("""COMPUTED_VALUE"""),"Connersville")</f>
        <v>Connersville</v>
      </c>
      <c r="B1824" s="120" t="str">
        <f>IFERROR(__xludf.DUMMYFUNCTION("""COMPUTED_VALUE"""),"CEV")</f>
        <v>CEV</v>
      </c>
      <c r="C1824" s="120" t="str">
        <f>IFERROR(__xludf.DUMMYFUNCTION("""COMPUTED_VALUE"""),"Mettle Field")</f>
        <v>Mettle Field</v>
      </c>
      <c r="D1824" s="120" t="str">
        <f>IFERROR(__xludf.DUMMYFUNCTION("""COMPUTED_VALUE"""),"United States")</f>
        <v>United States</v>
      </c>
      <c r="E1824" s="135"/>
      <c r="F1824" s="31"/>
    </row>
    <row r="1825">
      <c r="A1825" s="134" t="str">
        <f>IFERROR(__xludf.DUMMYFUNCTION("""COMPUTED_VALUE"""),"Conroe")</f>
        <v>Conroe</v>
      </c>
      <c r="B1825" s="120" t="str">
        <f>IFERROR(__xludf.DUMMYFUNCTION("""COMPUTED_VALUE"""),"CXO")</f>
        <v>CXO</v>
      </c>
      <c r="C1825" s="120" t="str">
        <f>IFERROR(__xludf.DUMMYFUNCTION("""COMPUTED_VALUE"""),"Montgomery Co")</f>
        <v>Montgomery Co</v>
      </c>
      <c r="D1825" s="120" t="str">
        <f>IFERROR(__xludf.DUMMYFUNCTION("""COMPUTED_VALUE"""),"United States")</f>
        <v>United States</v>
      </c>
      <c r="E1825" s="135"/>
      <c r="F1825" s="31"/>
    </row>
    <row r="1826">
      <c r="A1826" s="134" t="str">
        <f>IFERROR(__xludf.DUMMYFUNCTION("""COMPUTED_VALUE"""),"Constanta")</f>
        <v>Constanta</v>
      </c>
      <c r="B1826" s="120" t="str">
        <f>IFERROR(__xludf.DUMMYFUNCTION("""COMPUTED_VALUE"""),"CND")</f>
        <v>CND</v>
      </c>
      <c r="C1826" s="120" t="str">
        <f>IFERROR(__xludf.DUMMYFUNCTION("""COMPUTED_VALUE"""),"Kogalniceanu")</f>
        <v>Kogalniceanu</v>
      </c>
      <c r="D1826" s="120" t="str">
        <f>IFERROR(__xludf.DUMMYFUNCTION("""COMPUTED_VALUE"""),"Romania")</f>
        <v>Romania</v>
      </c>
      <c r="E1826" s="135"/>
      <c r="F1826" s="31"/>
    </row>
    <row r="1827">
      <c r="A1827" s="134" t="str">
        <f>IFERROR(__xludf.DUMMYFUNCTION("""COMPUTED_VALUE"""),"Constantine")</f>
        <v>Constantine</v>
      </c>
      <c r="B1827" s="120" t="str">
        <f>IFERROR(__xludf.DUMMYFUNCTION("""COMPUTED_VALUE"""),"CZL")</f>
        <v>CZL</v>
      </c>
      <c r="C1827" s="120" t="str">
        <f>IFERROR(__xludf.DUMMYFUNCTION("""COMPUTED_VALUE"""),"Ain El Bey")</f>
        <v>Ain El Bey</v>
      </c>
      <c r="D1827" s="120" t="str">
        <f>IFERROR(__xludf.DUMMYFUNCTION("""COMPUTED_VALUE"""),"Algeria")</f>
        <v>Algeria</v>
      </c>
      <c r="E1827" s="135"/>
      <c r="F1827" s="31"/>
    </row>
    <row r="1828">
      <c r="A1828" s="134" t="str">
        <f>IFERROR(__xludf.DUMMYFUNCTION("""COMPUTED_VALUE"""),"Constanza")</f>
        <v>Constanza</v>
      </c>
      <c r="B1828" s="120" t="str">
        <f>IFERROR(__xludf.DUMMYFUNCTION("""COMPUTED_VALUE"""),"COZ")</f>
        <v>COZ</v>
      </c>
      <c r="C1828" s="120" t="str">
        <f>IFERROR(__xludf.DUMMYFUNCTION("""COMPUTED_VALUE"""),"Constanza")</f>
        <v>Constanza</v>
      </c>
      <c r="D1828" s="120" t="str">
        <f>IFERROR(__xludf.DUMMYFUNCTION("""COMPUTED_VALUE"""),"Dominican Republic")</f>
        <v>Dominican Republic</v>
      </c>
      <c r="E1828" s="135"/>
      <c r="F1828" s="31"/>
    </row>
    <row r="1829">
      <c r="A1829" s="134" t="str">
        <f>IFERROR(__xludf.DUMMYFUNCTION("""COMPUTED_VALUE"""),"Contadora")</f>
        <v>Contadora</v>
      </c>
      <c r="B1829" s="120" t="str">
        <f>IFERROR(__xludf.DUMMYFUNCTION("""COMPUTED_VALUE"""),"OTD")</f>
        <v>OTD</v>
      </c>
      <c r="C1829" s="120" t="str">
        <f>IFERROR(__xludf.DUMMYFUNCTION("""COMPUTED_VALUE"""),"Contadora")</f>
        <v>Contadora</v>
      </c>
      <c r="D1829" s="120" t="str">
        <f>IFERROR(__xludf.DUMMYFUNCTION("""COMPUTED_VALUE"""),"Panama")</f>
        <v>Panama</v>
      </c>
      <c r="E1829" s="135"/>
      <c r="F1829" s="31"/>
    </row>
    <row r="1830">
      <c r="A1830" s="134" t="str">
        <f>IFERROR(__xludf.DUMMYFUNCTION("""COMPUTED_VALUE"""),"Coober Pedy")</f>
        <v>Coober Pedy</v>
      </c>
      <c r="B1830" s="120" t="str">
        <f>IFERROR(__xludf.DUMMYFUNCTION("""COMPUTED_VALUE"""),"CPD")</f>
        <v>CPD</v>
      </c>
      <c r="C1830" s="120" t="str">
        <f>IFERROR(__xludf.DUMMYFUNCTION("""COMPUTED_VALUE"""),"Coober Pedy")</f>
        <v>Coober Pedy</v>
      </c>
      <c r="D1830" s="120" t="str">
        <f>IFERROR(__xludf.DUMMYFUNCTION("""COMPUTED_VALUE"""),"Australia")</f>
        <v>Australia</v>
      </c>
      <c r="E1830" s="135"/>
      <c r="F1830" s="31"/>
    </row>
    <row r="1831">
      <c r="A1831" s="134" t="str">
        <f>IFERROR(__xludf.DUMMYFUNCTION("""COMPUTED_VALUE"""),"Cooch Behar")</f>
        <v>Cooch Behar</v>
      </c>
      <c r="B1831" s="120" t="str">
        <f>IFERROR(__xludf.DUMMYFUNCTION("""COMPUTED_VALUE"""),"COH")</f>
        <v>COH</v>
      </c>
      <c r="C1831" s="120" t="str">
        <f>IFERROR(__xludf.DUMMYFUNCTION("""COMPUTED_VALUE"""),"Cooch Behar")</f>
        <v>Cooch Behar</v>
      </c>
      <c r="D1831" s="120" t="str">
        <f>IFERROR(__xludf.DUMMYFUNCTION("""COMPUTED_VALUE"""),"India")</f>
        <v>India</v>
      </c>
      <c r="E1831" s="135"/>
      <c r="F1831" s="31"/>
    </row>
    <row r="1832">
      <c r="A1832" s="134" t="str">
        <f>IFERROR(__xludf.DUMMYFUNCTION("""COMPUTED_VALUE"""),"Cooinda")</f>
        <v>Cooinda</v>
      </c>
      <c r="B1832" s="120" t="str">
        <f>IFERROR(__xludf.DUMMYFUNCTION("""COMPUTED_VALUE"""),"CDA")</f>
        <v>CDA</v>
      </c>
      <c r="C1832" s="120" t="str">
        <f>IFERROR(__xludf.DUMMYFUNCTION("""COMPUTED_VALUE"""),"Cooinda")</f>
        <v>Cooinda</v>
      </c>
      <c r="D1832" s="120" t="str">
        <f>IFERROR(__xludf.DUMMYFUNCTION("""COMPUTED_VALUE"""),"Australia")</f>
        <v>Australia</v>
      </c>
      <c r="E1832" s="135"/>
      <c r="F1832" s="31"/>
    </row>
    <row r="1833">
      <c r="A1833" s="134" t="str">
        <f>IFERROR(__xludf.DUMMYFUNCTION("""COMPUTED_VALUE"""),"Cooktown")</f>
        <v>Cooktown</v>
      </c>
      <c r="B1833" s="120" t="str">
        <f>IFERROR(__xludf.DUMMYFUNCTION("""COMPUTED_VALUE"""),"CTN")</f>
        <v>CTN</v>
      </c>
      <c r="C1833" s="120" t="str">
        <f>IFERROR(__xludf.DUMMYFUNCTION("""COMPUTED_VALUE"""),"Cooktown")</f>
        <v>Cooktown</v>
      </c>
      <c r="D1833" s="120" t="str">
        <f>IFERROR(__xludf.DUMMYFUNCTION("""COMPUTED_VALUE"""),"Australia")</f>
        <v>Australia</v>
      </c>
      <c r="E1833" s="135"/>
      <c r="F1833" s="31"/>
    </row>
    <row r="1834">
      <c r="A1834" s="134" t="str">
        <f>IFERROR(__xludf.DUMMYFUNCTION("""COMPUTED_VALUE"""),"Coolah")</f>
        <v>Coolah</v>
      </c>
      <c r="B1834" s="120" t="str">
        <f>IFERROR(__xludf.DUMMYFUNCTION("""COMPUTED_VALUE"""),"CLH")</f>
        <v>CLH</v>
      </c>
      <c r="C1834" s="120" t="str">
        <f>IFERROR(__xludf.DUMMYFUNCTION("""COMPUTED_VALUE"""),"Coolah")</f>
        <v>Coolah</v>
      </c>
      <c r="D1834" s="120" t="str">
        <f>IFERROR(__xludf.DUMMYFUNCTION("""COMPUTED_VALUE"""),"Australia")</f>
        <v>Australia</v>
      </c>
      <c r="E1834" s="135"/>
      <c r="F1834" s="31"/>
    </row>
    <row r="1835">
      <c r="A1835" s="134" t="str">
        <f>IFERROR(__xludf.DUMMYFUNCTION("""COMPUTED_VALUE"""),"Coolawanyah")</f>
        <v>Coolawanyah</v>
      </c>
      <c r="B1835" s="120" t="str">
        <f>IFERROR(__xludf.DUMMYFUNCTION("""COMPUTED_VALUE"""),"COY")</f>
        <v>COY</v>
      </c>
      <c r="C1835" s="120" t="str">
        <f>IFERROR(__xludf.DUMMYFUNCTION("""COMPUTED_VALUE"""),"Coolawanyah")</f>
        <v>Coolawanyah</v>
      </c>
      <c r="D1835" s="120" t="str">
        <f>IFERROR(__xludf.DUMMYFUNCTION("""COMPUTED_VALUE"""),"Australia")</f>
        <v>Australia</v>
      </c>
      <c r="E1835" s="135"/>
      <c r="F1835" s="31"/>
    </row>
    <row r="1836">
      <c r="A1836" s="134" t="str">
        <f>IFERROR(__xludf.DUMMYFUNCTION("""COMPUTED_VALUE"""),"Coolibah")</f>
        <v>Coolibah</v>
      </c>
      <c r="B1836" s="120" t="str">
        <f>IFERROR(__xludf.DUMMYFUNCTION("""COMPUTED_VALUE"""),"COB")</f>
        <v>COB</v>
      </c>
      <c r="C1836" s="120" t="str">
        <f>IFERROR(__xludf.DUMMYFUNCTION("""COMPUTED_VALUE"""),"Coolibah")</f>
        <v>Coolibah</v>
      </c>
      <c r="D1836" s="120" t="str">
        <f>IFERROR(__xludf.DUMMYFUNCTION("""COMPUTED_VALUE"""),"Australia")</f>
        <v>Australia</v>
      </c>
      <c r="E1836" s="135"/>
      <c r="F1836" s="31"/>
    </row>
    <row r="1837">
      <c r="A1837" s="134" t="str">
        <f>IFERROR(__xludf.DUMMYFUNCTION("""COMPUTED_VALUE"""),"Cooma")</f>
        <v>Cooma</v>
      </c>
      <c r="B1837" s="120" t="str">
        <f>IFERROR(__xludf.DUMMYFUNCTION("""COMPUTED_VALUE"""),"OOM")</f>
        <v>OOM</v>
      </c>
      <c r="C1837" s="120" t="str">
        <f>IFERROR(__xludf.DUMMYFUNCTION("""COMPUTED_VALUE"""),"Cooma")</f>
        <v>Cooma</v>
      </c>
      <c r="D1837" s="120" t="str">
        <f>IFERROR(__xludf.DUMMYFUNCTION("""COMPUTED_VALUE"""),"Australia")</f>
        <v>Australia</v>
      </c>
      <c r="E1837" s="135"/>
      <c r="F1837" s="31"/>
    </row>
    <row r="1838">
      <c r="A1838" s="134" t="str">
        <f>IFERROR(__xludf.DUMMYFUNCTION("""COMPUTED_VALUE"""),"Coonabarabran")</f>
        <v>Coonabarabran</v>
      </c>
      <c r="B1838" s="120" t="str">
        <f>IFERROR(__xludf.DUMMYFUNCTION("""COMPUTED_VALUE"""),"COJ")</f>
        <v>COJ</v>
      </c>
      <c r="C1838" s="120" t="str">
        <f>IFERROR(__xludf.DUMMYFUNCTION("""COMPUTED_VALUE"""),"Coonabarabran")</f>
        <v>Coonabarabran</v>
      </c>
      <c r="D1838" s="120" t="str">
        <f>IFERROR(__xludf.DUMMYFUNCTION("""COMPUTED_VALUE"""),"Australia")</f>
        <v>Australia</v>
      </c>
      <c r="E1838" s="135"/>
      <c r="F1838" s="31"/>
    </row>
    <row r="1839">
      <c r="A1839" s="134" t="str">
        <f>IFERROR(__xludf.DUMMYFUNCTION("""COMPUTED_VALUE"""),"Coonamble")</f>
        <v>Coonamble</v>
      </c>
      <c r="B1839" s="120" t="str">
        <f>IFERROR(__xludf.DUMMYFUNCTION("""COMPUTED_VALUE"""),"CNB")</f>
        <v>CNB</v>
      </c>
      <c r="C1839" s="120" t="str">
        <f>IFERROR(__xludf.DUMMYFUNCTION("""COMPUTED_VALUE"""),"Coonamble")</f>
        <v>Coonamble</v>
      </c>
      <c r="D1839" s="120" t="str">
        <f>IFERROR(__xludf.DUMMYFUNCTION("""COMPUTED_VALUE"""),"Australia")</f>
        <v>Australia</v>
      </c>
      <c r="E1839" s="135"/>
      <c r="F1839" s="31"/>
    </row>
    <row r="1840">
      <c r="A1840" s="134" t="str">
        <f>IFERROR(__xludf.DUMMYFUNCTION("""COMPUTED_VALUE"""),"Co-op Point")</f>
        <v>Co-op Point</v>
      </c>
      <c r="B1840" s="120" t="str">
        <f>IFERROR(__xludf.DUMMYFUNCTION("""COMPUTED_VALUE"""),"YCP")</f>
        <v>YCP</v>
      </c>
      <c r="C1840" s="120" t="str">
        <f>IFERROR(__xludf.DUMMYFUNCTION("""COMPUTED_VALUE"""),"Co-op Point")</f>
        <v>Co-op Point</v>
      </c>
      <c r="D1840" s="120" t="str">
        <f>IFERROR(__xludf.DUMMYFUNCTION("""COMPUTED_VALUE"""),"Canada")</f>
        <v>Canada</v>
      </c>
      <c r="E1840" s="135"/>
      <c r="F1840" s="31"/>
    </row>
    <row r="1841">
      <c r="A1841" s="134" t="str">
        <f>IFERROR(__xludf.DUMMYFUNCTION("""COMPUTED_VALUE"""),"Cooper Lodge")</f>
        <v>Cooper Lodge</v>
      </c>
      <c r="B1841" s="120" t="str">
        <f>IFERROR(__xludf.DUMMYFUNCTION("""COMPUTED_VALUE"""),"JLA")</f>
        <v>JLA</v>
      </c>
      <c r="C1841" s="120" t="str">
        <f>IFERROR(__xludf.DUMMYFUNCTION("""COMPUTED_VALUE"""),"Quartz Creek")</f>
        <v>Quartz Creek</v>
      </c>
      <c r="D1841" s="120" t="str">
        <f>IFERROR(__xludf.DUMMYFUNCTION("""COMPUTED_VALUE"""),"United States")</f>
        <v>United States</v>
      </c>
      <c r="E1841" s="135"/>
      <c r="F1841" s="31"/>
    </row>
    <row r="1842">
      <c r="A1842" s="134" t="str">
        <f>IFERROR(__xludf.DUMMYFUNCTION("""COMPUTED_VALUE"""),"Cooperstown")</f>
        <v>Cooperstown</v>
      </c>
      <c r="B1842" s="120" t="str">
        <f>IFERROR(__xludf.DUMMYFUNCTION("""COMPUTED_VALUE"""),"COP")</f>
        <v>COP</v>
      </c>
      <c r="C1842" s="120" t="str">
        <f>IFERROR(__xludf.DUMMYFUNCTION("""COMPUTED_VALUE"""),"Cooperstown")</f>
        <v>Cooperstown</v>
      </c>
      <c r="D1842" s="120" t="str">
        <f>IFERROR(__xludf.DUMMYFUNCTION("""COMPUTED_VALUE"""),"United States")</f>
        <v>United States</v>
      </c>
      <c r="E1842" s="135"/>
      <c r="F1842" s="31"/>
    </row>
    <row r="1843">
      <c r="A1843" s="134" t="str">
        <f>IFERROR(__xludf.DUMMYFUNCTION("""COMPUTED_VALUE"""),"Coorabie")</f>
        <v>Coorabie</v>
      </c>
      <c r="B1843" s="120" t="str">
        <f>IFERROR(__xludf.DUMMYFUNCTION("""COMPUTED_VALUE"""),"CRJ")</f>
        <v>CRJ</v>
      </c>
      <c r="C1843" s="120" t="str">
        <f>IFERROR(__xludf.DUMMYFUNCTION("""COMPUTED_VALUE"""),"Coorabie")</f>
        <v>Coorabie</v>
      </c>
      <c r="D1843" s="120" t="str">
        <f>IFERROR(__xludf.DUMMYFUNCTION("""COMPUTED_VALUE"""),"Australia")</f>
        <v>Australia</v>
      </c>
      <c r="E1843" s="135"/>
      <c r="F1843" s="31"/>
    </row>
    <row r="1844">
      <c r="A1844" s="134" t="str">
        <f>IFERROR(__xludf.DUMMYFUNCTION("""COMPUTED_VALUE"""),"Cootamundra")</f>
        <v>Cootamundra</v>
      </c>
      <c r="B1844" s="120" t="str">
        <f>IFERROR(__xludf.DUMMYFUNCTION("""COMPUTED_VALUE"""),"CMD")</f>
        <v>CMD</v>
      </c>
      <c r="C1844" s="120" t="str">
        <f>IFERROR(__xludf.DUMMYFUNCTION("""COMPUTED_VALUE"""),"Cootamundra")</f>
        <v>Cootamundra</v>
      </c>
      <c r="D1844" s="120" t="str">
        <f>IFERROR(__xludf.DUMMYFUNCTION("""COMPUTED_VALUE"""),"Australia")</f>
        <v>Australia</v>
      </c>
      <c r="E1844" s="135"/>
      <c r="F1844" s="31"/>
    </row>
    <row r="1845">
      <c r="A1845" s="134" t="str">
        <f>IFERROR(__xludf.DUMMYFUNCTION("""COMPUTED_VALUE"""),"Copan")</f>
        <v>Copan</v>
      </c>
      <c r="B1845" s="120" t="str">
        <f>IFERROR(__xludf.DUMMYFUNCTION("""COMPUTED_VALUE"""),"RUY")</f>
        <v>RUY</v>
      </c>
      <c r="C1845" s="120" t="str">
        <f>IFERROR(__xludf.DUMMYFUNCTION("""COMPUTED_VALUE"""),"Copan")</f>
        <v>Copan</v>
      </c>
      <c r="D1845" s="120" t="str">
        <f>IFERROR(__xludf.DUMMYFUNCTION("""COMPUTED_VALUE"""),"Honduras")</f>
        <v>Honduras</v>
      </c>
      <c r="E1845" s="135"/>
      <c r="F1845" s="31"/>
    </row>
    <row r="1846">
      <c r="A1846" s="134" t="str">
        <f>IFERROR(__xludf.DUMMYFUNCTION("""COMPUTED_VALUE"""),"Copenhagen")</f>
        <v>Copenhagen</v>
      </c>
      <c r="B1846" s="120" t="str">
        <f>IFERROR(__xludf.DUMMYFUNCTION("""COMPUTED_VALUE"""),"CPH")</f>
        <v>CPH</v>
      </c>
      <c r="C1846" s="120" t="str">
        <f>IFERROR(__xludf.DUMMYFUNCTION("""COMPUTED_VALUE"""),"Copenhagen Airport")</f>
        <v>Copenhagen Airport</v>
      </c>
      <c r="D1846" s="120" t="str">
        <f>IFERROR(__xludf.DUMMYFUNCTION("""COMPUTED_VALUE"""),"Denmark")</f>
        <v>Denmark</v>
      </c>
      <c r="E1846" s="135"/>
      <c r="F1846" s="31"/>
    </row>
    <row r="1847">
      <c r="A1847" s="134" t="str">
        <f>IFERROR(__xludf.DUMMYFUNCTION("""COMPUTED_VALUE"""),"Copenhagen")</f>
        <v>Copenhagen</v>
      </c>
      <c r="B1847" s="120" t="str">
        <f>IFERROR(__xludf.DUMMYFUNCTION("""COMPUTED_VALUE"""),"RKE")</f>
        <v>RKE</v>
      </c>
      <c r="C1847" s="120" t="str">
        <f>IFERROR(__xludf.DUMMYFUNCTION("""COMPUTED_VALUE"""),"Roskilde Airport")</f>
        <v>Roskilde Airport</v>
      </c>
      <c r="D1847" s="120" t="str">
        <f>IFERROR(__xludf.DUMMYFUNCTION("""COMPUTED_VALUE"""),"Denmark")</f>
        <v>Denmark</v>
      </c>
      <c r="E1847" s="135"/>
      <c r="F1847" s="31"/>
    </row>
    <row r="1848">
      <c r="A1848" s="134" t="str">
        <f>IFERROR(__xludf.DUMMYFUNCTION("""COMPUTED_VALUE"""),"Copiapo")</f>
        <v>Copiapo</v>
      </c>
      <c r="B1848" s="120" t="str">
        <f>IFERROR(__xludf.DUMMYFUNCTION("""COMPUTED_VALUE"""),"CPO")</f>
        <v>CPO</v>
      </c>
      <c r="C1848" s="120" t="str">
        <f>IFERROR(__xludf.DUMMYFUNCTION("""COMPUTED_VALUE"""),"Chamonate")</f>
        <v>Chamonate</v>
      </c>
      <c r="D1848" s="120" t="str">
        <f>IFERROR(__xludf.DUMMYFUNCTION("""COMPUTED_VALUE"""),"Chile")</f>
        <v>Chile</v>
      </c>
      <c r="E1848" s="135"/>
      <c r="F1848" s="31"/>
    </row>
    <row r="1849">
      <c r="A1849" s="134" t="str">
        <f>IFERROR(__xludf.DUMMYFUNCTION("""COMPUTED_VALUE"""),"Copper Centre")</f>
        <v>Copper Centre</v>
      </c>
      <c r="B1849" s="120" t="str">
        <f>IFERROR(__xludf.DUMMYFUNCTION("""COMPUTED_VALUE"""),"CZC")</f>
        <v>CZC</v>
      </c>
      <c r="C1849" s="120" t="str">
        <f>IFERROR(__xludf.DUMMYFUNCTION("""COMPUTED_VALUE"""),"Copper Centre")</f>
        <v>Copper Centre</v>
      </c>
      <c r="D1849" s="120" t="str">
        <f>IFERROR(__xludf.DUMMYFUNCTION("""COMPUTED_VALUE"""),"United States")</f>
        <v>United States</v>
      </c>
      <c r="E1849" s="135"/>
      <c r="F1849" s="31"/>
    </row>
    <row r="1850">
      <c r="A1850" s="134" t="str">
        <f>IFERROR(__xludf.DUMMYFUNCTION("""COMPUTED_VALUE"""),"Copper Mountain")</f>
        <v>Copper Mountain</v>
      </c>
      <c r="B1850" s="120" t="str">
        <f>IFERROR(__xludf.DUMMYFUNCTION("""COMPUTED_VALUE"""),"QCE")</f>
        <v>QCE</v>
      </c>
      <c r="C1850" s="120" t="str">
        <f>IFERROR(__xludf.DUMMYFUNCTION("""COMPUTED_VALUE"""),"Van Service")</f>
        <v>Van Service</v>
      </c>
      <c r="D1850" s="120" t="str">
        <f>IFERROR(__xludf.DUMMYFUNCTION("""COMPUTED_VALUE"""),"United States")</f>
        <v>United States</v>
      </c>
      <c r="E1850" s="135"/>
      <c r="F1850" s="31"/>
    </row>
    <row r="1851">
      <c r="A1851" s="134" t="str">
        <f>IFERROR(__xludf.DUMMYFUNCTION("""COMPUTED_VALUE"""),"Coquimbo")</f>
        <v>Coquimbo</v>
      </c>
      <c r="B1851" s="120" t="str">
        <f>IFERROR(__xludf.DUMMYFUNCTION("""COMPUTED_VALUE"""),"COW")</f>
        <v>COW</v>
      </c>
      <c r="C1851" s="120" t="str">
        <f>IFERROR(__xludf.DUMMYFUNCTION("""COMPUTED_VALUE"""),"Coquimbo")</f>
        <v>Coquimbo</v>
      </c>
      <c r="D1851" s="120" t="str">
        <f>IFERROR(__xludf.DUMMYFUNCTION("""COMPUTED_VALUE"""),"Chile")</f>
        <v>Chile</v>
      </c>
      <c r="E1851" s="135"/>
      <c r="F1851" s="31"/>
    </row>
    <row r="1852">
      <c r="A1852" s="134" t="str">
        <f>IFERROR(__xludf.DUMMYFUNCTION("""COMPUTED_VALUE"""),"Coral Harbour")</f>
        <v>Coral Harbour</v>
      </c>
      <c r="B1852" s="120" t="str">
        <f>IFERROR(__xludf.DUMMYFUNCTION("""COMPUTED_VALUE"""),"YZS")</f>
        <v>YZS</v>
      </c>
      <c r="C1852" s="120" t="str">
        <f>IFERROR(__xludf.DUMMYFUNCTION("""COMPUTED_VALUE"""),"Coral Harbour")</f>
        <v>Coral Harbour</v>
      </c>
      <c r="D1852" s="120" t="str">
        <f>IFERROR(__xludf.DUMMYFUNCTION("""COMPUTED_VALUE"""),"Canada")</f>
        <v>Canada</v>
      </c>
      <c r="E1852" s="135"/>
      <c r="F1852" s="31"/>
    </row>
    <row r="1853">
      <c r="A1853" s="134" t="str">
        <f>IFERROR(__xludf.DUMMYFUNCTION("""COMPUTED_VALUE"""),"Corazon De Jesus")</f>
        <v>Corazon De Jesus</v>
      </c>
      <c r="B1853" s="120" t="str">
        <f>IFERROR(__xludf.DUMMYFUNCTION("""COMPUTED_VALUE"""),"CZJ")</f>
        <v>CZJ</v>
      </c>
      <c r="C1853" s="120" t="str">
        <f>IFERROR(__xludf.DUMMYFUNCTION("""COMPUTED_VALUE"""),"Corazon De Jesus")</f>
        <v>Corazon De Jesus</v>
      </c>
      <c r="D1853" s="120" t="str">
        <f>IFERROR(__xludf.DUMMYFUNCTION("""COMPUTED_VALUE"""),"Panama")</f>
        <v>Panama</v>
      </c>
      <c r="E1853" s="135"/>
      <c r="F1853" s="31"/>
    </row>
    <row r="1854">
      <c r="A1854" s="134" t="str">
        <f>IFERROR(__xludf.DUMMYFUNCTION("""COMPUTED_VALUE"""),"Corcoran")</f>
        <v>Corcoran</v>
      </c>
      <c r="B1854" s="120" t="str">
        <f>IFERROR(__xludf.DUMMYFUNCTION("""COMPUTED_VALUE"""),"CRO")</f>
        <v>CRO</v>
      </c>
      <c r="C1854" s="120" t="str">
        <f>IFERROR(__xludf.DUMMYFUNCTION("""COMPUTED_VALUE"""),"Corcoran")</f>
        <v>Corcoran</v>
      </c>
      <c r="D1854" s="120" t="str">
        <f>IFERROR(__xludf.DUMMYFUNCTION("""COMPUTED_VALUE"""),"United States")</f>
        <v>United States</v>
      </c>
      <c r="E1854" s="135"/>
      <c r="F1854" s="31"/>
    </row>
    <row r="1855">
      <c r="A1855" s="134" t="str">
        <f>IFERROR(__xludf.DUMMYFUNCTION("""COMPUTED_VALUE"""),"Cordillo Downs")</f>
        <v>Cordillo Downs</v>
      </c>
      <c r="B1855" s="120" t="str">
        <f>IFERROR(__xludf.DUMMYFUNCTION("""COMPUTED_VALUE"""),"ODL")</f>
        <v>ODL</v>
      </c>
      <c r="C1855" s="120" t="str">
        <f>IFERROR(__xludf.DUMMYFUNCTION("""COMPUTED_VALUE"""),"Cordillo Downs")</f>
        <v>Cordillo Downs</v>
      </c>
      <c r="D1855" s="120" t="str">
        <f>IFERROR(__xludf.DUMMYFUNCTION("""COMPUTED_VALUE"""),"Australia")</f>
        <v>Australia</v>
      </c>
      <c r="E1855" s="135"/>
      <c r="F1855" s="31"/>
    </row>
    <row r="1856">
      <c r="A1856" s="134" t="str">
        <f>IFERROR(__xludf.DUMMYFUNCTION("""COMPUTED_VALUE"""),"Cordoba")</f>
        <v>Cordoba</v>
      </c>
      <c r="B1856" s="120" t="str">
        <f>IFERROR(__xludf.DUMMYFUNCTION("""COMPUTED_VALUE"""),"COR")</f>
        <v>COR</v>
      </c>
      <c r="C1856" s="120" t="str">
        <f>IFERROR(__xludf.DUMMYFUNCTION("""COMPUTED_VALUE"""),"Pajas Blancas")</f>
        <v>Pajas Blancas</v>
      </c>
      <c r="D1856" s="120" t="str">
        <f>IFERROR(__xludf.DUMMYFUNCTION("""COMPUTED_VALUE"""),"Argentina")</f>
        <v>Argentina</v>
      </c>
      <c r="E1856" s="135"/>
      <c r="F1856" s="31"/>
    </row>
    <row r="1857">
      <c r="A1857" s="134" t="str">
        <f>IFERROR(__xludf.DUMMYFUNCTION("""COMPUTED_VALUE"""),"Cordoba")</f>
        <v>Cordoba</v>
      </c>
      <c r="B1857" s="120" t="str">
        <f>IFERROR(__xludf.DUMMYFUNCTION("""COMPUTED_VALUE"""),"ODB")</f>
        <v>ODB</v>
      </c>
      <c r="C1857" s="120" t="str">
        <f>IFERROR(__xludf.DUMMYFUNCTION("""COMPUTED_VALUE"""),"Cordoba")</f>
        <v>Cordoba</v>
      </c>
      <c r="D1857" s="120" t="str">
        <f>IFERROR(__xludf.DUMMYFUNCTION("""COMPUTED_VALUE"""),"Spain")</f>
        <v>Spain</v>
      </c>
      <c r="E1857" s="135"/>
      <c r="F1857" s="31"/>
    </row>
    <row r="1858">
      <c r="A1858" s="134" t="str">
        <f>IFERROR(__xludf.DUMMYFUNCTION("""COMPUTED_VALUE"""),"Cordova")</f>
        <v>Cordova</v>
      </c>
      <c r="B1858" s="120" t="str">
        <f>IFERROR(__xludf.DUMMYFUNCTION("""COMPUTED_VALUE"""),"CKU")</f>
        <v>CKU</v>
      </c>
      <c r="C1858" s="120" t="str">
        <f>IFERROR(__xludf.DUMMYFUNCTION("""COMPUTED_VALUE"""),"City")</f>
        <v>City</v>
      </c>
      <c r="D1858" s="120" t="str">
        <f>IFERROR(__xludf.DUMMYFUNCTION("""COMPUTED_VALUE"""),"United States")</f>
        <v>United States</v>
      </c>
      <c r="E1858" s="135"/>
      <c r="F1858" s="31"/>
    </row>
    <row r="1859">
      <c r="A1859" s="134" t="str">
        <f>IFERROR(__xludf.DUMMYFUNCTION("""COMPUTED_VALUE"""),"Cordova")</f>
        <v>Cordova</v>
      </c>
      <c r="B1859" s="120" t="str">
        <f>IFERROR(__xludf.DUMMYFUNCTION("""COMPUTED_VALUE"""),"CDV")</f>
        <v>CDV</v>
      </c>
      <c r="C1859" s="120" t="str">
        <f>IFERROR(__xludf.DUMMYFUNCTION("""COMPUTED_VALUE"""),"Mudhole Smith")</f>
        <v>Mudhole Smith</v>
      </c>
      <c r="D1859" s="120" t="str">
        <f>IFERROR(__xludf.DUMMYFUNCTION("""COMPUTED_VALUE"""),"United States")</f>
        <v>United States</v>
      </c>
      <c r="E1859" s="135"/>
      <c r="F1859" s="31"/>
    </row>
    <row r="1860">
      <c r="A1860" s="134" t="str">
        <f>IFERROR(__xludf.DUMMYFUNCTION("""COMPUTED_VALUE"""),"Corinth")</f>
        <v>Corinth</v>
      </c>
      <c r="B1860" s="120" t="str">
        <f>IFERROR(__xludf.DUMMYFUNCTION("""COMPUTED_VALUE"""),"CRX")</f>
        <v>CRX</v>
      </c>
      <c r="C1860" s="120" t="str">
        <f>IFERROR(__xludf.DUMMYFUNCTION("""COMPUTED_VALUE"""),"Roscoe Turner")</f>
        <v>Roscoe Turner</v>
      </c>
      <c r="D1860" s="120" t="str">
        <f>IFERROR(__xludf.DUMMYFUNCTION("""COMPUTED_VALUE"""),"United States")</f>
        <v>United States</v>
      </c>
      <c r="E1860" s="135"/>
      <c r="F1860" s="31"/>
    </row>
    <row r="1861">
      <c r="A1861" s="134" t="str">
        <f>IFERROR(__xludf.DUMMYFUNCTION("""COMPUTED_VALUE"""),"Cork")</f>
        <v>Cork</v>
      </c>
      <c r="B1861" s="120" t="str">
        <f>IFERROR(__xludf.DUMMYFUNCTION("""COMPUTED_VALUE"""),"ORK")</f>
        <v>ORK</v>
      </c>
      <c r="C1861" s="120" t="str">
        <f>IFERROR(__xludf.DUMMYFUNCTION("""COMPUTED_VALUE"""),"Cork")</f>
        <v>Cork</v>
      </c>
      <c r="D1861" s="120" t="str">
        <f>IFERROR(__xludf.DUMMYFUNCTION("""COMPUTED_VALUE"""),"Ireland")</f>
        <v>Ireland</v>
      </c>
      <c r="E1861" s="135"/>
      <c r="F1861" s="31"/>
    </row>
    <row r="1862">
      <c r="A1862" s="134" t="str">
        <f>IFERROR(__xludf.DUMMYFUNCTION("""COMPUTED_VALUE"""),"Corn Island")</f>
        <v>Corn Island</v>
      </c>
      <c r="B1862" s="120" t="str">
        <f>IFERROR(__xludf.DUMMYFUNCTION("""COMPUTED_VALUE"""),"RNI")</f>
        <v>RNI</v>
      </c>
      <c r="C1862" s="120" t="str">
        <f>IFERROR(__xludf.DUMMYFUNCTION("""COMPUTED_VALUE"""),"Corn Island")</f>
        <v>Corn Island</v>
      </c>
      <c r="D1862" s="120" t="str">
        <f>IFERROR(__xludf.DUMMYFUNCTION("""COMPUTED_VALUE"""),"Nicaragua")</f>
        <v>Nicaragua</v>
      </c>
      <c r="E1862" s="135"/>
      <c r="F1862" s="31"/>
    </row>
    <row r="1863">
      <c r="A1863" s="134" t="str">
        <f>IFERROR(__xludf.DUMMYFUNCTION("""COMPUTED_VALUE"""),"Cornelio Procopio")</f>
        <v>Cornelio Procopio</v>
      </c>
      <c r="B1863" s="120" t="str">
        <f>IFERROR(__xludf.DUMMYFUNCTION("""COMPUTED_VALUE"""),"CKO")</f>
        <v>CKO</v>
      </c>
      <c r="C1863" s="120" t="str">
        <f>IFERROR(__xludf.DUMMYFUNCTION("""COMPUTED_VALUE"""),"Cornelio Procopio")</f>
        <v>Cornelio Procopio</v>
      </c>
      <c r="D1863" s="120" t="str">
        <f>IFERROR(__xludf.DUMMYFUNCTION("""COMPUTED_VALUE"""),"Brazil")</f>
        <v>Brazil</v>
      </c>
      <c r="E1863" s="135"/>
      <c r="F1863" s="31"/>
    </row>
    <row r="1864">
      <c r="A1864" s="134" t="str">
        <f>IFERROR(__xludf.DUMMYFUNCTION("""COMPUTED_VALUE"""),"Corner Bay")</f>
        <v>Corner Bay</v>
      </c>
      <c r="B1864" s="120" t="str">
        <f>IFERROR(__xludf.DUMMYFUNCTION("""COMPUTED_VALUE"""),"CBA")</f>
        <v>CBA</v>
      </c>
      <c r="C1864" s="120" t="str">
        <f>IFERROR(__xludf.DUMMYFUNCTION("""COMPUTED_VALUE"""),"Corner Bay")</f>
        <v>Corner Bay</v>
      </c>
      <c r="D1864" s="120" t="str">
        <f>IFERROR(__xludf.DUMMYFUNCTION("""COMPUTED_VALUE"""),"United States")</f>
        <v>United States</v>
      </c>
      <c r="E1864" s="135"/>
      <c r="F1864" s="31"/>
    </row>
    <row r="1865">
      <c r="A1865" s="134" t="str">
        <f>IFERROR(__xludf.DUMMYFUNCTION("""COMPUTED_VALUE"""),"Corner Brook")</f>
        <v>Corner Brook</v>
      </c>
      <c r="B1865" s="120" t="str">
        <f>IFERROR(__xludf.DUMMYFUNCTION("""COMPUTED_VALUE"""),"YNF")</f>
        <v>YNF</v>
      </c>
      <c r="C1865" s="120" t="str">
        <f>IFERROR(__xludf.DUMMYFUNCTION("""COMPUTED_VALUE"""),"Deer Lake/Stephenville")</f>
        <v>Deer Lake/Stephenville</v>
      </c>
      <c r="D1865" s="120" t="str">
        <f>IFERROR(__xludf.DUMMYFUNCTION("""COMPUTED_VALUE"""),"Canada")</f>
        <v>Canada</v>
      </c>
      <c r="E1865" s="135"/>
      <c r="F1865" s="31"/>
    </row>
    <row r="1866">
      <c r="A1866" s="134" t="str">
        <f>IFERROR(__xludf.DUMMYFUNCTION("""COMPUTED_VALUE"""),"Corning")</f>
        <v>Corning</v>
      </c>
      <c r="B1866" s="120" t="str">
        <f>IFERROR(__xludf.DUMMYFUNCTION("""COMPUTED_VALUE"""),"ELM")</f>
        <v>ELM</v>
      </c>
      <c r="C1866" s="120" t="str">
        <f>IFERROR(__xludf.DUMMYFUNCTION("""COMPUTED_VALUE"""),"Corning")</f>
        <v>Corning</v>
      </c>
      <c r="D1866" s="120" t="str">
        <f>IFERROR(__xludf.DUMMYFUNCTION("""COMPUTED_VALUE"""),"United States")</f>
        <v>United States</v>
      </c>
      <c r="E1866" s="135"/>
      <c r="F1866" s="31"/>
    </row>
    <row r="1867">
      <c r="A1867" s="134" t="str">
        <f>IFERROR(__xludf.DUMMYFUNCTION("""COMPUTED_VALUE"""),"Cornwall")</f>
        <v>Cornwall</v>
      </c>
      <c r="B1867" s="120" t="str">
        <f>IFERROR(__xludf.DUMMYFUNCTION("""COMPUTED_VALUE"""),"YCC")</f>
        <v>YCC</v>
      </c>
      <c r="C1867" s="120" t="str">
        <f>IFERROR(__xludf.DUMMYFUNCTION("""COMPUTED_VALUE"""),"Regional")</f>
        <v>Regional</v>
      </c>
      <c r="D1867" s="120" t="str">
        <f>IFERROR(__xludf.DUMMYFUNCTION("""COMPUTED_VALUE"""),"Canada")</f>
        <v>Canada</v>
      </c>
      <c r="E1867" s="135"/>
      <c r="F1867" s="31"/>
    </row>
    <row r="1868">
      <c r="A1868" s="134" t="str">
        <f>IFERROR(__xludf.DUMMYFUNCTION("""COMPUTED_VALUE"""),"Coro")</f>
        <v>Coro</v>
      </c>
      <c r="B1868" s="120" t="str">
        <f>IFERROR(__xludf.DUMMYFUNCTION("""COMPUTED_VALUE"""),"CZE")</f>
        <v>CZE</v>
      </c>
      <c r="C1868" s="120" t="str">
        <f>IFERROR(__xludf.DUMMYFUNCTION("""COMPUTED_VALUE"""),"Coro")</f>
        <v>Coro</v>
      </c>
      <c r="D1868" s="120" t="str">
        <f>IFERROR(__xludf.DUMMYFUNCTION("""COMPUTED_VALUE"""),"Venezuela")</f>
        <v>Venezuela</v>
      </c>
      <c r="E1868" s="135"/>
      <c r="F1868" s="31"/>
    </row>
    <row r="1869">
      <c r="A1869" s="134" t="str">
        <f>IFERROR(__xludf.DUMMYFUNCTION("""COMPUTED_VALUE"""),"Coromandel")</f>
        <v>Coromandel</v>
      </c>
      <c r="B1869" s="120" t="str">
        <f>IFERROR(__xludf.DUMMYFUNCTION("""COMPUTED_VALUE"""),"CMV")</f>
        <v>CMV</v>
      </c>
      <c r="C1869" s="120" t="str">
        <f>IFERROR(__xludf.DUMMYFUNCTION("""COMPUTED_VALUE"""),"Coromandel")</f>
        <v>Coromandel</v>
      </c>
      <c r="D1869" s="120" t="str">
        <f>IFERROR(__xludf.DUMMYFUNCTION("""COMPUTED_VALUE"""),"New Zealand (Aotearoa)")</f>
        <v>New Zealand (Aotearoa)</v>
      </c>
      <c r="E1869" s="135"/>
      <c r="F1869" s="31"/>
    </row>
    <row r="1870">
      <c r="A1870" s="134" t="str">
        <f>IFERROR(__xludf.DUMMYFUNCTION("""COMPUTED_VALUE"""),"Coron")</f>
        <v>Coron</v>
      </c>
      <c r="B1870" s="120" t="str">
        <f>IFERROR(__xludf.DUMMYFUNCTION("""COMPUTED_VALUE"""),"XCN")</f>
        <v>XCN</v>
      </c>
      <c r="C1870" s="120" t="str">
        <f>IFERROR(__xludf.DUMMYFUNCTION("""COMPUTED_VALUE"""),"Naia")</f>
        <v>Naia</v>
      </c>
      <c r="D1870" s="120" t="str">
        <f>IFERROR(__xludf.DUMMYFUNCTION("""COMPUTED_VALUE"""),"Philippines")</f>
        <v>Philippines</v>
      </c>
      <c r="E1870" s="135"/>
      <c r="F1870" s="31"/>
    </row>
    <row r="1871">
      <c r="A1871" s="134" t="str">
        <f>IFERROR(__xludf.DUMMYFUNCTION("""COMPUTED_VALUE"""),"Coronation")</f>
        <v>Coronation</v>
      </c>
      <c r="B1871" s="120" t="str">
        <f>IFERROR(__xludf.DUMMYFUNCTION("""COMPUTED_VALUE"""),"YCT")</f>
        <v>YCT</v>
      </c>
      <c r="C1871" s="120" t="str">
        <f>IFERROR(__xludf.DUMMYFUNCTION("""COMPUTED_VALUE"""),"Coronation")</f>
        <v>Coronation</v>
      </c>
      <c r="D1871" s="120" t="str">
        <f>IFERROR(__xludf.DUMMYFUNCTION("""COMPUTED_VALUE"""),"Canada")</f>
        <v>Canada</v>
      </c>
      <c r="E1871" s="135"/>
      <c r="F1871" s="31"/>
    </row>
    <row r="1872">
      <c r="A1872" s="134" t="str">
        <f>IFERROR(__xludf.DUMMYFUNCTION("""COMPUTED_VALUE"""),"Coronel E Soto Cano AB")</f>
        <v>Coronel E Soto Cano AB</v>
      </c>
      <c r="B1872" s="120" t="str">
        <f>IFERROR(__xludf.DUMMYFUNCTION("""COMPUTED_VALUE"""),"ENQ")</f>
        <v>ENQ</v>
      </c>
      <c r="C1872" s="120" t="str">
        <f>IFERROR(__xludf.DUMMYFUNCTION("""COMPUTED_VALUE"""),"Coronel E Soto Cano AB")</f>
        <v>Coronel E Soto Cano AB</v>
      </c>
      <c r="D1872" s="120" t="str">
        <f>IFERROR(__xludf.DUMMYFUNCTION("""COMPUTED_VALUE"""),"Honduras")</f>
        <v>Honduras</v>
      </c>
      <c r="E1872" s="135"/>
      <c r="F1872" s="31"/>
    </row>
    <row r="1873">
      <c r="A1873" s="134" t="str">
        <f>IFERROR(__xludf.DUMMYFUNCTION("""COMPUTED_VALUE"""),"Coronel Suarez")</f>
        <v>Coronel Suarez</v>
      </c>
      <c r="B1873" s="120" t="str">
        <f>IFERROR(__xludf.DUMMYFUNCTION("""COMPUTED_VALUE"""),"CSZ")</f>
        <v>CSZ</v>
      </c>
      <c r="C1873" s="120" t="str">
        <f>IFERROR(__xludf.DUMMYFUNCTION("""COMPUTED_VALUE"""),"Brigadier Hector Ruiz")</f>
        <v>Brigadier Hector Ruiz</v>
      </c>
      <c r="D1873" s="120" t="str">
        <f>IFERROR(__xludf.DUMMYFUNCTION("""COMPUTED_VALUE"""),"Argentina")</f>
        <v>Argentina</v>
      </c>
      <c r="E1873" s="135"/>
      <c r="F1873" s="31"/>
    </row>
    <row r="1874">
      <c r="A1874" s="134" t="str">
        <f>IFERROR(__xludf.DUMMYFUNCTION("""COMPUTED_VALUE"""),"Corowa")</f>
        <v>Corowa</v>
      </c>
      <c r="B1874" s="120" t="str">
        <f>IFERROR(__xludf.DUMMYFUNCTION("""COMPUTED_VALUE"""),"CWW")</f>
        <v>CWW</v>
      </c>
      <c r="C1874" s="120" t="str">
        <f>IFERROR(__xludf.DUMMYFUNCTION("""COMPUTED_VALUE"""),"Corowa")</f>
        <v>Corowa</v>
      </c>
      <c r="D1874" s="120" t="str">
        <f>IFERROR(__xludf.DUMMYFUNCTION("""COMPUTED_VALUE"""),"Australia")</f>
        <v>Australia</v>
      </c>
      <c r="E1874" s="135"/>
      <c r="F1874" s="31"/>
    </row>
    <row r="1875">
      <c r="A1875" s="134" t="str">
        <f>IFERROR(__xludf.DUMMYFUNCTION("""COMPUTED_VALUE"""),"Corozal")</f>
        <v>Corozal</v>
      </c>
      <c r="B1875" s="120" t="str">
        <f>IFERROR(__xludf.DUMMYFUNCTION("""COMPUTED_VALUE"""),"CZH")</f>
        <v>CZH</v>
      </c>
      <c r="C1875" s="120" t="str">
        <f>IFERROR(__xludf.DUMMYFUNCTION("""COMPUTED_VALUE"""),"Corozal")</f>
        <v>Corozal</v>
      </c>
      <c r="D1875" s="120" t="str">
        <f>IFERROR(__xludf.DUMMYFUNCTION("""COMPUTED_VALUE"""),"Belize")</f>
        <v>Belize</v>
      </c>
      <c r="E1875" s="135"/>
      <c r="F1875" s="31"/>
    </row>
    <row r="1876">
      <c r="A1876" s="134" t="str">
        <f>IFERROR(__xludf.DUMMYFUNCTION("""COMPUTED_VALUE"""),"Corozal")</f>
        <v>Corozal</v>
      </c>
      <c r="B1876" s="120" t="str">
        <f>IFERROR(__xludf.DUMMYFUNCTION("""COMPUTED_VALUE"""),"CZU")</f>
        <v>CZU</v>
      </c>
      <c r="C1876" s="120" t="str">
        <f>IFERROR(__xludf.DUMMYFUNCTION("""COMPUTED_VALUE"""),"Corozal")</f>
        <v>Corozal</v>
      </c>
      <c r="D1876" s="120" t="str">
        <f>IFERROR(__xludf.DUMMYFUNCTION("""COMPUTED_VALUE"""),"Colombia")</f>
        <v>Colombia</v>
      </c>
      <c r="E1876" s="135"/>
      <c r="F1876" s="31"/>
    </row>
    <row r="1877">
      <c r="A1877" s="134" t="str">
        <f>IFERROR(__xludf.DUMMYFUNCTION("""COMPUTED_VALUE"""),"Corpus Christi")</f>
        <v>Corpus Christi</v>
      </c>
      <c r="B1877" s="120" t="str">
        <f>IFERROR(__xludf.DUMMYFUNCTION("""COMPUTED_VALUE"""),"NGW")</f>
        <v>NGW</v>
      </c>
      <c r="C1877" s="120" t="str">
        <f>IFERROR(__xludf.DUMMYFUNCTION("""COMPUTED_VALUE"""),"Cabaniss Field")</f>
        <v>Cabaniss Field</v>
      </c>
      <c r="D1877" s="120" t="str">
        <f>IFERROR(__xludf.DUMMYFUNCTION("""COMPUTED_VALUE"""),"United States")</f>
        <v>United States</v>
      </c>
      <c r="E1877" s="135"/>
      <c r="F1877" s="31"/>
    </row>
    <row r="1878">
      <c r="A1878" s="134" t="str">
        <f>IFERROR(__xludf.DUMMYFUNCTION("""COMPUTED_VALUE"""),"Corpus Christi")</f>
        <v>Corpus Christi</v>
      </c>
      <c r="B1878" s="120" t="str">
        <f>IFERROR(__xludf.DUMMYFUNCTION("""COMPUTED_VALUE"""),"CUX")</f>
        <v>CUX</v>
      </c>
      <c r="C1878" s="120" t="str">
        <f>IFERROR(__xludf.DUMMYFUNCTION("""COMPUTED_VALUE"""),"Cuddihy Field")</f>
        <v>Cuddihy Field</v>
      </c>
      <c r="D1878" s="120" t="str">
        <f>IFERROR(__xludf.DUMMYFUNCTION("""COMPUTED_VALUE"""),"United States")</f>
        <v>United States</v>
      </c>
      <c r="E1878" s="135"/>
      <c r="F1878" s="31"/>
    </row>
    <row r="1879">
      <c r="A1879" s="134" t="str">
        <f>IFERROR(__xludf.DUMMYFUNCTION("""COMPUTED_VALUE"""),"Corpus Christi")</f>
        <v>Corpus Christi</v>
      </c>
      <c r="B1879" s="120" t="str">
        <f>IFERROR(__xludf.DUMMYFUNCTION("""COMPUTED_VALUE"""),"CRP")</f>
        <v>CRP</v>
      </c>
      <c r="C1879" s="120" t="str">
        <f>IFERROR(__xludf.DUMMYFUNCTION("""COMPUTED_VALUE"""),"International")</f>
        <v>International</v>
      </c>
      <c r="D1879" s="120" t="str">
        <f>IFERROR(__xludf.DUMMYFUNCTION("""COMPUTED_VALUE"""),"United States")</f>
        <v>United States</v>
      </c>
      <c r="E1879" s="135"/>
      <c r="F1879" s="31"/>
    </row>
    <row r="1880">
      <c r="A1880" s="134" t="str">
        <f>IFERROR(__xludf.DUMMYFUNCTION("""COMPUTED_VALUE"""),"Corpus Christi")</f>
        <v>Corpus Christi</v>
      </c>
      <c r="B1880" s="120" t="str">
        <f>IFERROR(__xludf.DUMMYFUNCTION("""COMPUTED_VALUE"""),"NGP")</f>
        <v>NGP</v>
      </c>
      <c r="C1880" s="120" t="str">
        <f>IFERROR(__xludf.DUMMYFUNCTION("""COMPUTED_VALUE"""),"NAS")</f>
        <v>NAS</v>
      </c>
      <c r="D1880" s="120" t="str">
        <f>IFERROR(__xludf.DUMMYFUNCTION("""COMPUTED_VALUE"""),"United States")</f>
        <v>United States</v>
      </c>
      <c r="E1880" s="135"/>
      <c r="F1880" s="31"/>
    </row>
    <row r="1881">
      <c r="A1881" s="134" t="str">
        <f>IFERROR(__xludf.DUMMYFUNCTION("""COMPUTED_VALUE"""),"Corrientes")</f>
        <v>Corrientes</v>
      </c>
      <c r="B1881" s="120" t="str">
        <f>IFERROR(__xludf.DUMMYFUNCTION("""COMPUTED_VALUE"""),"CNQ")</f>
        <v>CNQ</v>
      </c>
      <c r="C1881" s="120" t="str">
        <f>IFERROR(__xludf.DUMMYFUNCTION("""COMPUTED_VALUE"""),"Camba Punta")</f>
        <v>Camba Punta</v>
      </c>
      <c r="D1881" s="120" t="str">
        <f>IFERROR(__xludf.DUMMYFUNCTION("""COMPUTED_VALUE"""),"Argentina")</f>
        <v>Argentina</v>
      </c>
      <c r="E1881" s="135"/>
      <c r="F1881" s="31"/>
    </row>
    <row r="1882">
      <c r="A1882" s="134" t="str">
        <f>IFERROR(__xludf.DUMMYFUNCTION("""COMPUTED_VALUE"""),"Corryong")</f>
        <v>Corryong</v>
      </c>
      <c r="B1882" s="120" t="str">
        <f>IFERROR(__xludf.DUMMYFUNCTION("""COMPUTED_VALUE"""),"CYG")</f>
        <v>CYG</v>
      </c>
      <c r="C1882" s="120" t="str">
        <f>IFERROR(__xludf.DUMMYFUNCTION("""COMPUTED_VALUE"""),"Corryong")</f>
        <v>Corryong</v>
      </c>
      <c r="D1882" s="120" t="str">
        <f>IFERROR(__xludf.DUMMYFUNCTION("""COMPUTED_VALUE"""),"Australia")</f>
        <v>Australia</v>
      </c>
      <c r="E1882" s="135"/>
      <c r="F1882" s="31"/>
    </row>
    <row r="1883">
      <c r="A1883" s="134" t="str">
        <f>IFERROR(__xludf.DUMMYFUNCTION("""COMPUTED_VALUE"""),"Corsicana")</f>
        <v>Corsicana</v>
      </c>
      <c r="B1883" s="120" t="str">
        <f>IFERROR(__xludf.DUMMYFUNCTION("""COMPUTED_VALUE"""),"CRS")</f>
        <v>CRS</v>
      </c>
      <c r="C1883" s="120" t="str">
        <f>IFERROR(__xludf.DUMMYFUNCTION("""COMPUTED_VALUE"""),"Corsicana")</f>
        <v>Corsicana</v>
      </c>
      <c r="D1883" s="120" t="str">
        <f>IFERROR(__xludf.DUMMYFUNCTION("""COMPUTED_VALUE"""),"United States")</f>
        <v>United States</v>
      </c>
      <c r="E1883" s="135"/>
      <c r="F1883" s="31"/>
    </row>
    <row r="1884">
      <c r="A1884" s="134" t="str">
        <f>IFERROR(__xludf.DUMMYFUNCTION("""COMPUTED_VALUE"""),"Cortes Bay")</f>
        <v>Cortes Bay</v>
      </c>
      <c r="B1884" s="120" t="str">
        <f>IFERROR(__xludf.DUMMYFUNCTION("""COMPUTED_VALUE"""),"YCF")</f>
        <v>YCF</v>
      </c>
      <c r="C1884" s="120" t="str">
        <f>IFERROR(__xludf.DUMMYFUNCTION("""COMPUTED_VALUE"""),"Cortes Bay")</f>
        <v>Cortes Bay</v>
      </c>
      <c r="D1884" s="120" t="str">
        <f>IFERROR(__xludf.DUMMYFUNCTION("""COMPUTED_VALUE"""),"Canada")</f>
        <v>Canada</v>
      </c>
      <c r="E1884" s="135"/>
      <c r="F1884" s="31"/>
    </row>
    <row r="1885">
      <c r="A1885" s="134" t="str">
        <f>IFERROR(__xludf.DUMMYFUNCTION("""COMPUTED_VALUE"""),"Cortez")</f>
        <v>Cortez</v>
      </c>
      <c r="B1885" s="120" t="str">
        <f>IFERROR(__xludf.DUMMYFUNCTION("""COMPUTED_VALUE"""),"CEZ")</f>
        <v>CEZ</v>
      </c>
      <c r="C1885" s="120" t="str">
        <f>IFERROR(__xludf.DUMMYFUNCTION("""COMPUTED_VALUE"""),"Montezuma County")</f>
        <v>Montezuma County</v>
      </c>
      <c r="D1885" s="120" t="str">
        <f>IFERROR(__xludf.DUMMYFUNCTION("""COMPUTED_VALUE"""),"United States")</f>
        <v>United States</v>
      </c>
      <c r="E1885" s="135"/>
      <c r="F1885" s="31"/>
    </row>
    <row r="1886">
      <c r="A1886" s="134" t="str">
        <f>IFERROR(__xludf.DUMMYFUNCTION("""COMPUTED_VALUE"""),"Cortland")</f>
        <v>Cortland</v>
      </c>
      <c r="B1886" s="120" t="str">
        <f>IFERROR(__xludf.DUMMYFUNCTION("""COMPUTED_VALUE"""),"CTX")</f>
        <v>CTX</v>
      </c>
      <c r="C1886" s="120" t="str">
        <f>IFERROR(__xludf.DUMMYFUNCTION("""COMPUTED_VALUE"""),"Cortland")</f>
        <v>Cortland</v>
      </c>
      <c r="D1886" s="120" t="str">
        <f>IFERROR(__xludf.DUMMYFUNCTION("""COMPUTED_VALUE"""),"United States")</f>
        <v>United States</v>
      </c>
      <c r="E1886" s="135"/>
      <c r="F1886" s="31"/>
    </row>
    <row r="1887">
      <c r="A1887" s="134" t="str">
        <f>IFERROR(__xludf.DUMMYFUNCTION("""COMPUTED_VALUE"""),"Corumba")</f>
        <v>Corumba</v>
      </c>
      <c r="B1887" s="120" t="str">
        <f>IFERROR(__xludf.DUMMYFUNCTION("""COMPUTED_VALUE"""),"CMG")</f>
        <v>CMG</v>
      </c>
      <c r="C1887" s="120" t="str">
        <f>IFERROR(__xludf.DUMMYFUNCTION("""COMPUTED_VALUE"""),"Internacional")</f>
        <v>Internacional</v>
      </c>
      <c r="D1887" s="120" t="str">
        <f>IFERROR(__xludf.DUMMYFUNCTION("""COMPUTED_VALUE"""),"Brazil")</f>
        <v>Brazil</v>
      </c>
      <c r="E1887" s="135"/>
      <c r="F1887" s="31"/>
    </row>
    <row r="1888">
      <c r="A1888" s="134" t="str">
        <f>IFERROR(__xludf.DUMMYFUNCTION("""COMPUTED_VALUE"""),"Corvo Island")</f>
        <v>Corvo Island</v>
      </c>
      <c r="B1888" s="120" t="str">
        <f>IFERROR(__xludf.DUMMYFUNCTION("""COMPUTED_VALUE"""),"CVU")</f>
        <v>CVU</v>
      </c>
      <c r="C1888" s="120" t="str">
        <f>IFERROR(__xludf.DUMMYFUNCTION("""COMPUTED_VALUE"""),"Corvo Island")</f>
        <v>Corvo Island</v>
      </c>
      <c r="D1888" s="120" t="str">
        <f>IFERROR(__xludf.DUMMYFUNCTION("""COMPUTED_VALUE"""),"Portugal")</f>
        <v>Portugal</v>
      </c>
      <c r="E1888" s="135"/>
      <c r="F1888" s="31"/>
    </row>
    <row r="1889">
      <c r="A1889" s="134" t="str">
        <f>IFERROR(__xludf.DUMMYFUNCTION("""COMPUTED_VALUE"""),"Costa Marques")</f>
        <v>Costa Marques</v>
      </c>
      <c r="B1889" s="120" t="str">
        <f>IFERROR(__xludf.DUMMYFUNCTION("""COMPUTED_VALUE"""),"CQS")</f>
        <v>CQS</v>
      </c>
      <c r="C1889" s="120" t="str">
        <f>IFERROR(__xludf.DUMMYFUNCTION("""COMPUTED_VALUE"""),"Costa Marques")</f>
        <v>Costa Marques</v>
      </c>
      <c r="D1889" s="120" t="str">
        <f>IFERROR(__xludf.DUMMYFUNCTION("""COMPUTED_VALUE"""),"Brazil")</f>
        <v>Brazil</v>
      </c>
      <c r="E1889" s="135"/>
      <c r="F1889" s="31"/>
    </row>
    <row r="1890">
      <c r="A1890" s="134" t="str">
        <f>IFERROR(__xludf.DUMMYFUNCTION("""COMPUTED_VALUE"""),"Cotabato")</f>
        <v>Cotabato</v>
      </c>
      <c r="B1890" s="120" t="str">
        <f>IFERROR(__xludf.DUMMYFUNCTION("""COMPUTED_VALUE"""),"CBO")</f>
        <v>CBO</v>
      </c>
      <c r="C1890" s="120" t="str">
        <f>IFERROR(__xludf.DUMMYFUNCTION("""COMPUTED_VALUE"""),"Awang")</f>
        <v>Awang</v>
      </c>
      <c r="D1890" s="120" t="str">
        <f>IFERROR(__xludf.DUMMYFUNCTION("""COMPUTED_VALUE"""),"Philippines")</f>
        <v>Philippines</v>
      </c>
      <c r="E1890" s="135"/>
      <c r="F1890" s="31"/>
    </row>
    <row r="1891">
      <c r="A1891" s="134" t="str">
        <f>IFERROR(__xludf.DUMMYFUNCTION("""COMPUTED_VALUE"""),"Coto 47")</f>
        <v>Coto 47</v>
      </c>
      <c r="B1891" s="120" t="str">
        <f>IFERROR(__xludf.DUMMYFUNCTION("""COMPUTED_VALUE"""),"OTR")</f>
        <v>OTR</v>
      </c>
      <c r="C1891" s="120" t="str">
        <f>IFERROR(__xludf.DUMMYFUNCTION("""COMPUTED_VALUE"""),"Coto 47")</f>
        <v>Coto 47</v>
      </c>
      <c r="D1891" s="120" t="str">
        <f>IFERROR(__xludf.DUMMYFUNCTION("""COMPUTED_VALUE"""),"Costa Rica")</f>
        <v>Costa Rica</v>
      </c>
      <c r="E1891" s="135"/>
      <c r="F1891" s="31"/>
    </row>
    <row r="1892">
      <c r="A1892" s="134" t="str">
        <f>IFERROR(__xludf.DUMMYFUNCTION("""COMPUTED_VALUE"""),"Cotonou")</f>
        <v>Cotonou</v>
      </c>
      <c r="B1892" s="120" t="str">
        <f>IFERROR(__xludf.DUMMYFUNCTION("""COMPUTED_VALUE"""),"COO")</f>
        <v>COO</v>
      </c>
      <c r="C1892" s="120" t="str">
        <f>IFERROR(__xludf.DUMMYFUNCTION("""COMPUTED_VALUE"""),"Cotonou")</f>
        <v>Cotonou</v>
      </c>
      <c r="D1892" s="120" t="str">
        <f>IFERROR(__xludf.DUMMYFUNCTION("""COMPUTED_VALUE"""),"Benin")</f>
        <v>Benin</v>
      </c>
      <c r="E1892" s="135"/>
      <c r="F1892" s="31"/>
    </row>
    <row r="1893">
      <c r="A1893" s="134" t="str">
        <f>IFERROR(__xludf.DUMMYFUNCTION("""COMPUTED_VALUE"""),"Cottbus")</f>
        <v>Cottbus</v>
      </c>
      <c r="B1893" s="120" t="str">
        <f>IFERROR(__xludf.DUMMYFUNCTION("""COMPUTED_VALUE"""),"CBU")</f>
        <v>CBU</v>
      </c>
      <c r="C1893" s="120" t="str">
        <f>IFERROR(__xludf.DUMMYFUNCTION("""COMPUTED_VALUE"""),"Cottbus")</f>
        <v>Cottbus</v>
      </c>
      <c r="D1893" s="120" t="str">
        <f>IFERROR(__xludf.DUMMYFUNCTION("""COMPUTED_VALUE"""),"Germany")</f>
        <v>Germany</v>
      </c>
      <c r="E1893" s="135"/>
      <c r="F1893" s="31"/>
    </row>
    <row r="1894">
      <c r="A1894" s="134" t="str">
        <f>IFERROR(__xludf.DUMMYFUNCTION("""COMPUTED_VALUE"""),"Cottbus")</f>
        <v>Cottbus</v>
      </c>
      <c r="B1894" s="120" t="str">
        <f>IFERROR(__xludf.DUMMYFUNCTION("""COMPUTED_VALUE"""),"ZTT")</f>
        <v>ZTT</v>
      </c>
      <c r="C1894" s="120" t="str">
        <f>IFERROR(__xludf.DUMMYFUNCTION("""COMPUTED_VALUE"""),"Cottbus Railway Stn.")</f>
        <v>Cottbus Railway Stn.</v>
      </c>
      <c r="D1894" s="120" t="str">
        <f>IFERROR(__xludf.DUMMYFUNCTION("""COMPUTED_VALUE"""),"Germany")</f>
        <v>Germany</v>
      </c>
      <c r="E1894" s="135"/>
      <c r="F1894" s="31"/>
    </row>
    <row r="1895">
      <c r="A1895" s="134" t="str">
        <f>IFERROR(__xludf.DUMMYFUNCTION("""COMPUTED_VALUE"""),"Cottonwood")</f>
        <v>Cottonwood</v>
      </c>
      <c r="B1895" s="120" t="str">
        <f>IFERROR(__xludf.DUMMYFUNCTION("""COMPUTED_VALUE"""),"CTW")</f>
        <v>CTW</v>
      </c>
      <c r="C1895" s="120" t="str">
        <f>IFERROR(__xludf.DUMMYFUNCTION("""COMPUTED_VALUE"""),"Cottonwood")</f>
        <v>Cottonwood</v>
      </c>
      <c r="D1895" s="120" t="str">
        <f>IFERROR(__xludf.DUMMYFUNCTION("""COMPUTED_VALUE"""),"United States")</f>
        <v>United States</v>
      </c>
      <c r="E1895" s="135"/>
      <c r="F1895" s="31"/>
    </row>
    <row r="1896">
      <c r="A1896" s="134" t="str">
        <f>IFERROR(__xludf.DUMMYFUNCTION("""COMPUTED_VALUE"""),"Cotulla")</f>
        <v>Cotulla</v>
      </c>
      <c r="B1896" s="120" t="str">
        <f>IFERROR(__xludf.DUMMYFUNCTION("""COMPUTED_VALUE"""),"COT")</f>
        <v>COT</v>
      </c>
      <c r="C1896" s="120" t="str">
        <f>IFERROR(__xludf.DUMMYFUNCTION("""COMPUTED_VALUE"""),"Cotulla")</f>
        <v>Cotulla</v>
      </c>
      <c r="D1896" s="120" t="str">
        <f>IFERROR(__xludf.DUMMYFUNCTION("""COMPUTED_VALUE"""),"United States")</f>
        <v>United States</v>
      </c>
      <c r="E1896" s="135"/>
      <c r="F1896" s="31"/>
    </row>
    <row r="1897">
      <c r="A1897" s="134" t="str">
        <f>IFERROR(__xludf.DUMMYFUNCTION("""COMPUTED_VALUE"""),"Council")</f>
        <v>Council</v>
      </c>
      <c r="B1897" s="120" t="str">
        <f>IFERROR(__xludf.DUMMYFUNCTION("""COMPUTED_VALUE"""),"CIL")</f>
        <v>CIL</v>
      </c>
      <c r="C1897" s="120" t="str">
        <f>IFERROR(__xludf.DUMMYFUNCTION("""COMPUTED_VALUE"""),"Melsing Creek")</f>
        <v>Melsing Creek</v>
      </c>
      <c r="D1897" s="120" t="str">
        <f>IFERROR(__xludf.DUMMYFUNCTION("""COMPUTED_VALUE"""),"United States")</f>
        <v>United States</v>
      </c>
      <c r="E1897" s="135"/>
      <c r="F1897" s="31"/>
    </row>
    <row r="1898">
      <c r="A1898" s="134" t="str">
        <f>IFERROR(__xludf.DUMMYFUNCTION("""COMPUTED_VALUE"""),"Council Bluffs")</f>
        <v>Council Bluffs</v>
      </c>
      <c r="B1898" s="120" t="str">
        <f>IFERROR(__xludf.DUMMYFUNCTION("""COMPUTED_VALUE"""),"CBF")</f>
        <v>CBF</v>
      </c>
      <c r="C1898" s="120" t="str">
        <f>IFERROR(__xludf.DUMMYFUNCTION("""COMPUTED_VALUE"""),"Municipal")</f>
        <v>Municipal</v>
      </c>
      <c r="D1898" s="120" t="str">
        <f>IFERROR(__xludf.DUMMYFUNCTION("""COMPUTED_VALUE"""),"United States")</f>
        <v>United States</v>
      </c>
      <c r="E1898" s="135"/>
      <c r="F1898" s="31"/>
    </row>
    <row r="1899">
      <c r="A1899" s="134" t="str">
        <f>IFERROR(__xludf.DUMMYFUNCTION("""COMPUTED_VALUE"""),"Courchevel")</f>
        <v>Courchevel</v>
      </c>
      <c r="B1899" s="120" t="str">
        <f>IFERROR(__xludf.DUMMYFUNCTION("""COMPUTED_VALUE"""),"CVF")</f>
        <v>CVF</v>
      </c>
      <c r="C1899" s="120" t="str">
        <f>IFERROR(__xludf.DUMMYFUNCTION("""COMPUTED_VALUE"""),"Courchevel")</f>
        <v>Courchevel</v>
      </c>
      <c r="D1899" s="120" t="str">
        <f>IFERROR(__xludf.DUMMYFUNCTION("""COMPUTED_VALUE"""),"France")</f>
        <v>France</v>
      </c>
      <c r="E1899" s="135"/>
      <c r="F1899" s="31"/>
    </row>
    <row r="1900">
      <c r="A1900" s="134" t="str">
        <f>IFERROR(__xludf.DUMMYFUNCTION("""COMPUTED_VALUE"""),"Courtenay")</f>
        <v>Courtenay</v>
      </c>
      <c r="B1900" s="120" t="str">
        <f>IFERROR(__xludf.DUMMYFUNCTION("""COMPUTED_VALUE"""),"YCA")</f>
        <v>YCA</v>
      </c>
      <c r="C1900" s="120" t="str">
        <f>IFERROR(__xludf.DUMMYFUNCTION("""COMPUTED_VALUE"""),"Courtenay")</f>
        <v>Courtenay</v>
      </c>
      <c r="D1900" s="120" t="str">
        <f>IFERROR(__xludf.DUMMYFUNCTION("""COMPUTED_VALUE"""),"Canada")</f>
        <v>Canada</v>
      </c>
      <c r="E1900" s="135"/>
      <c r="F1900" s="31"/>
    </row>
    <row r="1901">
      <c r="A1901" s="134" t="str">
        <f>IFERROR(__xludf.DUMMYFUNCTION("""COMPUTED_VALUE"""),"Covenas")</f>
        <v>Covenas</v>
      </c>
      <c r="B1901" s="120" t="str">
        <f>IFERROR(__xludf.DUMMYFUNCTION("""COMPUTED_VALUE"""),"CVE")</f>
        <v>CVE</v>
      </c>
      <c r="C1901" s="120" t="str">
        <f>IFERROR(__xludf.DUMMYFUNCTION("""COMPUTED_VALUE"""),"Covenas")</f>
        <v>Covenas</v>
      </c>
      <c r="D1901" s="120" t="str">
        <f>IFERROR(__xludf.DUMMYFUNCTION("""COMPUTED_VALUE"""),"Colombia")</f>
        <v>Colombia</v>
      </c>
      <c r="E1901" s="135"/>
      <c r="F1901" s="31"/>
    </row>
    <row r="1902">
      <c r="A1902" s="134" t="str">
        <f>IFERROR(__xludf.DUMMYFUNCTION("""COMPUTED_VALUE"""),"Coventry")</f>
        <v>Coventry</v>
      </c>
      <c r="B1902" s="120" t="str">
        <f>IFERROR(__xludf.DUMMYFUNCTION("""COMPUTED_VALUE"""),"CVT")</f>
        <v>CVT</v>
      </c>
      <c r="C1902" s="120" t="str">
        <f>IFERROR(__xludf.DUMMYFUNCTION("""COMPUTED_VALUE"""),"Coventry - West Midlands International Airport")</f>
        <v>Coventry - West Midlands International Airport</v>
      </c>
      <c r="D1902" s="120" t="str">
        <f>IFERROR(__xludf.DUMMYFUNCTION("""COMPUTED_VALUE"""),"United Kingdom")</f>
        <v>United Kingdom</v>
      </c>
      <c r="E1902" s="135"/>
      <c r="F1902" s="31"/>
    </row>
    <row r="1903">
      <c r="A1903" s="134" t="str">
        <f>IFERROR(__xludf.DUMMYFUNCTION("""COMPUTED_VALUE"""),"Covilha")</f>
        <v>Covilha</v>
      </c>
      <c r="B1903" s="120" t="str">
        <f>IFERROR(__xludf.DUMMYFUNCTION("""COMPUTED_VALUE"""),"COV")</f>
        <v>COV</v>
      </c>
      <c r="C1903" s="120" t="str">
        <f>IFERROR(__xludf.DUMMYFUNCTION("""COMPUTED_VALUE"""),"Covilha")</f>
        <v>Covilha</v>
      </c>
      <c r="D1903" s="120" t="str">
        <f>IFERROR(__xludf.DUMMYFUNCTION("""COMPUTED_VALUE"""),"Portugal")</f>
        <v>Portugal</v>
      </c>
      <c r="E1903" s="135"/>
      <c r="F1903" s="31"/>
    </row>
    <row r="1904">
      <c r="A1904" s="134" t="str">
        <f>IFERROR(__xludf.DUMMYFUNCTION("""COMPUTED_VALUE"""),"Cowarie")</f>
        <v>Cowarie</v>
      </c>
      <c r="B1904" s="120" t="str">
        <f>IFERROR(__xludf.DUMMYFUNCTION("""COMPUTED_VALUE"""),"CWR")</f>
        <v>CWR</v>
      </c>
      <c r="C1904" s="120" t="str">
        <f>IFERROR(__xludf.DUMMYFUNCTION("""COMPUTED_VALUE"""),"Cowarie")</f>
        <v>Cowarie</v>
      </c>
      <c r="D1904" s="120" t="str">
        <f>IFERROR(__xludf.DUMMYFUNCTION("""COMPUTED_VALUE"""),"Australia")</f>
        <v>Australia</v>
      </c>
      <c r="E1904" s="135"/>
      <c r="F1904" s="31"/>
    </row>
    <row r="1905">
      <c r="A1905" s="134" t="str">
        <f>IFERROR(__xludf.DUMMYFUNCTION("""COMPUTED_VALUE"""),"Cowell")</f>
        <v>Cowell</v>
      </c>
      <c r="B1905" s="120" t="str">
        <f>IFERROR(__xludf.DUMMYFUNCTION("""COMPUTED_VALUE"""),"CCW")</f>
        <v>CCW</v>
      </c>
      <c r="C1905" s="120" t="str">
        <f>IFERROR(__xludf.DUMMYFUNCTION("""COMPUTED_VALUE"""),"Cowell")</f>
        <v>Cowell</v>
      </c>
      <c r="D1905" s="120" t="str">
        <f>IFERROR(__xludf.DUMMYFUNCTION("""COMPUTED_VALUE"""),"Australia")</f>
        <v>Australia</v>
      </c>
      <c r="E1905" s="135"/>
      <c r="F1905" s="31"/>
    </row>
    <row r="1906">
      <c r="A1906" s="134" t="str">
        <f>IFERROR(__xludf.DUMMYFUNCTION("""COMPUTED_VALUE"""),"Cowley")</f>
        <v>Cowley</v>
      </c>
      <c r="B1906" s="120" t="str">
        <f>IFERROR(__xludf.DUMMYFUNCTION("""COMPUTED_VALUE"""),"YYM")</f>
        <v>YYM</v>
      </c>
      <c r="C1906" s="120" t="str">
        <f>IFERROR(__xludf.DUMMYFUNCTION("""COMPUTED_VALUE"""),"Cowley")</f>
        <v>Cowley</v>
      </c>
      <c r="D1906" s="120" t="str">
        <f>IFERROR(__xludf.DUMMYFUNCTION("""COMPUTED_VALUE"""),"Canada")</f>
        <v>Canada</v>
      </c>
      <c r="E1906" s="135"/>
      <c r="F1906" s="31"/>
    </row>
    <row r="1907">
      <c r="A1907" s="134" t="str">
        <f>IFERROR(__xludf.DUMMYFUNCTION("""COMPUTED_VALUE"""),"Cowra")</f>
        <v>Cowra</v>
      </c>
      <c r="B1907" s="120" t="str">
        <f>IFERROR(__xludf.DUMMYFUNCTION("""COMPUTED_VALUE"""),"CWT")</f>
        <v>CWT</v>
      </c>
      <c r="C1907" s="120" t="str">
        <f>IFERROR(__xludf.DUMMYFUNCTION("""COMPUTED_VALUE"""),"Cowra")</f>
        <v>Cowra</v>
      </c>
      <c r="D1907" s="120" t="str">
        <f>IFERROR(__xludf.DUMMYFUNCTION("""COMPUTED_VALUE"""),"Australia")</f>
        <v>Australia</v>
      </c>
      <c r="E1907" s="135"/>
      <c r="F1907" s="31"/>
    </row>
    <row r="1908">
      <c r="A1908" s="134" t="str">
        <f>IFERROR(__xludf.DUMMYFUNCTION("""COMPUTED_VALUE"""),"Coyhaique")</f>
        <v>Coyhaique</v>
      </c>
      <c r="B1908" s="120" t="str">
        <f>IFERROR(__xludf.DUMMYFUNCTION("""COMPUTED_VALUE"""),"GXQ")</f>
        <v>GXQ</v>
      </c>
      <c r="C1908" s="120" t="str">
        <f>IFERROR(__xludf.DUMMYFUNCTION("""COMPUTED_VALUE"""),"Ten. Vidal")</f>
        <v>Ten. Vidal</v>
      </c>
      <c r="D1908" s="120" t="str">
        <f>IFERROR(__xludf.DUMMYFUNCTION("""COMPUTED_VALUE"""),"Chile")</f>
        <v>Chile</v>
      </c>
      <c r="E1908" s="135"/>
      <c r="F1908" s="31"/>
    </row>
    <row r="1909">
      <c r="A1909" s="134" t="str">
        <f>IFERROR(__xludf.DUMMYFUNCTION("""COMPUTED_VALUE"""),"Coyoles")</f>
        <v>Coyoles</v>
      </c>
      <c r="B1909" s="120" t="str">
        <f>IFERROR(__xludf.DUMMYFUNCTION("""COMPUTED_VALUE"""),"CYL")</f>
        <v>CYL</v>
      </c>
      <c r="C1909" s="120" t="str">
        <f>IFERROR(__xludf.DUMMYFUNCTION("""COMPUTED_VALUE"""),"Coyoles")</f>
        <v>Coyoles</v>
      </c>
      <c r="D1909" s="120" t="str">
        <f>IFERROR(__xludf.DUMMYFUNCTION("""COMPUTED_VALUE"""),"Honduras")</f>
        <v>Honduras</v>
      </c>
      <c r="E1909" s="135"/>
      <c r="F1909" s="31"/>
    </row>
    <row r="1910">
      <c r="A1910" s="134" t="str">
        <f>IFERROR(__xludf.DUMMYFUNCTION("""COMPUTED_VALUE"""),"Cozumel")</f>
        <v>Cozumel</v>
      </c>
      <c r="B1910" s="120" t="str">
        <f>IFERROR(__xludf.DUMMYFUNCTION("""COMPUTED_VALUE"""),"CZM")</f>
        <v>CZM</v>
      </c>
      <c r="C1910" s="120" t="str">
        <f>IFERROR(__xludf.DUMMYFUNCTION("""COMPUTED_VALUE"""),"Cozumel")</f>
        <v>Cozumel</v>
      </c>
      <c r="D1910" s="120" t="str">
        <f>IFERROR(__xludf.DUMMYFUNCTION("""COMPUTED_VALUE"""),"Mexico")</f>
        <v>Mexico</v>
      </c>
      <c r="E1910" s="135"/>
      <c r="F1910" s="31"/>
    </row>
    <row r="1911">
      <c r="A1911" s="134" t="str">
        <f>IFERROR(__xludf.DUMMYFUNCTION("""COMPUTED_VALUE"""),"Cradock")</f>
        <v>Cradock</v>
      </c>
      <c r="B1911" s="120" t="str">
        <f>IFERROR(__xludf.DUMMYFUNCTION("""COMPUTED_VALUE"""),"CDO")</f>
        <v>CDO</v>
      </c>
      <c r="C1911" s="120" t="str">
        <f>IFERROR(__xludf.DUMMYFUNCTION("""COMPUTED_VALUE"""),"Cradock")</f>
        <v>Cradock</v>
      </c>
      <c r="D1911" s="120" t="str">
        <f>IFERROR(__xludf.DUMMYFUNCTION("""COMPUTED_VALUE"""),"South Africa")</f>
        <v>South Africa</v>
      </c>
      <c r="E1911" s="135"/>
      <c r="F1911" s="31"/>
    </row>
    <row r="1912">
      <c r="A1912" s="134" t="str">
        <f>IFERROR(__xludf.DUMMYFUNCTION("""COMPUTED_VALUE"""),"Craig")</f>
        <v>Craig</v>
      </c>
      <c r="B1912" s="120" t="str">
        <f>IFERROR(__xludf.DUMMYFUNCTION("""COMPUTED_VALUE"""),"CGA")</f>
        <v>CGA</v>
      </c>
      <c r="C1912" s="120" t="str">
        <f>IFERROR(__xludf.DUMMYFUNCTION("""COMPUTED_VALUE"""),"Craig SPB")</f>
        <v>Craig SPB</v>
      </c>
      <c r="D1912" s="120" t="str">
        <f>IFERROR(__xludf.DUMMYFUNCTION("""COMPUTED_VALUE"""),"United States")</f>
        <v>United States</v>
      </c>
      <c r="E1912" s="135"/>
      <c r="F1912" s="31"/>
    </row>
    <row r="1913">
      <c r="A1913" s="134" t="str">
        <f>IFERROR(__xludf.DUMMYFUNCTION("""COMPUTED_VALUE"""),"Craig")</f>
        <v>Craig</v>
      </c>
      <c r="B1913" s="120" t="str">
        <f>IFERROR(__xludf.DUMMYFUNCTION("""COMPUTED_VALUE"""),"CIG")</f>
        <v>CIG</v>
      </c>
      <c r="C1913" s="120" t="str">
        <f>IFERROR(__xludf.DUMMYFUNCTION("""COMPUTED_VALUE"""),"Craig-Moffat")</f>
        <v>Craig-Moffat</v>
      </c>
      <c r="D1913" s="120" t="str">
        <f>IFERROR(__xludf.DUMMYFUNCTION("""COMPUTED_VALUE"""),"United States")</f>
        <v>United States</v>
      </c>
      <c r="E1913" s="135"/>
      <c r="F1913" s="31"/>
    </row>
    <row r="1914">
      <c r="A1914" s="134" t="str">
        <f>IFERROR(__xludf.DUMMYFUNCTION("""COMPUTED_VALUE"""),"Craig Cove")</f>
        <v>Craig Cove</v>
      </c>
      <c r="B1914" s="120" t="str">
        <f>IFERROR(__xludf.DUMMYFUNCTION("""COMPUTED_VALUE"""),"CCV")</f>
        <v>CCV</v>
      </c>
      <c r="C1914" s="120" t="str">
        <f>IFERROR(__xludf.DUMMYFUNCTION("""COMPUTED_VALUE"""),"Craig Cove")</f>
        <v>Craig Cove</v>
      </c>
      <c r="D1914" s="120" t="str">
        <f>IFERROR(__xludf.DUMMYFUNCTION("""COMPUTED_VALUE"""),"Vanuatu")</f>
        <v>Vanuatu</v>
      </c>
      <c r="E1914" s="135"/>
      <c r="F1914" s="31"/>
    </row>
    <row r="1915">
      <c r="A1915" s="134" t="str">
        <f>IFERROR(__xludf.DUMMYFUNCTION("""COMPUTED_VALUE"""),"Craiova")</f>
        <v>Craiova</v>
      </c>
      <c r="B1915" s="120" t="str">
        <f>IFERROR(__xludf.DUMMYFUNCTION("""COMPUTED_VALUE"""),"CRA")</f>
        <v>CRA</v>
      </c>
      <c r="C1915" s="120" t="str">
        <f>IFERROR(__xludf.DUMMYFUNCTION("""COMPUTED_VALUE"""),"Craiova")</f>
        <v>Craiova</v>
      </c>
      <c r="D1915" s="120" t="str">
        <f>IFERROR(__xludf.DUMMYFUNCTION("""COMPUTED_VALUE"""),"Romania")</f>
        <v>Romania</v>
      </c>
      <c r="E1915" s="135"/>
      <c r="F1915" s="31"/>
    </row>
    <row r="1916">
      <c r="A1916" s="134" t="str">
        <f>IFERROR(__xludf.DUMMYFUNCTION("""COMPUTED_VALUE"""),"Cranbrook")</f>
        <v>Cranbrook</v>
      </c>
      <c r="B1916" s="120" t="str">
        <f>IFERROR(__xludf.DUMMYFUNCTION("""COMPUTED_VALUE"""),"YXC")</f>
        <v>YXC</v>
      </c>
      <c r="C1916" s="120" t="str">
        <f>IFERROR(__xludf.DUMMYFUNCTION("""COMPUTED_VALUE"""),"Cranbrook")</f>
        <v>Cranbrook</v>
      </c>
      <c r="D1916" s="120" t="str">
        <f>IFERROR(__xludf.DUMMYFUNCTION("""COMPUTED_VALUE"""),"Canada")</f>
        <v>Canada</v>
      </c>
      <c r="E1916" s="135"/>
      <c r="F1916" s="31"/>
    </row>
    <row r="1917">
      <c r="A1917" s="134" t="str">
        <f>IFERROR(__xludf.DUMMYFUNCTION("""COMPUTED_VALUE"""),"Crane")</f>
        <v>Crane</v>
      </c>
      <c r="B1917" s="120" t="str">
        <f>IFERROR(__xludf.DUMMYFUNCTION("""COMPUTED_VALUE"""),"CCG")</f>
        <v>CCG</v>
      </c>
      <c r="C1917" s="120" t="str">
        <f>IFERROR(__xludf.DUMMYFUNCTION("""COMPUTED_VALUE"""),"Crane County Arpt")</f>
        <v>Crane County Arpt</v>
      </c>
      <c r="D1917" s="120" t="str">
        <f>IFERROR(__xludf.DUMMYFUNCTION("""COMPUTED_VALUE"""),"United States")</f>
        <v>United States</v>
      </c>
      <c r="E1917" s="135"/>
      <c r="F1917" s="31"/>
    </row>
    <row r="1918">
      <c r="A1918" s="134" t="str">
        <f>IFERROR(__xludf.DUMMYFUNCTION("""COMPUTED_VALUE"""),"Crane Island")</f>
        <v>Crane Island</v>
      </c>
      <c r="B1918" s="120" t="str">
        <f>IFERROR(__xludf.DUMMYFUNCTION("""COMPUTED_VALUE"""),"CKR")</f>
        <v>CKR</v>
      </c>
      <c r="C1918" s="120" t="str">
        <f>IFERROR(__xludf.DUMMYFUNCTION("""COMPUTED_VALUE"""),"Crane Island")</f>
        <v>Crane Island</v>
      </c>
      <c r="D1918" s="120" t="str">
        <f>IFERROR(__xludf.DUMMYFUNCTION("""COMPUTED_VALUE"""),"United States")</f>
        <v>United States</v>
      </c>
      <c r="E1918" s="135"/>
      <c r="F1918" s="31"/>
    </row>
    <row r="1919">
      <c r="A1919" s="134" t="str">
        <f>IFERROR(__xludf.DUMMYFUNCTION("""COMPUTED_VALUE"""),"Cravo Norte")</f>
        <v>Cravo Norte</v>
      </c>
      <c r="B1919" s="120" t="str">
        <f>IFERROR(__xludf.DUMMYFUNCTION("""COMPUTED_VALUE"""),"RAV")</f>
        <v>RAV</v>
      </c>
      <c r="C1919" s="120" t="str">
        <f>IFERROR(__xludf.DUMMYFUNCTION("""COMPUTED_VALUE"""),"Cravo Norte")</f>
        <v>Cravo Norte</v>
      </c>
      <c r="D1919" s="120" t="str">
        <f>IFERROR(__xludf.DUMMYFUNCTION("""COMPUTED_VALUE"""),"Colombia")</f>
        <v>Colombia</v>
      </c>
      <c r="E1919" s="135"/>
      <c r="F1919" s="31"/>
    </row>
    <row r="1920">
      <c r="A1920" s="134" t="str">
        <f>IFERROR(__xludf.DUMMYFUNCTION("""COMPUTED_VALUE"""),"Creil")</f>
        <v>Creil</v>
      </c>
      <c r="B1920" s="120" t="str">
        <f>IFERROR(__xludf.DUMMYFUNCTION("""COMPUTED_VALUE"""),"CSF")</f>
        <v>CSF</v>
      </c>
      <c r="C1920" s="120" t="str">
        <f>IFERROR(__xludf.DUMMYFUNCTION("""COMPUTED_VALUE"""),"Creil")</f>
        <v>Creil</v>
      </c>
      <c r="D1920" s="120" t="str">
        <f>IFERROR(__xludf.DUMMYFUNCTION("""COMPUTED_VALUE"""),"France")</f>
        <v>France</v>
      </c>
      <c r="E1920" s="135"/>
      <c r="F1920" s="31"/>
    </row>
    <row r="1921">
      <c r="A1921" s="134" t="str">
        <f>IFERROR(__xludf.DUMMYFUNCTION("""COMPUTED_VALUE"""),"Crescent City")</f>
        <v>Crescent City</v>
      </c>
      <c r="B1921" s="120" t="str">
        <f>IFERROR(__xludf.DUMMYFUNCTION("""COMPUTED_VALUE"""),"CEC")</f>
        <v>CEC</v>
      </c>
      <c r="C1921" s="120" t="str">
        <f>IFERROR(__xludf.DUMMYFUNCTION("""COMPUTED_VALUE"""),"Mc Namara Fld")</f>
        <v>Mc Namara Fld</v>
      </c>
      <c r="D1921" s="120" t="str">
        <f>IFERROR(__xludf.DUMMYFUNCTION("""COMPUTED_VALUE"""),"United States")</f>
        <v>United States</v>
      </c>
      <c r="E1921" s="135"/>
      <c r="F1921" s="31"/>
    </row>
    <row r="1922">
      <c r="A1922" s="134" t="str">
        <f>IFERROR(__xludf.DUMMYFUNCTION("""COMPUTED_VALUE"""),"Cresswell Downs")</f>
        <v>Cresswell Downs</v>
      </c>
      <c r="B1922" s="120" t="str">
        <f>IFERROR(__xludf.DUMMYFUNCTION("""COMPUTED_VALUE"""),"CSD")</f>
        <v>CSD</v>
      </c>
      <c r="C1922" s="120" t="str">
        <f>IFERROR(__xludf.DUMMYFUNCTION("""COMPUTED_VALUE"""),"Cresswell Downs")</f>
        <v>Cresswell Downs</v>
      </c>
      <c r="D1922" s="120" t="str">
        <f>IFERROR(__xludf.DUMMYFUNCTION("""COMPUTED_VALUE"""),"Australia")</f>
        <v>Australia</v>
      </c>
      <c r="E1922" s="135"/>
      <c r="F1922" s="31"/>
    </row>
    <row r="1923">
      <c r="A1923" s="134" t="str">
        <f>IFERROR(__xludf.DUMMYFUNCTION("""COMPUTED_VALUE"""),"Crested Butte")</f>
        <v>Crested Butte</v>
      </c>
      <c r="B1923" s="120" t="str">
        <f>IFERROR(__xludf.DUMMYFUNCTION("""COMPUTED_VALUE"""),"CSE")</f>
        <v>CSE</v>
      </c>
      <c r="C1923" s="120" t="str">
        <f>IFERROR(__xludf.DUMMYFUNCTION("""COMPUTED_VALUE"""),"Crested Butte")</f>
        <v>Crested Butte</v>
      </c>
      <c r="D1923" s="120" t="str">
        <f>IFERROR(__xludf.DUMMYFUNCTION("""COMPUTED_VALUE"""),"United States")</f>
        <v>United States</v>
      </c>
      <c r="E1923" s="135"/>
      <c r="F1923" s="31"/>
    </row>
    <row r="1924">
      <c r="A1924" s="134" t="str">
        <f>IFERROR(__xludf.DUMMYFUNCTION("""COMPUTED_VALUE"""),"Creston")</f>
        <v>Creston</v>
      </c>
      <c r="B1924" s="120" t="str">
        <f>IFERROR(__xludf.DUMMYFUNCTION("""COMPUTED_VALUE"""),"CFQ")</f>
        <v>CFQ</v>
      </c>
      <c r="C1924" s="120" t="str">
        <f>IFERROR(__xludf.DUMMYFUNCTION("""COMPUTED_VALUE"""),"Creston")</f>
        <v>Creston</v>
      </c>
      <c r="D1924" s="120" t="str">
        <f>IFERROR(__xludf.DUMMYFUNCTION("""COMPUTED_VALUE"""),"Canada")</f>
        <v>Canada</v>
      </c>
      <c r="E1924" s="135"/>
      <c r="F1924" s="31"/>
    </row>
    <row r="1925">
      <c r="A1925" s="134" t="str">
        <f>IFERROR(__xludf.DUMMYFUNCTION("""COMPUTED_VALUE"""),"Creston")</f>
        <v>Creston</v>
      </c>
      <c r="B1925" s="120" t="str">
        <f>IFERROR(__xludf.DUMMYFUNCTION("""COMPUTED_VALUE"""),"CSQ")</f>
        <v>CSQ</v>
      </c>
      <c r="C1925" s="120" t="str">
        <f>IFERROR(__xludf.DUMMYFUNCTION("""COMPUTED_VALUE"""),"Municipal")</f>
        <v>Municipal</v>
      </c>
      <c r="D1925" s="120" t="str">
        <f>IFERROR(__xludf.DUMMYFUNCTION("""COMPUTED_VALUE"""),"United States")</f>
        <v>United States</v>
      </c>
      <c r="E1925" s="135"/>
      <c r="F1925" s="31"/>
    </row>
    <row r="1926">
      <c r="A1926" s="134" t="str">
        <f>IFERROR(__xludf.DUMMYFUNCTION("""COMPUTED_VALUE"""),"Crestview")</f>
        <v>Crestview</v>
      </c>
      <c r="B1926" s="120" t="str">
        <f>IFERROR(__xludf.DUMMYFUNCTION("""COMPUTED_VALUE"""),"CEW")</f>
        <v>CEW</v>
      </c>
      <c r="C1926" s="120" t="str">
        <f>IFERROR(__xludf.DUMMYFUNCTION("""COMPUTED_VALUE"""),"Bob Sikes")</f>
        <v>Bob Sikes</v>
      </c>
      <c r="D1926" s="120" t="str">
        <f>IFERROR(__xludf.DUMMYFUNCTION("""COMPUTED_VALUE"""),"United States")</f>
        <v>United States</v>
      </c>
      <c r="E1926" s="135"/>
      <c r="F1926" s="31"/>
    </row>
    <row r="1927">
      <c r="A1927" s="134" t="str">
        <f>IFERROR(__xludf.DUMMYFUNCTION("""COMPUTED_VALUE"""),"Criciuma")</f>
        <v>Criciuma</v>
      </c>
      <c r="B1927" s="120" t="str">
        <f>IFERROR(__xludf.DUMMYFUNCTION("""COMPUTED_VALUE"""),"CCM")</f>
        <v>CCM</v>
      </c>
      <c r="C1927" s="120" t="str">
        <f>IFERROR(__xludf.DUMMYFUNCTION("""COMPUTED_VALUE"""),"Criciuma")</f>
        <v>Criciuma</v>
      </c>
      <c r="D1927" s="120" t="str">
        <f>IFERROR(__xludf.DUMMYFUNCTION("""COMPUTED_VALUE"""),"Brazil")</f>
        <v>Brazil</v>
      </c>
      <c r="E1927" s="135"/>
      <c r="F1927" s="31"/>
    </row>
    <row r="1928">
      <c r="A1928" s="134" t="str">
        <f>IFERROR(__xludf.DUMMYFUNCTION("""COMPUTED_VALUE"""),"Croker Island")</f>
        <v>Croker Island</v>
      </c>
      <c r="B1928" s="120" t="str">
        <f>IFERROR(__xludf.DUMMYFUNCTION("""COMPUTED_VALUE"""),"CKI")</f>
        <v>CKI</v>
      </c>
      <c r="C1928" s="120" t="str">
        <f>IFERROR(__xludf.DUMMYFUNCTION("""COMPUTED_VALUE"""),"Croker Island")</f>
        <v>Croker Island</v>
      </c>
      <c r="D1928" s="120" t="str">
        <f>IFERROR(__xludf.DUMMYFUNCTION("""COMPUTED_VALUE"""),"Australia")</f>
        <v>Australia</v>
      </c>
      <c r="E1928" s="135"/>
      <c r="F1928" s="31"/>
    </row>
    <row r="1929">
      <c r="A1929" s="134" t="str">
        <f>IFERROR(__xludf.DUMMYFUNCTION("""COMPUTED_VALUE"""),"Cromarty")</f>
        <v>Cromarty</v>
      </c>
      <c r="B1929" s="120" t="str">
        <f>IFERROR(__xludf.DUMMYFUNCTION("""COMPUTED_VALUE"""),"CRN")</f>
        <v>CRN</v>
      </c>
      <c r="C1929" s="120" t="str">
        <f>IFERROR(__xludf.DUMMYFUNCTION("""COMPUTED_VALUE"""),"Cromarty")</f>
        <v>Cromarty</v>
      </c>
      <c r="D1929" s="120" t="str">
        <f>IFERROR(__xludf.DUMMYFUNCTION("""COMPUTED_VALUE"""),"United Kingdom")</f>
        <v>United Kingdom</v>
      </c>
      <c r="E1929" s="135"/>
      <c r="F1929" s="31"/>
    </row>
    <row r="1930">
      <c r="A1930" s="134" t="str">
        <f>IFERROR(__xludf.DUMMYFUNCTION("""COMPUTED_VALUE"""),"Crooked Creek")</f>
        <v>Crooked Creek</v>
      </c>
      <c r="B1930" s="120" t="str">
        <f>IFERROR(__xludf.DUMMYFUNCTION("""COMPUTED_VALUE"""),"CKD")</f>
        <v>CKD</v>
      </c>
      <c r="C1930" s="120" t="str">
        <f>IFERROR(__xludf.DUMMYFUNCTION("""COMPUTED_VALUE"""),"Crooked Creek")</f>
        <v>Crooked Creek</v>
      </c>
      <c r="D1930" s="120" t="str">
        <f>IFERROR(__xludf.DUMMYFUNCTION("""COMPUTED_VALUE"""),"United States")</f>
        <v>United States</v>
      </c>
      <c r="E1930" s="135"/>
      <c r="F1930" s="31"/>
    </row>
    <row r="1931">
      <c r="A1931" s="134" t="str">
        <f>IFERROR(__xludf.DUMMYFUNCTION("""COMPUTED_VALUE"""),"Crooked Island")</f>
        <v>Crooked Island</v>
      </c>
      <c r="B1931" s="120" t="str">
        <f>IFERROR(__xludf.DUMMYFUNCTION("""COMPUTED_VALUE"""),"CRI")</f>
        <v>CRI</v>
      </c>
      <c r="C1931" s="120" t="str">
        <f>IFERROR(__xludf.DUMMYFUNCTION("""COMPUTED_VALUE"""),"Crooked Island")</f>
        <v>Crooked Island</v>
      </c>
      <c r="D1931" s="120" t="str">
        <f>IFERROR(__xludf.DUMMYFUNCTION("""COMPUTED_VALUE"""),"Bahamas")</f>
        <v>Bahamas</v>
      </c>
      <c r="E1931" s="135"/>
      <c r="F1931" s="31"/>
    </row>
    <row r="1932">
      <c r="A1932" s="134" t="str">
        <f>IFERROR(__xludf.DUMMYFUNCTION("""COMPUTED_VALUE"""),"Crookston")</f>
        <v>Crookston</v>
      </c>
      <c r="B1932" s="120" t="str">
        <f>IFERROR(__xludf.DUMMYFUNCTION("""COMPUTED_VALUE"""),"CKN")</f>
        <v>CKN</v>
      </c>
      <c r="C1932" s="120" t="str">
        <f>IFERROR(__xludf.DUMMYFUNCTION("""COMPUTED_VALUE"""),"Municipal")</f>
        <v>Municipal</v>
      </c>
      <c r="D1932" s="120" t="str">
        <f>IFERROR(__xludf.DUMMYFUNCTION("""COMPUTED_VALUE"""),"United States")</f>
        <v>United States</v>
      </c>
      <c r="E1932" s="135"/>
      <c r="F1932" s="31"/>
    </row>
    <row r="1933">
      <c r="A1933" s="134" t="str">
        <f>IFERROR(__xludf.DUMMYFUNCTION("""COMPUTED_VALUE"""),"Cross City")</f>
        <v>Cross City</v>
      </c>
      <c r="B1933" s="120" t="str">
        <f>IFERROR(__xludf.DUMMYFUNCTION("""COMPUTED_VALUE"""),"CTY")</f>
        <v>CTY</v>
      </c>
      <c r="C1933" s="120" t="str">
        <f>IFERROR(__xludf.DUMMYFUNCTION("""COMPUTED_VALUE"""),"Cross City")</f>
        <v>Cross City</v>
      </c>
      <c r="D1933" s="120" t="str">
        <f>IFERROR(__xludf.DUMMYFUNCTION("""COMPUTED_VALUE"""),"United States")</f>
        <v>United States</v>
      </c>
      <c r="E1933" s="135"/>
      <c r="F1933" s="31"/>
    </row>
    <row r="1934">
      <c r="A1934" s="134" t="str">
        <f>IFERROR(__xludf.DUMMYFUNCTION("""COMPUTED_VALUE"""),"Cross Lake")</f>
        <v>Cross Lake</v>
      </c>
      <c r="B1934" s="120" t="str">
        <f>IFERROR(__xludf.DUMMYFUNCTION("""COMPUTED_VALUE"""),"YCR")</f>
        <v>YCR</v>
      </c>
      <c r="C1934" s="120" t="str">
        <f>IFERROR(__xludf.DUMMYFUNCTION("""COMPUTED_VALUE"""),"Cross Lake")</f>
        <v>Cross Lake</v>
      </c>
      <c r="D1934" s="120" t="str">
        <f>IFERROR(__xludf.DUMMYFUNCTION("""COMPUTED_VALUE"""),"Canada")</f>
        <v>Canada</v>
      </c>
      <c r="E1934" s="135"/>
      <c r="F1934" s="31"/>
    </row>
    <row r="1935">
      <c r="A1935" s="134" t="str">
        <f>IFERROR(__xludf.DUMMYFUNCTION("""COMPUTED_VALUE"""),"Crossett")</f>
        <v>Crossett</v>
      </c>
      <c r="B1935" s="120" t="str">
        <f>IFERROR(__xludf.DUMMYFUNCTION("""COMPUTED_VALUE"""),"CRT")</f>
        <v>CRT</v>
      </c>
      <c r="C1935" s="120" t="str">
        <f>IFERROR(__xludf.DUMMYFUNCTION("""COMPUTED_VALUE"""),"Municipal")</f>
        <v>Municipal</v>
      </c>
      <c r="D1935" s="120" t="str">
        <f>IFERROR(__xludf.DUMMYFUNCTION("""COMPUTED_VALUE"""),"United States")</f>
        <v>United States</v>
      </c>
      <c r="E1935" s="135"/>
      <c r="F1935" s="31"/>
    </row>
    <row r="1936">
      <c r="A1936" s="134" t="str">
        <f>IFERROR(__xludf.DUMMYFUNCTION("""COMPUTED_VALUE"""),"Crossville")</f>
        <v>Crossville</v>
      </c>
      <c r="B1936" s="120" t="str">
        <f>IFERROR(__xludf.DUMMYFUNCTION("""COMPUTED_VALUE"""),"CSV")</f>
        <v>CSV</v>
      </c>
      <c r="C1936" s="120" t="str">
        <f>IFERROR(__xludf.DUMMYFUNCTION("""COMPUTED_VALUE"""),"Memorial")</f>
        <v>Memorial</v>
      </c>
      <c r="D1936" s="120" t="str">
        <f>IFERROR(__xludf.DUMMYFUNCTION("""COMPUTED_VALUE"""),"United States")</f>
        <v>United States</v>
      </c>
      <c r="E1936" s="135"/>
      <c r="F1936" s="31"/>
    </row>
    <row r="1937">
      <c r="A1937" s="134" t="str">
        <f>IFERROR(__xludf.DUMMYFUNCTION("""COMPUTED_VALUE"""),"Crotone")</f>
        <v>Crotone</v>
      </c>
      <c r="B1937" s="120" t="str">
        <f>IFERROR(__xludf.DUMMYFUNCTION("""COMPUTED_VALUE"""),"CRV")</f>
        <v>CRV</v>
      </c>
      <c r="C1937" s="120" t="str">
        <f>IFERROR(__xludf.DUMMYFUNCTION("""COMPUTED_VALUE"""),"Crotone")</f>
        <v>Crotone</v>
      </c>
      <c r="D1937" s="120" t="str">
        <f>IFERROR(__xludf.DUMMYFUNCTION("""COMPUTED_VALUE"""),"Italy")</f>
        <v>Italy</v>
      </c>
      <c r="E1937" s="135"/>
      <c r="F1937" s="31"/>
    </row>
    <row r="1938">
      <c r="A1938" s="134" t="str">
        <f>IFERROR(__xludf.DUMMYFUNCTION("""COMPUTED_VALUE"""),"Crows Landing")</f>
        <v>Crows Landing</v>
      </c>
      <c r="B1938" s="120" t="str">
        <f>IFERROR(__xludf.DUMMYFUNCTION("""COMPUTED_VALUE"""),"NRC")</f>
        <v>NRC</v>
      </c>
      <c r="C1938" s="120" t="str">
        <f>IFERROR(__xludf.DUMMYFUNCTION("""COMPUTED_VALUE"""),"Aux Field")</f>
        <v>Aux Field</v>
      </c>
      <c r="D1938" s="120" t="str">
        <f>IFERROR(__xludf.DUMMYFUNCTION("""COMPUTED_VALUE"""),"United States")</f>
        <v>United States</v>
      </c>
      <c r="E1938" s="135"/>
      <c r="F1938" s="31"/>
    </row>
    <row r="1939">
      <c r="A1939" s="134" t="str">
        <f>IFERROR(__xludf.DUMMYFUNCTION("""COMPUTED_VALUE"""),"Croydon")</f>
        <v>Croydon</v>
      </c>
      <c r="B1939" s="120" t="str">
        <f>IFERROR(__xludf.DUMMYFUNCTION("""COMPUTED_VALUE"""),"CDQ")</f>
        <v>CDQ</v>
      </c>
      <c r="C1939" s="120" t="str">
        <f>IFERROR(__xludf.DUMMYFUNCTION("""COMPUTED_VALUE"""),"Croydon")</f>
        <v>Croydon</v>
      </c>
      <c r="D1939" s="120" t="str">
        <f>IFERROR(__xludf.DUMMYFUNCTION("""COMPUTED_VALUE"""),"Australia")</f>
        <v>Australia</v>
      </c>
      <c r="E1939" s="135"/>
      <c r="F1939" s="31"/>
    </row>
    <row r="1940">
      <c r="A1940" s="134" t="str">
        <f>IFERROR(__xludf.DUMMYFUNCTION("""COMPUTED_VALUE"""),"Cruz Alta")</f>
        <v>Cruz Alta</v>
      </c>
      <c r="B1940" s="120" t="str">
        <f>IFERROR(__xludf.DUMMYFUNCTION("""COMPUTED_VALUE"""),"CZB")</f>
        <v>CZB</v>
      </c>
      <c r="C1940" s="120" t="str">
        <f>IFERROR(__xludf.DUMMYFUNCTION("""COMPUTED_VALUE"""),"Carlos Ruhl")</f>
        <v>Carlos Ruhl</v>
      </c>
      <c r="D1940" s="120" t="str">
        <f>IFERROR(__xludf.DUMMYFUNCTION("""COMPUTED_VALUE"""),"Brazil")</f>
        <v>Brazil</v>
      </c>
      <c r="E1940" s="135"/>
      <c r="F1940" s="31"/>
    </row>
    <row r="1941">
      <c r="A1941" s="134" t="str">
        <f>IFERROR(__xludf.DUMMYFUNCTION("""COMPUTED_VALUE"""),"Cruzeiro Do Sul")</f>
        <v>Cruzeiro Do Sul</v>
      </c>
      <c r="B1941" s="120" t="str">
        <f>IFERROR(__xludf.DUMMYFUNCTION("""COMPUTED_VALUE"""),"CZS")</f>
        <v>CZS</v>
      </c>
      <c r="C1941" s="120" t="str">
        <f>IFERROR(__xludf.DUMMYFUNCTION("""COMPUTED_VALUE"""),"Campo Internacional")</f>
        <v>Campo Internacional</v>
      </c>
      <c r="D1941" s="120" t="str">
        <f>IFERROR(__xludf.DUMMYFUNCTION("""COMPUTED_VALUE"""),"Brazil")</f>
        <v>Brazil</v>
      </c>
      <c r="E1941" s="135"/>
      <c r="F1941" s="31"/>
    </row>
    <row r="1942">
      <c r="A1942" s="134" t="str">
        <f>IFERROR(__xludf.DUMMYFUNCTION("""COMPUTED_VALUE"""),"Crystal Lake")</f>
        <v>Crystal Lake</v>
      </c>
      <c r="B1942" s="120" t="str">
        <f>IFERROR(__xludf.DUMMYFUNCTION("""COMPUTED_VALUE"""),"CYE")</f>
        <v>CYE</v>
      </c>
      <c r="C1942" s="120" t="str">
        <f>IFERROR(__xludf.DUMMYFUNCTION("""COMPUTED_VALUE"""),"Crystal Lake")</f>
        <v>Crystal Lake</v>
      </c>
      <c r="D1942" s="120" t="str">
        <f>IFERROR(__xludf.DUMMYFUNCTION("""COMPUTED_VALUE"""),"United States")</f>
        <v>United States</v>
      </c>
      <c r="E1942" s="135"/>
      <c r="F1942" s="31"/>
    </row>
    <row r="1943">
      <c r="A1943" s="134" t="str">
        <f>IFERROR(__xludf.DUMMYFUNCTION("""COMPUTED_VALUE"""),"Cuamba")</f>
        <v>Cuamba</v>
      </c>
      <c r="B1943" s="120" t="str">
        <f>IFERROR(__xludf.DUMMYFUNCTION("""COMPUTED_VALUE"""),"FXO")</f>
        <v>FXO</v>
      </c>
      <c r="C1943" s="120" t="str">
        <f>IFERROR(__xludf.DUMMYFUNCTION("""COMPUTED_VALUE"""),"Cuamba")</f>
        <v>Cuamba</v>
      </c>
      <c r="D1943" s="120" t="str">
        <f>IFERROR(__xludf.DUMMYFUNCTION("""COMPUTED_VALUE"""),"Mozambique")</f>
        <v>Mozambique</v>
      </c>
      <c r="E1943" s="135"/>
      <c r="F1943" s="31"/>
    </row>
    <row r="1944">
      <c r="A1944" s="134" t="str">
        <f>IFERROR(__xludf.DUMMYFUNCTION("""COMPUTED_VALUE"""),"Cube Cove")</f>
        <v>Cube Cove</v>
      </c>
      <c r="B1944" s="120" t="str">
        <f>IFERROR(__xludf.DUMMYFUNCTION("""COMPUTED_VALUE"""),"CUW")</f>
        <v>CUW</v>
      </c>
      <c r="C1944" s="120" t="str">
        <f>IFERROR(__xludf.DUMMYFUNCTION("""COMPUTED_VALUE"""),"Cube Cove")</f>
        <v>Cube Cove</v>
      </c>
      <c r="D1944" s="120" t="str">
        <f>IFERROR(__xludf.DUMMYFUNCTION("""COMPUTED_VALUE"""),"United States")</f>
        <v>United States</v>
      </c>
      <c r="E1944" s="135"/>
      <c r="F1944" s="31"/>
    </row>
    <row r="1945">
      <c r="A1945" s="134" t="str">
        <f>IFERROR(__xludf.DUMMYFUNCTION("""COMPUTED_VALUE"""),"Cucuta")</f>
        <v>Cucuta</v>
      </c>
      <c r="B1945" s="120" t="str">
        <f>IFERROR(__xludf.DUMMYFUNCTION("""COMPUTED_VALUE"""),"CUC")</f>
        <v>CUC</v>
      </c>
      <c r="C1945" s="120" t="str">
        <f>IFERROR(__xludf.DUMMYFUNCTION("""COMPUTED_VALUE"""),"Camilo Dazo")</f>
        <v>Camilo Dazo</v>
      </c>
      <c r="D1945" s="120" t="str">
        <f>IFERROR(__xludf.DUMMYFUNCTION("""COMPUTED_VALUE"""),"Colombia")</f>
        <v>Colombia</v>
      </c>
      <c r="E1945" s="135"/>
      <c r="F1945" s="31"/>
    </row>
    <row r="1946">
      <c r="A1946" s="134" t="str">
        <f>IFERROR(__xludf.DUMMYFUNCTION("""COMPUTED_VALUE"""),"Cudal")</f>
        <v>Cudal</v>
      </c>
      <c r="B1946" s="120" t="str">
        <f>IFERROR(__xludf.DUMMYFUNCTION("""COMPUTED_VALUE"""),"CUG")</f>
        <v>CUG</v>
      </c>
      <c r="C1946" s="120" t="str">
        <f>IFERROR(__xludf.DUMMYFUNCTION("""COMPUTED_VALUE"""),"Cudal")</f>
        <v>Cudal</v>
      </c>
      <c r="D1946" s="120" t="str">
        <f>IFERROR(__xludf.DUMMYFUNCTION("""COMPUTED_VALUE"""),"Australia")</f>
        <v>Australia</v>
      </c>
      <c r="E1946" s="135"/>
      <c r="F1946" s="31"/>
    </row>
    <row r="1947">
      <c r="A1947" s="134" t="str">
        <f>IFERROR(__xludf.DUMMYFUNCTION("""COMPUTED_VALUE"""),"Cuddapah")</f>
        <v>Cuddapah</v>
      </c>
      <c r="B1947" s="120" t="str">
        <f>IFERROR(__xludf.DUMMYFUNCTION("""COMPUTED_VALUE"""),"CDP")</f>
        <v>CDP</v>
      </c>
      <c r="C1947" s="120" t="str">
        <f>IFERROR(__xludf.DUMMYFUNCTION("""COMPUTED_VALUE"""),"Cuddapah")</f>
        <v>Cuddapah</v>
      </c>
      <c r="D1947" s="120" t="str">
        <f>IFERROR(__xludf.DUMMYFUNCTION("""COMPUTED_VALUE"""),"India")</f>
        <v>India</v>
      </c>
      <c r="E1947" s="135"/>
      <c r="F1947" s="31"/>
    </row>
    <row r="1948">
      <c r="A1948" s="134" t="str">
        <f>IFERROR(__xludf.DUMMYFUNCTION("""COMPUTED_VALUE"""),"Cue")</f>
        <v>Cue</v>
      </c>
      <c r="B1948" s="120" t="str">
        <f>IFERROR(__xludf.DUMMYFUNCTION("""COMPUTED_VALUE"""),"CUY")</f>
        <v>CUY</v>
      </c>
      <c r="C1948" s="120" t="str">
        <f>IFERROR(__xludf.DUMMYFUNCTION("""COMPUTED_VALUE"""),"Cue")</f>
        <v>Cue</v>
      </c>
      <c r="D1948" s="120" t="str">
        <f>IFERROR(__xludf.DUMMYFUNCTION("""COMPUTED_VALUE"""),"Australia")</f>
        <v>Australia</v>
      </c>
      <c r="E1948" s="135"/>
      <c r="F1948" s="31"/>
    </row>
    <row r="1949">
      <c r="A1949" s="134" t="str">
        <f>IFERROR(__xludf.DUMMYFUNCTION("""COMPUTED_VALUE"""),"Cuenca")</f>
        <v>Cuenca</v>
      </c>
      <c r="B1949" s="120" t="str">
        <f>IFERROR(__xludf.DUMMYFUNCTION("""COMPUTED_VALUE"""),"CUE")</f>
        <v>CUE</v>
      </c>
      <c r="C1949" s="120" t="str">
        <f>IFERROR(__xludf.DUMMYFUNCTION("""COMPUTED_VALUE"""),"Cuenca")</f>
        <v>Cuenca</v>
      </c>
      <c r="D1949" s="120" t="str">
        <f>IFERROR(__xludf.DUMMYFUNCTION("""COMPUTED_VALUE"""),"Ecuador")</f>
        <v>Ecuador</v>
      </c>
      <c r="E1949" s="135"/>
      <c r="F1949" s="31"/>
    </row>
    <row r="1950">
      <c r="A1950" s="134" t="str">
        <f>IFERROR(__xludf.DUMMYFUNCTION("""COMPUTED_VALUE"""),"Cuernavaca")</f>
        <v>Cuernavaca</v>
      </c>
      <c r="B1950" s="120" t="str">
        <f>IFERROR(__xludf.DUMMYFUNCTION("""COMPUTED_VALUE"""),"CVJ")</f>
        <v>CVJ</v>
      </c>
      <c r="C1950" s="120" t="str">
        <f>IFERROR(__xludf.DUMMYFUNCTION("""COMPUTED_VALUE"""),"General Mariano Matamoros Airport")</f>
        <v>General Mariano Matamoros Airport</v>
      </c>
      <c r="D1950" s="120" t="str">
        <f>IFERROR(__xludf.DUMMYFUNCTION("""COMPUTED_VALUE"""),"Mexico")</f>
        <v>Mexico</v>
      </c>
      <c r="E1950" s="135"/>
      <c r="F1950" s="31"/>
    </row>
    <row r="1951">
      <c r="A1951" s="134" t="str">
        <f>IFERROR(__xludf.DUMMYFUNCTION("""COMPUTED_VALUE"""),"Cuiaba")</f>
        <v>Cuiaba</v>
      </c>
      <c r="B1951" s="120" t="str">
        <f>IFERROR(__xludf.DUMMYFUNCTION("""COMPUTED_VALUE"""),"CGB")</f>
        <v>CGB</v>
      </c>
      <c r="C1951" s="120" t="str">
        <f>IFERROR(__xludf.DUMMYFUNCTION("""COMPUTED_VALUE"""),"M. Rondon")</f>
        <v>M. Rondon</v>
      </c>
      <c r="D1951" s="120" t="str">
        <f>IFERROR(__xludf.DUMMYFUNCTION("""COMPUTED_VALUE"""),"Brazil")</f>
        <v>Brazil</v>
      </c>
      <c r="E1951" s="135"/>
      <c r="F1951" s="31"/>
    </row>
    <row r="1952">
      <c r="A1952" s="134" t="str">
        <f>IFERROR(__xludf.DUMMYFUNCTION("""COMPUTED_VALUE"""),"Cuito Cuanavale")</f>
        <v>Cuito Cuanavale</v>
      </c>
      <c r="B1952" s="120" t="str">
        <f>IFERROR(__xludf.DUMMYFUNCTION("""COMPUTED_VALUE"""),"CTI")</f>
        <v>CTI</v>
      </c>
      <c r="C1952" s="120" t="str">
        <f>IFERROR(__xludf.DUMMYFUNCTION("""COMPUTED_VALUE"""),"Cuito Cuanavale")</f>
        <v>Cuito Cuanavale</v>
      </c>
      <c r="D1952" s="120" t="str">
        <f>IFERROR(__xludf.DUMMYFUNCTION("""COMPUTED_VALUE"""),"Angola")</f>
        <v>Angola</v>
      </c>
      <c r="E1952" s="135"/>
      <c r="F1952" s="31"/>
    </row>
    <row r="1953">
      <c r="A1953" s="134" t="str">
        <f>IFERROR(__xludf.DUMMYFUNCTION("""COMPUTED_VALUE"""),"Culebra")</f>
        <v>Culebra</v>
      </c>
      <c r="B1953" s="120" t="str">
        <f>IFERROR(__xludf.DUMMYFUNCTION("""COMPUTED_VALUE"""),"CPX")</f>
        <v>CPX</v>
      </c>
      <c r="C1953" s="120" t="str">
        <f>IFERROR(__xludf.DUMMYFUNCTION("""COMPUTED_VALUE"""),"Culebra")</f>
        <v>Culebra</v>
      </c>
      <c r="D1953" s="120" t="str">
        <f>IFERROR(__xludf.DUMMYFUNCTION("""COMPUTED_VALUE"""),"Puerto Rico")</f>
        <v>Puerto Rico</v>
      </c>
      <c r="E1953" s="135"/>
      <c r="F1953" s="31"/>
    </row>
    <row r="1954">
      <c r="A1954" s="134" t="str">
        <f>IFERROR(__xludf.DUMMYFUNCTION("""COMPUTED_VALUE"""),"Culiacan")</f>
        <v>Culiacan</v>
      </c>
      <c r="B1954" s="120" t="str">
        <f>IFERROR(__xludf.DUMMYFUNCTION("""COMPUTED_VALUE"""),"CUL")</f>
        <v>CUL</v>
      </c>
      <c r="C1954" s="120" t="str">
        <f>IFERROR(__xludf.DUMMYFUNCTION("""COMPUTED_VALUE"""),"Fedl De Bachigualato")</f>
        <v>Fedl De Bachigualato</v>
      </c>
      <c r="D1954" s="120" t="str">
        <f>IFERROR(__xludf.DUMMYFUNCTION("""COMPUTED_VALUE"""),"Mexico")</f>
        <v>Mexico</v>
      </c>
      <c r="E1954" s="135"/>
      <c r="F1954" s="31"/>
    </row>
    <row r="1955">
      <c r="A1955" s="134" t="str">
        <f>IFERROR(__xludf.DUMMYFUNCTION("""COMPUTED_VALUE"""),"Culion")</f>
        <v>Culion</v>
      </c>
      <c r="B1955" s="120" t="str">
        <f>IFERROR(__xludf.DUMMYFUNCTION("""COMPUTED_VALUE"""),"CUJ")</f>
        <v>CUJ</v>
      </c>
      <c r="C1955" s="120" t="str">
        <f>IFERROR(__xludf.DUMMYFUNCTION("""COMPUTED_VALUE"""),"Culion")</f>
        <v>Culion</v>
      </c>
      <c r="D1955" s="120" t="str">
        <f>IFERROR(__xludf.DUMMYFUNCTION("""COMPUTED_VALUE"""),"Philippines")</f>
        <v>Philippines</v>
      </c>
      <c r="E1955" s="135"/>
      <c r="F1955" s="31"/>
    </row>
    <row r="1956">
      <c r="A1956" s="134" t="str">
        <f>IFERROR(__xludf.DUMMYFUNCTION("""COMPUTED_VALUE"""),"Culver City")</f>
        <v>Culver City</v>
      </c>
      <c r="B1956" s="120" t="str">
        <f>IFERROR(__xludf.DUMMYFUNCTION("""COMPUTED_VALUE"""),"CVR")</f>
        <v>CVR</v>
      </c>
      <c r="C1956" s="120" t="str">
        <f>IFERROR(__xludf.DUMMYFUNCTION("""COMPUTED_VALUE"""),"Hughes")</f>
        <v>Hughes</v>
      </c>
      <c r="D1956" s="120" t="str">
        <f>IFERROR(__xludf.DUMMYFUNCTION("""COMPUTED_VALUE"""),"United States")</f>
        <v>United States</v>
      </c>
      <c r="E1956" s="135"/>
      <c r="F1956" s="31"/>
    </row>
    <row r="1957">
      <c r="A1957" s="134" t="str">
        <f>IFERROR(__xludf.DUMMYFUNCTION("""COMPUTED_VALUE"""),"Cumana")</f>
        <v>Cumana</v>
      </c>
      <c r="B1957" s="120" t="str">
        <f>IFERROR(__xludf.DUMMYFUNCTION("""COMPUTED_VALUE"""),"CUM")</f>
        <v>CUM</v>
      </c>
      <c r="C1957" s="120" t="str">
        <f>IFERROR(__xludf.DUMMYFUNCTION("""COMPUTED_VALUE"""),"Cumana")</f>
        <v>Cumana</v>
      </c>
      <c r="D1957" s="120" t="str">
        <f>IFERROR(__xludf.DUMMYFUNCTION("""COMPUTED_VALUE"""),"Venezuela")</f>
        <v>Venezuela</v>
      </c>
      <c r="E1957" s="135"/>
      <c r="F1957" s="31"/>
    </row>
    <row r="1958">
      <c r="A1958" s="134" t="str">
        <f>IFERROR(__xludf.DUMMYFUNCTION("""COMPUTED_VALUE"""),"Cumberland")</f>
        <v>Cumberland</v>
      </c>
      <c r="B1958" s="120" t="str">
        <f>IFERROR(__xludf.DUMMYFUNCTION("""COMPUTED_VALUE"""),"CBE")</f>
        <v>CBE</v>
      </c>
      <c r="C1958" s="120" t="str">
        <f>IFERROR(__xludf.DUMMYFUNCTION("""COMPUTED_VALUE"""),"Wiley Ford")</f>
        <v>Wiley Ford</v>
      </c>
      <c r="D1958" s="120" t="str">
        <f>IFERROR(__xludf.DUMMYFUNCTION("""COMPUTED_VALUE"""),"United States")</f>
        <v>United States</v>
      </c>
      <c r="E1958" s="135"/>
      <c r="F1958" s="31"/>
    </row>
    <row r="1959">
      <c r="A1959" s="134" t="str">
        <f>IFERROR(__xludf.DUMMYFUNCTION("""COMPUTED_VALUE"""),"Cuneo")</f>
        <v>Cuneo</v>
      </c>
      <c r="B1959" s="120" t="str">
        <f>IFERROR(__xludf.DUMMYFUNCTION("""COMPUTED_VALUE"""),"CUF")</f>
        <v>CUF</v>
      </c>
      <c r="C1959" s="120" t="str">
        <f>IFERROR(__xludf.DUMMYFUNCTION("""COMPUTED_VALUE"""),"Levaldigi")</f>
        <v>Levaldigi</v>
      </c>
      <c r="D1959" s="120" t="str">
        <f>IFERROR(__xludf.DUMMYFUNCTION("""COMPUTED_VALUE"""),"Italy")</f>
        <v>Italy</v>
      </c>
      <c r="E1959" s="135"/>
      <c r="F1959" s="31"/>
    </row>
    <row r="1960">
      <c r="A1960" s="134" t="str">
        <f>IFERROR(__xludf.DUMMYFUNCTION("""COMPUTED_VALUE"""),"Cunnamulla")</f>
        <v>Cunnamulla</v>
      </c>
      <c r="B1960" s="120" t="str">
        <f>IFERROR(__xludf.DUMMYFUNCTION("""COMPUTED_VALUE"""),"CMA")</f>
        <v>CMA</v>
      </c>
      <c r="C1960" s="120" t="str">
        <f>IFERROR(__xludf.DUMMYFUNCTION("""COMPUTED_VALUE"""),"Cunnamulla")</f>
        <v>Cunnamulla</v>
      </c>
      <c r="D1960" s="120" t="str">
        <f>IFERROR(__xludf.DUMMYFUNCTION("""COMPUTED_VALUE"""),"Australia")</f>
        <v>Australia</v>
      </c>
      <c r="E1960" s="135"/>
      <c r="F1960" s="31"/>
    </row>
    <row r="1961">
      <c r="A1961" s="134" t="str">
        <f>IFERROR(__xludf.DUMMYFUNCTION("""COMPUTED_VALUE"""),"Curacao")</f>
        <v>Curacao</v>
      </c>
      <c r="B1961" s="120" t="str">
        <f>IFERROR(__xludf.DUMMYFUNCTION("""COMPUTED_VALUE"""),"CUR")</f>
        <v>CUR</v>
      </c>
      <c r="C1961" s="120" t="str">
        <f>IFERROR(__xludf.DUMMYFUNCTION("""COMPUTED_VALUE"""),"Hato International Airport")</f>
        <v>Hato International Airport</v>
      </c>
      <c r="D1961" s="120" t="str">
        <f>IFERROR(__xludf.DUMMYFUNCTION("""COMPUTED_VALUE"""),"Netherlands Antilles")</f>
        <v>Netherlands Antilles</v>
      </c>
      <c r="E1961" s="135"/>
      <c r="F1961" s="31"/>
    </row>
    <row r="1962">
      <c r="A1962" s="134" t="str">
        <f>IFERROR(__xludf.DUMMYFUNCTION("""COMPUTED_VALUE"""),"Curitiba")</f>
        <v>Curitiba</v>
      </c>
      <c r="B1962" s="120" t="str">
        <f>IFERROR(__xludf.DUMMYFUNCTION("""COMPUTED_VALUE"""),"CWB")</f>
        <v>CWB</v>
      </c>
      <c r="C1962" s="120" t="str">
        <f>IFERROR(__xludf.DUMMYFUNCTION("""COMPUTED_VALUE"""),"Afonso Pena International Airport")</f>
        <v>Afonso Pena International Airport</v>
      </c>
      <c r="D1962" s="120" t="str">
        <f>IFERROR(__xludf.DUMMYFUNCTION("""COMPUTED_VALUE"""),"Brazil")</f>
        <v>Brazil</v>
      </c>
      <c r="E1962" s="135"/>
      <c r="F1962" s="31"/>
    </row>
    <row r="1963">
      <c r="A1963" s="134" t="str">
        <f>IFERROR(__xludf.DUMMYFUNCTION("""COMPUTED_VALUE"""),"Curitiba.")</f>
        <v>Curitiba.</v>
      </c>
      <c r="B1963" s="120" t="str">
        <f>IFERROR(__xludf.DUMMYFUNCTION("""COMPUTED_VALUE"""),"BFH")</f>
        <v>BFH</v>
      </c>
      <c r="C1963" s="120" t="str">
        <f>IFERROR(__xludf.DUMMYFUNCTION("""COMPUTED_VALUE"""),"Bacacheri")</f>
        <v>Bacacheri</v>
      </c>
      <c r="D1963" s="120" t="str">
        <f>IFERROR(__xludf.DUMMYFUNCTION("""COMPUTED_VALUE"""),"Brazil")</f>
        <v>Brazil</v>
      </c>
      <c r="E1963" s="135"/>
      <c r="F1963" s="31"/>
    </row>
    <row r="1964">
      <c r="A1964" s="134" t="str">
        <f>IFERROR(__xludf.DUMMYFUNCTION("""COMPUTED_VALUE"""),"Currillo")</f>
        <v>Currillo</v>
      </c>
      <c r="B1964" s="120" t="str">
        <f>IFERROR(__xludf.DUMMYFUNCTION("""COMPUTED_VALUE"""),"CUI")</f>
        <v>CUI</v>
      </c>
      <c r="C1964" s="120" t="str">
        <f>IFERROR(__xludf.DUMMYFUNCTION("""COMPUTED_VALUE"""),"Currillo")</f>
        <v>Currillo</v>
      </c>
      <c r="D1964" s="120" t="str">
        <f>IFERROR(__xludf.DUMMYFUNCTION("""COMPUTED_VALUE"""),"Colombia")</f>
        <v>Colombia</v>
      </c>
      <c r="E1964" s="135"/>
      <c r="F1964" s="31"/>
    </row>
    <row r="1965">
      <c r="A1965" s="134" t="str">
        <f>IFERROR(__xludf.DUMMYFUNCTION("""COMPUTED_VALUE"""),"Cururupu")</f>
        <v>Cururupu</v>
      </c>
      <c r="B1965" s="120" t="str">
        <f>IFERROR(__xludf.DUMMYFUNCTION("""COMPUTED_VALUE"""),"CPU")</f>
        <v>CPU</v>
      </c>
      <c r="C1965" s="120" t="str">
        <f>IFERROR(__xludf.DUMMYFUNCTION("""COMPUTED_VALUE"""),"Cururupu")</f>
        <v>Cururupu</v>
      </c>
      <c r="D1965" s="120" t="str">
        <f>IFERROR(__xludf.DUMMYFUNCTION("""COMPUTED_VALUE"""),"Brazil")</f>
        <v>Brazil</v>
      </c>
      <c r="E1965" s="135"/>
      <c r="F1965" s="31"/>
    </row>
    <row r="1966">
      <c r="A1966" s="134" t="str">
        <f>IFERROR(__xludf.DUMMYFUNCTION("""COMPUTED_VALUE"""),"Curuzu Cuatia")</f>
        <v>Curuzu Cuatia</v>
      </c>
      <c r="B1966" s="120" t="str">
        <f>IFERROR(__xludf.DUMMYFUNCTION("""COMPUTED_VALUE"""),"UZU")</f>
        <v>UZU</v>
      </c>
      <c r="C1966" s="120" t="str">
        <f>IFERROR(__xludf.DUMMYFUNCTION("""COMPUTED_VALUE"""),"Curuzu Cuatia")</f>
        <v>Curuzu Cuatia</v>
      </c>
      <c r="D1966" s="120" t="str">
        <f>IFERROR(__xludf.DUMMYFUNCTION("""COMPUTED_VALUE"""),"Argentina")</f>
        <v>Argentina</v>
      </c>
      <c r="E1966" s="135"/>
      <c r="F1966" s="31"/>
    </row>
    <row r="1967">
      <c r="A1967" s="134" t="str">
        <f>IFERROR(__xludf.DUMMYFUNCTION("""COMPUTED_VALUE"""),"Cushing")</f>
        <v>Cushing</v>
      </c>
      <c r="B1967" s="120" t="str">
        <f>IFERROR(__xludf.DUMMYFUNCTION("""COMPUTED_VALUE"""),"CUH")</f>
        <v>CUH</v>
      </c>
      <c r="C1967" s="120" t="str">
        <f>IFERROR(__xludf.DUMMYFUNCTION("""COMPUTED_VALUE"""),"Municipal")</f>
        <v>Municipal</v>
      </c>
      <c r="D1967" s="120" t="str">
        <f>IFERROR(__xludf.DUMMYFUNCTION("""COMPUTED_VALUE"""),"United States")</f>
        <v>United States</v>
      </c>
      <c r="E1967" s="135"/>
      <c r="F1967" s="31"/>
    </row>
    <row r="1968">
      <c r="A1968" s="134" t="str">
        <f>IFERROR(__xludf.DUMMYFUNCTION("""COMPUTED_VALUE"""),"Cut Bank")</f>
        <v>Cut Bank</v>
      </c>
      <c r="B1968" s="120" t="str">
        <f>IFERROR(__xludf.DUMMYFUNCTION("""COMPUTED_VALUE"""),"CTB")</f>
        <v>CTB</v>
      </c>
      <c r="C1968" s="120" t="str">
        <f>IFERROR(__xludf.DUMMYFUNCTION("""COMPUTED_VALUE"""),"Cut Bank")</f>
        <v>Cut Bank</v>
      </c>
      <c r="D1968" s="120" t="str">
        <f>IFERROR(__xludf.DUMMYFUNCTION("""COMPUTED_VALUE"""),"United States")</f>
        <v>United States</v>
      </c>
      <c r="E1968" s="135"/>
      <c r="F1968" s="31"/>
    </row>
    <row r="1969">
      <c r="A1969" s="134" t="str">
        <f>IFERROR(__xludf.DUMMYFUNCTION("""COMPUTED_VALUE"""),"Cutral")</f>
        <v>Cutral</v>
      </c>
      <c r="B1969" s="120" t="str">
        <f>IFERROR(__xludf.DUMMYFUNCTION("""COMPUTED_VALUE"""),"CUT")</f>
        <v>CUT</v>
      </c>
      <c r="C1969" s="120" t="str">
        <f>IFERROR(__xludf.DUMMYFUNCTION("""COMPUTED_VALUE"""),"Cutral")</f>
        <v>Cutral</v>
      </c>
      <c r="D1969" s="120" t="str">
        <f>IFERROR(__xludf.DUMMYFUNCTION("""COMPUTED_VALUE"""),"Argentina")</f>
        <v>Argentina</v>
      </c>
      <c r="E1969" s="135"/>
      <c r="F1969" s="31"/>
    </row>
    <row r="1970">
      <c r="A1970" s="134" t="str">
        <f>IFERROR(__xludf.DUMMYFUNCTION("""COMPUTED_VALUE"""),"Cuxhaven")</f>
        <v>Cuxhaven</v>
      </c>
      <c r="B1970" s="120" t="str">
        <f>IFERROR(__xludf.DUMMYFUNCTION("""COMPUTED_VALUE"""),"FCN")</f>
        <v>FCN</v>
      </c>
      <c r="C1970" s="120" t="str">
        <f>IFERROR(__xludf.DUMMYFUNCTION("""COMPUTED_VALUE"""),"Cuxhaven/Nordholz")</f>
        <v>Cuxhaven/Nordholz</v>
      </c>
      <c r="D1970" s="120" t="str">
        <f>IFERROR(__xludf.DUMMYFUNCTION("""COMPUTED_VALUE"""),"Germany")</f>
        <v>Germany</v>
      </c>
      <c r="E1970" s="135"/>
      <c r="F1970" s="31"/>
    </row>
    <row r="1971">
      <c r="A1971" s="134" t="str">
        <f>IFERROR(__xludf.DUMMYFUNCTION("""COMPUTED_VALUE"""),"Cuyo")</f>
        <v>Cuyo</v>
      </c>
      <c r="B1971" s="120" t="str">
        <f>IFERROR(__xludf.DUMMYFUNCTION("""COMPUTED_VALUE"""),"CYU")</f>
        <v>CYU</v>
      </c>
      <c r="C1971" s="120" t="str">
        <f>IFERROR(__xludf.DUMMYFUNCTION("""COMPUTED_VALUE"""),"Cuyo")</f>
        <v>Cuyo</v>
      </c>
      <c r="D1971" s="120" t="str">
        <f>IFERROR(__xludf.DUMMYFUNCTION("""COMPUTED_VALUE"""),"Philippines")</f>
        <v>Philippines</v>
      </c>
      <c r="E1971" s="135"/>
      <c r="F1971" s="31"/>
    </row>
    <row r="1972">
      <c r="A1972" s="134" t="str">
        <f>IFERROR(__xludf.DUMMYFUNCTION("""COMPUTED_VALUE"""),"Cuzco")</f>
        <v>Cuzco</v>
      </c>
      <c r="B1972" s="120" t="str">
        <f>IFERROR(__xludf.DUMMYFUNCTION("""COMPUTED_VALUE"""),"CUZ")</f>
        <v>CUZ</v>
      </c>
      <c r="C1972" s="120" t="str">
        <f>IFERROR(__xludf.DUMMYFUNCTION("""COMPUTED_VALUE"""),"Velazco Astete")</f>
        <v>Velazco Astete</v>
      </c>
      <c r="D1972" s="120" t="str">
        <f>IFERROR(__xludf.DUMMYFUNCTION("""COMPUTED_VALUE"""),"Peru")</f>
        <v>Peru</v>
      </c>
      <c r="E1972" s="135"/>
      <c r="F1972" s="31"/>
    </row>
    <row r="1973">
      <c r="A1973" s="134" t="str">
        <f>IFERROR(__xludf.DUMMYFUNCTION("""COMPUTED_VALUE"""),"Czestochowa")</f>
        <v>Czestochowa</v>
      </c>
      <c r="B1973" s="120" t="str">
        <f>IFERROR(__xludf.DUMMYFUNCTION("""COMPUTED_VALUE"""),"CZW")</f>
        <v>CZW</v>
      </c>
      <c r="C1973" s="120" t="str">
        <f>IFERROR(__xludf.DUMMYFUNCTION("""COMPUTED_VALUE"""),"Czestochowa")</f>
        <v>Czestochowa</v>
      </c>
      <c r="D1973" s="120" t="str">
        <f>IFERROR(__xludf.DUMMYFUNCTION("""COMPUTED_VALUE"""),"Poland")</f>
        <v>Poland</v>
      </c>
      <c r="E1973" s="135"/>
      <c r="F1973" s="31"/>
    </row>
    <row r="1974">
      <c r="A1974" s="134" t="str">
        <f>IFERROR(__xludf.DUMMYFUNCTION("""COMPUTED_VALUE"""),"Da Nang")</f>
        <v>Da Nang</v>
      </c>
      <c r="B1974" s="120" t="str">
        <f>IFERROR(__xludf.DUMMYFUNCTION("""COMPUTED_VALUE"""),"DAD")</f>
        <v>DAD</v>
      </c>
      <c r="C1974" s="120" t="str">
        <f>IFERROR(__xludf.DUMMYFUNCTION("""COMPUTED_VALUE"""),"Da Nang")</f>
        <v>Da Nang</v>
      </c>
      <c r="D1974" s="120" t="str">
        <f>IFERROR(__xludf.DUMMYFUNCTION("""COMPUTED_VALUE"""),"Vietnam")</f>
        <v>Vietnam</v>
      </c>
      <c r="E1974" s="135"/>
      <c r="F1974" s="31"/>
    </row>
    <row r="1975">
      <c r="A1975" s="134" t="str">
        <f>IFERROR(__xludf.DUMMYFUNCTION("""COMPUTED_VALUE"""),"Dabaa City")</f>
        <v>Dabaa City</v>
      </c>
      <c r="B1975" s="120" t="str">
        <f>IFERROR(__xludf.DUMMYFUNCTION("""COMPUTED_VALUE"""),"DBB")</f>
        <v>DBB</v>
      </c>
      <c r="C1975" s="120" t="str">
        <f>IFERROR(__xludf.DUMMYFUNCTION("""COMPUTED_VALUE"""),"Alalamain Intl.")</f>
        <v>Alalamain Intl.</v>
      </c>
      <c r="D1975" s="120" t="str">
        <f>IFERROR(__xludf.DUMMYFUNCTION("""COMPUTED_VALUE"""),"Egypt")</f>
        <v>Egypt</v>
      </c>
      <c r="E1975" s="135"/>
      <c r="F1975" s="31"/>
    </row>
    <row r="1976">
      <c r="A1976" s="134" t="str">
        <f>IFERROR(__xludf.DUMMYFUNCTION("""COMPUTED_VALUE"""),"Dabo")</f>
        <v>Dabo</v>
      </c>
      <c r="B1976" s="120" t="str">
        <f>IFERROR(__xludf.DUMMYFUNCTION("""COMPUTED_VALUE"""),"DAO")</f>
        <v>DAO</v>
      </c>
      <c r="C1976" s="120" t="str">
        <f>IFERROR(__xludf.DUMMYFUNCTION("""COMPUTED_VALUE"""),"Dabo")</f>
        <v>Dabo</v>
      </c>
      <c r="D1976" s="120" t="str">
        <f>IFERROR(__xludf.DUMMYFUNCTION("""COMPUTED_VALUE"""),"Papua New Guinea")</f>
        <v>Papua New Guinea</v>
      </c>
      <c r="E1976" s="135"/>
      <c r="F1976" s="31"/>
    </row>
    <row r="1977">
      <c r="A1977" s="134" t="str">
        <f>IFERROR(__xludf.DUMMYFUNCTION("""COMPUTED_VALUE"""),"Dabra")</f>
        <v>Dabra</v>
      </c>
      <c r="B1977" s="120" t="str">
        <f>IFERROR(__xludf.DUMMYFUNCTION("""COMPUTED_VALUE"""),"DRH")</f>
        <v>DRH</v>
      </c>
      <c r="C1977" s="120" t="str">
        <f>IFERROR(__xludf.DUMMYFUNCTION("""COMPUTED_VALUE"""),"Dabra")</f>
        <v>Dabra</v>
      </c>
      <c r="D1977" s="120" t="str">
        <f>IFERROR(__xludf.DUMMYFUNCTION("""COMPUTED_VALUE"""),"Indonesia")</f>
        <v>Indonesia</v>
      </c>
      <c r="E1977" s="135"/>
      <c r="F1977" s="31"/>
    </row>
    <row r="1978">
      <c r="A1978" s="134" t="str">
        <f>IFERROR(__xludf.DUMMYFUNCTION("""COMPUTED_VALUE"""),"Dadu")</f>
        <v>Dadu</v>
      </c>
      <c r="B1978" s="120" t="str">
        <f>IFERROR(__xludf.DUMMYFUNCTION("""COMPUTED_VALUE"""),"DDU")</f>
        <v>DDU</v>
      </c>
      <c r="C1978" s="120" t="str">
        <f>IFERROR(__xludf.DUMMYFUNCTION("""COMPUTED_VALUE"""),"Dadu")</f>
        <v>Dadu</v>
      </c>
      <c r="D1978" s="120" t="str">
        <f>IFERROR(__xludf.DUMMYFUNCTION("""COMPUTED_VALUE"""),"Pakistan")</f>
        <v>Pakistan</v>
      </c>
      <c r="E1978" s="135"/>
      <c r="F1978" s="31"/>
    </row>
    <row r="1979">
      <c r="A1979" s="134" t="str">
        <f>IFERROR(__xludf.DUMMYFUNCTION("""COMPUTED_VALUE"""),"Daegu")</f>
        <v>Daegu</v>
      </c>
      <c r="B1979" s="120" t="str">
        <f>IFERROR(__xludf.DUMMYFUNCTION("""COMPUTED_VALUE"""),"TAE")</f>
        <v>TAE</v>
      </c>
      <c r="C1979" s="120" t="str">
        <f>IFERROR(__xludf.DUMMYFUNCTION("""COMPUTED_VALUE"""),"Daegu")</f>
        <v>Daegu</v>
      </c>
      <c r="D1979" s="120" t="str">
        <f>IFERROR(__xludf.DUMMYFUNCTION("""COMPUTED_VALUE"""),"Korea (South)")</f>
        <v>Korea (South)</v>
      </c>
      <c r="E1979" s="135"/>
      <c r="F1979" s="31"/>
    </row>
    <row r="1980">
      <c r="A1980" s="134" t="str">
        <f>IFERROR(__xludf.DUMMYFUNCTION("""COMPUTED_VALUE"""),"Daet")</f>
        <v>Daet</v>
      </c>
      <c r="B1980" s="120" t="str">
        <f>IFERROR(__xludf.DUMMYFUNCTION("""COMPUTED_VALUE"""),"DTE")</f>
        <v>DTE</v>
      </c>
      <c r="C1980" s="120" t="str">
        <f>IFERROR(__xludf.DUMMYFUNCTION("""COMPUTED_VALUE"""),"Camarines Norte")</f>
        <v>Camarines Norte</v>
      </c>
      <c r="D1980" s="120" t="str">
        <f>IFERROR(__xludf.DUMMYFUNCTION("""COMPUTED_VALUE"""),"Philippines")</f>
        <v>Philippines</v>
      </c>
      <c r="E1980" s="135"/>
      <c r="F1980" s="31"/>
    </row>
    <row r="1981">
      <c r="A1981" s="134" t="str">
        <f>IFERROR(__xludf.DUMMYFUNCTION("""COMPUTED_VALUE"""),"Daggett")</f>
        <v>Daggett</v>
      </c>
      <c r="B1981" s="120" t="str">
        <f>IFERROR(__xludf.DUMMYFUNCTION("""COMPUTED_VALUE"""),"DAG")</f>
        <v>DAG</v>
      </c>
      <c r="C1981" s="120" t="str">
        <f>IFERROR(__xludf.DUMMYFUNCTION("""COMPUTED_VALUE"""),"Barstow-Daggett")</f>
        <v>Barstow-Daggett</v>
      </c>
      <c r="D1981" s="120" t="str">
        <f>IFERROR(__xludf.DUMMYFUNCTION("""COMPUTED_VALUE"""),"United States")</f>
        <v>United States</v>
      </c>
      <c r="E1981" s="135"/>
      <c r="F1981" s="31"/>
    </row>
    <row r="1982">
      <c r="A1982" s="134" t="str">
        <f>IFERROR(__xludf.DUMMYFUNCTION("""COMPUTED_VALUE"""),"Dahl Creek")</f>
        <v>Dahl Creek</v>
      </c>
      <c r="B1982" s="120" t="str">
        <f>IFERROR(__xludf.DUMMYFUNCTION("""COMPUTED_VALUE"""),"DCK")</f>
        <v>DCK</v>
      </c>
      <c r="C1982" s="120" t="str">
        <f>IFERROR(__xludf.DUMMYFUNCTION("""COMPUTED_VALUE"""),"Dahl Creek Arpt")</f>
        <v>Dahl Creek Arpt</v>
      </c>
      <c r="D1982" s="120" t="str">
        <f>IFERROR(__xludf.DUMMYFUNCTION("""COMPUTED_VALUE"""),"United States")</f>
        <v>United States</v>
      </c>
      <c r="E1982" s="135"/>
      <c r="F1982" s="31"/>
    </row>
    <row r="1983">
      <c r="A1983" s="134" t="str">
        <f>IFERROR(__xludf.DUMMYFUNCTION("""COMPUTED_VALUE"""),"Dahlgren")</f>
        <v>Dahlgren</v>
      </c>
      <c r="B1983" s="120" t="str">
        <f>IFERROR(__xludf.DUMMYFUNCTION("""COMPUTED_VALUE"""),"DGN")</f>
        <v>DGN</v>
      </c>
      <c r="C1983" s="120" t="str">
        <f>IFERROR(__xludf.DUMMYFUNCTION("""COMPUTED_VALUE"""),"NAF")</f>
        <v>NAF</v>
      </c>
      <c r="D1983" s="120" t="str">
        <f>IFERROR(__xludf.DUMMYFUNCTION("""COMPUTED_VALUE"""),"United States")</f>
        <v>United States</v>
      </c>
      <c r="E1983" s="135"/>
      <c r="F1983" s="31"/>
    </row>
    <row r="1984">
      <c r="A1984" s="134" t="str">
        <f>IFERROR(__xludf.DUMMYFUNCTION("""COMPUTED_VALUE"""),"Dakar")</f>
        <v>Dakar</v>
      </c>
      <c r="B1984" s="120" t="str">
        <f>IFERROR(__xludf.DUMMYFUNCTION("""COMPUTED_VALUE"""),"DKR")</f>
        <v>DKR</v>
      </c>
      <c r="C1984" s="120" t="str">
        <f>IFERROR(__xludf.DUMMYFUNCTION("""COMPUTED_VALUE"""),"Yoff")</f>
        <v>Yoff</v>
      </c>
      <c r="D1984" s="120" t="str">
        <f>IFERROR(__xludf.DUMMYFUNCTION("""COMPUTED_VALUE"""),"Senegal")</f>
        <v>Senegal</v>
      </c>
      <c r="E1984" s="135"/>
      <c r="F1984" s="31"/>
    </row>
    <row r="1985">
      <c r="A1985" s="134" t="str">
        <f>IFERROR(__xludf.DUMMYFUNCTION("""COMPUTED_VALUE"""),"Dakhla")</f>
        <v>Dakhla</v>
      </c>
      <c r="B1985" s="120" t="str">
        <f>IFERROR(__xludf.DUMMYFUNCTION("""COMPUTED_VALUE"""),"VIL")</f>
        <v>VIL</v>
      </c>
      <c r="C1985" s="120" t="str">
        <f>IFERROR(__xludf.DUMMYFUNCTION("""COMPUTED_VALUE"""),"Dakhla")</f>
        <v>Dakhla</v>
      </c>
      <c r="D1985" s="120" t="str">
        <f>IFERROR(__xludf.DUMMYFUNCTION("""COMPUTED_VALUE"""),"Morocco")</f>
        <v>Morocco</v>
      </c>
      <c r="E1985" s="135"/>
      <c r="F1985" s="31"/>
    </row>
    <row r="1986">
      <c r="A1986" s="134" t="str">
        <f>IFERROR(__xludf.DUMMYFUNCTION("""COMPUTED_VALUE"""),"Dakhla Oasis")</f>
        <v>Dakhla Oasis</v>
      </c>
      <c r="B1986" s="120" t="str">
        <f>IFERROR(__xludf.DUMMYFUNCTION("""COMPUTED_VALUE"""),"DAK")</f>
        <v>DAK</v>
      </c>
      <c r="C1986" s="120" t="str">
        <f>IFERROR(__xludf.DUMMYFUNCTION("""COMPUTED_VALUE"""),"Dakhla")</f>
        <v>Dakhla</v>
      </c>
      <c r="D1986" s="120" t="str">
        <f>IFERROR(__xludf.DUMMYFUNCTION("""COMPUTED_VALUE"""),"Egypt")</f>
        <v>Egypt</v>
      </c>
      <c r="E1986" s="135"/>
      <c r="F1986" s="31"/>
    </row>
    <row r="1987">
      <c r="A1987" s="134" t="str">
        <f>IFERROR(__xludf.DUMMYFUNCTION("""COMPUTED_VALUE"""),"Dalaman")</f>
        <v>Dalaman</v>
      </c>
      <c r="B1987" s="120" t="str">
        <f>IFERROR(__xludf.DUMMYFUNCTION("""COMPUTED_VALUE"""),"DLM")</f>
        <v>DLM</v>
      </c>
      <c r="C1987" s="120" t="str">
        <f>IFERROR(__xludf.DUMMYFUNCTION("""COMPUTED_VALUE"""),"Dalaman")</f>
        <v>Dalaman</v>
      </c>
      <c r="D1987" s="120" t="str">
        <f>IFERROR(__xludf.DUMMYFUNCTION("""COMPUTED_VALUE"""),"Turkey")</f>
        <v>Turkey</v>
      </c>
      <c r="E1987" s="135"/>
      <c r="F1987" s="31"/>
    </row>
    <row r="1988">
      <c r="A1988" s="134" t="str">
        <f>IFERROR(__xludf.DUMMYFUNCTION("""COMPUTED_VALUE"""),"Dalanzadgad")</f>
        <v>Dalanzadgad</v>
      </c>
      <c r="B1988" s="120" t="str">
        <f>IFERROR(__xludf.DUMMYFUNCTION("""COMPUTED_VALUE"""),"DLZ")</f>
        <v>DLZ</v>
      </c>
      <c r="C1988" s="120" t="str">
        <f>IFERROR(__xludf.DUMMYFUNCTION("""COMPUTED_VALUE"""),"Dalanzadgad")</f>
        <v>Dalanzadgad</v>
      </c>
      <c r="D1988" s="120" t="str">
        <f>IFERROR(__xludf.DUMMYFUNCTION("""COMPUTED_VALUE"""),"Mongolia")</f>
        <v>Mongolia</v>
      </c>
      <c r="E1988" s="135"/>
      <c r="F1988" s="31"/>
    </row>
    <row r="1989">
      <c r="A1989" s="134" t="str">
        <f>IFERROR(__xludf.DUMMYFUNCTION("""COMPUTED_VALUE"""),"Dalat")</f>
        <v>Dalat</v>
      </c>
      <c r="B1989" s="120" t="str">
        <f>IFERROR(__xludf.DUMMYFUNCTION("""COMPUTED_VALUE"""),"DLI")</f>
        <v>DLI</v>
      </c>
      <c r="C1989" s="120" t="str">
        <f>IFERROR(__xludf.DUMMYFUNCTION("""COMPUTED_VALUE"""),"Lienkhang")</f>
        <v>Lienkhang</v>
      </c>
      <c r="D1989" s="120" t="str">
        <f>IFERROR(__xludf.DUMMYFUNCTION("""COMPUTED_VALUE"""),"Vietnam")</f>
        <v>Vietnam</v>
      </c>
      <c r="E1989" s="135"/>
      <c r="F1989" s="31"/>
    </row>
    <row r="1990">
      <c r="A1990" s="134" t="str">
        <f>IFERROR(__xludf.DUMMYFUNCTION("""COMPUTED_VALUE"""),"Dalbandin")</f>
        <v>Dalbandin</v>
      </c>
      <c r="B1990" s="120" t="str">
        <f>IFERROR(__xludf.DUMMYFUNCTION("""COMPUTED_VALUE"""),"DBA")</f>
        <v>DBA</v>
      </c>
      <c r="C1990" s="120" t="str">
        <f>IFERROR(__xludf.DUMMYFUNCTION("""COMPUTED_VALUE"""),"Dalbandin")</f>
        <v>Dalbandin</v>
      </c>
      <c r="D1990" s="120" t="str">
        <f>IFERROR(__xludf.DUMMYFUNCTION("""COMPUTED_VALUE"""),"Pakistan")</f>
        <v>Pakistan</v>
      </c>
      <c r="E1990" s="135"/>
      <c r="F1990" s="31"/>
    </row>
    <row r="1991">
      <c r="A1991" s="134" t="str">
        <f>IFERROR(__xludf.DUMMYFUNCTION("""COMPUTED_VALUE"""),"Dalbertis")</f>
        <v>Dalbertis</v>
      </c>
      <c r="B1991" s="120" t="str">
        <f>IFERROR(__xludf.DUMMYFUNCTION("""COMPUTED_VALUE"""),"DLB")</f>
        <v>DLB</v>
      </c>
      <c r="C1991" s="120" t="str">
        <f>IFERROR(__xludf.DUMMYFUNCTION("""COMPUTED_VALUE"""),"Dalbertis")</f>
        <v>Dalbertis</v>
      </c>
      <c r="D1991" s="120" t="str">
        <f>IFERROR(__xludf.DUMMYFUNCTION("""COMPUTED_VALUE"""),"Papua New Guinea")</f>
        <v>Papua New Guinea</v>
      </c>
      <c r="E1991" s="135"/>
      <c r="F1991" s="31"/>
    </row>
    <row r="1992">
      <c r="A1992" s="134" t="str">
        <f>IFERROR(__xludf.DUMMYFUNCTION("""COMPUTED_VALUE"""),"Dalby")</f>
        <v>Dalby</v>
      </c>
      <c r="B1992" s="120" t="str">
        <f>IFERROR(__xludf.DUMMYFUNCTION("""COMPUTED_VALUE"""),"DBY")</f>
        <v>DBY</v>
      </c>
      <c r="C1992" s="120" t="str">
        <f>IFERROR(__xludf.DUMMYFUNCTION("""COMPUTED_VALUE"""),"Dalby")</f>
        <v>Dalby</v>
      </c>
      <c r="D1992" s="120" t="str">
        <f>IFERROR(__xludf.DUMMYFUNCTION("""COMPUTED_VALUE"""),"Australia")</f>
        <v>Australia</v>
      </c>
      <c r="E1992" s="135"/>
      <c r="F1992" s="31"/>
    </row>
    <row r="1993">
      <c r="A1993" s="134" t="str">
        <f>IFERROR(__xludf.DUMMYFUNCTION("""COMPUTED_VALUE"""),"Dalgaranga")</f>
        <v>Dalgaranga</v>
      </c>
      <c r="B1993" s="120" t="str">
        <f>IFERROR(__xludf.DUMMYFUNCTION("""COMPUTED_VALUE"""),"DGD")</f>
        <v>DGD</v>
      </c>
      <c r="C1993" s="120" t="str">
        <f>IFERROR(__xludf.DUMMYFUNCTION("""COMPUTED_VALUE"""),"Dalgaranga")</f>
        <v>Dalgaranga</v>
      </c>
      <c r="D1993" s="120" t="str">
        <f>IFERROR(__xludf.DUMMYFUNCTION("""COMPUTED_VALUE"""),"Australia")</f>
        <v>Australia</v>
      </c>
      <c r="E1993" s="135"/>
      <c r="F1993" s="31"/>
    </row>
    <row r="1994">
      <c r="A1994" s="134" t="str">
        <f>IFERROR(__xludf.DUMMYFUNCTION("""COMPUTED_VALUE"""),"Dalhart")</f>
        <v>Dalhart</v>
      </c>
      <c r="B1994" s="120" t="str">
        <f>IFERROR(__xludf.DUMMYFUNCTION("""COMPUTED_VALUE"""),"DHT")</f>
        <v>DHT</v>
      </c>
      <c r="C1994" s="120" t="str">
        <f>IFERROR(__xludf.DUMMYFUNCTION("""COMPUTED_VALUE"""),"Dalhart")</f>
        <v>Dalhart</v>
      </c>
      <c r="D1994" s="120" t="str">
        <f>IFERROR(__xludf.DUMMYFUNCTION("""COMPUTED_VALUE"""),"United States")</f>
        <v>United States</v>
      </c>
      <c r="E1994" s="135"/>
      <c r="F1994" s="31"/>
    </row>
    <row r="1995">
      <c r="A1995" s="134" t="str">
        <f>IFERROR(__xludf.DUMMYFUNCTION("""COMPUTED_VALUE"""),"Dali City")</f>
        <v>Dali City</v>
      </c>
      <c r="B1995" s="120" t="str">
        <f>IFERROR(__xludf.DUMMYFUNCTION("""COMPUTED_VALUE"""),"DLU")</f>
        <v>DLU</v>
      </c>
      <c r="C1995" s="120" t="str">
        <f>IFERROR(__xludf.DUMMYFUNCTION("""COMPUTED_VALUE"""),"Dali")</f>
        <v>Dali</v>
      </c>
      <c r="D1995" s="120" t="str">
        <f>IFERROR(__xludf.DUMMYFUNCTION("""COMPUTED_VALUE"""),"China")</f>
        <v>China</v>
      </c>
      <c r="E1995" s="135"/>
      <c r="F1995" s="31"/>
    </row>
    <row r="1996">
      <c r="A1996" s="134" t="str">
        <f>IFERROR(__xludf.DUMMYFUNCTION("""COMPUTED_VALUE"""),"Dalian")</f>
        <v>Dalian</v>
      </c>
      <c r="B1996" s="120" t="str">
        <f>IFERROR(__xludf.DUMMYFUNCTION("""COMPUTED_VALUE"""),"DLC")</f>
        <v>DLC</v>
      </c>
      <c r="C1996" s="120" t="str">
        <f>IFERROR(__xludf.DUMMYFUNCTION("""COMPUTED_VALUE"""),"Dalian")</f>
        <v>Dalian</v>
      </c>
      <c r="D1996" s="120" t="str">
        <f>IFERROR(__xludf.DUMMYFUNCTION("""COMPUTED_VALUE"""),"China")</f>
        <v>China</v>
      </c>
      <c r="E1996" s="135"/>
      <c r="F1996" s="31"/>
    </row>
    <row r="1997">
      <c r="A1997" s="134" t="str">
        <f>IFERROR(__xludf.DUMMYFUNCTION("""COMPUTED_VALUE"""),"Dallas")</f>
        <v>Dallas</v>
      </c>
      <c r="B1997" s="120" t="str">
        <f>IFERROR(__xludf.DUMMYFUNCTION("""COMPUTED_VALUE"""),"ADS")</f>
        <v>ADS</v>
      </c>
      <c r="C1997" s="120" t="str">
        <f>IFERROR(__xludf.DUMMYFUNCTION("""COMPUTED_VALUE"""),"Addison Airport")</f>
        <v>Addison Airport</v>
      </c>
      <c r="D1997" s="120" t="str">
        <f>IFERROR(__xludf.DUMMYFUNCTION("""COMPUTED_VALUE"""),"United States")</f>
        <v>United States</v>
      </c>
      <c r="E1997" s="135"/>
      <c r="F1997" s="31"/>
    </row>
    <row r="1998">
      <c r="A1998" s="134" t="str">
        <f>IFERROR(__xludf.DUMMYFUNCTION("""COMPUTED_VALUE"""),"Dallas")</f>
        <v>Dallas</v>
      </c>
      <c r="B1998" s="120" t="str">
        <f>IFERROR(__xludf.DUMMYFUNCTION("""COMPUTED_VALUE"""),"DNE")</f>
        <v>DNE</v>
      </c>
      <c r="C1998" s="120" t="str">
        <f>IFERROR(__xludf.DUMMYFUNCTION("""COMPUTED_VALUE"""),"Dallas North Airport")</f>
        <v>Dallas North Airport</v>
      </c>
      <c r="D1998" s="120" t="str">
        <f>IFERROR(__xludf.DUMMYFUNCTION("""COMPUTED_VALUE"""),"United States")</f>
        <v>United States</v>
      </c>
      <c r="E1998" s="135"/>
      <c r="F1998" s="31"/>
    </row>
    <row r="1999">
      <c r="A1999" s="134" t="str">
        <f>IFERROR(__xludf.DUMMYFUNCTION("""COMPUTED_VALUE"""),"Dallas")</f>
        <v>Dallas</v>
      </c>
      <c r="B1999" s="120" t="str">
        <f>IFERROR(__xludf.DUMMYFUNCTION("""COMPUTED_VALUE"""),"DFW")</f>
        <v>DFW</v>
      </c>
      <c r="C1999" s="120" t="str">
        <f>IFERROR(__xludf.DUMMYFUNCTION("""COMPUTED_VALUE"""),"Dallas/Ft Worth Intl")</f>
        <v>Dallas/Ft Worth Intl</v>
      </c>
      <c r="D1999" s="120" t="str">
        <f>IFERROR(__xludf.DUMMYFUNCTION("""COMPUTED_VALUE"""),"United States")</f>
        <v>United States</v>
      </c>
      <c r="E1999" s="135"/>
      <c r="F1999" s="31"/>
    </row>
    <row r="2000">
      <c r="A2000" s="134" t="str">
        <f>IFERROR(__xludf.DUMMYFUNCTION("""COMPUTED_VALUE"""),"Dallas")</f>
        <v>Dallas</v>
      </c>
      <c r="B2000" s="120" t="str">
        <f>IFERROR(__xludf.DUMMYFUNCTION("""COMPUTED_VALUE"""),"JDB")</f>
        <v>JDB</v>
      </c>
      <c r="C2000" s="120" t="str">
        <f>IFERROR(__xludf.DUMMYFUNCTION("""COMPUTED_VALUE"""),"Downtown Heliport")</f>
        <v>Downtown Heliport</v>
      </c>
      <c r="D2000" s="120" t="str">
        <f>IFERROR(__xludf.DUMMYFUNCTION("""COMPUTED_VALUE"""),"United States")</f>
        <v>United States</v>
      </c>
      <c r="E2000" s="135"/>
      <c r="F2000" s="31"/>
    </row>
    <row r="2001">
      <c r="A2001" s="134" t="str">
        <f>IFERROR(__xludf.DUMMYFUNCTION("""COMPUTED_VALUE"""),"Dallas")</f>
        <v>Dallas</v>
      </c>
      <c r="B2001" s="120" t="str">
        <f>IFERROR(__xludf.DUMMYFUNCTION("""COMPUTED_VALUE"""),"DAL")</f>
        <v>DAL</v>
      </c>
      <c r="C2001" s="120" t="str">
        <f>IFERROR(__xludf.DUMMYFUNCTION("""COMPUTED_VALUE"""),"Love Field")</f>
        <v>Love Field</v>
      </c>
      <c r="D2001" s="120" t="str">
        <f>IFERROR(__xludf.DUMMYFUNCTION("""COMPUTED_VALUE"""),"United States")</f>
        <v>United States</v>
      </c>
      <c r="E2001" s="135"/>
      <c r="F2001" s="31"/>
    </row>
    <row r="2002">
      <c r="A2002" s="134" t="str">
        <f>IFERROR(__xludf.DUMMYFUNCTION("""COMPUTED_VALUE"""),"Dallas")</f>
        <v>Dallas</v>
      </c>
      <c r="B2002" s="120" t="str">
        <f>IFERROR(__xludf.DUMMYFUNCTION("""COMPUTED_VALUE"""),"JMD")</f>
        <v>JMD</v>
      </c>
      <c r="C2002" s="120" t="str">
        <f>IFERROR(__xludf.DUMMYFUNCTION("""COMPUTED_VALUE"""),"Market Centre H/P")</f>
        <v>Market Centre H/P</v>
      </c>
      <c r="D2002" s="120" t="str">
        <f>IFERROR(__xludf.DUMMYFUNCTION("""COMPUTED_VALUE"""),"United States")</f>
        <v>United States</v>
      </c>
      <c r="E2002" s="135"/>
      <c r="F2002" s="31"/>
    </row>
    <row r="2003">
      <c r="A2003" s="134" t="str">
        <f>IFERROR(__xludf.DUMMYFUNCTION("""COMPUTED_VALUE"""),"Dallas")</f>
        <v>Dallas</v>
      </c>
      <c r="B2003" s="120" t="str">
        <f>IFERROR(__xludf.DUMMYFUNCTION("""COMPUTED_VALUE"""),"JNH")</f>
        <v>JNH</v>
      </c>
      <c r="C2003" s="120" t="str">
        <f>IFERROR(__xludf.DUMMYFUNCTION("""COMPUTED_VALUE"""),"North Park Inn H/P")</f>
        <v>North Park Inn H/P</v>
      </c>
      <c r="D2003" s="120" t="str">
        <f>IFERROR(__xludf.DUMMYFUNCTION("""COMPUTED_VALUE"""),"United States")</f>
        <v>United States</v>
      </c>
      <c r="E2003" s="135"/>
      <c r="F2003" s="31"/>
    </row>
    <row r="2004">
      <c r="A2004" s="134" t="str">
        <f>IFERROR(__xludf.DUMMYFUNCTION("""COMPUTED_VALUE"""),"Dallas")</f>
        <v>Dallas</v>
      </c>
      <c r="B2004" s="120" t="str">
        <f>IFERROR(__xludf.DUMMYFUNCTION("""COMPUTED_VALUE"""),"RBD")</f>
        <v>RBD</v>
      </c>
      <c r="C2004" s="120" t="str">
        <f>IFERROR(__xludf.DUMMYFUNCTION("""COMPUTED_VALUE"""),"Redbird")</f>
        <v>Redbird</v>
      </c>
      <c r="D2004" s="120" t="str">
        <f>IFERROR(__xludf.DUMMYFUNCTION("""COMPUTED_VALUE"""),"United States")</f>
        <v>United States</v>
      </c>
      <c r="E2004" s="135"/>
      <c r="F2004" s="31"/>
    </row>
    <row r="2005">
      <c r="A2005" s="134" t="str">
        <f>IFERROR(__xludf.DUMMYFUNCTION("""COMPUTED_VALUE"""),"Daloa")</f>
        <v>Daloa</v>
      </c>
      <c r="B2005" s="120" t="str">
        <f>IFERROR(__xludf.DUMMYFUNCTION("""COMPUTED_VALUE"""),"DJO")</f>
        <v>DJO</v>
      </c>
      <c r="C2005" s="120" t="str">
        <f>IFERROR(__xludf.DUMMYFUNCTION("""COMPUTED_VALUE"""),"Daloa")</f>
        <v>Daloa</v>
      </c>
      <c r="D2005" s="120" t="str">
        <f>IFERROR(__xludf.DUMMYFUNCTION("""COMPUTED_VALUE"""),"Cote D'Ivoire (Ivory Coast)")</f>
        <v>Cote D'Ivoire (Ivory Coast)</v>
      </c>
      <c r="E2005" s="135"/>
      <c r="F2005" s="31"/>
    </row>
    <row r="2006">
      <c r="A2006" s="134" t="str">
        <f>IFERROR(__xludf.DUMMYFUNCTION("""COMPUTED_VALUE"""),"Dalton")</f>
        <v>Dalton</v>
      </c>
      <c r="B2006" s="120" t="str">
        <f>IFERROR(__xludf.DUMMYFUNCTION("""COMPUTED_VALUE"""),"DNN")</f>
        <v>DNN</v>
      </c>
      <c r="C2006" s="120" t="str">
        <f>IFERROR(__xludf.DUMMYFUNCTION("""COMPUTED_VALUE"""),"Municipal")</f>
        <v>Municipal</v>
      </c>
      <c r="D2006" s="120" t="str">
        <f>IFERROR(__xludf.DUMMYFUNCTION("""COMPUTED_VALUE"""),"United States")</f>
        <v>United States</v>
      </c>
      <c r="E2006" s="135"/>
      <c r="F2006" s="31"/>
    </row>
    <row r="2007">
      <c r="A2007" s="134" t="str">
        <f>IFERROR(__xludf.DUMMYFUNCTION("""COMPUTED_VALUE"""),"Daly River")</f>
        <v>Daly River</v>
      </c>
      <c r="B2007" s="120" t="str">
        <f>IFERROR(__xludf.DUMMYFUNCTION("""COMPUTED_VALUE"""),"DVR")</f>
        <v>DVR</v>
      </c>
      <c r="C2007" s="120" t="str">
        <f>IFERROR(__xludf.DUMMYFUNCTION("""COMPUTED_VALUE"""),"Daly River")</f>
        <v>Daly River</v>
      </c>
      <c r="D2007" s="120" t="str">
        <f>IFERROR(__xludf.DUMMYFUNCTION("""COMPUTED_VALUE"""),"Australia")</f>
        <v>Australia</v>
      </c>
      <c r="E2007" s="135"/>
      <c r="F2007" s="31"/>
    </row>
    <row r="2008">
      <c r="A2008" s="134" t="str">
        <f>IFERROR(__xludf.DUMMYFUNCTION("""COMPUTED_VALUE"""),"Daly Waters")</f>
        <v>Daly Waters</v>
      </c>
      <c r="B2008" s="120" t="str">
        <f>IFERROR(__xludf.DUMMYFUNCTION("""COMPUTED_VALUE"""),"DYW")</f>
        <v>DYW</v>
      </c>
      <c r="C2008" s="120" t="str">
        <f>IFERROR(__xludf.DUMMYFUNCTION("""COMPUTED_VALUE"""),"Daly Waters")</f>
        <v>Daly Waters</v>
      </c>
      <c r="D2008" s="120" t="str">
        <f>IFERROR(__xludf.DUMMYFUNCTION("""COMPUTED_VALUE"""),"Australia")</f>
        <v>Australia</v>
      </c>
      <c r="E2008" s="135"/>
      <c r="F2008" s="31"/>
    </row>
    <row r="2009">
      <c r="A2009" s="134" t="str">
        <f>IFERROR(__xludf.DUMMYFUNCTION("""COMPUTED_VALUE"""),"Daman")</f>
        <v>Daman</v>
      </c>
      <c r="B2009" s="120" t="str">
        <f>IFERROR(__xludf.DUMMYFUNCTION("""COMPUTED_VALUE"""),"NMB")</f>
        <v>NMB</v>
      </c>
      <c r="C2009" s="120" t="str">
        <f>IFERROR(__xludf.DUMMYFUNCTION("""COMPUTED_VALUE"""),"Daman")</f>
        <v>Daman</v>
      </c>
      <c r="D2009" s="120" t="str">
        <f>IFERROR(__xludf.DUMMYFUNCTION("""COMPUTED_VALUE"""),"India")</f>
        <v>India</v>
      </c>
      <c r="E2009" s="135"/>
      <c r="F2009" s="31"/>
    </row>
    <row r="2010">
      <c r="A2010" s="134" t="str">
        <f>IFERROR(__xludf.DUMMYFUNCTION("""COMPUTED_VALUE"""),"Damascus")</f>
        <v>Damascus</v>
      </c>
      <c r="B2010" s="120" t="str">
        <f>IFERROR(__xludf.DUMMYFUNCTION("""COMPUTED_VALUE"""),"DAM")</f>
        <v>DAM</v>
      </c>
      <c r="C2010" s="120" t="str">
        <f>IFERROR(__xludf.DUMMYFUNCTION("""COMPUTED_VALUE"""),"International")</f>
        <v>International</v>
      </c>
      <c r="D2010" s="120" t="str">
        <f>IFERROR(__xludf.DUMMYFUNCTION("""COMPUTED_VALUE"""),"Syria")</f>
        <v>Syria</v>
      </c>
      <c r="E2010" s="135"/>
      <c r="F2010" s="31"/>
    </row>
    <row r="2011">
      <c r="A2011" s="134" t="str">
        <f>IFERROR(__xludf.DUMMYFUNCTION("""COMPUTED_VALUE"""),"Dambula")</f>
        <v>Dambula</v>
      </c>
      <c r="B2011" s="120" t="str">
        <f>IFERROR(__xludf.DUMMYFUNCTION("""COMPUTED_VALUE"""),"DBU")</f>
        <v>DBU</v>
      </c>
      <c r="C2011" s="120" t="str">
        <f>IFERROR(__xludf.DUMMYFUNCTION("""COMPUTED_VALUE"""),"Dambulu Oya Tank")</f>
        <v>Dambulu Oya Tank</v>
      </c>
      <c r="D2011" s="120" t="str">
        <f>IFERROR(__xludf.DUMMYFUNCTION("""COMPUTED_VALUE"""),"Sri Lanka")</f>
        <v>Sri Lanka</v>
      </c>
      <c r="E2011" s="135"/>
      <c r="F2011" s="31"/>
    </row>
    <row r="2012">
      <c r="A2012" s="134" t="str">
        <f>IFERROR(__xludf.DUMMYFUNCTION("""COMPUTED_VALUE"""),"Danane")</f>
        <v>Danane</v>
      </c>
      <c r="B2012" s="120" t="str">
        <f>IFERROR(__xludf.DUMMYFUNCTION("""COMPUTED_VALUE"""),"DNC")</f>
        <v>DNC</v>
      </c>
      <c r="C2012" s="120" t="str">
        <f>IFERROR(__xludf.DUMMYFUNCTION("""COMPUTED_VALUE"""),"Danane")</f>
        <v>Danane</v>
      </c>
      <c r="D2012" s="120" t="str">
        <f>IFERROR(__xludf.DUMMYFUNCTION("""COMPUTED_VALUE"""),"Cote D'Ivoire (Ivory Coast)")</f>
        <v>Cote D'Ivoire (Ivory Coast)</v>
      </c>
      <c r="E2012" s="135"/>
      <c r="F2012" s="31"/>
    </row>
    <row r="2013">
      <c r="A2013" s="134" t="str">
        <f>IFERROR(__xludf.DUMMYFUNCTION("""COMPUTED_VALUE"""),"Danbury")</f>
        <v>Danbury</v>
      </c>
      <c r="B2013" s="120" t="str">
        <f>IFERROR(__xludf.DUMMYFUNCTION("""COMPUTED_VALUE"""),"DXR")</f>
        <v>DXR</v>
      </c>
      <c r="C2013" s="120" t="str">
        <f>IFERROR(__xludf.DUMMYFUNCTION("""COMPUTED_VALUE"""),"Danbury")</f>
        <v>Danbury</v>
      </c>
      <c r="D2013" s="120" t="str">
        <f>IFERROR(__xludf.DUMMYFUNCTION("""COMPUTED_VALUE"""),"United States")</f>
        <v>United States</v>
      </c>
      <c r="E2013" s="135"/>
      <c r="F2013" s="31"/>
    </row>
    <row r="2014">
      <c r="A2014" s="134" t="str">
        <f>IFERROR(__xludf.DUMMYFUNCTION("""COMPUTED_VALUE"""),"Dandong")</f>
        <v>Dandong</v>
      </c>
      <c r="B2014" s="120" t="str">
        <f>IFERROR(__xludf.DUMMYFUNCTION("""COMPUTED_VALUE"""),"DDG")</f>
        <v>DDG</v>
      </c>
      <c r="C2014" s="120" t="str">
        <f>IFERROR(__xludf.DUMMYFUNCTION("""COMPUTED_VALUE"""),"Dandong")</f>
        <v>Dandong</v>
      </c>
      <c r="D2014" s="120" t="str">
        <f>IFERROR(__xludf.DUMMYFUNCTION("""COMPUTED_VALUE"""),"China")</f>
        <v>China</v>
      </c>
      <c r="E2014" s="135"/>
      <c r="F2014" s="31"/>
    </row>
    <row r="2015">
      <c r="A2015" s="134" t="str">
        <f>IFERROR(__xludf.DUMMYFUNCTION("""COMPUTED_VALUE"""),"Dang")</f>
        <v>Dang</v>
      </c>
      <c r="B2015" s="120" t="str">
        <f>IFERROR(__xludf.DUMMYFUNCTION("""COMPUTED_VALUE"""),"DNP")</f>
        <v>DNP</v>
      </c>
      <c r="C2015" s="120" t="str">
        <f>IFERROR(__xludf.DUMMYFUNCTION("""COMPUTED_VALUE"""),"Dang")</f>
        <v>Dang</v>
      </c>
      <c r="D2015" s="120" t="str">
        <f>IFERROR(__xludf.DUMMYFUNCTION("""COMPUTED_VALUE"""),"Nepal")</f>
        <v>Nepal</v>
      </c>
      <c r="E2015" s="135"/>
      <c r="F2015" s="31"/>
    </row>
    <row r="2016">
      <c r="A2016" s="134" t="str">
        <f>IFERROR(__xludf.DUMMYFUNCTION("""COMPUTED_VALUE"""),"Danger Bay")</f>
        <v>Danger Bay</v>
      </c>
      <c r="B2016" s="120" t="str">
        <f>IFERROR(__xludf.DUMMYFUNCTION("""COMPUTED_VALUE"""),"DGB")</f>
        <v>DGB</v>
      </c>
      <c r="C2016" s="120" t="str">
        <f>IFERROR(__xludf.DUMMYFUNCTION("""COMPUTED_VALUE"""),"Danger Bay")</f>
        <v>Danger Bay</v>
      </c>
      <c r="D2016" s="120" t="str">
        <f>IFERROR(__xludf.DUMMYFUNCTION("""COMPUTED_VALUE"""),"United States")</f>
        <v>United States</v>
      </c>
      <c r="E2016" s="135"/>
      <c r="F2016" s="31"/>
    </row>
    <row r="2017">
      <c r="A2017" s="134" t="str">
        <f>IFERROR(__xludf.DUMMYFUNCTION("""COMPUTED_VALUE"""),"Dangriga")</f>
        <v>Dangriga</v>
      </c>
      <c r="B2017" s="120" t="str">
        <f>IFERROR(__xludf.DUMMYFUNCTION("""COMPUTED_VALUE"""),"DGA")</f>
        <v>DGA</v>
      </c>
      <c r="C2017" s="120" t="str">
        <f>IFERROR(__xludf.DUMMYFUNCTION("""COMPUTED_VALUE"""),"Dangriga")</f>
        <v>Dangriga</v>
      </c>
      <c r="D2017" s="120" t="str">
        <f>IFERROR(__xludf.DUMMYFUNCTION("""COMPUTED_VALUE"""),"Belize")</f>
        <v>Belize</v>
      </c>
      <c r="E2017" s="135"/>
      <c r="F2017" s="31"/>
    </row>
    <row r="2018">
      <c r="A2018" s="134" t="str">
        <f>IFERROR(__xludf.DUMMYFUNCTION("""COMPUTED_VALUE"""),"Daniels Harbour")</f>
        <v>Daniels Harbour</v>
      </c>
      <c r="B2018" s="120" t="str">
        <f>IFERROR(__xludf.DUMMYFUNCTION("""COMPUTED_VALUE"""),"YDH")</f>
        <v>YDH</v>
      </c>
      <c r="C2018" s="120" t="str">
        <f>IFERROR(__xludf.DUMMYFUNCTION("""COMPUTED_VALUE"""),"Daniels Harbour")</f>
        <v>Daniels Harbour</v>
      </c>
      <c r="D2018" s="120" t="str">
        <f>IFERROR(__xludf.DUMMYFUNCTION("""COMPUTED_VALUE"""),"Canada")</f>
        <v>Canada</v>
      </c>
      <c r="E2018" s="135"/>
      <c r="F2018" s="31"/>
    </row>
    <row r="2019">
      <c r="A2019" s="134" t="str">
        <f>IFERROR(__xludf.DUMMYFUNCTION("""COMPUTED_VALUE"""),"Dansville")</f>
        <v>Dansville</v>
      </c>
      <c r="B2019" s="120" t="str">
        <f>IFERROR(__xludf.DUMMYFUNCTION("""COMPUTED_VALUE"""),"DSV")</f>
        <v>DSV</v>
      </c>
      <c r="C2019" s="120" t="str">
        <f>IFERROR(__xludf.DUMMYFUNCTION("""COMPUTED_VALUE"""),"Dansville")</f>
        <v>Dansville</v>
      </c>
      <c r="D2019" s="120" t="str">
        <f>IFERROR(__xludf.DUMMYFUNCTION("""COMPUTED_VALUE"""),"United States")</f>
        <v>United States</v>
      </c>
      <c r="E2019" s="135"/>
      <c r="F2019" s="31"/>
    </row>
    <row r="2020">
      <c r="A2020" s="134" t="str">
        <f>IFERROR(__xludf.DUMMYFUNCTION("""COMPUTED_VALUE"""),"Danville")</f>
        <v>Danville</v>
      </c>
      <c r="B2020" s="120" t="str">
        <f>IFERROR(__xludf.DUMMYFUNCTION("""COMPUTED_VALUE"""),"DNV")</f>
        <v>DNV</v>
      </c>
      <c r="C2020" s="120" t="str">
        <f>IFERROR(__xludf.DUMMYFUNCTION("""COMPUTED_VALUE"""),"Vermilion County")</f>
        <v>Vermilion County</v>
      </c>
      <c r="D2020" s="120" t="str">
        <f>IFERROR(__xludf.DUMMYFUNCTION("""COMPUTED_VALUE"""),"United States")</f>
        <v>United States</v>
      </c>
      <c r="E2020" s="135"/>
      <c r="F2020" s="31"/>
    </row>
    <row r="2021">
      <c r="A2021" s="134" t="str">
        <f>IFERROR(__xludf.DUMMYFUNCTION("""COMPUTED_VALUE"""),"Danville")</f>
        <v>Danville</v>
      </c>
      <c r="B2021" s="120" t="str">
        <f>IFERROR(__xludf.DUMMYFUNCTION("""COMPUTED_VALUE"""),"DAN")</f>
        <v>DAN</v>
      </c>
      <c r="C2021" s="120" t="str">
        <f>IFERROR(__xludf.DUMMYFUNCTION("""COMPUTED_VALUE"""),"Municipal")</f>
        <v>Municipal</v>
      </c>
      <c r="D2021" s="120" t="str">
        <f>IFERROR(__xludf.DUMMYFUNCTION("""COMPUTED_VALUE"""),"United States")</f>
        <v>United States</v>
      </c>
      <c r="E2021" s="135"/>
      <c r="F2021" s="31"/>
    </row>
    <row r="2022">
      <c r="A2022" s="134" t="str">
        <f>IFERROR(__xludf.DUMMYFUNCTION("""COMPUTED_VALUE"""),"Daparizo")</f>
        <v>Daparizo</v>
      </c>
      <c r="B2022" s="120" t="str">
        <f>IFERROR(__xludf.DUMMYFUNCTION("""COMPUTED_VALUE"""),"DAE")</f>
        <v>DAE</v>
      </c>
      <c r="C2022" s="120" t="str">
        <f>IFERROR(__xludf.DUMMYFUNCTION("""COMPUTED_VALUE"""),"Daparizo")</f>
        <v>Daparizo</v>
      </c>
      <c r="D2022" s="120" t="str">
        <f>IFERROR(__xludf.DUMMYFUNCTION("""COMPUTED_VALUE"""),"India")</f>
        <v>India</v>
      </c>
      <c r="E2022" s="135"/>
      <c r="F2022" s="31"/>
    </row>
    <row r="2023">
      <c r="A2023" s="134" t="str">
        <f>IFERROR(__xludf.DUMMYFUNCTION("""COMPUTED_VALUE"""),"Dar Es Salaam")</f>
        <v>Dar Es Salaam</v>
      </c>
      <c r="B2023" s="120" t="str">
        <f>IFERROR(__xludf.DUMMYFUNCTION("""COMPUTED_VALUE"""),"DAR")</f>
        <v>DAR</v>
      </c>
      <c r="C2023" s="120" t="str">
        <f>IFERROR(__xludf.DUMMYFUNCTION("""COMPUTED_VALUE"""),"International")</f>
        <v>International</v>
      </c>
      <c r="D2023" s="120" t="str">
        <f>IFERROR(__xludf.DUMMYFUNCTION("""COMPUTED_VALUE"""),"Tanzania")</f>
        <v>Tanzania</v>
      </c>
      <c r="E2023" s="135"/>
      <c r="F2023" s="31"/>
    </row>
    <row r="2024">
      <c r="A2024" s="134" t="str">
        <f>IFERROR(__xludf.DUMMYFUNCTION("""COMPUTED_VALUE"""),"Darchula")</f>
        <v>Darchula</v>
      </c>
      <c r="B2024" s="120" t="str">
        <f>IFERROR(__xludf.DUMMYFUNCTION("""COMPUTED_VALUE"""),"DAP")</f>
        <v>DAP</v>
      </c>
      <c r="C2024" s="120" t="str">
        <f>IFERROR(__xludf.DUMMYFUNCTION("""COMPUTED_VALUE"""),"Darchula")</f>
        <v>Darchula</v>
      </c>
      <c r="D2024" s="120" t="str">
        <f>IFERROR(__xludf.DUMMYFUNCTION("""COMPUTED_VALUE"""),"Nepal")</f>
        <v>Nepal</v>
      </c>
      <c r="E2024" s="135"/>
      <c r="F2024" s="31"/>
    </row>
    <row r="2025">
      <c r="A2025" s="134" t="str">
        <f>IFERROR(__xludf.DUMMYFUNCTION("""COMPUTED_VALUE"""),"Dargaville")</f>
        <v>Dargaville</v>
      </c>
      <c r="B2025" s="120" t="str">
        <f>IFERROR(__xludf.DUMMYFUNCTION("""COMPUTED_VALUE"""),"DGR")</f>
        <v>DGR</v>
      </c>
      <c r="C2025" s="120" t="str">
        <f>IFERROR(__xludf.DUMMYFUNCTION("""COMPUTED_VALUE"""),"Dargaville")</f>
        <v>Dargaville</v>
      </c>
      <c r="D2025" s="120" t="str">
        <f>IFERROR(__xludf.DUMMYFUNCTION("""COMPUTED_VALUE"""),"New Zealand (Aotearoa)")</f>
        <v>New Zealand (Aotearoa)</v>
      </c>
      <c r="E2025" s="135"/>
      <c r="F2025" s="31"/>
    </row>
    <row r="2026">
      <c r="A2026" s="134" t="str">
        <f>IFERROR(__xludf.DUMMYFUNCTION("""COMPUTED_VALUE"""),"Darjeeling")</f>
        <v>Darjeeling</v>
      </c>
      <c r="B2026" s="120" t="str">
        <f>IFERROR(__xludf.DUMMYFUNCTION("""COMPUTED_VALUE"""),"DAI")</f>
        <v>DAI</v>
      </c>
      <c r="C2026" s="120" t="str">
        <f>IFERROR(__xludf.DUMMYFUNCTION("""COMPUTED_VALUE"""),"Darjeeling")</f>
        <v>Darjeeling</v>
      </c>
      <c r="D2026" s="120" t="str">
        <f>IFERROR(__xludf.DUMMYFUNCTION("""COMPUTED_VALUE"""),"India")</f>
        <v>India</v>
      </c>
      <c r="E2026" s="135"/>
      <c r="F2026" s="31"/>
    </row>
    <row r="2027">
      <c r="A2027" s="134" t="str">
        <f>IFERROR(__xludf.DUMMYFUNCTION("""COMPUTED_VALUE"""),"Darnley Island")</f>
        <v>Darnley Island</v>
      </c>
      <c r="B2027" s="120" t="str">
        <f>IFERROR(__xludf.DUMMYFUNCTION("""COMPUTED_VALUE"""),"NLF")</f>
        <v>NLF</v>
      </c>
      <c r="C2027" s="120" t="str">
        <f>IFERROR(__xludf.DUMMYFUNCTION("""COMPUTED_VALUE"""),"Darnley Island")</f>
        <v>Darnley Island</v>
      </c>
      <c r="D2027" s="120" t="str">
        <f>IFERROR(__xludf.DUMMYFUNCTION("""COMPUTED_VALUE"""),"Australia")</f>
        <v>Australia</v>
      </c>
      <c r="E2027" s="135"/>
      <c r="F2027" s="31"/>
    </row>
    <row r="2028">
      <c r="A2028" s="134" t="str">
        <f>IFERROR(__xludf.DUMMYFUNCTION("""COMPUTED_VALUE"""),"Daru")</f>
        <v>Daru</v>
      </c>
      <c r="B2028" s="120" t="str">
        <f>IFERROR(__xludf.DUMMYFUNCTION("""COMPUTED_VALUE"""),"DAU")</f>
        <v>DAU</v>
      </c>
      <c r="C2028" s="120" t="str">
        <f>IFERROR(__xludf.DUMMYFUNCTION("""COMPUTED_VALUE"""),"Daru")</f>
        <v>Daru</v>
      </c>
      <c r="D2028" s="120" t="str">
        <f>IFERROR(__xludf.DUMMYFUNCTION("""COMPUTED_VALUE"""),"Papua New Guinea")</f>
        <v>Papua New Guinea</v>
      </c>
      <c r="E2028" s="135"/>
      <c r="F2028" s="31"/>
    </row>
    <row r="2029">
      <c r="A2029" s="134" t="str">
        <f>IFERROR(__xludf.DUMMYFUNCTION("""COMPUTED_VALUE"""),"Daru")</f>
        <v>Daru</v>
      </c>
      <c r="B2029" s="120" t="str">
        <f>IFERROR(__xludf.DUMMYFUNCTION("""COMPUTED_VALUE"""),"DSL")</f>
        <v>DSL</v>
      </c>
      <c r="C2029" s="120" t="str">
        <f>IFERROR(__xludf.DUMMYFUNCTION("""COMPUTED_VALUE"""),"Daru")</f>
        <v>Daru</v>
      </c>
      <c r="D2029" s="120" t="str">
        <f>IFERROR(__xludf.DUMMYFUNCTION("""COMPUTED_VALUE"""),"Sierra Leone")</f>
        <v>Sierra Leone</v>
      </c>
      <c r="E2029" s="135"/>
      <c r="F2029" s="31"/>
    </row>
    <row r="2030">
      <c r="A2030" s="134" t="str">
        <f>IFERROR(__xludf.DUMMYFUNCTION("""COMPUTED_VALUE"""),"Darwaz")</f>
        <v>Darwaz</v>
      </c>
      <c r="B2030" s="120" t="str">
        <f>IFERROR(__xludf.DUMMYFUNCTION("""COMPUTED_VALUE"""),"DAZ")</f>
        <v>DAZ</v>
      </c>
      <c r="C2030" s="120" t="str">
        <f>IFERROR(__xludf.DUMMYFUNCTION("""COMPUTED_VALUE"""),"Darwaz")</f>
        <v>Darwaz</v>
      </c>
      <c r="D2030" s="120" t="str">
        <f>IFERROR(__xludf.DUMMYFUNCTION("""COMPUTED_VALUE"""),"Afghanistan")</f>
        <v>Afghanistan</v>
      </c>
      <c r="E2030" s="135"/>
      <c r="F2030" s="31"/>
    </row>
    <row r="2031">
      <c r="A2031" s="134" t="str">
        <f>IFERROR(__xludf.DUMMYFUNCTION("""COMPUTED_VALUE"""),"Darwin")</f>
        <v>Darwin</v>
      </c>
      <c r="B2031" s="120" t="str">
        <f>IFERROR(__xludf.DUMMYFUNCTION("""COMPUTED_VALUE"""),"DRW")</f>
        <v>DRW</v>
      </c>
      <c r="C2031" s="120" t="str">
        <f>IFERROR(__xludf.DUMMYFUNCTION("""COMPUTED_VALUE"""),"Darwin")</f>
        <v>Darwin</v>
      </c>
      <c r="D2031" s="120" t="str">
        <f>IFERROR(__xludf.DUMMYFUNCTION("""COMPUTED_VALUE"""),"Australia")</f>
        <v>Australia</v>
      </c>
      <c r="E2031" s="135"/>
      <c r="F2031" s="31"/>
    </row>
    <row r="2032">
      <c r="A2032" s="134" t="str">
        <f>IFERROR(__xludf.DUMMYFUNCTION("""COMPUTED_VALUE"""),"Darwin")</f>
        <v>Darwin</v>
      </c>
      <c r="B2032" s="120" t="str">
        <f>IFERROR(__xludf.DUMMYFUNCTION("""COMPUTED_VALUE"""),"XJG")</f>
        <v>XJG</v>
      </c>
      <c r="C2032" s="120" t="str">
        <f>IFERROR(__xludf.DUMMYFUNCTION("""COMPUTED_VALUE"""),"Darwin Railway")</f>
        <v>Darwin Railway</v>
      </c>
      <c r="D2032" s="120" t="str">
        <f>IFERROR(__xludf.DUMMYFUNCTION("""COMPUTED_VALUE"""),"Australia")</f>
        <v>Australia</v>
      </c>
      <c r="E2032" s="135"/>
      <c r="F2032" s="31"/>
    </row>
    <row r="2033">
      <c r="A2033" s="134" t="str">
        <f>IFERROR(__xludf.DUMMYFUNCTION("""COMPUTED_VALUE"""),"Dashoguz")</f>
        <v>Dashoguz</v>
      </c>
      <c r="B2033" s="120" t="str">
        <f>IFERROR(__xludf.DUMMYFUNCTION("""COMPUTED_VALUE"""),"TAZ")</f>
        <v>TAZ</v>
      </c>
      <c r="C2033" s="120" t="str">
        <f>IFERROR(__xludf.DUMMYFUNCTION("""COMPUTED_VALUE"""),"Dashoguz")</f>
        <v>Dashoguz</v>
      </c>
      <c r="D2033" s="120" t="str">
        <f>IFERROR(__xludf.DUMMYFUNCTION("""COMPUTED_VALUE"""),"Turkmenistan")</f>
        <v>Turkmenistan</v>
      </c>
      <c r="E2033" s="135"/>
      <c r="F2033" s="31"/>
    </row>
    <row r="2034">
      <c r="A2034" s="134" t="str">
        <f>IFERROR(__xludf.DUMMYFUNCTION("""COMPUTED_VALUE"""),"Datadawai")</f>
        <v>Datadawai</v>
      </c>
      <c r="B2034" s="120" t="str">
        <f>IFERROR(__xludf.DUMMYFUNCTION("""COMPUTED_VALUE"""),"DTD")</f>
        <v>DTD</v>
      </c>
      <c r="C2034" s="120" t="str">
        <f>IFERROR(__xludf.DUMMYFUNCTION("""COMPUTED_VALUE"""),"Datadawai")</f>
        <v>Datadawai</v>
      </c>
      <c r="D2034" s="120" t="str">
        <f>IFERROR(__xludf.DUMMYFUNCTION("""COMPUTED_VALUE"""),"Indonesia")</f>
        <v>Indonesia</v>
      </c>
      <c r="E2034" s="135"/>
      <c r="F2034" s="31"/>
    </row>
    <row r="2035">
      <c r="A2035" s="134" t="str">
        <f>IFERROR(__xludf.DUMMYFUNCTION("""COMPUTED_VALUE"""),"Dathina")</f>
        <v>Dathina</v>
      </c>
      <c r="B2035" s="120" t="str">
        <f>IFERROR(__xludf.DUMMYFUNCTION("""COMPUTED_VALUE"""),"DAH")</f>
        <v>DAH</v>
      </c>
      <c r="C2035" s="120" t="str">
        <f>IFERROR(__xludf.DUMMYFUNCTION("""COMPUTED_VALUE"""),"Dathina")</f>
        <v>Dathina</v>
      </c>
      <c r="D2035" s="120" t="str">
        <f>IFERROR(__xludf.DUMMYFUNCTION("""COMPUTED_VALUE"""),"Yemen")</f>
        <v>Yemen</v>
      </c>
      <c r="E2035" s="135"/>
      <c r="F2035" s="31"/>
    </row>
    <row r="2036">
      <c r="A2036" s="134" t="str">
        <f>IFERROR(__xludf.DUMMYFUNCTION("""COMPUTED_VALUE"""),"Datong")</f>
        <v>Datong</v>
      </c>
      <c r="B2036" s="120" t="str">
        <f>IFERROR(__xludf.DUMMYFUNCTION("""COMPUTED_VALUE"""),"DAT")</f>
        <v>DAT</v>
      </c>
      <c r="C2036" s="120" t="str">
        <f>IFERROR(__xludf.DUMMYFUNCTION("""COMPUTED_VALUE"""),"Datong")</f>
        <v>Datong</v>
      </c>
      <c r="D2036" s="120" t="str">
        <f>IFERROR(__xludf.DUMMYFUNCTION("""COMPUTED_VALUE"""),"China")</f>
        <v>China</v>
      </c>
      <c r="E2036" s="135"/>
      <c r="F2036" s="31"/>
    </row>
    <row r="2037">
      <c r="A2037" s="134" t="str">
        <f>IFERROR(__xludf.DUMMYFUNCTION("""COMPUTED_VALUE"""),"Dauan Island")</f>
        <v>Dauan Island</v>
      </c>
      <c r="B2037" s="120" t="str">
        <f>IFERROR(__xludf.DUMMYFUNCTION("""COMPUTED_VALUE"""),"DAJ")</f>
        <v>DAJ</v>
      </c>
      <c r="C2037" s="120" t="str">
        <f>IFERROR(__xludf.DUMMYFUNCTION("""COMPUTED_VALUE"""),"Dauan Island")</f>
        <v>Dauan Island</v>
      </c>
      <c r="D2037" s="120" t="str">
        <f>IFERROR(__xludf.DUMMYFUNCTION("""COMPUTED_VALUE"""),"Australia")</f>
        <v>Australia</v>
      </c>
      <c r="E2037" s="135"/>
      <c r="F2037" s="31"/>
    </row>
    <row r="2038">
      <c r="A2038" s="134" t="str">
        <f>IFERROR(__xludf.DUMMYFUNCTION("""COMPUTED_VALUE"""),"Daugavpils")</f>
        <v>Daugavpils</v>
      </c>
      <c r="B2038" s="120" t="str">
        <f>IFERROR(__xludf.DUMMYFUNCTION("""COMPUTED_VALUE"""),"DGP")</f>
        <v>DGP</v>
      </c>
      <c r="C2038" s="120" t="str">
        <f>IFERROR(__xludf.DUMMYFUNCTION("""COMPUTED_VALUE"""),"Daugavpils")</f>
        <v>Daugavpils</v>
      </c>
      <c r="D2038" s="120" t="str">
        <f>IFERROR(__xludf.DUMMYFUNCTION("""COMPUTED_VALUE"""),"Latvia")</f>
        <v>Latvia</v>
      </c>
      <c r="E2038" s="135"/>
      <c r="F2038" s="31"/>
    </row>
    <row r="2039">
      <c r="A2039" s="134" t="str">
        <f>IFERROR(__xludf.DUMMYFUNCTION("""COMPUTED_VALUE"""),"Daugo")</f>
        <v>Daugo</v>
      </c>
      <c r="B2039" s="120" t="str">
        <f>IFERROR(__xludf.DUMMYFUNCTION("""COMPUTED_VALUE"""),"DGG")</f>
        <v>DGG</v>
      </c>
      <c r="C2039" s="120" t="str">
        <f>IFERROR(__xludf.DUMMYFUNCTION("""COMPUTED_VALUE"""),"Daugo")</f>
        <v>Daugo</v>
      </c>
      <c r="D2039" s="120" t="str">
        <f>IFERROR(__xludf.DUMMYFUNCTION("""COMPUTED_VALUE"""),"Papua New Guinea")</f>
        <v>Papua New Guinea</v>
      </c>
      <c r="E2039" s="135"/>
      <c r="F2039" s="31"/>
    </row>
    <row r="2040">
      <c r="A2040" s="134" t="str">
        <f>IFERROR(__xludf.DUMMYFUNCTION("""COMPUTED_VALUE"""),"Daup")</f>
        <v>Daup</v>
      </c>
      <c r="B2040" s="120" t="str">
        <f>IFERROR(__xludf.DUMMYFUNCTION("""COMPUTED_VALUE"""),"DAF")</f>
        <v>DAF</v>
      </c>
      <c r="C2040" s="120" t="str">
        <f>IFERROR(__xludf.DUMMYFUNCTION("""COMPUTED_VALUE"""),"Daup")</f>
        <v>Daup</v>
      </c>
      <c r="D2040" s="120" t="str">
        <f>IFERROR(__xludf.DUMMYFUNCTION("""COMPUTED_VALUE"""),"Papua New Guinea")</f>
        <v>Papua New Guinea</v>
      </c>
      <c r="E2040" s="135"/>
      <c r="F2040" s="31"/>
    </row>
    <row r="2041">
      <c r="A2041" s="134" t="str">
        <f>IFERROR(__xludf.DUMMYFUNCTION("""COMPUTED_VALUE"""),"Dauphin")</f>
        <v>Dauphin</v>
      </c>
      <c r="B2041" s="120" t="str">
        <f>IFERROR(__xludf.DUMMYFUNCTION("""COMPUTED_VALUE"""),"YDN")</f>
        <v>YDN</v>
      </c>
      <c r="C2041" s="120" t="str">
        <f>IFERROR(__xludf.DUMMYFUNCTION("""COMPUTED_VALUE"""),"Dauphin")</f>
        <v>Dauphin</v>
      </c>
      <c r="D2041" s="120" t="str">
        <f>IFERROR(__xludf.DUMMYFUNCTION("""COMPUTED_VALUE"""),"Canada")</f>
        <v>Canada</v>
      </c>
      <c r="E2041" s="135"/>
      <c r="F2041" s="31"/>
    </row>
    <row r="2042">
      <c r="A2042" s="134" t="str">
        <f>IFERROR(__xludf.DUMMYFUNCTION("""COMPUTED_VALUE"""),"Davao")</f>
        <v>Davao</v>
      </c>
      <c r="B2042" s="120" t="str">
        <f>IFERROR(__xludf.DUMMYFUNCTION("""COMPUTED_VALUE"""),"DVO")</f>
        <v>DVO</v>
      </c>
      <c r="C2042" s="120" t="str">
        <f>IFERROR(__xludf.DUMMYFUNCTION("""COMPUTED_VALUE"""),"Francisco Bangoy International Airport")</f>
        <v>Francisco Bangoy International Airport</v>
      </c>
      <c r="D2042" s="120" t="str">
        <f>IFERROR(__xludf.DUMMYFUNCTION("""COMPUTED_VALUE"""),"Philippines")</f>
        <v>Philippines</v>
      </c>
      <c r="E2042" s="135"/>
      <c r="F2042" s="31"/>
    </row>
    <row r="2043">
      <c r="A2043" s="134" t="str">
        <f>IFERROR(__xludf.DUMMYFUNCTION("""COMPUTED_VALUE"""),"Davenport")</f>
        <v>Davenport</v>
      </c>
      <c r="B2043" s="120" t="str">
        <f>IFERROR(__xludf.DUMMYFUNCTION("""COMPUTED_VALUE"""),"DVN")</f>
        <v>DVN</v>
      </c>
      <c r="C2043" s="120" t="str">
        <f>IFERROR(__xludf.DUMMYFUNCTION("""COMPUTED_VALUE"""),"Davenport")</f>
        <v>Davenport</v>
      </c>
      <c r="D2043" s="120" t="str">
        <f>IFERROR(__xludf.DUMMYFUNCTION("""COMPUTED_VALUE"""),"United States")</f>
        <v>United States</v>
      </c>
      <c r="E2043" s="135"/>
      <c r="F2043" s="31"/>
    </row>
    <row r="2044">
      <c r="A2044" s="134" t="str">
        <f>IFERROR(__xludf.DUMMYFUNCTION("""COMPUTED_VALUE"""),"Davenport Downs")</f>
        <v>Davenport Downs</v>
      </c>
      <c r="B2044" s="120" t="str">
        <f>IFERROR(__xludf.DUMMYFUNCTION("""COMPUTED_VALUE"""),"DVP")</f>
        <v>DVP</v>
      </c>
      <c r="C2044" s="120" t="str">
        <f>IFERROR(__xludf.DUMMYFUNCTION("""COMPUTED_VALUE"""),"Davenport Downs")</f>
        <v>Davenport Downs</v>
      </c>
      <c r="D2044" s="120" t="str">
        <f>IFERROR(__xludf.DUMMYFUNCTION("""COMPUTED_VALUE"""),"Australia")</f>
        <v>Australia</v>
      </c>
      <c r="E2044" s="135"/>
      <c r="F2044" s="31"/>
    </row>
    <row r="2045">
      <c r="A2045" s="134" t="str">
        <f>IFERROR(__xludf.DUMMYFUNCTION("""COMPUTED_VALUE"""),"David")</f>
        <v>David</v>
      </c>
      <c r="B2045" s="120" t="str">
        <f>IFERROR(__xludf.DUMMYFUNCTION("""COMPUTED_VALUE"""),"DAV")</f>
        <v>DAV</v>
      </c>
      <c r="C2045" s="120" t="str">
        <f>IFERROR(__xludf.DUMMYFUNCTION("""COMPUTED_VALUE"""),"Enrique Malek")</f>
        <v>Enrique Malek</v>
      </c>
      <c r="D2045" s="120" t="str">
        <f>IFERROR(__xludf.DUMMYFUNCTION("""COMPUTED_VALUE"""),"Panama")</f>
        <v>Panama</v>
      </c>
      <c r="E2045" s="135"/>
      <c r="F2045" s="31"/>
    </row>
    <row r="2046">
      <c r="A2046" s="134" t="str">
        <f>IFERROR(__xludf.DUMMYFUNCTION("""COMPUTED_VALUE"""),"Davis Inlet")</f>
        <v>Davis Inlet</v>
      </c>
      <c r="B2046" s="120" t="str">
        <f>IFERROR(__xludf.DUMMYFUNCTION("""COMPUTED_VALUE"""),"YDI")</f>
        <v>YDI</v>
      </c>
      <c r="C2046" s="120" t="str">
        <f>IFERROR(__xludf.DUMMYFUNCTION("""COMPUTED_VALUE"""),"Davis Inlet")</f>
        <v>Davis Inlet</v>
      </c>
      <c r="D2046" s="120" t="str">
        <f>IFERROR(__xludf.DUMMYFUNCTION("""COMPUTED_VALUE"""),"Canada")</f>
        <v>Canada</v>
      </c>
      <c r="E2046" s="135"/>
      <c r="F2046" s="31"/>
    </row>
    <row r="2047">
      <c r="A2047" s="134" t="str">
        <f>IFERROR(__xludf.DUMMYFUNCTION("""COMPUTED_VALUE"""),"Dawadmi")</f>
        <v>Dawadmi</v>
      </c>
      <c r="B2047" s="120" t="str">
        <f>IFERROR(__xludf.DUMMYFUNCTION("""COMPUTED_VALUE"""),"DWD")</f>
        <v>DWD</v>
      </c>
      <c r="C2047" s="120" t="str">
        <f>IFERROR(__xludf.DUMMYFUNCTION("""COMPUTED_VALUE"""),"Dawadmi")</f>
        <v>Dawadmi</v>
      </c>
      <c r="D2047" s="120" t="str">
        <f>IFERROR(__xludf.DUMMYFUNCTION("""COMPUTED_VALUE"""),"Saudi Arabia")</f>
        <v>Saudi Arabia</v>
      </c>
      <c r="E2047" s="135"/>
      <c r="F2047" s="31"/>
    </row>
    <row r="2048">
      <c r="A2048" s="134" t="str">
        <f>IFERROR(__xludf.DUMMYFUNCTION("""COMPUTED_VALUE"""),"Dawe")</f>
        <v>Dawe</v>
      </c>
      <c r="B2048" s="120" t="str">
        <f>IFERROR(__xludf.DUMMYFUNCTION("""COMPUTED_VALUE"""),"TVY")</f>
        <v>TVY</v>
      </c>
      <c r="C2048" s="120" t="str">
        <f>IFERROR(__xludf.DUMMYFUNCTION("""COMPUTED_VALUE"""),"Dawe")</f>
        <v>Dawe</v>
      </c>
      <c r="D2048" s="120" t="str">
        <f>IFERROR(__xludf.DUMMYFUNCTION("""COMPUTED_VALUE"""),"Myanmar")</f>
        <v>Myanmar</v>
      </c>
      <c r="E2048" s="135"/>
      <c r="F2048" s="31"/>
    </row>
    <row r="2049">
      <c r="A2049" s="134" t="str">
        <f>IFERROR(__xludf.DUMMYFUNCTION("""COMPUTED_VALUE"""),"Dawson City")</f>
        <v>Dawson City</v>
      </c>
      <c r="B2049" s="120" t="str">
        <f>IFERROR(__xludf.DUMMYFUNCTION("""COMPUTED_VALUE"""),"YDA")</f>
        <v>YDA</v>
      </c>
      <c r="C2049" s="120" t="str">
        <f>IFERROR(__xludf.DUMMYFUNCTION("""COMPUTED_VALUE"""),"Dawson City")</f>
        <v>Dawson City</v>
      </c>
      <c r="D2049" s="120" t="str">
        <f>IFERROR(__xludf.DUMMYFUNCTION("""COMPUTED_VALUE"""),"Canada")</f>
        <v>Canada</v>
      </c>
      <c r="E2049" s="135"/>
      <c r="F2049" s="31"/>
    </row>
    <row r="2050">
      <c r="A2050" s="134" t="str">
        <f>IFERROR(__xludf.DUMMYFUNCTION("""COMPUTED_VALUE"""),"Dawson Creek")</f>
        <v>Dawson Creek</v>
      </c>
      <c r="B2050" s="120" t="str">
        <f>IFERROR(__xludf.DUMMYFUNCTION("""COMPUTED_VALUE"""),"YDQ")</f>
        <v>YDQ</v>
      </c>
      <c r="C2050" s="120" t="str">
        <f>IFERROR(__xludf.DUMMYFUNCTION("""COMPUTED_VALUE"""),"Dawson Creek")</f>
        <v>Dawson Creek</v>
      </c>
      <c r="D2050" s="120" t="str">
        <f>IFERROR(__xludf.DUMMYFUNCTION("""COMPUTED_VALUE"""),"Canada")</f>
        <v>Canada</v>
      </c>
      <c r="E2050" s="135"/>
      <c r="F2050" s="31"/>
    </row>
    <row r="2051">
      <c r="A2051" s="134" t="str">
        <f>IFERROR(__xludf.DUMMYFUNCTION("""COMPUTED_VALUE"""),"Daxian")</f>
        <v>Daxian</v>
      </c>
      <c r="B2051" s="120" t="str">
        <f>IFERROR(__xludf.DUMMYFUNCTION("""COMPUTED_VALUE"""),"DAX")</f>
        <v>DAX</v>
      </c>
      <c r="C2051" s="120" t="str">
        <f>IFERROR(__xludf.DUMMYFUNCTION("""COMPUTED_VALUE"""),"Daxian")</f>
        <v>Daxian</v>
      </c>
      <c r="D2051" s="120" t="str">
        <f>IFERROR(__xludf.DUMMYFUNCTION("""COMPUTED_VALUE"""),"China")</f>
        <v>China</v>
      </c>
      <c r="E2051" s="135"/>
      <c r="F2051" s="31"/>
    </row>
    <row r="2052">
      <c r="A2052" s="134" t="str">
        <f>IFERROR(__xludf.DUMMYFUNCTION("""COMPUTED_VALUE"""),"Daydream Is")</f>
        <v>Daydream Is</v>
      </c>
      <c r="B2052" s="120" t="str">
        <f>IFERROR(__xludf.DUMMYFUNCTION("""COMPUTED_VALUE"""),"DDI")</f>
        <v>DDI</v>
      </c>
      <c r="C2052" s="120" t="str">
        <f>IFERROR(__xludf.DUMMYFUNCTION("""COMPUTED_VALUE"""),"Daydream Is")</f>
        <v>Daydream Is</v>
      </c>
      <c r="D2052" s="120" t="str">
        <f>IFERROR(__xludf.DUMMYFUNCTION("""COMPUTED_VALUE"""),"Australia")</f>
        <v>Australia</v>
      </c>
      <c r="E2052" s="135"/>
      <c r="F2052" s="31"/>
    </row>
    <row r="2053">
      <c r="A2053" s="134" t="str">
        <f>IFERROR(__xludf.DUMMYFUNCTION("""COMPUTED_VALUE"""),"Dayong")</f>
        <v>Dayong</v>
      </c>
      <c r="B2053" s="120" t="str">
        <f>IFERROR(__xludf.DUMMYFUNCTION("""COMPUTED_VALUE"""),"DYG")</f>
        <v>DYG</v>
      </c>
      <c r="C2053" s="120" t="str">
        <f>IFERROR(__xludf.DUMMYFUNCTION("""COMPUTED_VALUE"""),"Dayong")</f>
        <v>Dayong</v>
      </c>
      <c r="D2053" s="120" t="str">
        <f>IFERROR(__xludf.DUMMYFUNCTION("""COMPUTED_VALUE"""),"China")</f>
        <v>China</v>
      </c>
      <c r="E2053" s="135"/>
      <c r="F2053" s="31"/>
    </row>
    <row r="2054">
      <c r="A2054" s="134" t="str">
        <f>IFERROR(__xludf.DUMMYFUNCTION("""COMPUTED_VALUE"""),"Dayton")</f>
        <v>Dayton</v>
      </c>
      <c r="B2054" s="120" t="str">
        <f>IFERROR(__xludf.DUMMYFUNCTION("""COMPUTED_VALUE"""),"DAY")</f>
        <v>DAY</v>
      </c>
      <c r="C2054" s="120" t="str">
        <f>IFERROR(__xludf.DUMMYFUNCTION("""COMPUTED_VALUE"""),"James Cox Dayton Intl")</f>
        <v>James Cox Dayton Intl</v>
      </c>
      <c r="D2054" s="120" t="str">
        <f>IFERROR(__xludf.DUMMYFUNCTION("""COMPUTED_VALUE"""),"United States")</f>
        <v>United States</v>
      </c>
      <c r="E2054" s="135"/>
      <c r="F2054" s="31"/>
    </row>
    <row r="2055">
      <c r="A2055" s="134" t="str">
        <f>IFERROR(__xludf.DUMMYFUNCTION("""COMPUTED_VALUE"""),"Dayton")</f>
        <v>Dayton</v>
      </c>
      <c r="B2055" s="120" t="str">
        <f>IFERROR(__xludf.DUMMYFUNCTION("""COMPUTED_VALUE"""),"MGY")</f>
        <v>MGY</v>
      </c>
      <c r="C2055" s="120" t="str">
        <f>IFERROR(__xludf.DUMMYFUNCTION("""COMPUTED_VALUE"""),"Montgomery Co")</f>
        <v>Montgomery Co</v>
      </c>
      <c r="D2055" s="120" t="str">
        <f>IFERROR(__xludf.DUMMYFUNCTION("""COMPUTED_VALUE"""),"United States")</f>
        <v>United States</v>
      </c>
      <c r="E2055" s="135"/>
      <c r="F2055" s="31"/>
    </row>
    <row r="2056">
      <c r="A2056" s="134" t="str">
        <f>IFERROR(__xludf.DUMMYFUNCTION("""COMPUTED_VALUE"""),"Dayton")</f>
        <v>Dayton</v>
      </c>
      <c r="B2056" s="120" t="str">
        <f>IFERROR(__xludf.DUMMYFUNCTION("""COMPUTED_VALUE"""),"FFO")</f>
        <v>FFO</v>
      </c>
      <c r="C2056" s="120" t="str">
        <f>IFERROR(__xludf.DUMMYFUNCTION("""COMPUTED_VALUE"""),"Patterson AFB")</f>
        <v>Patterson AFB</v>
      </c>
      <c r="D2056" s="120" t="str">
        <f>IFERROR(__xludf.DUMMYFUNCTION("""COMPUTED_VALUE"""),"United States")</f>
        <v>United States</v>
      </c>
      <c r="E2056" s="135"/>
      <c r="F2056" s="31"/>
    </row>
    <row r="2057">
      <c r="A2057" s="134" t="str">
        <f>IFERROR(__xludf.DUMMYFUNCTION("""COMPUTED_VALUE"""),"Dayton")</f>
        <v>Dayton</v>
      </c>
      <c r="B2057" s="120" t="str">
        <f>IFERROR(__xludf.DUMMYFUNCTION("""COMPUTED_VALUE"""),"DWF")</f>
        <v>DWF</v>
      </c>
      <c r="C2057" s="120" t="str">
        <f>IFERROR(__xludf.DUMMYFUNCTION("""COMPUTED_VALUE"""),"Wright AFB")</f>
        <v>Wright AFB</v>
      </c>
      <c r="D2057" s="120" t="str">
        <f>IFERROR(__xludf.DUMMYFUNCTION("""COMPUTED_VALUE"""),"United States")</f>
        <v>United States</v>
      </c>
      <c r="E2057" s="135"/>
      <c r="F2057" s="31"/>
    </row>
    <row r="2058">
      <c r="A2058" s="134" t="str">
        <f>IFERROR(__xludf.DUMMYFUNCTION("""COMPUTED_VALUE"""),"Daytona Beach")</f>
        <v>Daytona Beach</v>
      </c>
      <c r="B2058" s="120" t="str">
        <f>IFERROR(__xludf.DUMMYFUNCTION("""COMPUTED_VALUE"""),"DAB")</f>
        <v>DAB</v>
      </c>
      <c r="C2058" s="120" t="str">
        <f>IFERROR(__xludf.DUMMYFUNCTION("""COMPUTED_VALUE"""),"Regional")</f>
        <v>Regional</v>
      </c>
      <c r="D2058" s="120" t="str">
        <f>IFERROR(__xludf.DUMMYFUNCTION("""COMPUTED_VALUE"""),"United States")</f>
        <v>United States</v>
      </c>
      <c r="E2058" s="135"/>
      <c r="F2058" s="31"/>
    </row>
    <row r="2059">
      <c r="A2059" s="134" t="str">
        <f>IFERROR(__xludf.DUMMYFUNCTION("""COMPUTED_VALUE"""),"Dazu")</f>
        <v>Dazu</v>
      </c>
      <c r="B2059" s="120" t="str">
        <f>IFERROR(__xludf.DUMMYFUNCTION("""COMPUTED_VALUE"""),"DZU")</f>
        <v>DZU</v>
      </c>
      <c r="C2059" s="120" t="str">
        <f>IFERROR(__xludf.DUMMYFUNCTION("""COMPUTED_VALUE"""),"Dazu")</f>
        <v>Dazu</v>
      </c>
      <c r="D2059" s="120" t="str">
        <f>IFERROR(__xludf.DUMMYFUNCTION("""COMPUTED_VALUE"""),"China")</f>
        <v>China</v>
      </c>
      <c r="E2059" s="135"/>
      <c r="F2059" s="31"/>
    </row>
    <row r="2060">
      <c r="A2060" s="134" t="str">
        <f>IFERROR(__xludf.DUMMYFUNCTION("""COMPUTED_VALUE"""),"De Ridder")</f>
        <v>De Ridder</v>
      </c>
      <c r="B2060" s="120" t="str">
        <f>IFERROR(__xludf.DUMMYFUNCTION("""COMPUTED_VALUE"""),"DRI")</f>
        <v>DRI</v>
      </c>
      <c r="C2060" s="120" t="str">
        <f>IFERROR(__xludf.DUMMYFUNCTION("""COMPUTED_VALUE"""),"Beauregard Parish")</f>
        <v>Beauregard Parish</v>
      </c>
      <c r="D2060" s="120" t="str">
        <f>IFERROR(__xludf.DUMMYFUNCTION("""COMPUTED_VALUE"""),"United States")</f>
        <v>United States</v>
      </c>
      <c r="E2060" s="135"/>
      <c r="F2060" s="31"/>
    </row>
    <row r="2061">
      <c r="A2061" s="134" t="str">
        <f>IFERROR(__xludf.DUMMYFUNCTION("""COMPUTED_VALUE"""),"Dean River")</f>
        <v>Dean River</v>
      </c>
      <c r="B2061" s="120" t="str">
        <f>IFERROR(__xludf.DUMMYFUNCTION("""COMPUTED_VALUE"""),"YRD")</f>
        <v>YRD</v>
      </c>
      <c r="C2061" s="120" t="str">
        <f>IFERROR(__xludf.DUMMYFUNCTION("""COMPUTED_VALUE"""),"Dean River")</f>
        <v>Dean River</v>
      </c>
      <c r="D2061" s="120" t="str">
        <f>IFERROR(__xludf.DUMMYFUNCTION("""COMPUTED_VALUE"""),"Canada")</f>
        <v>Canada</v>
      </c>
      <c r="E2061" s="135"/>
      <c r="F2061" s="31"/>
    </row>
    <row r="2062">
      <c r="A2062" s="134" t="str">
        <f>IFERROR(__xludf.DUMMYFUNCTION("""COMPUTED_VALUE"""),"Dearborn")</f>
        <v>Dearborn</v>
      </c>
      <c r="B2062" s="120" t="str">
        <f>IFERROR(__xludf.DUMMYFUNCTION("""COMPUTED_VALUE"""),"DEO")</f>
        <v>DEO</v>
      </c>
      <c r="C2062" s="120" t="str">
        <f>IFERROR(__xludf.DUMMYFUNCTION("""COMPUTED_VALUE"""),"Hyatt Regency H/P")</f>
        <v>Hyatt Regency H/P</v>
      </c>
      <c r="D2062" s="120" t="str">
        <f>IFERROR(__xludf.DUMMYFUNCTION("""COMPUTED_VALUE"""),"United States")</f>
        <v>United States</v>
      </c>
      <c r="E2062" s="135"/>
      <c r="F2062" s="31"/>
    </row>
    <row r="2063">
      <c r="A2063" s="134" t="str">
        <f>IFERROR(__xludf.DUMMYFUNCTION("""COMPUTED_VALUE"""),"Dease Lake")</f>
        <v>Dease Lake</v>
      </c>
      <c r="B2063" s="120" t="str">
        <f>IFERROR(__xludf.DUMMYFUNCTION("""COMPUTED_VALUE"""),"YDL")</f>
        <v>YDL</v>
      </c>
      <c r="C2063" s="120" t="str">
        <f>IFERROR(__xludf.DUMMYFUNCTION("""COMPUTED_VALUE"""),"Dease Lake")</f>
        <v>Dease Lake</v>
      </c>
      <c r="D2063" s="120" t="str">
        <f>IFERROR(__xludf.DUMMYFUNCTION("""COMPUTED_VALUE"""),"Canada")</f>
        <v>Canada</v>
      </c>
      <c r="E2063" s="135"/>
      <c r="F2063" s="31"/>
    </row>
    <row r="2064">
      <c r="A2064" s="134" t="str">
        <f>IFERROR(__xludf.DUMMYFUNCTION("""COMPUTED_VALUE"""),"Death Valley")</f>
        <v>Death Valley</v>
      </c>
      <c r="B2064" s="120" t="str">
        <f>IFERROR(__xludf.DUMMYFUNCTION("""COMPUTED_VALUE"""),"DTH")</f>
        <v>DTH</v>
      </c>
      <c r="C2064" s="120" t="str">
        <f>IFERROR(__xludf.DUMMYFUNCTION("""COMPUTED_VALUE"""),"Death Valley")</f>
        <v>Death Valley</v>
      </c>
      <c r="D2064" s="120" t="str">
        <f>IFERROR(__xludf.DUMMYFUNCTION("""COMPUTED_VALUE"""),"United States")</f>
        <v>United States</v>
      </c>
      <c r="E2064" s="135"/>
      <c r="F2064" s="31"/>
    </row>
    <row r="2065">
      <c r="A2065" s="134" t="str">
        <f>IFERROR(__xludf.DUMMYFUNCTION("""COMPUTED_VALUE"""),"Deauville")</f>
        <v>Deauville</v>
      </c>
      <c r="B2065" s="120" t="str">
        <f>IFERROR(__xludf.DUMMYFUNCTION("""COMPUTED_VALUE"""),"DOL")</f>
        <v>DOL</v>
      </c>
      <c r="C2065" s="120" t="str">
        <f>IFERROR(__xludf.DUMMYFUNCTION("""COMPUTED_VALUE"""),"St Gatien")</f>
        <v>St Gatien</v>
      </c>
      <c r="D2065" s="120" t="str">
        <f>IFERROR(__xludf.DUMMYFUNCTION("""COMPUTED_VALUE"""),"France")</f>
        <v>France</v>
      </c>
      <c r="E2065" s="135"/>
      <c r="F2065" s="31"/>
    </row>
    <row r="2066">
      <c r="A2066" s="134" t="str">
        <f>IFERROR(__xludf.DUMMYFUNCTION("""COMPUTED_VALUE"""),"Debepare")</f>
        <v>Debepare</v>
      </c>
      <c r="B2066" s="120" t="str">
        <f>IFERROR(__xludf.DUMMYFUNCTION("""COMPUTED_VALUE"""),"DBP")</f>
        <v>DBP</v>
      </c>
      <c r="C2066" s="120" t="str">
        <f>IFERROR(__xludf.DUMMYFUNCTION("""COMPUTED_VALUE"""),"Debepare")</f>
        <v>Debepare</v>
      </c>
      <c r="D2066" s="120" t="str">
        <f>IFERROR(__xludf.DUMMYFUNCTION("""COMPUTED_VALUE"""),"Papua New Guinea")</f>
        <v>Papua New Guinea</v>
      </c>
      <c r="E2066" s="135"/>
      <c r="F2066" s="31"/>
    </row>
    <row r="2067">
      <c r="A2067" s="134" t="str">
        <f>IFERROR(__xludf.DUMMYFUNCTION("""COMPUTED_VALUE"""),"Debra Marcos")</f>
        <v>Debra Marcos</v>
      </c>
      <c r="B2067" s="120" t="str">
        <f>IFERROR(__xludf.DUMMYFUNCTION("""COMPUTED_VALUE"""),"DBM")</f>
        <v>DBM</v>
      </c>
      <c r="C2067" s="120" t="str">
        <f>IFERROR(__xludf.DUMMYFUNCTION("""COMPUTED_VALUE"""),"Debra Marcos")</f>
        <v>Debra Marcos</v>
      </c>
      <c r="D2067" s="120" t="str">
        <f>IFERROR(__xludf.DUMMYFUNCTION("""COMPUTED_VALUE"""),"Ethiopia")</f>
        <v>Ethiopia</v>
      </c>
      <c r="E2067" s="135"/>
      <c r="F2067" s="31"/>
    </row>
    <row r="2068">
      <c r="A2068" s="134" t="str">
        <f>IFERROR(__xludf.DUMMYFUNCTION("""COMPUTED_VALUE"""),"Debra Tabor")</f>
        <v>Debra Tabor</v>
      </c>
      <c r="B2068" s="120" t="str">
        <f>IFERROR(__xludf.DUMMYFUNCTION("""COMPUTED_VALUE"""),"DBT")</f>
        <v>DBT</v>
      </c>
      <c r="C2068" s="120" t="str">
        <f>IFERROR(__xludf.DUMMYFUNCTION("""COMPUTED_VALUE"""),"Debra Tabor")</f>
        <v>Debra Tabor</v>
      </c>
      <c r="D2068" s="120" t="str">
        <f>IFERROR(__xludf.DUMMYFUNCTION("""COMPUTED_VALUE"""),"Ethiopia")</f>
        <v>Ethiopia</v>
      </c>
      <c r="E2068" s="135"/>
      <c r="F2068" s="31"/>
    </row>
    <row r="2069">
      <c r="A2069" s="134" t="str">
        <f>IFERROR(__xludf.DUMMYFUNCTION("""COMPUTED_VALUE"""),"Debrecen")</f>
        <v>Debrecen</v>
      </c>
      <c r="B2069" s="120" t="str">
        <f>IFERROR(__xludf.DUMMYFUNCTION("""COMPUTED_VALUE"""),"DEB")</f>
        <v>DEB</v>
      </c>
      <c r="C2069" s="120" t="str">
        <f>IFERROR(__xludf.DUMMYFUNCTION("""COMPUTED_VALUE"""),"Debrecen")</f>
        <v>Debrecen</v>
      </c>
      <c r="D2069" s="120" t="str">
        <f>IFERROR(__xludf.DUMMYFUNCTION("""COMPUTED_VALUE"""),"Hungary")</f>
        <v>Hungary</v>
      </c>
      <c r="E2069" s="135"/>
      <c r="F2069" s="31"/>
    </row>
    <row r="2070">
      <c r="A2070" s="134" t="str">
        <f>IFERROR(__xludf.DUMMYFUNCTION("""COMPUTED_VALUE"""),"Decatur")</f>
        <v>Decatur</v>
      </c>
      <c r="B2070" s="120" t="str">
        <f>IFERROR(__xludf.DUMMYFUNCTION("""COMPUTED_VALUE"""),"DCU")</f>
        <v>DCU</v>
      </c>
      <c r="C2070" s="120" t="str">
        <f>IFERROR(__xludf.DUMMYFUNCTION("""COMPUTED_VALUE"""),"Pyor")</f>
        <v>Pyor</v>
      </c>
      <c r="D2070" s="120" t="str">
        <f>IFERROR(__xludf.DUMMYFUNCTION("""COMPUTED_VALUE"""),"United States")</f>
        <v>United States</v>
      </c>
      <c r="E2070" s="135"/>
      <c r="F2070" s="31"/>
    </row>
    <row r="2071">
      <c r="A2071" s="134" t="str">
        <f>IFERROR(__xludf.DUMMYFUNCTION("""COMPUTED_VALUE"""),"Decatur")</f>
        <v>Decatur</v>
      </c>
      <c r="B2071" s="120" t="str">
        <f>IFERROR(__xludf.DUMMYFUNCTION("""COMPUTED_VALUE"""),"DEC")</f>
        <v>DEC</v>
      </c>
      <c r="C2071" s="120" t="str">
        <f>IFERROR(__xludf.DUMMYFUNCTION("""COMPUTED_VALUE"""),"Decatur Arpt")</f>
        <v>Decatur Arpt</v>
      </c>
      <c r="D2071" s="120" t="str">
        <f>IFERROR(__xludf.DUMMYFUNCTION("""COMPUTED_VALUE"""),"United States")</f>
        <v>United States</v>
      </c>
      <c r="E2071" s="135"/>
      <c r="F2071" s="31"/>
    </row>
    <row r="2072">
      <c r="A2072" s="134" t="str">
        <f>IFERROR(__xludf.DUMMYFUNCTION("""COMPUTED_VALUE"""),"Decatur")</f>
        <v>Decatur</v>
      </c>
      <c r="B2072" s="120" t="str">
        <f>IFERROR(__xludf.DUMMYFUNCTION("""COMPUTED_VALUE"""),"DCR")</f>
        <v>DCR</v>
      </c>
      <c r="C2072" s="120" t="str">
        <f>IFERROR(__xludf.DUMMYFUNCTION("""COMPUTED_VALUE"""),"Decatur Hi-Way")</f>
        <v>Decatur Hi-Way</v>
      </c>
      <c r="D2072" s="120" t="str">
        <f>IFERROR(__xludf.DUMMYFUNCTION("""COMPUTED_VALUE"""),"United States")</f>
        <v>United States</v>
      </c>
      <c r="E2072" s="135"/>
      <c r="F2072" s="31"/>
    </row>
    <row r="2073">
      <c r="A2073" s="134" t="str">
        <f>IFERROR(__xludf.DUMMYFUNCTION("""COMPUTED_VALUE"""),"Decatur Island")</f>
        <v>Decatur Island</v>
      </c>
      <c r="B2073" s="120" t="str">
        <f>IFERROR(__xludf.DUMMYFUNCTION("""COMPUTED_VALUE"""),"DTR")</f>
        <v>DTR</v>
      </c>
      <c r="C2073" s="120" t="str">
        <f>IFERROR(__xludf.DUMMYFUNCTION("""COMPUTED_VALUE"""),"Decatur Island")</f>
        <v>Decatur Island</v>
      </c>
      <c r="D2073" s="120" t="str">
        <f>IFERROR(__xludf.DUMMYFUNCTION("""COMPUTED_VALUE"""),"United States")</f>
        <v>United States</v>
      </c>
      <c r="E2073" s="135"/>
      <c r="F2073" s="31"/>
    </row>
    <row r="2074">
      <c r="A2074" s="134" t="str">
        <f>IFERROR(__xludf.DUMMYFUNCTION("""COMPUTED_VALUE"""),"Deception")</f>
        <v>Deception</v>
      </c>
      <c r="B2074" s="120" t="str">
        <f>IFERROR(__xludf.DUMMYFUNCTION("""COMPUTED_VALUE"""),"YGY")</f>
        <v>YGY</v>
      </c>
      <c r="C2074" s="120" t="str">
        <f>IFERROR(__xludf.DUMMYFUNCTION("""COMPUTED_VALUE"""),"Deception")</f>
        <v>Deception</v>
      </c>
      <c r="D2074" s="120" t="str">
        <f>IFERROR(__xludf.DUMMYFUNCTION("""COMPUTED_VALUE"""),"Canada")</f>
        <v>Canada</v>
      </c>
      <c r="E2074" s="135"/>
      <c r="F2074" s="31"/>
    </row>
    <row r="2075">
      <c r="A2075" s="134" t="str">
        <f>IFERROR(__xludf.DUMMYFUNCTION("""COMPUTED_VALUE"""),"Decimomannu")</f>
        <v>Decimomannu</v>
      </c>
      <c r="B2075" s="120" t="str">
        <f>IFERROR(__xludf.DUMMYFUNCTION("""COMPUTED_VALUE"""),"DCI")</f>
        <v>DCI</v>
      </c>
      <c r="C2075" s="120" t="str">
        <f>IFERROR(__xludf.DUMMYFUNCTION("""COMPUTED_VALUE"""),"Rafsu Decimomannu")</f>
        <v>Rafsu Decimomannu</v>
      </c>
      <c r="D2075" s="120" t="str">
        <f>IFERROR(__xludf.DUMMYFUNCTION("""COMPUTED_VALUE"""),"Italy")</f>
        <v>Italy</v>
      </c>
      <c r="E2075" s="135"/>
      <c r="F2075" s="31"/>
    </row>
    <row r="2076">
      <c r="A2076" s="134" t="str">
        <f>IFERROR(__xludf.DUMMYFUNCTION("""COMPUTED_VALUE"""),"Decorah")</f>
        <v>Decorah</v>
      </c>
      <c r="B2076" s="120" t="str">
        <f>IFERROR(__xludf.DUMMYFUNCTION("""COMPUTED_VALUE"""),"DEH")</f>
        <v>DEH</v>
      </c>
      <c r="C2076" s="120" t="str">
        <f>IFERROR(__xludf.DUMMYFUNCTION("""COMPUTED_VALUE"""),"Municipal")</f>
        <v>Municipal</v>
      </c>
      <c r="D2076" s="120" t="str">
        <f>IFERROR(__xludf.DUMMYFUNCTION("""COMPUTED_VALUE"""),"United States")</f>
        <v>United States</v>
      </c>
      <c r="E2076" s="135"/>
      <c r="F2076" s="31"/>
    </row>
    <row r="2077">
      <c r="A2077" s="134" t="str">
        <f>IFERROR(__xludf.DUMMYFUNCTION("""COMPUTED_VALUE"""),"Dedougou")</f>
        <v>Dedougou</v>
      </c>
      <c r="B2077" s="120" t="str">
        <f>IFERROR(__xludf.DUMMYFUNCTION("""COMPUTED_VALUE"""),"DGU")</f>
        <v>DGU</v>
      </c>
      <c r="C2077" s="120" t="str">
        <f>IFERROR(__xludf.DUMMYFUNCTION("""COMPUTED_VALUE"""),"Dedougou")</f>
        <v>Dedougou</v>
      </c>
      <c r="D2077" s="120" t="str">
        <f>IFERROR(__xludf.DUMMYFUNCTION("""COMPUTED_VALUE"""),"Burkina Faso")</f>
        <v>Burkina Faso</v>
      </c>
      <c r="E2077" s="135"/>
      <c r="F2077" s="31"/>
    </row>
    <row r="2078">
      <c r="A2078" s="134" t="str">
        <f>IFERROR(__xludf.DUMMYFUNCTION("""COMPUTED_VALUE"""),"Deep Bay")</f>
        <v>Deep Bay</v>
      </c>
      <c r="B2078" s="120" t="str">
        <f>IFERROR(__xludf.DUMMYFUNCTION("""COMPUTED_VALUE"""),"WDB")</f>
        <v>WDB</v>
      </c>
      <c r="C2078" s="120" t="str">
        <f>IFERROR(__xludf.DUMMYFUNCTION("""COMPUTED_VALUE"""),"Deep Bay")</f>
        <v>Deep Bay</v>
      </c>
      <c r="D2078" s="120" t="str">
        <f>IFERROR(__xludf.DUMMYFUNCTION("""COMPUTED_VALUE"""),"United States")</f>
        <v>United States</v>
      </c>
      <c r="E2078" s="135"/>
      <c r="F2078" s="31"/>
    </row>
    <row r="2079">
      <c r="A2079" s="134" t="str">
        <f>IFERROR(__xludf.DUMMYFUNCTION("""COMPUTED_VALUE"""),"Deer Lake")</f>
        <v>Deer Lake</v>
      </c>
      <c r="B2079" s="120" t="str">
        <f>IFERROR(__xludf.DUMMYFUNCTION("""COMPUTED_VALUE"""),"YDF")</f>
        <v>YDF</v>
      </c>
      <c r="C2079" s="120" t="str">
        <f>IFERROR(__xludf.DUMMYFUNCTION("""COMPUTED_VALUE"""),"Deer Lake")</f>
        <v>Deer Lake</v>
      </c>
      <c r="D2079" s="120" t="str">
        <f>IFERROR(__xludf.DUMMYFUNCTION("""COMPUTED_VALUE"""),"Canada")</f>
        <v>Canada</v>
      </c>
      <c r="E2079" s="135"/>
      <c r="F2079" s="31"/>
    </row>
    <row r="2080">
      <c r="A2080" s="134" t="str">
        <f>IFERROR(__xludf.DUMMYFUNCTION("""COMPUTED_VALUE"""),"Deer Lake")</f>
        <v>Deer Lake</v>
      </c>
      <c r="B2080" s="120" t="str">
        <f>IFERROR(__xludf.DUMMYFUNCTION("""COMPUTED_VALUE"""),"YVZ")</f>
        <v>YVZ</v>
      </c>
      <c r="C2080" s="120" t="str">
        <f>IFERROR(__xludf.DUMMYFUNCTION("""COMPUTED_VALUE"""),"Deer Lake")</f>
        <v>Deer Lake</v>
      </c>
      <c r="D2080" s="120" t="str">
        <f>IFERROR(__xludf.DUMMYFUNCTION("""COMPUTED_VALUE"""),"Canada")</f>
        <v>Canada</v>
      </c>
      <c r="E2080" s="135"/>
      <c r="F2080" s="31"/>
    </row>
    <row r="2081">
      <c r="A2081" s="134" t="str">
        <f>IFERROR(__xludf.DUMMYFUNCTION("""COMPUTED_VALUE"""),"Deer Park")</f>
        <v>Deer Park</v>
      </c>
      <c r="B2081" s="120" t="str">
        <f>IFERROR(__xludf.DUMMYFUNCTION("""COMPUTED_VALUE"""),"DPK")</f>
        <v>DPK</v>
      </c>
      <c r="C2081" s="120" t="str">
        <f>IFERROR(__xludf.DUMMYFUNCTION("""COMPUTED_VALUE"""),"Deer Park")</f>
        <v>Deer Park</v>
      </c>
      <c r="D2081" s="120" t="str">
        <f>IFERROR(__xludf.DUMMYFUNCTION("""COMPUTED_VALUE"""),"United States")</f>
        <v>United States</v>
      </c>
      <c r="E2081" s="135"/>
      <c r="F2081" s="31"/>
    </row>
    <row r="2082">
      <c r="A2082" s="134" t="str">
        <f>IFERROR(__xludf.DUMMYFUNCTION("""COMPUTED_VALUE"""),"Deering")</f>
        <v>Deering</v>
      </c>
      <c r="B2082" s="120" t="str">
        <f>IFERROR(__xludf.DUMMYFUNCTION("""COMPUTED_VALUE"""),"DRG")</f>
        <v>DRG</v>
      </c>
      <c r="C2082" s="120" t="str">
        <f>IFERROR(__xludf.DUMMYFUNCTION("""COMPUTED_VALUE"""),"Deering")</f>
        <v>Deering</v>
      </c>
      <c r="D2082" s="120" t="str">
        <f>IFERROR(__xludf.DUMMYFUNCTION("""COMPUTED_VALUE"""),"United States")</f>
        <v>United States</v>
      </c>
      <c r="E2082" s="135"/>
      <c r="F2082" s="31"/>
    </row>
    <row r="2083">
      <c r="A2083" s="134" t="str">
        <f>IFERROR(__xludf.DUMMYFUNCTION("""COMPUTED_VALUE"""),"Defiance")</f>
        <v>Defiance</v>
      </c>
      <c r="B2083" s="120" t="str">
        <f>IFERROR(__xludf.DUMMYFUNCTION("""COMPUTED_VALUE"""),"DFI")</f>
        <v>DFI</v>
      </c>
      <c r="C2083" s="120" t="str">
        <f>IFERROR(__xludf.DUMMYFUNCTION("""COMPUTED_VALUE"""),"Memorial")</f>
        <v>Memorial</v>
      </c>
      <c r="D2083" s="120" t="str">
        <f>IFERROR(__xludf.DUMMYFUNCTION("""COMPUTED_VALUE"""),"United States")</f>
        <v>United States</v>
      </c>
      <c r="E2083" s="135"/>
      <c r="F2083" s="31"/>
    </row>
    <row r="2084">
      <c r="A2084" s="134" t="str">
        <f>IFERROR(__xludf.DUMMYFUNCTION("""COMPUTED_VALUE"""),"Degahbur")</f>
        <v>Degahbur</v>
      </c>
      <c r="B2084" s="120" t="str">
        <f>IFERROR(__xludf.DUMMYFUNCTION("""COMPUTED_VALUE"""),"DGC")</f>
        <v>DGC</v>
      </c>
      <c r="C2084" s="120" t="str">
        <f>IFERROR(__xludf.DUMMYFUNCTION("""COMPUTED_VALUE"""),"Degahbur")</f>
        <v>Degahbur</v>
      </c>
      <c r="D2084" s="120" t="str">
        <f>IFERROR(__xludf.DUMMYFUNCTION("""COMPUTED_VALUE"""),"Ethiopia")</f>
        <v>Ethiopia</v>
      </c>
      <c r="E2084" s="135"/>
      <c r="F2084" s="31"/>
    </row>
    <row r="2085">
      <c r="A2085" s="134" t="str">
        <f>IFERROR(__xludf.DUMMYFUNCTION("""COMPUTED_VALUE"""),"Dehra Dun")</f>
        <v>Dehra Dun</v>
      </c>
      <c r="B2085" s="120" t="str">
        <f>IFERROR(__xludf.DUMMYFUNCTION("""COMPUTED_VALUE"""),"DED")</f>
        <v>DED</v>
      </c>
      <c r="C2085" s="120" t="str">
        <f>IFERROR(__xludf.DUMMYFUNCTION("""COMPUTED_VALUE"""),"Dehra Dun")</f>
        <v>Dehra Dun</v>
      </c>
      <c r="D2085" s="120" t="str">
        <f>IFERROR(__xludf.DUMMYFUNCTION("""COMPUTED_VALUE"""),"India")</f>
        <v>India</v>
      </c>
      <c r="E2085" s="135"/>
      <c r="F2085" s="31"/>
    </row>
    <row r="2086">
      <c r="A2086" s="134" t="str">
        <f>IFERROR(__xludf.DUMMYFUNCTION("""COMPUTED_VALUE"""),"Deirezzor")</f>
        <v>Deirezzor</v>
      </c>
      <c r="B2086" s="120" t="str">
        <f>IFERROR(__xludf.DUMMYFUNCTION("""COMPUTED_VALUE"""),"DEZ")</f>
        <v>DEZ</v>
      </c>
      <c r="C2086" s="120" t="str">
        <f>IFERROR(__xludf.DUMMYFUNCTION("""COMPUTED_VALUE"""),"Al Jafrah")</f>
        <v>Al Jafrah</v>
      </c>
      <c r="D2086" s="120" t="str">
        <f>IFERROR(__xludf.DUMMYFUNCTION("""COMPUTED_VALUE"""),"Syria")</f>
        <v>Syria</v>
      </c>
      <c r="E2086" s="135"/>
      <c r="F2086" s="31"/>
    </row>
    <row r="2087">
      <c r="A2087" s="134" t="str">
        <f>IFERROR(__xludf.DUMMYFUNCTION("""COMPUTED_VALUE"""),"Del Rio")</f>
        <v>Del Rio</v>
      </c>
      <c r="B2087" s="120" t="str">
        <f>IFERROR(__xludf.DUMMYFUNCTION("""COMPUTED_VALUE"""),"DRT")</f>
        <v>DRT</v>
      </c>
      <c r="C2087" s="120" t="str">
        <f>IFERROR(__xludf.DUMMYFUNCTION("""COMPUTED_VALUE"""),"International")</f>
        <v>International</v>
      </c>
      <c r="D2087" s="120" t="str">
        <f>IFERROR(__xludf.DUMMYFUNCTION("""COMPUTED_VALUE"""),"United States")</f>
        <v>United States</v>
      </c>
      <c r="E2087" s="135"/>
      <c r="F2087" s="31"/>
    </row>
    <row r="2088">
      <c r="A2088" s="134" t="str">
        <f>IFERROR(__xludf.DUMMYFUNCTION("""COMPUTED_VALUE"""),"Del Rio")</f>
        <v>Del Rio</v>
      </c>
      <c r="B2088" s="120" t="str">
        <f>IFERROR(__xludf.DUMMYFUNCTION("""COMPUTED_VALUE"""),"DLF")</f>
        <v>DLF</v>
      </c>
      <c r="C2088" s="120" t="str">
        <f>IFERROR(__xludf.DUMMYFUNCTION("""COMPUTED_VALUE"""),"Laughlin AFB")</f>
        <v>Laughlin AFB</v>
      </c>
      <c r="D2088" s="120" t="str">
        <f>IFERROR(__xludf.DUMMYFUNCTION("""COMPUTED_VALUE"""),"United States")</f>
        <v>United States</v>
      </c>
      <c r="E2088" s="135"/>
      <c r="F2088" s="31"/>
    </row>
    <row r="2089">
      <c r="A2089" s="134" t="str">
        <f>IFERROR(__xludf.DUMMYFUNCTION("""COMPUTED_VALUE"""),"Delhi")</f>
        <v>Delhi</v>
      </c>
      <c r="B2089" s="120" t="str">
        <f>IFERROR(__xludf.DUMMYFUNCTION("""COMPUTED_VALUE"""),"DEL")</f>
        <v>DEL</v>
      </c>
      <c r="C2089" s="120" t="str">
        <f>IFERROR(__xludf.DUMMYFUNCTION("""COMPUTED_VALUE"""),"Indira Gandhi Intl")</f>
        <v>Indira Gandhi Intl</v>
      </c>
      <c r="D2089" s="120" t="str">
        <f>IFERROR(__xludf.DUMMYFUNCTION("""COMPUTED_VALUE"""),"India")</f>
        <v>India</v>
      </c>
      <c r="E2089" s="135"/>
      <c r="F2089" s="31"/>
    </row>
    <row r="2090">
      <c r="A2090" s="134" t="str">
        <f>IFERROR(__xludf.DUMMYFUNCTION("""COMPUTED_VALUE"""),"Deline")</f>
        <v>Deline</v>
      </c>
      <c r="B2090" s="120" t="str">
        <f>IFERROR(__xludf.DUMMYFUNCTION("""COMPUTED_VALUE"""),"YWJ")</f>
        <v>YWJ</v>
      </c>
      <c r="C2090" s="120" t="str">
        <f>IFERROR(__xludf.DUMMYFUNCTION("""COMPUTED_VALUE"""),"Deline")</f>
        <v>Deline</v>
      </c>
      <c r="D2090" s="120" t="str">
        <f>IFERROR(__xludf.DUMMYFUNCTION("""COMPUTED_VALUE"""),"Canada")</f>
        <v>Canada</v>
      </c>
      <c r="E2090" s="135"/>
      <c r="F2090" s="31"/>
    </row>
    <row r="2091">
      <c r="A2091" s="134" t="str">
        <f>IFERROR(__xludf.DUMMYFUNCTION("""COMPUTED_VALUE"""),"Delissaville")</f>
        <v>Delissaville</v>
      </c>
      <c r="B2091" s="120" t="str">
        <f>IFERROR(__xludf.DUMMYFUNCTION("""COMPUTED_VALUE"""),"DLV")</f>
        <v>DLV</v>
      </c>
      <c r="C2091" s="120" t="str">
        <f>IFERROR(__xludf.DUMMYFUNCTION("""COMPUTED_VALUE"""),"Delissaville")</f>
        <v>Delissaville</v>
      </c>
      <c r="D2091" s="120" t="str">
        <f>IFERROR(__xludf.DUMMYFUNCTION("""COMPUTED_VALUE"""),"Australia")</f>
        <v>Australia</v>
      </c>
      <c r="E2091" s="135"/>
      <c r="F2091" s="31"/>
    </row>
    <row r="2092">
      <c r="A2092" s="134" t="str">
        <f>IFERROR(__xludf.DUMMYFUNCTION("""COMPUTED_VALUE"""),"Delta")</f>
        <v>Delta</v>
      </c>
      <c r="B2092" s="120" t="str">
        <f>IFERROR(__xludf.DUMMYFUNCTION("""COMPUTED_VALUE"""),"DTA")</f>
        <v>DTA</v>
      </c>
      <c r="C2092" s="120" t="str">
        <f>IFERROR(__xludf.DUMMYFUNCTION("""COMPUTED_VALUE"""),"Delta")</f>
        <v>Delta</v>
      </c>
      <c r="D2092" s="120" t="str">
        <f>IFERROR(__xludf.DUMMYFUNCTION("""COMPUTED_VALUE"""),"United States")</f>
        <v>United States</v>
      </c>
      <c r="E2092" s="135"/>
      <c r="F2092" s="31"/>
    </row>
    <row r="2093">
      <c r="A2093" s="134" t="str">
        <f>IFERROR(__xludf.DUMMYFUNCTION("""COMPUTED_VALUE"""),"Delta Downs")</f>
        <v>Delta Downs</v>
      </c>
      <c r="B2093" s="120" t="str">
        <f>IFERROR(__xludf.DUMMYFUNCTION("""COMPUTED_VALUE"""),"DDN")</f>
        <v>DDN</v>
      </c>
      <c r="C2093" s="120" t="str">
        <f>IFERROR(__xludf.DUMMYFUNCTION("""COMPUTED_VALUE"""),"Delta Downs")</f>
        <v>Delta Downs</v>
      </c>
      <c r="D2093" s="120" t="str">
        <f>IFERROR(__xludf.DUMMYFUNCTION("""COMPUTED_VALUE"""),"Australia")</f>
        <v>Australia</v>
      </c>
      <c r="E2093" s="135"/>
      <c r="F2093" s="31"/>
    </row>
    <row r="2094">
      <c r="A2094" s="134" t="str">
        <f>IFERROR(__xludf.DUMMYFUNCTION("""COMPUTED_VALUE"""),"Delta Junction")</f>
        <v>Delta Junction</v>
      </c>
      <c r="B2094" s="120" t="str">
        <f>IFERROR(__xludf.DUMMYFUNCTION("""COMPUTED_VALUE"""),"DJN")</f>
        <v>DJN</v>
      </c>
      <c r="C2094" s="120" t="str">
        <f>IFERROR(__xludf.DUMMYFUNCTION("""COMPUTED_VALUE"""),"Delta Junction")</f>
        <v>Delta Junction</v>
      </c>
      <c r="D2094" s="120" t="str">
        <f>IFERROR(__xludf.DUMMYFUNCTION("""COMPUTED_VALUE"""),"United States")</f>
        <v>United States</v>
      </c>
      <c r="E2094" s="135"/>
      <c r="F2094" s="31"/>
    </row>
    <row r="2095">
      <c r="A2095" s="134" t="str">
        <f>IFERROR(__xludf.DUMMYFUNCTION("""COMPUTED_VALUE"""),"Dembidollo")</f>
        <v>Dembidollo</v>
      </c>
      <c r="B2095" s="120" t="str">
        <f>IFERROR(__xludf.DUMMYFUNCTION("""COMPUTED_VALUE"""),"DEM")</f>
        <v>DEM</v>
      </c>
      <c r="C2095" s="120" t="str">
        <f>IFERROR(__xludf.DUMMYFUNCTION("""COMPUTED_VALUE"""),"Dembidollo")</f>
        <v>Dembidollo</v>
      </c>
      <c r="D2095" s="120" t="str">
        <f>IFERROR(__xludf.DUMMYFUNCTION("""COMPUTED_VALUE"""),"Ethiopia")</f>
        <v>Ethiopia</v>
      </c>
      <c r="E2095" s="135"/>
      <c r="F2095" s="31"/>
    </row>
    <row r="2096">
      <c r="A2096" s="134" t="str">
        <f>IFERROR(__xludf.DUMMYFUNCTION("""COMPUTED_VALUE"""),"Deming")</f>
        <v>Deming</v>
      </c>
      <c r="B2096" s="120" t="str">
        <f>IFERROR(__xludf.DUMMYFUNCTION("""COMPUTED_VALUE"""),"DMN")</f>
        <v>DMN</v>
      </c>
      <c r="C2096" s="120" t="str">
        <f>IFERROR(__xludf.DUMMYFUNCTION("""COMPUTED_VALUE"""),"Deming")</f>
        <v>Deming</v>
      </c>
      <c r="D2096" s="120" t="str">
        <f>IFERROR(__xludf.DUMMYFUNCTION("""COMPUTED_VALUE"""),"United States")</f>
        <v>United States</v>
      </c>
      <c r="E2096" s="135"/>
      <c r="F2096" s="31"/>
    </row>
    <row r="2097">
      <c r="A2097" s="134" t="str">
        <f>IFERROR(__xludf.DUMMYFUNCTION("""COMPUTED_VALUE"""),"Den Helder")</f>
        <v>Den Helder</v>
      </c>
      <c r="B2097" s="120" t="str">
        <f>IFERROR(__xludf.DUMMYFUNCTION("""COMPUTED_VALUE"""),"DHR")</f>
        <v>DHR</v>
      </c>
      <c r="C2097" s="120" t="str">
        <f>IFERROR(__xludf.DUMMYFUNCTION("""COMPUTED_VALUE"""),"De Kooy")</f>
        <v>De Kooy</v>
      </c>
      <c r="D2097" s="120" t="str">
        <f>IFERROR(__xludf.DUMMYFUNCTION("""COMPUTED_VALUE"""),"Netherlands")</f>
        <v>Netherlands</v>
      </c>
      <c r="E2097" s="135"/>
      <c r="F2097" s="31"/>
    </row>
    <row r="2098">
      <c r="A2098" s="134" t="str">
        <f>IFERROR(__xludf.DUMMYFUNCTION("""COMPUTED_VALUE"""),"Denham")</f>
        <v>Denham</v>
      </c>
      <c r="B2098" s="120" t="str">
        <f>IFERROR(__xludf.DUMMYFUNCTION("""COMPUTED_VALUE"""),"DNM")</f>
        <v>DNM</v>
      </c>
      <c r="C2098" s="120" t="str">
        <f>IFERROR(__xludf.DUMMYFUNCTION("""COMPUTED_VALUE"""),"Denham")</f>
        <v>Denham</v>
      </c>
      <c r="D2098" s="120" t="str">
        <f>IFERROR(__xludf.DUMMYFUNCTION("""COMPUTED_VALUE"""),"Australia")</f>
        <v>Australia</v>
      </c>
      <c r="E2098" s="135"/>
      <c r="F2098" s="31"/>
    </row>
    <row r="2099">
      <c r="A2099" s="134" t="str">
        <f>IFERROR(__xludf.DUMMYFUNCTION("""COMPUTED_VALUE"""),"Deniliquin")</f>
        <v>Deniliquin</v>
      </c>
      <c r="B2099" s="120" t="str">
        <f>IFERROR(__xludf.DUMMYFUNCTION("""COMPUTED_VALUE"""),"DNQ")</f>
        <v>DNQ</v>
      </c>
      <c r="C2099" s="120" t="str">
        <f>IFERROR(__xludf.DUMMYFUNCTION("""COMPUTED_VALUE"""),"Deniliquin")</f>
        <v>Deniliquin</v>
      </c>
      <c r="D2099" s="120" t="str">
        <f>IFERROR(__xludf.DUMMYFUNCTION("""COMPUTED_VALUE"""),"Australia")</f>
        <v>Australia</v>
      </c>
      <c r="E2099" s="135"/>
      <c r="F2099" s="31"/>
    </row>
    <row r="2100">
      <c r="A2100" s="134" t="str">
        <f>IFERROR(__xludf.DUMMYFUNCTION("""COMPUTED_VALUE"""),"Denis Island")</f>
        <v>Denis Island</v>
      </c>
      <c r="B2100" s="120" t="str">
        <f>IFERROR(__xludf.DUMMYFUNCTION("""COMPUTED_VALUE"""),"DEI")</f>
        <v>DEI</v>
      </c>
      <c r="C2100" s="120" t="str">
        <f>IFERROR(__xludf.DUMMYFUNCTION("""COMPUTED_VALUE"""),"Denis Island")</f>
        <v>Denis Island</v>
      </c>
      <c r="D2100" s="120" t="str">
        <f>IFERROR(__xludf.DUMMYFUNCTION("""COMPUTED_VALUE"""),"Seychelles")</f>
        <v>Seychelles</v>
      </c>
      <c r="E2100" s="135"/>
      <c r="F2100" s="31"/>
    </row>
    <row r="2101">
      <c r="A2101" s="134" t="str">
        <f>IFERROR(__xludf.DUMMYFUNCTION("""COMPUTED_VALUE"""),"Denison")</f>
        <v>Denison</v>
      </c>
      <c r="B2101" s="120" t="str">
        <f>IFERROR(__xludf.DUMMYFUNCTION("""COMPUTED_VALUE"""),"DNS")</f>
        <v>DNS</v>
      </c>
      <c r="C2101" s="120" t="str">
        <f>IFERROR(__xludf.DUMMYFUNCTION("""COMPUTED_VALUE"""),"Municipal")</f>
        <v>Municipal</v>
      </c>
      <c r="D2101" s="120" t="str">
        <f>IFERROR(__xludf.DUMMYFUNCTION("""COMPUTED_VALUE"""),"United States")</f>
        <v>United States</v>
      </c>
      <c r="E2101" s="135"/>
      <c r="F2101" s="31"/>
    </row>
    <row r="2102">
      <c r="A2102" s="134" t="str">
        <f>IFERROR(__xludf.DUMMYFUNCTION("""COMPUTED_VALUE"""),"Denizli")</f>
        <v>Denizli</v>
      </c>
      <c r="B2102" s="120" t="str">
        <f>IFERROR(__xludf.DUMMYFUNCTION("""COMPUTED_VALUE"""),"DNZ")</f>
        <v>DNZ</v>
      </c>
      <c r="C2102" s="120" t="str">
        <f>IFERROR(__xludf.DUMMYFUNCTION("""COMPUTED_VALUE"""),"Cardak")</f>
        <v>Cardak</v>
      </c>
      <c r="D2102" s="120" t="str">
        <f>IFERROR(__xludf.DUMMYFUNCTION("""COMPUTED_VALUE"""),"Turkey")</f>
        <v>Turkey</v>
      </c>
      <c r="E2102" s="135"/>
      <c r="F2102" s="31"/>
    </row>
    <row r="2103">
      <c r="A2103" s="134" t="str">
        <f>IFERROR(__xludf.DUMMYFUNCTION("""COMPUTED_VALUE"""),"Denpasar Bali")</f>
        <v>Denpasar Bali</v>
      </c>
      <c r="B2103" s="120" t="str">
        <f>IFERROR(__xludf.DUMMYFUNCTION("""COMPUTED_VALUE"""),"DPS")</f>
        <v>DPS</v>
      </c>
      <c r="C2103" s="120" t="str">
        <f>IFERROR(__xludf.DUMMYFUNCTION("""COMPUTED_VALUE"""),"Ngurah Rai")</f>
        <v>Ngurah Rai</v>
      </c>
      <c r="D2103" s="120" t="str">
        <f>IFERROR(__xludf.DUMMYFUNCTION("""COMPUTED_VALUE"""),"Indonesia")</f>
        <v>Indonesia</v>
      </c>
      <c r="E2103" s="135"/>
      <c r="F2103" s="31"/>
    </row>
    <row r="2104">
      <c r="A2104" s="134" t="str">
        <f>IFERROR(__xludf.DUMMYFUNCTION("""COMPUTED_VALUE"""),"Denver")</f>
        <v>Denver</v>
      </c>
      <c r="B2104" s="120" t="str">
        <f>IFERROR(__xludf.DUMMYFUNCTION("""COMPUTED_VALUE"""),"APA")</f>
        <v>APA</v>
      </c>
      <c r="C2104" s="120" t="str">
        <f>IFERROR(__xludf.DUMMYFUNCTION("""COMPUTED_VALUE"""),"Arapahoe Co")</f>
        <v>Arapahoe Co</v>
      </c>
      <c r="D2104" s="120" t="str">
        <f>IFERROR(__xludf.DUMMYFUNCTION("""COMPUTED_VALUE"""),"United States")</f>
        <v>United States</v>
      </c>
      <c r="E2104" s="135"/>
      <c r="F2104" s="31"/>
    </row>
    <row r="2105">
      <c r="A2105" s="134" t="str">
        <f>IFERROR(__xludf.DUMMYFUNCTION("""COMPUTED_VALUE"""),"Denver")</f>
        <v>Denver</v>
      </c>
      <c r="B2105" s="120" t="str">
        <f>IFERROR(__xludf.DUMMYFUNCTION("""COMPUTED_VALUE"""),"BFK")</f>
        <v>BFK</v>
      </c>
      <c r="C2105" s="120" t="str">
        <f>IFERROR(__xludf.DUMMYFUNCTION("""COMPUTED_VALUE"""),"Buckley ANGB")</f>
        <v>Buckley ANGB</v>
      </c>
      <c r="D2105" s="120" t="str">
        <f>IFERROR(__xludf.DUMMYFUNCTION("""COMPUTED_VALUE"""),"United States")</f>
        <v>United States</v>
      </c>
      <c r="E2105" s="135"/>
      <c r="F2105" s="31"/>
    </row>
    <row r="2106">
      <c r="A2106" s="134" t="str">
        <f>IFERROR(__xludf.DUMMYFUNCTION("""COMPUTED_VALUE"""),"Denver")</f>
        <v>Denver</v>
      </c>
      <c r="B2106" s="120" t="str">
        <f>IFERROR(__xludf.DUMMYFUNCTION("""COMPUTED_VALUE"""),"DEN")</f>
        <v>DEN</v>
      </c>
      <c r="C2106" s="120" t="str">
        <f>IFERROR(__xludf.DUMMYFUNCTION("""COMPUTED_VALUE"""),"Denver International")</f>
        <v>Denver International</v>
      </c>
      <c r="D2106" s="120" t="str">
        <f>IFERROR(__xludf.DUMMYFUNCTION("""COMPUTED_VALUE"""),"United States")</f>
        <v>United States</v>
      </c>
      <c r="E2106" s="135"/>
      <c r="F2106" s="31"/>
    </row>
    <row r="2107">
      <c r="A2107" s="134" t="str">
        <f>IFERROR(__xludf.DUMMYFUNCTION("""COMPUTED_VALUE"""),"Deparizo")</f>
        <v>Deparizo</v>
      </c>
      <c r="B2107" s="120" t="str">
        <f>IFERROR(__xludf.DUMMYFUNCTION("""COMPUTED_VALUE"""),"DEP")</f>
        <v>DEP</v>
      </c>
      <c r="C2107" s="120" t="str">
        <f>IFERROR(__xludf.DUMMYFUNCTION("""COMPUTED_VALUE"""),"Deparizo")</f>
        <v>Deparizo</v>
      </c>
      <c r="D2107" s="120" t="str">
        <f>IFERROR(__xludf.DUMMYFUNCTION("""COMPUTED_VALUE"""),"India")</f>
        <v>India</v>
      </c>
      <c r="E2107" s="135"/>
      <c r="F2107" s="31"/>
    </row>
    <row r="2108">
      <c r="A2108" s="134" t="str">
        <f>IFERROR(__xludf.DUMMYFUNCTION("""COMPUTED_VALUE"""),"Dera Ghazi Khan")</f>
        <v>Dera Ghazi Khan</v>
      </c>
      <c r="B2108" s="120" t="str">
        <f>IFERROR(__xludf.DUMMYFUNCTION("""COMPUTED_VALUE"""),"DEA")</f>
        <v>DEA</v>
      </c>
      <c r="C2108" s="120" t="str">
        <f>IFERROR(__xludf.DUMMYFUNCTION("""COMPUTED_VALUE"""),"Dera Ghazi Khan")</f>
        <v>Dera Ghazi Khan</v>
      </c>
      <c r="D2108" s="120" t="str">
        <f>IFERROR(__xludf.DUMMYFUNCTION("""COMPUTED_VALUE"""),"Pakistan")</f>
        <v>Pakistan</v>
      </c>
      <c r="E2108" s="135"/>
      <c r="F2108" s="31"/>
    </row>
    <row r="2109">
      <c r="A2109" s="134" t="str">
        <f>IFERROR(__xludf.DUMMYFUNCTION("""COMPUTED_VALUE"""),"Dera Ismail Khan")</f>
        <v>Dera Ismail Khan</v>
      </c>
      <c r="B2109" s="120" t="str">
        <f>IFERROR(__xludf.DUMMYFUNCTION("""COMPUTED_VALUE"""),"DSK")</f>
        <v>DSK</v>
      </c>
      <c r="C2109" s="120" t="str">
        <f>IFERROR(__xludf.DUMMYFUNCTION("""COMPUTED_VALUE"""),"Dera Ismail Khan")</f>
        <v>Dera Ismail Khan</v>
      </c>
      <c r="D2109" s="120" t="str">
        <f>IFERROR(__xludf.DUMMYFUNCTION("""COMPUTED_VALUE"""),"Pakistan")</f>
        <v>Pakistan</v>
      </c>
      <c r="E2109" s="135"/>
      <c r="F2109" s="31"/>
    </row>
    <row r="2110">
      <c r="A2110" s="134" t="str">
        <f>IFERROR(__xludf.DUMMYFUNCTION("""COMPUTED_VALUE"""),"Derby")</f>
        <v>Derby</v>
      </c>
      <c r="B2110" s="120" t="str">
        <f>IFERROR(__xludf.DUMMYFUNCTION("""COMPUTED_VALUE"""),"DRB")</f>
        <v>DRB</v>
      </c>
      <c r="C2110" s="120" t="str">
        <f>IFERROR(__xludf.DUMMYFUNCTION("""COMPUTED_VALUE"""),"Derby")</f>
        <v>Derby</v>
      </c>
      <c r="D2110" s="120" t="str">
        <f>IFERROR(__xludf.DUMMYFUNCTION("""COMPUTED_VALUE"""),"Australia")</f>
        <v>Australia</v>
      </c>
      <c r="E2110" s="135"/>
      <c r="F2110" s="31"/>
    </row>
    <row r="2111">
      <c r="A2111" s="134" t="str">
        <f>IFERROR(__xludf.DUMMYFUNCTION("""COMPUTED_VALUE"""),"Derim")</f>
        <v>Derim</v>
      </c>
      <c r="B2111" s="120" t="str">
        <f>IFERROR(__xludf.DUMMYFUNCTION("""COMPUTED_VALUE"""),"DER")</f>
        <v>DER</v>
      </c>
      <c r="C2111" s="120" t="str">
        <f>IFERROR(__xludf.DUMMYFUNCTION("""COMPUTED_VALUE"""),"Derim")</f>
        <v>Derim</v>
      </c>
      <c r="D2111" s="120" t="str">
        <f>IFERROR(__xludf.DUMMYFUNCTION("""COMPUTED_VALUE"""),"Papua New Guinea")</f>
        <v>Papua New Guinea</v>
      </c>
      <c r="E2111" s="135"/>
      <c r="F2111" s="31"/>
    </row>
    <row r="2112">
      <c r="A2112" s="134" t="str">
        <f>IFERROR(__xludf.DUMMYFUNCTION("""COMPUTED_VALUE"""),"Derna")</f>
        <v>Derna</v>
      </c>
      <c r="B2112" s="120" t="str">
        <f>IFERROR(__xludf.DUMMYFUNCTION("""COMPUTED_VALUE"""),"DNF")</f>
        <v>DNF</v>
      </c>
      <c r="C2112" s="120" t="str">
        <f>IFERROR(__xludf.DUMMYFUNCTION("""COMPUTED_VALUE"""),"Martuba")</f>
        <v>Martuba</v>
      </c>
      <c r="D2112" s="120" t="str">
        <f>IFERROR(__xludf.DUMMYFUNCTION("""COMPUTED_VALUE"""),"Libya")</f>
        <v>Libya</v>
      </c>
      <c r="E2112" s="135"/>
      <c r="F2112" s="31"/>
    </row>
    <row r="2113">
      <c r="A2113" s="134" t="str">
        <f>IFERROR(__xludf.DUMMYFUNCTION("""COMPUTED_VALUE"""),"Des Moines")</f>
        <v>Des Moines</v>
      </c>
      <c r="B2113" s="120" t="str">
        <f>IFERROR(__xludf.DUMMYFUNCTION("""COMPUTED_VALUE"""),"DSM")</f>
        <v>DSM</v>
      </c>
      <c r="C2113" s="120" t="str">
        <f>IFERROR(__xludf.DUMMYFUNCTION("""COMPUTED_VALUE"""),"Des Moines")</f>
        <v>Des Moines</v>
      </c>
      <c r="D2113" s="120" t="str">
        <f>IFERROR(__xludf.DUMMYFUNCTION("""COMPUTED_VALUE"""),"United States")</f>
        <v>United States</v>
      </c>
      <c r="E2113" s="135"/>
      <c r="F2113" s="31"/>
    </row>
    <row r="2114">
      <c r="A2114" s="134" t="str">
        <f>IFERROR(__xludf.DUMMYFUNCTION("""COMPUTED_VALUE"""),"Desolation Sound")</f>
        <v>Desolation Sound</v>
      </c>
      <c r="B2114" s="120" t="str">
        <f>IFERROR(__xludf.DUMMYFUNCTION("""COMPUTED_VALUE"""),"YDS")</f>
        <v>YDS</v>
      </c>
      <c r="C2114" s="120" t="str">
        <f>IFERROR(__xludf.DUMMYFUNCTION("""COMPUTED_VALUE"""),"Desolation Sound")</f>
        <v>Desolation Sound</v>
      </c>
      <c r="D2114" s="120" t="str">
        <f>IFERROR(__xludf.DUMMYFUNCTION("""COMPUTED_VALUE"""),"Canada")</f>
        <v>Canada</v>
      </c>
      <c r="E2114" s="135"/>
      <c r="F2114" s="31"/>
    </row>
    <row r="2115">
      <c r="A2115" s="134" t="str">
        <f>IFERROR(__xludf.DUMMYFUNCTION("""COMPUTED_VALUE"""),"Desroches")</f>
        <v>Desroches</v>
      </c>
      <c r="B2115" s="120" t="str">
        <f>IFERROR(__xludf.DUMMYFUNCTION("""COMPUTED_VALUE"""),"DES")</f>
        <v>DES</v>
      </c>
      <c r="C2115" s="120" t="str">
        <f>IFERROR(__xludf.DUMMYFUNCTION("""COMPUTED_VALUE"""),"Desroches")</f>
        <v>Desroches</v>
      </c>
      <c r="D2115" s="120" t="str">
        <f>IFERROR(__xludf.DUMMYFUNCTION("""COMPUTED_VALUE"""),"Seychelles")</f>
        <v>Seychelles</v>
      </c>
      <c r="E2115" s="135"/>
      <c r="F2115" s="31"/>
    </row>
    <row r="2116">
      <c r="A2116" s="134" t="str">
        <f>IFERROR(__xludf.DUMMYFUNCTION("""COMPUTED_VALUE"""),"Dessau")</f>
        <v>Dessau</v>
      </c>
      <c r="B2116" s="120" t="str">
        <f>IFERROR(__xludf.DUMMYFUNCTION("""COMPUTED_VALUE"""),"ZSU")</f>
        <v>ZSU</v>
      </c>
      <c r="C2116" s="120" t="str">
        <f>IFERROR(__xludf.DUMMYFUNCTION("""COMPUTED_VALUE"""),"Dessau Railway Stn.")</f>
        <v>Dessau Railway Stn.</v>
      </c>
      <c r="D2116" s="120" t="str">
        <f>IFERROR(__xludf.DUMMYFUNCTION("""COMPUTED_VALUE"""),"Germany")</f>
        <v>Germany</v>
      </c>
      <c r="E2116" s="135"/>
      <c r="F2116" s="31"/>
    </row>
    <row r="2117">
      <c r="A2117" s="134" t="str">
        <f>IFERROR(__xludf.DUMMYFUNCTION("""COMPUTED_VALUE"""),"Dessie")</f>
        <v>Dessie</v>
      </c>
      <c r="B2117" s="120" t="str">
        <f>IFERROR(__xludf.DUMMYFUNCTION("""COMPUTED_VALUE"""),"DSE")</f>
        <v>DSE</v>
      </c>
      <c r="C2117" s="120" t="str">
        <f>IFERROR(__xludf.DUMMYFUNCTION("""COMPUTED_VALUE"""),"Combolcha")</f>
        <v>Combolcha</v>
      </c>
      <c r="D2117" s="120" t="str">
        <f>IFERROR(__xludf.DUMMYFUNCTION("""COMPUTED_VALUE"""),"Ethiopia")</f>
        <v>Ethiopia</v>
      </c>
      <c r="E2117" s="135"/>
      <c r="F2117" s="31"/>
    </row>
    <row r="2118">
      <c r="A2118" s="134" t="str">
        <f>IFERROR(__xludf.DUMMYFUNCTION("""COMPUTED_VALUE"""),"Destin")</f>
        <v>Destin</v>
      </c>
      <c r="B2118" s="120" t="str">
        <f>IFERROR(__xludf.DUMMYFUNCTION("""COMPUTED_VALUE"""),"DSI")</f>
        <v>DSI</v>
      </c>
      <c r="C2118" s="120" t="str">
        <f>IFERROR(__xludf.DUMMYFUNCTION("""COMPUTED_VALUE"""),"Destin")</f>
        <v>Destin</v>
      </c>
      <c r="D2118" s="120" t="str">
        <f>IFERROR(__xludf.DUMMYFUNCTION("""COMPUTED_VALUE"""),"United States")</f>
        <v>United States</v>
      </c>
      <c r="E2118" s="135"/>
      <c r="F2118" s="31"/>
    </row>
    <row r="2119">
      <c r="A2119" s="134" t="str">
        <f>IFERROR(__xludf.DUMMYFUNCTION("""COMPUTED_VALUE"""),"Detroit")</f>
        <v>Detroit</v>
      </c>
      <c r="B2119" s="120" t="str">
        <f>IFERROR(__xludf.DUMMYFUNCTION("""COMPUTED_VALUE"""),"DET")</f>
        <v>DET</v>
      </c>
      <c r="C2119" s="120" t="str">
        <f>IFERROR(__xludf.DUMMYFUNCTION("""COMPUTED_VALUE"""),"Detroit City")</f>
        <v>Detroit City</v>
      </c>
      <c r="D2119" s="120" t="str">
        <f>IFERROR(__xludf.DUMMYFUNCTION("""COMPUTED_VALUE"""),"United States")</f>
        <v>United States</v>
      </c>
      <c r="E2119" s="135"/>
      <c r="F2119" s="31"/>
    </row>
    <row r="2120">
      <c r="A2120" s="134" t="str">
        <f>IFERROR(__xludf.DUMMYFUNCTION("""COMPUTED_VALUE"""),"Detroit")</f>
        <v>Detroit</v>
      </c>
      <c r="B2120" s="120" t="str">
        <f>IFERROR(__xludf.DUMMYFUNCTION("""COMPUTED_VALUE"""),"DTW")</f>
        <v>DTW</v>
      </c>
      <c r="C2120" s="120" t="str">
        <f>IFERROR(__xludf.DUMMYFUNCTION("""COMPUTED_VALUE"""),"Wayne County")</f>
        <v>Wayne County</v>
      </c>
      <c r="D2120" s="120" t="str">
        <f>IFERROR(__xludf.DUMMYFUNCTION("""COMPUTED_VALUE"""),"United States")</f>
        <v>United States</v>
      </c>
      <c r="E2120" s="135"/>
      <c r="F2120" s="31"/>
    </row>
    <row r="2121">
      <c r="A2121" s="134" t="str">
        <f>IFERROR(__xludf.DUMMYFUNCTION("""COMPUTED_VALUE"""),"Detroit")</f>
        <v>Detroit</v>
      </c>
      <c r="B2121" s="120" t="str">
        <f>IFERROR(__xludf.DUMMYFUNCTION("""COMPUTED_VALUE"""),"YIP")</f>
        <v>YIP</v>
      </c>
      <c r="C2121" s="120" t="str">
        <f>IFERROR(__xludf.DUMMYFUNCTION("""COMPUTED_VALUE"""),"Willow Run")</f>
        <v>Willow Run</v>
      </c>
      <c r="D2121" s="120" t="str">
        <f>IFERROR(__xludf.DUMMYFUNCTION("""COMPUTED_VALUE"""),"United States")</f>
        <v>United States</v>
      </c>
      <c r="E2121" s="135"/>
      <c r="F2121" s="31"/>
    </row>
    <row r="2122">
      <c r="A2122" s="134" t="str">
        <f>IFERROR(__xludf.DUMMYFUNCTION("""COMPUTED_VALUE"""),"Detroit Lakes")</f>
        <v>Detroit Lakes</v>
      </c>
      <c r="B2122" s="120" t="str">
        <f>IFERROR(__xludf.DUMMYFUNCTION("""COMPUTED_VALUE"""),"DTL")</f>
        <v>DTL</v>
      </c>
      <c r="C2122" s="120" t="str">
        <f>IFERROR(__xludf.DUMMYFUNCTION("""COMPUTED_VALUE"""),"Municipal")</f>
        <v>Municipal</v>
      </c>
      <c r="D2122" s="120" t="str">
        <f>IFERROR(__xludf.DUMMYFUNCTION("""COMPUTED_VALUE"""),"United States")</f>
        <v>United States</v>
      </c>
      <c r="E2122" s="135"/>
      <c r="F2122" s="31"/>
    </row>
    <row r="2123">
      <c r="A2123" s="134" t="str">
        <f>IFERROR(__xludf.DUMMYFUNCTION("""COMPUTED_VALUE"""),"Deux Alpes")</f>
        <v>Deux Alpes</v>
      </c>
      <c r="B2123" s="120" t="str">
        <f>IFERROR(__xludf.DUMMYFUNCTION("""COMPUTED_VALUE"""),"DXA")</f>
        <v>DXA</v>
      </c>
      <c r="C2123" s="120" t="str">
        <f>IFERROR(__xludf.DUMMYFUNCTION("""COMPUTED_VALUE"""),"Deux Alpes")</f>
        <v>Deux Alpes</v>
      </c>
      <c r="D2123" s="120" t="str">
        <f>IFERROR(__xludf.DUMMYFUNCTION("""COMPUTED_VALUE"""),"France")</f>
        <v>France</v>
      </c>
      <c r="E2123" s="135"/>
      <c r="F2123" s="31"/>
    </row>
    <row r="2124">
      <c r="A2124" s="134" t="str">
        <f>IFERROR(__xludf.DUMMYFUNCTION("""COMPUTED_VALUE"""),"Deva")</f>
        <v>Deva</v>
      </c>
      <c r="B2124" s="120" t="str">
        <f>IFERROR(__xludf.DUMMYFUNCTION("""COMPUTED_VALUE"""),"DVA")</f>
        <v>DVA</v>
      </c>
      <c r="C2124" s="120" t="str">
        <f>IFERROR(__xludf.DUMMYFUNCTION("""COMPUTED_VALUE"""),"Deva")</f>
        <v>Deva</v>
      </c>
      <c r="D2124" s="120" t="str">
        <f>IFERROR(__xludf.DUMMYFUNCTION("""COMPUTED_VALUE"""),"Romania")</f>
        <v>Romania</v>
      </c>
      <c r="E2124" s="135"/>
      <c r="F2124" s="31"/>
    </row>
    <row r="2125">
      <c r="A2125" s="134" t="str">
        <f>IFERROR(__xludf.DUMMYFUNCTION("""COMPUTED_VALUE"""),"Devils Lake")</f>
        <v>Devils Lake</v>
      </c>
      <c r="B2125" s="120" t="str">
        <f>IFERROR(__xludf.DUMMYFUNCTION("""COMPUTED_VALUE"""),"DVL")</f>
        <v>DVL</v>
      </c>
      <c r="C2125" s="120" t="str">
        <f>IFERROR(__xludf.DUMMYFUNCTION("""COMPUTED_VALUE"""),"Devils Lake")</f>
        <v>Devils Lake</v>
      </c>
      <c r="D2125" s="120" t="str">
        <f>IFERROR(__xludf.DUMMYFUNCTION("""COMPUTED_VALUE"""),"United States")</f>
        <v>United States</v>
      </c>
      <c r="E2125" s="135"/>
      <c r="F2125" s="31"/>
    </row>
    <row r="2126">
      <c r="A2126" s="134" t="str">
        <f>IFERROR(__xludf.DUMMYFUNCTION("""COMPUTED_VALUE"""),"Devonport")</f>
        <v>Devonport</v>
      </c>
      <c r="B2126" s="120" t="str">
        <f>IFERROR(__xludf.DUMMYFUNCTION("""COMPUTED_VALUE"""),"DPO")</f>
        <v>DPO</v>
      </c>
      <c r="C2126" s="120" t="str">
        <f>IFERROR(__xludf.DUMMYFUNCTION("""COMPUTED_VALUE"""),"Devonport")</f>
        <v>Devonport</v>
      </c>
      <c r="D2126" s="120" t="str">
        <f>IFERROR(__xludf.DUMMYFUNCTION("""COMPUTED_VALUE"""),"Australia")</f>
        <v>Australia</v>
      </c>
      <c r="E2126" s="135"/>
      <c r="F2126" s="31"/>
    </row>
    <row r="2127">
      <c r="A2127" s="134" t="str">
        <f>IFERROR(__xludf.DUMMYFUNCTION("""COMPUTED_VALUE"""),"Dewsbury")</f>
        <v>Dewsbury</v>
      </c>
      <c r="B2127" s="120" t="str">
        <f>IFERROR(__xludf.DUMMYFUNCTION("""COMPUTED_VALUE"""),"ZEQ")</f>
        <v>ZEQ</v>
      </c>
      <c r="C2127" s="120" t="str">
        <f>IFERROR(__xludf.DUMMYFUNCTION("""COMPUTED_VALUE"""),"Bus Station")</f>
        <v>Bus Station</v>
      </c>
      <c r="D2127" s="120" t="str">
        <f>IFERROR(__xludf.DUMMYFUNCTION("""COMPUTED_VALUE"""),"United Kingdom")</f>
        <v>United Kingdom</v>
      </c>
      <c r="E2127" s="135"/>
      <c r="F2127" s="31"/>
    </row>
    <row r="2128">
      <c r="A2128" s="134" t="str">
        <f>IFERROR(__xludf.DUMMYFUNCTION("""COMPUTED_VALUE"""),"Dezful")</f>
        <v>Dezful</v>
      </c>
      <c r="B2128" s="120" t="str">
        <f>IFERROR(__xludf.DUMMYFUNCTION("""COMPUTED_VALUE"""),"DEF")</f>
        <v>DEF</v>
      </c>
      <c r="C2128" s="120" t="str">
        <f>IFERROR(__xludf.DUMMYFUNCTION("""COMPUTED_VALUE"""),"Dezful")</f>
        <v>Dezful</v>
      </c>
      <c r="D2128" s="120" t="str">
        <f>IFERROR(__xludf.DUMMYFUNCTION("""COMPUTED_VALUE"""),"Iran")</f>
        <v>Iran</v>
      </c>
      <c r="E2128" s="135"/>
      <c r="F2128" s="31"/>
    </row>
    <row r="2129">
      <c r="A2129" s="134" t="str">
        <f>IFERROR(__xludf.DUMMYFUNCTION("""COMPUTED_VALUE"""),"Dhahran")</f>
        <v>Dhahran</v>
      </c>
      <c r="B2129" s="120" t="str">
        <f>IFERROR(__xludf.DUMMYFUNCTION("""COMPUTED_VALUE"""),"DHA")</f>
        <v>DHA</v>
      </c>
      <c r="C2129" s="120" t="str">
        <f>IFERROR(__xludf.DUMMYFUNCTION("""COMPUTED_VALUE"""),"Dhahran")</f>
        <v>Dhahran</v>
      </c>
      <c r="D2129" s="120" t="str">
        <f>IFERROR(__xludf.DUMMYFUNCTION("""COMPUTED_VALUE"""),"Saudi Arabia")</f>
        <v>Saudi Arabia</v>
      </c>
      <c r="E2129" s="135"/>
      <c r="F2129" s="31"/>
    </row>
    <row r="2130">
      <c r="A2130" s="134" t="str">
        <f>IFERROR(__xludf.DUMMYFUNCTION("""COMPUTED_VALUE"""),"Dhaka")</f>
        <v>Dhaka</v>
      </c>
      <c r="B2130" s="120" t="str">
        <f>IFERROR(__xludf.DUMMYFUNCTION("""COMPUTED_VALUE"""),"DAC")</f>
        <v>DAC</v>
      </c>
      <c r="C2130" s="120" t="str">
        <f>IFERROR(__xludf.DUMMYFUNCTION("""COMPUTED_VALUE"""),"Zia International")</f>
        <v>Zia International</v>
      </c>
      <c r="D2130" s="120" t="str">
        <f>IFERROR(__xludf.DUMMYFUNCTION("""COMPUTED_VALUE"""),"Bangladesh")</f>
        <v>Bangladesh</v>
      </c>
      <c r="E2130" s="135"/>
      <c r="F2130" s="31"/>
    </row>
    <row r="2131">
      <c r="A2131" s="134" t="str">
        <f>IFERROR(__xludf.DUMMYFUNCTION("""COMPUTED_VALUE"""),"Dhala")</f>
        <v>Dhala</v>
      </c>
      <c r="B2131" s="120" t="str">
        <f>IFERROR(__xludf.DUMMYFUNCTION("""COMPUTED_VALUE"""),"DHL")</f>
        <v>DHL</v>
      </c>
      <c r="C2131" s="120" t="str">
        <f>IFERROR(__xludf.DUMMYFUNCTION("""COMPUTED_VALUE"""),"Dhala")</f>
        <v>Dhala</v>
      </c>
      <c r="D2131" s="120" t="str">
        <f>IFERROR(__xludf.DUMMYFUNCTION("""COMPUTED_VALUE"""),"Yemen")</f>
        <v>Yemen</v>
      </c>
      <c r="E2131" s="135"/>
      <c r="F2131" s="31"/>
    </row>
    <row r="2132">
      <c r="A2132" s="134" t="str">
        <f>IFERROR(__xludf.DUMMYFUNCTION("""COMPUTED_VALUE"""),"Dhamar")</f>
        <v>Dhamar</v>
      </c>
      <c r="B2132" s="120" t="str">
        <f>IFERROR(__xludf.DUMMYFUNCTION("""COMPUTED_VALUE"""),"DMR")</f>
        <v>DMR</v>
      </c>
      <c r="C2132" s="120" t="str">
        <f>IFERROR(__xludf.DUMMYFUNCTION("""COMPUTED_VALUE"""),"Dhamar")</f>
        <v>Dhamar</v>
      </c>
      <c r="D2132" s="120" t="str">
        <f>IFERROR(__xludf.DUMMYFUNCTION("""COMPUTED_VALUE"""),"Yemen")</f>
        <v>Yemen</v>
      </c>
      <c r="E2132" s="135"/>
      <c r="F2132" s="31"/>
    </row>
    <row r="2133">
      <c r="A2133" s="134" t="str">
        <f>IFERROR(__xludf.DUMMYFUNCTION("""COMPUTED_VALUE"""),"Dhanbad")</f>
        <v>Dhanbad</v>
      </c>
      <c r="B2133" s="120" t="str">
        <f>IFERROR(__xludf.DUMMYFUNCTION("""COMPUTED_VALUE"""),"DBD")</f>
        <v>DBD</v>
      </c>
      <c r="C2133" s="120" t="str">
        <f>IFERROR(__xludf.DUMMYFUNCTION("""COMPUTED_VALUE"""),"Dhanbad")</f>
        <v>Dhanbad</v>
      </c>
      <c r="D2133" s="120" t="str">
        <f>IFERROR(__xludf.DUMMYFUNCTION("""COMPUTED_VALUE"""),"India")</f>
        <v>India</v>
      </c>
      <c r="E2133" s="135"/>
      <c r="F2133" s="31"/>
    </row>
    <row r="2134">
      <c r="A2134" s="134" t="str">
        <f>IFERROR(__xludf.DUMMYFUNCTION("""COMPUTED_VALUE"""),"Dhangarhi")</f>
        <v>Dhangarhi</v>
      </c>
      <c r="B2134" s="120" t="str">
        <f>IFERROR(__xludf.DUMMYFUNCTION("""COMPUTED_VALUE"""),"DHI")</f>
        <v>DHI</v>
      </c>
      <c r="C2134" s="120" t="str">
        <f>IFERROR(__xludf.DUMMYFUNCTION("""COMPUTED_VALUE"""),"Dhangarhi")</f>
        <v>Dhangarhi</v>
      </c>
      <c r="D2134" s="120" t="str">
        <f>IFERROR(__xludf.DUMMYFUNCTION("""COMPUTED_VALUE"""),"Nepal")</f>
        <v>Nepal</v>
      </c>
      <c r="E2134" s="135"/>
      <c r="F2134" s="31"/>
    </row>
    <row r="2135">
      <c r="A2135" s="134" t="str">
        <f>IFERROR(__xludf.DUMMYFUNCTION("""COMPUTED_VALUE"""),"Dharamsala")</f>
        <v>Dharamsala</v>
      </c>
      <c r="B2135" s="120" t="str">
        <f>IFERROR(__xludf.DUMMYFUNCTION("""COMPUTED_VALUE"""),"DHM")</f>
        <v>DHM</v>
      </c>
      <c r="C2135" s="120" t="str">
        <f>IFERROR(__xludf.DUMMYFUNCTION("""COMPUTED_VALUE"""),"Gaggal Airport")</f>
        <v>Gaggal Airport</v>
      </c>
      <c r="D2135" s="120" t="str">
        <f>IFERROR(__xludf.DUMMYFUNCTION("""COMPUTED_VALUE"""),"India")</f>
        <v>India</v>
      </c>
      <c r="E2135" s="135"/>
      <c r="F2135" s="31"/>
    </row>
    <row r="2136">
      <c r="A2136" s="134" t="str">
        <f>IFERROR(__xludf.DUMMYFUNCTION("""COMPUTED_VALUE"""),"Diamantina Lakes")</f>
        <v>Diamantina Lakes</v>
      </c>
      <c r="B2136" s="120" t="str">
        <f>IFERROR(__xludf.DUMMYFUNCTION("""COMPUTED_VALUE"""),"DYM")</f>
        <v>DYM</v>
      </c>
      <c r="C2136" s="120" t="str">
        <f>IFERROR(__xludf.DUMMYFUNCTION("""COMPUTED_VALUE"""),"Diamantina Lakes")</f>
        <v>Diamantina Lakes</v>
      </c>
      <c r="D2136" s="120" t="str">
        <f>IFERROR(__xludf.DUMMYFUNCTION("""COMPUTED_VALUE"""),"Australia")</f>
        <v>Australia</v>
      </c>
      <c r="E2136" s="135"/>
      <c r="F2136" s="31"/>
    </row>
    <row r="2137">
      <c r="A2137" s="134" t="str">
        <f>IFERROR(__xludf.DUMMYFUNCTION("""COMPUTED_VALUE"""),"Diamantino")</f>
        <v>Diamantino</v>
      </c>
      <c r="B2137" s="120" t="str">
        <f>IFERROR(__xludf.DUMMYFUNCTION("""COMPUTED_VALUE"""),"DMT")</f>
        <v>DMT</v>
      </c>
      <c r="C2137" s="120" t="str">
        <f>IFERROR(__xludf.DUMMYFUNCTION("""COMPUTED_VALUE"""),"Diamantino")</f>
        <v>Diamantino</v>
      </c>
      <c r="D2137" s="120" t="str">
        <f>IFERROR(__xludf.DUMMYFUNCTION("""COMPUTED_VALUE"""),"Brazil")</f>
        <v>Brazil</v>
      </c>
      <c r="E2137" s="135"/>
      <c r="F2137" s="31"/>
    </row>
    <row r="2138">
      <c r="A2138" s="134" t="str">
        <f>IFERROR(__xludf.DUMMYFUNCTION("""COMPUTED_VALUE"""),"Dianopolis")</f>
        <v>Dianopolis</v>
      </c>
      <c r="B2138" s="120" t="str">
        <f>IFERROR(__xludf.DUMMYFUNCTION("""COMPUTED_VALUE"""),"DNO")</f>
        <v>DNO</v>
      </c>
      <c r="C2138" s="120" t="str">
        <f>IFERROR(__xludf.DUMMYFUNCTION("""COMPUTED_VALUE"""),"Dianopolis")</f>
        <v>Dianopolis</v>
      </c>
      <c r="D2138" s="120" t="str">
        <f>IFERROR(__xludf.DUMMYFUNCTION("""COMPUTED_VALUE"""),"Brazil")</f>
        <v>Brazil</v>
      </c>
      <c r="E2138" s="135"/>
      <c r="F2138" s="31"/>
    </row>
    <row r="2139">
      <c r="A2139" s="134" t="str">
        <f>IFERROR(__xludf.DUMMYFUNCTION("""COMPUTED_VALUE"""),"Diapaga")</f>
        <v>Diapaga</v>
      </c>
      <c r="B2139" s="120" t="str">
        <f>IFERROR(__xludf.DUMMYFUNCTION("""COMPUTED_VALUE"""),"DIP")</f>
        <v>DIP</v>
      </c>
      <c r="C2139" s="120" t="str">
        <f>IFERROR(__xludf.DUMMYFUNCTION("""COMPUTED_VALUE"""),"Diapaga")</f>
        <v>Diapaga</v>
      </c>
      <c r="D2139" s="120" t="str">
        <f>IFERROR(__xludf.DUMMYFUNCTION("""COMPUTED_VALUE"""),"Burkina Faso")</f>
        <v>Burkina Faso</v>
      </c>
      <c r="E2139" s="135"/>
      <c r="F2139" s="31"/>
    </row>
    <row r="2140">
      <c r="A2140" s="134" t="str">
        <f>IFERROR(__xludf.DUMMYFUNCTION("""COMPUTED_VALUE"""),"Diavik")</f>
        <v>Diavik</v>
      </c>
      <c r="B2140" s="120" t="str">
        <f>IFERROR(__xludf.DUMMYFUNCTION("""COMPUTED_VALUE"""),"DVK")</f>
        <v>DVK</v>
      </c>
      <c r="C2140" s="120" t="str">
        <f>IFERROR(__xludf.DUMMYFUNCTION("""COMPUTED_VALUE"""),"Diavik")</f>
        <v>Diavik</v>
      </c>
      <c r="D2140" s="120" t="str">
        <f>IFERROR(__xludf.DUMMYFUNCTION("""COMPUTED_VALUE"""),"Canada")</f>
        <v>Canada</v>
      </c>
      <c r="E2140" s="135"/>
      <c r="F2140" s="31"/>
    </row>
    <row r="2141">
      <c r="A2141" s="134" t="str">
        <f>IFERROR(__xludf.DUMMYFUNCTION("""COMPUTED_VALUE"""),"Dibaa")</f>
        <v>Dibaa</v>
      </c>
      <c r="B2141" s="120" t="str">
        <f>IFERROR(__xludf.DUMMYFUNCTION("""COMPUTED_VALUE"""),"BYB")</f>
        <v>BYB</v>
      </c>
      <c r="C2141" s="120" t="str">
        <f>IFERROR(__xludf.DUMMYFUNCTION("""COMPUTED_VALUE"""),"Dibaa")</f>
        <v>Dibaa</v>
      </c>
      <c r="D2141" s="120" t="str">
        <f>IFERROR(__xludf.DUMMYFUNCTION("""COMPUTED_VALUE"""),"Oman")</f>
        <v>Oman</v>
      </c>
      <c r="E2141" s="135"/>
      <c r="F2141" s="31"/>
    </row>
    <row r="2142">
      <c r="A2142" s="134" t="str">
        <f>IFERROR(__xludf.DUMMYFUNCTION("""COMPUTED_VALUE"""),"Dibrugarh")</f>
        <v>Dibrugarh</v>
      </c>
      <c r="B2142" s="120" t="str">
        <f>IFERROR(__xludf.DUMMYFUNCTION("""COMPUTED_VALUE"""),"DIB")</f>
        <v>DIB</v>
      </c>
      <c r="C2142" s="120" t="str">
        <f>IFERROR(__xludf.DUMMYFUNCTION("""COMPUTED_VALUE"""),"Chabua")</f>
        <v>Chabua</v>
      </c>
      <c r="D2142" s="120" t="str">
        <f>IFERROR(__xludf.DUMMYFUNCTION("""COMPUTED_VALUE"""),"India")</f>
        <v>India</v>
      </c>
      <c r="E2142" s="135"/>
      <c r="F2142" s="31"/>
    </row>
    <row r="2143">
      <c r="A2143" s="134" t="str">
        <f>IFERROR(__xludf.DUMMYFUNCTION("""COMPUTED_VALUE"""),"Dickinson")</f>
        <v>Dickinson</v>
      </c>
      <c r="B2143" s="120" t="str">
        <f>IFERROR(__xludf.DUMMYFUNCTION("""COMPUTED_VALUE"""),"DIK")</f>
        <v>DIK</v>
      </c>
      <c r="C2143" s="120" t="str">
        <f>IFERROR(__xludf.DUMMYFUNCTION("""COMPUTED_VALUE"""),"Dickinson")</f>
        <v>Dickinson</v>
      </c>
      <c r="D2143" s="120" t="str">
        <f>IFERROR(__xludf.DUMMYFUNCTION("""COMPUTED_VALUE"""),"United States")</f>
        <v>United States</v>
      </c>
      <c r="E2143" s="135"/>
      <c r="F2143" s="31"/>
    </row>
    <row r="2144">
      <c r="A2144" s="134" t="str">
        <f>IFERROR(__xludf.DUMMYFUNCTION("""COMPUTED_VALUE"""),"Dickwella")</f>
        <v>Dickwella</v>
      </c>
      <c r="B2144" s="120" t="str">
        <f>IFERROR(__xludf.DUMMYFUNCTION("""COMPUTED_VALUE"""),"DIW")</f>
        <v>DIW</v>
      </c>
      <c r="C2144" s="120" t="str">
        <f>IFERROR(__xludf.DUMMYFUNCTION("""COMPUTED_VALUE"""),"Mawella Lagoon")</f>
        <v>Mawella Lagoon</v>
      </c>
      <c r="D2144" s="120" t="str">
        <f>IFERROR(__xludf.DUMMYFUNCTION("""COMPUTED_VALUE"""),"Sri Lanka")</f>
        <v>Sri Lanka</v>
      </c>
      <c r="E2144" s="135"/>
      <c r="F2144" s="31"/>
    </row>
    <row r="2145">
      <c r="A2145" s="134" t="str">
        <f>IFERROR(__xludf.DUMMYFUNCTION("""COMPUTED_VALUE"""),"Diebougou")</f>
        <v>Diebougou</v>
      </c>
      <c r="B2145" s="120" t="str">
        <f>IFERROR(__xludf.DUMMYFUNCTION("""COMPUTED_VALUE"""),"XDE")</f>
        <v>XDE</v>
      </c>
      <c r="C2145" s="120" t="str">
        <f>IFERROR(__xludf.DUMMYFUNCTION("""COMPUTED_VALUE"""),"Diebougou")</f>
        <v>Diebougou</v>
      </c>
      <c r="D2145" s="120" t="str">
        <f>IFERROR(__xludf.DUMMYFUNCTION("""COMPUTED_VALUE"""),"Burkina Faso")</f>
        <v>Burkina Faso</v>
      </c>
      <c r="E2145" s="135"/>
      <c r="F2145" s="31"/>
    </row>
    <row r="2146">
      <c r="A2146" s="134" t="str">
        <f>IFERROR(__xludf.DUMMYFUNCTION("""COMPUTED_VALUE"""),"Dien Bien Phu")</f>
        <v>Dien Bien Phu</v>
      </c>
      <c r="B2146" s="120" t="str">
        <f>IFERROR(__xludf.DUMMYFUNCTION("""COMPUTED_VALUE"""),"DIN")</f>
        <v>DIN</v>
      </c>
      <c r="C2146" s="120" t="str">
        <f>IFERROR(__xludf.DUMMYFUNCTION("""COMPUTED_VALUE"""),"Dien Bien")</f>
        <v>Dien Bien</v>
      </c>
      <c r="D2146" s="120" t="str">
        <f>IFERROR(__xludf.DUMMYFUNCTION("""COMPUTED_VALUE"""),"Vietnam")</f>
        <v>Vietnam</v>
      </c>
      <c r="E2146" s="135"/>
      <c r="F2146" s="31"/>
    </row>
    <row r="2147">
      <c r="A2147" s="134" t="str">
        <f>IFERROR(__xludf.DUMMYFUNCTION("""COMPUTED_VALUE"""),"Dieppe")</f>
        <v>Dieppe</v>
      </c>
      <c r="B2147" s="120" t="str">
        <f>IFERROR(__xludf.DUMMYFUNCTION("""COMPUTED_VALUE"""),"DPE")</f>
        <v>DPE</v>
      </c>
      <c r="C2147" s="120" t="str">
        <f>IFERROR(__xludf.DUMMYFUNCTION("""COMPUTED_VALUE"""),"Dieppe")</f>
        <v>Dieppe</v>
      </c>
      <c r="D2147" s="120" t="str">
        <f>IFERROR(__xludf.DUMMYFUNCTION("""COMPUTED_VALUE"""),"France")</f>
        <v>France</v>
      </c>
      <c r="E2147" s="135"/>
      <c r="F2147" s="31"/>
    </row>
    <row r="2148">
      <c r="A2148" s="134" t="str">
        <f>IFERROR(__xludf.DUMMYFUNCTION("""COMPUTED_VALUE"""),"Digby")</f>
        <v>Digby</v>
      </c>
      <c r="B2148" s="120" t="str">
        <f>IFERROR(__xludf.DUMMYFUNCTION("""COMPUTED_VALUE"""),"YDG")</f>
        <v>YDG</v>
      </c>
      <c r="C2148" s="120" t="str">
        <f>IFERROR(__xludf.DUMMYFUNCTION("""COMPUTED_VALUE"""),"Digby")</f>
        <v>Digby</v>
      </c>
      <c r="D2148" s="120" t="str">
        <f>IFERROR(__xludf.DUMMYFUNCTION("""COMPUTED_VALUE"""),"Canada")</f>
        <v>Canada</v>
      </c>
      <c r="E2148" s="135"/>
      <c r="F2148" s="31"/>
    </row>
    <row r="2149">
      <c r="A2149" s="134" t="str">
        <f>IFERROR(__xludf.DUMMYFUNCTION("""COMPUTED_VALUE"""),"Dijon")</f>
        <v>Dijon</v>
      </c>
      <c r="B2149" s="120" t="str">
        <f>IFERROR(__xludf.DUMMYFUNCTION("""COMPUTED_VALUE"""),"DIJ")</f>
        <v>DIJ</v>
      </c>
      <c r="C2149" s="120" t="str">
        <f>IFERROR(__xludf.DUMMYFUNCTION("""COMPUTED_VALUE"""),"Dijon")</f>
        <v>Dijon</v>
      </c>
      <c r="D2149" s="120" t="str">
        <f>IFERROR(__xludf.DUMMYFUNCTION("""COMPUTED_VALUE"""),"France")</f>
        <v>France</v>
      </c>
      <c r="E2149" s="135"/>
      <c r="F2149" s="31"/>
    </row>
    <row r="2150">
      <c r="A2150" s="134" t="str">
        <f>IFERROR(__xludf.DUMMYFUNCTION("""COMPUTED_VALUE"""),"Dikson")</f>
        <v>Dikson</v>
      </c>
      <c r="B2150" s="120" t="str">
        <f>IFERROR(__xludf.DUMMYFUNCTION("""COMPUTED_VALUE"""),"DKS")</f>
        <v>DKS</v>
      </c>
      <c r="C2150" s="120" t="str">
        <f>IFERROR(__xludf.DUMMYFUNCTION("""COMPUTED_VALUE"""),"Dikson")</f>
        <v>Dikson</v>
      </c>
      <c r="D2150" s="120" t="str">
        <f>IFERROR(__xludf.DUMMYFUNCTION("""COMPUTED_VALUE"""),"Russia")</f>
        <v>Russia</v>
      </c>
      <c r="E2150" s="135"/>
      <c r="F2150" s="31"/>
    </row>
    <row r="2151">
      <c r="A2151" s="134" t="str">
        <f>IFERROR(__xludf.DUMMYFUNCTION("""COMPUTED_VALUE"""),"Dilasag")</f>
        <v>Dilasag</v>
      </c>
      <c r="B2151" s="120" t="str">
        <f>IFERROR(__xludf.DUMMYFUNCTION("""COMPUTED_VALUE"""),"DSG")</f>
        <v>DSG</v>
      </c>
      <c r="C2151" s="120" t="str">
        <f>IFERROR(__xludf.DUMMYFUNCTION("""COMPUTED_VALUE"""),"Dilasag")</f>
        <v>Dilasag</v>
      </c>
      <c r="D2151" s="120" t="str">
        <f>IFERROR(__xludf.DUMMYFUNCTION("""COMPUTED_VALUE"""),"Philippines")</f>
        <v>Philippines</v>
      </c>
      <c r="E2151" s="135"/>
      <c r="F2151" s="31"/>
    </row>
    <row r="2152">
      <c r="A2152" s="134" t="str">
        <f>IFERROR(__xludf.DUMMYFUNCTION("""COMPUTED_VALUE"""),"Dili")</f>
        <v>Dili</v>
      </c>
      <c r="B2152" s="120" t="str">
        <f>IFERROR(__xludf.DUMMYFUNCTION("""COMPUTED_VALUE"""),"DIC")</f>
        <v>DIC</v>
      </c>
      <c r="C2152" s="120" t="str">
        <f>IFERROR(__xludf.DUMMYFUNCTION("""COMPUTED_VALUE"""),"Dili")</f>
        <v>Dili</v>
      </c>
      <c r="D2152" s="120"/>
      <c r="E2152" s="135"/>
      <c r="F2152" s="31"/>
    </row>
    <row r="2153">
      <c r="A2153" s="134" t="str">
        <f>IFERROR(__xludf.DUMMYFUNCTION("""COMPUTED_VALUE"""),"Dili")</f>
        <v>Dili</v>
      </c>
      <c r="B2153" s="120" t="str">
        <f>IFERROR(__xludf.DUMMYFUNCTION("""COMPUTED_VALUE"""),"DIL")</f>
        <v>DIL</v>
      </c>
      <c r="C2153" s="120" t="str">
        <f>IFERROR(__xludf.DUMMYFUNCTION("""COMPUTED_VALUE"""),"Comoro")</f>
        <v>Comoro</v>
      </c>
      <c r="D2153" s="120" t="str">
        <f>IFERROR(__xludf.DUMMYFUNCTION("""COMPUTED_VALUE"""),"Indonesia")</f>
        <v>Indonesia</v>
      </c>
      <c r="E2153" s="135"/>
      <c r="F2153" s="31"/>
    </row>
    <row r="2154">
      <c r="A2154" s="134" t="str">
        <f>IFERROR(__xludf.DUMMYFUNCTION("""COMPUTED_VALUE"""),"Dillingham")</f>
        <v>Dillingham</v>
      </c>
      <c r="B2154" s="120" t="str">
        <f>IFERROR(__xludf.DUMMYFUNCTION("""COMPUTED_VALUE"""),"DLG")</f>
        <v>DLG</v>
      </c>
      <c r="C2154" s="120" t="str">
        <f>IFERROR(__xludf.DUMMYFUNCTION("""COMPUTED_VALUE"""),"Municipal")</f>
        <v>Municipal</v>
      </c>
      <c r="D2154" s="120" t="str">
        <f>IFERROR(__xludf.DUMMYFUNCTION("""COMPUTED_VALUE"""),"United States")</f>
        <v>United States</v>
      </c>
      <c r="E2154" s="135"/>
      <c r="F2154" s="31"/>
    </row>
    <row r="2155">
      <c r="A2155" s="134" t="str">
        <f>IFERROR(__xludf.DUMMYFUNCTION("""COMPUTED_VALUE"""),"Dillon")</f>
        <v>Dillon</v>
      </c>
      <c r="B2155" s="120" t="str">
        <f>IFERROR(__xludf.DUMMYFUNCTION("""COMPUTED_VALUE"""),"DLN")</f>
        <v>DLN</v>
      </c>
      <c r="C2155" s="120" t="str">
        <f>IFERROR(__xludf.DUMMYFUNCTION("""COMPUTED_VALUE"""),"Dillon")</f>
        <v>Dillon</v>
      </c>
      <c r="D2155" s="120" t="str">
        <f>IFERROR(__xludf.DUMMYFUNCTION("""COMPUTED_VALUE"""),"United States")</f>
        <v>United States</v>
      </c>
      <c r="E2155" s="135"/>
      <c r="F2155" s="31"/>
    </row>
    <row r="2156">
      <c r="A2156" s="134" t="str">
        <f>IFERROR(__xludf.DUMMYFUNCTION("""COMPUTED_VALUE"""),"Dillon")</f>
        <v>Dillon</v>
      </c>
      <c r="B2156" s="120" t="str">
        <f>IFERROR(__xludf.DUMMYFUNCTION("""COMPUTED_VALUE"""),"DLL")</f>
        <v>DLL</v>
      </c>
      <c r="C2156" s="120" t="str">
        <f>IFERROR(__xludf.DUMMYFUNCTION("""COMPUTED_VALUE"""),"Dillon")</f>
        <v>Dillon</v>
      </c>
      <c r="D2156" s="120" t="str">
        <f>IFERROR(__xludf.DUMMYFUNCTION("""COMPUTED_VALUE"""),"United States")</f>
        <v>United States</v>
      </c>
      <c r="E2156" s="135"/>
      <c r="F2156" s="31"/>
    </row>
    <row r="2157">
      <c r="A2157" s="134" t="str">
        <f>IFERROR(__xludf.DUMMYFUNCTION("""COMPUTED_VALUE"""),"Dillons Bay")</f>
        <v>Dillons Bay</v>
      </c>
      <c r="B2157" s="120" t="str">
        <f>IFERROR(__xludf.DUMMYFUNCTION("""COMPUTED_VALUE"""),"DLY")</f>
        <v>DLY</v>
      </c>
      <c r="C2157" s="120" t="str">
        <f>IFERROR(__xludf.DUMMYFUNCTION("""COMPUTED_VALUE"""),"Dillons Bay")</f>
        <v>Dillons Bay</v>
      </c>
      <c r="D2157" s="120" t="str">
        <f>IFERROR(__xludf.DUMMYFUNCTION("""COMPUTED_VALUE"""),"Vanuatu")</f>
        <v>Vanuatu</v>
      </c>
      <c r="E2157" s="135"/>
      <c r="F2157" s="31"/>
    </row>
    <row r="2158">
      <c r="A2158" s="134" t="str">
        <f>IFERROR(__xludf.DUMMYFUNCTION("""COMPUTED_VALUE"""),"Dimapur")</f>
        <v>Dimapur</v>
      </c>
      <c r="B2158" s="120" t="str">
        <f>IFERROR(__xludf.DUMMYFUNCTION("""COMPUTED_VALUE"""),"DMU")</f>
        <v>DMU</v>
      </c>
      <c r="C2158" s="120" t="str">
        <f>IFERROR(__xludf.DUMMYFUNCTION("""COMPUTED_VALUE"""),"Dimapur")</f>
        <v>Dimapur</v>
      </c>
      <c r="D2158" s="120" t="str">
        <f>IFERROR(__xludf.DUMMYFUNCTION("""COMPUTED_VALUE"""),"India")</f>
        <v>India</v>
      </c>
      <c r="E2158" s="135"/>
      <c r="F2158" s="31"/>
    </row>
    <row r="2159">
      <c r="A2159" s="134" t="str">
        <f>IFERROR(__xludf.DUMMYFUNCTION("""COMPUTED_VALUE"""),"Dimbokro")</f>
        <v>Dimbokro</v>
      </c>
      <c r="B2159" s="120" t="str">
        <f>IFERROR(__xludf.DUMMYFUNCTION("""COMPUTED_VALUE"""),"DIM")</f>
        <v>DIM</v>
      </c>
      <c r="C2159" s="120" t="str">
        <f>IFERROR(__xludf.DUMMYFUNCTION("""COMPUTED_VALUE"""),"Dimbokro")</f>
        <v>Dimbokro</v>
      </c>
      <c r="D2159" s="120" t="str">
        <f>IFERROR(__xludf.DUMMYFUNCTION("""COMPUTED_VALUE"""),"Cote D'Ivoire (Ivory Coast)")</f>
        <v>Cote D'Ivoire (Ivory Coast)</v>
      </c>
      <c r="E2159" s="135"/>
      <c r="F2159" s="31"/>
    </row>
    <row r="2160">
      <c r="A2160" s="134" t="str">
        <f>IFERROR(__xludf.DUMMYFUNCTION("""COMPUTED_VALUE"""),"Dinangat")</f>
        <v>Dinangat</v>
      </c>
      <c r="B2160" s="120" t="str">
        <f>IFERROR(__xludf.DUMMYFUNCTION("""COMPUTED_VALUE"""),"DNU")</f>
        <v>DNU</v>
      </c>
      <c r="C2160" s="120" t="str">
        <f>IFERROR(__xludf.DUMMYFUNCTION("""COMPUTED_VALUE"""),"Dinangat")</f>
        <v>Dinangat</v>
      </c>
      <c r="D2160" s="120" t="str">
        <f>IFERROR(__xludf.DUMMYFUNCTION("""COMPUTED_VALUE"""),"Papua New Guinea")</f>
        <v>Papua New Guinea</v>
      </c>
      <c r="E2160" s="135"/>
      <c r="F2160" s="31"/>
    </row>
    <row r="2161">
      <c r="A2161" s="134" t="str">
        <f>IFERROR(__xludf.DUMMYFUNCTION("""COMPUTED_VALUE"""),"Dinard")</f>
        <v>Dinard</v>
      </c>
      <c r="B2161" s="120" t="str">
        <f>IFERROR(__xludf.DUMMYFUNCTION("""COMPUTED_VALUE"""),"DNR")</f>
        <v>DNR</v>
      </c>
      <c r="C2161" s="120" t="str">
        <f>IFERROR(__xludf.DUMMYFUNCTION("""COMPUTED_VALUE"""),"Pleurtuit")</f>
        <v>Pleurtuit</v>
      </c>
      <c r="D2161" s="120" t="str">
        <f>IFERROR(__xludf.DUMMYFUNCTION("""COMPUTED_VALUE"""),"France")</f>
        <v>France</v>
      </c>
      <c r="E2161" s="135"/>
      <c r="F2161" s="31"/>
    </row>
    <row r="2162">
      <c r="A2162" s="134" t="str">
        <f>IFERROR(__xludf.DUMMYFUNCTION("""COMPUTED_VALUE"""),"Dinder")</f>
        <v>Dinder</v>
      </c>
      <c r="B2162" s="120" t="str">
        <f>IFERROR(__xludf.DUMMYFUNCTION("""COMPUTED_VALUE"""),"DNX")</f>
        <v>DNX</v>
      </c>
      <c r="C2162" s="120" t="str">
        <f>IFERROR(__xludf.DUMMYFUNCTION("""COMPUTED_VALUE"""),"Galegu")</f>
        <v>Galegu</v>
      </c>
      <c r="D2162" s="120" t="str">
        <f>IFERROR(__xludf.DUMMYFUNCTION("""COMPUTED_VALUE"""),"Sudan")</f>
        <v>Sudan</v>
      </c>
      <c r="E2162" s="135"/>
      <c r="F2162" s="31"/>
    </row>
    <row r="2163">
      <c r="A2163" s="134" t="str">
        <f>IFERROR(__xludf.DUMMYFUNCTION("""COMPUTED_VALUE"""),"Diomede Island")</f>
        <v>Diomede Island</v>
      </c>
      <c r="B2163" s="120" t="str">
        <f>IFERROR(__xludf.DUMMYFUNCTION("""COMPUTED_VALUE"""),"DIO")</f>
        <v>DIO</v>
      </c>
      <c r="C2163" s="120" t="str">
        <f>IFERROR(__xludf.DUMMYFUNCTION("""COMPUTED_VALUE"""),"Diomede Island")</f>
        <v>Diomede Island</v>
      </c>
      <c r="D2163" s="120" t="str">
        <f>IFERROR(__xludf.DUMMYFUNCTION("""COMPUTED_VALUE"""),"United States")</f>
        <v>United States</v>
      </c>
      <c r="E2163" s="135"/>
      <c r="F2163" s="31"/>
    </row>
    <row r="2164">
      <c r="A2164" s="134" t="str">
        <f>IFERROR(__xludf.DUMMYFUNCTION("""COMPUTED_VALUE"""),"Dios")</f>
        <v>Dios</v>
      </c>
      <c r="B2164" s="120" t="str">
        <f>IFERROR(__xludf.DUMMYFUNCTION("""COMPUTED_VALUE"""),"DOS")</f>
        <v>DOS</v>
      </c>
      <c r="C2164" s="120" t="str">
        <f>IFERROR(__xludf.DUMMYFUNCTION("""COMPUTED_VALUE"""),"Dios")</f>
        <v>Dios</v>
      </c>
      <c r="D2164" s="120" t="str">
        <f>IFERROR(__xludf.DUMMYFUNCTION("""COMPUTED_VALUE"""),"Papua New Guinea")</f>
        <v>Papua New Guinea</v>
      </c>
      <c r="E2164" s="135"/>
      <c r="F2164" s="31"/>
    </row>
    <row r="2165">
      <c r="A2165" s="134" t="str">
        <f>IFERROR(__xludf.DUMMYFUNCTION("""COMPUTED_VALUE"""),"Dipolog")</f>
        <v>Dipolog</v>
      </c>
      <c r="B2165" s="120" t="str">
        <f>IFERROR(__xludf.DUMMYFUNCTION("""COMPUTED_VALUE"""),"DPL")</f>
        <v>DPL</v>
      </c>
      <c r="C2165" s="120" t="str">
        <f>IFERROR(__xludf.DUMMYFUNCTION("""COMPUTED_VALUE"""),"Dipolog")</f>
        <v>Dipolog</v>
      </c>
      <c r="D2165" s="120" t="str">
        <f>IFERROR(__xludf.DUMMYFUNCTION("""COMPUTED_VALUE"""),"Philippines")</f>
        <v>Philippines</v>
      </c>
      <c r="E2165" s="135"/>
      <c r="F2165" s="31"/>
    </row>
    <row r="2166">
      <c r="A2166" s="134" t="str">
        <f>IFERROR(__xludf.DUMMYFUNCTION("""COMPUTED_VALUE"""),"Diqing")</f>
        <v>Diqing</v>
      </c>
      <c r="B2166" s="120" t="str">
        <f>IFERROR(__xludf.DUMMYFUNCTION("""COMPUTED_VALUE"""),"DIG")</f>
        <v>DIG</v>
      </c>
      <c r="C2166" s="120" t="str">
        <f>IFERROR(__xludf.DUMMYFUNCTION("""COMPUTED_VALUE"""),"Diqing")</f>
        <v>Diqing</v>
      </c>
      <c r="D2166" s="120" t="str">
        <f>IFERROR(__xludf.DUMMYFUNCTION("""COMPUTED_VALUE"""),"China")</f>
        <v>China</v>
      </c>
      <c r="E2166" s="135"/>
      <c r="F2166" s="31"/>
    </row>
    <row r="2167">
      <c r="A2167" s="134" t="str">
        <f>IFERROR(__xludf.DUMMYFUNCTION("""COMPUTED_VALUE"""),"Dire Dawa")</f>
        <v>Dire Dawa</v>
      </c>
      <c r="B2167" s="120" t="str">
        <f>IFERROR(__xludf.DUMMYFUNCTION("""COMPUTED_VALUE"""),"DIR")</f>
        <v>DIR</v>
      </c>
      <c r="C2167" s="120" t="str">
        <f>IFERROR(__xludf.DUMMYFUNCTION("""COMPUTED_VALUE"""),"Aba Tenna D Yilma")</f>
        <v>Aba Tenna D Yilma</v>
      </c>
      <c r="D2167" s="120" t="str">
        <f>IFERROR(__xludf.DUMMYFUNCTION("""COMPUTED_VALUE"""),"Ethiopia")</f>
        <v>Ethiopia</v>
      </c>
      <c r="E2167" s="135"/>
      <c r="F2167" s="31"/>
    </row>
    <row r="2168">
      <c r="A2168" s="134" t="str">
        <f>IFERROR(__xludf.DUMMYFUNCTION("""COMPUTED_VALUE"""),"Dirico")</f>
        <v>Dirico</v>
      </c>
      <c r="B2168" s="120" t="str">
        <f>IFERROR(__xludf.DUMMYFUNCTION("""COMPUTED_VALUE"""),"DRC")</f>
        <v>DRC</v>
      </c>
      <c r="C2168" s="120" t="str">
        <f>IFERROR(__xludf.DUMMYFUNCTION("""COMPUTED_VALUE"""),"Dirico")</f>
        <v>Dirico</v>
      </c>
      <c r="D2168" s="120" t="str">
        <f>IFERROR(__xludf.DUMMYFUNCTION("""COMPUTED_VALUE"""),"Angola")</f>
        <v>Angola</v>
      </c>
      <c r="E2168" s="135"/>
      <c r="F2168" s="31"/>
    </row>
    <row r="2169">
      <c r="A2169" s="134" t="str">
        <f>IFERROR(__xludf.DUMMYFUNCTION("""COMPUTED_VALUE"""),"Dirranbandi")</f>
        <v>Dirranbandi</v>
      </c>
      <c r="B2169" s="120" t="str">
        <f>IFERROR(__xludf.DUMMYFUNCTION("""COMPUTED_VALUE"""),"DRN")</f>
        <v>DRN</v>
      </c>
      <c r="C2169" s="120" t="str">
        <f>IFERROR(__xludf.DUMMYFUNCTION("""COMPUTED_VALUE"""),"Dirranbandi")</f>
        <v>Dirranbandi</v>
      </c>
      <c r="D2169" s="120" t="str">
        <f>IFERROR(__xludf.DUMMYFUNCTION("""COMPUTED_VALUE"""),"Australia")</f>
        <v>Australia</v>
      </c>
      <c r="E2169" s="135"/>
      <c r="F2169" s="31"/>
    </row>
    <row r="2170">
      <c r="A2170" s="134" t="str">
        <f>IFERROR(__xludf.DUMMYFUNCTION("""COMPUTED_VALUE"""),"Disneyland Paris")</f>
        <v>Disneyland Paris</v>
      </c>
      <c r="B2170" s="120" t="str">
        <f>IFERROR(__xludf.DUMMYFUNCTION("""COMPUTED_VALUE"""),"DLP")</f>
        <v>DLP</v>
      </c>
      <c r="C2170" s="120" t="str">
        <f>IFERROR(__xludf.DUMMYFUNCTION("""COMPUTED_VALUE"""),"Disneyland Paris")</f>
        <v>Disneyland Paris</v>
      </c>
      <c r="D2170" s="120" t="str">
        <f>IFERROR(__xludf.DUMMYFUNCTION("""COMPUTED_VALUE"""),"France")</f>
        <v>France</v>
      </c>
      <c r="E2170" s="135"/>
      <c r="F2170" s="31"/>
    </row>
    <row r="2171">
      <c r="A2171" s="134" t="str">
        <f>IFERROR(__xludf.DUMMYFUNCTION("""COMPUTED_VALUE"""),"Diu")</f>
        <v>Diu</v>
      </c>
      <c r="B2171" s="120" t="str">
        <f>IFERROR(__xludf.DUMMYFUNCTION("""COMPUTED_VALUE"""),"DIU")</f>
        <v>DIU</v>
      </c>
      <c r="C2171" s="120" t="str">
        <f>IFERROR(__xludf.DUMMYFUNCTION("""COMPUTED_VALUE"""),"Diu")</f>
        <v>Diu</v>
      </c>
      <c r="D2171" s="120" t="str">
        <f>IFERROR(__xludf.DUMMYFUNCTION("""COMPUTED_VALUE"""),"India")</f>
        <v>India</v>
      </c>
      <c r="E2171" s="135"/>
      <c r="F2171" s="31"/>
    </row>
    <row r="2172">
      <c r="A2172" s="134" t="str">
        <f>IFERROR(__xludf.DUMMYFUNCTION("""COMPUTED_VALUE"""),"Divinopolis")</f>
        <v>Divinopolis</v>
      </c>
      <c r="B2172" s="120" t="str">
        <f>IFERROR(__xludf.DUMMYFUNCTION("""COMPUTED_VALUE"""),"DIQ")</f>
        <v>DIQ</v>
      </c>
      <c r="C2172" s="120" t="str">
        <f>IFERROR(__xludf.DUMMYFUNCTION("""COMPUTED_VALUE"""),"Divinopolis")</f>
        <v>Divinopolis</v>
      </c>
      <c r="D2172" s="120" t="str">
        <f>IFERROR(__xludf.DUMMYFUNCTION("""COMPUTED_VALUE"""),"Brazil")</f>
        <v>Brazil</v>
      </c>
      <c r="E2172" s="135"/>
      <c r="F2172" s="31"/>
    </row>
    <row r="2173">
      <c r="A2173" s="134" t="str">
        <f>IFERROR(__xludf.DUMMYFUNCTION("""COMPUTED_VALUE"""),"Divo")</f>
        <v>Divo</v>
      </c>
      <c r="B2173" s="120" t="str">
        <f>IFERROR(__xludf.DUMMYFUNCTION("""COMPUTED_VALUE"""),"DIV")</f>
        <v>DIV</v>
      </c>
      <c r="C2173" s="120" t="str">
        <f>IFERROR(__xludf.DUMMYFUNCTION("""COMPUTED_VALUE"""),"Divo")</f>
        <v>Divo</v>
      </c>
      <c r="D2173" s="120" t="str">
        <f>IFERROR(__xludf.DUMMYFUNCTION("""COMPUTED_VALUE"""),"Cote D'Ivoire (Ivory Coast)")</f>
        <v>Cote D'Ivoire (Ivory Coast)</v>
      </c>
      <c r="E2173" s="135"/>
      <c r="F2173" s="31"/>
    </row>
    <row r="2174">
      <c r="A2174" s="134" t="str">
        <f>IFERROR(__xludf.DUMMYFUNCTION("""COMPUTED_VALUE"""),"Dixie")</f>
        <v>Dixie</v>
      </c>
      <c r="B2174" s="120" t="str">
        <f>IFERROR(__xludf.DUMMYFUNCTION("""COMPUTED_VALUE"""),"DXD")</f>
        <v>DXD</v>
      </c>
      <c r="C2174" s="120" t="str">
        <f>IFERROR(__xludf.DUMMYFUNCTION("""COMPUTED_VALUE"""),"Dixie")</f>
        <v>Dixie</v>
      </c>
      <c r="D2174" s="120" t="str">
        <f>IFERROR(__xludf.DUMMYFUNCTION("""COMPUTED_VALUE"""),"Australia")</f>
        <v>Australia</v>
      </c>
      <c r="E2174" s="135"/>
      <c r="F2174" s="31"/>
    </row>
    <row r="2175">
      <c r="A2175" s="134" t="str">
        <f>IFERROR(__xludf.DUMMYFUNCTION("""COMPUTED_VALUE"""),"Diyarbakir")</f>
        <v>Diyarbakir</v>
      </c>
      <c r="B2175" s="120" t="str">
        <f>IFERROR(__xludf.DUMMYFUNCTION("""COMPUTED_VALUE"""),"DIY")</f>
        <v>DIY</v>
      </c>
      <c r="C2175" s="120" t="str">
        <f>IFERROR(__xludf.DUMMYFUNCTION("""COMPUTED_VALUE"""),"Diyarbakir")</f>
        <v>Diyarbakir</v>
      </c>
      <c r="D2175" s="120" t="str">
        <f>IFERROR(__xludf.DUMMYFUNCTION("""COMPUTED_VALUE"""),"Turkey")</f>
        <v>Turkey</v>
      </c>
      <c r="E2175" s="135"/>
      <c r="F2175" s="31"/>
    </row>
    <row r="2176">
      <c r="A2176" s="134" t="str">
        <f>IFERROR(__xludf.DUMMYFUNCTION("""COMPUTED_VALUE"""),"Djambala")</f>
        <v>Djambala</v>
      </c>
      <c r="B2176" s="120" t="str">
        <f>IFERROR(__xludf.DUMMYFUNCTION("""COMPUTED_VALUE"""),"DJM")</f>
        <v>DJM</v>
      </c>
      <c r="C2176" s="120" t="str">
        <f>IFERROR(__xludf.DUMMYFUNCTION("""COMPUTED_VALUE"""),"Djambala")</f>
        <v>Djambala</v>
      </c>
      <c r="D2176" s="120" t="str">
        <f>IFERROR(__xludf.DUMMYFUNCTION("""COMPUTED_VALUE"""),"Congo")</f>
        <v>Congo</v>
      </c>
      <c r="E2176" s="135"/>
      <c r="F2176" s="31"/>
    </row>
    <row r="2177">
      <c r="A2177" s="134" t="str">
        <f>IFERROR(__xludf.DUMMYFUNCTION("""COMPUTED_VALUE"""),"Djanet")</f>
        <v>Djanet</v>
      </c>
      <c r="B2177" s="120" t="str">
        <f>IFERROR(__xludf.DUMMYFUNCTION("""COMPUTED_VALUE"""),"DJG")</f>
        <v>DJG</v>
      </c>
      <c r="C2177" s="120" t="str">
        <f>IFERROR(__xludf.DUMMYFUNCTION("""COMPUTED_VALUE"""),"Inedbirenne")</f>
        <v>Inedbirenne</v>
      </c>
      <c r="D2177" s="120" t="str">
        <f>IFERROR(__xludf.DUMMYFUNCTION("""COMPUTED_VALUE"""),"Algeria")</f>
        <v>Algeria</v>
      </c>
      <c r="E2177" s="135"/>
      <c r="F2177" s="31"/>
    </row>
    <row r="2178">
      <c r="A2178" s="134" t="str">
        <f>IFERROR(__xludf.DUMMYFUNCTION("""COMPUTED_VALUE"""),"Djerba")</f>
        <v>Djerba</v>
      </c>
      <c r="B2178" s="120" t="str">
        <f>IFERROR(__xludf.DUMMYFUNCTION("""COMPUTED_VALUE"""),"DJE")</f>
        <v>DJE</v>
      </c>
      <c r="C2178" s="120" t="str">
        <f>IFERROR(__xludf.DUMMYFUNCTION("""COMPUTED_VALUE"""),"Djerba-Zarzis")</f>
        <v>Djerba-Zarzis</v>
      </c>
      <c r="D2178" s="120" t="str">
        <f>IFERROR(__xludf.DUMMYFUNCTION("""COMPUTED_VALUE"""),"Tunisia")</f>
        <v>Tunisia</v>
      </c>
      <c r="E2178" s="135"/>
      <c r="F2178" s="31"/>
    </row>
    <row r="2179">
      <c r="A2179" s="134" t="str">
        <f>IFERROR(__xludf.DUMMYFUNCTION("""COMPUTED_VALUE"""),"Djibo")</f>
        <v>Djibo</v>
      </c>
      <c r="B2179" s="120" t="str">
        <f>IFERROR(__xludf.DUMMYFUNCTION("""COMPUTED_VALUE"""),"XDJ")</f>
        <v>XDJ</v>
      </c>
      <c r="C2179" s="120" t="str">
        <f>IFERROR(__xludf.DUMMYFUNCTION("""COMPUTED_VALUE"""),"Djibo")</f>
        <v>Djibo</v>
      </c>
      <c r="D2179" s="120" t="str">
        <f>IFERROR(__xludf.DUMMYFUNCTION("""COMPUTED_VALUE"""),"Burkina Faso")</f>
        <v>Burkina Faso</v>
      </c>
      <c r="E2179" s="135"/>
      <c r="F2179" s="31"/>
    </row>
    <row r="2180">
      <c r="A2180" s="134" t="str">
        <f>IFERROR(__xludf.DUMMYFUNCTION("""COMPUTED_VALUE"""),"Djibouti")</f>
        <v>Djibouti</v>
      </c>
      <c r="B2180" s="120" t="str">
        <f>IFERROR(__xludf.DUMMYFUNCTION("""COMPUTED_VALUE"""),"JIB")</f>
        <v>JIB</v>
      </c>
      <c r="C2180" s="120" t="str">
        <f>IFERROR(__xludf.DUMMYFUNCTION("""COMPUTED_VALUE"""),"Ambouli")</f>
        <v>Ambouli</v>
      </c>
      <c r="D2180" s="120" t="str">
        <f>IFERROR(__xludf.DUMMYFUNCTION("""COMPUTED_VALUE"""),"Djibouti")</f>
        <v>Djibouti</v>
      </c>
      <c r="E2180" s="135"/>
      <c r="F2180" s="31"/>
    </row>
    <row r="2181">
      <c r="A2181" s="134" t="str">
        <f>IFERROR(__xludf.DUMMYFUNCTION("""COMPUTED_VALUE"""),"Djoemoe")</f>
        <v>Djoemoe</v>
      </c>
      <c r="B2181" s="120" t="str">
        <f>IFERROR(__xludf.DUMMYFUNCTION("""COMPUTED_VALUE"""),"DOE")</f>
        <v>DOE</v>
      </c>
      <c r="C2181" s="120" t="str">
        <f>IFERROR(__xludf.DUMMYFUNCTION("""COMPUTED_VALUE"""),"Djoemoe")</f>
        <v>Djoemoe</v>
      </c>
      <c r="D2181" s="120" t="str">
        <f>IFERROR(__xludf.DUMMYFUNCTION("""COMPUTED_VALUE"""),"Suriname")</f>
        <v>Suriname</v>
      </c>
      <c r="E2181" s="135"/>
      <c r="F2181" s="31"/>
    </row>
    <row r="2182">
      <c r="A2182" s="134" t="str">
        <f>IFERROR(__xludf.DUMMYFUNCTION("""COMPUTED_VALUE"""),"Djougou")</f>
        <v>Djougou</v>
      </c>
      <c r="B2182" s="120" t="str">
        <f>IFERROR(__xludf.DUMMYFUNCTION("""COMPUTED_VALUE"""),"DJA")</f>
        <v>DJA</v>
      </c>
      <c r="C2182" s="120" t="str">
        <f>IFERROR(__xludf.DUMMYFUNCTION("""COMPUTED_VALUE"""),"Djougou")</f>
        <v>Djougou</v>
      </c>
      <c r="D2182" s="120" t="str">
        <f>IFERROR(__xludf.DUMMYFUNCTION("""COMPUTED_VALUE"""),"Benin")</f>
        <v>Benin</v>
      </c>
      <c r="E2182" s="135"/>
      <c r="F2182" s="31"/>
    </row>
    <row r="2183">
      <c r="A2183" s="134" t="str">
        <f>IFERROR(__xludf.DUMMYFUNCTION("""COMPUTED_VALUE"""),"Djupivogur")</f>
        <v>Djupivogur</v>
      </c>
      <c r="B2183" s="120" t="str">
        <f>IFERROR(__xludf.DUMMYFUNCTION("""COMPUTED_VALUE"""),"DJU")</f>
        <v>DJU</v>
      </c>
      <c r="C2183" s="120" t="str">
        <f>IFERROR(__xludf.DUMMYFUNCTION("""COMPUTED_VALUE"""),"Djupivogur")</f>
        <v>Djupivogur</v>
      </c>
      <c r="D2183" s="120" t="str">
        <f>IFERROR(__xludf.DUMMYFUNCTION("""COMPUTED_VALUE"""),"Iceland")</f>
        <v>Iceland</v>
      </c>
      <c r="E2183" s="135"/>
      <c r="F2183" s="31"/>
    </row>
    <row r="2184">
      <c r="A2184" s="134" t="str">
        <f>IFERROR(__xludf.DUMMYFUNCTION("""COMPUTED_VALUE"""),"Dnepropetrovsk")</f>
        <v>Dnepropetrovsk</v>
      </c>
      <c r="B2184" s="120" t="str">
        <f>IFERROR(__xludf.DUMMYFUNCTION("""COMPUTED_VALUE"""),"DNK")</f>
        <v>DNK</v>
      </c>
      <c r="C2184" s="120" t="str">
        <f>IFERROR(__xludf.DUMMYFUNCTION("""COMPUTED_VALUE"""),"Dnepropetrovsk")</f>
        <v>Dnepropetrovsk</v>
      </c>
      <c r="D2184" s="120" t="str">
        <f>IFERROR(__xludf.DUMMYFUNCTION("""COMPUTED_VALUE"""),"Ukraine")</f>
        <v>Ukraine</v>
      </c>
      <c r="E2184" s="135"/>
      <c r="F2184" s="31"/>
    </row>
    <row r="2185">
      <c r="A2185" s="134" t="str">
        <f>IFERROR(__xludf.DUMMYFUNCTION("""COMPUTED_VALUE"""),"Doany")</f>
        <v>Doany</v>
      </c>
      <c r="B2185" s="120" t="str">
        <f>IFERROR(__xludf.DUMMYFUNCTION("""COMPUTED_VALUE"""),"DOA")</f>
        <v>DOA</v>
      </c>
      <c r="C2185" s="120" t="str">
        <f>IFERROR(__xludf.DUMMYFUNCTION("""COMPUTED_VALUE"""),"Doany")</f>
        <v>Doany</v>
      </c>
      <c r="D2185" s="120" t="str">
        <f>IFERROR(__xludf.DUMMYFUNCTION("""COMPUTED_VALUE"""),"Madagascar")</f>
        <v>Madagascar</v>
      </c>
      <c r="E2185" s="135"/>
      <c r="F2185" s="31"/>
    </row>
    <row r="2186">
      <c r="A2186" s="134" t="str">
        <f>IFERROR(__xludf.DUMMYFUNCTION("""COMPUTED_VALUE"""),"Dobo")</f>
        <v>Dobo</v>
      </c>
      <c r="B2186" s="120" t="str">
        <f>IFERROR(__xludf.DUMMYFUNCTION("""COMPUTED_VALUE"""),"DOB")</f>
        <v>DOB</v>
      </c>
      <c r="C2186" s="120" t="str">
        <f>IFERROR(__xludf.DUMMYFUNCTION("""COMPUTED_VALUE"""),"Dobo Airport")</f>
        <v>Dobo Airport</v>
      </c>
      <c r="D2186" s="120" t="str">
        <f>IFERROR(__xludf.DUMMYFUNCTION("""COMPUTED_VALUE"""),"Indonesia")</f>
        <v>Indonesia</v>
      </c>
      <c r="E2186" s="135"/>
      <c r="F2186" s="31"/>
    </row>
    <row r="2187">
      <c r="A2187" s="134" t="str">
        <f>IFERROR(__xludf.DUMMYFUNCTION("""COMPUTED_VALUE"""),"Doc Creek")</f>
        <v>Doc Creek</v>
      </c>
      <c r="B2187" s="120" t="str">
        <f>IFERROR(__xludf.DUMMYFUNCTION("""COMPUTED_VALUE"""),"YDX")</f>
        <v>YDX</v>
      </c>
      <c r="C2187" s="120" t="str">
        <f>IFERROR(__xludf.DUMMYFUNCTION("""COMPUTED_VALUE"""),"Doc Creek")</f>
        <v>Doc Creek</v>
      </c>
      <c r="D2187" s="120" t="str">
        <f>IFERROR(__xludf.DUMMYFUNCTION("""COMPUTED_VALUE"""),"Canada")</f>
        <v>Canada</v>
      </c>
      <c r="E2187" s="135"/>
      <c r="F2187" s="31"/>
    </row>
    <row r="2188">
      <c r="A2188" s="134" t="str">
        <f>IFERROR(__xludf.DUMMYFUNCTION("""COMPUTED_VALUE"""),"Docker River")</f>
        <v>Docker River</v>
      </c>
      <c r="B2188" s="120" t="str">
        <f>IFERROR(__xludf.DUMMYFUNCTION("""COMPUTED_VALUE"""),"DKV")</f>
        <v>DKV</v>
      </c>
      <c r="C2188" s="120" t="str">
        <f>IFERROR(__xludf.DUMMYFUNCTION("""COMPUTED_VALUE"""),"Docker River")</f>
        <v>Docker River</v>
      </c>
      <c r="D2188" s="120" t="str">
        <f>IFERROR(__xludf.DUMMYFUNCTION("""COMPUTED_VALUE"""),"Australia")</f>
        <v>Australia</v>
      </c>
      <c r="E2188" s="135"/>
      <c r="F2188" s="31"/>
    </row>
    <row r="2189">
      <c r="A2189" s="134" t="str">
        <f>IFERROR(__xludf.DUMMYFUNCTION("""COMPUTED_VALUE"""),"Dodge City")</f>
        <v>Dodge City</v>
      </c>
      <c r="B2189" s="120" t="str">
        <f>IFERROR(__xludf.DUMMYFUNCTION("""COMPUTED_VALUE"""),"DDC")</f>
        <v>DDC</v>
      </c>
      <c r="C2189" s="120" t="str">
        <f>IFERROR(__xludf.DUMMYFUNCTION("""COMPUTED_VALUE"""),"Dodge City Municipal")</f>
        <v>Dodge City Municipal</v>
      </c>
      <c r="D2189" s="120" t="str">
        <f>IFERROR(__xludf.DUMMYFUNCTION("""COMPUTED_VALUE"""),"United States")</f>
        <v>United States</v>
      </c>
      <c r="E2189" s="135"/>
      <c r="F2189" s="31"/>
    </row>
    <row r="2190">
      <c r="A2190" s="134" t="str">
        <f>IFERROR(__xludf.DUMMYFUNCTION("""COMPUTED_VALUE"""),"Dodoima")</f>
        <v>Dodoima</v>
      </c>
      <c r="B2190" s="120" t="str">
        <f>IFERROR(__xludf.DUMMYFUNCTION("""COMPUTED_VALUE"""),"DDM")</f>
        <v>DDM</v>
      </c>
      <c r="C2190" s="120" t="str">
        <f>IFERROR(__xludf.DUMMYFUNCTION("""COMPUTED_VALUE"""),"Dodoima")</f>
        <v>Dodoima</v>
      </c>
      <c r="D2190" s="120" t="str">
        <f>IFERROR(__xludf.DUMMYFUNCTION("""COMPUTED_VALUE"""),"Papua New Guinea")</f>
        <v>Papua New Guinea</v>
      </c>
      <c r="E2190" s="135"/>
      <c r="F2190" s="31"/>
    </row>
    <row r="2191">
      <c r="A2191" s="134" t="str">
        <f>IFERROR(__xludf.DUMMYFUNCTION("""COMPUTED_VALUE"""),"Dodoma")</f>
        <v>Dodoma</v>
      </c>
      <c r="B2191" s="120" t="str">
        <f>IFERROR(__xludf.DUMMYFUNCTION("""COMPUTED_VALUE"""),"DOD")</f>
        <v>DOD</v>
      </c>
      <c r="C2191" s="120" t="str">
        <f>IFERROR(__xludf.DUMMYFUNCTION("""COMPUTED_VALUE"""),"Dodoma")</f>
        <v>Dodoma</v>
      </c>
      <c r="D2191" s="120" t="str">
        <f>IFERROR(__xludf.DUMMYFUNCTION("""COMPUTED_VALUE"""),"Tanzania")</f>
        <v>Tanzania</v>
      </c>
      <c r="E2191" s="135"/>
      <c r="F2191" s="31"/>
    </row>
    <row r="2192">
      <c r="A2192" s="134" t="str">
        <f>IFERROR(__xludf.DUMMYFUNCTION("""COMPUTED_VALUE"""),"Doha")</f>
        <v>Doha</v>
      </c>
      <c r="B2192" s="120" t="str">
        <f>IFERROR(__xludf.DUMMYFUNCTION("""COMPUTED_VALUE"""),"DOH")</f>
        <v>DOH</v>
      </c>
      <c r="C2192" s="120" t="str">
        <f>IFERROR(__xludf.DUMMYFUNCTION("""COMPUTED_VALUE"""),"Doha")</f>
        <v>Doha</v>
      </c>
      <c r="D2192" s="120" t="str">
        <f>IFERROR(__xludf.DUMMYFUNCTION("""COMPUTED_VALUE"""),"Qatar")</f>
        <v>Qatar</v>
      </c>
      <c r="E2192" s="135"/>
      <c r="F2192" s="31"/>
    </row>
    <row r="2193">
      <c r="A2193" s="134" t="str">
        <f>IFERROR(__xludf.DUMMYFUNCTION("""COMPUTED_VALUE"""),"Doha")</f>
        <v>Doha</v>
      </c>
      <c r="B2193" s="120" t="str">
        <f>IFERROR(__xludf.DUMMYFUNCTION("""COMPUTED_VALUE"""),"XOZ")</f>
        <v>XOZ</v>
      </c>
      <c r="C2193" s="120" t="str">
        <f>IFERROR(__xludf.DUMMYFUNCTION("""COMPUTED_VALUE"""),"Doha Free Zone")</f>
        <v>Doha Free Zone</v>
      </c>
      <c r="D2193" s="120" t="str">
        <f>IFERROR(__xludf.DUMMYFUNCTION("""COMPUTED_VALUE"""),"Qatar")</f>
        <v>Qatar</v>
      </c>
      <c r="E2193" s="135"/>
      <c r="F2193" s="31"/>
    </row>
    <row r="2194">
      <c r="A2194" s="134" t="str">
        <f>IFERROR(__xludf.DUMMYFUNCTION("""COMPUTED_VALUE"""),"Doini")</f>
        <v>Doini</v>
      </c>
      <c r="B2194" s="120" t="str">
        <f>IFERROR(__xludf.DUMMYFUNCTION("""COMPUTED_VALUE"""),"DOI")</f>
        <v>DOI</v>
      </c>
      <c r="C2194" s="120" t="str">
        <f>IFERROR(__xludf.DUMMYFUNCTION("""COMPUTED_VALUE"""),"Doini")</f>
        <v>Doini</v>
      </c>
      <c r="D2194" s="120" t="str">
        <f>IFERROR(__xludf.DUMMYFUNCTION("""COMPUTED_VALUE"""),"Papua New Guinea")</f>
        <v>Papua New Guinea</v>
      </c>
      <c r="E2194" s="135"/>
      <c r="F2194" s="31"/>
    </row>
    <row r="2195">
      <c r="A2195" s="134" t="str">
        <f>IFERROR(__xludf.DUMMYFUNCTION("""COMPUTED_VALUE"""),"Dolbeau")</f>
        <v>Dolbeau</v>
      </c>
      <c r="B2195" s="120" t="str">
        <f>IFERROR(__xludf.DUMMYFUNCTION("""COMPUTED_VALUE"""),"YDO")</f>
        <v>YDO</v>
      </c>
      <c r="C2195" s="120" t="str">
        <f>IFERROR(__xludf.DUMMYFUNCTION("""COMPUTED_VALUE"""),"St Methode")</f>
        <v>St Methode</v>
      </c>
      <c r="D2195" s="120" t="str">
        <f>IFERROR(__xludf.DUMMYFUNCTION("""COMPUTED_VALUE"""),"Canada")</f>
        <v>Canada</v>
      </c>
      <c r="E2195" s="135"/>
      <c r="F2195" s="31"/>
    </row>
    <row r="2196">
      <c r="A2196" s="134" t="str">
        <f>IFERROR(__xludf.DUMMYFUNCTION("""COMPUTED_VALUE"""),"Dole")</f>
        <v>Dole</v>
      </c>
      <c r="B2196" s="120" t="str">
        <f>IFERROR(__xludf.DUMMYFUNCTION("""COMPUTED_VALUE"""),"DLE")</f>
        <v>DLE</v>
      </c>
      <c r="C2196" s="120" t="str">
        <f>IFERROR(__xludf.DUMMYFUNCTION("""COMPUTED_VALUE"""),"Tavaux")</f>
        <v>Tavaux</v>
      </c>
      <c r="D2196" s="120" t="str">
        <f>IFERROR(__xludf.DUMMYFUNCTION("""COMPUTED_VALUE"""),"France")</f>
        <v>France</v>
      </c>
      <c r="E2196" s="135"/>
      <c r="F2196" s="31"/>
    </row>
    <row r="2197">
      <c r="A2197" s="134" t="str">
        <f>IFERROR(__xludf.DUMMYFUNCTION("""COMPUTED_VALUE"""),"Dolomi")</f>
        <v>Dolomi</v>
      </c>
      <c r="B2197" s="120" t="str">
        <f>IFERROR(__xludf.DUMMYFUNCTION("""COMPUTED_VALUE"""),"DLO")</f>
        <v>DLO</v>
      </c>
      <c r="C2197" s="120" t="str">
        <f>IFERROR(__xludf.DUMMYFUNCTION("""COMPUTED_VALUE"""),"Dolomi")</f>
        <v>Dolomi</v>
      </c>
      <c r="D2197" s="120" t="str">
        <f>IFERROR(__xludf.DUMMYFUNCTION("""COMPUTED_VALUE"""),"United States")</f>
        <v>United States</v>
      </c>
      <c r="E2197" s="135"/>
      <c r="F2197" s="31"/>
    </row>
    <row r="2198">
      <c r="A2198" s="134" t="str">
        <f>IFERROR(__xludf.DUMMYFUNCTION("""COMPUTED_VALUE"""),"Dolpa")</f>
        <v>Dolpa</v>
      </c>
      <c r="B2198" s="120" t="str">
        <f>IFERROR(__xludf.DUMMYFUNCTION("""COMPUTED_VALUE"""),"DOP")</f>
        <v>DOP</v>
      </c>
      <c r="C2198" s="120" t="str">
        <f>IFERROR(__xludf.DUMMYFUNCTION("""COMPUTED_VALUE"""),"Dolpa")</f>
        <v>Dolpa</v>
      </c>
      <c r="D2198" s="120" t="str">
        <f>IFERROR(__xludf.DUMMYFUNCTION("""COMPUTED_VALUE"""),"Nepal")</f>
        <v>Nepal</v>
      </c>
      <c r="E2198" s="135"/>
      <c r="F2198" s="31"/>
    </row>
    <row r="2199">
      <c r="A2199" s="134" t="str">
        <f>IFERROR(__xludf.DUMMYFUNCTION("""COMPUTED_VALUE"""),"Dominica")</f>
        <v>Dominica</v>
      </c>
      <c r="B2199" s="120" t="str">
        <f>IFERROR(__xludf.DUMMYFUNCTION("""COMPUTED_VALUE"""),"DCF")</f>
        <v>DCF</v>
      </c>
      <c r="C2199" s="120" t="str">
        <f>IFERROR(__xludf.DUMMYFUNCTION("""COMPUTED_VALUE"""),"Cane Field")</f>
        <v>Cane Field</v>
      </c>
      <c r="D2199" s="120" t="str">
        <f>IFERROR(__xludf.DUMMYFUNCTION("""COMPUTED_VALUE"""),"Dominica")</f>
        <v>Dominica</v>
      </c>
      <c r="E2199" s="135"/>
      <c r="F2199" s="31"/>
    </row>
    <row r="2200">
      <c r="A2200" s="134" t="str">
        <f>IFERROR(__xludf.DUMMYFUNCTION("""COMPUTED_VALUE"""),"Dominica")</f>
        <v>Dominica</v>
      </c>
      <c r="B2200" s="120" t="str">
        <f>IFERROR(__xludf.DUMMYFUNCTION("""COMPUTED_VALUE"""),"DOM")</f>
        <v>DOM</v>
      </c>
      <c r="C2200" s="120" t="str">
        <f>IFERROR(__xludf.DUMMYFUNCTION("""COMPUTED_VALUE"""),"Melville Hall")</f>
        <v>Melville Hall</v>
      </c>
      <c r="D2200" s="120" t="str">
        <f>IFERROR(__xludf.DUMMYFUNCTION("""COMPUTED_VALUE"""),"Dominica")</f>
        <v>Dominica</v>
      </c>
      <c r="E2200" s="135"/>
      <c r="F2200" s="31"/>
    </row>
    <row r="2201">
      <c r="A2201" s="134" t="str">
        <f>IFERROR(__xludf.DUMMYFUNCTION("""COMPUTED_VALUE"""),"Doncaster")</f>
        <v>Doncaster</v>
      </c>
      <c r="B2201" s="120" t="str">
        <f>IFERROR(__xludf.DUMMYFUNCTION("""COMPUTED_VALUE"""),"DSA")</f>
        <v>DSA</v>
      </c>
      <c r="C2201" s="120" t="str">
        <f>IFERROR(__xludf.DUMMYFUNCTION("""COMPUTED_VALUE"""),"Robin Hood International")</f>
        <v>Robin Hood International</v>
      </c>
      <c r="D2201" s="120" t="str">
        <f>IFERROR(__xludf.DUMMYFUNCTION("""COMPUTED_VALUE"""),"United Kingdom")</f>
        <v>United Kingdom</v>
      </c>
      <c r="E2201" s="135"/>
      <c r="F2201" s="31"/>
    </row>
    <row r="2202">
      <c r="A2202" s="134" t="str">
        <f>IFERROR(__xludf.DUMMYFUNCTION("""COMPUTED_VALUE"""),"Donegal")</f>
        <v>Donegal</v>
      </c>
      <c r="B2202" s="120" t="str">
        <f>IFERROR(__xludf.DUMMYFUNCTION("""COMPUTED_VALUE"""),"CFN")</f>
        <v>CFN</v>
      </c>
      <c r="C2202" s="120" t="str">
        <f>IFERROR(__xludf.DUMMYFUNCTION("""COMPUTED_VALUE"""),"Donegal")</f>
        <v>Donegal</v>
      </c>
      <c r="D2202" s="120" t="str">
        <f>IFERROR(__xludf.DUMMYFUNCTION("""COMPUTED_VALUE"""),"Ireland")</f>
        <v>Ireland</v>
      </c>
      <c r="E2202" s="135"/>
      <c r="F2202" s="31"/>
    </row>
    <row r="2203">
      <c r="A2203" s="134" t="str">
        <f>IFERROR(__xludf.DUMMYFUNCTION("""COMPUTED_VALUE"""),"Donetsk")</f>
        <v>Donetsk</v>
      </c>
      <c r="B2203" s="120" t="str">
        <f>IFERROR(__xludf.DUMMYFUNCTION("""COMPUTED_VALUE"""),"DOK")</f>
        <v>DOK</v>
      </c>
      <c r="C2203" s="120" t="str">
        <f>IFERROR(__xludf.DUMMYFUNCTION("""COMPUTED_VALUE"""),"Donetsk")</f>
        <v>Donetsk</v>
      </c>
      <c r="D2203" s="120" t="str">
        <f>IFERROR(__xludf.DUMMYFUNCTION("""COMPUTED_VALUE"""),"Ukraine")</f>
        <v>Ukraine</v>
      </c>
      <c r="E2203" s="135"/>
      <c r="F2203" s="31"/>
    </row>
    <row r="2204">
      <c r="A2204" s="134" t="str">
        <f>IFERROR(__xludf.DUMMYFUNCTION("""COMPUTED_VALUE"""),"Dongara")</f>
        <v>Dongara</v>
      </c>
      <c r="B2204" s="120" t="str">
        <f>IFERROR(__xludf.DUMMYFUNCTION("""COMPUTED_VALUE"""),"DOX")</f>
        <v>DOX</v>
      </c>
      <c r="C2204" s="120" t="str">
        <f>IFERROR(__xludf.DUMMYFUNCTION("""COMPUTED_VALUE"""),"Dongara")</f>
        <v>Dongara</v>
      </c>
      <c r="D2204" s="120" t="str">
        <f>IFERROR(__xludf.DUMMYFUNCTION("""COMPUTED_VALUE"""),"Australia")</f>
        <v>Australia</v>
      </c>
      <c r="E2204" s="135"/>
      <c r="F2204" s="31"/>
    </row>
    <row r="2205">
      <c r="A2205" s="134" t="str">
        <f>IFERROR(__xludf.DUMMYFUNCTION("""COMPUTED_VALUE"""),"Dongguan")</f>
        <v>Dongguan</v>
      </c>
      <c r="B2205" s="120" t="str">
        <f>IFERROR(__xludf.DUMMYFUNCTION("""COMPUTED_VALUE"""),"DGM")</f>
        <v>DGM</v>
      </c>
      <c r="C2205" s="120" t="str">
        <f>IFERROR(__xludf.DUMMYFUNCTION("""COMPUTED_VALUE"""),"Dongguan")</f>
        <v>Dongguan</v>
      </c>
      <c r="D2205" s="120" t="str">
        <f>IFERROR(__xludf.DUMMYFUNCTION("""COMPUTED_VALUE"""),"China")</f>
        <v>China</v>
      </c>
      <c r="E2205" s="135"/>
      <c r="F2205" s="31"/>
    </row>
    <row r="2206">
      <c r="A2206" s="134" t="str">
        <f>IFERROR(__xludf.DUMMYFUNCTION("""COMPUTED_VALUE"""),"Dongola")</f>
        <v>Dongola</v>
      </c>
      <c r="B2206" s="120" t="str">
        <f>IFERROR(__xludf.DUMMYFUNCTION("""COMPUTED_VALUE"""),"DOG")</f>
        <v>DOG</v>
      </c>
      <c r="C2206" s="120" t="str">
        <f>IFERROR(__xludf.DUMMYFUNCTION("""COMPUTED_VALUE"""),"Dongola")</f>
        <v>Dongola</v>
      </c>
      <c r="D2206" s="120" t="str">
        <f>IFERROR(__xludf.DUMMYFUNCTION("""COMPUTED_VALUE"""),"Sudan")</f>
        <v>Sudan</v>
      </c>
      <c r="E2206" s="135"/>
      <c r="F2206" s="31"/>
    </row>
    <row r="2207">
      <c r="A2207" s="134" t="str">
        <f>IFERROR(__xludf.DUMMYFUNCTION("""COMPUTED_VALUE"""),"Dongsheng")</f>
        <v>Dongsheng</v>
      </c>
      <c r="B2207" s="120" t="str">
        <f>IFERROR(__xludf.DUMMYFUNCTION("""COMPUTED_VALUE"""),"DSN")</f>
        <v>DSN</v>
      </c>
      <c r="C2207" s="120" t="str">
        <f>IFERROR(__xludf.DUMMYFUNCTION("""COMPUTED_VALUE"""),"Dongsheng")</f>
        <v>Dongsheng</v>
      </c>
      <c r="D2207" s="120" t="str">
        <f>IFERROR(__xludf.DUMMYFUNCTION("""COMPUTED_VALUE"""),"China")</f>
        <v>China</v>
      </c>
      <c r="E2207" s="135"/>
      <c r="F2207" s="31"/>
    </row>
    <row r="2208">
      <c r="A2208" s="134" t="str">
        <f>IFERROR(__xludf.DUMMYFUNCTION("""COMPUTED_VALUE"""),"Dongying")</f>
        <v>Dongying</v>
      </c>
      <c r="B2208" s="120" t="str">
        <f>IFERROR(__xludf.DUMMYFUNCTION("""COMPUTED_VALUE"""),"DOY")</f>
        <v>DOY</v>
      </c>
      <c r="C2208" s="120" t="str">
        <f>IFERROR(__xludf.DUMMYFUNCTION("""COMPUTED_VALUE"""),"Dongying")</f>
        <v>Dongying</v>
      </c>
      <c r="D2208" s="120" t="str">
        <f>IFERROR(__xludf.DUMMYFUNCTION("""COMPUTED_VALUE"""),"China")</f>
        <v>China</v>
      </c>
      <c r="E2208" s="135"/>
      <c r="F2208" s="31"/>
    </row>
    <row r="2209">
      <c r="A2209" s="134" t="str">
        <f>IFERROR(__xludf.DUMMYFUNCTION("""COMPUTED_VALUE"""),"Doomadgee")</f>
        <v>Doomadgee</v>
      </c>
      <c r="B2209" s="120" t="str">
        <f>IFERROR(__xludf.DUMMYFUNCTION("""COMPUTED_VALUE"""),"DMD")</f>
        <v>DMD</v>
      </c>
      <c r="C2209" s="120" t="str">
        <f>IFERROR(__xludf.DUMMYFUNCTION("""COMPUTED_VALUE"""),"Doomadgee")</f>
        <v>Doomadgee</v>
      </c>
      <c r="D2209" s="120" t="str">
        <f>IFERROR(__xludf.DUMMYFUNCTION("""COMPUTED_VALUE"""),"Australia")</f>
        <v>Australia</v>
      </c>
      <c r="E2209" s="135"/>
      <c r="F2209" s="31"/>
    </row>
    <row r="2210">
      <c r="A2210" s="134" t="str">
        <f>IFERROR(__xludf.DUMMYFUNCTION("""COMPUTED_VALUE"""),"Doongan")</f>
        <v>Doongan</v>
      </c>
      <c r="B2210" s="120" t="str">
        <f>IFERROR(__xludf.DUMMYFUNCTION("""COMPUTED_VALUE"""),"DNG")</f>
        <v>DNG</v>
      </c>
      <c r="C2210" s="120" t="str">
        <f>IFERROR(__xludf.DUMMYFUNCTION("""COMPUTED_VALUE"""),"Doongan")</f>
        <v>Doongan</v>
      </c>
      <c r="D2210" s="120" t="str">
        <f>IFERROR(__xludf.DUMMYFUNCTION("""COMPUTED_VALUE"""),"Australia")</f>
        <v>Australia</v>
      </c>
      <c r="E2210" s="135"/>
      <c r="F2210" s="31"/>
    </row>
    <row r="2211">
      <c r="A2211" s="134" t="str">
        <f>IFERROR(__xludf.DUMMYFUNCTION("""COMPUTED_VALUE"""),"Dora Bay")</f>
        <v>Dora Bay</v>
      </c>
      <c r="B2211" s="120" t="str">
        <f>IFERROR(__xludf.DUMMYFUNCTION("""COMPUTED_VALUE"""),"DOF")</f>
        <v>DOF</v>
      </c>
      <c r="C2211" s="120" t="str">
        <f>IFERROR(__xludf.DUMMYFUNCTION("""COMPUTED_VALUE"""),"Dora Bay")</f>
        <v>Dora Bay</v>
      </c>
      <c r="D2211" s="120" t="str">
        <f>IFERROR(__xludf.DUMMYFUNCTION("""COMPUTED_VALUE"""),"United States")</f>
        <v>United States</v>
      </c>
      <c r="E2211" s="135"/>
      <c r="F2211" s="31"/>
    </row>
    <row r="2212">
      <c r="A2212" s="134" t="str">
        <f>IFERROR(__xludf.DUMMYFUNCTION("""COMPUTED_VALUE"""),"Dorado")</f>
        <v>Dorado</v>
      </c>
      <c r="B2212" s="120" t="str">
        <f>IFERROR(__xludf.DUMMYFUNCTION("""COMPUTED_VALUE"""),"DDP")</f>
        <v>DDP</v>
      </c>
      <c r="C2212" s="120" t="str">
        <f>IFERROR(__xludf.DUMMYFUNCTION("""COMPUTED_VALUE"""),"Dorado Beach")</f>
        <v>Dorado Beach</v>
      </c>
      <c r="D2212" s="120" t="str">
        <f>IFERROR(__xludf.DUMMYFUNCTION("""COMPUTED_VALUE"""),"Puerto Rico")</f>
        <v>Puerto Rico</v>
      </c>
      <c r="E2212" s="135"/>
      <c r="F2212" s="31"/>
    </row>
    <row r="2213">
      <c r="A2213" s="134" t="str">
        <f>IFERROR(__xludf.DUMMYFUNCTION("""COMPUTED_VALUE"""),"Dori")</f>
        <v>Dori</v>
      </c>
      <c r="B2213" s="120" t="str">
        <f>IFERROR(__xludf.DUMMYFUNCTION("""COMPUTED_VALUE"""),"DOR")</f>
        <v>DOR</v>
      </c>
      <c r="C2213" s="120" t="str">
        <f>IFERROR(__xludf.DUMMYFUNCTION("""COMPUTED_VALUE"""),"Dori")</f>
        <v>Dori</v>
      </c>
      <c r="D2213" s="120" t="str">
        <f>IFERROR(__xludf.DUMMYFUNCTION("""COMPUTED_VALUE"""),"Burkina Faso")</f>
        <v>Burkina Faso</v>
      </c>
      <c r="E2213" s="135"/>
      <c r="F2213" s="31"/>
    </row>
    <row r="2214">
      <c r="A2214" s="134" t="str">
        <f>IFERROR(__xludf.DUMMYFUNCTION("""COMPUTED_VALUE"""),"Dornoch")</f>
        <v>Dornoch</v>
      </c>
      <c r="B2214" s="120" t="str">
        <f>IFERROR(__xludf.DUMMYFUNCTION("""COMPUTED_VALUE"""),"DOC")</f>
        <v>DOC</v>
      </c>
      <c r="C2214" s="120" t="str">
        <f>IFERROR(__xludf.DUMMYFUNCTION("""COMPUTED_VALUE"""),"Dornoch")</f>
        <v>Dornoch</v>
      </c>
      <c r="D2214" s="120" t="str">
        <f>IFERROR(__xludf.DUMMYFUNCTION("""COMPUTED_VALUE"""),"United Kingdom")</f>
        <v>United Kingdom</v>
      </c>
      <c r="E2214" s="135"/>
      <c r="F2214" s="31"/>
    </row>
    <row r="2215">
      <c r="A2215" s="134" t="str">
        <f>IFERROR(__xludf.DUMMYFUNCTION("""COMPUTED_VALUE"""),"Dorobisoro")</f>
        <v>Dorobisoro</v>
      </c>
      <c r="B2215" s="120" t="str">
        <f>IFERROR(__xludf.DUMMYFUNCTION("""COMPUTED_VALUE"""),"DOO")</f>
        <v>DOO</v>
      </c>
      <c r="C2215" s="120" t="str">
        <f>IFERROR(__xludf.DUMMYFUNCTION("""COMPUTED_VALUE"""),"Dorobisoro")</f>
        <v>Dorobisoro</v>
      </c>
      <c r="D2215" s="120" t="str">
        <f>IFERROR(__xludf.DUMMYFUNCTION("""COMPUTED_VALUE"""),"Papua New Guinea")</f>
        <v>Papua New Guinea</v>
      </c>
      <c r="E2215" s="135"/>
      <c r="F2215" s="31"/>
    </row>
    <row r="2216">
      <c r="A2216" s="134" t="str">
        <f>IFERROR(__xludf.DUMMYFUNCTION("""COMPUTED_VALUE"""),"Dortmund")</f>
        <v>Dortmund</v>
      </c>
      <c r="B2216" s="120" t="str">
        <f>IFERROR(__xludf.DUMMYFUNCTION("""COMPUTED_VALUE"""),"DTM")</f>
        <v>DTM</v>
      </c>
      <c r="C2216" s="120" t="str">
        <f>IFERROR(__xludf.DUMMYFUNCTION("""COMPUTED_VALUE"""),"Dortmund")</f>
        <v>Dortmund</v>
      </c>
      <c r="D2216" s="120" t="str">
        <f>IFERROR(__xludf.DUMMYFUNCTION("""COMPUTED_VALUE"""),"Germany")</f>
        <v>Germany</v>
      </c>
      <c r="E2216" s="135"/>
      <c r="F2216" s="31"/>
    </row>
    <row r="2217">
      <c r="A2217" s="134" t="str">
        <f>IFERROR(__xludf.DUMMYFUNCTION("""COMPUTED_VALUE"""),"Dorunda Station")</f>
        <v>Dorunda Station</v>
      </c>
      <c r="B2217" s="120" t="str">
        <f>IFERROR(__xludf.DUMMYFUNCTION("""COMPUTED_VALUE"""),"DRD")</f>
        <v>DRD</v>
      </c>
      <c r="C2217" s="120" t="str">
        <f>IFERROR(__xludf.DUMMYFUNCTION("""COMPUTED_VALUE"""),"Dorunda Station")</f>
        <v>Dorunda Station</v>
      </c>
      <c r="D2217" s="120" t="str">
        <f>IFERROR(__xludf.DUMMYFUNCTION("""COMPUTED_VALUE"""),"Australia")</f>
        <v>Australia</v>
      </c>
      <c r="E2217" s="135"/>
      <c r="F2217" s="31"/>
    </row>
    <row r="2218">
      <c r="A2218" s="134" t="str">
        <f>IFERROR(__xludf.DUMMYFUNCTION("""COMPUTED_VALUE"""),"Dos Lagunas")</f>
        <v>Dos Lagunas</v>
      </c>
      <c r="B2218" s="120" t="str">
        <f>IFERROR(__xludf.DUMMYFUNCTION("""COMPUTED_VALUE"""),"DON")</f>
        <v>DON</v>
      </c>
      <c r="C2218" s="120" t="str">
        <f>IFERROR(__xludf.DUMMYFUNCTION("""COMPUTED_VALUE"""),"Dos Lagunas")</f>
        <v>Dos Lagunas</v>
      </c>
      <c r="D2218" s="120" t="str">
        <f>IFERROR(__xludf.DUMMYFUNCTION("""COMPUTED_VALUE"""),"Guatemala")</f>
        <v>Guatemala</v>
      </c>
      <c r="E2218" s="135"/>
      <c r="F2218" s="31"/>
    </row>
    <row r="2219">
      <c r="A2219" s="134" t="str">
        <f>IFERROR(__xludf.DUMMYFUNCTION("""COMPUTED_VALUE"""),"Dothan")</f>
        <v>Dothan</v>
      </c>
      <c r="B2219" s="120" t="str">
        <f>IFERROR(__xludf.DUMMYFUNCTION("""COMPUTED_VALUE"""),"DHN")</f>
        <v>DHN</v>
      </c>
      <c r="C2219" s="120" t="str">
        <f>IFERROR(__xludf.DUMMYFUNCTION("""COMPUTED_VALUE"""),"Dothan Arpt")</f>
        <v>Dothan Arpt</v>
      </c>
      <c r="D2219" s="120" t="str">
        <f>IFERROR(__xludf.DUMMYFUNCTION("""COMPUTED_VALUE"""),"United States")</f>
        <v>United States</v>
      </c>
      <c r="E2219" s="135"/>
      <c r="F2219" s="31"/>
    </row>
    <row r="2220">
      <c r="A2220" s="134" t="str">
        <f>IFERROR(__xludf.DUMMYFUNCTION("""COMPUTED_VALUE"""),"Douala")</f>
        <v>Douala</v>
      </c>
      <c r="B2220" s="120" t="str">
        <f>IFERROR(__xludf.DUMMYFUNCTION("""COMPUTED_VALUE"""),"DLA")</f>
        <v>DLA</v>
      </c>
      <c r="C2220" s="120" t="str">
        <f>IFERROR(__xludf.DUMMYFUNCTION("""COMPUTED_VALUE"""),"Douala")</f>
        <v>Douala</v>
      </c>
      <c r="D2220" s="120" t="str">
        <f>IFERROR(__xludf.DUMMYFUNCTION("""COMPUTED_VALUE"""),"Cameroon")</f>
        <v>Cameroon</v>
      </c>
      <c r="E2220" s="135"/>
      <c r="F2220" s="31"/>
    </row>
    <row r="2221">
      <c r="A2221" s="134" t="str">
        <f>IFERROR(__xludf.DUMMYFUNCTION("""COMPUTED_VALUE"""),"Douglas")</f>
        <v>Douglas</v>
      </c>
      <c r="B2221" s="120" t="str">
        <f>IFERROR(__xludf.DUMMYFUNCTION("""COMPUTED_VALUE"""),"DUG")</f>
        <v>DUG</v>
      </c>
      <c r="C2221" s="120" t="str">
        <f>IFERROR(__xludf.DUMMYFUNCTION("""COMPUTED_VALUE"""),"Bisbee-Douglas Intl")</f>
        <v>Bisbee-Douglas Intl</v>
      </c>
      <c r="D2221" s="120" t="str">
        <f>IFERROR(__xludf.DUMMYFUNCTION("""COMPUTED_VALUE"""),"United States")</f>
        <v>United States</v>
      </c>
      <c r="E2221" s="135"/>
      <c r="F2221" s="31"/>
    </row>
    <row r="2222">
      <c r="A2222" s="134" t="str">
        <f>IFERROR(__xludf.DUMMYFUNCTION("""COMPUTED_VALUE"""),"Douglas")</f>
        <v>Douglas</v>
      </c>
      <c r="B2222" s="120" t="str">
        <f>IFERROR(__xludf.DUMMYFUNCTION("""COMPUTED_VALUE"""),"DGL")</f>
        <v>DGL</v>
      </c>
      <c r="C2222" s="120" t="str">
        <f>IFERROR(__xludf.DUMMYFUNCTION("""COMPUTED_VALUE"""),"Douglas Municipal")</f>
        <v>Douglas Municipal</v>
      </c>
      <c r="D2222" s="120" t="str">
        <f>IFERROR(__xludf.DUMMYFUNCTION("""COMPUTED_VALUE"""),"United States")</f>
        <v>United States</v>
      </c>
      <c r="E2222" s="135"/>
      <c r="F2222" s="31"/>
    </row>
    <row r="2223">
      <c r="A2223" s="134" t="str">
        <f>IFERROR(__xludf.DUMMYFUNCTION("""COMPUTED_VALUE"""),"Douglas")</f>
        <v>Douglas</v>
      </c>
      <c r="B2223" s="120" t="str">
        <f>IFERROR(__xludf.DUMMYFUNCTION("""COMPUTED_VALUE"""),"DGW")</f>
        <v>DGW</v>
      </c>
      <c r="C2223" s="120" t="str">
        <f>IFERROR(__xludf.DUMMYFUNCTION("""COMPUTED_VALUE"""),"Converse County")</f>
        <v>Converse County</v>
      </c>
      <c r="D2223" s="120" t="str">
        <f>IFERROR(__xludf.DUMMYFUNCTION("""COMPUTED_VALUE"""),"United States")</f>
        <v>United States</v>
      </c>
      <c r="E2223" s="135"/>
      <c r="F2223" s="31"/>
    </row>
    <row r="2224">
      <c r="A2224" s="134" t="str">
        <f>IFERROR(__xludf.DUMMYFUNCTION("""COMPUTED_VALUE"""),"Douglas")</f>
        <v>Douglas</v>
      </c>
      <c r="B2224" s="120" t="str">
        <f>IFERROR(__xludf.DUMMYFUNCTION("""COMPUTED_VALUE"""),"DGF")</f>
        <v>DGF</v>
      </c>
      <c r="C2224" s="120" t="str">
        <f>IFERROR(__xludf.DUMMYFUNCTION("""COMPUTED_VALUE"""),"Bisbee-douglas International")</f>
        <v>Bisbee-douglas International</v>
      </c>
      <c r="D2224" s="120" t="str">
        <f>IFERROR(__xludf.DUMMYFUNCTION("""COMPUTED_VALUE"""),"Unites States")</f>
        <v>Unites States</v>
      </c>
      <c r="E2224" s="135"/>
      <c r="F2224" s="31"/>
    </row>
    <row r="2225">
      <c r="A2225" s="134" t="str">
        <f>IFERROR(__xludf.DUMMYFUNCTION("""COMPUTED_VALUE"""),"Dourados")</f>
        <v>Dourados</v>
      </c>
      <c r="B2225" s="120" t="str">
        <f>IFERROR(__xludf.DUMMYFUNCTION("""COMPUTED_VALUE"""),"DOU")</f>
        <v>DOU</v>
      </c>
      <c r="C2225" s="120" t="str">
        <f>IFERROR(__xludf.DUMMYFUNCTION("""COMPUTED_VALUE"""),"Dourados")</f>
        <v>Dourados</v>
      </c>
      <c r="D2225" s="120" t="str">
        <f>IFERROR(__xludf.DUMMYFUNCTION("""COMPUTED_VALUE"""),"Brazil")</f>
        <v>Brazil</v>
      </c>
      <c r="E2225" s="135"/>
      <c r="F2225" s="31"/>
    </row>
    <row r="2226">
      <c r="A2226" s="134" t="str">
        <f>IFERROR(__xludf.DUMMYFUNCTION("""COMPUTED_VALUE"""),"Dover-Cheswold")</f>
        <v>Dover-Cheswold</v>
      </c>
      <c r="B2226" s="120" t="str">
        <f>IFERROR(__xludf.DUMMYFUNCTION("""COMPUTED_VALUE"""),"DOV")</f>
        <v>DOV</v>
      </c>
      <c r="C2226" s="120" t="str">
        <f>IFERROR(__xludf.DUMMYFUNCTION("""COMPUTED_VALUE"""),"Dover AFB")</f>
        <v>Dover AFB</v>
      </c>
      <c r="D2226" s="120" t="str">
        <f>IFERROR(__xludf.DUMMYFUNCTION("""COMPUTED_VALUE"""),"United States")</f>
        <v>United States</v>
      </c>
      <c r="E2226" s="135"/>
      <c r="F2226" s="31"/>
    </row>
    <row r="2227">
      <c r="A2227" s="134" t="str">
        <f>IFERROR(__xludf.DUMMYFUNCTION("""COMPUTED_VALUE"""),"Downey")</f>
        <v>Downey</v>
      </c>
      <c r="B2227" s="120" t="str">
        <f>IFERROR(__xludf.DUMMYFUNCTION("""COMPUTED_VALUE"""),"JDY")</f>
        <v>JDY</v>
      </c>
      <c r="C2227" s="120" t="str">
        <f>IFERROR(__xludf.DUMMYFUNCTION("""COMPUTED_VALUE"""),"Heliport")</f>
        <v>Heliport</v>
      </c>
      <c r="D2227" s="120" t="str">
        <f>IFERROR(__xludf.DUMMYFUNCTION("""COMPUTED_VALUE"""),"United States")</f>
        <v>United States</v>
      </c>
      <c r="E2227" s="135"/>
      <c r="F2227" s="31"/>
    </row>
    <row r="2228">
      <c r="A2228" s="134" t="str">
        <f>IFERROR(__xludf.DUMMYFUNCTION("""COMPUTED_VALUE"""),"Doylestown")</f>
        <v>Doylestown</v>
      </c>
      <c r="B2228" s="120" t="str">
        <f>IFERROR(__xludf.DUMMYFUNCTION("""COMPUTED_VALUE"""),"DYL")</f>
        <v>DYL</v>
      </c>
      <c r="C2228" s="120" t="str">
        <f>IFERROR(__xludf.DUMMYFUNCTION("""COMPUTED_VALUE"""),"Doylestown")</f>
        <v>Doylestown</v>
      </c>
      <c r="D2228" s="120" t="str">
        <f>IFERROR(__xludf.DUMMYFUNCTION("""COMPUTED_VALUE"""),"United States")</f>
        <v>United States</v>
      </c>
      <c r="E2228" s="135"/>
      <c r="F2228" s="31"/>
    </row>
    <row r="2229">
      <c r="A2229" s="134" t="str">
        <f>IFERROR(__xludf.DUMMYFUNCTION("""COMPUTED_VALUE"""),"Drama")</f>
        <v>Drama</v>
      </c>
      <c r="B2229" s="120" t="str">
        <f>IFERROR(__xludf.DUMMYFUNCTION("""COMPUTED_VALUE"""),"DRM")</f>
        <v>DRM</v>
      </c>
      <c r="C2229" s="120" t="str">
        <f>IFERROR(__xludf.DUMMYFUNCTION("""COMPUTED_VALUE"""),"Drama")</f>
        <v>Drama</v>
      </c>
      <c r="D2229" s="120" t="str">
        <f>IFERROR(__xludf.DUMMYFUNCTION("""COMPUTED_VALUE"""),"Greece")</f>
        <v>Greece</v>
      </c>
      <c r="E2229" s="135"/>
      <c r="F2229" s="31"/>
    </row>
    <row r="2230">
      <c r="A2230" s="134" t="str">
        <f>IFERROR(__xludf.DUMMYFUNCTION("""COMPUTED_VALUE"""),"Drayton Valley")</f>
        <v>Drayton Valley</v>
      </c>
      <c r="B2230" s="120" t="str">
        <f>IFERROR(__xludf.DUMMYFUNCTION("""COMPUTED_VALUE"""),"YDC")</f>
        <v>YDC</v>
      </c>
      <c r="C2230" s="120" t="str">
        <f>IFERROR(__xludf.DUMMYFUNCTION("""COMPUTED_VALUE"""),"Industrial Airport")</f>
        <v>Industrial Airport</v>
      </c>
      <c r="D2230" s="120" t="str">
        <f>IFERROR(__xludf.DUMMYFUNCTION("""COMPUTED_VALUE"""),"Canada")</f>
        <v>Canada</v>
      </c>
      <c r="E2230" s="135"/>
      <c r="F2230" s="31"/>
    </row>
    <row r="2231">
      <c r="A2231" s="134" t="str">
        <f>IFERROR(__xludf.DUMMYFUNCTION("""COMPUTED_VALUE"""),"Dresden")</f>
        <v>Dresden</v>
      </c>
      <c r="B2231" s="120" t="str">
        <f>IFERROR(__xludf.DUMMYFUNCTION("""COMPUTED_VALUE"""),"DRS")</f>
        <v>DRS</v>
      </c>
      <c r="C2231" s="120" t="str">
        <f>IFERROR(__xludf.DUMMYFUNCTION("""COMPUTED_VALUE"""),"Dresden Arpt")</f>
        <v>Dresden Arpt</v>
      </c>
      <c r="D2231" s="120" t="str">
        <f>IFERROR(__xludf.DUMMYFUNCTION("""COMPUTED_VALUE"""),"Germany")</f>
        <v>Germany</v>
      </c>
      <c r="E2231" s="135"/>
      <c r="F2231" s="31"/>
    </row>
    <row r="2232">
      <c r="A2232" s="134" t="str">
        <f>IFERROR(__xludf.DUMMYFUNCTION("""COMPUTED_VALUE"""),"Drietabbetje")</f>
        <v>Drietabbetje</v>
      </c>
      <c r="B2232" s="120" t="str">
        <f>IFERROR(__xludf.DUMMYFUNCTION("""COMPUTED_VALUE"""),"DRJ")</f>
        <v>DRJ</v>
      </c>
      <c r="C2232" s="120" t="str">
        <f>IFERROR(__xludf.DUMMYFUNCTION("""COMPUTED_VALUE"""),"Drietabbetje")</f>
        <v>Drietabbetje</v>
      </c>
      <c r="D2232" s="120" t="str">
        <f>IFERROR(__xludf.DUMMYFUNCTION("""COMPUTED_VALUE"""),"Suriname")</f>
        <v>Suriname</v>
      </c>
      <c r="E2232" s="135"/>
      <c r="F2232" s="31"/>
    </row>
    <row r="2233">
      <c r="A2233" s="134" t="str">
        <f>IFERROR(__xludf.DUMMYFUNCTION("""COMPUTED_VALUE"""),"Drift River")</f>
        <v>Drift River</v>
      </c>
      <c r="B2233" s="120" t="str">
        <f>IFERROR(__xludf.DUMMYFUNCTION("""COMPUTED_VALUE"""),"DRF")</f>
        <v>DRF</v>
      </c>
      <c r="C2233" s="120" t="str">
        <f>IFERROR(__xludf.DUMMYFUNCTION("""COMPUTED_VALUE"""),"Drift River")</f>
        <v>Drift River</v>
      </c>
      <c r="D2233" s="120" t="str">
        <f>IFERROR(__xludf.DUMMYFUNCTION("""COMPUTED_VALUE"""),"United States")</f>
        <v>United States</v>
      </c>
      <c r="E2233" s="135"/>
      <c r="F2233" s="31"/>
    </row>
    <row r="2234">
      <c r="A2234" s="134" t="str">
        <f>IFERROR(__xludf.DUMMYFUNCTION("""COMPUTED_VALUE"""),"Drumduff")</f>
        <v>Drumduff</v>
      </c>
      <c r="B2234" s="120" t="str">
        <f>IFERROR(__xludf.DUMMYFUNCTION("""COMPUTED_VALUE"""),"DFP")</f>
        <v>DFP</v>
      </c>
      <c r="C2234" s="120" t="str">
        <f>IFERROR(__xludf.DUMMYFUNCTION("""COMPUTED_VALUE"""),"Drumduff")</f>
        <v>Drumduff</v>
      </c>
      <c r="D2234" s="120" t="str">
        <f>IFERROR(__xludf.DUMMYFUNCTION("""COMPUTED_VALUE"""),"Australia")</f>
        <v>Australia</v>
      </c>
      <c r="E2234" s="135"/>
      <c r="F2234" s="31"/>
    </row>
    <row r="2235">
      <c r="A2235" s="134" t="str">
        <f>IFERROR(__xludf.DUMMYFUNCTION("""COMPUTED_VALUE"""),"Drummond")</f>
        <v>Drummond</v>
      </c>
      <c r="B2235" s="120" t="str">
        <f>IFERROR(__xludf.DUMMYFUNCTION("""COMPUTED_VALUE"""),"DRU")</f>
        <v>DRU</v>
      </c>
      <c r="C2235" s="120" t="str">
        <f>IFERROR(__xludf.DUMMYFUNCTION("""COMPUTED_VALUE"""),"Drummond")</f>
        <v>Drummond</v>
      </c>
      <c r="D2235" s="120" t="str">
        <f>IFERROR(__xludf.DUMMYFUNCTION("""COMPUTED_VALUE"""),"United States")</f>
        <v>United States</v>
      </c>
      <c r="E2235" s="135"/>
      <c r="F2235" s="31"/>
    </row>
    <row r="2236">
      <c r="A2236" s="134" t="str">
        <f>IFERROR(__xludf.DUMMYFUNCTION("""COMPUTED_VALUE"""),"Drummond Island")</f>
        <v>Drummond Island</v>
      </c>
      <c r="B2236" s="120" t="str">
        <f>IFERROR(__xludf.DUMMYFUNCTION("""COMPUTED_VALUE"""),"DRE")</f>
        <v>DRE</v>
      </c>
      <c r="C2236" s="120" t="str">
        <f>IFERROR(__xludf.DUMMYFUNCTION("""COMPUTED_VALUE"""),"Drummond Island")</f>
        <v>Drummond Island</v>
      </c>
      <c r="D2236" s="120" t="str">
        <f>IFERROR(__xludf.DUMMYFUNCTION("""COMPUTED_VALUE"""),"United States")</f>
        <v>United States</v>
      </c>
      <c r="E2236" s="135"/>
      <c r="F2236" s="31"/>
    </row>
    <row r="2237">
      <c r="A2237" s="134" t="str">
        <f>IFERROR(__xludf.DUMMYFUNCTION("""COMPUTED_VALUE"""),"Dryden")</f>
        <v>Dryden</v>
      </c>
      <c r="B2237" s="120" t="str">
        <f>IFERROR(__xludf.DUMMYFUNCTION("""COMPUTED_VALUE"""),"YHD")</f>
        <v>YHD</v>
      </c>
      <c r="C2237" s="120" t="str">
        <f>IFERROR(__xludf.DUMMYFUNCTION("""COMPUTED_VALUE"""),"Municipal")</f>
        <v>Municipal</v>
      </c>
      <c r="D2237" s="120" t="str">
        <f>IFERROR(__xludf.DUMMYFUNCTION("""COMPUTED_VALUE"""),"Canada")</f>
        <v>Canada</v>
      </c>
      <c r="E2237" s="135"/>
      <c r="F2237" s="31"/>
    </row>
    <row r="2238">
      <c r="A2238" s="134" t="str">
        <f>IFERROR(__xludf.DUMMYFUNCTION("""COMPUTED_VALUE"""),"Drysdale River")</f>
        <v>Drysdale River</v>
      </c>
      <c r="B2238" s="120" t="str">
        <f>IFERROR(__xludf.DUMMYFUNCTION("""COMPUTED_VALUE"""),"DRY")</f>
        <v>DRY</v>
      </c>
      <c r="C2238" s="120" t="str">
        <f>IFERROR(__xludf.DUMMYFUNCTION("""COMPUTED_VALUE"""),"Drysdale River")</f>
        <v>Drysdale River</v>
      </c>
      <c r="D2238" s="120" t="str">
        <f>IFERROR(__xludf.DUMMYFUNCTION("""COMPUTED_VALUE"""),"Australia")</f>
        <v>Australia</v>
      </c>
      <c r="E2238" s="135"/>
      <c r="F2238" s="31"/>
    </row>
    <row r="2239">
      <c r="A2239" s="134" t="str">
        <f>IFERROR(__xludf.DUMMYFUNCTION("""COMPUTED_VALUE"""),"Dschang")</f>
        <v>Dschang</v>
      </c>
      <c r="B2239" s="120" t="str">
        <f>IFERROR(__xludf.DUMMYFUNCTION("""COMPUTED_VALUE"""),"DSC")</f>
        <v>DSC</v>
      </c>
      <c r="C2239" s="120" t="str">
        <f>IFERROR(__xludf.DUMMYFUNCTION("""COMPUTED_VALUE"""),"Dschang")</f>
        <v>Dschang</v>
      </c>
      <c r="D2239" s="120" t="str">
        <f>IFERROR(__xludf.DUMMYFUNCTION("""COMPUTED_VALUE"""),"Cameroon")</f>
        <v>Cameroon</v>
      </c>
      <c r="E2239" s="135"/>
      <c r="F2239" s="31"/>
    </row>
    <row r="2240">
      <c r="A2240" s="134" t="str">
        <f>IFERROR(__xludf.DUMMYFUNCTION("""COMPUTED_VALUE"""),"Dubai")</f>
        <v>Dubai</v>
      </c>
      <c r="B2240" s="120" t="str">
        <f>IFERROR(__xludf.DUMMYFUNCTION("""COMPUTED_VALUE"""),"DXB")</f>
        <v>DXB</v>
      </c>
      <c r="C2240" s="120" t="str">
        <f>IFERROR(__xludf.DUMMYFUNCTION("""COMPUTED_VALUE"""),"Dubai")</f>
        <v>Dubai</v>
      </c>
      <c r="D2240" s="120" t="str">
        <f>IFERROR(__xludf.DUMMYFUNCTION("""COMPUTED_VALUE"""),"United Arab Emirates")</f>
        <v>United Arab Emirates</v>
      </c>
      <c r="E2240" s="135"/>
      <c r="F2240" s="31"/>
    </row>
    <row r="2241">
      <c r="A2241" s="134" t="str">
        <f>IFERROR(__xludf.DUMMYFUNCTION("""COMPUTED_VALUE"""),"Dubbo")</f>
        <v>Dubbo</v>
      </c>
      <c r="B2241" s="120" t="str">
        <f>IFERROR(__xludf.DUMMYFUNCTION("""COMPUTED_VALUE"""),"DBO")</f>
        <v>DBO</v>
      </c>
      <c r="C2241" s="120" t="str">
        <f>IFERROR(__xludf.DUMMYFUNCTION("""COMPUTED_VALUE"""),"Dubbo")</f>
        <v>Dubbo</v>
      </c>
      <c r="D2241" s="120" t="str">
        <f>IFERROR(__xludf.DUMMYFUNCTION("""COMPUTED_VALUE"""),"Australia")</f>
        <v>Australia</v>
      </c>
      <c r="E2241" s="135"/>
      <c r="F2241" s="31"/>
    </row>
    <row r="2242">
      <c r="A2242" s="134" t="str">
        <f>IFERROR(__xludf.DUMMYFUNCTION("""COMPUTED_VALUE"""),"Dublin")</f>
        <v>Dublin</v>
      </c>
      <c r="B2242" s="120" t="str">
        <f>IFERROR(__xludf.DUMMYFUNCTION("""COMPUTED_VALUE"""),"DBN")</f>
        <v>DBN</v>
      </c>
      <c r="C2242" s="120" t="str">
        <f>IFERROR(__xludf.DUMMYFUNCTION("""COMPUTED_VALUE"""),"Municipal")</f>
        <v>Municipal</v>
      </c>
      <c r="D2242" s="120" t="str">
        <f>IFERROR(__xludf.DUMMYFUNCTION("""COMPUTED_VALUE"""),"United States")</f>
        <v>United States</v>
      </c>
      <c r="E2242" s="135"/>
      <c r="F2242" s="31"/>
    </row>
    <row r="2243">
      <c r="A2243" s="134" t="str">
        <f>IFERROR(__xludf.DUMMYFUNCTION("""COMPUTED_VALUE"""),"Dublin")</f>
        <v>Dublin</v>
      </c>
      <c r="B2243" s="120" t="str">
        <f>IFERROR(__xludf.DUMMYFUNCTION("""COMPUTED_VALUE"""),"DUB")</f>
        <v>DUB</v>
      </c>
      <c r="C2243" s="120" t="str">
        <f>IFERROR(__xludf.DUMMYFUNCTION("""COMPUTED_VALUE"""),"Dublin")</f>
        <v>Dublin</v>
      </c>
      <c r="D2243" s="120" t="str">
        <f>IFERROR(__xludf.DUMMYFUNCTION("""COMPUTED_VALUE"""),"Ireland")</f>
        <v>Ireland</v>
      </c>
      <c r="E2243" s="135"/>
      <c r="F2243" s="31"/>
    </row>
    <row r="2244">
      <c r="A2244" s="134" t="str">
        <f>IFERROR(__xludf.DUMMYFUNCTION("""COMPUTED_VALUE"""),"Dublin")</f>
        <v>Dublin</v>
      </c>
      <c r="B2244" s="120" t="str">
        <f>IFERROR(__xludf.DUMMYFUNCTION("""COMPUTED_VALUE"""),"PSK")</f>
        <v>PSK</v>
      </c>
      <c r="C2244" s="120" t="str">
        <f>IFERROR(__xludf.DUMMYFUNCTION("""COMPUTED_VALUE"""),"New River Valley")</f>
        <v>New River Valley</v>
      </c>
      <c r="D2244" s="120" t="str">
        <f>IFERROR(__xludf.DUMMYFUNCTION("""COMPUTED_VALUE"""),"United States")</f>
        <v>United States</v>
      </c>
      <c r="E2244" s="135"/>
      <c r="F2244" s="31"/>
    </row>
    <row r="2245">
      <c r="A2245" s="134" t="str">
        <f>IFERROR(__xludf.DUMMYFUNCTION("""COMPUTED_VALUE"""),"Dubois")</f>
        <v>Dubois</v>
      </c>
      <c r="B2245" s="120" t="str">
        <f>IFERROR(__xludf.DUMMYFUNCTION("""COMPUTED_VALUE"""),"DBS")</f>
        <v>DBS</v>
      </c>
      <c r="C2245" s="120" t="str">
        <f>IFERROR(__xludf.DUMMYFUNCTION("""COMPUTED_VALUE"""),"Dubois")</f>
        <v>Dubois</v>
      </c>
      <c r="D2245" s="120" t="str">
        <f>IFERROR(__xludf.DUMMYFUNCTION("""COMPUTED_VALUE"""),"United States")</f>
        <v>United States</v>
      </c>
      <c r="E2245" s="135"/>
      <c r="F2245" s="31"/>
    </row>
    <row r="2246">
      <c r="A2246" s="134" t="str">
        <f>IFERROR(__xludf.DUMMYFUNCTION("""COMPUTED_VALUE"""),"Dubois")</f>
        <v>Dubois</v>
      </c>
      <c r="B2246" s="120" t="str">
        <f>IFERROR(__xludf.DUMMYFUNCTION("""COMPUTED_VALUE"""),"DUJ")</f>
        <v>DUJ</v>
      </c>
      <c r="C2246" s="120" t="str">
        <f>IFERROR(__xludf.DUMMYFUNCTION("""COMPUTED_VALUE"""),"Jefferson County")</f>
        <v>Jefferson County</v>
      </c>
      <c r="D2246" s="120" t="str">
        <f>IFERROR(__xludf.DUMMYFUNCTION("""COMPUTED_VALUE"""),"United States")</f>
        <v>United States</v>
      </c>
      <c r="E2246" s="135"/>
      <c r="F2246" s="31"/>
    </row>
    <row r="2247">
      <c r="A2247" s="134" t="str">
        <f>IFERROR(__xludf.DUMMYFUNCTION("""COMPUTED_VALUE"""),"Dubrovnik")</f>
        <v>Dubrovnik</v>
      </c>
      <c r="B2247" s="120" t="str">
        <f>IFERROR(__xludf.DUMMYFUNCTION("""COMPUTED_VALUE"""),"DBV")</f>
        <v>DBV</v>
      </c>
      <c r="C2247" s="120" t="str">
        <f>IFERROR(__xludf.DUMMYFUNCTION("""COMPUTED_VALUE"""),"Dubrovnik")</f>
        <v>Dubrovnik</v>
      </c>
      <c r="D2247" s="120" t="str">
        <f>IFERROR(__xludf.DUMMYFUNCTION("""COMPUTED_VALUE"""),"Croatia")</f>
        <v>Croatia</v>
      </c>
      <c r="E2247" s="135"/>
      <c r="F2247" s="31"/>
    </row>
    <row r="2248">
      <c r="A2248" s="134" t="str">
        <f>IFERROR(__xludf.DUMMYFUNCTION("""COMPUTED_VALUE"""),"Dubuque")</f>
        <v>Dubuque</v>
      </c>
      <c r="B2248" s="120" t="str">
        <f>IFERROR(__xludf.DUMMYFUNCTION("""COMPUTED_VALUE"""),"DBQ")</f>
        <v>DBQ</v>
      </c>
      <c r="C2248" s="120" t="str">
        <f>IFERROR(__xludf.DUMMYFUNCTION("""COMPUTED_VALUE"""),"Municipal")</f>
        <v>Municipal</v>
      </c>
      <c r="D2248" s="120" t="str">
        <f>IFERROR(__xludf.DUMMYFUNCTION("""COMPUTED_VALUE"""),"United States")</f>
        <v>United States</v>
      </c>
      <c r="E2248" s="135"/>
      <c r="F2248" s="31"/>
    </row>
    <row r="2249">
      <c r="A2249" s="134" t="str">
        <f>IFERROR(__xludf.DUMMYFUNCTION("""COMPUTED_VALUE"""),"Duck")</f>
        <v>Duck</v>
      </c>
      <c r="B2249" s="120" t="str">
        <f>IFERROR(__xludf.DUMMYFUNCTION("""COMPUTED_VALUE"""),"DUF")</f>
        <v>DUF</v>
      </c>
      <c r="C2249" s="120" t="str">
        <f>IFERROR(__xludf.DUMMYFUNCTION("""COMPUTED_VALUE"""),"Pine Island Airport")</f>
        <v>Pine Island Airport</v>
      </c>
      <c r="D2249" s="120" t="str">
        <f>IFERROR(__xludf.DUMMYFUNCTION("""COMPUTED_VALUE"""),"United States")</f>
        <v>United States</v>
      </c>
      <c r="E2249" s="135"/>
      <c r="F2249" s="31"/>
    </row>
    <row r="2250">
      <c r="A2250" s="134" t="str">
        <f>IFERROR(__xludf.DUMMYFUNCTION("""COMPUTED_VALUE"""),"Dugong")</f>
        <v>Dugong</v>
      </c>
      <c r="B2250" s="120" t="str">
        <f>IFERROR(__xludf.DUMMYFUNCTION("""COMPUTED_VALUE"""),"DGK")</f>
        <v>DGK</v>
      </c>
      <c r="C2250" s="120" t="str">
        <f>IFERROR(__xludf.DUMMYFUNCTION("""COMPUTED_VALUE"""),"Dugong")</f>
        <v>Dugong</v>
      </c>
      <c r="D2250" s="120" t="str">
        <f>IFERROR(__xludf.DUMMYFUNCTION("""COMPUTED_VALUE"""),"Mozambique")</f>
        <v>Mozambique</v>
      </c>
      <c r="E2250" s="135"/>
      <c r="F2250" s="31"/>
    </row>
    <row r="2251">
      <c r="A2251" s="134" t="str">
        <f>IFERROR(__xludf.DUMMYFUNCTION("""COMPUTED_VALUE"""),"Dugway")</f>
        <v>Dugway</v>
      </c>
      <c r="B2251" s="120" t="str">
        <f>IFERROR(__xludf.DUMMYFUNCTION("""COMPUTED_VALUE"""),"DPG")</f>
        <v>DPG</v>
      </c>
      <c r="C2251" s="120" t="str">
        <f>IFERROR(__xludf.DUMMYFUNCTION("""COMPUTED_VALUE"""),"Michael AAF")</f>
        <v>Michael AAF</v>
      </c>
      <c r="D2251" s="120" t="str">
        <f>IFERROR(__xludf.DUMMYFUNCTION("""COMPUTED_VALUE"""),"United States")</f>
        <v>United States</v>
      </c>
      <c r="E2251" s="135"/>
      <c r="F2251" s="31"/>
    </row>
    <row r="2252">
      <c r="A2252" s="134" t="str">
        <f>IFERROR(__xludf.DUMMYFUNCTION("""COMPUTED_VALUE"""),"Dukuduk")</f>
        <v>Dukuduk</v>
      </c>
      <c r="B2252" s="120" t="str">
        <f>IFERROR(__xludf.DUMMYFUNCTION("""COMPUTED_VALUE"""),"DUK")</f>
        <v>DUK</v>
      </c>
      <c r="C2252" s="120" t="str">
        <f>IFERROR(__xludf.DUMMYFUNCTION("""COMPUTED_VALUE"""),"Dukuduk")</f>
        <v>Dukuduk</v>
      </c>
      <c r="D2252" s="120" t="str">
        <f>IFERROR(__xludf.DUMMYFUNCTION("""COMPUTED_VALUE"""),"South Africa")</f>
        <v>South Africa</v>
      </c>
      <c r="E2252" s="135"/>
      <c r="F2252" s="31"/>
    </row>
    <row r="2253">
      <c r="A2253" s="134" t="str">
        <f>IFERROR(__xludf.DUMMYFUNCTION("""COMPUTED_VALUE"""),"Dulkaninna")</f>
        <v>Dulkaninna</v>
      </c>
      <c r="B2253" s="120" t="str">
        <f>IFERROR(__xludf.DUMMYFUNCTION("""COMPUTED_VALUE"""),"DLK")</f>
        <v>DLK</v>
      </c>
      <c r="C2253" s="120" t="str">
        <f>IFERROR(__xludf.DUMMYFUNCTION("""COMPUTED_VALUE"""),"Dulkaninna")</f>
        <v>Dulkaninna</v>
      </c>
      <c r="D2253" s="120" t="str">
        <f>IFERROR(__xludf.DUMMYFUNCTION("""COMPUTED_VALUE"""),"Australia")</f>
        <v>Australia</v>
      </c>
      <c r="E2253" s="135"/>
      <c r="F2253" s="31"/>
    </row>
    <row r="2254">
      <c r="A2254" s="134" t="str">
        <f>IFERROR(__xludf.DUMMYFUNCTION("""COMPUTED_VALUE"""),"Duluth")</f>
        <v>Duluth</v>
      </c>
      <c r="B2254" s="120" t="str">
        <f>IFERROR(__xludf.DUMMYFUNCTION("""COMPUTED_VALUE"""),"DLH")</f>
        <v>DLH</v>
      </c>
      <c r="C2254" s="120" t="str">
        <f>IFERROR(__xludf.DUMMYFUNCTION("""COMPUTED_VALUE"""),"Duluth International")</f>
        <v>Duluth International</v>
      </c>
      <c r="D2254" s="120" t="str">
        <f>IFERROR(__xludf.DUMMYFUNCTION("""COMPUTED_VALUE"""),"United States")</f>
        <v>United States</v>
      </c>
      <c r="E2254" s="135"/>
      <c r="F2254" s="31"/>
    </row>
    <row r="2255">
      <c r="A2255" s="134" t="str">
        <f>IFERROR(__xludf.DUMMYFUNCTION("""COMPUTED_VALUE"""),"Duluth")</f>
        <v>Duluth</v>
      </c>
      <c r="B2255" s="120" t="str">
        <f>IFERROR(__xludf.DUMMYFUNCTION("""COMPUTED_VALUE"""),"LKI")</f>
        <v>LKI</v>
      </c>
      <c r="C2255" s="120" t="str">
        <f>IFERROR(__xludf.DUMMYFUNCTION("""COMPUTED_VALUE"""),"Lakeside USAF")</f>
        <v>Lakeside USAF</v>
      </c>
      <c r="D2255" s="120" t="str">
        <f>IFERROR(__xludf.DUMMYFUNCTION("""COMPUTED_VALUE"""),"United States")</f>
        <v>United States</v>
      </c>
      <c r="E2255" s="135"/>
      <c r="F2255" s="31"/>
    </row>
    <row r="2256">
      <c r="A2256" s="134" t="str">
        <f>IFERROR(__xludf.DUMMYFUNCTION("""COMPUTED_VALUE"""),"Dumaguete")</f>
        <v>Dumaguete</v>
      </c>
      <c r="B2256" s="120" t="str">
        <f>IFERROR(__xludf.DUMMYFUNCTION("""COMPUTED_VALUE"""),"DGT")</f>
        <v>DGT</v>
      </c>
      <c r="C2256" s="120" t="str">
        <f>IFERROR(__xludf.DUMMYFUNCTION("""COMPUTED_VALUE"""),"Dumaguete")</f>
        <v>Dumaguete</v>
      </c>
      <c r="D2256" s="120" t="str">
        <f>IFERROR(__xludf.DUMMYFUNCTION("""COMPUTED_VALUE"""),"Philippines")</f>
        <v>Philippines</v>
      </c>
      <c r="E2256" s="135"/>
      <c r="F2256" s="31"/>
    </row>
    <row r="2257">
      <c r="A2257" s="134" t="str">
        <f>IFERROR(__xludf.DUMMYFUNCTION("""COMPUTED_VALUE"""),"Dumai")</f>
        <v>Dumai</v>
      </c>
      <c r="B2257" s="120" t="str">
        <f>IFERROR(__xludf.DUMMYFUNCTION("""COMPUTED_VALUE"""),"DUM")</f>
        <v>DUM</v>
      </c>
      <c r="C2257" s="120" t="str">
        <f>IFERROR(__xludf.DUMMYFUNCTION("""COMPUTED_VALUE"""),"Pinang Kampai")</f>
        <v>Pinang Kampai</v>
      </c>
      <c r="D2257" s="120" t="str">
        <f>IFERROR(__xludf.DUMMYFUNCTION("""COMPUTED_VALUE"""),"Indonesia")</f>
        <v>Indonesia</v>
      </c>
      <c r="E2257" s="135"/>
      <c r="F2257" s="31"/>
    </row>
    <row r="2258">
      <c r="A2258" s="134" t="str">
        <f>IFERROR(__xludf.DUMMYFUNCTION("""COMPUTED_VALUE"""),"Dumpu")</f>
        <v>Dumpu</v>
      </c>
      <c r="B2258" s="120" t="str">
        <f>IFERROR(__xludf.DUMMYFUNCTION("""COMPUTED_VALUE"""),"DPU")</f>
        <v>DPU</v>
      </c>
      <c r="C2258" s="120" t="str">
        <f>IFERROR(__xludf.DUMMYFUNCTION("""COMPUTED_VALUE"""),"Dumpu")</f>
        <v>Dumpu</v>
      </c>
      <c r="D2258" s="120" t="str">
        <f>IFERROR(__xludf.DUMMYFUNCTION("""COMPUTED_VALUE"""),"Papua New Guinea")</f>
        <v>Papua New Guinea</v>
      </c>
      <c r="E2258" s="135"/>
      <c r="F2258" s="31"/>
    </row>
    <row r="2259">
      <c r="A2259" s="134" t="str">
        <f>IFERROR(__xludf.DUMMYFUNCTION("""COMPUTED_VALUE"""),"Dunbar")</f>
        <v>Dunbar</v>
      </c>
      <c r="B2259" s="120" t="str">
        <f>IFERROR(__xludf.DUMMYFUNCTION("""COMPUTED_VALUE"""),"DNB")</f>
        <v>DNB</v>
      </c>
      <c r="C2259" s="120" t="str">
        <f>IFERROR(__xludf.DUMMYFUNCTION("""COMPUTED_VALUE"""),"Dunbar")</f>
        <v>Dunbar</v>
      </c>
      <c r="D2259" s="120" t="str">
        <f>IFERROR(__xludf.DUMMYFUNCTION("""COMPUTED_VALUE"""),"Australia")</f>
        <v>Australia</v>
      </c>
      <c r="E2259" s="135"/>
      <c r="F2259" s="31"/>
    </row>
    <row r="2260">
      <c r="A2260" s="134" t="str">
        <f>IFERROR(__xludf.DUMMYFUNCTION("""COMPUTED_VALUE"""),"Duncan")</f>
        <v>Duncan</v>
      </c>
      <c r="B2260" s="120" t="str">
        <f>IFERROR(__xludf.DUMMYFUNCTION("""COMPUTED_VALUE"""),"DUC")</f>
        <v>DUC</v>
      </c>
      <c r="C2260" s="120" t="str">
        <f>IFERROR(__xludf.DUMMYFUNCTION("""COMPUTED_VALUE"""),"Halliburton Field")</f>
        <v>Halliburton Field</v>
      </c>
      <c r="D2260" s="120" t="str">
        <f>IFERROR(__xludf.DUMMYFUNCTION("""COMPUTED_VALUE"""),"United States")</f>
        <v>United States</v>
      </c>
      <c r="E2260" s="135"/>
      <c r="F2260" s="31"/>
    </row>
    <row r="2261">
      <c r="A2261" s="134" t="str">
        <f>IFERROR(__xludf.DUMMYFUNCTION("""COMPUTED_VALUE"""),"Duncan Town")</f>
        <v>Duncan Town</v>
      </c>
      <c r="B2261" s="120" t="str">
        <f>IFERROR(__xludf.DUMMYFUNCTION("""COMPUTED_VALUE"""),"DCT")</f>
        <v>DCT</v>
      </c>
      <c r="C2261" s="120" t="str">
        <f>IFERROR(__xludf.DUMMYFUNCTION("""COMPUTED_VALUE"""),"Duncan Town")</f>
        <v>Duncan Town</v>
      </c>
      <c r="D2261" s="120" t="str">
        <f>IFERROR(__xludf.DUMMYFUNCTION("""COMPUTED_VALUE"""),"Bahamas")</f>
        <v>Bahamas</v>
      </c>
      <c r="E2261" s="135"/>
      <c r="F2261" s="31"/>
    </row>
    <row r="2262">
      <c r="A2262" s="134" t="str">
        <f>IFERROR(__xludf.DUMMYFUNCTION("""COMPUTED_VALUE"""),"Duncan/Quam")</f>
        <v>Duncan/Quam</v>
      </c>
      <c r="B2262" s="120" t="str">
        <f>IFERROR(__xludf.DUMMYFUNCTION("""COMPUTED_VALUE"""),"DUQ")</f>
        <v>DUQ</v>
      </c>
      <c r="C2262" s="120" t="str">
        <f>IFERROR(__xludf.DUMMYFUNCTION("""COMPUTED_VALUE"""),"Duncan/Quam")</f>
        <v>Duncan/Quam</v>
      </c>
      <c r="D2262" s="120" t="str">
        <f>IFERROR(__xludf.DUMMYFUNCTION("""COMPUTED_VALUE"""),"Canada")</f>
        <v>Canada</v>
      </c>
      <c r="E2262" s="135"/>
      <c r="F2262" s="31"/>
    </row>
    <row r="2263">
      <c r="A2263" s="134" t="str">
        <f>IFERROR(__xludf.DUMMYFUNCTION("""COMPUTED_VALUE"""),"Dundas")</f>
        <v>Dundas</v>
      </c>
      <c r="B2263" s="120" t="str">
        <f>IFERROR(__xludf.DUMMYFUNCTION("""COMPUTED_VALUE"""),"DUN")</f>
        <v>DUN</v>
      </c>
      <c r="C2263" s="120" t="str">
        <f>IFERROR(__xludf.DUMMYFUNCTION("""COMPUTED_VALUE"""),"Dundas")</f>
        <v>Dundas</v>
      </c>
      <c r="D2263" s="120" t="str">
        <f>IFERROR(__xludf.DUMMYFUNCTION("""COMPUTED_VALUE"""),"Greenland")</f>
        <v>Greenland</v>
      </c>
      <c r="E2263" s="135"/>
      <c r="F2263" s="31"/>
    </row>
    <row r="2264">
      <c r="A2264" s="134" t="str">
        <f>IFERROR(__xludf.DUMMYFUNCTION("""COMPUTED_VALUE"""),"Dundee")</f>
        <v>Dundee</v>
      </c>
      <c r="B2264" s="120" t="str">
        <f>IFERROR(__xludf.DUMMYFUNCTION("""COMPUTED_VALUE"""),"DND")</f>
        <v>DND</v>
      </c>
      <c r="C2264" s="120" t="str">
        <f>IFERROR(__xludf.DUMMYFUNCTION("""COMPUTED_VALUE"""),"Dundee")</f>
        <v>Dundee</v>
      </c>
      <c r="D2264" s="120" t="str">
        <f>IFERROR(__xludf.DUMMYFUNCTION("""COMPUTED_VALUE"""),"United Kingdom")</f>
        <v>United Kingdom</v>
      </c>
      <c r="E2264" s="135"/>
      <c r="F2264" s="31"/>
    </row>
    <row r="2265">
      <c r="A2265" s="134" t="str">
        <f>IFERROR(__xludf.DUMMYFUNCTION("""COMPUTED_VALUE"""),"Dundee")</f>
        <v>Dundee</v>
      </c>
      <c r="B2265" s="120" t="str">
        <f>IFERROR(__xludf.DUMMYFUNCTION("""COMPUTED_VALUE"""),"ZDU")</f>
        <v>ZDU</v>
      </c>
      <c r="C2265" s="120" t="str">
        <f>IFERROR(__xludf.DUMMYFUNCTION("""COMPUTED_VALUE"""),"ScotRail")</f>
        <v>ScotRail</v>
      </c>
      <c r="D2265" s="120" t="str">
        <f>IFERROR(__xludf.DUMMYFUNCTION("""COMPUTED_VALUE"""),"United Kingdom")</f>
        <v>United Kingdom</v>
      </c>
      <c r="E2265" s="135"/>
      <c r="F2265" s="31"/>
    </row>
    <row r="2266">
      <c r="A2266" s="134" t="str">
        <f>IFERROR(__xludf.DUMMYFUNCTION("""COMPUTED_VALUE"""),"Dundo")</f>
        <v>Dundo</v>
      </c>
      <c r="B2266" s="120" t="str">
        <f>IFERROR(__xludf.DUMMYFUNCTION("""COMPUTED_VALUE"""),"DUE")</f>
        <v>DUE</v>
      </c>
      <c r="C2266" s="120" t="str">
        <f>IFERROR(__xludf.DUMMYFUNCTION("""COMPUTED_VALUE"""),"Dundo")</f>
        <v>Dundo</v>
      </c>
      <c r="D2266" s="120" t="str">
        <f>IFERROR(__xludf.DUMMYFUNCTION("""COMPUTED_VALUE"""),"Angola")</f>
        <v>Angola</v>
      </c>
      <c r="E2266" s="135"/>
      <c r="F2266" s="31"/>
    </row>
    <row r="2267">
      <c r="A2267" s="134" t="str">
        <f>IFERROR(__xludf.DUMMYFUNCTION("""COMPUTED_VALUE"""),"Dunedin")</f>
        <v>Dunedin</v>
      </c>
      <c r="B2267" s="120" t="str">
        <f>IFERROR(__xludf.DUMMYFUNCTION("""COMPUTED_VALUE"""),"DUD")</f>
        <v>DUD</v>
      </c>
      <c r="C2267" s="120" t="str">
        <f>IFERROR(__xludf.DUMMYFUNCTION("""COMPUTED_VALUE"""),"Dunedin International")</f>
        <v>Dunedin International</v>
      </c>
      <c r="D2267" s="120" t="str">
        <f>IFERROR(__xludf.DUMMYFUNCTION("""COMPUTED_VALUE"""),"New Zealand")</f>
        <v>New Zealand</v>
      </c>
      <c r="E2267" s="135"/>
      <c r="F2267" s="31"/>
    </row>
    <row r="2268">
      <c r="A2268" s="134" t="str">
        <f>IFERROR(__xludf.DUMMYFUNCTION("""COMPUTED_VALUE"""),"Dunhuang")</f>
        <v>Dunhuang</v>
      </c>
      <c r="B2268" s="120" t="str">
        <f>IFERROR(__xludf.DUMMYFUNCTION("""COMPUTED_VALUE"""),"DNH")</f>
        <v>DNH</v>
      </c>
      <c r="C2268" s="120" t="str">
        <f>IFERROR(__xludf.DUMMYFUNCTION("""COMPUTED_VALUE"""),"Dunhuang")</f>
        <v>Dunhuang</v>
      </c>
      <c r="D2268" s="120" t="str">
        <f>IFERROR(__xludf.DUMMYFUNCTION("""COMPUTED_VALUE"""),"China")</f>
        <v>China</v>
      </c>
      <c r="E2268" s="135"/>
      <c r="F2268" s="31"/>
    </row>
    <row r="2269">
      <c r="A2269" s="134" t="str">
        <f>IFERROR(__xludf.DUMMYFUNCTION("""COMPUTED_VALUE"""),"Dunk Island")</f>
        <v>Dunk Island</v>
      </c>
      <c r="B2269" s="120" t="str">
        <f>IFERROR(__xludf.DUMMYFUNCTION("""COMPUTED_VALUE"""),"DKI")</f>
        <v>DKI</v>
      </c>
      <c r="C2269" s="120" t="str">
        <f>IFERROR(__xludf.DUMMYFUNCTION("""COMPUTED_VALUE"""),"Dunk Island")</f>
        <v>Dunk Island</v>
      </c>
      <c r="D2269" s="120" t="str">
        <f>IFERROR(__xludf.DUMMYFUNCTION("""COMPUTED_VALUE"""),"Australia")</f>
        <v>Australia</v>
      </c>
      <c r="E2269" s="135"/>
      <c r="F2269" s="31"/>
    </row>
    <row r="2270">
      <c r="A2270" s="134" t="str">
        <f>IFERROR(__xludf.DUMMYFUNCTION("""COMPUTED_VALUE"""),"Dunkirk")</f>
        <v>Dunkirk</v>
      </c>
      <c r="B2270" s="120" t="str">
        <f>IFERROR(__xludf.DUMMYFUNCTION("""COMPUTED_VALUE"""),"DKK")</f>
        <v>DKK</v>
      </c>
      <c r="C2270" s="120" t="str">
        <f>IFERROR(__xludf.DUMMYFUNCTION("""COMPUTED_VALUE"""),"Dunkirk")</f>
        <v>Dunkirk</v>
      </c>
      <c r="D2270" s="120" t="str">
        <f>IFERROR(__xludf.DUMMYFUNCTION("""COMPUTED_VALUE"""),"United States")</f>
        <v>United States</v>
      </c>
      <c r="E2270" s="135"/>
      <c r="F2270" s="31"/>
    </row>
    <row r="2271">
      <c r="A2271" s="134" t="str">
        <f>IFERROR(__xludf.DUMMYFUNCTION("""COMPUTED_VALUE"""),"Durango")</f>
        <v>Durango</v>
      </c>
      <c r="B2271" s="120" t="str">
        <f>IFERROR(__xludf.DUMMYFUNCTION("""COMPUTED_VALUE"""),"AMK")</f>
        <v>AMK</v>
      </c>
      <c r="C2271" s="120" t="str">
        <f>IFERROR(__xludf.DUMMYFUNCTION("""COMPUTED_VALUE"""),"Animas Airpark")</f>
        <v>Animas Airpark</v>
      </c>
      <c r="D2271" s="120" t="str">
        <f>IFERROR(__xludf.DUMMYFUNCTION("""COMPUTED_VALUE"""),"United States")</f>
        <v>United States</v>
      </c>
      <c r="E2271" s="135"/>
      <c r="F2271" s="31"/>
    </row>
    <row r="2272">
      <c r="A2272" s="134" t="str">
        <f>IFERROR(__xludf.DUMMYFUNCTION("""COMPUTED_VALUE"""),"Durango")</f>
        <v>Durango</v>
      </c>
      <c r="B2272" s="120" t="str">
        <f>IFERROR(__xludf.DUMMYFUNCTION("""COMPUTED_VALUE"""),"DRO")</f>
        <v>DRO</v>
      </c>
      <c r="C2272" s="120" t="str">
        <f>IFERROR(__xludf.DUMMYFUNCTION("""COMPUTED_VALUE"""),"La Plata")</f>
        <v>La Plata</v>
      </c>
      <c r="D2272" s="120" t="str">
        <f>IFERROR(__xludf.DUMMYFUNCTION("""COMPUTED_VALUE"""),"United States")</f>
        <v>United States</v>
      </c>
      <c r="E2272" s="135"/>
      <c r="F2272" s="31"/>
    </row>
    <row r="2273">
      <c r="A2273" s="134" t="str">
        <f>IFERROR(__xludf.DUMMYFUNCTION("""COMPUTED_VALUE"""),"Durango")</f>
        <v>Durango</v>
      </c>
      <c r="B2273" s="120" t="str">
        <f>IFERROR(__xludf.DUMMYFUNCTION("""COMPUTED_VALUE"""),"DGO")</f>
        <v>DGO</v>
      </c>
      <c r="C2273" s="120" t="str">
        <f>IFERROR(__xludf.DUMMYFUNCTION("""COMPUTED_VALUE"""),"Guadalupe Victoria")</f>
        <v>Guadalupe Victoria</v>
      </c>
      <c r="D2273" s="120" t="str">
        <f>IFERROR(__xludf.DUMMYFUNCTION("""COMPUTED_VALUE"""),"Mexico")</f>
        <v>Mexico</v>
      </c>
      <c r="E2273" s="135"/>
      <c r="F2273" s="31"/>
    </row>
    <row r="2274">
      <c r="A2274" s="134" t="str">
        <f>IFERROR(__xludf.DUMMYFUNCTION("""COMPUTED_VALUE"""),"Durant")</f>
        <v>Durant</v>
      </c>
      <c r="B2274" s="120" t="str">
        <f>IFERROR(__xludf.DUMMYFUNCTION("""COMPUTED_VALUE"""),"DUA")</f>
        <v>DUA</v>
      </c>
      <c r="C2274" s="120" t="str">
        <f>IFERROR(__xludf.DUMMYFUNCTION("""COMPUTED_VALUE"""),"Eaker")</f>
        <v>Eaker</v>
      </c>
      <c r="D2274" s="120" t="str">
        <f>IFERROR(__xludf.DUMMYFUNCTION("""COMPUTED_VALUE"""),"United States")</f>
        <v>United States</v>
      </c>
      <c r="E2274" s="135"/>
      <c r="F2274" s="31"/>
    </row>
    <row r="2275">
      <c r="A2275" s="134" t="str">
        <f>IFERROR(__xludf.DUMMYFUNCTION("""COMPUTED_VALUE"""),"Durazno")</f>
        <v>Durazno</v>
      </c>
      <c r="B2275" s="120" t="str">
        <f>IFERROR(__xludf.DUMMYFUNCTION("""COMPUTED_VALUE"""),"DZO")</f>
        <v>DZO</v>
      </c>
      <c r="C2275" s="120" t="str">
        <f>IFERROR(__xludf.DUMMYFUNCTION("""COMPUTED_VALUE"""),"Durazno")</f>
        <v>Durazno</v>
      </c>
      <c r="D2275" s="120" t="str">
        <f>IFERROR(__xludf.DUMMYFUNCTION("""COMPUTED_VALUE"""),"Uruguay")</f>
        <v>Uruguay</v>
      </c>
      <c r="E2275" s="135"/>
      <c r="F2275" s="31"/>
    </row>
    <row r="2276">
      <c r="A2276" s="134" t="str">
        <f>IFERROR(__xludf.DUMMYFUNCTION("""COMPUTED_VALUE"""),"Durban")</f>
        <v>Durban</v>
      </c>
      <c r="B2276" s="120" t="str">
        <f>IFERROR(__xludf.DUMMYFUNCTION("""COMPUTED_VALUE"""),"DUR")</f>
        <v>DUR</v>
      </c>
      <c r="C2276" s="120" t="str">
        <f>IFERROR(__xludf.DUMMYFUNCTION("""COMPUTED_VALUE"""),"Durban International")</f>
        <v>Durban International</v>
      </c>
      <c r="D2276" s="120" t="str">
        <f>IFERROR(__xludf.DUMMYFUNCTION("""COMPUTED_VALUE"""),"South Africa")</f>
        <v>South Africa</v>
      </c>
      <c r="E2276" s="135"/>
      <c r="F2276" s="31"/>
    </row>
    <row r="2277">
      <c r="A2277" s="134" t="str">
        <f>IFERROR(__xludf.DUMMYFUNCTION("""COMPUTED_VALUE"""),"Durban")</f>
        <v>Durban</v>
      </c>
      <c r="B2277" s="120" t="str">
        <f>IFERROR(__xludf.DUMMYFUNCTION("""COMPUTED_VALUE"""),"VIR")</f>
        <v>VIR</v>
      </c>
      <c r="C2277" s="120" t="str">
        <f>IFERROR(__xludf.DUMMYFUNCTION("""COMPUTED_VALUE"""),"Virginia")</f>
        <v>Virginia</v>
      </c>
      <c r="D2277" s="120" t="str">
        <f>IFERROR(__xludf.DUMMYFUNCTION("""COMPUTED_VALUE"""),"South Africa")</f>
        <v>South Africa</v>
      </c>
      <c r="E2277" s="135"/>
      <c r="F2277" s="31"/>
    </row>
    <row r="2278">
      <c r="A2278" s="134" t="str">
        <f>IFERROR(__xludf.DUMMYFUNCTION("""COMPUTED_VALUE"""),"Durham Downs")</f>
        <v>Durham Downs</v>
      </c>
      <c r="B2278" s="120" t="str">
        <f>IFERROR(__xludf.DUMMYFUNCTION("""COMPUTED_VALUE"""),"DHD")</f>
        <v>DHD</v>
      </c>
      <c r="C2278" s="120" t="str">
        <f>IFERROR(__xludf.DUMMYFUNCTION("""COMPUTED_VALUE"""),"Durham Downs")</f>
        <v>Durham Downs</v>
      </c>
      <c r="D2278" s="120" t="str">
        <f>IFERROR(__xludf.DUMMYFUNCTION("""COMPUTED_VALUE"""),"Australia")</f>
        <v>Australia</v>
      </c>
      <c r="E2278" s="135"/>
      <c r="F2278" s="31"/>
    </row>
    <row r="2279">
      <c r="A2279" s="134" t="str">
        <f>IFERROR(__xludf.DUMMYFUNCTION("""COMPUTED_VALUE"""),"Durham Tees Valley")</f>
        <v>Durham Tees Valley</v>
      </c>
      <c r="B2279" s="120" t="str">
        <f>IFERROR(__xludf.DUMMYFUNCTION("""COMPUTED_VALUE"""),"MME")</f>
        <v>MME</v>
      </c>
      <c r="C2279" s="120" t="str">
        <f>IFERROR(__xludf.DUMMYFUNCTION("""COMPUTED_VALUE"""),"Durham Tees Valley")</f>
        <v>Durham Tees Valley</v>
      </c>
      <c r="D2279" s="120" t="str">
        <f>IFERROR(__xludf.DUMMYFUNCTION("""COMPUTED_VALUE"""),"United Kingdom")</f>
        <v>United Kingdom</v>
      </c>
      <c r="E2279" s="135"/>
      <c r="F2279" s="31"/>
    </row>
    <row r="2280">
      <c r="A2280" s="134" t="str">
        <f>IFERROR(__xludf.DUMMYFUNCTION("""COMPUTED_VALUE"""),"Durrie")</f>
        <v>Durrie</v>
      </c>
      <c r="B2280" s="120" t="str">
        <f>IFERROR(__xludf.DUMMYFUNCTION("""COMPUTED_VALUE"""),"DRR")</f>
        <v>DRR</v>
      </c>
      <c r="C2280" s="120" t="str">
        <f>IFERROR(__xludf.DUMMYFUNCTION("""COMPUTED_VALUE"""),"Durrie")</f>
        <v>Durrie</v>
      </c>
      <c r="D2280" s="120" t="str">
        <f>IFERROR(__xludf.DUMMYFUNCTION("""COMPUTED_VALUE"""),"Australia")</f>
        <v>Australia</v>
      </c>
      <c r="E2280" s="135"/>
      <c r="F2280" s="31"/>
    </row>
    <row r="2281">
      <c r="A2281" s="134" t="str">
        <f>IFERROR(__xludf.DUMMYFUNCTION("""COMPUTED_VALUE"""),"Dushanbe")</f>
        <v>Dushanbe</v>
      </c>
      <c r="B2281" s="120" t="str">
        <f>IFERROR(__xludf.DUMMYFUNCTION("""COMPUTED_VALUE"""),"DYU")</f>
        <v>DYU</v>
      </c>
      <c r="C2281" s="120" t="str">
        <f>IFERROR(__xludf.DUMMYFUNCTION("""COMPUTED_VALUE"""),"dyu")</f>
        <v>dyu</v>
      </c>
      <c r="D2281" s="120" t="str">
        <f>IFERROR(__xludf.DUMMYFUNCTION("""COMPUTED_VALUE"""),"Tajikistan")</f>
        <v>Tajikistan</v>
      </c>
      <c r="E2281" s="135"/>
      <c r="F2281" s="31"/>
    </row>
    <row r="2282">
      <c r="A2282" s="134" t="str">
        <f>IFERROR(__xludf.DUMMYFUNCTION("""COMPUTED_VALUE"""),"Dusseldorf")</f>
        <v>Dusseldorf</v>
      </c>
      <c r="B2282" s="120" t="str">
        <f>IFERROR(__xludf.DUMMYFUNCTION("""COMPUTED_VALUE"""),"DUS")</f>
        <v>DUS</v>
      </c>
      <c r="C2282" s="120" t="str">
        <f>IFERROR(__xludf.DUMMYFUNCTION("""COMPUTED_VALUE"""),"Düsseldorf International Airport (Rhein-Ruhr)")</f>
        <v>Düsseldorf International Airport (Rhein-Ruhr)</v>
      </c>
      <c r="D2282" s="120" t="str">
        <f>IFERROR(__xludf.DUMMYFUNCTION("""COMPUTED_VALUE"""),"Germany")</f>
        <v>Germany</v>
      </c>
      <c r="E2282" s="135"/>
      <c r="F2282" s="31"/>
    </row>
    <row r="2283">
      <c r="A2283" s="134" t="str">
        <f>IFERROR(__xludf.DUMMYFUNCTION("""COMPUTED_VALUE"""),"Dusseldorf")</f>
        <v>Dusseldorf</v>
      </c>
      <c r="B2283" s="120" t="str">
        <f>IFERROR(__xludf.DUMMYFUNCTION("""COMPUTED_VALUE"""),"MGL")</f>
        <v>MGL</v>
      </c>
      <c r="C2283" s="120" t="str">
        <f>IFERROR(__xludf.DUMMYFUNCTION("""COMPUTED_VALUE"""),"Moenchen-Gl. - DUS Exp")</f>
        <v>Moenchen-Gl. - DUS Exp</v>
      </c>
      <c r="D2283" s="120" t="str">
        <f>IFERROR(__xludf.DUMMYFUNCTION("""COMPUTED_VALUE"""),"Germany")</f>
        <v>Germany</v>
      </c>
      <c r="E2283" s="135"/>
      <c r="F2283" s="31"/>
    </row>
    <row r="2284">
      <c r="A2284" s="134" t="str">
        <f>IFERROR(__xludf.DUMMYFUNCTION("""COMPUTED_VALUE"""),"Dusseldorf")</f>
        <v>Dusseldorf</v>
      </c>
      <c r="B2284" s="120" t="str">
        <f>IFERROR(__xludf.DUMMYFUNCTION("""COMPUTED_VALUE"""),"NRN")</f>
        <v>NRN</v>
      </c>
      <c r="C2284" s="120" t="str">
        <f>IFERROR(__xludf.DUMMYFUNCTION("""COMPUTED_VALUE"""),"Weeze")</f>
        <v>Weeze</v>
      </c>
      <c r="D2284" s="120" t="str">
        <f>IFERROR(__xludf.DUMMYFUNCTION("""COMPUTED_VALUE"""),"Germany")</f>
        <v>Germany</v>
      </c>
      <c r="E2284" s="135"/>
      <c r="F2284" s="31"/>
    </row>
    <row r="2285">
      <c r="A2285" s="134" t="str">
        <f>IFERROR(__xludf.DUMMYFUNCTION("""COMPUTED_VALUE"""),"Dusseldorf")</f>
        <v>Dusseldorf</v>
      </c>
      <c r="B2285" s="120" t="str">
        <f>IFERROR(__xludf.DUMMYFUNCTION("""COMPUTED_VALUE"""),"QDU")</f>
        <v>QDU</v>
      </c>
      <c r="C2285" s="120" t="str">
        <f>IFERROR(__xludf.DUMMYFUNCTION("""COMPUTED_VALUE"""),"Station")</f>
        <v>Station</v>
      </c>
      <c r="D2285" s="120" t="str">
        <f>IFERROR(__xludf.DUMMYFUNCTION("""COMPUTED_VALUE"""),"Germany")</f>
        <v>Germany</v>
      </c>
      <c r="E2285" s="135"/>
      <c r="F2285" s="31"/>
    </row>
    <row r="2286">
      <c r="A2286" s="134" t="str">
        <f>IFERROR(__xludf.DUMMYFUNCTION("""COMPUTED_VALUE"""),"Dutch Harbor")</f>
        <v>Dutch Harbor</v>
      </c>
      <c r="B2286" s="120" t="str">
        <f>IFERROR(__xludf.DUMMYFUNCTION("""COMPUTED_VALUE"""),"DUT")</f>
        <v>DUT</v>
      </c>
      <c r="C2286" s="120" t="str">
        <f>IFERROR(__xludf.DUMMYFUNCTION("""COMPUTED_VALUE"""),"Emergency Field")</f>
        <v>Emergency Field</v>
      </c>
      <c r="D2286" s="120" t="str">
        <f>IFERROR(__xludf.DUMMYFUNCTION("""COMPUTED_VALUE"""),"United States")</f>
        <v>United States</v>
      </c>
      <c r="E2286" s="135"/>
      <c r="F2286" s="31"/>
    </row>
    <row r="2287">
      <c r="A2287" s="134" t="str">
        <f>IFERROR(__xludf.DUMMYFUNCTION("""COMPUTED_VALUE"""),"Dwangwa")</f>
        <v>Dwangwa</v>
      </c>
      <c r="B2287" s="120" t="str">
        <f>IFERROR(__xludf.DUMMYFUNCTION("""COMPUTED_VALUE"""),"DWA")</f>
        <v>DWA</v>
      </c>
      <c r="C2287" s="120" t="str">
        <f>IFERROR(__xludf.DUMMYFUNCTION("""COMPUTED_VALUE"""),"Dwangwa")</f>
        <v>Dwangwa</v>
      </c>
      <c r="D2287" s="120" t="str">
        <f>IFERROR(__xludf.DUMMYFUNCTION("""COMPUTED_VALUE"""),"Malawi")</f>
        <v>Malawi</v>
      </c>
      <c r="E2287" s="135"/>
      <c r="F2287" s="31"/>
    </row>
    <row r="2288">
      <c r="A2288" s="134" t="str">
        <f>IFERROR(__xludf.DUMMYFUNCTION("""COMPUTED_VALUE"""),"Dysart")</f>
        <v>Dysart</v>
      </c>
      <c r="B2288" s="120" t="str">
        <f>IFERROR(__xludf.DUMMYFUNCTION("""COMPUTED_VALUE"""),"DYA")</f>
        <v>DYA</v>
      </c>
      <c r="C2288" s="120" t="str">
        <f>IFERROR(__xludf.DUMMYFUNCTION("""COMPUTED_VALUE"""),"Dysart")</f>
        <v>Dysart</v>
      </c>
      <c r="D2288" s="120" t="str">
        <f>IFERROR(__xludf.DUMMYFUNCTION("""COMPUTED_VALUE"""),"Australia")</f>
        <v>Australia</v>
      </c>
      <c r="E2288" s="135"/>
      <c r="F2288" s="31"/>
    </row>
    <row r="2289">
      <c r="A2289" s="134" t="str">
        <f>IFERROR(__xludf.DUMMYFUNCTION("""COMPUTED_VALUE"""),"Eagle")</f>
        <v>Eagle</v>
      </c>
      <c r="B2289" s="120" t="str">
        <f>IFERROR(__xludf.DUMMYFUNCTION("""COMPUTED_VALUE"""),"EAA")</f>
        <v>EAA</v>
      </c>
      <c r="C2289" s="120" t="str">
        <f>IFERROR(__xludf.DUMMYFUNCTION("""COMPUTED_VALUE"""),"Eagle")</f>
        <v>Eagle</v>
      </c>
      <c r="D2289" s="120" t="str">
        <f>IFERROR(__xludf.DUMMYFUNCTION("""COMPUTED_VALUE"""),"United States")</f>
        <v>United States</v>
      </c>
      <c r="E2289" s="135"/>
      <c r="F2289" s="31"/>
    </row>
    <row r="2290">
      <c r="A2290" s="134" t="str">
        <f>IFERROR(__xludf.DUMMYFUNCTION("""COMPUTED_VALUE"""),"Eagle Lake")</f>
        <v>Eagle Lake</v>
      </c>
      <c r="B2290" s="120" t="str">
        <f>IFERROR(__xludf.DUMMYFUNCTION("""COMPUTED_VALUE"""),"ELA")</f>
        <v>ELA</v>
      </c>
      <c r="C2290" s="120" t="str">
        <f>IFERROR(__xludf.DUMMYFUNCTION("""COMPUTED_VALUE"""),"Eagle Lake")</f>
        <v>Eagle Lake</v>
      </c>
      <c r="D2290" s="120" t="str">
        <f>IFERROR(__xludf.DUMMYFUNCTION("""COMPUTED_VALUE"""),"United States")</f>
        <v>United States</v>
      </c>
      <c r="E2290" s="135"/>
      <c r="F2290" s="31"/>
    </row>
    <row r="2291">
      <c r="A2291" s="134" t="str">
        <f>IFERROR(__xludf.DUMMYFUNCTION("""COMPUTED_VALUE"""),"Eagle Pass")</f>
        <v>Eagle Pass</v>
      </c>
      <c r="B2291" s="120" t="str">
        <f>IFERROR(__xludf.DUMMYFUNCTION("""COMPUTED_VALUE"""),"EGP")</f>
        <v>EGP</v>
      </c>
      <c r="C2291" s="120" t="str">
        <f>IFERROR(__xludf.DUMMYFUNCTION("""COMPUTED_VALUE"""),"Maverick Co")</f>
        <v>Maverick Co</v>
      </c>
      <c r="D2291" s="120" t="str">
        <f>IFERROR(__xludf.DUMMYFUNCTION("""COMPUTED_VALUE"""),"United States")</f>
        <v>United States</v>
      </c>
      <c r="E2291" s="135"/>
      <c r="F2291" s="31"/>
    </row>
    <row r="2292">
      <c r="A2292" s="134" t="str">
        <f>IFERROR(__xludf.DUMMYFUNCTION("""COMPUTED_VALUE"""),"Eagle River")</f>
        <v>Eagle River</v>
      </c>
      <c r="B2292" s="120" t="str">
        <f>IFERROR(__xludf.DUMMYFUNCTION("""COMPUTED_VALUE"""),"EGV")</f>
        <v>EGV</v>
      </c>
      <c r="C2292" s="120" t="str">
        <f>IFERROR(__xludf.DUMMYFUNCTION("""COMPUTED_VALUE"""),"Eagle River")</f>
        <v>Eagle River</v>
      </c>
      <c r="D2292" s="120" t="str">
        <f>IFERROR(__xludf.DUMMYFUNCTION("""COMPUTED_VALUE"""),"United States")</f>
        <v>United States</v>
      </c>
      <c r="E2292" s="135"/>
      <c r="F2292" s="31"/>
    </row>
    <row r="2293">
      <c r="A2293" s="134" t="str">
        <f>IFERROR(__xludf.DUMMYFUNCTION("""COMPUTED_VALUE"""),"Earlton")</f>
        <v>Earlton</v>
      </c>
      <c r="B2293" s="120" t="str">
        <f>IFERROR(__xludf.DUMMYFUNCTION("""COMPUTED_VALUE"""),"YXR")</f>
        <v>YXR</v>
      </c>
      <c r="C2293" s="120" t="str">
        <f>IFERROR(__xludf.DUMMYFUNCTION("""COMPUTED_VALUE"""),"Earlton")</f>
        <v>Earlton</v>
      </c>
      <c r="D2293" s="120" t="str">
        <f>IFERROR(__xludf.DUMMYFUNCTION("""COMPUTED_VALUE"""),"Canada")</f>
        <v>Canada</v>
      </c>
      <c r="E2293" s="135"/>
      <c r="F2293" s="31"/>
    </row>
    <row r="2294">
      <c r="A2294" s="134" t="str">
        <f>IFERROR(__xludf.DUMMYFUNCTION("""COMPUTED_VALUE"""),"East Fork")</f>
        <v>East Fork</v>
      </c>
      <c r="B2294" s="120" t="str">
        <f>IFERROR(__xludf.DUMMYFUNCTION("""COMPUTED_VALUE"""),"EFO")</f>
        <v>EFO</v>
      </c>
      <c r="C2294" s="120" t="str">
        <f>IFERROR(__xludf.DUMMYFUNCTION("""COMPUTED_VALUE"""),"East Fork")</f>
        <v>East Fork</v>
      </c>
      <c r="D2294" s="120" t="str">
        <f>IFERROR(__xludf.DUMMYFUNCTION("""COMPUTED_VALUE"""),"United States")</f>
        <v>United States</v>
      </c>
      <c r="E2294" s="135"/>
      <c r="F2294" s="31"/>
    </row>
    <row r="2295">
      <c r="A2295" s="134" t="str">
        <f>IFERROR(__xludf.DUMMYFUNCTION("""COMPUTED_VALUE"""),"East Hampton")</f>
        <v>East Hampton</v>
      </c>
      <c r="B2295" s="120" t="str">
        <f>IFERROR(__xludf.DUMMYFUNCTION("""COMPUTED_VALUE"""),"HTO")</f>
        <v>HTO</v>
      </c>
      <c r="C2295" s="120" t="str">
        <f>IFERROR(__xludf.DUMMYFUNCTION("""COMPUTED_VALUE"""),"East Hampton")</f>
        <v>East Hampton</v>
      </c>
      <c r="D2295" s="120" t="str">
        <f>IFERROR(__xludf.DUMMYFUNCTION("""COMPUTED_VALUE"""),"United States")</f>
        <v>United States</v>
      </c>
      <c r="E2295" s="135"/>
      <c r="F2295" s="31"/>
    </row>
    <row r="2296">
      <c r="A2296" s="134" t="str">
        <f>IFERROR(__xludf.DUMMYFUNCTION("""COMPUTED_VALUE"""),"East Hartford")</f>
        <v>East Hartford</v>
      </c>
      <c r="B2296" s="120" t="str">
        <f>IFERROR(__xludf.DUMMYFUNCTION("""COMPUTED_VALUE"""),"EHT")</f>
        <v>EHT</v>
      </c>
      <c r="C2296" s="120" t="str">
        <f>IFERROR(__xludf.DUMMYFUNCTION("""COMPUTED_VALUE"""),"Rentschler")</f>
        <v>Rentschler</v>
      </c>
      <c r="D2296" s="120" t="str">
        <f>IFERROR(__xludf.DUMMYFUNCTION("""COMPUTED_VALUE"""),"United States")</f>
        <v>United States</v>
      </c>
      <c r="E2296" s="135"/>
      <c r="F2296" s="31"/>
    </row>
    <row r="2297">
      <c r="A2297" s="134" t="str">
        <f>IFERROR(__xludf.DUMMYFUNCTION("""COMPUTED_VALUE"""),"East London")</f>
        <v>East London</v>
      </c>
      <c r="B2297" s="120" t="str">
        <f>IFERROR(__xludf.DUMMYFUNCTION("""COMPUTED_VALUE"""),"ELS")</f>
        <v>ELS</v>
      </c>
      <c r="C2297" s="120" t="str">
        <f>IFERROR(__xludf.DUMMYFUNCTION("""COMPUTED_VALUE"""),"East London")</f>
        <v>East London</v>
      </c>
      <c r="D2297" s="120" t="str">
        <f>IFERROR(__xludf.DUMMYFUNCTION("""COMPUTED_VALUE"""),"South Africa")</f>
        <v>South Africa</v>
      </c>
      <c r="E2297" s="135"/>
      <c r="F2297" s="31"/>
    </row>
    <row r="2298">
      <c r="A2298" s="134" t="str">
        <f>IFERROR(__xludf.DUMMYFUNCTION("""COMPUTED_VALUE"""),"East Main")</f>
        <v>East Main</v>
      </c>
      <c r="B2298" s="120" t="str">
        <f>IFERROR(__xludf.DUMMYFUNCTION("""COMPUTED_VALUE"""),"ZEM")</f>
        <v>ZEM</v>
      </c>
      <c r="C2298" s="120" t="str">
        <f>IFERROR(__xludf.DUMMYFUNCTION("""COMPUTED_VALUE"""),"East Main")</f>
        <v>East Main</v>
      </c>
      <c r="D2298" s="120" t="str">
        <f>IFERROR(__xludf.DUMMYFUNCTION("""COMPUTED_VALUE"""),"Canada")</f>
        <v>Canada</v>
      </c>
      <c r="E2298" s="135"/>
      <c r="F2298" s="31"/>
    </row>
    <row r="2299">
      <c r="A2299" s="134" t="str">
        <f>IFERROR(__xludf.DUMMYFUNCTION("""COMPUTED_VALUE"""),"East Stroudsburg")</f>
        <v>East Stroudsburg</v>
      </c>
      <c r="B2299" s="120" t="str">
        <f>IFERROR(__xludf.DUMMYFUNCTION("""COMPUTED_VALUE"""),"ESP")</f>
        <v>ESP</v>
      </c>
      <c r="C2299" s="120" t="str">
        <f>IFERROR(__xludf.DUMMYFUNCTION("""COMPUTED_VALUE"""),"Birchwood-Pocono")</f>
        <v>Birchwood-Pocono</v>
      </c>
      <c r="D2299" s="120" t="str">
        <f>IFERROR(__xludf.DUMMYFUNCTION("""COMPUTED_VALUE"""),"United States")</f>
        <v>United States</v>
      </c>
      <c r="E2299" s="135"/>
      <c r="F2299" s="31"/>
    </row>
    <row r="2300">
      <c r="A2300" s="134" t="str">
        <f>IFERROR(__xludf.DUMMYFUNCTION("""COMPUTED_VALUE"""),"East Tawas")</f>
        <v>East Tawas</v>
      </c>
      <c r="B2300" s="120" t="str">
        <f>IFERROR(__xludf.DUMMYFUNCTION("""COMPUTED_VALUE"""),"ECA")</f>
        <v>ECA</v>
      </c>
      <c r="C2300" s="120" t="str">
        <f>IFERROR(__xludf.DUMMYFUNCTION("""COMPUTED_VALUE"""),"Emmet County Airport")</f>
        <v>Emmet County Airport</v>
      </c>
      <c r="D2300" s="120" t="str">
        <f>IFERROR(__xludf.DUMMYFUNCTION("""COMPUTED_VALUE"""),"United States")</f>
        <v>United States</v>
      </c>
      <c r="E2300" s="135"/>
      <c r="F2300" s="31"/>
    </row>
    <row r="2301">
      <c r="A2301" s="134" t="str">
        <f>IFERROR(__xludf.DUMMYFUNCTION("""COMPUTED_VALUE"""),"Easter Island")</f>
        <v>Easter Island</v>
      </c>
      <c r="B2301" s="120" t="str">
        <f>IFERROR(__xludf.DUMMYFUNCTION("""COMPUTED_VALUE"""),"IPC")</f>
        <v>IPC</v>
      </c>
      <c r="C2301" s="120" t="str">
        <f>IFERROR(__xludf.DUMMYFUNCTION("""COMPUTED_VALUE"""),"Mataveri Intl")</f>
        <v>Mataveri Intl</v>
      </c>
      <c r="D2301" s="120" t="str">
        <f>IFERROR(__xludf.DUMMYFUNCTION("""COMPUTED_VALUE"""),"Chile")</f>
        <v>Chile</v>
      </c>
      <c r="E2301" s="135"/>
      <c r="F2301" s="31"/>
    </row>
    <row r="2302">
      <c r="A2302" s="134" t="str">
        <f>IFERROR(__xludf.DUMMYFUNCTION("""COMPUTED_VALUE"""),"Eastland")</f>
        <v>Eastland</v>
      </c>
      <c r="B2302" s="120" t="str">
        <f>IFERROR(__xludf.DUMMYFUNCTION("""COMPUTED_VALUE"""),"ETN")</f>
        <v>ETN</v>
      </c>
      <c r="C2302" s="120" t="str">
        <f>IFERROR(__xludf.DUMMYFUNCTION("""COMPUTED_VALUE"""),"Municipal")</f>
        <v>Municipal</v>
      </c>
      <c r="D2302" s="120" t="str">
        <f>IFERROR(__xludf.DUMMYFUNCTION("""COMPUTED_VALUE"""),"United States")</f>
        <v>United States</v>
      </c>
      <c r="E2302" s="135"/>
      <c r="F2302" s="31"/>
    </row>
    <row r="2303">
      <c r="A2303" s="134" t="str">
        <f>IFERROR(__xludf.DUMMYFUNCTION("""COMPUTED_VALUE"""),"Easton")</f>
        <v>Easton</v>
      </c>
      <c r="B2303" s="120" t="str">
        <f>IFERROR(__xludf.DUMMYFUNCTION("""COMPUTED_VALUE"""),"ESN")</f>
        <v>ESN</v>
      </c>
      <c r="C2303" s="120" t="str">
        <f>IFERROR(__xludf.DUMMYFUNCTION("""COMPUTED_VALUE"""),"Easton")</f>
        <v>Easton</v>
      </c>
      <c r="D2303" s="120" t="str">
        <f>IFERROR(__xludf.DUMMYFUNCTION("""COMPUTED_VALUE"""),"United States")</f>
        <v>United States</v>
      </c>
      <c r="E2303" s="135"/>
      <c r="F2303" s="31"/>
    </row>
    <row r="2304">
      <c r="A2304" s="134" t="str">
        <f>IFERROR(__xludf.DUMMYFUNCTION("""COMPUTED_VALUE"""),"Easton")</f>
        <v>Easton</v>
      </c>
      <c r="B2304" s="120" t="str">
        <f>IFERROR(__xludf.DUMMYFUNCTION("""COMPUTED_VALUE"""),"ESW")</f>
        <v>ESW</v>
      </c>
      <c r="C2304" s="120" t="str">
        <f>IFERROR(__xludf.DUMMYFUNCTION("""COMPUTED_VALUE"""),"State")</f>
        <v>State</v>
      </c>
      <c r="D2304" s="120" t="str">
        <f>IFERROR(__xludf.DUMMYFUNCTION("""COMPUTED_VALUE"""),"United States")</f>
        <v>United States</v>
      </c>
      <c r="E2304" s="135"/>
      <c r="F2304" s="31"/>
    </row>
    <row r="2305">
      <c r="A2305" s="134" t="str">
        <f>IFERROR(__xludf.DUMMYFUNCTION("""COMPUTED_VALUE"""),"Eastsound")</f>
        <v>Eastsound</v>
      </c>
      <c r="B2305" s="120" t="str">
        <f>IFERROR(__xludf.DUMMYFUNCTION("""COMPUTED_VALUE"""),"ESD")</f>
        <v>ESD</v>
      </c>
      <c r="C2305" s="120" t="str">
        <f>IFERROR(__xludf.DUMMYFUNCTION("""COMPUTED_VALUE"""),"Orcas Island")</f>
        <v>Orcas Island</v>
      </c>
      <c r="D2305" s="120" t="str">
        <f>IFERROR(__xludf.DUMMYFUNCTION("""COMPUTED_VALUE"""),"United States")</f>
        <v>United States</v>
      </c>
      <c r="E2305" s="135"/>
      <c r="F2305" s="31"/>
    </row>
    <row r="2306">
      <c r="A2306" s="134" t="str">
        <f>IFERROR(__xludf.DUMMYFUNCTION("""COMPUTED_VALUE"""),"Eau Claire")</f>
        <v>Eau Claire</v>
      </c>
      <c r="B2306" s="120" t="str">
        <f>IFERROR(__xludf.DUMMYFUNCTION("""COMPUTED_VALUE"""),"EAU")</f>
        <v>EAU</v>
      </c>
      <c r="C2306" s="120" t="str">
        <f>IFERROR(__xludf.DUMMYFUNCTION("""COMPUTED_VALUE"""),"Eau Claire")</f>
        <v>Eau Claire</v>
      </c>
      <c r="D2306" s="120" t="str">
        <f>IFERROR(__xludf.DUMMYFUNCTION("""COMPUTED_VALUE"""),"United States")</f>
        <v>United States</v>
      </c>
      <c r="E2306" s="135"/>
      <c r="F2306" s="31"/>
    </row>
    <row r="2307">
      <c r="A2307" s="134" t="str">
        <f>IFERROR(__xludf.DUMMYFUNCTION("""COMPUTED_VALUE"""),"Ebadon")</f>
        <v>Ebadon</v>
      </c>
      <c r="B2307" s="120" t="str">
        <f>IFERROR(__xludf.DUMMYFUNCTION("""COMPUTED_VALUE"""),"EBN")</f>
        <v>EBN</v>
      </c>
      <c r="C2307" s="120" t="str">
        <f>IFERROR(__xludf.DUMMYFUNCTION("""COMPUTED_VALUE"""),"Ebadon")</f>
        <v>Ebadon</v>
      </c>
      <c r="D2307" s="120" t="str">
        <f>IFERROR(__xludf.DUMMYFUNCTION("""COMPUTED_VALUE"""),"Marshall Islands")</f>
        <v>Marshall Islands</v>
      </c>
      <c r="E2307" s="135"/>
      <c r="F2307" s="31"/>
    </row>
    <row r="2308">
      <c r="A2308" s="134" t="str">
        <f>IFERROR(__xludf.DUMMYFUNCTION("""COMPUTED_VALUE"""),"Ebolowa")</f>
        <v>Ebolowa</v>
      </c>
      <c r="B2308" s="120" t="str">
        <f>IFERROR(__xludf.DUMMYFUNCTION("""COMPUTED_VALUE"""),"EBW")</f>
        <v>EBW</v>
      </c>
      <c r="C2308" s="120" t="str">
        <f>IFERROR(__xludf.DUMMYFUNCTION("""COMPUTED_VALUE"""),"Ebolowa")</f>
        <v>Ebolowa</v>
      </c>
      <c r="D2308" s="120" t="str">
        <f>IFERROR(__xludf.DUMMYFUNCTION("""COMPUTED_VALUE"""),"Cameroon")</f>
        <v>Cameroon</v>
      </c>
      <c r="E2308" s="135"/>
      <c r="F2308" s="31"/>
    </row>
    <row r="2309">
      <c r="A2309" s="134" t="str">
        <f>IFERROR(__xludf.DUMMYFUNCTION("""COMPUTED_VALUE"""),"Ebon")</f>
        <v>Ebon</v>
      </c>
      <c r="B2309" s="120" t="str">
        <f>IFERROR(__xludf.DUMMYFUNCTION("""COMPUTED_VALUE"""),"EBO")</f>
        <v>EBO</v>
      </c>
      <c r="C2309" s="120" t="str">
        <f>IFERROR(__xludf.DUMMYFUNCTION("""COMPUTED_VALUE"""),"Ebon Airport")</f>
        <v>Ebon Airport</v>
      </c>
      <c r="D2309" s="120" t="str">
        <f>IFERROR(__xludf.DUMMYFUNCTION("""COMPUTED_VALUE"""),"Marshall Islands")</f>
        <v>Marshall Islands</v>
      </c>
      <c r="E2309" s="135"/>
      <c r="F2309" s="31"/>
    </row>
    <row r="2310">
      <c r="A2310" s="134" t="str">
        <f>IFERROR(__xludf.DUMMYFUNCTION("""COMPUTED_VALUE"""),"Echuca")</f>
        <v>Echuca</v>
      </c>
      <c r="B2310" s="120" t="str">
        <f>IFERROR(__xludf.DUMMYFUNCTION("""COMPUTED_VALUE"""),"ECH")</f>
        <v>ECH</v>
      </c>
      <c r="C2310" s="120" t="str">
        <f>IFERROR(__xludf.DUMMYFUNCTION("""COMPUTED_VALUE"""),"Echuca")</f>
        <v>Echuca</v>
      </c>
      <c r="D2310" s="120" t="str">
        <f>IFERROR(__xludf.DUMMYFUNCTION("""COMPUTED_VALUE"""),"Australia")</f>
        <v>Australia</v>
      </c>
      <c r="E2310" s="135"/>
      <c r="F2310" s="31"/>
    </row>
    <row r="2311">
      <c r="A2311" s="134" t="str">
        <f>IFERROR(__xludf.DUMMYFUNCTION("""COMPUTED_VALUE"""),"Eday")</f>
        <v>Eday</v>
      </c>
      <c r="B2311" s="120" t="str">
        <f>IFERROR(__xludf.DUMMYFUNCTION("""COMPUTED_VALUE"""),"EOI")</f>
        <v>EOI</v>
      </c>
      <c r="C2311" s="120" t="str">
        <f>IFERROR(__xludf.DUMMYFUNCTION("""COMPUTED_VALUE"""),"Eday")</f>
        <v>Eday</v>
      </c>
      <c r="D2311" s="120" t="str">
        <f>IFERROR(__xludf.DUMMYFUNCTION("""COMPUTED_VALUE"""),"United Kingdom")</f>
        <v>United Kingdom</v>
      </c>
      <c r="E2311" s="135"/>
      <c r="F2311" s="31"/>
    </row>
    <row r="2312">
      <c r="A2312" s="134" t="str">
        <f>IFERROR(__xludf.DUMMYFUNCTION("""COMPUTED_VALUE"""),"Edenton")</f>
        <v>Edenton</v>
      </c>
      <c r="B2312" s="120" t="str">
        <f>IFERROR(__xludf.DUMMYFUNCTION("""COMPUTED_VALUE"""),"EDE")</f>
        <v>EDE</v>
      </c>
      <c r="C2312" s="120" t="str">
        <f>IFERROR(__xludf.DUMMYFUNCTION("""COMPUTED_VALUE"""),"Municipal")</f>
        <v>Municipal</v>
      </c>
      <c r="D2312" s="120" t="str">
        <f>IFERROR(__xludf.DUMMYFUNCTION("""COMPUTED_VALUE"""),"United States")</f>
        <v>United States</v>
      </c>
      <c r="E2312" s="135"/>
      <c r="F2312" s="31"/>
    </row>
    <row r="2313">
      <c r="A2313" s="134" t="str">
        <f>IFERROR(__xludf.DUMMYFUNCTION("""COMPUTED_VALUE"""),"Edgewood")</f>
        <v>Edgewood</v>
      </c>
      <c r="B2313" s="120" t="str">
        <f>IFERROR(__xludf.DUMMYFUNCTION("""COMPUTED_VALUE"""),"EDG")</f>
        <v>EDG</v>
      </c>
      <c r="C2313" s="120" t="str">
        <f>IFERROR(__xludf.DUMMYFUNCTION("""COMPUTED_VALUE"""),"Weide AAF")</f>
        <v>Weide AAF</v>
      </c>
      <c r="D2313" s="120" t="str">
        <f>IFERROR(__xludf.DUMMYFUNCTION("""COMPUTED_VALUE"""),"United States")</f>
        <v>United States</v>
      </c>
      <c r="E2313" s="135"/>
      <c r="F2313" s="31"/>
    </row>
    <row r="2314">
      <c r="A2314" s="134" t="str">
        <f>IFERROR(__xludf.DUMMYFUNCTION("""COMPUTED_VALUE"""),"Edinburgh")</f>
        <v>Edinburgh</v>
      </c>
      <c r="B2314" s="120" t="str">
        <f>IFERROR(__xludf.DUMMYFUNCTION("""COMPUTED_VALUE"""),"EDI")</f>
        <v>EDI</v>
      </c>
      <c r="C2314" s="120" t="str">
        <f>IFERROR(__xludf.DUMMYFUNCTION("""COMPUTED_VALUE"""),"Turnhouse")</f>
        <v>Turnhouse</v>
      </c>
      <c r="D2314" s="120" t="str">
        <f>IFERROR(__xludf.DUMMYFUNCTION("""COMPUTED_VALUE"""),"United Kingdom")</f>
        <v>United Kingdom</v>
      </c>
      <c r="E2314" s="135"/>
      <c r="F2314" s="31"/>
    </row>
    <row r="2315">
      <c r="A2315" s="134" t="str">
        <f>IFERROR(__xludf.DUMMYFUNCTION("""COMPUTED_VALUE"""),"Edinburgh")</f>
        <v>Edinburgh</v>
      </c>
      <c r="B2315" s="120" t="str">
        <f>IFERROR(__xludf.DUMMYFUNCTION("""COMPUTED_VALUE"""),"ZXE")</f>
        <v>ZXE</v>
      </c>
      <c r="C2315" s="120" t="str">
        <f>IFERROR(__xludf.DUMMYFUNCTION("""COMPUTED_VALUE"""),"ScotRail")</f>
        <v>ScotRail</v>
      </c>
      <c r="D2315" s="120" t="str">
        <f>IFERROR(__xludf.DUMMYFUNCTION("""COMPUTED_VALUE"""),"United Kingdom")</f>
        <v>United Kingdom</v>
      </c>
      <c r="E2315" s="135"/>
      <c r="F2315" s="31"/>
    </row>
    <row r="2316">
      <c r="A2316" s="134" t="str">
        <f>IFERROR(__xludf.DUMMYFUNCTION("""COMPUTED_VALUE"""),"Edmonton")</f>
        <v>Edmonton</v>
      </c>
      <c r="B2316" s="120" t="str">
        <f>IFERROR(__xludf.DUMMYFUNCTION("""COMPUTED_VALUE"""),"YEG")</f>
        <v>YEG</v>
      </c>
      <c r="C2316" s="120" t="str">
        <f>IFERROR(__xludf.DUMMYFUNCTION("""COMPUTED_VALUE"""),"International")</f>
        <v>International</v>
      </c>
      <c r="D2316" s="120" t="str">
        <f>IFERROR(__xludf.DUMMYFUNCTION("""COMPUTED_VALUE"""),"Canada")</f>
        <v>Canada</v>
      </c>
      <c r="E2316" s="135"/>
      <c r="F2316" s="31"/>
    </row>
    <row r="2317">
      <c r="A2317" s="134" t="str">
        <f>IFERROR(__xludf.DUMMYFUNCTION("""COMPUTED_VALUE"""),"Edmonton")</f>
        <v>Edmonton</v>
      </c>
      <c r="B2317" s="120" t="str">
        <f>IFERROR(__xludf.DUMMYFUNCTION("""COMPUTED_VALUE"""),"YXD")</f>
        <v>YXD</v>
      </c>
      <c r="C2317" s="120" t="str">
        <f>IFERROR(__xludf.DUMMYFUNCTION("""COMPUTED_VALUE"""),"Edmonton City Center")</f>
        <v>Edmonton City Center</v>
      </c>
      <c r="D2317" s="120" t="str">
        <f>IFERROR(__xludf.DUMMYFUNCTION("""COMPUTED_VALUE"""),"Canada")</f>
        <v>Canada</v>
      </c>
      <c r="E2317" s="135"/>
      <c r="F2317" s="31"/>
    </row>
    <row r="2318">
      <c r="A2318" s="134" t="str">
        <f>IFERROR(__xludf.DUMMYFUNCTION("""COMPUTED_VALUE"""),"Edmonton")</f>
        <v>Edmonton</v>
      </c>
      <c r="B2318" s="120" t="str">
        <f>IFERROR(__xludf.DUMMYFUNCTION("""COMPUTED_VALUE"""),"YED")</f>
        <v>YED</v>
      </c>
      <c r="C2318" s="120" t="str">
        <f>IFERROR(__xludf.DUMMYFUNCTION("""COMPUTED_VALUE"""),"Namao Fld")</f>
        <v>Namao Fld</v>
      </c>
      <c r="D2318" s="120" t="str">
        <f>IFERROR(__xludf.DUMMYFUNCTION("""COMPUTED_VALUE"""),"Canada")</f>
        <v>Canada</v>
      </c>
      <c r="E2318" s="135"/>
      <c r="F2318" s="31"/>
    </row>
    <row r="2319">
      <c r="A2319" s="134" t="str">
        <f>IFERROR(__xludf.DUMMYFUNCTION("""COMPUTED_VALUE"""),"Edna Bay")</f>
        <v>Edna Bay</v>
      </c>
      <c r="B2319" s="120" t="str">
        <f>IFERROR(__xludf.DUMMYFUNCTION("""COMPUTED_VALUE"""),"EDA")</f>
        <v>EDA</v>
      </c>
      <c r="C2319" s="120" t="str">
        <f>IFERROR(__xludf.DUMMYFUNCTION("""COMPUTED_VALUE"""),"Edna Bay")</f>
        <v>Edna Bay</v>
      </c>
      <c r="D2319" s="120" t="str">
        <f>IFERROR(__xludf.DUMMYFUNCTION("""COMPUTED_VALUE"""),"United States")</f>
        <v>United States</v>
      </c>
      <c r="E2319" s="135"/>
      <c r="F2319" s="31"/>
    </row>
    <row r="2320">
      <c r="A2320" s="134" t="str">
        <f>IFERROR(__xludf.DUMMYFUNCTION("""COMPUTED_VALUE"""),"Edremit/Korfez")</f>
        <v>Edremit/Korfez</v>
      </c>
      <c r="B2320" s="120" t="str">
        <f>IFERROR(__xludf.DUMMYFUNCTION("""COMPUTED_VALUE"""),"EDO")</f>
        <v>EDO</v>
      </c>
      <c r="C2320" s="120" t="str">
        <f>IFERROR(__xludf.DUMMYFUNCTION("""COMPUTED_VALUE"""),"Edremit/Korfez")</f>
        <v>Edremit/Korfez</v>
      </c>
      <c r="D2320" s="120" t="str">
        <f>IFERROR(__xludf.DUMMYFUNCTION("""COMPUTED_VALUE"""),"Turkey")</f>
        <v>Turkey</v>
      </c>
      <c r="E2320" s="135"/>
      <c r="F2320" s="31"/>
    </row>
    <row r="2321">
      <c r="A2321" s="134" t="str">
        <f>IFERROR(__xludf.DUMMYFUNCTION("""COMPUTED_VALUE"""),"Edson")</f>
        <v>Edson</v>
      </c>
      <c r="B2321" s="120" t="str">
        <f>IFERROR(__xludf.DUMMYFUNCTION("""COMPUTED_VALUE"""),"YET")</f>
        <v>YET</v>
      </c>
      <c r="C2321" s="120" t="str">
        <f>IFERROR(__xludf.DUMMYFUNCTION("""COMPUTED_VALUE"""),"Edson")</f>
        <v>Edson</v>
      </c>
      <c r="D2321" s="120" t="str">
        <f>IFERROR(__xludf.DUMMYFUNCTION("""COMPUTED_VALUE"""),"Canada")</f>
        <v>Canada</v>
      </c>
      <c r="E2321" s="135"/>
      <c r="F2321" s="31"/>
    </row>
    <row r="2322">
      <c r="A2322" s="134" t="str">
        <f>IFERROR(__xludf.DUMMYFUNCTION("""COMPUTED_VALUE"""),"Edward River")</f>
        <v>Edward River</v>
      </c>
      <c r="B2322" s="120" t="str">
        <f>IFERROR(__xludf.DUMMYFUNCTION("""COMPUTED_VALUE"""),"EDR")</f>
        <v>EDR</v>
      </c>
      <c r="C2322" s="120" t="str">
        <f>IFERROR(__xludf.DUMMYFUNCTION("""COMPUTED_VALUE"""),"Edward River")</f>
        <v>Edward River</v>
      </c>
      <c r="D2322" s="120" t="str">
        <f>IFERROR(__xludf.DUMMYFUNCTION("""COMPUTED_VALUE"""),"Australia")</f>
        <v>Australia</v>
      </c>
      <c r="E2322" s="135"/>
      <c r="F2322" s="31"/>
    </row>
    <row r="2323">
      <c r="A2323" s="134" t="str">
        <f>IFERROR(__xludf.DUMMYFUNCTION("""COMPUTED_VALUE"""),"Edwards AFB")</f>
        <v>Edwards AFB</v>
      </c>
      <c r="B2323" s="120" t="str">
        <f>IFERROR(__xludf.DUMMYFUNCTION("""COMPUTED_VALUE"""),"EDW")</f>
        <v>EDW</v>
      </c>
      <c r="C2323" s="120" t="str">
        <f>IFERROR(__xludf.DUMMYFUNCTION("""COMPUTED_VALUE"""),"Edwards AFB")</f>
        <v>Edwards AFB</v>
      </c>
      <c r="D2323" s="120" t="str">
        <f>IFERROR(__xludf.DUMMYFUNCTION("""COMPUTED_VALUE"""),"United States")</f>
        <v>United States</v>
      </c>
      <c r="E2323" s="135"/>
      <c r="F2323" s="31"/>
    </row>
    <row r="2324">
      <c r="A2324" s="134" t="str">
        <f>IFERROR(__xludf.DUMMYFUNCTION("""COMPUTED_VALUE"""),"Eek")</f>
        <v>Eek</v>
      </c>
      <c r="B2324" s="120" t="str">
        <f>IFERROR(__xludf.DUMMYFUNCTION("""COMPUTED_VALUE"""),"EEK")</f>
        <v>EEK</v>
      </c>
      <c r="C2324" s="120" t="str">
        <f>IFERROR(__xludf.DUMMYFUNCTION("""COMPUTED_VALUE"""),"Eek")</f>
        <v>Eek</v>
      </c>
      <c r="D2324" s="120" t="str">
        <f>IFERROR(__xludf.DUMMYFUNCTION("""COMPUTED_VALUE"""),"United States")</f>
        <v>United States</v>
      </c>
      <c r="E2324" s="135"/>
      <c r="F2324" s="31"/>
    </row>
    <row r="2325">
      <c r="A2325" s="134" t="str">
        <f>IFERROR(__xludf.DUMMYFUNCTION("""COMPUTED_VALUE"""),"Efogi")</f>
        <v>Efogi</v>
      </c>
      <c r="B2325" s="120" t="str">
        <f>IFERROR(__xludf.DUMMYFUNCTION("""COMPUTED_VALUE"""),"EFG")</f>
        <v>EFG</v>
      </c>
      <c r="C2325" s="120" t="str">
        <f>IFERROR(__xludf.DUMMYFUNCTION("""COMPUTED_VALUE"""),"Efogi")</f>
        <v>Efogi</v>
      </c>
      <c r="D2325" s="120" t="str">
        <f>IFERROR(__xludf.DUMMYFUNCTION("""COMPUTED_VALUE"""),"Papua New Guinea")</f>
        <v>Papua New Guinea</v>
      </c>
      <c r="E2325" s="135"/>
      <c r="F2325" s="31"/>
    </row>
    <row r="2326">
      <c r="A2326" s="134" t="str">
        <f>IFERROR(__xludf.DUMMYFUNCTION("""COMPUTED_VALUE"""),"Egegik")</f>
        <v>Egegik</v>
      </c>
      <c r="B2326" s="120" t="str">
        <f>IFERROR(__xludf.DUMMYFUNCTION("""COMPUTED_VALUE"""),"EGX")</f>
        <v>EGX</v>
      </c>
      <c r="C2326" s="120" t="str">
        <f>IFERROR(__xludf.DUMMYFUNCTION("""COMPUTED_VALUE"""),"Egegik")</f>
        <v>Egegik</v>
      </c>
      <c r="D2326" s="120" t="str">
        <f>IFERROR(__xludf.DUMMYFUNCTION("""COMPUTED_VALUE"""),"United States")</f>
        <v>United States</v>
      </c>
      <c r="E2326" s="135"/>
      <c r="F2326" s="31"/>
    </row>
    <row r="2327">
      <c r="A2327" s="134" t="str">
        <f>IFERROR(__xludf.DUMMYFUNCTION("""COMPUTED_VALUE"""),"Egilsstadir")</f>
        <v>Egilsstadir</v>
      </c>
      <c r="B2327" s="120" t="str">
        <f>IFERROR(__xludf.DUMMYFUNCTION("""COMPUTED_VALUE"""),"EGS")</f>
        <v>EGS</v>
      </c>
      <c r="C2327" s="120" t="str">
        <f>IFERROR(__xludf.DUMMYFUNCTION("""COMPUTED_VALUE"""),"Egilsstadir")</f>
        <v>Egilsstadir</v>
      </c>
      <c r="D2327" s="120" t="str">
        <f>IFERROR(__xludf.DUMMYFUNCTION("""COMPUTED_VALUE"""),"Iceland")</f>
        <v>Iceland</v>
      </c>
      <c r="E2327" s="135"/>
      <c r="F2327" s="31"/>
    </row>
    <row r="2328">
      <c r="A2328" s="134" t="str">
        <f>IFERROR(__xludf.DUMMYFUNCTION("""COMPUTED_VALUE"""),"Eia")</f>
        <v>Eia</v>
      </c>
      <c r="B2328" s="120" t="str">
        <f>IFERROR(__xludf.DUMMYFUNCTION("""COMPUTED_VALUE"""),"EIA")</f>
        <v>EIA</v>
      </c>
      <c r="C2328" s="120" t="str">
        <f>IFERROR(__xludf.DUMMYFUNCTION("""COMPUTED_VALUE"""),"Popondetta")</f>
        <v>Popondetta</v>
      </c>
      <c r="D2328" s="120" t="str">
        <f>IFERROR(__xludf.DUMMYFUNCTION("""COMPUTED_VALUE"""),"Papua New Guinea")</f>
        <v>Papua New Guinea</v>
      </c>
      <c r="E2328" s="135"/>
      <c r="F2328" s="31"/>
    </row>
    <row r="2329">
      <c r="A2329" s="134" t="str">
        <f>IFERROR(__xludf.DUMMYFUNCTION("""COMPUTED_VALUE"""),"Eight Fathom Bight")</f>
        <v>Eight Fathom Bight</v>
      </c>
      <c r="B2329" s="120" t="str">
        <f>IFERROR(__xludf.DUMMYFUNCTION("""COMPUTED_VALUE"""),"EFB")</f>
        <v>EFB</v>
      </c>
      <c r="C2329" s="120" t="str">
        <f>IFERROR(__xludf.DUMMYFUNCTION("""COMPUTED_VALUE"""),"Eight Fathom Bight")</f>
        <v>Eight Fathom Bight</v>
      </c>
      <c r="D2329" s="120" t="str">
        <f>IFERROR(__xludf.DUMMYFUNCTION("""COMPUTED_VALUE"""),"United States")</f>
        <v>United States</v>
      </c>
      <c r="E2329" s="135"/>
      <c r="F2329" s="31"/>
    </row>
    <row r="2330">
      <c r="A2330" s="134" t="str">
        <f>IFERROR(__xludf.DUMMYFUNCTION("""COMPUTED_VALUE"""),"Eil")</f>
        <v>Eil</v>
      </c>
      <c r="B2330" s="120" t="str">
        <f>IFERROR(__xludf.DUMMYFUNCTION("""COMPUTED_VALUE"""),"HCM")</f>
        <v>HCM</v>
      </c>
      <c r="C2330" s="120" t="str">
        <f>IFERROR(__xludf.DUMMYFUNCTION("""COMPUTED_VALUE"""),"Eil")</f>
        <v>Eil</v>
      </c>
      <c r="D2330" s="120" t="str">
        <f>IFERROR(__xludf.DUMMYFUNCTION("""COMPUTED_VALUE"""),"Somalia")</f>
        <v>Somalia</v>
      </c>
      <c r="E2330" s="135"/>
      <c r="F2330" s="31"/>
    </row>
    <row r="2331">
      <c r="A2331" s="134" t="str">
        <f>IFERROR(__xludf.DUMMYFUNCTION("""COMPUTED_VALUE"""),"Ein Yahav")</f>
        <v>Ein Yahav</v>
      </c>
      <c r="B2331" s="120" t="str">
        <f>IFERROR(__xludf.DUMMYFUNCTION("""COMPUTED_VALUE"""),"EIY")</f>
        <v>EIY</v>
      </c>
      <c r="C2331" s="120" t="str">
        <f>IFERROR(__xludf.DUMMYFUNCTION("""COMPUTED_VALUE"""),"Ein Yahav")</f>
        <v>Ein Yahav</v>
      </c>
      <c r="D2331" s="120" t="str">
        <f>IFERROR(__xludf.DUMMYFUNCTION("""COMPUTED_VALUE"""),"Israel")</f>
        <v>Israel</v>
      </c>
      <c r="E2331" s="135"/>
      <c r="F2331" s="31"/>
    </row>
    <row r="2332">
      <c r="A2332" s="134" t="str">
        <f>IFERROR(__xludf.DUMMYFUNCTION("""COMPUTED_VALUE"""),"Einasleigh")</f>
        <v>Einasleigh</v>
      </c>
      <c r="B2332" s="120" t="str">
        <f>IFERROR(__xludf.DUMMYFUNCTION("""COMPUTED_VALUE"""),"EIH")</f>
        <v>EIH</v>
      </c>
      <c r="C2332" s="120" t="str">
        <f>IFERROR(__xludf.DUMMYFUNCTION("""COMPUTED_VALUE"""),"Einasleigh")</f>
        <v>Einasleigh</v>
      </c>
      <c r="D2332" s="120" t="str">
        <f>IFERROR(__xludf.DUMMYFUNCTION("""COMPUTED_VALUE"""),"Australia")</f>
        <v>Australia</v>
      </c>
      <c r="E2332" s="135"/>
      <c r="F2332" s="31"/>
    </row>
    <row r="2333">
      <c r="A2333" s="134" t="str">
        <f>IFERROR(__xludf.DUMMYFUNCTION("""COMPUTED_VALUE"""),"Eindhoven")</f>
        <v>Eindhoven</v>
      </c>
      <c r="B2333" s="120" t="str">
        <f>IFERROR(__xludf.DUMMYFUNCTION("""COMPUTED_VALUE"""),"EIN")</f>
        <v>EIN</v>
      </c>
      <c r="C2333" s="120" t="str">
        <f>IFERROR(__xludf.DUMMYFUNCTION("""COMPUTED_VALUE"""),"Eindhoven")</f>
        <v>Eindhoven</v>
      </c>
      <c r="D2333" s="120" t="str">
        <f>IFERROR(__xludf.DUMMYFUNCTION("""COMPUTED_VALUE"""),"Netherlands")</f>
        <v>Netherlands</v>
      </c>
      <c r="E2333" s="135"/>
      <c r="F2333" s="31"/>
    </row>
    <row r="2334">
      <c r="A2334" s="134" t="str">
        <f>IFERROR(__xludf.DUMMYFUNCTION("""COMPUTED_VALUE"""),"Eirunepe")</f>
        <v>Eirunepe</v>
      </c>
      <c r="B2334" s="120" t="str">
        <f>IFERROR(__xludf.DUMMYFUNCTION("""COMPUTED_VALUE"""),"ERN")</f>
        <v>ERN</v>
      </c>
      <c r="C2334" s="120" t="str">
        <f>IFERROR(__xludf.DUMMYFUNCTION("""COMPUTED_VALUE"""),"Eirunepe")</f>
        <v>Eirunepe</v>
      </c>
      <c r="D2334" s="120" t="str">
        <f>IFERROR(__xludf.DUMMYFUNCTION("""COMPUTED_VALUE"""),"Brazil")</f>
        <v>Brazil</v>
      </c>
      <c r="E2334" s="135"/>
      <c r="F2334" s="31"/>
    </row>
    <row r="2335">
      <c r="A2335" s="134" t="str">
        <f>IFERROR(__xludf.DUMMYFUNCTION("""COMPUTED_VALUE"""),"Eisenach")</f>
        <v>Eisenach</v>
      </c>
      <c r="B2335" s="120" t="str">
        <f>IFERROR(__xludf.DUMMYFUNCTION("""COMPUTED_VALUE"""),"EIB")</f>
        <v>EIB</v>
      </c>
      <c r="C2335" s="120" t="str">
        <f>IFERROR(__xludf.DUMMYFUNCTION("""COMPUTED_VALUE"""),"Eisenach")</f>
        <v>Eisenach</v>
      </c>
      <c r="D2335" s="120" t="str">
        <f>IFERROR(__xludf.DUMMYFUNCTION("""COMPUTED_VALUE"""),"Germany")</f>
        <v>Germany</v>
      </c>
      <c r="E2335" s="135"/>
      <c r="F2335" s="31"/>
    </row>
    <row r="2336">
      <c r="A2336" s="134" t="str">
        <f>IFERROR(__xludf.DUMMYFUNCTION("""COMPUTED_VALUE"""),"Ekaterinburg")</f>
        <v>Ekaterinburg</v>
      </c>
      <c r="B2336" s="120" t="str">
        <f>IFERROR(__xludf.DUMMYFUNCTION("""COMPUTED_VALUE"""),"SVX")</f>
        <v>SVX</v>
      </c>
      <c r="C2336" s="120" t="str">
        <f>IFERROR(__xludf.DUMMYFUNCTION("""COMPUTED_VALUE"""),"Ekaterinburg")</f>
        <v>Ekaterinburg</v>
      </c>
      <c r="D2336" s="120" t="str">
        <f>IFERROR(__xludf.DUMMYFUNCTION("""COMPUTED_VALUE"""),"Russia")</f>
        <v>Russia</v>
      </c>
      <c r="E2336" s="135"/>
      <c r="F2336" s="31"/>
    </row>
    <row r="2337">
      <c r="A2337" s="134" t="str">
        <f>IFERROR(__xludf.DUMMYFUNCTION("""COMPUTED_VALUE"""),"Ekati")</f>
        <v>Ekati</v>
      </c>
      <c r="B2337" s="120" t="str">
        <f>IFERROR(__xludf.DUMMYFUNCTION("""COMPUTED_VALUE"""),"YOA")</f>
        <v>YOA</v>
      </c>
      <c r="C2337" s="120" t="str">
        <f>IFERROR(__xludf.DUMMYFUNCTION("""COMPUTED_VALUE"""),"Ekati")</f>
        <v>Ekati</v>
      </c>
      <c r="D2337" s="120" t="str">
        <f>IFERROR(__xludf.DUMMYFUNCTION("""COMPUTED_VALUE"""),"Canada")</f>
        <v>Canada</v>
      </c>
      <c r="E2337" s="135"/>
      <c r="F2337" s="31"/>
    </row>
    <row r="2338">
      <c r="A2338" s="134" t="str">
        <f>IFERROR(__xludf.DUMMYFUNCTION("""COMPUTED_VALUE"""),"Ekereku")</f>
        <v>Ekereku</v>
      </c>
      <c r="B2338" s="120" t="str">
        <f>IFERROR(__xludf.DUMMYFUNCTION("""COMPUTED_VALUE"""),"EKE")</f>
        <v>EKE</v>
      </c>
      <c r="C2338" s="120" t="str">
        <f>IFERROR(__xludf.DUMMYFUNCTION("""COMPUTED_VALUE"""),"Ekereku")</f>
        <v>Ekereku</v>
      </c>
      <c r="D2338" s="120" t="str">
        <f>IFERROR(__xludf.DUMMYFUNCTION("""COMPUTED_VALUE"""),"Guyana")</f>
        <v>Guyana</v>
      </c>
      <c r="E2338" s="135"/>
      <c r="F2338" s="31"/>
    </row>
    <row r="2339">
      <c r="A2339" s="134" t="str">
        <f>IFERROR(__xludf.DUMMYFUNCTION("""COMPUTED_VALUE"""),"Ekibastuz")</f>
        <v>Ekibastuz</v>
      </c>
      <c r="B2339" s="120" t="str">
        <f>IFERROR(__xludf.DUMMYFUNCTION("""COMPUTED_VALUE"""),"EKB")</f>
        <v>EKB</v>
      </c>
      <c r="C2339" s="120" t="str">
        <f>IFERROR(__xludf.DUMMYFUNCTION("""COMPUTED_VALUE"""),"Ekibastuz")</f>
        <v>Ekibastuz</v>
      </c>
      <c r="D2339" s="120" t="str">
        <f>IFERROR(__xludf.DUMMYFUNCTION("""COMPUTED_VALUE"""),"Kazakhstan")</f>
        <v>Kazakhstan</v>
      </c>
      <c r="E2339" s="135"/>
      <c r="F2339" s="31"/>
    </row>
    <row r="2340">
      <c r="A2340" s="134" t="str">
        <f>IFERROR(__xludf.DUMMYFUNCTION("""COMPUTED_VALUE"""),"Ekuk")</f>
        <v>Ekuk</v>
      </c>
      <c r="B2340" s="120" t="str">
        <f>IFERROR(__xludf.DUMMYFUNCTION("""COMPUTED_VALUE"""),"KKU")</f>
        <v>KKU</v>
      </c>
      <c r="C2340" s="120" t="str">
        <f>IFERROR(__xludf.DUMMYFUNCTION("""COMPUTED_VALUE"""),"Ekuk")</f>
        <v>Ekuk</v>
      </c>
      <c r="D2340" s="120" t="str">
        <f>IFERROR(__xludf.DUMMYFUNCTION("""COMPUTED_VALUE"""),"United States")</f>
        <v>United States</v>
      </c>
      <c r="E2340" s="135"/>
      <c r="F2340" s="31"/>
    </row>
    <row r="2341">
      <c r="A2341" s="134" t="str">
        <f>IFERROR(__xludf.DUMMYFUNCTION("""COMPUTED_VALUE"""),"Ekwok")</f>
        <v>Ekwok</v>
      </c>
      <c r="B2341" s="120" t="str">
        <f>IFERROR(__xludf.DUMMYFUNCTION("""COMPUTED_VALUE"""),"KEK")</f>
        <v>KEK</v>
      </c>
      <c r="C2341" s="120" t="str">
        <f>IFERROR(__xludf.DUMMYFUNCTION("""COMPUTED_VALUE"""),"Ekwok")</f>
        <v>Ekwok</v>
      </c>
      <c r="D2341" s="120" t="str">
        <f>IFERROR(__xludf.DUMMYFUNCTION("""COMPUTED_VALUE"""),"United States")</f>
        <v>United States</v>
      </c>
      <c r="E2341" s="135"/>
      <c r="F2341" s="31"/>
    </row>
    <row r="2342">
      <c r="A2342" s="134" t="str">
        <f>IFERROR(__xludf.DUMMYFUNCTION("""COMPUTED_VALUE"""),"El Bagre")</f>
        <v>El Bagre</v>
      </c>
      <c r="B2342" s="120" t="str">
        <f>IFERROR(__xludf.DUMMYFUNCTION("""COMPUTED_VALUE"""),"EBG")</f>
        <v>EBG</v>
      </c>
      <c r="C2342" s="120" t="str">
        <f>IFERROR(__xludf.DUMMYFUNCTION("""COMPUTED_VALUE"""),"El Bagre")</f>
        <v>El Bagre</v>
      </c>
      <c r="D2342" s="120" t="str">
        <f>IFERROR(__xludf.DUMMYFUNCTION("""COMPUTED_VALUE"""),"Colombia")</f>
        <v>Colombia</v>
      </c>
      <c r="E2342" s="135"/>
      <c r="F2342" s="31"/>
    </row>
    <row r="2343">
      <c r="A2343" s="134" t="str">
        <f>IFERROR(__xludf.DUMMYFUNCTION("""COMPUTED_VALUE"""),"El Banco")</f>
        <v>El Banco</v>
      </c>
      <c r="B2343" s="120" t="str">
        <f>IFERROR(__xludf.DUMMYFUNCTION("""COMPUTED_VALUE"""),"ELB")</f>
        <v>ELB</v>
      </c>
      <c r="C2343" s="120" t="str">
        <f>IFERROR(__xludf.DUMMYFUNCTION("""COMPUTED_VALUE"""),"San Bernado")</f>
        <v>San Bernado</v>
      </c>
      <c r="D2343" s="120" t="str">
        <f>IFERROR(__xludf.DUMMYFUNCTION("""COMPUTED_VALUE"""),"Colombia")</f>
        <v>Colombia</v>
      </c>
      <c r="E2343" s="135"/>
      <c r="F2343" s="31"/>
    </row>
    <row r="2344">
      <c r="A2344" s="134" t="str">
        <f>IFERROR(__xludf.DUMMYFUNCTION("""COMPUTED_VALUE"""),"El Bolson")</f>
        <v>El Bolson</v>
      </c>
      <c r="B2344" s="120" t="str">
        <f>IFERROR(__xludf.DUMMYFUNCTION("""COMPUTED_VALUE"""),"EHL")</f>
        <v>EHL</v>
      </c>
      <c r="C2344" s="120" t="str">
        <f>IFERROR(__xludf.DUMMYFUNCTION("""COMPUTED_VALUE"""),"El Bolson")</f>
        <v>El Bolson</v>
      </c>
      <c r="D2344" s="120" t="str">
        <f>IFERROR(__xludf.DUMMYFUNCTION("""COMPUTED_VALUE"""),"Argentina")</f>
        <v>Argentina</v>
      </c>
      <c r="E2344" s="135"/>
      <c r="F2344" s="31"/>
    </row>
    <row r="2345">
      <c r="A2345" s="134" t="str">
        <f>IFERROR(__xludf.DUMMYFUNCTION("""COMPUTED_VALUE"""),"El Borma")</f>
        <v>El Borma</v>
      </c>
      <c r="B2345" s="120" t="str">
        <f>IFERROR(__xludf.DUMMYFUNCTION("""COMPUTED_VALUE"""),"EBM")</f>
        <v>EBM</v>
      </c>
      <c r="C2345" s="120" t="str">
        <f>IFERROR(__xludf.DUMMYFUNCTION("""COMPUTED_VALUE"""),"El Borma")</f>
        <v>El Borma</v>
      </c>
      <c r="D2345" s="120" t="str">
        <f>IFERROR(__xludf.DUMMYFUNCTION("""COMPUTED_VALUE"""),"Tunisia")</f>
        <v>Tunisia</v>
      </c>
      <c r="E2345" s="135"/>
      <c r="F2345" s="31"/>
    </row>
    <row r="2346">
      <c r="A2346" s="134" t="str">
        <f>IFERROR(__xludf.DUMMYFUNCTION("""COMPUTED_VALUE"""),"El Cajon")</f>
        <v>El Cajon</v>
      </c>
      <c r="B2346" s="120" t="str">
        <f>IFERROR(__xludf.DUMMYFUNCTION("""COMPUTED_VALUE"""),"CJN")</f>
        <v>CJN</v>
      </c>
      <c r="C2346" s="120" t="str">
        <f>IFERROR(__xludf.DUMMYFUNCTION("""COMPUTED_VALUE"""),"El Cajon")</f>
        <v>El Cajon</v>
      </c>
      <c r="D2346" s="120" t="str">
        <f>IFERROR(__xludf.DUMMYFUNCTION("""COMPUTED_VALUE"""),"United States")</f>
        <v>United States</v>
      </c>
      <c r="E2346" s="135"/>
      <c r="F2346" s="31"/>
    </row>
    <row r="2347">
      <c r="A2347" s="134" t="str">
        <f>IFERROR(__xludf.DUMMYFUNCTION("""COMPUTED_VALUE"""),"El Calafate")</f>
        <v>El Calafate</v>
      </c>
      <c r="B2347" s="120" t="str">
        <f>IFERROR(__xludf.DUMMYFUNCTION("""COMPUTED_VALUE"""),"FTE")</f>
        <v>FTE</v>
      </c>
      <c r="C2347" s="120" t="str">
        <f>IFERROR(__xludf.DUMMYFUNCTION("""COMPUTED_VALUE"""),"El Calafate")</f>
        <v>El Calafate</v>
      </c>
      <c r="D2347" s="120" t="str">
        <f>IFERROR(__xludf.DUMMYFUNCTION("""COMPUTED_VALUE"""),"Argentina")</f>
        <v>Argentina</v>
      </c>
      <c r="E2347" s="135"/>
      <c r="F2347" s="31"/>
    </row>
    <row r="2348">
      <c r="A2348" s="134" t="str">
        <f>IFERROR(__xludf.DUMMYFUNCTION("""COMPUTED_VALUE"""),"El Centro")</f>
        <v>El Centro</v>
      </c>
      <c r="B2348" s="120" t="str">
        <f>IFERROR(__xludf.DUMMYFUNCTION("""COMPUTED_VALUE"""),"NJK")</f>
        <v>NJK</v>
      </c>
      <c r="C2348" s="120" t="str">
        <f>IFERROR(__xludf.DUMMYFUNCTION("""COMPUTED_VALUE"""),"NAF")</f>
        <v>NAF</v>
      </c>
      <c r="D2348" s="120" t="str">
        <f>IFERROR(__xludf.DUMMYFUNCTION("""COMPUTED_VALUE"""),"United States")</f>
        <v>United States</v>
      </c>
      <c r="E2348" s="135"/>
      <c r="F2348" s="31"/>
    </row>
    <row r="2349">
      <c r="A2349" s="134" t="str">
        <f>IFERROR(__xludf.DUMMYFUNCTION("""COMPUTED_VALUE"""),"El Charco")</f>
        <v>El Charco</v>
      </c>
      <c r="B2349" s="120" t="str">
        <f>IFERROR(__xludf.DUMMYFUNCTION("""COMPUTED_VALUE"""),"ECR")</f>
        <v>ECR</v>
      </c>
      <c r="C2349" s="120" t="str">
        <f>IFERROR(__xludf.DUMMYFUNCTION("""COMPUTED_VALUE"""),"El Charco")</f>
        <v>El Charco</v>
      </c>
      <c r="D2349" s="120" t="str">
        <f>IFERROR(__xludf.DUMMYFUNCTION("""COMPUTED_VALUE"""),"Colombia")</f>
        <v>Colombia</v>
      </c>
      <c r="E2349" s="135"/>
      <c r="F2349" s="31"/>
    </row>
    <row r="2350">
      <c r="A2350" s="134" t="str">
        <f>IFERROR(__xludf.DUMMYFUNCTION("""COMPUTED_VALUE"""),"El Dorado")</f>
        <v>El Dorado</v>
      </c>
      <c r="B2350" s="120" t="str">
        <f>IFERROR(__xludf.DUMMYFUNCTION("""COMPUTED_VALUE"""),"ELD")</f>
        <v>ELD</v>
      </c>
      <c r="C2350" s="120" t="str">
        <f>IFERROR(__xludf.DUMMYFUNCTION("""COMPUTED_VALUE"""),"Goodwin Field")</f>
        <v>Goodwin Field</v>
      </c>
      <c r="D2350" s="120" t="str">
        <f>IFERROR(__xludf.DUMMYFUNCTION("""COMPUTED_VALUE"""),"United States")</f>
        <v>United States</v>
      </c>
      <c r="E2350" s="135"/>
      <c r="F2350" s="31"/>
    </row>
    <row r="2351">
      <c r="A2351" s="134" t="str">
        <f>IFERROR(__xludf.DUMMYFUNCTION("""COMPUTED_VALUE"""),"El Dorado")</f>
        <v>El Dorado</v>
      </c>
      <c r="B2351" s="120" t="str">
        <f>IFERROR(__xludf.DUMMYFUNCTION("""COMPUTED_VALUE"""),"EDK")</f>
        <v>EDK</v>
      </c>
      <c r="C2351" s="120" t="str">
        <f>IFERROR(__xludf.DUMMYFUNCTION("""COMPUTED_VALUE"""),"El Dorado")</f>
        <v>El Dorado</v>
      </c>
      <c r="D2351" s="120" t="str">
        <f>IFERROR(__xludf.DUMMYFUNCTION("""COMPUTED_VALUE"""),"United States")</f>
        <v>United States</v>
      </c>
      <c r="E2351" s="135"/>
      <c r="F2351" s="31"/>
    </row>
    <row r="2352">
      <c r="A2352" s="134" t="str">
        <f>IFERROR(__xludf.DUMMYFUNCTION("""COMPUTED_VALUE"""),"El Dorado")</f>
        <v>El Dorado</v>
      </c>
      <c r="B2352" s="120" t="str">
        <f>IFERROR(__xludf.DUMMYFUNCTION("""COMPUTED_VALUE"""),"EOR")</f>
        <v>EOR</v>
      </c>
      <c r="C2352" s="120" t="str">
        <f>IFERROR(__xludf.DUMMYFUNCTION("""COMPUTED_VALUE"""),"El Dorado")</f>
        <v>El Dorado</v>
      </c>
      <c r="D2352" s="120" t="str">
        <f>IFERROR(__xludf.DUMMYFUNCTION("""COMPUTED_VALUE"""),"Venezuela")</f>
        <v>Venezuela</v>
      </c>
      <c r="E2352" s="135"/>
      <c r="F2352" s="31"/>
    </row>
    <row r="2353">
      <c r="A2353" s="134" t="str">
        <f>IFERROR(__xludf.DUMMYFUNCTION("""COMPUTED_VALUE"""),"El Encanto")</f>
        <v>El Encanto</v>
      </c>
      <c r="B2353" s="120" t="str">
        <f>IFERROR(__xludf.DUMMYFUNCTION("""COMPUTED_VALUE"""),"ECO")</f>
        <v>ECO</v>
      </c>
      <c r="C2353" s="120" t="str">
        <f>IFERROR(__xludf.DUMMYFUNCTION("""COMPUTED_VALUE"""),"El Encanto")</f>
        <v>El Encanto</v>
      </c>
      <c r="D2353" s="120" t="str">
        <f>IFERROR(__xludf.DUMMYFUNCTION("""COMPUTED_VALUE"""),"Colombia")</f>
        <v>Colombia</v>
      </c>
      <c r="E2353" s="135"/>
      <c r="F2353" s="31"/>
    </row>
    <row r="2354">
      <c r="A2354" s="134" t="str">
        <f>IFERROR(__xludf.DUMMYFUNCTION("""COMPUTED_VALUE"""),"El Fasher")</f>
        <v>El Fasher</v>
      </c>
      <c r="B2354" s="120" t="str">
        <f>IFERROR(__xludf.DUMMYFUNCTION("""COMPUTED_VALUE"""),"ELF")</f>
        <v>ELF</v>
      </c>
      <c r="C2354" s="120" t="str">
        <f>IFERROR(__xludf.DUMMYFUNCTION("""COMPUTED_VALUE"""),"El Fasher")</f>
        <v>El Fasher</v>
      </c>
      <c r="D2354" s="120" t="str">
        <f>IFERROR(__xludf.DUMMYFUNCTION("""COMPUTED_VALUE"""),"Sudan")</f>
        <v>Sudan</v>
      </c>
      <c r="E2354" s="135"/>
      <c r="F2354" s="31"/>
    </row>
    <row r="2355">
      <c r="A2355" s="134" t="str">
        <f>IFERROR(__xludf.DUMMYFUNCTION("""COMPUTED_VALUE"""),"El Golea")</f>
        <v>El Golea</v>
      </c>
      <c r="B2355" s="120" t="str">
        <f>IFERROR(__xludf.DUMMYFUNCTION("""COMPUTED_VALUE"""),"ELG")</f>
        <v>ELG</v>
      </c>
      <c r="C2355" s="120" t="str">
        <f>IFERROR(__xludf.DUMMYFUNCTION("""COMPUTED_VALUE"""),"El Golea")</f>
        <v>El Golea</v>
      </c>
      <c r="D2355" s="120" t="str">
        <f>IFERROR(__xludf.DUMMYFUNCTION("""COMPUTED_VALUE"""),"Algeria")</f>
        <v>Algeria</v>
      </c>
      <c r="E2355" s="135"/>
      <c r="F2355" s="31"/>
    </row>
    <row r="2356">
      <c r="A2356" s="134" t="str">
        <f>IFERROR(__xludf.DUMMYFUNCTION("""COMPUTED_VALUE"""),"El Gouera")</f>
        <v>El Gouera</v>
      </c>
      <c r="B2356" s="120" t="str">
        <f>IFERROR(__xludf.DUMMYFUNCTION("""COMPUTED_VALUE"""),"ZLG")</f>
        <v>ZLG</v>
      </c>
      <c r="C2356" s="120" t="str">
        <f>IFERROR(__xludf.DUMMYFUNCTION("""COMPUTED_VALUE"""),"El Gouera")</f>
        <v>El Gouera</v>
      </c>
      <c r="D2356" s="120" t="str">
        <f>IFERROR(__xludf.DUMMYFUNCTION("""COMPUTED_VALUE"""),"Mauritania")</f>
        <v>Mauritania</v>
      </c>
      <c r="E2356" s="135"/>
      <c r="F2356" s="31"/>
    </row>
    <row r="2357">
      <c r="A2357" s="134" t="str">
        <f>IFERROR(__xludf.DUMMYFUNCTION("""COMPUTED_VALUE"""),"El Maiten")</f>
        <v>El Maiten</v>
      </c>
      <c r="B2357" s="120" t="str">
        <f>IFERROR(__xludf.DUMMYFUNCTION("""COMPUTED_VALUE"""),"EMX")</f>
        <v>EMX</v>
      </c>
      <c r="C2357" s="120" t="str">
        <f>IFERROR(__xludf.DUMMYFUNCTION("""COMPUTED_VALUE"""),"El Maiten")</f>
        <v>El Maiten</v>
      </c>
      <c r="D2357" s="120" t="str">
        <f>IFERROR(__xludf.DUMMYFUNCTION("""COMPUTED_VALUE"""),"Argentina")</f>
        <v>Argentina</v>
      </c>
      <c r="E2357" s="135"/>
      <c r="F2357" s="31"/>
    </row>
    <row r="2358">
      <c r="A2358" s="134" t="str">
        <f>IFERROR(__xludf.DUMMYFUNCTION("""COMPUTED_VALUE"""),"El Minya")</f>
        <v>El Minya</v>
      </c>
      <c r="B2358" s="120" t="str">
        <f>IFERROR(__xludf.DUMMYFUNCTION("""COMPUTED_VALUE"""),"EMY")</f>
        <v>EMY</v>
      </c>
      <c r="C2358" s="120" t="str">
        <f>IFERROR(__xludf.DUMMYFUNCTION("""COMPUTED_VALUE"""),"El Minya")</f>
        <v>El Minya</v>
      </c>
      <c r="D2358" s="120" t="str">
        <f>IFERROR(__xludf.DUMMYFUNCTION("""COMPUTED_VALUE"""),"Egypt")</f>
        <v>Egypt</v>
      </c>
      <c r="E2358" s="135"/>
      <c r="F2358" s="31"/>
    </row>
    <row r="2359">
      <c r="A2359" s="134" t="str">
        <f>IFERROR(__xludf.DUMMYFUNCTION("""COMPUTED_VALUE"""),"El Monte")</f>
        <v>El Monte</v>
      </c>
      <c r="B2359" s="120" t="str">
        <f>IFERROR(__xludf.DUMMYFUNCTION("""COMPUTED_VALUE"""),"EMT")</f>
        <v>EMT</v>
      </c>
      <c r="C2359" s="120" t="str">
        <f>IFERROR(__xludf.DUMMYFUNCTION("""COMPUTED_VALUE"""),"El Monte")</f>
        <v>El Monte</v>
      </c>
      <c r="D2359" s="120" t="str">
        <f>IFERROR(__xludf.DUMMYFUNCTION("""COMPUTED_VALUE"""),"United States")</f>
        <v>United States</v>
      </c>
      <c r="E2359" s="135"/>
      <c r="F2359" s="31"/>
    </row>
    <row r="2360">
      <c r="A2360" s="134" t="str">
        <f>IFERROR(__xludf.DUMMYFUNCTION("""COMPUTED_VALUE"""),"El Naranjo")</f>
        <v>El Naranjo</v>
      </c>
      <c r="B2360" s="120" t="str">
        <f>IFERROR(__xludf.DUMMYFUNCTION("""COMPUTED_VALUE"""),"ENJ")</f>
        <v>ENJ</v>
      </c>
      <c r="C2360" s="120" t="str">
        <f>IFERROR(__xludf.DUMMYFUNCTION("""COMPUTED_VALUE"""),"El Naranjo")</f>
        <v>El Naranjo</v>
      </c>
      <c r="D2360" s="120" t="str">
        <f>IFERROR(__xludf.DUMMYFUNCTION("""COMPUTED_VALUE"""),"Guatemala")</f>
        <v>Guatemala</v>
      </c>
      <c r="E2360" s="135"/>
      <c r="F2360" s="31"/>
    </row>
    <row r="2361">
      <c r="A2361" s="134" t="str">
        <f>IFERROR(__xludf.DUMMYFUNCTION("""COMPUTED_VALUE"""),"El Nido")</f>
        <v>El Nido</v>
      </c>
      <c r="B2361" s="120" t="str">
        <f>IFERROR(__xludf.DUMMYFUNCTION("""COMPUTED_VALUE"""),"ENI")</f>
        <v>ENI</v>
      </c>
      <c r="C2361" s="120" t="str">
        <f>IFERROR(__xludf.DUMMYFUNCTION("""COMPUTED_VALUE"""),"El Nido")</f>
        <v>El Nido</v>
      </c>
      <c r="D2361" s="120" t="str">
        <f>IFERROR(__xludf.DUMMYFUNCTION("""COMPUTED_VALUE"""),"Philippines")</f>
        <v>Philippines</v>
      </c>
      <c r="E2361" s="135"/>
      <c r="F2361" s="31"/>
    </row>
    <row r="2362">
      <c r="A2362" s="134" t="str">
        <f>IFERROR(__xludf.DUMMYFUNCTION("""COMPUTED_VALUE"""),"El Obeid")</f>
        <v>El Obeid</v>
      </c>
      <c r="B2362" s="120" t="str">
        <f>IFERROR(__xludf.DUMMYFUNCTION("""COMPUTED_VALUE"""),"EBD")</f>
        <v>EBD</v>
      </c>
      <c r="C2362" s="120" t="str">
        <f>IFERROR(__xludf.DUMMYFUNCTION("""COMPUTED_VALUE"""),"El Obeid")</f>
        <v>El Obeid</v>
      </c>
      <c r="D2362" s="120" t="str">
        <f>IFERROR(__xludf.DUMMYFUNCTION("""COMPUTED_VALUE"""),"Sudan")</f>
        <v>Sudan</v>
      </c>
      <c r="E2362" s="135"/>
      <c r="F2362" s="31"/>
    </row>
    <row r="2363">
      <c r="A2363" s="134" t="str">
        <f>IFERROR(__xludf.DUMMYFUNCTION("""COMPUTED_VALUE"""),"El Oued")</f>
        <v>El Oued</v>
      </c>
      <c r="B2363" s="120" t="str">
        <f>IFERROR(__xludf.DUMMYFUNCTION("""COMPUTED_VALUE"""),"ELU")</f>
        <v>ELU</v>
      </c>
      <c r="C2363" s="120" t="str">
        <f>IFERROR(__xludf.DUMMYFUNCTION("""COMPUTED_VALUE"""),"Guemar")</f>
        <v>Guemar</v>
      </c>
      <c r="D2363" s="120" t="str">
        <f>IFERROR(__xludf.DUMMYFUNCTION("""COMPUTED_VALUE"""),"Algeria")</f>
        <v>Algeria</v>
      </c>
      <c r="E2363" s="135"/>
      <c r="F2363" s="31"/>
    </row>
    <row r="2364">
      <c r="A2364" s="134" t="str">
        <f>IFERROR(__xludf.DUMMYFUNCTION("""COMPUTED_VALUE"""),"El Palomar")</f>
        <v>El Palomar</v>
      </c>
      <c r="B2364" s="120" t="str">
        <f>IFERROR(__xludf.DUMMYFUNCTION("""COMPUTED_VALUE"""),"EPA")</f>
        <v>EPA</v>
      </c>
      <c r="C2364" s="120" t="str">
        <f>IFERROR(__xludf.DUMMYFUNCTION("""COMPUTED_VALUE"""),"El Palomar")</f>
        <v>El Palomar</v>
      </c>
      <c r="D2364" s="120" t="str">
        <f>IFERROR(__xludf.DUMMYFUNCTION("""COMPUTED_VALUE"""),"Argentina")</f>
        <v>Argentina</v>
      </c>
      <c r="E2364" s="135"/>
      <c r="F2364" s="31"/>
    </row>
    <row r="2365">
      <c r="A2365" s="134" t="str">
        <f>IFERROR(__xludf.DUMMYFUNCTION("""COMPUTED_VALUE"""),"El Paso")</f>
        <v>El Paso</v>
      </c>
      <c r="B2365" s="120" t="str">
        <f>IFERROR(__xludf.DUMMYFUNCTION("""COMPUTED_VALUE"""),"BIF")</f>
        <v>BIF</v>
      </c>
      <c r="C2365" s="120" t="str">
        <f>IFERROR(__xludf.DUMMYFUNCTION("""COMPUTED_VALUE"""),"Biggs AAF")</f>
        <v>Biggs AAF</v>
      </c>
      <c r="D2365" s="120" t="str">
        <f>IFERROR(__xludf.DUMMYFUNCTION("""COMPUTED_VALUE"""),"United States")</f>
        <v>United States</v>
      </c>
      <c r="E2365" s="135"/>
      <c r="F2365" s="31"/>
    </row>
    <row r="2366">
      <c r="A2366" s="134" t="str">
        <f>IFERROR(__xludf.DUMMYFUNCTION("""COMPUTED_VALUE"""),"El Paso")</f>
        <v>El Paso</v>
      </c>
      <c r="B2366" s="120" t="str">
        <f>IFERROR(__xludf.DUMMYFUNCTION("""COMPUTED_VALUE"""),"ELP")</f>
        <v>ELP</v>
      </c>
      <c r="C2366" s="120" t="str">
        <f>IFERROR(__xludf.DUMMYFUNCTION("""COMPUTED_VALUE"""),"International")</f>
        <v>International</v>
      </c>
      <c r="D2366" s="120" t="str">
        <f>IFERROR(__xludf.DUMMYFUNCTION("""COMPUTED_VALUE"""),"United States")</f>
        <v>United States</v>
      </c>
      <c r="E2366" s="135"/>
      <c r="F2366" s="31"/>
    </row>
    <row r="2367">
      <c r="A2367" s="134" t="str">
        <f>IFERROR(__xludf.DUMMYFUNCTION("""COMPUTED_VALUE"""),"El Portillo/samana")</f>
        <v>El Portillo/samana</v>
      </c>
      <c r="B2367" s="120" t="str">
        <f>IFERROR(__xludf.DUMMYFUNCTION("""COMPUTED_VALUE"""),"EPS")</f>
        <v>EPS</v>
      </c>
      <c r="C2367" s="120" t="str">
        <f>IFERROR(__xludf.DUMMYFUNCTION("""COMPUTED_VALUE"""),"El Portillo")</f>
        <v>El Portillo</v>
      </c>
      <c r="D2367" s="120" t="str">
        <f>IFERROR(__xludf.DUMMYFUNCTION("""COMPUTED_VALUE"""),"Dominican Republic")</f>
        <v>Dominican Republic</v>
      </c>
      <c r="E2367" s="135"/>
      <c r="F2367" s="31"/>
    </row>
    <row r="2368">
      <c r="A2368" s="134" t="str">
        <f>IFERROR(__xludf.DUMMYFUNCTION("""COMPUTED_VALUE"""),"El Porvenir")</f>
        <v>El Porvenir</v>
      </c>
      <c r="B2368" s="120" t="str">
        <f>IFERROR(__xludf.DUMMYFUNCTION("""COMPUTED_VALUE"""),"PVE")</f>
        <v>PVE</v>
      </c>
      <c r="C2368" s="120" t="str">
        <f>IFERROR(__xludf.DUMMYFUNCTION("""COMPUTED_VALUE"""),"El Porvenir")</f>
        <v>El Porvenir</v>
      </c>
      <c r="D2368" s="120" t="str">
        <f>IFERROR(__xludf.DUMMYFUNCTION("""COMPUTED_VALUE"""),"Panama")</f>
        <v>Panama</v>
      </c>
      <c r="E2368" s="135"/>
      <c r="F2368" s="31"/>
    </row>
    <row r="2369">
      <c r="A2369" s="134" t="str">
        <f>IFERROR(__xludf.DUMMYFUNCTION("""COMPUTED_VALUE"""),"El Real")</f>
        <v>El Real</v>
      </c>
      <c r="B2369" s="120" t="str">
        <f>IFERROR(__xludf.DUMMYFUNCTION("""COMPUTED_VALUE"""),"ELE")</f>
        <v>ELE</v>
      </c>
      <c r="C2369" s="120" t="str">
        <f>IFERROR(__xludf.DUMMYFUNCTION("""COMPUTED_VALUE"""),"El Real")</f>
        <v>El Real</v>
      </c>
      <c r="D2369" s="120" t="str">
        <f>IFERROR(__xludf.DUMMYFUNCTION("""COMPUTED_VALUE"""),"Panama")</f>
        <v>Panama</v>
      </c>
      <c r="E2369" s="135"/>
      <c r="F2369" s="31"/>
    </row>
    <row r="2370">
      <c r="A2370" s="134" t="str">
        <f>IFERROR(__xludf.DUMMYFUNCTION("""COMPUTED_VALUE"""),"El Recreo")</f>
        <v>El Recreo</v>
      </c>
      <c r="B2370" s="120" t="str">
        <f>IFERROR(__xludf.DUMMYFUNCTION("""COMPUTED_VALUE"""),"ELJ")</f>
        <v>ELJ</v>
      </c>
      <c r="C2370" s="120" t="str">
        <f>IFERROR(__xludf.DUMMYFUNCTION("""COMPUTED_VALUE"""),"El Recreo")</f>
        <v>El Recreo</v>
      </c>
      <c r="D2370" s="120" t="str">
        <f>IFERROR(__xludf.DUMMYFUNCTION("""COMPUTED_VALUE"""),"Colombia")</f>
        <v>Colombia</v>
      </c>
      <c r="E2370" s="135"/>
      <c r="F2370" s="31"/>
    </row>
    <row r="2371">
      <c r="A2371" s="134" t="str">
        <f>IFERROR(__xludf.DUMMYFUNCTION("""COMPUTED_VALUE"""),"El Salvador")</f>
        <v>El Salvador</v>
      </c>
      <c r="B2371" s="120" t="str">
        <f>IFERROR(__xludf.DUMMYFUNCTION("""COMPUTED_VALUE"""),"ESR")</f>
        <v>ESR</v>
      </c>
      <c r="C2371" s="120" t="str">
        <f>IFERROR(__xludf.DUMMYFUNCTION("""COMPUTED_VALUE"""),"El Salvador")</f>
        <v>El Salvador</v>
      </c>
      <c r="D2371" s="120" t="str">
        <f>IFERROR(__xludf.DUMMYFUNCTION("""COMPUTED_VALUE"""),"Chile")</f>
        <v>Chile</v>
      </c>
      <c r="E2371" s="135"/>
      <c r="F2371" s="31"/>
    </row>
    <row r="2372">
      <c r="A2372" s="134" t="str">
        <f>IFERROR(__xludf.DUMMYFUNCTION("""COMPUTED_VALUE"""),"El Tigre")</f>
        <v>El Tigre</v>
      </c>
      <c r="B2372" s="120" t="str">
        <f>IFERROR(__xludf.DUMMYFUNCTION("""COMPUTED_VALUE"""),"ELX")</f>
        <v>ELX</v>
      </c>
      <c r="C2372" s="120" t="str">
        <f>IFERROR(__xludf.DUMMYFUNCTION("""COMPUTED_VALUE"""),"El Tigre")</f>
        <v>El Tigre</v>
      </c>
      <c r="D2372" s="120" t="str">
        <f>IFERROR(__xludf.DUMMYFUNCTION("""COMPUTED_VALUE"""),"Venezuela")</f>
        <v>Venezuela</v>
      </c>
      <c r="E2372" s="135"/>
      <c r="F2372" s="31"/>
    </row>
    <row r="2373">
      <c r="A2373" s="134" t="str">
        <f>IFERROR(__xludf.DUMMYFUNCTION("""COMPUTED_VALUE"""),"El Vigia")</f>
        <v>El Vigia</v>
      </c>
      <c r="B2373" s="120" t="str">
        <f>IFERROR(__xludf.DUMMYFUNCTION("""COMPUTED_VALUE"""),"VIG")</f>
        <v>VIG</v>
      </c>
      <c r="C2373" s="120" t="str">
        <f>IFERROR(__xludf.DUMMYFUNCTION("""COMPUTED_VALUE"""),"El Vigia")</f>
        <v>El Vigia</v>
      </c>
      <c r="D2373" s="120" t="str">
        <f>IFERROR(__xludf.DUMMYFUNCTION("""COMPUTED_VALUE"""),"Venezuela")</f>
        <v>Venezuela</v>
      </c>
      <c r="E2373" s="135"/>
      <c r="F2373" s="31"/>
    </row>
    <row r="2374">
      <c r="A2374" s="134" t="str">
        <f>IFERROR(__xludf.DUMMYFUNCTION("""COMPUTED_VALUE"""),"El Yopal")</f>
        <v>El Yopal</v>
      </c>
      <c r="B2374" s="120" t="str">
        <f>IFERROR(__xludf.DUMMYFUNCTION("""COMPUTED_VALUE"""),"EYP")</f>
        <v>EYP</v>
      </c>
      <c r="C2374" s="120" t="str">
        <f>IFERROR(__xludf.DUMMYFUNCTION("""COMPUTED_VALUE"""),"El Yopal")</f>
        <v>El Yopal</v>
      </c>
      <c r="D2374" s="120" t="str">
        <f>IFERROR(__xludf.DUMMYFUNCTION("""COMPUTED_VALUE"""),"Colombia")</f>
        <v>Colombia</v>
      </c>
      <c r="E2374" s="135"/>
      <c r="F2374" s="31"/>
    </row>
    <row r="2375">
      <c r="A2375" s="134" t="str">
        <f>IFERROR(__xludf.DUMMYFUNCTION("""COMPUTED_VALUE"""),"Elat")</f>
        <v>Elat</v>
      </c>
      <c r="B2375" s="120" t="str">
        <f>IFERROR(__xludf.DUMMYFUNCTION("""COMPUTED_VALUE"""),"ETH")</f>
        <v>ETH</v>
      </c>
      <c r="C2375" s="120" t="str">
        <f>IFERROR(__xludf.DUMMYFUNCTION("""COMPUTED_VALUE"""),"Elat")</f>
        <v>Elat</v>
      </c>
      <c r="D2375" s="120" t="str">
        <f>IFERROR(__xludf.DUMMYFUNCTION("""COMPUTED_VALUE"""),"Israel")</f>
        <v>Israel</v>
      </c>
      <c r="E2375" s="135"/>
      <c r="F2375" s="31"/>
    </row>
    <row r="2376">
      <c r="A2376" s="134" t="str">
        <f>IFERROR(__xludf.DUMMYFUNCTION("""COMPUTED_VALUE"""),"Elazig")</f>
        <v>Elazig</v>
      </c>
      <c r="B2376" s="120" t="str">
        <f>IFERROR(__xludf.DUMMYFUNCTION("""COMPUTED_VALUE"""),"EZS")</f>
        <v>EZS</v>
      </c>
      <c r="C2376" s="120" t="str">
        <f>IFERROR(__xludf.DUMMYFUNCTION("""COMPUTED_VALUE"""),"Elazig")</f>
        <v>Elazig</v>
      </c>
      <c r="D2376" s="120" t="str">
        <f>IFERROR(__xludf.DUMMYFUNCTION("""COMPUTED_VALUE"""),"Turkey")</f>
        <v>Turkey</v>
      </c>
      <c r="E2376" s="135"/>
      <c r="F2376" s="31"/>
    </row>
    <row r="2377">
      <c r="A2377" s="134" t="str">
        <f>IFERROR(__xludf.DUMMYFUNCTION("""COMPUTED_VALUE"""),"Elba Island")</f>
        <v>Elba Island</v>
      </c>
      <c r="B2377" s="120" t="str">
        <f>IFERROR(__xludf.DUMMYFUNCTION("""COMPUTED_VALUE"""),"EBA")</f>
        <v>EBA</v>
      </c>
      <c r="C2377" s="120" t="str">
        <f>IFERROR(__xludf.DUMMYFUNCTION("""COMPUTED_VALUE"""),"Marina Di Campo")</f>
        <v>Marina Di Campo</v>
      </c>
      <c r="D2377" s="120" t="str">
        <f>IFERROR(__xludf.DUMMYFUNCTION("""COMPUTED_VALUE"""),"Italy")</f>
        <v>Italy</v>
      </c>
      <c r="E2377" s="135"/>
      <c r="F2377" s="31"/>
    </row>
    <row r="2378">
      <c r="A2378" s="134" t="str">
        <f>IFERROR(__xludf.DUMMYFUNCTION("""COMPUTED_VALUE"""),"Elcho Island")</f>
        <v>Elcho Island</v>
      </c>
      <c r="B2378" s="120" t="str">
        <f>IFERROR(__xludf.DUMMYFUNCTION("""COMPUTED_VALUE"""),"ELC")</f>
        <v>ELC</v>
      </c>
      <c r="C2378" s="120" t="str">
        <f>IFERROR(__xludf.DUMMYFUNCTION("""COMPUTED_VALUE"""),"Elcho Island")</f>
        <v>Elcho Island</v>
      </c>
      <c r="D2378" s="120" t="str">
        <f>IFERROR(__xludf.DUMMYFUNCTION("""COMPUTED_VALUE"""),"Australia")</f>
        <v>Australia</v>
      </c>
      <c r="E2378" s="135"/>
      <c r="F2378" s="31"/>
    </row>
    <row r="2379">
      <c r="A2379" s="134" t="str">
        <f>IFERROR(__xludf.DUMMYFUNCTION("""COMPUTED_VALUE"""),"Eldebba")</f>
        <v>Eldebba</v>
      </c>
      <c r="B2379" s="120" t="str">
        <f>IFERROR(__xludf.DUMMYFUNCTION("""COMPUTED_VALUE"""),"EDB")</f>
        <v>EDB</v>
      </c>
      <c r="C2379" s="120" t="str">
        <f>IFERROR(__xludf.DUMMYFUNCTION("""COMPUTED_VALUE"""),"Eldebba")</f>
        <v>Eldebba</v>
      </c>
      <c r="D2379" s="120" t="str">
        <f>IFERROR(__xludf.DUMMYFUNCTION("""COMPUTED_VALUE"""),"Sudan")</f>
        <v>Sudan</v>
      </c>
      <c r="E2379" s="135"/>
      <c r="F2379" s="31"/>
    </row>
    <row r="2380">
      <c r="A2380" s="134" t="str">
        <f>IFERROR(__xludf.DUMMYFUNCTION("""COMPUTED_VALUE"""),"Eldorado")</f>
        <v>Eldorado</v>
      </c>
      <c r="B2380" s="120" t="str">
        <f>IFERROR(__xludf.DUMMYFUNCTION("""COMPUTED_VALUE"""),"ELO")</f>
        <v>ELO</v>
      </c>
      <c r="C2380" s="120" t="str">
        <f>IFERROR(__xludf.DUMMYFUNCTION("""COMPUTED_VALUE"""),"Eldorado")</f>
        <v>Eldorado</v>
      </c>
      <c r="D2380" s="120" t="str">
        <f>IFERROR(__xludf.DUMMYFUNCTION("""COMPUTED_VALUE"""),"Argentina")</f>
        <v>Argentina</v>
      </c>
      <c r="E2380" s="135"/>
      <c r="F2380" s="31"/>
    </row>
    <row r="2381">
      <c r="A2381" s="134" t="str">
        <f>IFERROR(__xludf.DUMMYFUNCTION("""COMPUTED_VALUE"""),"Eldoret")</f>
        <v>Eldoret</v>
      </c>
      <c r="B2381" s="120" t="str">
        <f>IFERROR(__xludf.DUMMYFUNCTION("""COMPUTED_VALUE"""),"EDL")</f>
        <v>EDL</v>
      </c>
      <c r="C2381" s="120" t="str">
        <f>IFERROR(__xludf.DUMMYFUNCTION("""COMPUTED_VALUE"""),"Eldoret")</f>
        <v>Eldoret</v>
      </c>
      <c r="D2381" s="120" t="str">
        <f>IFERROR(__xludf.DUMMYFUNCTION("""COMPUTED_VALUE"""),"Kenya")</f>
        <v>Kenya</v>
      </c>
      <c r="E2381" s="135"/>
      <c r="F2381" s="31"/>
    </row>
    <row r="2382">
      <c r="A2382" s="134" t="str">
        <f>IFERROR(__xludf.DUMMYFUNCTION("""COMPUTED_VALUE"""),"Eldred Rock")</f>
        <v>Eldred Rock</v>
      </c>
      <c r="B2382" s="120" t="str">
        <f>IFERROR(__xludf.DUMMYFUNCTION("""COMPUTED_VALUE"""),"ERO")</f>
        <v>ERO</v>
      </c>
      <c r="C2382" s="120" t="str">
        <f>IFERROR(__xludf.DUMMYFUNCTION("""COMPUTED_VALUE"""),"Coast Guard")</f>
        <v>Coast Guard</v>
      </c>
      <c r="D2382" s="120" t="str">
        <f>IFERROR(__xludf.DUMMYFUNCTION("""COMPUTED_VALUE"""),"United States")</f>
        <v>United States</v>
      </c>
      <c r="E2382" s="135"/>
      <c r="F2382" s="31"/>
    </row>
    <row r="2383">
      <c r="A2383" s="134" t="str">
        <f>IFERROR(__xludf.DUMMYFUNCTION("""COMPUTED_VALUE"""),"Elelim")</f>
        <v>Elelim</v>
      </c>
      <c r="B2383" s="120" t="str">
        <f>IFERROR(__xludf.DUMMYFUNCTION("""COMPUTED_VALUE"""),"ELR")</f>
        <v>ELR</v>
      </c>
      <c r="C2383" s="120" t="str">
        <f>IFERROR(__xludf.DUMMYFUNCTION("""COMPUTED_VALUE"""),"Elelim")</f>
        <v>Elelim</v>
      </c>
      <c r="D2383" s="120" t="str">
        <f>IFERROR(__xludf.DUMMYFUNCTION("""COMPUTED_VALUE"""),"Indonesia")</f>
        <v>Indonesia</v>
      </c>
      <c r="E2383" s="135"/>
      <c r="F2383" s="31"/>
    </row>
    <row r="2384">
      <c r="A2384" s="134" t="str">
        <f>IFERROR(__xludf.DUMMYFUNCTION("""COMPUTED_VALUE"""),"Elfin Cove")</f>
        <v>Elfin Cove</v>
      </c>
      <c r="B2384" s="120" t="str">
        <f>IFERROR(__xludf.DUMMYFUNCTION("""COMPUTED_VALUE"""),"ELV")</f>
        <v>ELV</v>
      </c>
      <c r="C2384" s="120" t="str">
        <f>IFERROR(__xludf.DUMMYFUNCTION("""COMPUTED_VALUE"""),"Elfin Cove SPB")</f>
        <v>Elfin Cove SPB</v>
      </c>
      <c r="D2384" s="120" t="str">
        <f>IFERROR(__xludf.DUMMYFUNCTION("""COMPUTED_VALUE"""),"United States")</f>
        <v>United States</v>
      </c>
      <c r="E2384" s="135"/>
      <c r="F2384" s="31"/>
    </row>
    <row r="2385">
      <c r="A2385" s="134" t="str">
        <f>IFERROR(__xludf.DUMMYFUNCTION("""COMPUTED_VALUE"""),"Elim")</f>
        <v>Elim</v>
      </c>
      <c r="B2385" s="120" t="str">
        <f>IFERROR(__xludf.DUMMYFUNCTION("""COMPUTED_VALUE"""),"ELI")</f>
        <v>ELI</v>
      </c>
      <c r="C2385" s="120" t="str">
        <f>IFERROR(__xludf.DUMMYFUNCTION("""COMPUTED_VALUE"""),"Elim")</f>
        <v>Elim</v>
      </c>
      <c r="D2385" s="120" t="str">
        <f>IFERROR(__xludf.DUMMYFUNCTION("""COMPUTED_VALUE"""),"United States")</f>
        <v>United States</v>
      </c>
      <c r="E2385" s="135"/>
      <c r="F2385" s="31"/>
    </row>
    <row r="2386">
      <c r="A2386" s="134" t="str">
        <f>IFERROR(__xludf.DUMMYFUNCTION("""COMPUTED_VALUE"""),"Eliptamin")</f>
        <v>Eliptamin</v>
      </c>
      <c r="B2386" s="120" t="str">
        <f>IFERROR(__xludf.DUMMYFUNCTION("""COMPUTED_VALUE"""),"EPT")</f>
        <v>EPT</v>
      </c>
      <c r="C2386" s="120" t="str">
        <f>IFERROR(__xludf.DUMMYFUNCTION("""COMPUTED_VALUE"""),"Eliptamin")</f>
        <v>Eliptamin</v>
      </c>
      <c r="D2386" s="120" t="str">
        <f>IFERROR(__xludf.DUMMYFUNCTION("""COMPUTED_VALUE"""),"Papua New Guinea")</f>
        <v>Papua New Guinea</v>
      </c>
      <c r="E2386" s="135"/>
      <c r="F2386" s="31"/>
    </row>
    <row r="2387">
      <c r="A2387" s="134" t="str">
        <f>IFERROR(__xludf.DUMMYFUNCTION("""COMPUTED_VALUE"""),"Elista")</f>
        <v>Elista</v>
      </c>
      <c r="B2387" s="120" t="str">
        <f>IFERROR(__xludf.DUMMYFUNCTION("""COMPUTED_VALUE"""),"ESL")</f>
        <v>ESL</v>
      </c>
      <c r="C2387" s="120" t="str">
        <f>IFERROR(__xludf.DUMMYFUNCTION("""COMPUTED_VALUE"""),"Elista")</f>
        <v>Elista</v>
      </c>
      <c r="D2387" s="120" t="str">
        <f>IFERROR(__xludf.DUMMYFUNCTION("""COMPUTED_VALUE"""),"Russia")</f>
        <v>Russia</v>
      </c>
      <c r="E2387" s="135"/>
      <c r="F2387" s="31"/>
    </row>
    <row r="2388">
      <c r="A2388" s="134" t="str">
        <f>IFERROR(__xludf.DUMMYFUNCTION("""COMPUTED_VALUE"""),"Eliye Springs")</f>
        <v>Eliye Springs</v>
      </c>
      <c r="B2388" s="120" t="str">
        <f>IFERROR(__xludf.DUMMYFUNCTION("""COMPUTED_VALUE"""),"EYS")</f>
        <v>EYS</v>
      </c>
      <c r="C2388" s="120" t="str">
        <f>IFERROR(__xludf.DUMMYFUNCTION("""COMPUTED_VALUE"""),"Eliye Springs")</f>
        <v>Eliye Springs</v>
      </c>
      <c r="D2388" s="120" t="str">
        <f>IFERROR(__xludf.DUMMYFUNCTION("""COMPUTED_VALUE"""),"Kenya")</f>
        <v>Kenya</v>
      </c>
      <c r="E2388" s="135"/>
      <c r="F2388" s="31"/>
    </row>
    <row r="2389">
      <c r="A2389" s="134" t="str">
        <f>IFERROR(__xludf.DUMMYFUNCTION("""COMPUTED_VALUE"""),"Elizabeth City")</f>
        <v>Elizabeth City</v>
      </c>
      <c r="B2389" s="120" t="str">
        <f>IFERROR(__xludf.DUMMYFUNCTION("""COMPUTED_VALUE"""),"ECG")</f>
        <v>ECG</v>
      </c>
      <c r="C2389" s="120" t="str">
        <f>IFERROR(__xludf.DUMMYFUNCTION("""COMPUTED_VALUE"""),"Elizabeth City")</f>
        <v>Elizabeth City</v>
      </c>
      <c r="D2389" s="120" t="str">
        <f>IFERROR(__xludf.DUMMYFUNCTION("""COMPUTED_VALUE"""),"United States")</f>
        <v>United States</v>
      </c>
      <c r="E2389" s="135"/>
      <c r="F2389" s="31"/>
    </row>
    <row r="2390">
      <c r="A2390" s="134" t="str">
        <f>IFERROR(__xludf.DUMMYFUNCTION("""COMPUTED_VALUE"""),"Elizabethtown")</f>
        <v>Elizabethtown</v>
      </c>
      <c r="B2390" s="120" t="str">
        <f>IFERROR(__xludf.DUMMYFUNCTION("""COMPUTED_VALUE"""),"EKX")</f>
        <v>EKX</v>
      </c>
      <c r="C2390" s="120" t="str">
        <f>IFERROR(__xludf.DUMMYFUNCTION("""COMPUTED_VALUE"""),"Elizabethtown")</f>
        <v>Elizabethtown</v>
      </c>
      <c r="D2390" s="120" t="str">
        <f>IFERROR(__xludf.DUMMYFUNCTION("""COMPUTED_VALUE"""),"United States")</f>
        <v>United States</v>
      </c>
      <c r="E2390" s="135"/>
      <c r="F2390" s="31"/>
    </row>
    <row r="2391">
      <c r="A2391" s="134" t="str">
        <f>IFERROR(__xludf.DUMMYFUNCTION("""COMPUTED_VALUE"""),"Elk City")</f>
        <v>Elk City</v>
      </c>
      <c r="B2391" s="120" t="str">
        <f>IFERROR(__xludf.DUMMYFUNCTION("""COMPUTED_VALUE"""),"ELK")</f>
        <v>ELK</v>
      </c>
      <c r="C2391" s="120" t="str">
        <f>IFERROR(__xludf.DUMMYFUNCTION("""COMPUTED_VALUE"""),"Municipal")</f>
        <v>Municipal</v>
      </c>
      <c r="D2391" s="120" t="str">
        <f>IFERROR(__xludf.DUMMYFUNCTION("""COMPUTED_VALUE"""),"United States")</f>
        <v>United States</v>
      </c>
      <c r="E2391" s="135"/>
      <c r="F2391" s="31"/>
    </row>
    <row r="2392">
      <c r="A2392" s="134" t="str">
        <f>IFERROR(__xludf.DUMMYFUNCTION("""COMPUTED_VALUE"""),"Elkedra")</f>
        <v>Elkedra</v>
      </c>
      <c r="B2392" s="120" t="str">
        <f>IFERROR(__xludf.DUMMYFUNCTION("""COMPUTED_VALUE"""),"EKD")</f>
        <v>EKD</v>
      </c>
      <c r="C2392" s="120" t="str">
        <f>IFERROR(__xludf.DUMMYFUNCTION("""COMPUTED_VALUE"""),"Elkedra")</f>
        <v>Elkedra</v>
      </c>
      <c r="D2392" s="120" t="str">
        <f>IFERROR(__xludf.DUMMYFUNCTION("""COMPUTED_VALUE"""),"Australia")</f>
        <v>Australia</v>
      </c>
      <c r="E2392" s="135"/>
      <c r="F2392" s="31"/>
    </row>
    <row r="2393">
      <c r="A2393" s="134" t="str">
        <f>IFERROR(__xludf.DUMMYFUNCTION("""COMPUTED_VALUE"""),"Elkhart")</f>
        <v>Elkhart</v>
      </c>
      <c r="B2393" s="120" t="str">
        <f>IFERROR(__xludf.DUMMYFUNCTION("""COMPUTED_VALUE"""),"EKI")</f>
        <v>EKI</v>
      </c>
      <c r="C2393" s="120" t="str">
        <f>IFERROR(__xludf.DUMMYFUNCTION("""COMPUTED_VALUE"""),"Municipal")</f>
        <v>Municipal</v>
      </c>
      <c r="D2393" s="120" t="str">
        <f>IFERROR(__xludf.DUMMYFUNCTION("""COMPUTED_VALUE"""),"United States")</f>
        <v>United States</v>
      </c>
      <c r="E2393" s="135"/>
      <c r="F2393" s="31"/>
    </row>
    <row r="2394">
      <c r="A2394" s="134" t="str">
        <f>IFERROR(__xludf.DUMMYFUNCTION("""COMPUTED_VALUE"""),"Elkins")</f>
        <v>Elkins</v>
      </c>
      <c r="B2394" s="120" t="str">
        <f>IFERROR(__xludf.DUMMYFUNCTION("""COMPUTED_VALUE"""),"EKN")</f>
        <v>EKN</v>
      </c>
      <c r="C2394" s="120" t="str">
        <f>IFERROR(__xludf.DUMMYFUNCTION("""COMPUTED_VALUE"""),"Elkins")</f>
        <v>Elkins</v>
      </c>
      <c r="D2394" s="120" t="str">
        <f>IFERROR(__xludf.DUMMYFUNCTION("""COMPUTED_VALUE"""),"United States")</f>
        <v>United States</v>
      </c>
      <c r="E2394" s="135"/>
      <c r="F2394" s="31"/>
    </row>
    <row r="2395">
      <c r="A2395" s="134" t="str">
        <f>IFERROR(__xludf.DUMMYFUNCTION("""COMPUTED_VALUE"""),"Elko")</f>
        <v>Elko</v>
      </c>
      <c r="B2395" s="120" t="str">
        <f>IFERROR(__xludf.DUMMYFUNCTION("""COMPUTED_VALUE"""),"EKO")</f>
        <v>EKO</v>
      </c>
      <c r="C2395" s="120" t="str">
        <f>IFERROR(__xludf.DUMMYFUNCTION("""COMPUTED_VALUE"""),"Elko")</f>
        <v>Elko</v>
      </c>
      <c r="D2395" s="120" t="str">
        <f>IFERROR(__xludf.DUMMYFUNCTION("""COMPUTED_VALUE"""),"United States")</f>
        <v>United States</v>
      </c>
      <c r="E2395" s="135"/>
      <c r="F2395" s="31"/>
    </row>
    <row r="2396">
      <c r="A2396" s="134" t="str">
        <f>IFERROR(__xludf.DUMMYFUNCTION("""COMPUTED_VALUE"""),"Ellamar")</f>
        <v>Ellamar</v>
      </c>
      <c r="B2396" s="120" t="str">
        <f>IFERROR(__xludf.DUMMYFUNCTION("""COMPUTED_VALUE"""),"ELW")</f>
        <v>ELW</v>
      </c>
      <c r="C2396" s="120" t="str">
        <f>IFERROR(__xludf.DUMMYFUNCTION("""COMPUTED_VALUE"""),"Ellamar")</f>
        <v>Ellamar</v>
      </c>
      <c r="D2396" s="120" t="str">
        <f>IFERROR(__xludf.DUMMYFUNCTION("""COMPUTED_VALUE"""),"United States")</f>
        <v>United States</v>
      </c>
      <c r="E2396" s="135"/>
      <c r="F2396" s="31"/>
    </row>
    <row r="2397">
      <c r="A2397" s="134" t="str">
        <f>IFERROR(__xludf.DUMMYFUNCTION("""COMPUTED_VALUE"""),"Ellensburg")</f>
        <v>Ellensburg</v>
      </c>
      <c r="B2397" s="120" t="str">
        <f>IFERROR(__xludf.DUMMYFUNCTION("""COMPUTED_VALUE"""),"ELN")</f>
        <v>ELN</v>
      </c>
      <c r="C2397" s="120" t="str">
        <f>IFERROR(__xludf.DUMMYFUNCTION("""COMPUTED_VALUE"""),"Bowers Field")</f>
        <v>Bowers Field</v>
      </c>
      <c r="D2397" s="120" t="str">
        <f>IFERROR(__xludf.DUMMYFUNCTION("""COMPUTED_VALUE"""),"United States")</f>
        <v>United States</v>
      </c>
      <c r="E2397" s="135"/>
      <c r="F2397" s="31"/>
    </row>
    <row r="2398">
      <c r="A2398" s="134" t="str">
        <f>IFERROR(__xludf.DUMMYFUNCTION("""COMPUTED_VALUE"""),"Elliot Lake")</f>
        <v>Elliot Lake</v>
      </c>
      <c r="B2398" s="120" t="str">
        <f>IFERROR(__xludf.DUMMYFUNCTION("""COMPUTED_VALUE"""),"YEL")</f>
        <v>YEL</v>
      </c>
      <c r="C2398" s="120" t="str">
        <f>IFERROR(__xludf.DUMMYFUNCTION("""COMPUTED_VALUE"""),"Elliot Lake")</f>
        <v>Elliot Lake</v>
      </c>
      <c r="D2398" s="120" t="str">
        <f>IFERROR(__xludf.DUMMYFUNCTION("""COMPUTED_VALUE"""),"Canada")</f>
        <v>Canada</v>
      </c>
      <c r="E2398" s="135"/>
      <c r="F2398" s="31"/>
    </row>
    <row r="2399">
      <c r="A2399" s="134" t="str">
        <f>IFERROR(__xludf.DUMMYFUNCTION("""COMPUTED_VALUE"""),"Ellisras")</f>
        <v>Ellisras</v>
      </c>
      <c r="B2399" s="120" t="str">
        <f>IFERROR(__xludf.DUMMYFUNCTION("""COMPUTED_VALUE"""),"ELL")</f>
        <v>ELL</v>
      </c>
      <c r="C2399" s="120" t="str">
        <f>IFERROR(__xludf.DUMMYFUNCTION("""COMPUTED_VALUE"""),"Ellisras")</f>
        <v>Ellisras</v>
      </c>
      <c r="D2399" s="120" t="str">
        <f>IFERROR(__xludf.DUMMYFUNCTION("""COMPUTED_VALUE"""),"South Africa")</f>
        <v>South Africa</v>
      </c>
      <c r="E2399" s="135"/>
      <c r="F2399" s="31"/>
    </row>
    <row r="2400">
      <c r="A2400" s="134" t="str">
        <f>IFERROR(__xludf.DUMMYFUNCTION("""COMPUTED_VALUE"""),"Elorza")</f>
        <v>Elorza</v>
      </c>
      <c r="B2400" s="120" t="str">
        <f>IFERROR(__xludf.DUMMYFUNCTION("""COMPUTED_VALUE"""),"EOZ")</f>
        <v>EOZ</v>
      </c>
      <c r="C2400" s="120" t="str">
        <f>IFERROR(__xludf.DUMMYFUNCTION("""COMPUTED_VALUE"""),"Elorza")</f>
        <v>Elorza</v>
      </c>
      <c r="D2400" s="120" t="str">
        <f>IFERROR(__xludf.DUMMYFUNCTION("""COMPUTED_VALUE"""),"Venezuela")</f>
        <v>Venezuela</v>
      </c>
      <c r="E2400" s="135"/>
      <c r="F2400" s="31"/>
    </row>
    <row r="2401">
      <c r="A2401" s="134" t="str">
        <f>IFERROR(__xludf.DUMMYFUNCTION("""COMPUTED_VALUE"""),"Elverum")</f>
        <v>Elverum</v>
      </c>
      <c r="B2401" s="120" t="str">
        <f>IFERROR(__xludf.DUMMYFUNCTION("""COMPUTED_VALUE"""),"XUC")</f>
        <v>XUC</v>
      </c>
      <c r="C2401" s="120" t="str">
        <f>IFERROR(__xludf.DUMMYFUNCTION("""COMPUTED_VALUE"""),"Elverum Railway")</f>
        <v>Elverum Railway</v>
      </c>
      <c r="D2401" s="120" t="str">
        <f>IFERROR(__xludf.DUMMYFUNCTION("""COMPUTED_VALUE"""),"Norway")</f>
        <v>Norway</v>
      </c>
      <c r="E2401" s="135"/>
      <c r="F2401" s="31"/>
    </row>
    <row r="2402">
      <c r="A2402" s="134" t="str">
        <f>IFERROR(__xludf.DUMMYFUNCTION("""COMPUTED_VALUE"""),"Ely")</f>
        <v>Ely</v>
      </c>
      <c r="B2402" s="120" t="str">
        <f>IFERROR(__xludf.DUMMYFUNCTION("""COMPUTED_VALUE"""),"LYU")</f>
        <v>LYU</v>
      </c>
      <c r="C2402" s="120" t="str">
        <f>IFERROR(__xludf.DUMMYFUNCTION("""COMPUTED_VALUE"""),"Ely")</f>
        <v>Ely</v>
      </c>
      <c r="D2402" s="120" t="str">
        <f>IFERROR(__xludf.DUMMYFUNCTION("""COMPUTED_VALUE"""),"United States")</f>
        <v>United States</v>
      </c>
      <c r="E2402" s="135"/>
      <c r="F2402" s="31"/>
    </row>
    <row r="2403">
      <c r="A2403" s="134" t="str">
        <f>IFERROR(__xludf.DUMMYFUNCTION("""COMPUTED_VALUE"""),"Ely")</f>
        <v>Ely</v>
      </c>
      <c r="B2403" s="120" t="str">
        <f>IFERROR(__xludf.DUMMYFUNCTION("""COMPUTED_VALUE"""),"ELY")</f>
        <v>ELY</v>
      </c>
      <c r="C2403" s="120" t="str">
        <f>IFERROR(__xludf.DUMMYFUNCTION("""COMPUTED_VALUE"""),"Yelland")</f>
        <v>Yelland</v>
      </c>
      <c r="D2403" s="120" t="str">
        <f>IFERROR(__xludf.DUMMYFUNCTION("""COMPUTED_VALUE"""),"United States")</f>
        <v>United States</v>
      </c>
      <c r="E2403" s="135"/>
      <c r="F2403" s="31"/>
    </row>
    <row r="2404">
      <c r="A2404" s="134" t="str">
        <f>IFERROR(__xludf.DUMMYFUNCTION("""COMPUTED_VALUE"""),"Emae")</f>
        <v>Emae</v>
      </c>
      <c r="B2404" s="120" t="str">
        <f>IFERROR(__xludf.DUMMYFUNCTION("""COMPUTED_VALUE"""),"EAE")</f>
        <v>EAE</v>
      </c>
      <c r="C2404" s="120" t="str">
        <f>IFERROR(__xludf.DUMMYFUNCTION("""COMPUTED_VALUE"""),"Emae")</f>
        <v>Emae</v>
      </c>
      <c r="D2404" s="120" t="str">
        <f>IFERROR(__xludf.DUMMYFUNCTION("""COMPUTED_VALUE"""),"Vanuatu")</f>
        <v>Vanuatu</v>
      </c>
      <c r="E2404" s="135"/>
      <c r="F2404" s="31"/>
    </row>
    <row r="2405">
      <c r="A2405" s="134" t="str">
        <f>IFERROR(__xludf.DUMMYFUNCTION("""COMPUTED_VALUE"""),"Embessa")</f>
        <v>Embessa</v>
      </c>
      <c r="B2405" s="120" t="str">
        <f>IFERROR(__xludf.DUMMYFUNCTION("""COMPUTED_VALUE"""),"EMS")</f>
        <v>EMS</v>
      </c>
      <c r="C2405" s="120" t="str">
        <f>IFERROR(__xludf.DUMMYFUNCTION("""COMPUTED_VALUE"""),"Embessa")</f>
        <v>Embessa</v>
      </c>
      <c r="D2405" s="120" t="str">
        <f>IFERROR(__xludf.DUMMYFUNCTION("""COMPUTED_VALUE"""),"Papua New Guinea")</f>
        <v>Papua New Guinea</v>
      </c>
      <c r="E2405" s="135"/>
      <c r="F2405" s="31"/>
    </row>
    <row r="2406">
      <c r="A2406" s="134" t="str">
        <f>IFERROR(__xludf.DUMMYFUNCTION("""COMPUTED_VALUE"""),"Emden")</f>
        <v>Emden</v>
      </c>
      <c r="B2406" s="120" t="str">
        <f>IFERROR(__xludf.DUMMYFUNCTION("""COMPUTED_VALUE"""),"EME")</f>
        <v>EME</v>
      </c>
      <c r="C2406" s="120" t="str">
        <f>IFERROR(__xludf.DUMMYFUNCTION("""COMPUTED_VALUE"""),"Emden")</f>
        <v>Emden</v>
      </c>
      <c r="D2406" s="120" t="str">
        <f>IFERROR(__xludf.DUMMYFUNCTION("""COMPUTED_VALUE"""),"Germany")</f>
        <v>Germany</v>
      </c>
      <c r="E2406" s="135"/>
      <c r="F2406" s="31"/>
    </row>
    <row r="2407">
      <c r="A2407" s="134" t="str">
        <f>IFERROR(__xludf.DUMMYFUNCTION("""COMPUTED_VALUE"""),"Emerald")</f>
        <v>Emerald</v>
      </c>
      <c r="B2407" s="120" t="str">
        <f>IFERROR(__xludf.DUMMYFUNCTION("""COMPUTED_VALUE"""),"EMD")</f>
        <v>EMD</v>
      </c>
      <c r="C2407" s="120" t="str">
        <f>IFERROR(__xludf.DUMMYFUNCTION("""COMPUTED_VALUE"""),"Emerald")</f>
        <v>Emerald</v>
      </c>
      <c r="D2407" s="120" t="str">
        <f>IFERROR(__xludf.DUMMYFUNCTION("""COMPUTED_VALUE"""),"Australia")</f>
        <v>Australia</v>
      </c>
      <c r="E2407" s="135"/>
      <c r="F2407" s="31"/>
    </row>
    <row r="2408">
      <c r="A2408" s="134" t="str">
        <f>IFERROR(__xludf.DUMMYFUNCTION("""COMPUTED_VALUE"""),"Emeryville")</f>
        <v>Emeryville</v>
      </c>
      <c r="B2408" s="120" t="str">
        <f>IFERROR(__xludf.DUMMYFUNCTION("""COMPUTED_VALUE"""),"JEM")</f>
        <v>JEM</v>
      </c>
      <c r="C2408" s="120" t="str">
        <f>IFERROR(__xludf.DUMMYFUNCTION("""COMPUTED_VALUE"""),"Heliport")</f>
        <v>Heliport</v>
      </c>
      <c r="D2408" s="120" t="str">
        <f>IFERROR(__xludf.DUMMYFUNCTION("""COMPUTED_VALUE"""),"United States")</f>
        <v>United States</v>
      </c>
      <c r="E2408" s="135"/>
      <c r="F2408" s="31"/>
    </row>
    <row r="2409">
      <c r="A2409" s="134" t="str">
        <f>IFERROR(__xludf.DUMMYFUNCTION("""COMPUTED_VALUE"""),"Emirau")</f>
        <v>Emirau</v>
      </c>
      <c r="B2409" s="120" t="str">
        <f>IFERROR(__xludf.DUMMYFUNCTION("""COMPUTED_VALUE"""),"EMI")</f>
        <v>EMI</v>
      </c>
      <c r="C2409" s="120" t="str">
        <f>IFERROR(__xludf.DUMMYFUNCTION("""COMPUTED_VALUE"""),"Emirau")</f>
        <v>Emirau</v>
      </c>
      <c r="D2409" s="120" t="str">
        <f>IFERROR(__xludf.DUMMYFUNCTION("""COMPUTED_VALUE"""),"Papua New Guinea")</f>
        <v>Papua New Guinea</v>
      </c>
      <c r="E2409" s="135"/>
      <c r="F2409" s="31"/>
    </row>
    <row r="2410">
      <c r="A2410" s="134" t="str">
        <f>IFERROR(__xludf.DUMMYFUNCTION("""COMPUTED_VALUE"""),"Emmen")</f>
        <v>Emmen</v>
      </c>
      <c r="B2410" s="120" t="str">
        <f>IFERROR(__xludf.DUMMYFUNCTION("""COMPUTED_VALUE"""),"EML")</f>
        <v>EML</v>
      </c>
      <c r="C2410" s="120" t="str">
        <f>IFERROR(__xludf.DUMMYFUNCTION("""COMPUTED_VALUE"""),"Emmen")</f>
        <v>Emmen</v>
      </c>
      <c r="D2410" s="120" t="str">
        <f>IFERROR(__xludf.DUMMYFUNCTION("""COMPUTED_VALUE"""),"Switzerland")</f>
        <v>Switzerland</v>
      </c>
      <c r="E2410" s="135"/>
      <c r="F2410" s="31"/>
    </row>
    <row r="2411">
      <c r="A2411" s="134" t="str">
        <f>IFERROR(__xludf.DUMMYFUNCTION("""COMPUTED_VALUE"""),"Emmonak")</f>
        <v>Emmonak</v>
      </c>
      <c r="B2411" s="120" t="str">
        <f>IFERROR(__xludf.DUMMYFUNCTION("""COMPUTED_VALUE"""),"EMK")</f>
        <v>EMK</v>
      </c>
      <c r="C2411" s="120" t="str">
        <f>IFERROR(__xludf.DUMMYFUNCTION("""COMPUTED_VALUE"""),"Emmonak")</f>
        <v>Emmonak</v>
      </c>
      <c r="D2411" s="120" t="str">
        <f>IFERROR(__xludf.DUMMYFUNCTION("""COMPUTED_VALUE"""),"United States")</f>
        <v>United States</v>
      </c>
      <c r="E2411" s="135"/>
      <c r="F2411" s="31"/>
    </row>
    <row r="2412">
      <c r="A2412" s="134" t="str">
        <f>IFERROR(__xludf.DUMMYFUNCTION("""COMPUTED_VALUE"""),"Emo")</f>
        <v>Emo</v>
      </c>
      <c r="B2412" s="120" t="str">
        <f>IFERROR(__xludf.DUMMYFUNCTION("""COMPUTED_VALUE"""),"EMO")</f>
        <v>EMO</v>
      </c>
      <c r="C2412" s="120" t="str">
        <f>IFERROR(__xludf.DUMMYFUNCTION("""COMPUTED_VALUE"""),"Emo")</f>
        <v>Emo</v>
      </c>
      <c r="D2412" s="120" t="str">
        <f>IFERROR(__xludf.DUMMYFUNCTION("""COMPUTED_VALUE"""),"Papua New Guinea")</f>
        <v>Papua New Guinea</v>
      </c>
      <c r="E2412" s="135"/>
      <c r="F2412" s="31"/>
    </row>
    <row r="2413">
      <c r="A2413" s="134" t="str">
        <f>IFERROR(__xludf.DUMMYFUNCTION("""COMPUTED_VALUE"""),"Empangeni")</f>
        <v>Empangeni</v>
      </c>
      <c r="B2413" s="120" t="str">
        <f>IFERROR(__xludf.DUMMYFUNCTION("""COMPUTED_VALUE"""),"EMG")</f>
        <v>EMG</v>
      </c>
      <c r="C2413" s="120" t="str">
        <f>IFERROR(__xludf.DUMMYFUNCTION("""COMPUTED_VALUE"""),"Empangeni")</f>
        <v>Empangeni</v>
      </c>
      <c r="D2413" s="120" t="str">
        <f>IFERROR(__xludf.DUMMYFUNCTION("""COMPUTED_VALUE"""),"South Africa")</f>
        <v>South Africa</v>
      </c>
      <c r="E2413" s="135"/>
      <c r="F2413" s="31"/>
    </row>
    <row r="2414">
      <c r="A2414" s="134" t="str">
        <f>IFERROR(__xludf.DUMMYFUNCTION("""COMPUTED_VALUE"""),"Emporia")</f>
        <v>Emporia</v>
      </c>
      <c r="B2414" s="120" t="str">
        <f>IFERROR(__xludf.DUMMYFUNCTION("""COMPUTED_VALUE"""),"EMP")</f>
        <v>EMP</v>
      </c>
      <c r="C2414" s="120" t="str">
        <f>IFERROR(__xludf.DUMMYFUNCTION("""COMPUTED_VALUE"""),"Emporia")</f>
        <v>Emporia</v>
      </c>
      <c r="D2414" s="120" t="str">
        <f>IFERROR(__xludf.DUMMYFUNCTION("""COMPUTED_VALUE"""),"United States")</f>
        <v>United States</v>
      </c>
      <c r="E2414" s="135"/>
      <c r="F2414" s="31"/>
    </row>
    <row r="2415">
      <c r="A2415" s="134" t="str">
        <f>IFERROR(__xludf.DUMMYFUNCTION("""COMPUTED_VALUE"""),"En Nahud")</f>
        <v>En Nahud</v>
      </c>
      <c r="B2415" s="120" t="str">
        <f>IFERROR(__xludf.DUMMYFUNCTION("""COMPUTED_VALUE"""),"NUD")</f>
        <v>NUD</v>
      </c>
      <c r="C2415" s="120" t="str">
        <f>IFERROR(__xludf.DUMMYFUNCTION("""COMPUTED_VALUE"""),"En Nahud")</f>
        <v>En Nahud</v>
      </c>
      <c r="D2415" s="120" t="str">
        <f>IFERROR(__xludf.DUMMYFUNCTION("""COMPUTED_VALUE"""),"Sudan")</f>
        <v>Sudan</v>
      </c>
      <c r="E2415" s="135"/>
      <c r="F2415" s="31"/>
    </row>
    <row r="2416">
      <c r="A2416" s="134" t="str">
        <f>IFERROR(__xludf.DUMMYFUNCTION("""COMPUTED_VALUE"""),"Enarotali")</f>
        <v>Enarotali</v>
      </c>
      <c r="B2416" s="120" t="str">
        <f>IFERROR(__xludf.DUMMYFUNCTION("""COMPUTED_VALUE"""),"EWI")</f>
        <v>EWI</v>
      </c>
      <c r="C2416" s="120" t="str">
        <f>IFERROR(__xludf.DUMMYFUNCTION("""COMPUTED_VALUE"""),"Enarotali")</f>
        <v>Enarotali</v>
      </c>
      <c r="D2416" s="120" t="str">
        <f>IFERROR(__xludf.DUMMYFUNCTION("""COMPUTED_VALUE"""),"Indonesia")</f>
        <v>Indonesia</v>
      </c>
      <c r="E2416" s="135"/>
      <c r="F2416" s="31"/>
    </row>
    <row r="2417">
      <c r="A2417" s="134" t="str">
        <f>IFERROR(__xludf.DUMMYFUNCTION("""COMPUTED_VALUE"""),"Encarnacion")</f>
        <v>Encarnacion</v>
      </c>
      <c r="B2417" s="120" t="str">
        <f>IFERROR(__xludf.DUMMYFUNCTION("""COMPUTED_VALUE"""),"ENO")</f>
        <v>ENO</v>
      </c>
      <c r="C2417" s="120" t="str">
        <f>IFERROR(__xludf.DUMMYFUNCTION("""COMPUTED_VALUE"""),"Teniente Prim Alarcon")</f>
        <v>Teniente Prim Alarcon</v>
      </c>
      <c r="D2417" s="120" t="str">
        <f>IFERROR(__xludf.DUMMYFUNCTION("""COMPUTED_VALUE"""),"Paraguay")</f>
        <v>Paraguay</v>
      </c>
      <c r="E2417" s="135"/>
      <c r="F2417" s="31"/>
    </row>
    <row r="2418">
      <c r="A2418" s="134" t="str">
        <f>IFERROR(__xludf.DUMMYFUNCTION("""COMPUTED_VALUE"""),"Ende")</f>
        <v>Ende</v>
      </c>
      <c r="B2418" s="120" t="str">
        <f>IFERROR(__xludf.DUMMYFUNCTION("""COMPUTED_VALUE"""),"ENE")</f>
        <v>ENE</v>
      </c>
      <c r="C2418" s="120" t="str">
        <f>IFERROR(__xludf.DUMMYFUNCTION("""COMPUTED_VALUE"""),"Ende")</f>
        <v>Ende</v>
      </c>
      <c r="D2418" s="120" t="str">
        <f>IFERROR(__xludf.DUMMYFUNCTION("""COMPUTED_VALUE"""),"Indonesia")</f>
        <v>Indonesia</v>
      </c>
      <c r="E2418" s="135"/>
      <c r="F2418" s="31"/>
    </row>
    <row r="2419">
      <c r="A2419" s="134" t="str">
        <f>IFERROR(__xludf.DUMMYFUNCTION("""COMPUTED_VALUE"""),"Endicott")</f>
        <v>Endicott</v>
      </c>
      <c r="B2419" s="120" t="str">
        <f>IFERROR(__xludf.DUMMYFUNCTION("""COMPUTED_VALUE"""),"BGM")</f>
        <v>BGM</v>
      </c>
      <c r="C2419" s="120" t="str">
        <f>IFERROR(__xludf.DUMMYFUNCTION("""COMPUTED_VALUE"""),"Endicott")</f>
        <v>Endicott</v>
      </c>
      <c r="D2419" s="120" t="str">
        <f>IFERROR(__xludf.DUMMYFUNCTION("""COMPUTED_VALUE"""),"United States")</f>
        <v>United States</v>
      </c>
      <c r="E2419" s="135"/>
      <c r="F2419" s="31"/>
    </row>
    <row r="2420">
      <c r="A2420" s="134" t="str">
        <f>IFERROR(__xludf.DUMMYFUNCTION("""COMPUTED_VALUE"""),"Eneabba West")</f>
        <v>Eneabba West</v>
      </c>
      <c r="B2420" s="120" t="str">
        <f>IFERROR(__xludf.DUMMYFUNCTION("""COMPUTED_VALUE"""),"ENB")</f>
        <v>ENB</v>
      </c>
      <c r="C2420" s="120" t="str">
        <f>IFERROR(__xludf.DUMMYFUNCTION("""COMPUTED_VALUE"""),"Eneabba West")</f>
        <v>Eneabba West</v>
      </c>
      <c r="D2420" s="120" t="str">
        <f>IFERROR(__xludf.DUMMYFUNCTION("""COMPUTED_VALUE"""),"Australia")</f>
        <v>Australia</v>
      </c>
      <c r="E2420" s="135"/>
      <c r="F2420" s="31"/>
    </row>
    <row r="2421">
      <c r="A2421" s="134" t="str">
        <f>IFERROR(__xludf.DUMMYFUNCTION("""COMPUTED_VALUE"""),"Enewetak Island")</f>
        <v>Enewetak Island</v>
      </c>
      <c r="B2421" s="120" t="str">
        <f>IFERROR(__xludf.DUMMYFUNCTION("""COMPUTED_VALUE"""),"ENT")</f>
        <v>ENT</v>
      </c>
      <c r="C2421" s="120" t="str">
        <f>IFERROR(__xludf.DUMMYFUNCTION("""COMPUTED_VALUE"""),"Enewetak Island")</f>
        <v>Enewetak Island</v>
      </c>
      <c r="D2421" s="120" t="str">
        <f>IFERROR(__xludf.DUMMYFUNCTION("""COMPUTED_VALUE"""),"Marshall Islands")</f>
        <v>Marshall Islands</v>
      </c>
      <c r="E2421" s="135"/>
      <c r="F2421" s="31"/>
    </row>
    <row r="2422">
      <c r="A2422" s="134" t="str">
        <f>IFERROR(__xludf.DUMMYFUNCTION("""COMPUTED_VALUE"""),"Engati")</f>
        <v>Engati</v>
      </c>
      <c r="B2422" s="120" t="str">
        <f>IFERROR(__xludf.DUMMYFUNCTION("""COMPUTED_VALUE"""),"EGA")</f>
        <v>EGA</v>
      </c>
      <c r="C2422" s="120" t="str">
        <f>IFERROR(__xludf.DUMMYFUNCTION("""COMPUTED_VALUE"""),"Engati")</f>
        <v>Engati</v>
      </c>
      <c r="D2422" s="120" t="str">
        <f>IFERROR(__xludf.DUMMYFUNCTION("""COMPUTED_VALUE"""),"Papua New Guinea")</f>
        <v>Papua New Guinea</v>
      </c>
      <c r="E2422" s="135"/>
      <c r="F2422" s="31"/>
    </row>
    <row r="2423">
      <c r="A2423" s="134" t="str">
        <f>IFERROR(__xludf.DUMMYFUNCTION("""COMPUTED_VALUE"""),"Enid")</f>
        <v>Enid</v>
      </c>
      <c r="B2423" s="120" t="str">
        <f>IFERROR(__xludf.DUMMYFUNCTION("""COMPUTED_VALUE"""),"WDG")</f>
        <v>WDG</v>
      </c>
      <c r="C2423" s="120" t="str">
        <f>IFERROR(__xludf.DUMMYFUNCTION("""COMPUTED_VALUE"""),"Enid Woodring Mun.")</f>
        <v>Enid Woodring Mun.</v>
      </c>
      <c r="D2423" s="120" t="str">
        <f>IFERROR(__xludf.DUMMYFUNCTION("""COMPUTED_VALUE"""),"United States")</f>
        <v>United States</v>
      </c>
      <c r="E2423" s="135"/>
      <c r="F2423" s="31"/>
    </row>
    <row r="2424">
      <c r="A2424" s="134" t="str">
        <f>IFERROR(__xludf.DUMMYFUNCTION("""COMPUTED_VALUE"""),"Enid")</f>
        <v>Enid</v>
      </c>
      <c r="B2424" s="120" t="str">
        <f>IFERROR(__xludf.DUMMYFUNCTION("""COMPUTED_VALUE"""),"END")</f>
        <v>END</v>
      </c>
      <c r="C2424" s="120" t="str">
        <f>IFERROR(__xludf.DUMMYFUNCTION("""COMPUTED_VALUE"""),"Vance AFB")</f>
        <v>Vance AFB</v>
      </c>
      <c r="D2424" s="120" t="str">
        <f>IFERROR(__xludf.DUMMYFUNCTION("""COMPUTED_VALUE"""),"United States")</f>
        <v>United States</v>
      </c>
      <c r="E2424" s="135"/>
      <c r="F2424" s="31"/>
    </row>
    <row r="2425">
      <c r="A2425" s="134" t="str">
        <f>IFERROR(__xludf.DUMMYFUNCTION("""COMPUTED_VALUE"""),"Eniseysk")</f>
        <v>Eniseysk</v>
      </c>
      <c r="B2425" s="120" t="str">
        <f>IFERROR(__xludf.DUMMYFUNCTION("""COMPUTED_VALUE"""),"EIE")</f>
        <v>EIE</v>
      </c>
      <c r="C2425" s="120" t="str">
        <f>IFERROR(__xludf.DUMMYFUNCTION("""COMPUTED_VALUE"""),"Eniseysk")</f>
        <v>Eniseysk</v>
      </c>
      <c r="D2425" s="120" t="str">
        <f>IFERROR(__xludf.DUMMYFUNCTION("""COMPUTED_VALUE"""),"Russia")</f>
        <v>Russia</v>
      </c>
      <c r="E2425" s="135"/>
      <c r="F2425" s="31"/>
    </row>
    <row r="2426">
      <c r="A2426" s="134" t="str">
        <f>IFERROR(__xludf.DUMMYFUNCTION("""COMPUTED_VALUE"""),"Enkoping")</f>
        <v>Enkoping</v>
      </c>
      <c r="B2426" s="120" t="str">
        <f>IFERROR(__xludf.DUMMYFUNCTION("""COMPUTED_VALUE"""),"XWQ")</f>
        <v>XWQ</v>
      </c>
      <c r="C2426" s="120" t="str">
        <f>IFERROR(__xludf.DUMMYFUNCTION("""COMPUTED_VALUE"""),"Enkoping")</f>
        <v>Enkoping</v>
      </c>
      <c r="D2426" s="120" t="str">
        <f>IFERROR(__xludf.DUMMYFUNCTION("""COMPUTED_VALUE"""),"Sweden")</f>
        <v>Sweden</v>
      </c>
      <c r="E2426" s="135"/>
      <c r="F2426" s="31"/>
    </row>
    <row r="2427">
      <c r="A2427" s="134" t="str">
        <f>IFERROR(__xludf.DUMMYFUNCTION("""COMPUTED_VALUE"""),"Enniskillen")</f>
        <v>Enniskillen</v>
      </c>
      <c r="B2427" s="120" t="str">
        <f>IFERROR(__xludf.DUMMYFUNCTION("""COMPUTED_VALUE"""),"ENK")</f>
        <v>ENK</v>
      </c>
      <c r="C2427" s="120" t="str">
        <f>IFERROR(__xludf.DUMMYFUNCTION("""COMPUTED_VALUE"""),"Enniskillen")</f>
        <v>Enniskillen</v>
      </c>
      <c r="D2427" s="120" t="str">
        <f>IFERROR(__xludf.DUMMYFUNCTION("""COMPUTED_VALUE"""),"United Kingdom")</f>
        <v>United Kingdom</v>
      </c>
      <c r="E2427" s="135"/>
      <c r="F2427" s="31"/>
    </row>
    <row r="2428">
      <c r="A2428" s="134" t="str">
        <f>IFERROR(__xludf.DUMMYFUNCTION("""COMPUTED_VALUE"""),"Enontekio")</f>
        <v>Enontekio</v>
      </c>
      <c r="B2428" s="120" t="str">
        <f>IFERROR(__xludf.DUMMYFUNCTION("""COMPUTED_VALUE"""),"ENF")</f>
        <v>ENF</v>
      </c>
      <c r="C2428" s="120" t="str">
        <f>IFERROR(__xludf.DUMMYFUNCTION("""COMPUTED_VALUE"""),"Enontekio")</f>
        <v>Enontekio</v>
      </c>
      <c r="D2428" s="120" t="str">
        <f>IFERROR(__xludf.DUMMYFUNCTION("""COMPUTED_VALUE"""),"Finland")</f>
        <v>Finland</v>
      </c>
      <c r="E2428" s="135"/>
      <c r="F2428" s="31"/>
    </row>
    <row r="2429">
      <c r="A2429" s="134" t="str">
        <f>IFERROR(__xludf.DUMMYFUNCTION("""COMPUTED_VALUE"""),"Enschede")</f>
        <v>Enschede</v>
      </c>
      <c r="B2429" s="120" t="str">
        <f>IFERROR(__xludf.DUMMYFUNCTION("""COMPUTED_VALUE"""),"ENS")</f>
        <v>ENS</v>
      </c>
      <c r="C2429" s="120" t="str">
        <f>IFERROR(__xludf.DUMMYFUNCTION("""COMPUTED_VALUE"""),"Twente")</f>
        <v>Twente</v>
      </c>
      <c r="D2429" s="120" t="str">
        <f>IFERROR(__xludf.DUMMYFUNCTION("""COMPUTED_VALUE"""),"Netherlands")</f>
        <v>Netherlands</v>
      </c>
      <c r="E2429" s="135"/>
      <c r="F2429" s="31"/>
    </row>
    <row r="2430">
      <c r="A2430" s="134" t="str">
        <f>IFERROR(__xludf.DUMMYFUNCTION("""COMPUTED_VALUE"""),"Ensenada")</f>
        <v>Ensenada</v>
      </c>
      <c r="B2430" s="120" t="str">
        <f>IFERROR(__xludf.DUMMYFUNCTION("""COMPUTED_VALUE"""),"ESE")</f>
        <v>ESE</v>
      </c>
      <c r="C2430" s="120" t="str">
        <f>IFERROR(__xludf.DUMMYFUNCTION("""COMPUTED_VALUE"""),"Ensenada")</f>
        <v>Ensenada</v>
      </c>
      <c r="D2430" s="120" t="str">
        <f>IFERROR(__xludf.DUMMYFUNCTION("""COMPUTED_VALUE"""),"Mexico")</f>
        <v>Mexico</v>
      </c>
      <c r="E2430" s="135"/>
      <c r="F2430" s="31"/>
    </row>
    <row r="2431">
      <c r="A2431" s="134" t="str">
        <f>IFERROR(__xludf.DUMMYFUNCTION("""COMPUTED_VALUE"""),"Enshi")</f>
        <v>Enshi</v>
      </c>
      <c r="B2431" s="120" t="str">
        <f>IFERROR(__xludf.DUMMYFUNCTION("""COMPUTED_VALUE"""),"ENH")</f>
        <v>ENH</v>
      </c>
      <c r="C2431" s="120" t="str">
        <f>IFERROR(__xludf.DUMMYFUNCTION("""COMPUTED_VALUE"""),"Enshi")</f>
        <v>Enshi</v>
      </c>
      <c r="D2431" s="120" t="str">
        <f>IFERROR(__xludf.DUMMYFUNCTION("""COMPUTED_VALUE"""),"China")</f>
        <v>China</v>
      </c>
      <c r="E2431" s="135"/>
      <c r="F2431" s="31"/>
    </row>
    <row r="2432">
      <c r="A2432" s="134" t="str">
        <f>IFERROR(__xludf.DUMMYFUNCTION("""COMPUTED_VALUE"""),"Entebbe")</f>
        <v>Entebbe</v>
      </c>
      <c r="B2432" s="120" t="str">
        <f>IFERROR(__xludf.DUMMYFUNCTION("""COMPUTED_VALUE"""),"EBB")</f>
        <v>EBB</v>
      </c>
      <c r="C2432" s="120" t="str">
        <f>IFERROR(__xludf.DUMMYFUNCTION("""COMPUTED_VALUE"""),"Entebbe")</f>
        <v>Entebbe</v>
      </c>
      <c r="D2432" s="120" t="str">
        <f>IFERROR(__xludf.DUMMYFUNCTION("""COMPUTED_VALUE"""),"Uganda")</f>
        <v>Uganda</v>
      </c>
      <c r="E2432" s="135"/>
      <c r="F2432" s="31"/>
    </row>
    <row r="2433">
      <c r="A2433" s="134" t="str">
        <f>IFERROR(__xludf.DUMMYFUNCTION("""COMPUTED_VALUE"""),"Enterprise")</f>
        <v>Enterprise</v>
      </c>
      <c r="B2433" s="120" t="str">
        <f>IFERROR(__xludf.DUMMYFUNCTION("""COMPUTED_VALUE"""),"ETS")</f>
        <v>ETS</v>
      </c>
      <c r="C2433" s="120" t="str">
        <f>IFERROR(__xludf.DUMMYFUNCTION("""COMPUTED_VALUE"""),"Municipal")</f>
        <v>Municipal</v>
      </c>
      <c r="D2433" s="120" t="str">
        <f>IFERROR(__xludf.DUMMYFUNCTION("""COMPUTED_VALUE"""),"United States")</f>
        <v>United States</v>
      </c>
      <c r="E2433" s="135"/>
      <c r="F2433" s="31"/>
    </row>
    <row r="2434">
      <c r="A2434" s="134" t="str">
        <f>IFERROR(__xludf.DUMMYFUNCTION("""COMPUTED_VALUE"""),"Enugu")</f>
        <v>Enugu</v>
      </c>
      <c r="B2434" s="120" t="str">
        <f>IFERROR(__xludf.DUMMYFUNCTION("""COMPUTED_VALUE"""),"ENU")</f>
        <v>ENU</v>
      </c>
      <c r="C2434" s="120" t="str">
        <f>IFERROR(__xludf.DUMMYFUNCTION("""COMPUTED_VALUE"""),"Enugu")</f>
        <v>Enugu</v>
      </c>
      <c r="D2434" s="120" t="str">
        <f>IFERROR(__xludf.DUMMYFUNCTION("""COMPUTED_VALUE"""),"Nigeria")</f>
        <v>Nigeria</v>
      </c>
      <c r="E2434" s="135"/>
      <c r="F2434" s="31"/>
    </row>
    <row r="2435">
      <c r="A2435" s="134" t="str">
        <f>IFERROR(__xludf.DUMMYFUNCTION("""COMPUTED_VALUE"""),"Epena")</f>
        <v>Epena</v>
      </c>
      <c r="B2435" s="120" t="str">
        <f>IFERROR(__xludf.DUMMYFUNCTION("""COMPUTED_VALUE"""),"EPN")</f>
        <v>EPN</v>
      </c>
      <c r="C2435" s="120" t="str">
        <f>IFERROR(__xludf.DUMMYFUNCTION("""COMPUTED_VALUE"""),"Epena")</f>
        <v>Epena</v>
      </c>
      <c r="D2435" s="120" t="str">
        <f>IFERROR(__xludf.DUMMYFUNCTION("""COMPUTED_VALUE"""),"Congo")</f>
        <v>Congo</v>
      </c>
      <c r="E2435" s="135"/>
      <c r="F2435" s="31"/>
    </row>
    <row r="2436">
      <c r="A2436" s="134" t="str">
        <f>IFERROR(__xludf.DUMMYFUNCTION("""COMPUTED_VALUE"""),"Ephrata")</f>
        <v>Ephrata</v>
      </c>
      <c r="B2436" s="120" t="str">
        <f>IFERROR(__xludf.DUMMYFUNCTION("""COMPUTED_VALUE"""),"EPH")</f>
        <v>EPH</v>
      </c>
      <c r="C2436" s="120" t="str">
        <f>IFERROR(__xludf.DUMMYFUNCTION("""COMPUTED_VALUE"""),"Ephrata")</f>
        <v>Ephrata</v>
      </c>
      <c r="D2436" s="120" t="str">
        <f>IFERROR(__xludf.DUMMYFUNCTION("""COMPUTED_VALUE"""),"United States")</f>
        <v>United States</v>
      </c>
      <c r="E2436" s="135"/>
      <c r="F2436" s="31"/>
    </row>
    <row r="2437">
      <c r="A2437" s="134" t="str">
        <f>IFERROR(__xludf.DUMMYFUNCTION("""COMPUTED_VALUE"""),"Epi")</f>
        <v>Epi</v>
      </c>
      <c r="B2437" s="120" t="str">
        <f>IFERROR(__xludf.DUMMYFUNCTION("""COMPUTED_VALUE"""),"EPI")</f>
        <v>EPI</v>
      </c>
      <c r="C2437" s="120" t="str">
        <f>IFERROR(__xludf.DUMMYFUNCTION("""COMPUTED_VALUE"""),"Epi")</f>
        <v>Epi</v>
      </c>
      <c r="D2437" s="120" t="str">
        <f>IFERROR(__xludf.DUMMYFUNCTION("""COMPUTED_VALUE"""),"Vanuatu")</f>
        <v>Vanuatu</v>
      </c>
      <c r="E2437" s="135"/>
      <c r="F2437" s="31"/>
    </row>
    <row r="2438">
      <c r="A2438" s="134" t="str">
        <f>IFERROR(__xludf.DUMMYFUNCTION("""COMPUTED_VALUE"""),"Epinal")</f>
        <v>Epinal</v>
      </c>
      <c r="B2438" s="120" t="str">
        <f>IFERROR(__xludf.DUMMYFUNCTION("""COMPUTED_VALUE"""),"EPL")</f>
        <v>EPL</v>
      </c>
      <c r="C2438" s="120" t="str">
        <f>IFERROR(__xludf.DUMMYFUNCTION("""COMPUTED_VALUE"""),"Mirecourt")</f>
        <v>Mirecourt</v>
      </c>
      <c r="D2438" s="120" t="str">
        <f>IFERROR(__xludf.DUMMYFUNCTION("""COMPUTED_VALUE"""),"France")</f>
        <v>France</v>
      </c>
      <c r="E2438" s="135"/>
      <c r="F2438" s="31"/>
    </row>
    <row r="2439">
      <c r="A2439" s="134" t="str">
        <f>IFERROR(__xludf.DUMMYFUNCTION("""COMPUTED_VALUE"""),"Episkopi")</f>
        <v>Episkopi</v>
      </c>
      <c r="B2439" s="120" t="str">
        <f>IFERROR(__xludf.DUMMYFUNCTION("""COMPUTED_VALUE"""),"EPK")</f>
        <v>EPK</v>
      </c>
      <c r="C2439" s="120" t="str">
        <f>IFERROR(__xludf.DUMMYFUNCTION("""COMPUTED_VALUE"""),"Episkopi")</f>
        <v>Episkopi</v>
      </c>
      <c r="D2439" s="120" t="str">
        <f>IFERROR(__xludf.DUMMYFUNCTION("""COMPUTED_VALUE"""),"Cyprus")</f>
        <v>Cyprus</v>
      </c>
      <c r="E2439" s="135"/>
      <c r="F2439" s="31"/>
    </row>
    <row r="2440">
      <c r="A2440" s="134" t="str">
        <f>IFERROR(__xludf.DUMMYFUNCTION("""COMPUTED_VALUE"""),"Erandique")</f>
        <v>Erandique</v>
      </c>
      <c r="B2440" s="120" t="str">
        <f>IFERROR(__xludf.DUMMYFUNCTION("""COMPUTED_VALUE"""),"EDQ")</f>
        <v>EDQ</v>
      </c>
      <c r="C2440" s="120" t="str">
        <f>IFERROR(__xludf.DUMMYFUNCTION("""COMPUTED_VALUE"""),"Erandique")</f>
        <v>Erandique</v>
      </c>
      <c r="D2440" s="120" t="str">
        <f>IFERROR(__xludf.DUMMYFUNCTION("""COMPUTED_VALUE"""),"Honduras")</f>
        <v>Honduras</v>
      </c>
      <c r="E2440" s="135"/>
      <c r="F2440" s="31"/>
    </row>
    <row r="2441">
      <c r="A2441" s="134" t="str">
        <f>IFERROR(__xludf.DUMMYFUNCTION("""COMPUTED_VALUE"""),"Erave")</f>
        <v>Erave</v>
      </c>
      <c r="B2441" s="120" t="str">
        <f>IFERROR(__xludf.DUMMYFUNCTION("""COMPUTED_VALUE"""),"ERE")</f>
        <v>ERE</v>
      </c>
      <c r="C2441" s="120" t="str">
        <f>IFERROR(__xludf.DUMMYFUNCTION("""COMPUTED_VALUE"""),"Erave")</f>
        <v>Erave</v>
      </c>
      <c r="D2441" s="120" t="str">
        <f>IFERROR(__xludf.DUMMYFUNCTION("""COMPUTED_VALUE"""),"Papua New Guinea")</f>
        <v>Papua New Guinea</v>
      </c>
      <c r="E2441" s="135"/>
      <c r="F2441" s="31"/>
    </row>
    <row r="2442">
      <c r="A2442" s="134" t="str">
        <f>IFERROR(__xludf.DUMMYFUNCTION("""COMPUTED_VALUE"""),"Lefkosa")</f>
        <v>Lefkosa</v>
      </c>
      <c r="B2442" s="120" t="str">
        <f>IFERROR(__xludf.DUMMYFUNCTION("""COMPUTED_VALUE"""),"ECN")</f>
        <v>ECN</v>
      </c>
      <c r="C2442" s="120" t="str">
        <f>IFERROR(__xludf.DUMMYFUNCTION("""COMPUTED_VALUE"""),"Ercan")</f>
        <v>Ercan</v>
      </c>
      <c r="D2442" s="120" t="str">
        <f>IFERROR(__xludf.DUMMYFUNCTION("""COMPUTED_VALUE"""),"Cyprus")</f>
        <v>Cyprus</v>
      </c>
      <c r="E2442" s="135"/>
      <c r="F2442" s="31"/>
    </row>
    <row r="2443">
      <c r="A2443" s="134" t="str">
        <f>IFERROR(__xludf.DUMMYFUNCTION("""COMPUTED_VALUE"""),"Erdenet")</f>
        <v>Erdenet</v>
      </c>
      <c r="B2443" s="120" t="str">
        <f>IFERROR(__xludf.DUMMYFUNCTION("""COMPUTED_VALUE"""),"ERT")</f>
        <v>ERT</v>
      </c>
      <c r="C2443" s="120" t="str">
        <f>IFERROR(__xludf.DUMMYFUNCTION("""COMPUTED_VALUE"""),"Erdenet")</f>
        <v>Erdenet</v>
      </c>
      <c r="D2443" s="120" t="str">
        <f>IFERROR(__xludf.DUMMYFUNCTION("""COMPUTED_VALUE"""),"Mongolia")</f>
        <v>Mongolia</v>
      </c>
      <c r="E2443" s="135"/>
      <c r="F2443" s="31"/>
    </row>
    <row r="2444">
      <c r="A2444" s="134" t="str">
        <f>IFERROR(__xludf.DUMMYFUNCTION("""COMPUTED_VALUE"""),"Erechim")</f>
        <v>Erechim</v>
      </c>
      <c r="B2444" s="120" t="str">
        <f>IFERROR(__xludf.DUMMYFUNCTION("""COMPUTED_VALUE"""),"ERM")</f>
        <v>ERM</v>
      </c>
      <c r="C2444" s="120" t="str">
        <f>IFERROR(__xludf.DUMMYFUNCTION("""COMPUTED_VALUE"""),"Comandante Kraemer")</f>
        <v>Comandante Kraemer</v>
      </c>
      <c r="D2444" s="120" t="str">
        <f>IFERROR(__xludf.DUMMYFUNCTION("""COMPUTED_VALUE"""),"Brazil")</f>
        <v>Brazil</v>
      </c>
      <c r="E2444" s="135"/>
      <c r="F2444" s="31"/>
    </row>
    <row r="2445">
      <c r="A2445" s="134" t="str">
        <f>IFERROR(__xludf.DUMMYFUNCTION("""COMPUTED_VALUE"""),"Erfurt")</f>
        <v>Erfurt</v>
      </c>
      <c r="B2445" s="120" t="str">
        <f>IFERROR(__xludf.DUMMYFUNCTION("""COMPUTED_VALUE"""),"ERF")</f>
        <v>ERF</v>
      </c>
      <c r="C2445" s="120" t="str">
        <f>IFERROR(__xludf.DUMMYFUNCTION("""COMPUTED_VALUE"""),"Erfurt")</f>
        <v>Erfurt</v>
      </c>
      <c r="D2445" s="120" t="str">
        <f>IFERROR(__xludf.DUMMYFUNCTION("""COMPUTED_VALUE"""),"Germany")</f>
        <v>Germany</v>
      </c>
      <c r="E2445" s="135"/>
      <c r="F2445" s="31"/>
    </row>
    <row r="2446">
      <c r="A2446" s="134" t="str">
        <f>IFERROR(__xludf.DUMMYFUNCTION("""COMPUTED_VALUE"""),"Erie")</f>
        <v>Erie</v>
      </c>
      <c r="B2446" s="120" t="str">
        <f>IFERROR(__xludf.DUMMYFUNCTION("""COMPUTED_VALUE"""),"ERI")</f>
        <v>ERI</v>
      </c>
      <c r="C2446" s="120" t="str">
        <f>IFERROR(__xludf.DUMMYFUNCTION("""COMPUTED_VALUE"""),"International")</f>
        <v>International</v>
      </c>
      <c r="D2446" s="120" t="str">
        <f>IFERROR(__xludf.DUMMYFUNCTION("""COMPUTED_VALUE"""),"United States")</f>
        <v>United States</v>
      </c>
      <c r="E2446" s="135"/>
      <c r="F2446" s="31"/>
    </row>
    <row r="2447">
      <c r="A2447" s="134" t="str">
        <f>IFERROR(__xludf.DUMMYFUNCTION("""COMPUTED_VALUE"""),"Erigavo")</f>
        <v>Erigavo</v>
      </c>
      <c r="B2447" s="120" t="str">
        <f>IFERROR(__xludf.DUMMYFUNCTION("""COMPUTED_VALUE"""),"ERA")</f>
        <v>ERA</v>
      </c>
      <c r="C2447" s="120" t="str">
        <f>IFERROR(__xludf.DUMMYFUNCTION("""COMPUTED_VALUE"""),"Erigavo")</f>
        <v>Erigavo</v>
      </c>
      <c r="D2447" s="120" t="str">
        <f>IFERROR(__xludf.DUMMYFUNCTION("""COMPUTED_VALUE"""),"Somalia")</f>
        <v>Somalia</v>
      </c>
      <c r="E2447" s="135"/>
      <c r="F2447" s="31"/>
    </row>
    <row r="2448">
      <c r="A2448" s="134" t="str">
        <f>IFERROR(__xludf.DUMMYFUNCTION("""COMPUTED_VALUE"""),"Erldunda")</f>
        <v>Erldunda</v>
      </c>
      <c r="B2448" s="120" t="str">
        <f>IFERROR(__xludf.DUMMYFUNCTION("""COMPUTED_VALUE"""),"EDD")</f>
        <v>EDD</v>
      </c>
      <c r="C2448" s="120" t="str">
        <f>IFERROR(__xludf.DUMMYFUNCTION("""COMPUTED_VALUE"""),"Erldunda")</f>
        <v>Erldunda</v>
      </c>
      <c r="D2448" s="120" t="str">
        <f>IFERROR(__xludf.DUMMYFUNCTION("""COMPUTED_VALUE"""),"Australia")</f>
        <v>Australia</v>
      </c>
      <c r="E2448" s="135"/>
      <c r="F2448" s="31"/>
    </row>
    <row r="2449">
      <c r="A2449" s="134" t="str">
        <f>IFERROR(__xludf.DUMMYFUNCTION("""COMPUTED_VALUE"""),"Ernabella")</f>
        <v>Ernabella</v>
      </c>
      <c r="B2449" s="120" t="str">
        <f>IFERROR(__xludf.DUMMYFUNCTION("""COMPUTED_VALUE"""),"ERB")</f>
        <v>ERB</v>
      </c>
      <c r="C2449" s="120" t="str">
        <f>IFERROR(__xludf.DUMMYFUNCTION("""COMPUTED_VALUE"""),"Ernabella")</f>
        <v>Ernabella</v>
      </c>
      <c r="D2449" s="120" t="str">
        <f>IFERROR(__xludf.DUMMYFUNCTION("""COMPUTED_VALUE"""),"Australia")</f>
        <v>Australia</v>
      </c>
      <c r="E2449" s="135"/>
      <c r="F2449" s="31"/>
    </row>
    <row r="2450">
      <c r="A2450" s="134" t="str">
        <f>IFERROR(__xludf.DUMMYFUNCTION("""COMPUTED_VALUE"""),"Errachidia")</f>
        <v>Errachidia</v>
      </c>
      <c r="B2450" s="120" t="str">
        <f>IFERROR(__xludf.DUMMYFUNCTION("""COMPUTED_VALUE"""),"ERH")</f>
        <v>ERH</v>
      </c>
      <c r="C2450" s="120" t="str">
        <f>IFERROR(__xludf.DUMMYFUNCTION("""COMPUTED_VALUE"""),"Errachidia")</f>
        <v>Errachidia</v>
      </c>
      <c r="D2450" s="120" t="str">
        <f>IFERROR(__xludf.DUMMYFUNCTION("""COMPUTED_VALUE"""),"Morocco")</f>
        <v>Morocco</v>
      </c>
      <c r="E2450" s="135"/>
      <c r="F2450" s="31"/>
    </row>
    <row r="2451">
      <c r="A2451" s="134" t="str">
        <f>IFERROR(__xludf.DUMMYFUNCTION("""COMPUTED_VALUE"""),"Errol")</f>
        <v>Errol</v>
      </c>
      <c r="B2451" s="120" t="str">
        <f>IFERROR(__xludf.DUMMYFUNCTION("""COMPUTED_VALUE"""),"ERR")</f>
        <v>ERR</v>
      </c>
      <c r="C2451" s="120" t="str">
        <f>IFERROR(__xludf.DUMMYFUNCTION("""COMPUTED_VALUE"""),"Errol")</f>
        <v>Errol</v>
      </c>
      <c r="D2451" s="120" t="str">
        <f>IFERROR(__xludf.DUMMYFUNCTION("""COMPUTED_VALUE"""),"United States")</f>
        <v>United States</v>
      </c>
      <c r="E2451" s="135"/>
      <c r="F2451" s="31"/>
    </row>
    <row r="2452">
      <c r="A2452" s="134" t="str">
        <f>IFERROR(__xludf.DUMMYFUNCTION("""COMPUTED_VALUE"""),"Erume")</f>
        <v>Erume</v>
      </c>
      <c r="B2452" s="120" t="str">
        <f>IFERROR(__xludf.DUMMYFUNCTION("""COMPUTED_VALUE"""),"ERU")</f>
        <v>ERU</v>
      </c>
      <c r="C2452" s="120" t="str">
        <f>IFERROR(__xludf.DUMMYFUNCTION("""COMPUTED_VALUE"""),"Erume")</f>
        <v>Erume</v>
      </c>
      <c r="D2452" s="120" t="str">
        <f>IFERROR(__xludf.DUMMYFUNCTION("""COMPUTED_VALUE"""),"Papua New Guinea")</f>
        <v>Papua New Guinea</v>
      </c>
      <c r="E2452" s="135"/>
      <c r="F2452" s="31"/>
    </row>
    <row r="2453">
      <c r="A2453" s="134" t="str">
        <f>IFERROR(__xludf.DUMMYFUNCTION("""COMPUTED_VALUE"""),"Erzincan")</f>
        <v>Erzincan</v>
      </c>
      <c r="B2453" s="120" t="str">
        <f>IFERROR(__xludf.DUMMYFUNCTION("""COMPUTED_VALUE"""),"ERC")</f>
        <v>ERC</v>
      </c>
      <c r="C2453" s="120" t="str">
        <f>IFERROR(__xludf.DUMMYFUNCTION("""COMPUTED_VALUE"""),"Erzincan")</f>
        <v>Erzincan</v>
      </c>
      <c r="D2453" s="120" t="str">
        <f>IFERROR(__xludf.DUMMYFUNCTION("""COMPUTED_VALUE"""),"Turkey")</f>
        <v>Turkey</v>
      </c>
      <c r="E2453" s="135"/>
      <c r="F2453" s="31"/>
    </row>
    <row r="2454">
      <c r="A2454" s="134" t="str">
        <f>IFERROR(__xludf.DUMMYFUNCTION("""COMPUTED_VALUE"""),"Erzurum")</f>
        <v>Erzurum</v>
      </c>
      <c r="B2454" s="120" t="str">
        <f>IFERROR(__xludf.DUMMYFUNCTION("""COMPUTED_VALUE"""),"ERZ")</f>
        <v>ERZ</v>
      </c>
      <c r="C2454" s="120" t="str">
        <f>IFERROR(__xludf.DUMMYFUNCTION("""COMPUTED_VALUE"""),"Erzurum")</f>
        <v>Erzurum</v>
      </c>
      <c r="D2454" s="120" t="str">
        <f>IFERROR(__xludf.DUMMYFUNCTION("""COMPUTED_VALUE"""),"Turkey")</f>
        <v>Turkey</v>
      </c>
      <c r="E2454" s="135"/>
      <c r="F2454" s="31"/>
    </row>
    <row r="2455">
      <c r="A2455" s="134" t="str">
        <f>IFERROR(__xludf.DUMMYFUNCTION("""COMPUTED_VALUE"""),"Esbjerg")</f>
        <v>Esbjerg</v>
      </c>
      <c r="B2455" s="120" t="str">
        <f>IFERROR(__xludf.DUMMYFUNCTION("""COMPUTED_VALUE"""),"EBJ")</f>
        <v>EBJ</v>
      </c>
      <c r="C2455" s="120" t="str">
        <f>IFERROR(__xludf.DUMMYFUNCTION("""COMPUTED_VALUE"""),"Esbjerg")</f>
        <v>Esbjerg</v>
      </c>
      <c r="D2455" s="120" t="str">
        <f>IFERROR(__xludf.DUMMYFUNCTION("""COMPUTED_VALUE"""),"Denmark")</f>
        <v>Denmark</v>
      </c>
      <c r="E2455" s="135"/>
      <c r="F2455" s="31"/>
    </row>
    <row r="2456">
      <c r="A2456" s="134" t="str">
        <f>IFERROR(__xludf.DUMMYFUNCTION("""COMPUTED_VALUE"""),"Escanaba")</f>
        <v>Escanaba</v>
      </c>
      <c r="B2456" s="120" t="str">
        <f>IFERROR(__xludf.DUMMYFUNCTION("""COMPUTED_VALUE"""),"ESC")</f>
        <v>ESC</v>
      </c>
      <c r="C2456" s="120" t="str">
        <f>IFERROR(__xludf.DUMMYFUNCTION("""COMPUTED_VALUE"""),"Delta County Arpt")</f>
        <v>Delta County Arpt</v>
      </c>
      <c r="D2456" s="120" t="str">
        <f>IFERROR(__xludf.DUMMYFUNCTION("""COMPUTED_VALUE"""),"United States")</f>
        <v>United States</v>
      </c>
      <c r="E2456" s="135"/>
      <c r="F2456" s="31"/>
    </row>
    <row r="2457">
      <c r="A2457" s="134" t="str">
        <f>IFERROR(__xludf.DUMMYFUNCTION("""COMPUTED_VALUE"""),"Eskilstuna")</f>
        <v>Eskilstuna</v>
      </c>
      <c r="B2457" s="120" t="str">
        <f>IFERROR(__xludf.DUMMYFUNCTION("""COMPUTED_VALUE"""),"EKT")</f>
        <v>EKT</v>
      </c>
      <c r="C2457" s="120" t="str">
        <f>IFERROR(__xludf.DUMMYFUNCTION("""COMPUTED_VALUE"""),"Eskilstuna")</f>
        <v>Eskilstuna</v>
      </c>
      <c r="D2457" s="120" t="str">
        <f>IFERROR(__xludf.DUMMYFUNCTION("""COMPUTED_VALUE"""),"Sweden")</f>
        <v>Sweden</v>
      </c>
      <c r="E2457" s="135"/>
      <c r="F2457" s="31"/>
    </row>
    <row r="2458">
      <c r="A2458" s="134" t="str">
        <f>IFERROR(__xludf.DUMMYFUNCTION("""COMPUTED_VALUE"""),"Eskisehir")</f>
        <v>Eskisehir</v>
      </c>
      <c r="B2458" s="120" t="str">
        <f>IFERROR(__xludf.DUMMYFUNCTION("""COMPUTED_VALUE"""),"ESK")</f>
        <v>ESK</v>
      </c>
      <c r="C2458" s="120" t="str">
        <f>IFERROR(__xludf.DUMMYFUNCTION("""COMPUTED_VALUE"""),"Eskisehir")</f>
        <v>Eskisehir</v>
      </c>
      <c r="D2458" s="120" t="str">
        <f>IFERROR(__xludf.DUMMYFUNCTION("""COMPUTED_VALUE"""),"Turkey")</f>
        <v>Turkey</v>
      </c>
      <c r="E2458" s="135"/>
      <c r="F2458" s="31"/>
    </row>
    <row r="2459">
      <c r="A2459" s="134" t="str">
        <f>IFERROR(__xludf.DUMMYFUNCTION("""COMPUTED_VALUE"""),"Eskisehir")</f>
        <v>Eskisehir</v>
      </c>
      <c r="B2459" s="120" t="str">
        <f>IFERROR(__xludf.DUMMYFUNCTION("""COMPUTED_VALUE"""),"AOE")</f>
        <v>AOE</v>
      </c>
      <c r="C2459" s="120" t="str">
        <f>IFERROR(__xludf.DUMMYFUNCTION("""COMPUTED_VALUE"""),"Anadolu University")</f>
        <v>Anadolu University</v>
      </c>
      <c r="D2459" s="120" t="str">
        <f>IFERROR(__xludf.DUMMYFUNCTION("""COMPUTED_VALUE"""),"Turkey")</f>
        <v>Turkey</v>
      </c>
      <c r="E2459" s="135"/>
      <c r="F2459" s="31"/>
    </row>
    <row r="2460">
      <c r="A2460" s="134" t="str">
        <f>IFERROR(__xludf.DUMMYFUNCTION("""COMPUTED_VALUE"""),"Esmeraldas")</f>
        <v>Esmeraldas</v>
      </c>
      <c r="B2460" s="120" t="str">
        <f>IFERROR(__xludf.DUMMYFUNCTION("""COMPUTED_VALUE"""),"ESM")</f>
        <v>ESM</v>
      </c>
      <c r="C2460" s="120" t="str">
        <f>IFERROR(__xludf.DUMMYFUNCTION("""COMPUTED_VALUE"""),"Esmeraldas")</f>
        <v>Esmeraldas</v>
      </c>
      <c r="D2460" s="120" t="str">
        <f>IFERROR(__xludf.DUMMYFUNCTION("""COMPUTED_VALUE"""),"Ecuador")</f>
        <v>Ecuador</v>
      </c>
      <c r="E2460" s="135"/>
      <c r="F2460" s="31"/>
    </row>
    <row r="2461">
      <c r="A2461" s="134" t="str">
        <f>IFERROR(__xludf.DUMMYFUNCTION("""COMPUTED_VALUE"""),"Espanola")</f>
        <v>Espanola</v>
      </c>
      <c r="B2461" s="120" t="str">
        <f>IFERROR(__xludf.DUMMYFUNCTION("""COMPUTED_VALUE"""),"ESO")</f>
        <v>ESO</v>
      </c>
      <c r="C2461" s="120" t="str">
        <f>IFERROR(__xludf.DUMMYFUNCTION("""COMPUTED_VALUE"""),"Espanola")</f>
        <v>Espanola</v>
      </c>
      <c r="D2461" s="120" t="str">
        <f>IFERROR(__xludf.DUMMYFUNCTION("""COMPUTED_VALUE"""),"United States")</f>
        <v>United States</v>
      </c>
      <c r="E2461" s="135"/>
      <c r="F2461" s="31"/>
    </row>
    <row r="2462">
      <c r="A2462" s="134" t="str">
        <f>IFERROR(__xludf.DUMMYFUNCTION("""COMPUTED_VALUE"""),"Esperance")</f>
        <v>Esperance</v>
      </c>
      <c r="B2462" s="120" t="str">
        <f>IFERROR(__xludf.DUMMYFUNCTION("""COMPUTED_VALUE"""),"EPR")</f>
        <v>EPR</v>
      </c>
      <c r="C2462" s="120" t="str">
        <f>IFERROR(__xludf.DUMMYFUNCTION("""COMPUTED_VALUE"""),"Esperance")</f>
        <v>Esperance</v>
      </c>
      <c r="D2462" s="120" t="str">
        <f>IFERROR(__xludf.DUMMYFUNCTION("""COMPUTED_VALUE"""),"Australia")</f>
        <v>Australia</v>
      </c>
      <c r="E2462" s="135"/>
      <c r="F2462" s="31"/>
    </row>
    <row r="2463">
      <c r="A2463" s="134" t="str">
        <f>IFERROR(__xludf.DUMMYFUNCTION("""COMPUTED_VALUE"""),"Espinosa")</f>
        <v>Espinosa</v>
      </c>
      <c r="B2463" s="120" t="str">
        <f>IFERROR(__xludf.DUMMYFUNCTION("""COMPUTED_VALUE"""),"ESI")</f>
        <v>ESI</v>
      </c>
      <c r="C2463" s="120" t="str">
        <f>IFERROR(__xludf.DUMMYFUNCTION("""COMPUTED_VALUE"""),"Espinosa")</f>
        <v>Espinosa</v>
      </c>
      <c r="D2463" s="120" t="str">
        <f>IFERROR(__xludf.DUMMYFUNCTION("""COMPUTED_VALUE"""),"Brazil")</f>
        <v>Brazil</v>
      </c>
      <c r="E2463" s="135"/>
      <c r="F2463" s="31"/>
    </row>
    <row r="2464">
      <c r="A2464" s="134" t="str">
        <f>IFERROR(__xludf.DUMMYFUNCTION("""COMPUTED_VALUE"""),"Espiritu Santo")</f>
        <v>Espiritu Santo</v>
      </c>
      <c r="B2464" s="120" t="str">
        <f>IFERROR(__xludf.DUMMYFUNCTION("""COMPUTED_VALUE"""),"SON")</f>
        <v>SON</v>
      </c>
      <c r="C2464" s="120" t="str">
        <f>IFERROR(__xludf.DUMMYFUNCTION("""COMPUTED_VALUE"""),"Pekoa")</f>
        <v>Pekoa</v>
      </c>
      <c r="D2464" s="120" t="str">
        <f>IFERROR(__xludf.DUMMYFUNCTION("""COMPUTED_VALUE"""),"Vanuatu")</f>
        <v>Vanuatu</v>
      </c>
      <c r="E2464" s="135"/>
      <c r="F2464" s="31"/>
    </row>
    <row r="2465">
      <c r="A2465" s="134" t="str">
        <f>IFERROR(__xludf.DUMMYFUNCTION("""COMPUTED_VALUE"""),"Esquel")</f>
        <v>Esquel</v>
      </c>
      <c r="B2465" s="120" t="str">
        <f>IFERROR(__xludf.DUMMYFUNCTION("""COMPUTED_VALUE"""),"EQS")</f>
        <v>EQS</v>
      </c>
      <c r="C2465" s="120" t="str">
        <f>IFERROR(__xludf.DUMMYFUNCTION("""COMPUTED_VALUE"""),"Esquel")</f>
        <v>Esquel</v>
      </c>
      <c r="D2465" s="120" t="str">
        <f>IFERROR(__xludf.DUMMYFUNCTION("""COMPUTED_VALUE"""),"Argentina")</f>
        <v>Argentina</v>
      </c>
      <c r="E2465" s="135"/>
      <c r="F2465" s="31"/>
    </row>
    <row r="2466">
      <c r="A2466" s="134" t="str">
        <f>IFERROR(__xludf.DUMMYFUNCTION("""COMPUTED_VALUE"""),"Esquimalt")</f>
        <v>Esquimalt</v>
      </c>
      <c r="B2466" s="120" t="str">
        <f>IFERROR(__xludf.DUMMYFUNCTION("""COMPUTED_VALUE"""),"YPF")</f>
        <v>YPF</v>
      </c>
      <c r="C2466" s="120" t="str">
        <f>IFERROR(__xludf.DUMMYFUNCTION("""COMPUTED_VALUE"""),"Esquimalt")</f>
        <v>Esquimalt</v>
      </c>
      <c r="D2466" s="120" t="str">
        <f>IFERROR(__xludf.DUMMYFUNCTION("""COMPUTED_VALUE"""),"Canada")</f>
        <v>Canada</v>
      </c>
      <c r="E2466" s="135"/>
      <c r="F2466" s="31"/>
    </row>
    <row r="2467">
      <c r="A2467" s="134" t="str">
        <f>IFERROR(__xludf.DUMMYFUNCTION("""COMPUTED_VALUE"""),"Essaouira")</f>
        <v>Essaouira</v>
      </c>
      <c r="B2467" s="120" t="str">
        <f>IFERROR(__xludf.DUMMYFUNCTION("""COMPUTED_VALUE"""),"ESU")</f>
        <v>ESU</v>
      </c>
      <c r="C2467" s="120" t="str">
        <f>IFERROR(__xludf.DUMMYFUNCTION("""COMPUTED_VALUE"""),"Essaouira")</f>
        <v>Essaouira</v>
      </c>
      <c r="D2467" s="120" t="str">
        <f>IFERROR(__xludf.DUMMYFUNCTION("""COMPUTED_VALUE"""),"Morocco")</f>
        <v>Morocco</v>
      </c>
      <c r="E2467" s="135"/>
      <c r="F2467" s="31"/>
    </row>
    <row r="2468">
      <c r="A2468" s="134" t="str">
        <f>IFERROR(__xludf.DUMMYFUNCTION("""COMPUTED_VALUE"""),"Essen")</f>
        <v>Essen</v>
      </c>
      <c r="B2468" s="120" t="str">
        <f>IFERROR(__xludf.DUMMYFUNCTION("""COMPUTED_VALUE"""),"ESS")</f>
        <v>ESS</v>
      </c>
      <c r="C2468" s="120" t="str">
        <f>IFERROR(__xludf.DUMMYFUNCTION("""COMPUTED_VALUE"""),"Essen")</f>
        <v>Essen</v>
      </c>
      <c r="D2468" s="120" t="str">
        <f>IFERROR(__xludf.DUMMYFUNCTION("""COMPUTED_VALUE"""),"Germany")</f>
        <v>Germany</v>
      </c>
      <c r="E2468" s="135"/>
      <c r="F2468" s="31"/>
    </row>
    <row r="2469">
      <c r="A2469" s="134" t="str">
        <f>IFERROR(__xludf.DUMMYFUNCTION("""COMPUTED_VALUE"""),"Estevan")</f>
        <v>Estevan</v>
      </c>
      <c r="B2469" s="120" t="str">
        <f>IFERROR(__xludf.DUMMYFUNCTION("""COMPUTED_VALUE"""),"YEN")</f>
        <v>YEN</v>
      </c>
      <c r="C2469" s="120" t="str">
        <f>IFERROR(__xludf.DUMMYFUNCTION("""COMPUTED_VALUE"""),"Estevan")</f>
        <v>Estevan</v>
      </c>
      <c r="D2469" s="120" t="str">
        <f>IFERROR(__xludf.DUMMYFUNCTION("""COMPUTED_VALUE"""),"Canada")</f>
        <v>Canada</v>
      </c>
      <c r="E2469" s="135"/>
      <c r="F2469" s="31"/>
    </row>
    <row r="2470">
      <c r="A2470" s="134" t="str">
        <f>IFERROR(__xludf.DUMMYFUNCTION("""COMPUTED_VALUE"""),"Estevan Point")</f>
        <v>Estevan Point</v>
      </c>
      <c r="B2470" s="120" t="str">
        <f>IFERROR(__xludf.DUMMYFUNCTION("""COMPUTED_VALUE"""),"YEP")</f>
        <v>YEP</v>
      </c>
      <c r="C2470" s="120" t="str">
        <f>IFERROR(__xludf.DUMMYFUNCTION("""COMPUTED_VALUE"""),"Estevan Point")</f>
        <v>Estevan Point</v>
      </c>
      <c r="D2470" s="120" t="str">
        <f>IFERROR(__xludf.DUMMYFUNCTION("""COMPUTED_VALUE"""),"Canada")</f>
        <v>Canada</v>
      </c>
      <c r="E2470" s="135"/>
      <c r="F2470" s="31"/>
    </row>
    <row r="2471">
      <c r="A2471" s="134" t="str">
        <f>IFERROR(__xludf.DUMMYFUNCTION("""COMPUTED_VALUE"""),"Estherville")</f>
        <v>Estherville</v>
      </c>
      <c r="B2471" s="120" t="str">
        <f>IFERROR(__xludf.DUMMYFUNCTION("""COMPUTED_VALUE"""),"EST")</f>
        <v>EST</v>
      </c>
      <c r="C2471" s="120" t="str">
        <f>IFERROR(__xludf.DUMMYFUNCTION("""COMPUTED_VALUE"""),"Municipal")</f>
        <v>Municipal</v>
      </c>
      <c r="D2471" s="120" t="str">
        <f>IFERROR(__xludf.DUMMYFUNCTION("""COMPUTED_VALUE"""),"United States")</f>
        <v>United States</v>
      </c>
      <c r="E2471" s="135"/>
      <c r="F2471" s="31"/>
    </row>
    <row r="2472">
      <c r="A2472" s="134" t="str">
        <f>IFERROR(__xludf.DUMMYFUNCTION("""COMPUTED_VALUE"""),"Etadunna")</f>
        <v>Etadunna</v>
      </c>
      <c r="B2472" s="120" t="str">
        <f>IFERROR(__xludf.DUMMYFUNCTION("""COMPUTED_VALUE"""),"ETD")</f>
        <v>ETD</v>
      </c>
      <c r="C2472" s="120" t="str">
        <f>IFERROR(__xludf.DUMMYFUNCTION("""COMPUTED_VALUE"""),"Etadunna")</f>
        <v>Etadunna</v>
      </c>
      <c r="D2472" s="120" t="str">
        <f>IFERROR(__xludf.DUMMYFUNCTION("""COMPUTED_VALUE"""),"Australia")</f>
        <v>Australia</v>
      </c>
      <c r="E2472" s="135"/>
      <c r="F2472" s="31"/>
    </row>
    <row r="2473">
      <c r="A2473" s="134" t="str">
        <f>IFERROR(__xludf.DUMMYFUNCTION("""COMPUTED_VALUE"""),"Eua")</f>
        <v>Eua</v>
      </c>
      <c r="B2473" s="120" t="str">
        <f>IFERROR(__xludf.DUMMYFUNCTION("""COMPUTED_VALUE"""),"EUA")</f>
        <v>EUA</v>
      </c>
      <c r="C2473" s="120" t="str">
        <f>IFERROR(__xludf.DUMMYFUNCTION("""COMPUTED_VALUE"""),"Kaufana")</f>
        <v>Kaufana</v>
      </c>
      <c r="D2473" s="120" t="str">
        <f>IFERROR(__xludf.DUMMYFUNCTION("""COMPUTED_VALUE"""),"Tonga")</f>
        <v>Tonga</v>
      </c>
      <c r="E2473" s="135"/>
      <c r="F2473" s="31"/>
    </row>
    <row r="2474">
      <c r="A2474" s="134" t="str">
        <f>IFERROR(__xludf.DUMMYFUNCTION("""COMPUTED_VALUE"""),"Eucla")</f>
        <v>Eucla</v>
      </c>
      <c r="B2474" s="120" t="str">
        <f>IFERROR(__xludf.DUMMYFUNCTION("""COMPUTED_VALUE"""),"EUC")</f>
        <v>EUC</v>
      </c>
      <c r="C2474" s="120" t="str">
        <f>IFERROR(__xludf.DUMMYFUNCTION("""COMPUTED_VALUE"""),"Eucla")</f>
        <v>Eucla</v>
      </c>
      <c r="D2474" s="120" t="str">
        <f>IFERROR(__xludf.DUMMYFUNCTION("""COMPUTED_VALUE"""),"Australia")</f>
        <v>Australia</v>
      </c>
      <c r="E2474" s="135"/>
      <c r="F2474" s="31"/>
    </row>
    <row r="2475">
      <c r="A2475" s="134" t="str">
        <f>IFERROR(__xludf.DUMMYFUNCTION("""COMPUTED_VALUE"""),"Eufaula")</f>
        <v>Eufaula</v>
      </c>
      <c r="B2475" s="120" t="str">
        <f>IFERROR(__xludf.DUMMYFUNCTION("""COMPUTED_VALUE"""),"EUF")</f>
        <v>EUF</v>
      </c>
      <c r="C2475" s="120" t="str">
        <f>IFERROR(__xludf.DUMMYFUNCTION("""COMPUTED_VALUE"""),"Weedon Field")</f>
        <v>Weedon Field</v>
      </c>
      <c r="D2475" s="120" t="str">
        <f>IFERROR(__xludf.DUMMYFUNCTION("""COMPUTED_VALUE"""),"United States")</f>
        <v>United States</v>
      </c>
      <c r="E2475" s="135"/>
      <c r="F2475" s="31"/>
    </row>
    <row r="2476">
      <c r="A2476" s="134" t="str">
        <f>IFERROR(__xludf.DUMMYFUNCTION("""COMPUTED_VALUE"""),"Eugene")</f>
        <v>Eugene</v>
      </c>
      <c r="B2476" s="120" t="str">
        <f>IFERROR(__xludf.DUMMYFUNCTION("""COMPUTED_VALUE"""),"EUG")</f>
        <v>EUG</v>
      </c>
      <c r="C2476" s="120" t="str">
        <f>IFERROR(__xludf.DUMMYFUNCTION("""COMPUTED_VALUE"""),"Eugene")</f>
        <v>Eugene</v>
      </c>
      <c r="D2476" s="120" t="str">
        <f>IFERROR(__xludf.DUMMYFUNCTION("""COMPUTED_VALUE"""),"United States")</f>
        <v>United States</v>
      </c>
      <c r="E2476" s="135"/>
      <c r="F2476" s="31"/>
    </row>
    <row r="2477">
      <c r="A2477" s="134" t="str">
        <f>IFERROR(__xludf.DUMMYFUNCTION("""COMPUTED_VALUE"""),"Eunice")</f>
        <v>Eunice</v>
      </c>
      <c r="B2477" s="120" t="str">
        <f>IFERROR(__xludf.DUMMYFUNCTION("""COMPUTED_VALUE"""),"UCE")</f>
        <v>UCE</v>
      </c>
      <c r="C2477" s="120" t="str">
        <f>IFERROR(__xludf.DUMMYFUNCTION("""COMPUTED_VALUE"""),"Eunice")</f>
        <v>Eunice</v>
      </c>
      <c r="D2477" s="120" t="str">
        <f>IFERROR(__xludf.DUMMYFUNCTION("""COMPUTED_VALUE"""),"United States")</f>
        <v>United States</v>
      </c>
      <c r="E2477" s="135"/>
      <c r="F2477" s="31"/>
    </row>
    <row r="2478">
      <c r="A2478" s="134" t="str">
        <f>IFERROR(__xludf.DUMMYFUNCTION("""COMPUTED_VALUE"""),"Eureka")</f>
        <v>Eureka</v>
      </c>
      <c r="B2478" s="120" t="str">
        <f>IFERROR(__xludf.DUMMYFUNCTION("""COMPUTED_VALUE"""),"EKA")</f>
        <v>EKA</v>
      </c>
      <c r="C2478" s="120" t="str">
        <f>IFERROR(__xludf.DUMMYFUNCTION("""COMPUTED_VALUE"""),"Murray Field")</f>
        <v>Murray Field</v>
      </c>
      <c r="D2478" s="120" t="str">
        <f>IFERROR(__xludf.DUMMYFUNCTION("""COMPUTED_VALUE"""),"United States")</f>
        <v>United States</v>
      </c>
      <c r="E2478" s="135"/>
      <c r="F2478" s="31"/>
    </row>
    <row r="2479">
      <c r="A2479" s="134" t="str">
        <f>IFERROR(__xludf.DUMMYFUNCTION("""COMPUTED_VALUE"""),"Eureka")</f>
        <v>Eureka</v>
      </c>
      <c r="B2479" s="120" t="str">
        <f>IFERROR(__xludf.DUMMYFUNCTION("""COMPUTED_VALUE"""),"YEU")</f>
        <v>YEU</v>
      </c>
      <c r="C2479" s="120" t="str">
        <f>IFERROR(__xludf.DUMMYFUNCTION("""COMPUTED_VALUE"""),"Eureka")</f>
        <v>Eureka</v>
      </c>
      <c r="D2479" s="120" t="str">
        <f>IFERROR(__xludf.DUMMYFUNCTION("""COMPUTED_VALUE"""),"Canada")</f>
        <v>Canada</v>
      </c>
      <c r="E2479" s="135"/>
      <c r="F2479" s="31"/>
    </row>
    <row r="2480">
      <c r="A2480" s="134" t="str">
        <f>IFERROR(__xludf.DUMMYFUNCTION("""COMPUTED_VALUE"""),"Eureka")</f>
        <v>Eureka</v>
      </c>
      <c r="B2480" s="120" t="str">
        <f>IFERROR(__xludf.DUMMYFUNCTION("""COMPUTED_VALUE"""),"EUE")</f>
        <v>EUE</v>
      </c>
      <c r="C2480" s="120" t="str">
        <f>IFERROR(__xludf.DUMMYFUNCTION("""COMPUTED_VALUE"""),"Eureka")</f>
        <v>Eureka</v>
      </c>
      <c r="D2480" s="120" t="str">
        <f>IFERROR(__xludf.DUMMYFUNCTION("""COMPUTED_VALUE"""),"United States")</f>
        <v>United States</v>
      </c>
      <c r="E2480" s="135"/>
      <c r="F2480" s="31"/>
    </row>
    <row r="2481">
      <c r="A2481" s="134" t="str">
        <f>IFERROR(__xludf.DUMMYFUNCTION("""COMPUTED_VALUE"""),"Eva Downs")</f>
        <v>Eva Downs</v>
      </c>
      <c r="B2481" s="120" t="str">
        <f>IFERROR(__xludf.DUMMYFUNCTION("""COMPUTED_VALUE"""),"EVD")</f>
        <v>EVD</v>
      </c>
      <c r="C2481" s="120" t="str">
        <f>IFERROR(__xludf.DUMMYFUNCTION("""COMPUTED_VALUE"""),"Eva Downs")</f>
        <v>Eva Downs</v>
      </c>
      <c r="D2481" s="120" t="str">
        <f>IFERROR(__xludf.DUMMYFUNCTION("""COMPUTED_VALUE"""),"Australia")</f>
        <v>Australia</v>
      </c>
      <c r="E2481" s="135"/>
      <c r="F2481" s="31"/>
    </row>
    <row r="2482">
      <c r="A2482" s="134" t="str">
        <f>IFERROR(__xludf.DUMMYFUNCTION("""COMPUTED_VALUE"""),"Evadale")</f>
        <v>Evadale</v>
      </c>
      <c r="B2482" s="120" t="str">
        <f>IFERROR(__xludf.DUMMYFUNCTION("""COMPUTED_VALUE"""),"EVA")</f>
        <v>EVA</v>
      </c>
      <c r="C2482" s="120" t="str">
        <f>IFERROR(__xludf.DUMMYFUNCTION("""COMPUTED_VALUE"""),"Landing Strip")</f>
        <v>Landing Strip</v>
      </c>
      <c r="D2482" s="120" t="str">
        <f>IFERROR(__xludf.DUMMYFUNCTION("""COMPUTED_VALUE"""),"United States")</f>
        <v>United States</v>
      </c>
      <c r="E2482" s="135"/>
      <c r="F2482" s="31"/>
    </row>
    <row r="2483">
      <c r="A2483" s="134" t="str">
        <f>IFERROR(__xludf.DUMMYFUNCTION("""COMPUTED_VALUE"""),"Evans Head")</f>
        <v>Evans Head</v>
      </c>
      <c r="B2483" s="120" t="str">
        <f>IFERROR(__xludf.DUMMYFUNCTION("""COMPUTED_VALUE"""),"EVH")</f>
        <v>EVH</v>
      </c>
      <c r="C2483" s="120" t="str">
        <f>IFERROR(__xludf.DUMMYFUNCTION("""COMPUTED_VALUE"""),"Evans Head")</f>
        <v>Evans Head</v>
      </c>
      <c r="D2483" s="120" t="str">
        <f>IFERROR(__xludf.DUMMYFUNCTION("""COMPUTED_VALUE"""),"Australia")</f>
        <v>Australia</v>
      </c>
      <c r="E2483" s="135"/>
      <c r="F2483" s="31"/>
    </row>
    <row r="2484">
      <c r="A2484" s="134" t="str">
        <f>IFERROR(__xludf.DUMMYFUNCTION("""COMPUTED_VALUE"""),"Evanston")</f>
        <v>Evanston</v>
      </c>
      <c r="B2484" s="120" t="str">
        <f>IFERROR(__xludf.DUMMYFUNCTION("""COMPUTED_VALUE"""),"EVW")</f>
        <v>EVW</v>
      </c>
      <c r="C2484" s="120" t="str">
        <f>IFERROR(__xludf.DUMMYFUNCTION("""COMPUTED_VALUE"""),"Evanston")</f>
        <v>Evanston</v>
      </c>
      <c r="D2484" s="120" t="str">
        <f>IFERROR(__xludf.DUMMYFUNCTION("""COMPUTED_VALUE"""),"United States")</f>
        <v>United States</v>
      </c>
      <c r="E2484" s="135"/>
      <c r="F2484" s="31"/>
    </row>
    <row r="2485">
      <c r="A2485" s="134" t="str">
        <f>IFERROR(__xludf.DUMMYFUNCTION("""COMPUTED_VALUE"""),"Evansville")</f>
        <v>Evansville</v>
      </c>
      <c r="B2485" s="120" t="str">
        <f>IFERROR(__xludf.DUMMYFUNCTION("""COMPUTED_VALUE"""),"EVV")</f>
        <v>EVV</v>
      </c>
      <c r="C2485" s="120" t="str">
        <f>IFERROR(__xludf.DUMMYFUNCTION("""COMPUTED_VALUE"""),"Dress Regional")</f>
        <v>Dress Regional</v>
      </c>
      <c r="D2485" s="120" t="str">
        <f>IFERROR(__xludf.DUMMYFUNCTION("""COMPUTED_VALUE"""),"United States")</f>
        <v>United States</v>
      </c>
      <c r="E2485" s="135"/>
      <c r="F2485" s="31"/>
    </row>
    <row r="2486">
      <c r="A2486" s="134" t="str">
        <f>IFERROR(__xludf.DUMMYFUNCTION("""COMPUTED_VALUE"""),"Eveleth")</f>
        <v>Eveleth</v>
      </c>
      <c r="B2486" s="120" t="str">
        <f>IFERROR(__xludf.DUMMYFUNCTION("""COMPUTED_VALUE"""),"EVM")</f>
        <v>EVM</v>
      </c>
      <c r="C2486" s="120" t="str">
        <f>IFERROR(__xludf.DUMMYFUNCTION("""COMPUTED_VALUE"""),"Eveleth")</f>
        <v>Eveleth</v>
      </c>
      <c r="D2486" s="120" t="str">
        <f>IFERROR(__xludf.DUMMYFUNCTION("""COMPUTED_VALUE"""),"United States")</f>
        <v>United States</v>
      </c>
      <c r="E2486" s="135"/>
      <c r="F2486" s="31"/>
    </row>
    <row r="2487">
      <c r="A2487" s="134" t="str">
        <f>IFERROR(__xludf.DUMMYFUNCTION("""COMPUTED_VALUE"""),"Everett")</f>
        <v>Everett</v>
      </c>
      <c r="B2487" s="120" t="str">
        <f>IFERROR(__xludf.DUMMYFUNCTION("""COMPUTED_VALUE"""),"PAE")</f>
        <v>PAE</v>
      </c>
      <c r="C2487" s="120" t="str">
        <f>IFERROR(__xludf.DUMMYFUNCTION("""COMPUTED_VALUE"""),"Snohomish County")</f>
        <v>Snohomish County</v>
      </c>
      <c r="D2487" s="120" t="str">
        <f>IFERROR(__xludf.DUMMYFUNCTION("""COMPUTED_VALUE"""),"United States")</f>
        <v>United States</v>
      </c>
      <c r="E2487" s="135"/>
      <c r="F2487" s="31"/>
    </row>
    <row r="2488">
      <c r="A2488" s="134" t="str">
        <f>IFERROR(__xludf.DUMMYFUNCTION("""COMPUTED_VALUE"""),"Evreux")</f>
        <v>Evreux</v>
      </c>
      <c r="B2488" s="120" t="str">
        <f>IFERROR(__xludf.DUMMYFUNCTION("""COMPUTED_VALUE"""),"EVX")</f>
        <v>EVX</v>
      </c>
      <c r="C2488" s="120" t="str">
        <f>IFERROR(__xludf.DUMMYFUNCTION("""COMPUTED_VALUE"""),"Evreux")</f>
        <v>Evreux</v>
      </c>
      <c r="D2488" s="120" t="str">
        <f>IFERROR(__xludf.DUMMYFUNCTION("""COMPUTED_VALUE"""),"France")</f>
        <v>France</v>
      </c>
      <c r="E2488" s="135"/>
      <c r="F2488" s="31"/>
    </row>
    <row r="2489">
      <c r="A2489" s="134" t="str">
        <f>IFERROR(__xludf.DUMMYFUNCTION("""COMPUTED_VALUE"""),"Evry")</f>
        <v>Evry</v>
      </c>
      <c r="B2489" s="120" t="str">
        <f>IFERROR(__xludf.DUMMYFUNCTION("""COMPUTED_VALUE"""),"JEV")</f>
        <v>JEV</v>
      </c>
      <c r="C2489" s="120" t="str">
        <f>IFERROR(__xludf.DUMMYFUNCTION("""COMPUTED_VALUE"""),"Heliport")</f>
        <v>Heliport</v>
      </c>
      <c r="D2489" s="120" t="str">
        <f>IFERROR(__xludf.DUMMYFUNCTION("""COMPUTED_VALUE"""),"France")</f>
        <v>France</v>
      </c>
      <c r="E2489" s="135"/>
      <c r="F2489" s="31"/>
    </row>
    <row r="2490">
      <c r="A2490" s="134" t="str">
        <f>IFERROR(__xludf.DUMMYFUNCTION("""COMPUTED_VALUE"""),"Ewer")</f>
        <v>Ewer</v>
      </c>
      <c r="B2490" s="120" t="str">
        <f>IFERROR(__xludf.DUMMYFUNCTION("""COMPUTED_VALUE"""),"EWE")</f>
        <v>EWE</v>
      </c>
      <c r="C2490" s="120" t="str">
        <f>IFERROR(__xludf.DUMMYFUNCTION("""COMPUTED_VALUE"""),"Ewer")</f>
        <v>Ewer</v>
      </c>
      <c r="D2490" s="120" t="str">
        <f>IFERROR(__xludf.DUMMYFUNCTION("""COMPUTED_VALUE"""),"Indonesia")</f>
        <v>Indonesia</v>
      </c>
      <c r="E2490" s="135"/>
      <c r="F2490" s="31"/>
    </row>
    <row r="2491">
      <c r="A2491" s="134" t="str">
        <f>IFERROR(__xludf.DUMMYFUNCTION("""COMPUTED_VALUE"""),"Ewo")</f>
        <v>Ewo</v>
      </c>
      <c r="B2491" s="120" t="str">
        <f>IFERROR(__xludf.DUMMYFUNCTION("""COMPUTED_VALUE"""),"EWO")</f>
        <v>EWO</v>
      </c>
      <c r="C2491" s="120" t="str">
        <f>IFERROR(__xludf.DUMMYFUNCTION("""COMPUTED_VALUE"""),"Ewo")</f>
        <v>Ewo</v>
      </c>
      <c r="D2491" s="120" t="str">
        <f>IFERROR(__xludf.DUMMYFUNCTION("""COMPUTED_VALUE"""),"Congo")</f>
        <v>Congo</v>
      </c>
      <c r="E2491" s="135"/>
      <c r="F2491" s="31"/>
    </row>
    <row r="2492">
      <c r="A2492" s="134" t="str">
        <f>IFERROR(__xludf.DUMMYFUNCTION("""COMPUTED_VALUE"""),"Excursion Inlet")</f>
        <v>Excursion Inlet</v>
      </c>
      <c r="B2492" s="120" t="str">
        <f>IFERROR(__xludf.DUMMYFUNCTION("""COMPUTED_VALUE"""),"EXI")</f>
        <v>EXI</v>
      </c>
      <c r="C2492" s="120" t="str">
        <f>IFERROR(__xludf.DUMMYFUNCTION("""COMPUTED_VALUE"""),"SPB")</f>
        <v>SPB</v>
      </c>
      <c r="D2492" s="120" t="str">
        <f>IFERROR(__xludf.DUMMYFUNCTION("""COMPUTED_VALUE"""),"United States")</f>
        <v>United States</v>
      </c>
      <c r="E2492" s="135"/>
      <c r="F2492" s="31"/>
    </row>
    <row r="2493">
      <c r="A2493" s="134" t="str">
        <f>IFERROR(__xludf.DUMMYFUNCTION("""COMPUTED_VALUE"""),"Exeter")</f>
        <v>Exeter</v>
      </c>
      <c r="B2493" s="120" t="str">
        <f>IFERROR(__xludf.DUMMYFUNCTION("""COMPUTED_VALUE"""),"EXT")</f>
        <v>EXT</v>
      </c>
      <c r="C2493" s="120" t="str">
        <f>IFERROR(__xludf.DUMMYFUNCTION("""COMPUTED_VALUE"""),"Exeter")</f>
        <v>Exeter</v>
      </c>
      <c r="D2493" s="120" t="str">
        <f>IFERROR(__xludf.DUMMYFUNCTION("""COMPUTED_VALUE"""),"United Kingdom")</f>
        <v>United Kingdom</v>
      </c>
      <c r="E2493" s="135"/>
      <c r="F2493" s="31"/>
    </row>
    <row r="2494">
      <c r="A2494" s="134" t="str">
        <f>IFERROR(__xludf.DUMMYFUNCTION("""COMPUTED_VALUE"""),"Exmouth Gulf")</f>
        <v>Exmouth Gulf</v>
      </c>
      <c r="B2494" s="120" t="str">
        <f>IFERROR(__xludf.DUMMYFUNCTION("""COMPUTED_VALUE"""),"EXM")</f>
        <v>EXM</v>
      </c>
      <c r="C2494" s="120" t="str">
        <f>IFERROR(__xludf.DUMMYFUNCTION("""COMPUTED_VALUE"""),"Exmouth Gulf")</f>
        <v>Exmouth Gulf</v>
      </c>
      <c r="D2494" s="120" t="str">
        <f>IFERROR(__xludf.DUMMYFUNCTION("""COMPUTED_VALUE"""),"Australia")</f>
        <v>Australia</v>
      </c>
      <c r="E2494" s="135"/>
      <c r="F2494" s="31"/>
    </row>
    <row r="2495">
      <c r="A2495" s="134" t="str">
        <f>IFERROR(__xludf.DUMMYFUNCTION("""COMPUTED_VALUE"""),"Faaite")</f>
        <v>Faaite</v>
      </c>
      <c r="B2495" s="120" t="str">
        <f>IFERROR(__xludf.DUMMYFUNCTION("""COMPUTED_VALUE"""),"FAC")</f>
        <v>FAC</v>
      </c>
      <c r="C2495" s="120" t="str">
        <f>IFERROR(__xludf.DUMMYFUNCTION("""COMPUTED_VALUE"""),"Faaite")</f>
        <v>Faaite</v>
      </c>
      <c r="D2495" s="120" t="str">
        <f>IFERROR(__xludf.DUMMYFUNCTION("""COMPUTED_VALUE"""),"French Polynesia")</f>
        <v>French Polynesia</v>
      </c>
      <c r="E2495" s="135"/>
      <c r="F2495" s="31"/>
    </row>
    <row r="2496">
      <c r="A2496" s="134" t="str">
        <f>IFERROR(__xludf.DUMMYFUNCTION("""COMPUTED_VALUE"""),"Fada Ngourma")</f>
        <v>Fada Ngourma</v>
      </c>
      <c r="B2496" s="120" t="str">
        <f>IFERROR(__xludf.DUMMYFUNCTION("""COMPUTED_VALUE"""),"FNG")</f>
        <v>FNG</v>
      </c>
      <c r="C2496" s="120" t="str">
        <f>IFERROR(__xludf.DUMMYFUNCTION("""COMPUTED_VALUE"""),"Fada Ngourma")</f>
        <v>Fada Ngourma</v>
      </c>
      <c r="D2496" s="120" t="str">
        <f>IFERROR(__xludf.DUMMYFUNCTION("""COMPUTED_VALUE"""),"Burkina Faso")</f>
        <v>Burkina Faso</v>
      </c>
      <c r="E2496" s="135"/>
      <c r="F2496" s="31"/>
    </row>
    <row r="2497">
      <c r="A2497" s="134" t="str">
        <f>IFERROR(__xludf.DUMMYFUNCTION("""COMPUTED_VALUE"""),"Fagernes")</f>
        <v>Fagernes</v>
      </c>
      <c r="B2497" s="120" t="str">
        <f>IFERROR(__xludf.DUMMYFUNCTION("""COMPUTED_VALUE"""),"VDB")</f>
        <v>VDB</v>
      </c>
      <c r="C2497" s="120" t="str">
        <f>IFERROR(__xludf.DUMMYFUNCTION("""COMPUTED_VALUE"""),"Valdres")</f>
        <v>Valdres</v>
      </c>
      <c r="D2497" s="120" t="str">
        <f>IFERROR(__xludf.DUMMYFUNCTION("""COMPUTED_VALUE"""),"Norway")</f>
        <v>Norway</v>
      </c>
      <c r="E2497" s="135"/>
      <c r="F2497" s="31"/>
    </row>
    <row r="2498">
      <c r="A2498" s="134" t="str">
        <f>IFERROR(__xludf.DUMMYFUNCTION("""COMPUTED_VALUE"""),"Fagurholsmyri")</f>
        <v>Fagurholsmyri</v>
      </c>
      <c r="B2498" s="120" t="str">
        <f>IFERROR(__xludf.DUMMYFUNCTION("""COMPUTED_VALUE"""),"FAG")</f>
        <v>FAG</v>
      </c>
      <c r="C2498" s="120" t="str">
        <f>IFERROR(__xludf.DUMMYFUNCTION("""COMPUTED_VALUE"""),"Fagurholsmyri")</f>
        <v>Fagurholsmyri</v>
      </c>
      <c r="D2498" s="120" t="str">
        <f>IFERROR(__xludf.DUMMYFUNCTION("""COMPUTED_VALUE"""),"Iceland")</f>
        <v>Iceland</v>
      </c>
      <c r="E2498" s="135"/>
      <c r="F2498" s="31"/>
    </row>
    <row r="2499">
      <c r="A2499" s="134" t="str">
        <f>IFERROR(__xludf.DUMMYFUNCTION("""COMPUTED_VALUE"""),"Fair Isle")</f>
        <v>Fair Isle</v>
      </c>
      <c r="B2499" s="120" t="str">
        <f>IFERROR(__xludf.DUMMYFUNCTION("""COMPUTED_VALUE"""),"FIE")</f>
        <v>FIE</v>
      </c>
      <c r="C2499" s="120" t="str">
        <f>IFERROR(__xludf.DUMMYFUNCTION("""COMPUTED_VALUE"""),"Fair Isle")</f>
        <v>Fair Isle</v>
      </c>
      <c r="D2499" s="120" t="str">
        <f>IFERROR(__xludf.DUMMYFUNCTION("""COMPUTED_VALUE"""),"United Kingdom")</f>
        <v>United Kingdom</v>
      </c>
      <c r="E2499" s="135"/>
      <c r="F2499" s="31"/>
    </row>
    <row r="2500">
      <c r="A2500" s="134" t="str">
        <f>IFERROR(__xludf.DUMMYFUNCTION("""COMPUTED_VALUE"""),"Fairbanks")</f>
        <v>Fairbanks</v>
      </c>
      <c r="B2500" s="120" t="str">
        <f>IFERROR(__xludf.DUMMYFUNCTION("""COMPUTED_VALUE"""),"EIL")</f>
        <v>EIL</v>
      </c>
      <c r="C2500" s="120" t="str">
        <f>IFERROR(__xludf.DUMMYFUNCTION("""COMPUTED_VALUE"""),"Eielson AFB")</f>
        <v>Eielson AFB</v>
      </c>
      <c r="D2500" s="120" t="str">
        <f>IFERROR(__xludf.DUMMYFUNCTION("""COMPUTED_VALUE"""),"United States")</f>
        <v>United States</v>
      </c>
      <c r="E2500" s="135"/>
      <c r="F2500" s="31"/>
    </row>
    <row r="2501">
      <c r="A2501" s="134" t="str">
        <f>IFERROR(__xludf.DUMMYFUNCTION("""COMPUTED_VALUE"""),"Fairbanks")</f>
        <v>Fairbanks</v>
      </c>
      <c r="B2501" s="120" t="str">
        <f>IFERROR(__xludf.DUMMYFUNCTION("""COMPUTED_VALUE"""),"FBK")</f>
        <v>FBK</v>
      </c>
      <c r="C2501" s="120" t="str">
        <f>IFERROR(__xludf.DUMMYFUNCTION("""COMPUTED_VALUE"""),"Ft Wainwright")</f>
        <v>Ft Wainwright</v>
      </c>
      <c r="D2501" s="120" t="str">
        <f>IFERROR(__xludf.DUMMYFUNCTION("""COMPUTED_VALUE"""),"United States")</f>
        <v>United States</v>
      </c>
      <c r="E2501" s="135"/>
      <c r="F2501" s="31"/>
    </row>
    <row r="2502">
      <c r="A2502" s="134" t="str">
        <f>IFERROR(__xludf.DUMMYFUNCTION("""COMPUTED_VALUE"""),"Fairbanks")</f>
        <v>Fairbanks</v>
      </c>
      <c r="B2502" s="120" t="str">
        <f>IFERROR(__xludf.DUMMYFUNCTION("""COMPUTED_VALUE"""),"FAI")</f>
        <v>FAI</v>
      </c>
      <c r="C2502" s="120" t="str">
        <f>IFERROR(__xludf.DUMMYFUNCTION("""COMPUTED_VALUE"""),"International")</f>
        <v>International</v>
      </c>
      <c r="D2502" s="120" t="str">
        <f>IFERROR(__xludf.DUMMYFUNCTION("""COMPUTED_VALUE"""),"United States")</f>
        <v>United States</v>
      </c>
      <c r="E2502" s="135"/>
      <c r="F2502" s="31"/>
    </row>
    <row r="2503">
      <c r="A2503" s="134" t="str">
        <f>IFERROR(__xludf.DUMMYFUNCTION("""COMPUTED_VALUE"""),"Fairbanks")</f>
        <v>Fairbanks</v>
      </c>
      <c r="B2503" s="120" t="str">
        <f>IFERROR(__xludf.DUMMYFUNCTION("""COMPUTED_VALUE"""),"MTX")</f>
        <v>MTX</v>
      </c>
      <c r="C2503" s="120" t="str">
        <f>IFERROR(__xludf.DUMMYFUNCTION("""COMPUTED_VALUE"""),"Metro Field")</f>
        <v>Metro Field</v>
      </c>
      <c r="D2503" s="120" t="str">
        <f>IFERROR(__xludf.DUMMYFUNCTION("""COMPUTED_VALUE"""),"United States")</f>
        <v>United States</v>
      </c>
      <c r="E2503" s="135"/>
      <c r="F2503" s="31"/>
    </row>
    <row r="2504">
      <c r="A2504" s="134" t="str">
        <f>IFERROR(__xludf.DUMMYFUNCTION("""COMPUTED_VALUE"""),"Fairbanks")</f>
        <v>Fairbanks</v>
      </c>
      <c r="B2504" s="120" t="str">
        <f>IFERROR(__xludf.DUMMYFUNCTION("""COMPUTED_VALUE"""),"PII")</f>
        <v>PII</v>
      </c>
      <c r="C2504" s="120" t="str">
        <f>IFERROR(__xludf.DUMMYFUNCTION("""COMPUTED_VALUE"""),"Phillips Field")</f>
        <v>Phillips Field</v>
      </c>
      <c r="D2504" s="120" t="str">
        <f>IFERROR(__xludf.DUMMYFUNCTION("""COMPUTED_VALUE"""),"United States")</f>
        <v>United States</v>
      </c>
      <c r="E2504" s="135"/>
      <c r="F2504" s="31"/>
    </row>
    <row r="2505">
      <c r="A2505" s="134" t="str">
        <f>IFERROR(__xludf.DUMMYFUNCTION("""COMPUTED_VALUE"""),"Fairbury")</f>
        <v>Fairbury</v>
      </c>
      <c r="B2505" s="120" t="str">
        <f>IFERROR(__xludf.DUMMYFUNCTION("""COMPUTED_VALUE"""),"FBY")</f>
        <v>FBY</v>
      </c>
      <c r="C2505" s="120" t="str">
        <f>IFERROR(__xludf.DUMMYFUNCTION("""COMPUTED_VALUE"""),"Municipal")</f>
        <v>Municipal</v>
      </c>
      <c r="D2505" s="120" t="str">
        <f>IFERROR(__xludf.DUMMYFUNCTION("""COMPUTED_VALUE"""),"United States")</f>
        <v>United States</v>
      </c>
      <c r="E2505" s="135"/>
      <c r="F2505" s="31"/>
    </row>
    <row r="2506">
      <c r="A2506" s="134" t="str">
        <f>IFERROR(__xludf.DUMMYFUNCTION("""COMPUTED_VALUE"""),"Fairfield")</f>
        <v>Fairfield</v>
      </c>
      <c r="B2506" s="120" t="str">
        <f>IFERROR(__xludf.DUMMYFUNCTION("""COMPUTED_VALUE"""),"SUU")</f>
        <v>SUU</v>
      </c>
      <c r="C2506" s="120" t="str">
        <f>IFERROR(__xludf.DUMMYFUNCTION("""COMPUTED_VALUE"""),"Travis AFB")</f>
        <v>Travis AFB</v>
      </c>
      <c r="D2506" s="120" t="str">
        <f>IFERROR(__xludf.DUMMYFUNCTION("""COMPUTED_VALUE"""),"United States")</f>
        <v>United States</v>
      </c>
      <c r="E2506" s="135"/>
      <c r="F2506" s="31"/>
    </row>
    <row r="2507">
      <c r="A2507" s="134" t="str">
        <f>IFERROR(__xludf.DUMMYFUNCTION("""COMPUTED_VALUE"""),"Fairfield")</f>
        <v>Fairfield</v>
      </c>
      <c r="B2507" s="120" t="str">
        <f>IFERROR(__xludf.DUMMYFUNCTION("""COMPUTED_VALUE"""),"FFL")</f>
        <v>FFL</v>
      </c>
      <c r="C2507" s="120" t="str">
        <f>IFERROR(__xludf.DUMMYFUNCTION("""COMPUTED_VALUE"""),"Municipal")</f>
        <v>Municipal</v>
      </c>
      <c r="D2507" s="120" t="str">
        <f>IFERROR(__xludf.DUMMYFUNCTION("""COMPUTED_VALUE"""),"United States")</f>
        <v>United States</v>
      </c>
      <c r="E2507" s="135"/>
      <c r="F2507" s="31"/>
    </row>
    <row r="2508">
      <c r="A2508" s="134" t="str">
        <f>IFERROR(__xludf.DUMMYFUNCTION("""COMPUTED_VALUE"""),"Fairford")</f>
        <v>Fairford</v>
      </c>
      <c r="B2508" s="120" t="str">
        <f>IFERROR(__xludf.DUMMYFUNCTION("""COMPUTED_VALUE"""),"FFD")</f>
        <v>FFD</v>
      </c>
      <c r="C2508" s="120" t="str">
        <f>IFERROR(__xludf.DUMMYFUNCTION("""COMPUTED_VALUE"""),"RAF Station")</f>
        <v>RAF Station</v>
      </c>
      <c r="D2508" s="120" t="str">
        <f>IFERROR(__xludf.DUMMYFUNCTION("""COMPUTED_VALUE"""),"United Kingdom")</f>
        <v>United Kingdom</v>
      </c>
      <c r="E2508" s="135"/>
      <c r="F2508" s="31"/>
    </row>
    <row r="2509">
      <c r="A2509" s="134" t="str">
        <f>IFERROR(__xludf.DUMMYFUNCTION("""COMPUTED_VALUE"""),"Fairmont")</f>
        <v>Fairmont</v>
      </c>
      <c r="B2509" s="120" t="str">
        <f>IFERROR(__xludf.DUMMYFUNCTION("""COMPUTED_VALUE"""),"FRM")</f>
        <v>FRM</v>
      </c>
      <c r="C2509" s="120" t="str">
        <f>IFERROR(__xludf.DUMMYFUNCTION("""COMPUTED_VALUE"""),"Fairmont")</f>
        <v>Fairmont</v>
      </c>
      <c r="D2509" s="120" t="str">
        <f>IFERROR(__xludf.DUMMYFUNCTION("""COMPUTED_VALUE"""),"United States")</f>
        <v>United States</v>
      </c>
      <c r="E2509" s="135"/>
      <c r="F2509" s="31"/>
    </row>
    <row r="2510">
      <c r="A2510" s="134" t="str">
        <f>IFERROR(__xludf.DUMMYFUNCTION("""COMPUTED_VALUE"""),"Fairmount Springs")</f>
        <v>Fairmount Springs</v>
      </c>
      <c r="B2510" s="120" t="str">
        <f>IFERROR(__xludf.DUMMYFUNCTION("""COMPUTED_VALUE"""),"YCZ")</f>
        <v>YCZ</v>
      </c>
      <c r="C2510" s="120" t="str">
        <f>IFERROR(__xludf.DUMMYFUNCTION("""COMPUTED_VALUE"""),"Fairmount Springs")</f>
        <v>Fairmount Springs</v>
      </c>
      <c r="D2510" s="120" t="str">
        <f>IFERROR(__xludf.DUMMYFUNCTION("""COMPUTED_VALUE"""),"Canada")</f>
        <v>Canada</v>
      </c>
      <c r="E2510" s="135"/>
      <c r="F2510" s="31"/>
    </row>
    <row r="2511">
      <c r="A2511" s="134" t="str">
        <f>IFERROR(__xludf.DUMMYFUNCTION("""COMPUTED_VALUE"""),"Fairview")</f>
        <v>Fairview</v>
      </c>
      <c r="B2511" s="120" t="str">
        <f>IFERROR(__xludf.DUMMYFUNCTION("""COMPUTED_VALUE"""),"ZFW")</f>
        <v>ZFW</v>
      </c>
      <c r="C2511" s="120" t="str">
        <f>IFERROR(__xludf.DUMMYFUNCTION("""COMPUTED_VALUE"""),"Fairview")</f>
        <v>Fairview</v>
      </c>
      <c r="D2511" s="120" t="str">
        <f>IFERROR(__xludf.DUMMYFUNCTION("""COMPUTED_VALUE"""),"Canada")</f>
        <v>Canada</v>
      </c>
      <c r="E2511" s="135"/>
      <c r="F2511" s="31"/>
    </row>
    <row r="2512">
      <c r="A2512" s="134" t="str">
        <f>IFERROR(__xludf.DUMMYFUNCTION("""COMPUTED_VALUE"""),"Faisalabad")</f>
        <v>Faisalabad</v>
      </c>
      <c r="B2512" s="120" t="str">
        <f>IFERROR(__xludf.DUMMYFUNCTION("""COMPUTED_VALUE"""),"LYP")</f>
        <v>LYP</v>
      </c>
      <c r="C2512" s="120" t="str">
        <f>IFERROR(__xludf.DUMMYFUNCTION("""COMPUTED_VALUE"""),"Faisalabad")</f>
        <v>Faisalabad</v>
      </c>
      <c r="D2512" s="120" t="str">
        <f>IFERROR(__xludf.DUMMYFUNCTION("""COMPUTED_VALUE"""),"Pakistan")</f>
        <v>Pakistan</v>
      </c>
      <c r="E2512" s="135"/>
      <c r="F2512" s="31"/>
    </row>
    <row r="2513">
      <c r="A2513" s="134" t="str">
        <f>IFERROR(__xludf.DUMMYFUNCTION("""COMPUTED_VALUE"""),"Faizabad")</f>
        <v>Faizabad</v>
      </c>
      <c r="B2513" s="120" t="str">
        <f>IFERROR(__xludf.DUMMYFUNCTION("""COMPUTED_VALUE"""),"FBD")</f>
        <v>FBD</v>
      </c>
      <c r="C2513" s="120" t="str">
        <f>IFERROR(__xludf.DUMMYFUNCTION("""COMPUTED_VALUE"""),"Faizabad")</f>
        <v>Faizabad</v>
      </c>
      <c r="D2513" s="120" t="str">
        <f>IFERROR(__xludf.DUMMYFUNCTION("""COMPUTED_VALUE"""),"Afghanistan")</f>
        <v>Afghanistan</v>
      </c>
      <c r="E2513" s="135"/>
      <c r="F2513" s="31"/>
    </row>
    <row r="2514">
      <c r="A2514" s="134" t="str">
        <f>IFERROR(__xludf.DUMMYFUNCTION("""COMPUTED_VALUE"""),"Fajardo")</f>
        <v>Fajardo</v>
      </c>
      <c r="B2514" s="120" t="str">
        <f>IFERROR(__xludf.DUMMYFUNCTION("""COMPUTED_VALUE"""),"FAJ")</f>
        <v>FAJ</v>
      </c>
      <c r="C2514" s="120" t="str">
        <f>IFERROR(__xludf.DUMMYFUNCTION("""COMPUTED_VALUE"""),"Fajardo")</f>
        <v>Fajardo</v>
      </c>
      <c r="D2514" s="120" t="str">
        <f>IFERROR(__xludf.DUMMYFUNCTION("""COMPUTED_VALUE"""),"Puerto Rico")</f>
        <v>Puerto Rico</v>
      </c>
      <c r="E2514" s="135"/>
      <c r="F2514" s="31"/>
    </row>
    <row r="2515">
      <c r="A2515" s="134" t="str">
        <f>IFERROR(__xludf.DUMMYFUNCTION("""COMPUTED_VALUE"""),"Fak Fak")</f>
        <v>Fak Fak</v>
      </c>
      <c r="B2515" s="120" t="str">
        <f>IFERROR(__xludf.DUMMYFUNCTION("""COMPUTED_VALUE"""),"FKQ")</f>
        <v>FKQ</v>
      </c>
      <c r="C2515" s="120" t="str">
        <f>IFERROR(__xludf.DUMMYFUNCTION("""COMPUTED_VALUE"""),"Fak Fak")</f>
        <v>Fak Fak</v>
      </c>
      <c r="D2515" s="120" t="str">
        <f>IFERROR(__xludf.DUMMYFUNCTION("""COMPUTED_VALUE"""),"Indonesia")</f>
        <v>Indonesia</v>
      </c>
      <c r="E2515" s="135"/>
      <c r="F2515" s="31"/>
    </row>
    <row r="2516">
      <c r="A2516" s="134" t="str">
        <f>IFERROR(__xludf.DUMMYFUNCTION("""COMPUTED_VALUE"""),"Fakahina")</f>
        <v>Fakahina</v>
      </c>
      <c r="B2516" s="120" t="str">
        <f>IFERROR(__xludf.DUMMYFUNCTION("""COMPUTED_VALUE"""),"FHZ")</f>
        <v>FHZ</v>
      </c>
      <c r="C2516" s="120" t="str">
        <f>IFERROR(__xludf.DUMMYFUNCTION("""COMPUTED_VALUE"""),"Fakahina")</f>
        <v>Fakahina</v>
      </c>
      <c r="D2516" s="120" t="str">
        <f>IFERROR(__xludf.DUMMYFUNCTION("""COMPUTED_VALUE"""),"French Polynesia")</f>
        <v>French Polynesia</v>
      </c>
      <c r="E2516" s="135"/>
      <c r="F2516" s="31"/>
    </row>
    <row r="2517">
      <c r="A2517" s="134" t="str">
        <f>IFERROR(__xludf.DUMMYFUNCTION("""COMPUTED_VALUE"""),"Fakarava")</f>
        <v>Fakarava</v>
      </c>
      <c r="B2517" s="120" t="str">
        <f>IFERROR(__xludf.DUMMYFUNCTION("""COMPUTED_VALUE"""),"FAV")</f>
        <v>FAV</v>
      </c>
      <c r="C2517" s="120" t="str">
        <f>IFERROR(__xludf.DUMMYFUNCTION("""COMPUTED_VALUE"""),"Fakarava")</f>
        <v>Fakarava</v>
      </c>
      <c r="D2517" s="120" t="str">
        <f>IFERROR(__xludf.DUMMYFUNCTION("""COMPUTED_VALUE"""),"French Polynesia")</f>
        <v>French Polynesia</v>
      </c>
      <c r="E2517" s="135"/>
      <c r="F2517" s="31"/>
    </row>
    <row r="2518">
      <c r="A2518" s="134" t="str">
        <f>IFERROR(__xludf.DUMMYFUNCTION("""COMPUTED_VALUE"""),"Fakenham")</f>
        <v>Fakenham</v>
      </c>
      <c r="B2518" s="120" t="str">
        <f>IFERROR(__xludf.DUMMYFUNCTION("""COMPUTED_VALUE"""),"FKH")</f>
        <v>FKH</v>
      </c>
      <c r="C2518" s="120" t="str">
        <f>IFERROR(__xludf.DUMMYFUNCTION("""COMPUTED_VALUE"""),"Sculthorp RAF")</f>
        <v>Sculthorp RAF</v>
      </c>
      <c r="D2518" s="120" t="str">
        <f>IFERROR(__xludf.DUMMYFUNCTION("""COMPUTED_VALUE"""),"United Kingdom")</f>
        <v>United Kingdom</v>
      </c>
      <c r="E2518" s="135"/>
      <c r="F2518" s="31"/>
    </row>
    <row r="2519">
      <c r="A2519" s="134" t="str">
        <f>IFERROR(__xludf.DUMMYFUNCTION("""COMPUTED_VALUE"""),"Falher")</f>
        <v>Falher</v>
      </c>
      <c r="B2519" s="120" t="str">
        <f>IFERROR(__xludf.DUMMYFUNCTION("""COMPUTED_VALUE"""),"YOE")</f>
        <v>YOE</v>
      </c>
      <c r="C2519" s="120" t="str">
        <f>IFERROR(__xludf.DUMMYFUNCTION("""COMPUTED_VALUE"""),"Falher")</f>
        <v>Falher</v>
      </c>
      <c r="D2519" s="120" t="str">
        <f>IFERROR(__xludf.DUMMYFUNCTION("""COMPUTED_VALUE"""),"Canada")</f>
        <v>Canada</v>
      </c>
      <c r="E2519" s="135"/>
      <c r="F2519" s="31"/>
    </row>
    <row r="2520">
      <c r="A2520" s="134" t="str">
        <f>IFERROR(__xludf.DUMMYFUNCTION("""COMPUTED_VALUE"""),"Falkenberg")</f>
        <v>Falkenberg</v>
      </c>
      <c r="B2520" s="120" t="str">
        <f>IFERROR(__xludf.DUMMYFUNCTION("""COMPUTED_VALUE"""),"XYM")</f>
        <v>XYM</v>
      </c>
      <c r="C2520" s="120" t="str">
        <f>IFERROR(__xludf.DUMMYFUNCTION("""COMPUTED_VALUE"""),"Falkenberg Rail")</f>
        <v>Falkenberg Rail</v>
      </c>
      <c r="D2520" s="120" t="str">
        <f>IFERROR(__xludf.DUMMYFUNCTION("""COMPUTED_VALUE"""),"Sweden")</f>
        <v>Sweden</v>
      </c>
      <c r="E2520" s="135"/>
      <c r="F2520" s="31"/>
    </row>
    <row r="2521">
      <c r="A2521" s="134" t="str">
        <f>IFERROR(__xludf.DUMMYFUNCTION("""COMPUTED_VALUE"""),"Fallon")</f>
        <v>Fallon</v>
      </c>
      <c r="B2521" s="120" t="str">
        <f>IFERROR(__xludf.DUMMYFUNCTION("""COMPUTED_VALUE"""),"FLX")</f>
        <v>FLX</v>
      </c>
      <c r="C2521" s="120" t="str">
        <f>IFERROR(__xludf.DUMMYFUNCTION("""COMPUTED_VALUE"""),"Municipal")</f>
        <v>Municipal</v>
      </c>
      <c r="D2521" s="120" t="str">
        <f>IFERROR(__xludf.DUMMYFUNCTION("""COMPUTED_VALUE"""),"United States")</f>
        <v>United States</v>
      </c>
      <c r="E2521" s="135"/>
      <c r="F2521" s="31"/>
    </row>
    <row r="2522">
      <c r="A2522" s="134" t="str">
        <f>IFERROR(__xludf.DUMMYFUNCTION("""COMPUTED_VALUE"""),"Fallon")</f>
        <v>Fallon</v>
      </c>
      <c r="B2522" s="120" t="str">
        <f>IFERROR(__xludf.DUMMYFUNCTION("""COMPUTED_VALUE"""),"NFL")</f>
        <v>NFL</v>
      </c>
      <c r="C2522" s="120" t="str">
        <f>IFERROR(__xludf.DUMMYFUNCTION("""COMPUTED_VALUE"""),"NAS")</f>
        <v>NAS</v>
      </c>
      <c r="D2522" s="120" t="str">
        <f>IFERROR(__xludf.DUMMYFUNCTION("""COMPUTED_VALUE"""),"United States")</f>
        <v>United States</v>
      </c>
      <c r="E2522" s="135"/>
      <c r="F2522" s="31"/>
    </row>
    <row r="2523">
      <c r="A2523" s="134" t="str">
        <f>IFERROR(__xludf.DUMMYFUNCTION("""COMPUTED_VALUE"""),"Falls Bay")</f>
        <v>Falls Bay</v>
      </c>
      <c r="B2523" s="120" t="str">
        <f>IFERROR(__xludf.DUMMYFUNCTION("""COMPUTED_VALUE"""),"FLJ")</f>
        <v>FLJ</v>
      </c>
      <c r="C2523" s="120" t="str">
        <f>IFERROR(__xludf.DUMMYFUNCTION("""COMPUTED_VALUE"""),"Falls Bay")</f>
        <v>Falls Bay</v>
      </c>
      <c r="D2523" s="120" t="str">
        <f>IFERROR(__xludf.DUMMYFUNCTION("""COMPUTED_VALUE"""),"United States")</f>
        <v>United States</v>
      </c>
      <c r="E2523" s="135"/>
      <c r="F2523" s="31"/>
    </row>
    <row r="2524">
      <c r="A2524" s="134" t="str">
        <f>IFERROR(__xludf.DUMMYFUNCTION("""COMPUTED_VALUE"""),"Falls Creek")</f>
        <v>Falls Creek</v>
      </c>
      <c r="B2524" s="120" t="str">
        <f>IFERROR(__xludf.DUMMYFUNCTION("""COMPUTED_VALUE"""),"FLC")</f>
        <v>FLC</v>
      </c>
      <c r="C2524" s="120" t="str">
        <f>IFERROR(__xludf.DUMMYFUNCTION("""COMPUTED_VALUE"""),"Falls Creek")</f>
        <v>Falls Creek</v>
      </c>
      <c r="D2524" s="120" t="str">
        <f>IFERROR(__xludf.DUMMYFUNCTION("""COMPUTED_VALUE"""),"Australia")</f>
        <v>Australia</v>
      </c>
      <c r="E2524" s="135"/>
      <c r="F2524" s="31"/>
    </row>
    <row r="2525">
      <c r="A2525" s="134" t="str">
        <f>IFERROR(__xludf.DUMMYFUNCTION("""COMPUTED_VALUE"""),"Falmouth")</f>
        <v>Falmouth</v>
      </c>
      <c r="B2525" s="120" t="str">
        <f>IFERROR(__xludf.DUMMYFUNCTION("""COMPUTED_VALUE"""),"FMH")</f>
        <v>FMH</v>
      </c>
      <c r="C2525" s="120" t="str">
        <f>IFERROR(__xludf.DUMMYFUNCTION("""COMPUTED_VALUE"""),"Otis AFB")</f>
        <v>Otis AFB</v>
      </c>
      <c r="D2525" s="120" t="str">
        <f>IFERROR(__xludf.DUMMYFUNCTION("""COMPUTED_VALUE"""),"United States")</f>
        <v>United States</v>
      </c>
      <c r="E2525" s="135"/>
      <c r="F2525" s="31"/>
    </row>
    <row r="2526">
      <c r="A2526" s="134" t="str">
        <f>IFERROR(__xludf.DUMMYFUNCTION("""COMPUTED_VALUE"""),"False Island")</f>
        <v>False Island</v>
      </c>
      <c r="B2526" s="120" t="str">
        <f>IFERROR(__xludf.DUMMYFUNCTION("""COMPUTED_VALUE"""),"FAK")</f>
        <v>FAK</v>
      </c>
      <c r="C2526" s="120" t="str">
        <f>IFERROR(__xludf.DUMMYFUNCTION("""COMPUTED_VALUE"""),"False Island")</f>
        <v>False Island</v>
      </c>
      <c r="D2526" s="120" t="str">
        <f>IFERROR(__xludf.DUMMYFUNCTION("""COMPUTED_VALUE"""),"United States")</f>
        <v>United States</v>
      </c>
      <c r="E2526" s="135"/>
      <c r="F2526" s="31"/>
    </row>
    <row r="2527">
      <c r="A2527" s="134" t="str">
        <f>IFERROR(__xludf.DUMMYFUNCTION("""COMPUTED_VALUE"""),"False Pass")</f>
        <v>False Pass</v>
      </c>
      <c r="B2527" s="120" t="str">
        <f>IFERROR(__xludf.DUMMYFUNCTION("""COMPUTED_VALUE"""),"KFP")</f>
        <v>KFP</v>
      </c>
      <c r="C2527" s="120" t="str">
        <f>IFERROR(__xludf.DUMMYFUNCTION("""COMPUTED_VALUE"""),"False Pass")</f>
        <v>False Pass</v>
      </c>
      <c r="D2527" s="120" t="str">
        <f>IFERROR(__xludf.DUMMYFUNCTION("""COMPUTED_VALUE"""),"United States")</f>
        <v>United States</v>
      </c>
      <c r="E2527" s="135"/>
      <c r="F2527" s="31"/>
    </row>
    <row r="2528">
      <c r="A2528" s="134" t="str">
        <f>IFERROR(__xludf.DUMMYFUNCTION("""COMPUTED_VALUE"""),"Fane")</f>
        <v>Fane</v>
      </c>
      <c r="B2528" s="120" t="str">
        <f>IFERROR(__xludf.DUMMYFUNCTION("""COMPUTED_VALUE"""),"FNE")</f>
        <v>FNE</v>
      </c>
      <c r="C2528" s="120" t="str">
        <f>IFERROR(__xludf.DUMMYFUNCTION("""COMPUTED_VALUE"""),"Fane")</f>
        <v>Fane</v>
      </c>
      <c r="D2528" s="120" t="str">
        <f>IFERROR(__xludf.DUMMYFUNCTION("""COMPUTED_VALUE"""),"Papua New Guinea")</f>
        <v>Papua New Guinea</v>
      </c>
      <c r="E2528" s="135"/>
      <c r="F2528" s="31"/>
    </row>
    <row r="2529">
      <c r="A2529" s="134" t="str">
        <f>IFERROR(__xludf.DUMMYFUNCTION("""COMPUTED_VALUE"""),"Fangatau")</f>
        <v>Fangatau</v>
      </c>
      <c r="B2529" s="120" t="str">
        <f>IFERROR(__xludf.DUMMYFUNCTION("""COMPUTED_VALUE"""),"FGU")</f>
        <v>FGU</v>
      </c>
      <c r="C2529" s="120" t="str">
        <f>IFERROR(__xludf.DUMMYFUNCTION("""COMPUTED_VALUE"""),"Fangatau")</f>
        <v>Fangatau</v>
      </c>
      <c r="D2529" s="120" t="str">
        <f>IFERROR(__xludf.DUMMYFUNCTION("""COMPUTED_VALUE"""),"French Polynesia")</f>
        <v>French Polynesia</v>
      </c>
      <c r="E2529" s="135"/>
      <c r="F2529" s="31"/>
    </row>
    <row r="2530">
      <c r="A2530" s="134" t="str">
        <f>IFERROR(__xludf.DUMMYFUNCTION("""COMPUTED_VALUE"""),"Farafangana")</f>
        <v>Farafangana</v>
      </c>
      <c r="B2530" s="120" t="str">
        <f>IFERROR(__xludf.DUMMYFUNCTION("""COMPUTED_VALUE"""),"RVA")</f>
        <v>RVA</v>
      </c>
      <c r="C2530" s="120" t="str">
        <f>IFERROR(__xludf.DUMMYFUNCTION("""COMPUTED_VALUE"""),"Farafangana")</f>
        <v>Farafangana</v>
      </c>
      <c r="D2530" s="120" t="str">
        <f>IFERROR(__xludf.DUMMYFUNCTION("""COMPUTED_VALUE"""),"Madagascar")</f>
        <v>Madagascar</v>
      </c>
      <c r="E2530" s="135"/>
      <c r="F2530" s="31"/>
    </row>
    <row r="2531">
      <c r="A2531" s="134" t="str">
        <f>IFERROR(__xludf.DUMMYFUNCTION("""COMPUTED_VALUE"""),"Farah")</f>
        <v>Farah</v>
      </c>
      <c r="B2531" s="120" t="str">
        <f>IFERROR(__xludf.DUMMYFUNCTION("""COMPUTED_VALUE"""),"FAH")</f>
        <v>FAH</v>
      </c>
      <c r="C2531" s="120" t="str">
        <f>IFERROR(__xludf.DUMMYFUNCTION("""COMPUTED_VALUE"""),"Farah")</f>
        <v>Farah</v>
      </c>
      <c r="D2531" s="120" t="str">
        <f>IFERROR(__xludf.DUMMYFUNCTION("""COMPUTED_VALUE"""),"Afghanistan")</f>
        <v>Afghanistan</v>
      </c>
      <c r="E2531" s="135"/>
      <c r="F2531" s="31"/>
    </row>
    <row r="2532">
      <c r="A2532" s="134" t="str">
        <f>IFERROR(__xludf.DUMMYFUNCTION("""COMPUTED_VALUE"""),"Faranah")</f>
        <v>Faranah</v>
      </c>
      <c r="B2532" s="120" t="str">
        <f>IFERROR(__xludf.DUMMYFUNCTION("""COMPUTED_VALUE"""),"FAA")</f>
        <v>FAA</v>
      </c>
      <c r="C2532" s="120" t="str">
        <f>IFERROR(__xludf.DUMMYFUNCTION("""COMPUTED_VALUE"""),"Faranah")</f>
        <v>Faranah</v>
      </c>
      <c r="D2532" s="120" t="str">
        <f>IFERROR(__xludf.DUMMYFUNCTION("""COMPUTED_VALUE"""),"Guinea")</f>
        <v>Guinea</v>
      </c>
      <c r="E2532" s="135"/>
      <c r="F2532" s="31"/>
    </row>
    <row r="2533">
      <c r="A2533" s="134" t="str">
        <f>IFERROR(__xludf.DUMMYFUNCTION("""COMPUTED_VALUE"""),"Farewell")</f>
        <v>Farewell</v>
      </c>
      <c r="B2533" s="120" t="str">
        <f>IFERROR(__xludf.DUMMYFUNCTION("""COMPUTED_VALUE"""),"FWL")</f>
        <v>FWL</v>
      </c>
      <c r="C2533" s="120" t="str">
        <f>IFERROR(__xludf.DUMMYFUNCTION("""COMPUTED_VALUE"""),"Farewell")</f>
        <v>Farewell</v>
      </c>
      <c r="D2533" s="120" t="str">
        <f>IFERROR(__xludf.DUMMYFUNCTION("""COMPUTED_VALUE"""),"United States")</f>
        <v>United States</v>
      </c>
      <c r="E2533" s="135"/>
      <c r="F2533" s="31"/>
    </row>
    <row r="2534">
      <c r="A2534" s="134" t="str">
        <f>IFERROR(__xludf.DUMMYFUNCTION("""COMPUTED_VALUE"""),"Fargo")</f>
        <v>Fargo</v>
      </c>
      <c r="B2534" s="120" t="str">
        <f>IFERROR(__xludf.DUMMYFUNCTION("""COMPUTED_VALUE"""),"FAR")</f>
        <v>FAR</v>
      </c>
      <c r="C2534" s="120" t="str">
        <f>IFERROR(__xludf.DUMMYFUNCTION("""COMPUTED_VALUE"""),"Hector Field")</f>
        <v>Hector Field</v>
      </c>
      <c r="D2534" s="120" t="str">
        <f>IFERROR(__xludf.DUMMYFUNCTION("""COMPUTED_VALUE"""),"United States")</f>
        <v>United States</v>
      </c>
      <c r="E2534" s="135"/>
      <c r="F2534" s="31"/>
    </row>
    <row r="2535">
      <c r="A2535" s="134" t="str">
        <f>IFERROR(__xludf.DUMMYFUNCTION("""COMPUTED_VALUE"""),"Faribault")</f>
        <v>Faribault</v>
      </c>
      <c r="B2535" s="120" t="str">
        <f>IFERROR(__xludf.DUMMYFUNCTION("""COMPUTED_VALUE"""),"FBL")</f>
        <v>FBL</v>
      </c>
      <c r="C2535" s="120" t="str">
        <f>IFERROR(__xludf.DUMMYFUNCTION("""COMPUTED_VALUE"""),"Municipal")</f>
        <v>Municipal</v>
      </c>
      <c r="D2535" s="120" t="str">
        <f>IFERROR(__xludf.DUMMYFUNCTION("""COMPUTED_VALUE"""),"United States")</f>
        <v>United States</v>
      </c>
      <c r="E2535" s="135"/>
      <c r="F2535" s="31"/>
    </row>
    <row r="2536">
      <c r="A2536" s="134" t="str">
        <f>IFERROR(__xludf.DUMMYFUNCTION("""COMPUTED_VALUE"""),"Farmingdale")</f>
        <v>Farmingdale</v>
      </c>
      <c r="B2536" s="120" t="str">
        <f>IFERROR(__xludf.DUMMYFUNCTION("""COMPUTED_VALUE"""),"FRG")</f>
        <v>FRG</v>
      </c>
      <c r="C2536" s="120" t="str">
        <f>IFERROR(__xludf.DUMMYFUNCTION("""COMPUTED_VALUE"""),"Republic Field")</f>
        <v>Republic Field</v>
      </c>
      <c r="D2536" s="120" t="str">
        <f>IFERROR(__xludf.DUMMYFUNCTION("""COMPUTED_VALUE"""),"United States")</f>
        <v>United States</v>
      </c>
      <c r="E2536" s="135"/>
      <c r="F2536" s="31"/>
    </row>
    <row r="2537">
      <c r="A2537" s="134" t="str">
        <f>IFERROR(__xludf.DUMMYFUNCTION("""COMPUTED_VALUE"""),"Farmington")</f>
        <v>Farmington</v>
      </c>
      <c r="B2537" s="120" t="str">
        <f>IFERROR(__xludf.DUMMYFUNCTION("""COMPUTED_VALUE"""),"FAM")</f>
        <v>FAM</v>
      </c>
      <c r="C2537" s="120" t="str">
        <f>IFERROR(__xludf.DUMMYFUNCTION("""COMPUTED_VALUE"""),"Regional")</f>
        <v>Regional</v>
      </c>
      <c r="D2537" s="120" t="str">
        <f>IFERROR(__xludf.DUMMYFUNCTION("""COMPUTED_VALUE"""),"United States")</f>
        <v>United States</v>
      </c>
      <c r="E2537" s="135"/>
      <c r="F2537" s="31"/>
    </row>
    <row r="2538">
      <c r="A2538" s="134" t="str">
        <f>IFERROR(__xludf.DUMMYFUNCTION("""COMPUTED_VALUE"""),"Farmington")</f>
        <v>Farmington</v>
      </c>
      <c r="B2538" s="120" t="str">
        <f>IFERROR(__xludf.DUMMYFUNCTION("""COMPUTED_VALUE"""),"FMN")</f>
        <v>FMN</v>
      </c>
      <c r="C2538" s="120" t="str">
        <f>IFERROR(__xludf.DUMMYFUNCTION("""COMPUTED_VALUE"""),"Municipal")</f>
        <v>Municipal</v>
      </c>
      <c r="D2538" s="120" t="str">
        <f>IFERROR(__xludf.DUMMYFUNCTION("""COMPUTED_VALUE"""),"United States")</f>
        <v>United States</v>
      </c>
      <c r="E2538" s="135"/>
      <c r="F2538" s="31"/>
    </row>
    <row r="2539">
      <c r="A2539" s="134" t="str">
        <f>IFERROR(__xludf.DUMMYFUNCTION("""COMPUTED_VALUE"""),"Farnborough")</f>
        <v>Farnborough</v>
      </c>
      <c r="B2539" s="120" t="str">
        <f>IFERROR(__xludf.DUMMYFUNCTION("""COMPUTED_VALUE"""),"FAB")</f>
        <v>FAB</v>
      </c>
      <c r="C2539" s="120" t="str">
        <f>IFERROR(__xludf.DUMMYFUNCTION("""COMPUTED_VALUE"""),"Farnborough")</f>
        <v>Farnborough</v>
      </c>
      <c r="D2539" s="120" t="str">
        <f>IFERROR(__xludf.DUMMYFUNCTION("""COMPUTED_VALUE"""),"United Kingdom")</f>
        <v>United Kingdom</v>
      </c>
      <c r="E2539" s="135"/>
      <c r="F2539" s="31"/>
    </row>
    <row r="2540">
      <c r="A2540" s="134" t="str">
        <f>IFERROR(__xludf.DUMMYFUNCTION("""COMPUTED_VALUE"""),"Faro")</f>
        <v>Faro</v>
      </c>
      <c r="B2540" s="120" t="str">
        <f>IFERROR(__xludf.DUMMYFUNCTION("""COMPUTED_VALUE"""),"FAO")</f>
        <v>FAO</v>
      </c>
      <c r="C2540" s="120" t="str">
        <f>IFERROR(__xludf.DUMMYFUNCTION("""COMPUTED_VALUE"""),"Faro")</f>
        <v>Faro</v>
      </c>
      <c r="D2540" s="120" t="str">
        <f>IFERROR(__xludf.DUMMYFUNCTION("""COMPUTED_VALUE"""),"Portugal")</f>
        <v>Portugal</v>
      </c>
      <c r="E2540" s="135"/>
      <c r="F2540" s="31"/>
    </row>
    <row r="2541">
      <c r="A2541" s="134" t="str">
        <f>IFERROR(__xludf.DUMMYFUNCTION("""COMPUTED_VALUE"""),"Faro")</f>
        <v>Faro</v>
      </c>
      <c r="B2541" s="120" t="str">
        <f>IFERROR(__xludf.DUMMYFUNCTION("""COMPUTED_VALUE"""),"ZYF")</f>
        <v>ZYF</v>
      </c>
      <c r="C2541" s="120" t="str">
        <f>IFERROR(__xludf.DUMMYFUNCTION("""COMPUTED_VALUE"""),"Faro TP")</f>
        <v>Faro TP</v>
      </c>
      <c r="D2541" s="120" t="str">
        <f>IFERROR(__xludf.DUMMYFUNCTION("""COMPUTED_VALUE"""),"Portugal")</f>
        <v>Portugal</v>
      </c>
      <c r="E2541" s="135"/>
      <c r="F2541" s="31"/>
    </row>
    <row r="2542">
      <c r="A2542" s="134" t="str">
        <f>IFERROR(__xludf.DUMMYFUNCTION("""COMPUTED_VALUE"""),"Faro")</f>
        <v>Faro</v>
      </c>
      <c r="B2542" s="120" t="str">
        <f>IFERROR(__xludf.DUMMYFUNCTION("""COMPUTED_VALUE"""),"ZFA")</f>
        <v>ZFA</v>
      </c>
      <c r="C2542" s="120" t="str">
        <f>IFERROR(__xludf.DUMMYFUNCTION("""COMPUTED_VALUE"""),"Faro")</f>
        <v>Faro</v>
      </c>
      <c r="D2542" s="120" t="str">
        <f>IFERROR(__xludf.DUMMYFUNCTION("""COMPUTED_VALUE"""),"Canada")</f>
        <v>Canada</v>
      </c>
      <c r="E2542" s="135"/>
      <c r="F2542" s="31"/>
    </row>
    <row r="2543">
      <c r="A2543" s="134" t="str">
        <f>IFERROR(__xludf.DUMMYFUNCTION("""COMPUTED_VALUE"""),"Faroe Islands")</f>
        <v>Faroe Islands</v>
      </c>
      <c r="B2543" s="120" t="str">
        <f>IFERROR(__xludf.DUMMYFUNCTION("""COMPUTED_VALUE"""),"FAE")</f>
        <v>FAE</v>
      </c>
      <c r="C2543" s="120" t="str">
        <f>IFERROR(__xludf.DUMMYFUNCTION("""COMPUTED_VALUE"""),"Vagar")</f>
        <v>Vagar</v>
      </c>
      <c r="D2543" s="120" t="str">
        <f>IFERROR(__xludf.DUMMYFUNCTION("""COMPUTED_VALUE"""),"Faroe Islands")</f>
        <v>Faroe Islands</v>
      </c>
      <c r="E2543" s="135"/>
      <c r="F2543" s="31"/>
    </row>
    <row r="2544">
      <c r="A2544" s="134" t="str">
        <f>IFERROR(__xludf.DUMMYFUNCTION("""COMPUTED_VALUE"""),"Farsund")</f>
        <v>Farsund</v>
      </c>
      <c r="B2544" s="120" t="str">
        <f>IFERROR(__xludf.DUMMYFUNCTION("""COMPUTED_VALUE"""),"FAN")</f>
        <v>FAN</v>
      </c>
      <c r="C2544" s="120" t="str">
        <f>IFERROR(__xludf.DUMMYFUNCTION("""COMPUTED_VALUE"""),"Lista")</f>
        <v>Lista</v>
      </c>
      <c r="D2544" s="120" t="str">
        <f>IFERROR(__xludf.DUMMYFUNCTION("""COMPUTED_VALUE"""),"Norway")</f>
        <v>Norway</v>
      </c>
      <c r="E2544" s="135"/>
      <c r="F2544" s="31"/>
    </row>
    <row r="2545">
      <c r="A2545" s="134" t="str">
        <f>IFERROR(__xludf.DUMMYFUNCTION("""COMPUTED_VALUE"""),"Fasa")</f>
        <v>Fasa</v>
      </c>
      <c r="B2545" s="120" t="str">
        <f>IFERROR(__xludf.DUMMYFUNCTION("""COMPUTED_VALUE"""),"FAZ")</f>
        <v>FAZ</v>
      </c>
      <c r="C2545" s="120" t="str">
        <f>IFERROR(__xludf.DUMMYFUNCTION("""COMPUTED_VALUE"""),"Fasa")</f>
        <v>Fasa</v>
      </c>
      <c r="D2545" s="120" t="str">
        <f>IFERROR(__xludf.DUMMYFUNCTION("""COMPUTED_VALUE"""),"Iran")</f>
        <v>Iran</v>
      </c>
      <c r="E2545" s="135"/>
      <c r="F2545" s="31"/>
    </row>
    <row r="2546">
      <c r="A2546" s="134" t="str">
        <f>IFERROR(__xludf.DUMMYFUNCTION("""COMPUTED_VALUE"""),"Faskrudsfjordur")</f>
        <v>Faskrudsfjordur</v>
      </c>
      <c r="B2546" s="120" t="str">
        <f>IFERROR(__xludf.DUMMYFUNCTION("""COMPUTED_VALUE"""),"FAS")</f>
        <v>FAS</v>
      </c>
      <c r="C2546" s="120" t="str">
        <f>IFERROR(__xludf.DUMMYFUNCTION("""COMPUTED_VALUE"""),"Faskrudsfjordur")</f>
        <v>Faskrudsfjordur</v>
      </c>
      <c r="D2546" s="120" t="str">
        <f>IFERROR(__xludf.DUMMYFUNCTION("""COMPUTED_VALUE"""),"Iceland")</f>
        <v>Iceland</v>
      </c>
      <c r="E2546" s="135"/>
      <c r="F2546" s="31"/>
    </row>
    <row r="2547">
      <c r="A2547" s="134" t="str">
        <f>IFERROR(__xludf.DUMMYFUNCTION("""COMPUTED_VALUE"""),"Faya")</f>
        <v>Faya</v>
      </c>
      <c r="B2547" s="120" t="str">
        <f>IFERROR(__xludf.DUMMYFUNCTION("""COMPUTED_VALUE"""),"FYT")</f>
        <v>FYT</v>
      </c>
      <c r="C2547" s="120" t="str">
        <f>IFERROR(__xludf.DUMMYFUNCTION("""COMPUTED_VALUE"""),"Faya")</f>
        <v>Faya</v>
      </c>
      <c r="D2547" s="120" t="str">
        <f>IFERROR(__xludf.DUMMYFUNCTION("""COMPUTED_VALUE"""),"Chad")</f>
        <v>Chad</v>
      </c>
      <c r="E2547" s="135"/>
      <c r="F2547" s="31"/>
    </row>
    <row r="2548">
      <c r="A2548" s="134" t="str">
        <f>IFERROR(__xludf.DUMMYFUNCTION("""COMPUTED_VALUE"""),"Fayetteville")</f>
        <v>Fayetteville</v>
      </c>
      <c r="B2548" s="120" t="str">
        <f>IFERROR(__xludf.DUMMYFUNCTION("""COMPUTED_VALUE"""),"FYV")</f>
        <v>FYV</v>
      </c>
      <c r="C2548" s="120" t="str">
        <f>IFERROR(__xludf.DUMMYFUNCTION("""COMPUTED_VALUE"""),"Municipal (Drake Fld)")</f>
        <v>Municipal (Drake Fld)</v>
      </c>
      <c r="D2548" s="120" t="str">
        <f>IFERROR(__xludf.DUMMYFUNCTION("""COMPUTED_VALUE"""),"United States")</f>
        <v>United States</v>
      </c>
      <c r="E2548" s="135"/>
      <c r="F2548" s="31"/>
    </row>
    <row r="2549">
      <c r="A2549" s="134" t="str">
        <f>IFERROR(__xludf.DUMMYFUNCTION("""COMPUTED_VALUE"""),"Fayetteville")</f>
        <v>Fayetteville</v>
      </c>
      <c r="B2549" s="120" t="str">
        <f>IFERROR(__xludf.DUMMYFUNCTION("""COMPUTED_VALUE"""),"XNA")</f>
        <v>XNA</v>
      </c>
      <c r="C2549" s="120" t="str">
        <f>IFERROR(__xludf.DUMMYFUNCTION("""COMPUTED_VALUE"""),"Northwest Arkansas Rgn")</f>
        <v>Northwest Arkansas Rgn</v>
      </c>
      <c r="D2549" s="120" t="str">
        <f>IFERROR(__xludf.DUMMYFUNCTION("""COMPUTED_VALUE"""),"United States")</f>
        <v>United States</v>
      </c>
      <c r="E2549" s="135"/>
      <c r="F2549" s="31"/>
    </row>
    <row r="2550">
      <c r="A2550" s="134" t="str">
        <f>IFERROR(__xludf.DUMMYFUNCTION("""COMPUTED_VALUE"""),"Fayetteville")</f>
        <v>Fayetteville</v>
      </c>
      <c r="B2550" s="120" t="str">
        <f>IFERROR(__xludf.DUMMYFUNCTION("""COMPUTED_VALUE"""),"FAY")</f>
        <v>FAY</v>
      </c>
      <c r="C2550" s="120" t="str">
        <f>IFERROR(__xludf.DUMMYFUNCTION("""COMPUTED_VALUE"""),"Municipal")</f>
        <v>Municipal</v>
      </c>
      <c r="D2550" s="120" t="str">
        <f>IFERROR(__xludf.DUMMYFUNCTION("""COMPUTED_VALUE"""),"United States")</f>
        <v>United States</v>
      </c>
      <c r="E2550" s="135"/>
      <c r="F2550" s="31"/>
    </row>
    <row r="2551">
      <c r="A2551" s="134" t="str">
        <f>IFERROR(__xludf.DUMMYFUNCTION("""COMPUTED_VALUE"""),"Fayetteville")</f>
        <v>Fayetteville</v>
      </c>
      <c r="B2551" s="120" t="str">
        <f>IFERROR(__xludf.DUMMYFUNCTION("""COMPUTED_VALUE"""),"POB")</f>
        <v>POB</v>
      </c>
      <c r="C2551" s="120" t="str">
        <f>IFERROR(__xludf.DUMMYFUNCTION("""COMPUTED_VALUE"""),"Pope AFB")</f>
        <v>Pope AFB</v>
      </c>
      <c r="D2551" s="120" t="str">
        <f>IFERROR(__xludf.DUMMYFUNCTION("""COMPUTED_VALUE"""),"United States")</f>
        <v>United States</v>
      </c>
      <c r="E2551" s="135"/>
      <c r="F2551" s="31"/>
    </row>
    <row r="2552">
      <c r="A2552" s="134" t="str">
        <f>IFERROR(__xludf.DUMMYFUNCTION("""COMPUTED_VALUE"""),"Fayetteville")</f>
        <v>Fayetteville</v>
      </c>
      <c r="B2552" s="120" t="str">
        <f>IFERROR(__xludf.DUMMYFUNCTION("""COMPUTED_VALUE"""),"FYM")</f>
        <v>FYM</v>
      </c>
      <c r="C2552" s="120" t="str">
        <f>IFERROR(__xludf.DUMMYFUNCTION("""COMPUTED_VALUE"""),"Municipal")</f>
        <v>Municipal</v>
      </c>
      <c r="D2552" s="120" t="str">
        <f>IFERROR(__xludf.DUMMYFUNCTION("""COMPUTED_VALUE"""),"United States")</f>
        <v>United States</v>
      </c>
      <c r="E2552" s="135"/>
      <c r="F2552" s="31"/>
    </row>
    <row r="2553">
      <c r="A2553" s="134" t="str">
        <f>IFERROR(__xludf.DUMMYFUNCTION("""COMPUTED_VALUE"""),"Fderik")</f>
        <v>Fderik</v>
      </c>
      <c r="B2553" s="120" t="str">
        <f>IFERROR(__xludf.DUMMYFUNCTION("""COMPUTED_VALUE"""),"FGD")</f>
        <v>FGD</v>
      </c>
      <c r="C2553" s="120" t="str">
        <f>IFERROR(__xludf.DUMMYFUNCTION("""COMPUTED_VALUE"""),"Fderik")</f>
        <v>Fderik</v>
      </c>
      <c r="D2553" s="120" t="str">
        <f>IFERROR(__xludf.DUMMYFUNCTION("""COMPUTED_VALUE"""),"Mauritania")</f>
        <v>Mauritania</v>
      </c>
      <c r="E2553" s="135"/>
      <c r="F2553" s="31"/>
    </row>
    <row r="2554">
      <c r="A2554" s="134" t="str">
        <f>IFERROR(__xludf.DUMMYFUNCTION("""COMPUTED_VALUE"""),"Feijo")</f>
        <v>Feijo</v>
      </c>
      <c r="B2554" s="120" t="str">
        <f>IFERROR(__xludf.DUMMYFUNCTION("""COMPUTED_VALUE"""),"FEJ")</f>
        <v>FEJ</v>
      </c>
      <c r="C2554" s="120" t="str">
        <f>IFERROR(__xludf.DUMMYFUNCTION("""COMPUTED_VALUE"""),"Feijo")</f>
        <v>Feijo</v>
      </c>
      <c r="D2554" s="120" t="str">
        <f>IFERROR(__xludf.DUMMYFUNCTION("""COMPUTED_VALUE"""),"Brazil")</f>
        <v>Brazil</v>
      </c>
      <c r="E2554" s="135"/>
      <c r="F2554" s="31"/>
    </row>
    <row r="2555">
      <c r="A2555" s="134" t="str">
        <f>IFERROR(__xludf.DUMMYFUNCTION("""COMPUTED_VALUE"""),"Feira De Santana")</f>
        <v>Feira De Santana</v>
      </c>
      <c r="B2555" s="120" t="str">
        <f>IFERROR(__xludf.DUMMYFUNCTION("""COMPUTED_VALUE"""),"FEC")</f>
        <v>FEC</v>
      </c>
      <c r="C2555" s="120" t="str">
        <f>IFERROR(__xludf.DUMMYFUNCTION("""COMPUTED_VALUE"""),"Feira De Santana")</f>
        <v>Feira De Santana</v>
      </c>
      <c r="D2555" s="120" t="str">
        <f>IFERROR(__xludf.DUMMYFUNCTION("""COMPUTED_VALUE"""),"Brazil")</f>
        <v>Brazil</v>
      </c>
      <c r="E2555" s="135"/>
      <c r="F2555" s="31"/>
    </row>
    <row r="2556">
      <c r="A2556" s="134" t="str">
        <f>IFERROR(__xludf.DUMMYFUNCTION("""COMPUTED_VALUE"""),"Fera Island")</f>
        <v>Fera Island</v>
      </c>
      <c r="B2556" s="120" t="str">
        <f>IFERROR(__xludf.DUMMYFUNCTION("""COMPUTED_VALUE"""),"FRE")</f>
        <v>FRE</v>
      </c>
      <c r="C2556" s="120" t="str">
        <f>IFERROR(__xludf.DUMMYFUNCTION("""COMPUTED_VALUE"""),"Fera Island")</f>
        <v>Fera Island</v>
      </c>
      <c r="D2556" s="120" t="str">
        <f>IFERROR(__xludf.DUMMYFUNCTION("""COMPUTED_VALUE"""),"Solomon Islands")</f>
        <v>Solomon Islands</v>
      </c>
      <c r="E2556" s="135"/>
      <c r="F2556" s="31"/>
    </row>
    <row r="2557">
      <c r="A2557" s="134" t="str">
        <f>IFERROR(__xludf.DUMMYFUNCTION("""COMPUTED_VALUE"""),"Feramin")</f>
        <v>Feramin</v>
      </c>
      <c r="B2557" s="120" t="str">
        <f>IFERROR(__xludf.DUMMYFUNCTION("""COMPUTED_VALUE"""),"FRQ")</f>
        <v>FRQ</v>
      </c>
      <c r="C2557" s="120" t="str">
        <f>IFERROR(__xludf.DUMMYFUNCTION("""COMPUTED_VALUE"""),"Feramin")</f>
        <v>Feramin</v>
      </c>
      <c r="D2557" s="120" t="str">
        <f>IFERROR(__xludf.DUMMYFUNCTION("""COMPUTED_VALUE"""),"Papua New Guinea")</f>
        <v>Papua New Guinea</v>
      </c>
      <c r="E2557" s="135"/>
      <c r="F2557" s="31"/>
    </row>
    <row r="2558">
      <c r="A2558" s="134" t="str">
        <f>IFERROR(__xludf.DUMMYFUNCTION("""COMPUTED_VALUE"""),"Fergana")</f>
        <v>Fergana</v>
      </c>
      <c r="B2558" s="120" t="str">
        <f>IFERROR(__xludf.DUMMYFUNCTION("""COMPUTED_VALUE"""),"FEG")</f>
        <v>FEG</v>
      </c>
      <c r="C2558" s="120" t="str">
        <f>IFERROR(__xludf.DUMMYFUNCTION("""COMPUTED_VALUE"""),"Fergana")</f>
        <v>Fergana</v>
      </c>
      <c r="D2558" s="120" t="str">
        <f>IFERROR(__xludf.DUMMYFUNCTION("""COMPUTED_VALUE"""),"Uzbekistan")</f>
        <v>Uzbekistan</v>
      </c>
      <c r="E2558" s="135"/>
      <c r="F2558" s="31"/>
    </row>
    <row r="2559">
      <c r="A2559" s="134" t="str">
        <f>IFERROR(__xludf.DUMMYFUNCTION("""COMPUTED_VALUE"""),"Fergus Falls")</f>
        <v>Fergus Falls</v>
      </c>
      <c r="B2559" s="120" t="str">
        <f>IFERROR(__xludf.DUMMYFUNCTION("""COMPUTED_VALUE"""),"FFM")</f>
        <v>FFM</v>
      </c>
      <c r="C2559" s="120" t="str">
        <f>IFERROR(__xludf.DUMMYFUNCTION("""COMPUTED_VALUE"""),"Fergus Falls")</f>
        <v>Fergus Falls</v>
      </c>
      <c r="D2559" s="120" t="str">
        <f>IFERROR(__xludf.DUMMYFUNCTION("""COMPUTED_VALUE"""),"United States")</f>
        <v>United States</v>
      </c>
      <c r="E2559" s="135"/>
      <c r="F2559" s="31"/>
    </row>
    <row r="2560">
      <c r="A2560" s="134" t="str">
        <f>IFERROR(__xludf.DUMMYFUNCTION("""COMPUTED_VALUE"""),"Fergusons Gulf")</f>
        <v>Fergusons Gulf</v>
      </c>
      <c r="B2560" s="120" t="str">
        <f>IFERROR(__xludf.DUMMYFUNCTION("""COMPUTED_VALUE"""),"FER")</f>
        <v>FER</v>
      </c>
      <c r="C2560" s="120" t="str">
        <f>IFERROR(__xludf.DUMMYFUNCTION("""COMPUTED_VALUE"""),"Fergusons Gulf")</f>
        <v>Fergusons Gulf</v>
      </c>
      <c r="D2560" s="120" t="str">
        <f>IFERROR(__xludf.DUMMYFUNCTION("""COMPUTED_VALUE"""),"Kenya")</f>
        <v>Kenya</v>
      </c>
      <c r="E2560" s="135"/>
      <c r="F2560" s="31"/>
    </row>
    <row r="2561">
      <c r="A2561" s="134" t="str">
        <f>IFERROR(__xludf.DUMMYFUNCTION("""COMPUTED_VALUE"""),"Ferkessedougou")</f>
        <v>Ferkessedougou</v>
      </c>
      <c r="B2561" s="120" t="str">
        <f>IFERROR(__xludf.DUMMYFUNCTION("""COMPUTED_VALUE"""),"FEK")</f>
        <v>FEK</v>
      </c>
      <c r="C2561" s="120" t="str">
        <f>IFERROR(__xludf.DUMMYFUNCTION("""COMPUTED_VALUE"""),"Ferkessedougou")</f>
        <v>Ferkessedougou</v>
      </c>
      <c r="D2561" s="120" t="str">
        <f>IFERROR(__xludf.DUMMYFUNCTION("""COMPUTED_VALUE"""),"Cote D'Ivoire (Ivory Coast)")</f>
        <v>Cote D'Ivoire (Ivory Coast)</v>
      </c>
      <c r="E2561" s="135"/>
      <c r="F2561" s="31"/>
    </row>
    <row r="2562">
      <c r="A2562" s="134" t="str">
        <f>IFERROR(__xludf.DUMMYFUNCTION("""COMPUTED_VALUE"""),"Fernando De Noronha")</f>
        <v>Fernando De Noronha</v>
      </c>
      <c r="B2562" s="120" t="str">
        <f>IFERROR(__xludf.DUMMYFUNCTION("""COMPUTED_VALUE"""),"FEN")</f>
        <v>FEN</v>
      </c>
      <c r="C2562" s="120" t="str">
        <f>IFERROR(__xludf.DUMMYFUNCTION("""COMPUTED_VALUE"""),"Fernando De Noronha")</f>
        <v>Fernando De Noronha</v>
      </c>
      <c r="D2562" s="120" t="str">
        <f>IFERROR(__xludf.DUMMYFUNCTION("""COMPUTED_VALUE"""),"Brazil")</f>
        <v>Brazil</v>
      </c>
      <c r="E2562" s="135"/>
      <c r="F2562" s="31"/>
    </row>
    <row r="2563">
      <c r="A2563" s="134" t="str">
        <f>IFERROR(__xludf.DUMMYFUNCTION("""COMPUTED_VALUE"""),"Fetlar")</f>
        <v>Fetlar</v>
      </c>
      <c r="B2563" s="120" t="str">
        <f>IFERROR(__xludf.DUMMYFUNCTION("""COMPUTED_VALUE"""),"FEA")</f>
        <v>FEA</v>
      </c>
      <c r="C2563" s="120" t="str">
        <f>IFERROR(__xludf.DUMMYFUNCTION("""COMPUTED_VALUE"""),"Fetlar")</f>
        <v>Fetlar</v>
      </c>
      <c r="D2563" s="120" t="str">
        <f>IFERROR(__xludf.DUMMYFUNCTION("""COMPUTED_VALUE"""),"United Kingdom")</f>
        <v>United Kingdom</v>
      </c>
      <c r="E2563" s="135"/>
      <c r="F2563" s="31"/>
    </row>
    <row r="2564">
      <c r="A2564" s="134" t="str">
        <f>IFERROR(__xludf.DUMMYFUNCTION("""COMPUTED_VALUE"""),"Fez")</f>
        <v>Fez</v>
      </c>
      <c r="B2564" s="120" t="str">
        <f>IFERROR(__xludf.DUMMYFUNCTION("""COMPUTED_VALUE"""),"FEZ")</f>
        <v>FEZ</v>
      </c>
      <c r="C2564" s="120" t="str">
        <f>IFERROR(__xludf.DUMMYFUNCTION("""COMPUTED_VALUE"""),"Sais")</f>
        <v>Sais</v>
      </c>
      <c r="D2564" s="120" t="str">
        <f>IFERROR(__xludf.DUMMYFUNCTION("""COMPUTED_VALUE"""),"Morocco")</f>
        <v>Morocco</v>
      </c>
      <c r="E2564" s="135"/>
      <c r="F2564" s="31"/>
    </row>
    <row r="2565">
      <c r="A2565" s="134" t="str">
        <f>IFERROR(__xludf.DUMMYFUNCTION("""COMPUTED_VALUE"""),"Fianarantsoa")</f>
        <v>Fianarantsoa</v>
      </c>
      <c r="B2565" s="120" t="str">
        <f>IFERROR(__xludf.DUMMYFUNCTION("""COMPUTED_VALUE"""),"WFI")</f>
        <v>WFI</v>
      </c>
      <c r="C2565" s="120" t="str">
        <f>IFERROR(__xludf.DUMMYFUNCTION("""COMPUTED_VALUE"""),"Fianarantsoa")</f>
        <v>Fianarantsoa</v>
      </c>
      <c r="D2565" s="120" t="str">
        <f>IFERROR(__xludf.DUMMYFUNCTION("""COMPUTED_VALUE"""),"Madagascar")</f>
        <v>Madagascar</v>
      </c>
      <c r="E2565" s="135"/>
      <c r="F2565" s="31"/>
    </row>
    <row r="2566">
      <c r="A2566" s="134" t="str">
        <f>IFERROR(__xludf.DUMMYFUNCTION("""COMPUTED_VALUE"""),"Ficksburg")</f>
        <v>Ficksburg</v>
      </c>
      <c r="B2566" s="120" t="str">
        <f>IFERROR(__xludf.DUMMYFUNCTION("""COMPUTED_VALUE"""),"FCB")</f>
        <v>FCB</v>
      </c>
      <c r="C2566" s="120" t="str">
        <f>IFERROR(__xludf.DUMMYFUNCTION("""COMPUTED_VALUE"""),"Ficksburg Sentra Oes")</f>
        <v>Ficksburg Sentra Oes</v>
      </c>
      <c r="D2566" s="120" t="str">
        <f>IFERROR(__xludf.DUMMYFUNCTION("""COMPUTED_VALUE"""),"South Africa")</f>
        <v>South Africa</v>
      </c>
      <c r="E2566" s="135"/>
      <c r="F2566" s="31"/>
    </row>
    <row r="2567">
      <c r="A2567" s="134" t="str">
        <f>IFERROR(__xludf.DUMMYFUNCTION("""COMPUTED_VALUE"""),"Fictitious Point")</f>
        <v>Fictitious Point</v>
      </c>
      <c r="B2567" s="120" t="str">
        <f>IFERROR(__xludf.DUMMYFUNCTION("""COMPUTED_VALUE"""),"XCA")</f>
        <v>XCA</v>
      </c>
      <c r="C2567" s="120" t="str">
        <f>IFERROR(__xludf.DUMMYFUNCTION("""COMPUTED_VALUE"""),"Fictitious Point")</f>
        <v>Fictitious Point</v>
      </c>
      <c r="D2567" s="120"/>
      <c r="E2567" s="135"/>
      <c r="F2567" s="31"/>
    </row>
    <row r="2568">
      <c r="A2568" s="134" t="str">
        <f>IFERROR(__xludf.DUMMYFUNCTION("""COMPUTED_VALUE"""),"Fictitious Point/AA2")</f>
        <v>Fictitious Point/AA2</v>
      </c>
      <c r="B2568" s="120" t="str">
        <f>IFERROR(__xludf.DUMMYFUNCTION("""COMPUTED_VALUE"""),"ZGZ")</f>
        <v>ZGZ</v>
      </c>
      <c r="C2568" s="120" t="str">
        <f>IFERROR(__xludf.DUMMYFUNCTION("""COMPUTED_VALUE"""),"GermanRail Pass")</f>
        <v>GermanRail Pass</v>
      </c>
      <c r="D2568" s="120" t="str">
        <f>IFERROR(__xludf.DUMMYFUNCTION("""COMPUTED_VALUE"""),"Germany")</f>
        <v>Germany</v>
      </c>
      <c r="E2568" s="135"/>
      <c r="F2568" s="31"/>
    </row>
    <row r="2569">
      <c r="A2569" s="134" t="str">
        <f>IFERROR(__xludf.DUMMYFUNCTION("""COMPUTED_VALUE"""),"Fictitious Point/AA3")</f>
        <v>Fictitious Point/AA3</v>
      </c>
      <c r="B2569" s="120" t="str">
        <f>IFERROR(__xludf.DUMMYFUNCTION("""COMPUTED_VALUE"""),"QXL")</f>
        <v>QXL</v>
      </c>
      <c r="C2569" s="120" t="str">
        <f>IFERROR(__xludf.DUMMYFUNCTION("""COMPUTED_VALUE"""),"ScotRail Network")</f>
        <v>ScotRail Network</v>
      </c>
      <c r="D2569" s="120"/>
      <c r="E2569" s="135"/>
      <c r="F2569" s="31"/>
    </row>
    <row r="2570">
      <c r="A2570" s="134" t="str">
        <f>IFERROR(__xludf.DUMMYFUNCTION("""COMPUTED_VALUE"""),"Fictitious Point/AA4")</f>
        <v>Fictitious Point/AA4</v>
      </c>
      <c r="B2570" s="120" t="str">
        <f>IFERROR(__xludf.DUMMYFUNCTION("""COMPUTED_VALUE"""),"QXM")</f>
        <v>QXM</v>
      </c>
      <c r="C2570" s="120" t="str">
        <f>IFERROR(__xludf.DUMMYFUNCTION("""COMPUTED_VALUE"""),"ScotRail Pass")</f>
        <v>ScotRail Pass</v>
      </c>
      <c r="D2570" s="120"/>
      <c r="E2570" s="135"/>
      <c r="F2570" s="31"/>
    </row>
    <row r="2571">
      <c r="A2571" s="134" t="str">
        <f>IFERROR(__xludf.DUMMYFUNCTION("""COMPUTED_VALUE"""),"Fictitious Point/LH")</f>
        <v>Fictitious Point/LH</v>
      </c>
      <c r="B2571" s="120" t="str">
        <f>IFERROR(__xludf.DUMMYFUNCTION("""COMPUTED_VALUE"""),"QFP")</f>
        <v>QFP</v>
      </c>
      <c r="C2571" s="120" t="str">
        <f>IFERROR(__xludf.DUMMYFUNCTION("""COMPUTED_VALUE"""),"Fictitious Point/LH")</f>
        <v>Fictitious Point/LH</v>
      </c>
      <c r="D2571" s="120" t="str">
        <f>IFERROR(__xludf.DUMMYFUNCTION("""COMPUTED_VALUE"""),"Germany")</f>
        <v>Germany</v>
      </c>
      <c r="E2571" s="135"/>
      <c r="F2571" s="31"/>
    </row>
    <row r="2572">
      <c r="A2572" s="134" t="str">
        <f>IFERROR(__xludf.DUMMYFUNCTION("""COMPUTED_VALUE"""),"Figari")</f>
        <v>Figari</v>
      </c>
      <c r="B2572" s="120" t="str">
        <f>IFERROR(__xludf.DUMMYFUNCTION("""COMPUTED_VALUE"""),"FSC")</f>
        <v>FSC</v>
      </c>
      <c r="C2572" s="120" t="str">
        <f>IFERROR(__xludf.DUMMYFUNCTION("""COMPUTED_VALUE"""),"Sud Corse")</f>
        <v>Sud Corse</v>
      </c>
      <c r="D2572" s="120" t="str">
        <f>IFERROR(__xludf.DUMMYFUNCTION("""COMPUTED_VALUE"""),"France")</f>
        <v>France</v>
      </c>
      <c r="E2572" s="135"/>
      <c r="F2572" s="31"/>
    </row>
    <row r="2573">
      <c r="A2573" s="134" t="str">
        <f>IFERROR(__xludf.DUMMYFUNCTION("""COMPUTED_VALUE"""),"Filadelfia")</f>
        <v>Filadelfia</v>
      </c>
      <c r="B2573" s="120" t="str">
        <f>IFERROR(__xludf.DUMMYFUNCTION("""COMPUTED_VALUE"""),"FLM")</f>
        <v>FLM</v>
      </c>
      <c r="C2573" s="120" t="str">
        <f>IFERROR(__xludf.DUMMYFUNCTION("""COMPUTED_VALUE"""),"Filadelfia")</f>
        <v>Filadelfia</v>
      </c>
      <c r="D2573" s="120" t="str">
        <f>IFERROR(__xludf.DUMMYFUNCTION("""COMPUTED_VALUE"""),"Paraguay")</f>
        <v>Paraguay</v>
      </c>
      <c r="E2573" s="135"/>
      <c r="F2573" s="31"/>
    </row>
    <row r="2574">
      <c r="A2574" s="134" t="str">
        <f>IFERROR(__xludf.DUMMYFUNCTION("""COMPUTED_VALUE"""),"Fillmore")</f>
        <v>Fillmore</v>
      </c>
      <c r="B2574" s="120" t="str">
        <f>IFERROR(__xludf.DUMMYFUNCTION("""COMPUTED_VALUE"""),"FIL")</f>
        <v>FIL</v>
      </c>
      <c r="C2574" s="120" t="str">
        <f>IFERROR(__xludf.DUMMYFUNCTION("""COMPUTED_VALUE"""),"Municipal")</f>
        <v>Municipal</v>
      </c>
      <c r="D2574" s="120" t="str">
        <f>IFERROR(__xludf.DUMMYFUNCTION("""COMPUTED_VALUE"""),"United States")</f>
        <v>United States</v>
      </c>
      <c r="E2574" s="135"/>
      <c r="F2574" s="31"/>
    </row>
    <row r="2575">
      <c r="A2575" s="134" t="str">
        <f>IFERROR(__xludf.DUMMYFUNCTION("""COMPUTED_VALUE"""),"Filton")</f>
        <v>Filton</v>
      </c>
      <c r="B2575" s="120" t="str">
        <f>IFERROR(__xludf.DUMMYFUNCTION("""COMPUTED_VALUE"""),"FZO")</f>
        <v>FZO</v>
      </c>
      <c r="C2575" s="120" t="str">
        <f>IFERROR(__xludf.DUMMYFUNCTION("""COMPUTED_VALUE"""),"Filton")</f>
        <v>Filton</v>
      </c>
      <c r="D2575" s="120" t="str">
        <f>IFERROR(__xludf.DUMMYFUNCTION("""COMPUTED_VALUE"""),"United Kingdom")</f>
        <v>United Kingdom</v>
      </c>
      <c r="E2575" s="135"/>
      <c r="F2575" s="31"/>
    </row>
    <row r="2576">
      <c r="A2576" s="134" t="str">
        <f>IFERROR(__xludf.DUMMYFUNCTION("""COMPUTED_VALUE"""),"Fin Creek")</f>
        <v>Fin Creek</v>
      </c>
      <c r="B2576" s="120" t="str">
        <f>IFERROR(__xludf.DUMMYFUNCTION("""COMPUTED_VALUE"""),"FNK")</f>
        <v>FNK</v>
      </c>
      <c r="C2576" s="120" t="str">
        <f>IFERROR(__xludf.DUMMYFUNCTION("""COMPUTED_VALUE"""),"Fin Creek")</f>
        <v>Fin Creek</v>
      </c>
      <c r="D2576" s="120" t="str">
        <f>IFERROR(__xludf.DUMMYFUNCTION("""COMPUTED_VALUE"""),"United States")</f>
        <v>United States</v>
      </c>
      <c r="E2576" s="135"/>
      <c r="F2576" s="31"/>
    </row>
    <row r="2577">
      <c r="A2577" s="134" t="str">
        <f>IFERROR(__xludf.DUMMYFUNCTION("""COMPUTED_VALUE"""),"Fincha")</f>
        <v>Fincha</v>
      </c>
      <c r="B2577" s="120" t="str">
        <f>IFERROR(__xludf.DUMMYFUNCTION("""COMPUTED_VALUE"""),"FNH")</f>
        <v>FNH</v>
      </c>
      <c r="C2577" s="120" t="str">
        <f>IFERROR(__xludf.DUMMYFUNCTION("""COMPUTED_VALUE"""),"Fincha")</f>
        <v>Fincha</v>
      </c>
      <c r="D2577" s="120" t="str">
        <f>IFERROR(__xludf.DUMMYFUNCTION("""COMPUTED_VALUE"""),"Ethiopia")</f>
        <v>Ethiopia</v>
      </c>
      <c r="E2577" s="135"/>
      <c r="F2577" s="31"/>
    </row>
    <row r="2578">
      <c r="A2578" s="134" t="str">
        <f>IFERROR(__xludf.DUMMYFUNCTION("""COMPUTED_VALUE"""),"Findlay")</f>
        <v>Findlay</v>
      </c>
      <c r="B2578" s="120" t="str">
        <f>IFERROR(__xludf.DUMMYFUNCTION("""COMPUTED_VALUE"""),"FDY")</f>
        <v>FDY</v>
      </c>
      <c r="C2578" s="120" t="str">
        <f>IFERROR(__xludf.DUMMYFUNCTION("""COMPUTED_VALUE"""),"Findlay")</f>
        <v>Findlay</v>
      </c>
      <c r="D2578" s="120" t="str">
        <f>IFERROR(__xludf.DUMMYFUNCTION("""COMPUTED_VALUE"""),"United States")</f>
        <v>United States</v>
      </c>
      <c r="E2578" s="135"/>
      <c r="F2578" s="31"/>
    </row>
    <row r="2579">
      <c r="A2579" s="134" t="str">
        <f>IFERROR(__xludf.DUMMYFUNCTION("""COMPUTED_VALUE"""),"Finke")</f>
        <v>Finke</v>
      </c>
      <c r="B2579" s="120" t="str">
        <f>IFERROR(__xludf.DUMMYFUNCTION("""COMPUTED_VALUE"""),"FIK")</f>
        <v>FIK</v>
      </c>
      <c r="C2579" s="120" t="str">
        <f>IFERROR(__xludf.DUMMYFUNCTION("""COMPUTED_VALUE"""),"Finke")</f>
        <v>Finke</v>
      </c>
      <c r="D2579" s="120" t="str">
        <f>IFERROR(__xludf.DUMMYFUNCTION("""COMPUTED_VALUE"""),"Australia")</f>
        <v>Australia</v>
      </c>
      <c r="E2579" s="135"/>
      <c r="F2579" s="31"/>
    </row>
    <row r="2580">
      <c r="A2580" s="134" t="str">
        <f>IFERROR(__xludf.DUMMYFUNCTION("""COMPUTED_VALUE"""),"Hamburg")</f>
        <v>Hamburg</v>
      </c>
      <c r="B2580" s="120" t="str">
        <f>IFERROR(__xludf.DUMMYFUNCTION("""COMPUTED_VALUE"""),"XFW")</f>
        <v>XFW</v>
      </c>
      <c r="C2580" s="120" t="str">
        <f>IFERROR(__xludf.DUMMYFUNCTION("""COMPUTED_VALUE"""),"Finkenwerder")</f>
        <v>Finkenwerder</v>
      </c>
      <c r="D2580" s="120" t="str">
        <f>IFERROR(__xludf.DUMMYFUNCTION("""COMPUTED_VALUE"""),"Germany")</f>
        <v>Germany</v>
      </c>
      <c r="E2580" s="135"/>
      <c r="F2580" s="31"/>
    </row>
    <row r="2581">
      <c r="A2581" s="134" t="str">
        <f>IFERROR(__xludf.DUMMYFUNCTION("""COMPUTED_VALUE"""),"Finley")</f>
        <v>Finley</v>
      </c>
      <c r="B2581" s="120" t="str">
        <f>IFERROR(__xludf.DUMMYFUNCTION("""COMPUTED_VALUE"""),"FLY")</f>
        <v>FLY</v>
      </c>
      <c r="C2581" s="120" t="str">
        <f>IFERROR(__xludf.DUMMYFUNCTION("""COMPUTED_VALUE"""),"Finley")</f>
        <v>Finley</v>
      </c>
      <c r="D2581" s="120" t="str">
        <f>IFERROR(__xludf.DUMMYFUNCTION("""COMPUTED_VALUE"""),"Australia")</f>
        <v>Australia</v>
      </c>
      <c r="E2581" s="135"/>
      <c r="F2581" s="31"/>
    </row>
    <row r="2582">
      <c r="A2582" s="134" t="str">
        <f>IFERROR(__xludf.DUMMYFUNCTION("""COMPUTED_VALUE"""),"Finschhafen")</f>
        <v>Finschhafen</v>
      </c>
      <c r="B2582" s="120" t="str">
        <f>IFERROR(__xludf.DUMMYFUNCTION("""COMPUTED_VALUE"""),"FIN")</f>
        <v>FIN</v>
      </c>
      <c r="C2582" s="120" t="str">
        <f>IFERROR(__xludf.DUMMYFUNCTION("""COMPUTED_VALUE"""),"Finschhafen")</f>
        <v>Finschhafen</v>
      </c>
      <c r="D2582" s="120" t="str">
        <f>IFERROR(__xludf.DUMMYFUNCTION("""COMPUTED_VALUE"""),"Papua New Guinea")</f>
        <v>Papua New Guinea</v>
      </c>
      <c r="E2582" s="135"/>
      <c r="F2582" s="31"/>
    </row>
    <row r="2583">
      <c r="A2583" s="134" t="str">
        <f>IFERROR(__xludf.DUMMYFUNCTION("""COMPUTED_VALUE"""),"Fire Cove")</f>
        <v>Fire Cove</v>
      </c>
      <c r="B2583" s="120" t="str">
        <f>IFERROR(__xludf.DUMMYFUNCTION("""COMPUTED_VALUE"""),"FIC")</f>
        <v>FIC</v>
      </c>
      <c r="C2583" s="120" t="str">
        <f>IFERROR(__xludf.DUMMYFUNCTION("""COMPUTED_VALUE"""),"Fire Cove")</f>
        <v>Fire Cove</v>
      </c>
      <c r="D2583" s="120" t="str">
        <f>IFERROR(__xludf.DUMMYFUNCTION("""COMPUTED_VALUE"""),"United States")</f>
        <v>United States</v>
      </c>
      <c r="E2583" s="135"/>
      <c r="F2583" s="31"/>
    </row>
    <row r="2584">
      <c r="A2584" s="134" t="str">
        <f>IFERROR(__xludf.DUMMYFUNCTION("""COMPUTED_VALUE"""),"Fishers Island")</f>
        <v>Fishers Island</v>
      </c>
      <c r="B2584" s="120" t="str">
        <f>IFERROR(__xludf.DUMMYFUNCTION("""COMPUTED_VALUE"""),"FID")</f>
        <v>FID</v>
      </c>
      <c r="C2584" s="120" t="str">
        <f>IFERROR(__xludf.DUMMYFUNCTION("""COMPUTED_VALUE"""),"Elizabeth Field")</f>
        <v>Elizabeth Field</v>
      </c>
      <c r="D2584" s="120" t="str">
        <f>IFERROR(__xludf.DUMMYFUNCTION("""COMPUTED_VALUE"""),"United States")</f>
        <v>United States</v>
      </c>
      <c r="E2584" s="135"/>
      <c r="F2584" s="31"/>
    </row>
    <row r="2585">
      <c r="A2585" s="134" t="str">
        <f>IFERROR(__xludf.DUMMYFUNCTION("""COMPUTED_VALUE"""),"Fitiuta")</f>
        <v>Fitiuta</v>
      </c>
      <c r="B2585" s="120" t="str">
        <f>IFERROR(__xludf.DUMMYFUNCTION("""COMPUTED_VALUE"""),"FTI")</f>
        <v>FTI</v>
      </c>
      <c r="C2585" s="120" t="str">
        <f>IFERROR(__xludf.DUMMYFUNCTION("""COMPUTED_VALUE"""),"Fitiuta")</f>
        <v>Fitiuta</v>
      </c>
      <c r="D2585" s="120" t="str">
        <f>IFERROR(__xludf.DUMMYFUNCTION("""COMPUTED_VALUE"""),"American Samoa")</f>
        <v>American Samoa</v>
      </c>
      <c r="E2585" s="135"/>
      <c r="F2585" s="31"/>
    </row>
    <row r="2586">
      <c r="A2586" s="134" t="str">
        <f>IFERROR(__xludf.DUMMYFUNCTION("""COMPUTED_VALUE"""),"Fitzroy Crossing")</f>
        <v>Fitzroy Crossing</v>
      </c>
      <c r="B2586" s="120" t="str">
        <f>IFERROR(__xludf.DUMMYFUNCTION("""COMPUTED_VALUE"""),"FIZ")</f>
        <v>FIZ</v>
      </c>
      <c r="C2586" s="120" t="str">
        <f>IFERROR(__xludf.DUMMYFUNCTION("""COMPUTED_VALUE"""),"Fitzroy Crossing")</f>
        <v>Fitzroy Crossing</v>
      </c>
      <c r="D2586" s="120" t="str">
        <f>IFERROR(__xludf.DUMMYFUNCTION("""COMPUTED_VALUE"""),"Australia")</f>
        <v>Australia</v>
      </c>
      <c r="E2586" s="135"/>
      <c r="F2586" s="31"/>
    </row>
    <row r="2587">
      <c r="A2587" s="134" t="str">
        <f>IFERROR(__xludf.DUMMYFUNCTION("""COMPUTED_VALUE"""),"Fiumicino")</f>
        <v>Fiumicino</v>
      </c>
      <c r="B2587" s="120" t="str">
        <f>IFERROR(__xludf.DUMMYFUNCTION("""COMPUTED_VALUE"""),"ZRR")</f>
        <v>ZRR</v>
      </c>
      <c r="C2587" s="120" t="str">
        <f>IFERROR(__xludf.DUMMYFUNCTION("""COMPUTED_VALUE"""),"Harbour")</f>
        <v>Harbour</v>
      </c>
      <c r="D2587" s="120" t="str">
        <f>IFERROR(__xludf.DUMMYFUNCTION("""COMPUTED_VALUE"""),"Canada")</f>
        <v>Canada</v>
      </c>
      <c r="E2587" s="135"/>
      <c r="F2587" s="31"/>
    </row>
    <row r="2588">
      <c r="A2588" s="134" t="str">
        <f>IFERROR(__xludf.DUMMYFUNCTION("""COMPUTED_VALUE"""),"Five Finger")</f>
        <v>Five Finger</v>
      </c>
      <c r="B2588" s="120" t="str">
        <f>IFERROR(__xludf.DUMMYFUNCTION("""COMPUTED_VALUE"""),"FIV")</f>
        <v>FIV</v>
      </c>
      <c r="C2588" s="120" t="str">
        <f>IFERROR(__xludf.DUMMYFUNCTION("""COMPUTED_VALUE"""),"Five Finger")</f>
        <v>Five Finger</v>
      </c>
      <c r="D2588" s="120" t="str">
        <f>IFERROR(__xludf.DUMMYFUNCTION("""COMPUTED_VALUE"""),"United States")</f>
        <v>United States</v>
      </c>
      <c r="E2588" s="135"/>
      <c r="F2588" s="31"/>
    </row>
    <row r="2589">
      <c r="A2589" s="134" t="str">
        <f>IFERROR(__xludf.DUMMYFUNCTION("""COMPUTED_VALUE"""),"Five Mile")</f>
        <v>Five Mile</v>
      </c>
      <c r="B2589" s="120" t="str">
        <f>IFERROR(__xludf.DUMMYFUNCTION("""COMPUTED_VALUE"""),"FMC")</f>
        <v>FMC</v>
      </c>
      <c r="C2589" s="120" t="str">
        <f>IFERROR(__xludf.DUMMYFUNCTION("""COMPUTED_VALUE"""),"Five Mile")</f>
        <v>Five Mile</v>
      </c>
      <c r="D2589" s="120" t="str">
        <f>IFERROR(__xludf.DUMMYFUNCTION("""COMPUTED_VALUE"""),"United States")</f>
        <v>United States</v>
      </c>
      <c r="E2589" s="135"/>
      <c r="F2589" s="31"/>
    </row>
    <row r="2590">
      <c r="A2590" s="134" t="str">
        <f>IFERROR(__xludf.DUMMYFUNCTION("""COMPUTED_VALUE"""),"Flamingo")</f>
        <v>Flamingo</v>
      </c>
      <c r="B2590" s="120" t="str">
        <f>IFERROR(__xludf.DUMMYFUNCTION("""COMPUTED_VALUE"""),"FMG")</f>
        <v>FMG</v>
      </c>
      <c r="C2590" s="120" t="str">
        <f>IFERROR(__xludf.DUMMYFUNCTION("""COMPUTED_VALUE"""),"Flamingo")</f>
        <v>Flamingo</v>
      </c>
      <c r="D2590" s="120" t="str">
        <f>IFERROR(__xludf.DUMMYFUNCTION("""COMPUTED_VALUE"""),"Costa Rica")</f>
        <v>Costa Rica</v>
      </c>
      <c r="E2590" s="135"/>
      <c r="F2590" s="31"/>
    </row>
    <row r="2591">
      <c r="A2591" s="134" t="str">
        <f>IFERROR(__xludf.DUMMYFUNCTION("""COMPUTED_VALUE"""),"Flat")</f>
        <v>Flat</v>
      </c>
      <c r="B2591" s="120" t="str">
        <f>IFERROR(__xludf.DUMMYFUNCTION("""COMPUTED_VALUE"""),"FLT")</f>
        <v>FLT</v>
      </c>
      <c r="C2591" s="120" t="str">
        <f>IFERROR(__xludf.DUMMYFUNCTION("""COMPUTED_VALUE"""),"Flat")</f>
        <v>Flat</v>
      </c>
      <c r="D2591" s="120" t="str">
        <f>IFERROR(__xludf.DUMMYFUNCTION("""COMPUTED_VALUE"""),"United States")</f>
        <v>United States</v>
      </c>
      <c r="E2591" s="135"/>
      <c r="F2591" s="31"/>
    </row>
    <row r="2592">
      <c r="A2592" s="134" t="str">
        <f>IFERROR(__xludf.DUMMYFUNCTION("""COMPUTED_VALUE"""),"Flateyri")</f>
        <v>Flateyri</v>
      </c>
      <c r="B2592" s="120" t="str">
        <f>IFERROR(__xludf.DUMMYFUNCTION("""COMPUTED_VALUE"""),"FLI")</f>
        <v>FLI</v>
      </c>
      <c r="C2592" s="120" t="str">
        <f>IFERROR(__xludf.DUMMYFUNCTION("""COMPUTED_VALUE"""),"Flateyri")</f>
        <v>Flateyri</v>
      </c>
      <c r="D2592" s="120" t="str">
        <f>IFERROR(__xludf.DUMMYFUNCTION("""COMPUTED_VALUE"""),"Iceland")</f>
        <v>Iceland</v>
      </c>
      <c r="E2592" s="135"/>
      <c r="F2592" s="31"/>
    </row>
    <row r="2593">
      <c r="A2593" s="134" t="str">
        <f>IFERROR(__xludf.DUMMYFUNCTION("""COMPUTED_VALUE"""),"Flaxman Island")</f>
        <v>Flaxman Island</v>
      </c>
      <c r="B2593" s="120" t="str">
        <f>IFERROR(__xludf.DUMMYFUNCTION("""COMPUTED_VALUE"""),"FXM")</f>
        <v>FXM</v>
      </c>
      <c r="C2593" s="120" t="str">
        <f>IFERROR(__xludf.DUMMYFUNCTION("""COMPUTED_VALUE"""),"Flaxman Island")</f>
        <v>Flaxman Island</v>
      </c>
      <c r="D2593" s="120" t="str">
        <f>IFERROR(__xludf.DUMMYFUNCTION("""COMPUTED_VALUE"""),"United States")</f>
        <v>United States</v>
      </c>
      <c r="E2593" s="135"/>
      <c r="F2593" s="31"/>
    </row>
    <row r="2594">
      <c r="A2594" s="134" t="str">
        <f>IFERROR(__xludf.DUMMYFUNCTION("""COMPUTED_VALUE"""),"Flen")</f>
        <v>Flen</v>
      </c>
      <c r="B2594" s="120" t="str">
        <f>IFERROR(__xludf.DUMMYFUNCTION("""COMPUTED_VALUE"""),"XYI")</f>
        <v>XYI</v>
      </c>
      <c r="C2594" s="120" t="str">
        <f>IFERROR(__xludf.DUMMYFUNCTION("""COMPUTED_VALUE"""),"Flen")</f>
        <v>Flen</v>
      </c>
      <c r="D2594" s="120" t="str">
        <f>IFERROR(__xludf.DUMMYFUNCTION("""COMPUTED_VALUE"""),"Sweden")</f>
        <v>Sweden</v>
      </c>
      <c r="E2594" s="135"/>
      <c r="F2594" s="31"/>
    </row>
    <row r="2595">
      <c r="A2595" s="134" t="str">
        <f>IFERROR(__xludf.DUMMYFUNCTION("""COMPUTED_VALUE"""),"Flensburg")</f>
        <v>Flensburg</v>
      </c>
      <c r="B2595" s="120" t="str">
        <f>IFERROR(__xludf.DUMMYFUNCTION("""COMPUTED_VALUE"""),"FLF")</f>
        <v>FLF</v>
      </c>
      <c r="C2595" s="120" t="str">
        <f>IFERROR(__xludf.DUMMYFUNCTION("""COMPUTED_VALUE"""),"Schaferhaus")</f>
        <v>Schaferhaus</v>
      </c>
      <c r="D2595" s="120" t="str">
        <f>IFERROR(__xludf.DUMMYFUNCTION("""COMPUTED_VALUE"""),"Germany")</f>
        <v>Germany</v>
      </c>
      <c r="E2595" s="135"/>
      <c r="F2595" s="31"/>
    </row>
    <row r="2596">
      <c r="A2596" s="134" t="str">
        <f>IFERROR(__xludf.DUMMYFUNCTION("""COMPUTED_VALUE"""),"Flin Flon")</f>
        <v>Flin Flon</v>
      </c>
      <c r="B2596" s="120" t="str">
        <f>IFERROR(__xludf.DUMMYFUNCTION("""COMPUTED_VALUE"""),"YFO")</f>
        <v>YFO</v>
      </c>
      <c r="C2596" s="120" t="str">
        <f>IFERROR(__xludf.DUMMYFUNCTION("""COMPUTED_VALUE"""),"Flin Flon")</f>
        <v>Flin Flon</v>
      </c>
      <c r="D2596" s="120" t="str">
        <f>IFERROR(__xludf.DUMMYFUNCTION("""COMPUTED_VALUE"""),"Canada")</f>
        <v>Canada</v>
      </c>
      <c r="E2596" s="135"/>
      <c r="F2596" s="31"/>
    </row>
    <row r="2597">
      <c r="A2597" s="134" t="str">
        <f>IFERROR(__xludf.DUMMYFUNCTION("""COMPUTED_VALUE"""),"Flinders Island")</f>
        <v>Flinders Island</v>
      </c>
      <c r="B2597" s="120" t="str">
        <f>IFERROR(__xludf.DUMMYFUNCTION("""COMPUTED_VALUE"""),"FLS")</f>
        <v>FLS</v>
      </c>
      <c r="C2597" s="120" t="str">
        <f>IFERROR(__xludf.DUMMYFUNCTION("""COMPUTED_VALUE"""),"Flinders Island")</f>
        <v>Flinders Island</v>
      </c>
      <c r="D2597" s="120" t="str">
        <f>IFERROR(__xludf.DUMMYFUNCTION("""COMPUTED_VALUE"""),"Australia")</f>
        <v>Australia</v>
      </c>
      <c r="E2597" s="135"/>
      <c r="F2597" s="31"/>
    </row>
    <row r="2598">
      <c r="A2598" s="134" t="str">
        <f>IFERROR(__xludf.DUMMYFUNCTION("""COMPUTED_VALUE"""),"Flint")</f>
        <v>Flint</v>
      </c>
      <c r="B2598" s="120" t="str">
        <f>IFERROR(__xludf.DUMMYFUNCTION("""COMPUTED_VALUE"""),"FNT")</f>
        <v>FNT</v>
      </c>
      <c r="C2598" s="120" t="str">
        <f>IFERROR(__xludf.DUMMYFUNCTION("""COMPUTED_VALUE"""),"Bishop")</f>
        <v>Bishop</v>
      </c>
      <c r="D2598" s="120" t="str">
        <f>IFERROR(__xludf.DUMMYFUNCTION("""COMPUTED_VALUE"""),"United States")</f>
        <v>United States</v>
      </c>
      <c r="E2598" s="135"/>
      <c r="F2598" s="31"/>
    </row>
    <row r="2599">
      <c r="A2599" s="134" t="str">
        <f>IFERROR(__xludf.DUMMYFUNCTION("""COMPUTED_VALUE"""),"Flippin")</f>
        <v>Flippin</v>
      </c>
      <c r="B2599" s="120" t="str">
        <f>IFERROR(__xludf.DUMMYFUNCTION("""COMPUTED_VALUE"""),"FLP")</f>
        <v>FLP</v>
      </c>
      <c r="C2599" s="120" t="str">
        <f>IFERROR(__xludf.DUMMYFUNCTION("""COMPUTED_VALUE"""),"Flippin")</f>
        <v>Flippin</v>
      </c>
      <c r="D2599" s="120" t="str">
        <f>IFERROR(__xludf.DUMMYFUNCTION("""COMPUTED_VALUE"""),"United States")</f>
        <v>United States</v>
      </c>
      <c r="E2599" s="135"/>
      <c r="F2599" s="31"/>
    </row>
    <row r="2600">
      <c r="A2600" s="134" t="str">
        <f>IFERROR(__xludf.DUMMYFUNCTION("""COMPUTED_VALUE"""),"Flora Valley")</f>
        <v>Flora Valley</v>
      </c>
      <c r="B2600" s="120" t="str">
        <f>IFERROR(__xludf.DUMMYFUNCTION("""COMPUTED_VALUE"""),"FVL")</f>
        <v>FVL</v>
      </c>
      <c r="C2600" s="120" t="str">
        <f>IFERROR(__xludf.DUMMYFUNCTION("""COMPUTED_VALUE"""),"Flora Valey")</f>
        <v>Flora Valey</v>
      </c>
      <c r="D2600" s="120" t="str">
        <f>IFERROR(__xludf.DUMMYFUNCTION("""COMPUTED_VALUE"""),"Australia")</f>
        <v>Australia</v>
      </c>
      <c r="E2600" s="135"/>
      <c r="F2600" s="31"/>
    </row>
    <row r="2601">
      <c r="A2601" s="134" t="str">
        <f>IFERROR(__xludf.DUMMYFUNCTION("""COMPUTED_VALUE"""),"Pisa")</f>
        <v>Pisa</v>
      </c>
      <c r="B2601" s="120" t="str">
        <f>IFERROR(__xludf.DUMMYFUNCTION("""COMPUTED_VALUE"""),"PSA")</f>
        <v>PSA</v>
      </c>
      <c r="C2601" s="120" t="str">
        <f>IFERROR(__xludf.DUMMYFUNCTION("""COMPUTED_VALUE"""),"Galileo Galilei")</f>
        <v>Galileo Galilei</v>
      </c>
      <c r="D2601" s="120" t="str">
        <f>IFERROR(__xludf.DUMMYFUNCTION("""COMPUTED_VALUE"""),"Italy")</f>
        <v>Italy</v>
      </c>
      <c r="E2601" s="135"/>
      <c r="F2601" s="31"/>
    </row>
    <row r="2602">
      <c r="A2602" s="134" t="str">
        <f>IFERROR(__xludf.DUMMYFUNCTION("""COMPUTED_VALUE"""),"Florence")</f>
        <v>Florence</v>
      </c>
      <c r="B2602" s="120" t="str">
        <f>IFERROR(__xludf.DUMMYFUNCTION("""COMPUTED_VALUE"""),"FLR")</f>
        <v>FLR</v>
      </c>
      <c r="C2602" s="120" t="str">
        <f>IFERROR(__xludf.DUMMYFUNCTION("""COMPUTED_VALUE"""),"Florence Peretola")</f>
        <v>Florence Peretola</v>
      </c>
      <c r="D2602" s="120" t="str">
        <f>IFERROR(__xludf.DUMMYFUNCTION("""COMPUTED_VALUE"""),"Italy")</f>
        <v>Italy</v>
      </c>
      <c r="E2602" s="135"/>
      <c r="F2602" s="31"/>
    </row>
    <row r="2603">
      <c r="A2603" s="134" t="str">
        <f>IFERROR(__xludf.DUMMYFUNCTION("""COMPUTED_VALUE"""),"Florence")</f>
        <v>Florence</v>
      </c>
      <c r="B2603" s="120" t="str">
        <f>IFERROR(__xludf.DUMMYFUNCTION("""COMPUTED_VALUE"""),"ZMS")</f>
        <v>ZMS</v>
      </c>
      <c r="C2603" s="120" t="str">
        <f>IFERROR(__xludf.DUMMYFUNCTION("""COMPUTED_VALUE"""),"S.M. Novella Rail.Svc")</f>
        <v>S.M. Novella Rail.Svc</v>
      </c>
      <c r="D2603" s="120" t="str">
        <f>IFERROR(__xludf.DUMMYFUNCTION("""COMPUTED_VALUE"""),"Italy")</f>
        <v>Italy</v>
      </c>
      <c r="E2603" s="135"/>
      <c r="F2603" s="31"/>
    </row>
    <row r="2604">
      <c r="A2604" s="134" t="str">
        <f>IFERROR(__xludf.DUMMYFUNCTION("""COMPUTED_VALUE"""),"Florence")</f>
        <v>Florence</v>
      </c>
      <c r="B2604" s="120" t="str">
        <f>IFERROR(__xludf.DUMMYFUNCTION("""COMPUTED_VALUE"""),"FLO")</f>
        <v>FLO</v>
      </c>
      <c r="C2604" s="120" t="str">
        <f>IFERROR(__xludf.DUMMYFUNCTION("""COMPUTED_VALUE"""),"Florence")</f>
        <v>Florence</v>
      </c>
      <c r="D2604" s="120" t="str">
        <f>IFERROR(__xludf.DUMMYFUNCTION("""COMPUTED_VALUE"""),"United States")</f>
        <v>United States</v>
      </c>
      <c r="E2604" s="135"/>
      <c r="F2604" s="31"/>
    </row>
    <row r="2605">
      <c r="A2605" s="134" t="str">
        <f>IFERROR(__xludf.DUMMYFUNCTION("""COMPUTED_VALUE"""),"Florencia")</f>
        <v>Florencia</v>
      </c>
      <c r="B2605" s="120" t="str">
        <f>IFERROR(__xludf.DUMMYFUNCTION("""COMPUTED_VALUE"""),"FLA")</f>
        <v>FLA</v>
      </c>
      <c r="C2605" s="120" t="str">
        <f>IFERROR(__xludf.DUMMYFUNCTION("""COMPUTED_VALUE"""),"Capitolio")</f>
        <v>Capitolio</v>
      </c>
      <c r="D2605" s="120" t="str">
        <f>IFERROR(__xludf.DUMMYFUNCTION("""COMPUTED_VALUE"""),"Colombia")</f>
        <v>Colombia</v>
      </c>
      <c r="E2605" s="135"/>
      <c r="F2605" s="31"/>
    </row>
    <row r="2606">
      <c r="A2606" s="134" t="str">
        <f>IFERROR(__xludf.DUMMYFUNCTION("""COMPUTED_VALUE"""),"Flores")</f>
        <v>Flores</v>
      </c>
      <c r="B2606" s="120" t="str">
        <f>IFERROR(__xludf.DUMMYFUNCTION("""COMPUTED_VALUE"""),"FRS")</f>
        <v>FRS</v>
      </c>
      <c r="C2606" s="120" t="str">
        <f>IFERROR(__xludf.DUMMYFUNCTION("""COMPUTED_VALUE"""),"Santa Elena")</f>
        <v>Santa Elena</v>
      </c>
      <c r="D2606" s="120" t="str">
        <f>IFERROR(__xludf.DUMMYFUNCTION("""COMPUTED_VALUE"""),"Guatemala")</f>
        <v>Guatemala</v>
      </c>
      <c r="E2606" s="135"/>
      <c r="F2606" s="31"/>
    </row>
    <row r="2607">
      <c r="A2607" s="134" t="str">
        <f>IFERROR(__xludf.DUMMYFUNCTION("""COMPUTED_VALUE"""),"Flores Island")</f>
        <v>Flores Island</v>
      </c>
      <c r="B2607" s="120" t="str">
        <f>IFERROR(__xludf.DUMMYFUNCTION("""COMPUTED_VALUE"""),"FLW")</f>
        <v>FLW</v>
      </c>
      <c r="C2607" s="120" t="str">
        <f>IFERROR(__xludf.DUMMYFUNCTION("""COMPUTED_VALUE"""),"Santa Cruz")</f>
        <v>Santa Cruz</v>
      </c>
      <c r="D2607" s="120" t="str">
        <f>IFERROR(__xludf.DUMMYFUNCTION("""COMPUTED_VALUE"""),"Portugal")</f>
        <v>Portugal</v>
      </c>
      <c r="E2607" s="135"/>
      <c r="F2607" s="31"/>
    </row>
    <row r="2608">
      <c r="A2608" s="134" t="str">
        <f>IFERROR(__xludf.DUMMYFUNCTION("""COMPUTED_VALUE"""),"Floriano")</f>
        <v>Floriano</v>
      </c>
      <c r="B2608" s="120" t="str">
        <f>IFERROR(__xludf.DUMMYFUNCTION("""COMPUTED_VALUE"""),"FLB")</f>
        <v>FLB</v>
      </c>
      <c r="C2608" s="120" t="str">
        <f>IFERROR(__xludf.DUMMYFUNCTION("""COMPUTED_VALUE"""),"Cangapara")</f>
        <v>Cangapara</v>
      </c>
      <c r="D2608" s="120" t="str">
        <f>IFERROR(__xludf.DUMMYFUNCTION("""COMPUTED_VALUE"""),"Brazil")</f>
        <v>Brazil</v>
      </c>
      <c r="E2608" s="135"/>
      <c r="F2608" s="31"/>
    </row>
    <row r="2609">
      <c r="A2609" s="134" t="str">
        <f>IFERROR(__xludf.DUMMYFUNCTION("""COMPUTED_VALUE"""),"Florianopolis")</f>
        <v>Florianopolis</v>
      </c>
      <c r="B2609" s="120" t="str">
        <f>IFERROR(__xludf.DUMMYFUNCTION("""COMPUTED_VALUE"""),"FLN")</f>
        <v>FLN</v>
      </c>
      <c r="C2609" s="120" t="str">
        <f>IFERROR(__xludf.DUMMYFUNCTION("""COMPUTED_VALUE"""),"Hercilio Luz")</f>
        <v>Hercilio Luz</v>
      </c>
      <c r="D2609" s="120" t="str">
        <f>IFERROR(__xludf.DUMMYFUNCTION("""COMPUTED_VALUE"""),"Brazil")</f>
        <v>Brazil</v>
      </c>
      <c r="E2609" s="135"/>
      <c r="F2609" s="31"/>
    </row>
    <row r="2610">
      <c r="A2610" s="134" t="str">
        <f>IFERROR(__xludf.DUMMYFUNCTION("""COMPUTED_VALUE"""),"Floro")</f>
        <v>Floro</v>
      </c>
      <c r="B2610" s="120" t="str">
        <f>IFERROR(__xludf.DUMMYFUNCTION("""COMPUTED_VALUE"""),"FRO")</f>
        <v>FRO</v>
      </c>
      <c r="C2610" s="120" t="str">
        <f>IFERROR(__xludf.DUMMYFUNCTION("""COMPUTED_VALUE"""),"Flora")</f>
        <v>Flora</v>
      </c>
      <c r="D2610" s="120" t="str">
        <f>IFERROR(__xludf.DUMMYFUNCTION("""COMPUTED_VALUE"""),"Norway")</f>
        <v>Norway</v>
      </c>
      <c r="E2610" s="135"/>
      <c r="F2610" s="31"/>
    </row>
    <row r="2611">
      <c r="A2611" s="134" t="str">
        <f>IFERROR(__xludf.DUMMYFUNCTION("""COMPUTED_VALUE"""),"Flotta")</f>
        <v>Flotta</v>
      </c>
      <c r="B2611" s="120" t="str">
        <f>IFERROR(__xludf.DUMMYFUNCTION("""COMPUTED_VALUE"""),"FLH")</f>
        <v>FLH</v>
      </c>
      <c r="C2611" s="120" t="str">
        <f>IFERROR(__xludf.DUMMYFUNCTION("""COMPUTED_VALUE"""),"Flotta")</f>
        <v>Flotta</v>
      </c>
      <c r="D2611" s="120" t="str">
        <f>IFERROR(__xludf.DUMMYFUNCTION("""COMPUTED_VALUE"""),"United Kingdom")</f>
        <v>United Kingdom</v>
      </c>
      <c r="E2611" s="135"/>
      <c r="F2611" s="31"/>
    </row>
    <row r="2612">
      <c r="A2612" s="134" t="str">
        <f>IFERROR(__xludf.DUMMYFUNCTION("""COMPUTED_VALUE"""),"Foggia")</f>
        <v>Foggia</v>
      </c>
      <c r="B2612" s="120" t="str">
        <f>IFERROR(__xludf.DUMMYFUNCTION("""COMPUTED_VALUE"""),"FOG")</f>
        <v>FOG</v>
      </c>
      <c r="C2612" s="120" t="str">
        <f>IFERROR(__xludf.DUMMYFUNCTION("""COMPUTED_VALUE"""),"Gino Lisa")</f>
        <v>Gino Lisa</v>
      </c>
      <c r="D2612" s="120" t="str">
        <f>IFERROR(__xludf.DUMMYFUNCTION("""COMPUTED_VALUE"""),"Italy")</f>
        <v>Italy</v>
      </c>
      <c r="E2612" s="135"/>
      <c r="F2612" s="31"/>
    </row>
    <row r="2613">
      <c r="A2613" s="134" t="str">
        <f>IFERROR(__xludf.DUMMYFUNCTION("""COMPUTED_VALUE"""),"Foley")</f>
        <v>Foley</v>
      </c>
      <c r="B2613" s="120" t="str">
        <f>IFERROR(__xludf.DUMMYFUNCTION("""COMPUTED_VALUE"""),"NHX")</f>
        <v>NHX</v>
      </c>
      <c r="C2613" s="120" t="str">
        <f>IFERROR(__xludf.DUMMYFUNCTION("""COMPUTED_VALUE"""),"Barin Olf Osn")</f>
        <v>Barin Olf Osn</v>
      </c>
      <c r="D2613" s="120" t="str">
        <f>IFERROR(__xludf.DUMMYFUNCTION("""COMPUTED_VALUE"""),"United States")</f>
        <v>United States</v>
      </c>
      <c r="E2613" s="135"/>
      <c r="F2613" s="31"/>
    </row>
    <row r="2614">
      <c r="A2614" s="134" t="str">
        <f>IFERROR(__xludf.DUMMYFUNCTION("""COMPUTED_VALUE"""),"Fond Du Lac")</f>
        <v>Fond Du Lac</v>
      </c>
      <c r="B2614" s="120" t="str">
        <f>IFERROR(__xludf.DUMMYFUNCTION("""COMPUTED_VALUE"""),"ZFD")</f>
        <v>ZFD</v>
      </c>
      <c r="C2614" s="120" t="str">
        <f>IFERROR(__xludf.DUMMYFUNCTION("""COMPUTED_VALUE"""),"Fond Du Lac")</f>
        <v>Fond Du Lac</v>
      </c>
      <c r="D2614" s="120" t="str">
        <f>IFERROR(__xludf.DUMMYFUNCTION("""COMPUTED_VALUE"""),"Canada")</f>
        <v>Canada</v>
      </c>
      <c r="E2614" s="135"/>
      <c r="F2614" s="31"/>
    </row>
    <row r="2615">
      <c r="A2615" s="134" t="str">
        <f>IFERROR(__xludf.DUMMYFUNCTION("""COMPUTED_VALUE"""),"Fond Du Lac")</f>
        <v>Fond Du Lac</v>
      </c>
      <c r="B2615" s="120" t="str">
        <f>IFERROR(__xludf.DUMMYFUNCTION("""COMPUTED_VALUE"""),"FLD")</f>
        <v>FLD</v>
      </c>
      <c r="C2615" s="120" t="str">
        <f>IFERROR(__xludf.DUMMYFUNCTION("""COMPUTED_VALUE"""),"Fond Du Lac")</f>
        <v>Fond Du Lac</v>
      </c>
      <c r="D2615" s="120" t="str">
        <f>IFERROR(__xludf.DUMMYFUNCTION("""COMPUTED_VALUE"""),"United States")</f>
        <v>United States</v>
      </c>
      <c r="E2615" s="135"/>
      <c r="F2615" s="31"/>
    </row>
    <row r="2616">
      <c r="A2616" s="134" t="str">
        <f>IFERROR(__xludf.DUMMYFUNCTION("""COMPUTED_VALUE"""),"Fontanges")</f>
        <v>Fontanges</v>
      </c>
      <c r="B2616" s="120" t="str">
        <f>IFERROR(__xludf.DUMMYFUNCTION("""COMPUTED_VALUE"""),"YFG")</f>
        <v>YFG</v>
      </c>
      <c r="C2616" s="120" t="str">
        <f>IFERROR(__xludf.DUMMYFUNCTION("""COMPUTED_VALUE"""),"Fontanges")</f>
        <v>Fontanges</v>
      </c>
      <c r="D2616" s="120" t="str">
        <f>IFERROR(__xludf.DUMMYFUNCTION("""COMPUTED_VALUE"""),"Canada")</f>
        <v>Canada</v>
      </c>
      <c r="E2616" s="135"/>
      <c r="F2616" s="31"/>
    </row>
    <row r="2617">
      <c r="A2617" s="134" t="str">
        <f>IFERROR(__xludf.DUMMYFUNCTION("""COMPUTED_VALUE"""),"Forbes")</f>
        <v>Forbes</v>
      </c>
      <c r="B2617" s="120" t="str">
        <f>IFERROR(__xludf.DUMMYFUNCTION("""COMPUTED_VALUE"""),"FRB")</f>
        <v>FRB</v>
      </c>
      <c r="C2617" s="120" t="str">
        <f>IFERROR(__xludf.DUMMYFUNCTION("""COMPUTED_VALUE"""),"Forbes")</f>
        <v>Forbes</v>
      </c>
      <c r="D2617" s="120" t="str">
        <f>IFERROR(__xludf.DUMMYFUNCTION("""COMPUTED_VALUE"""),"Australia")</f>
        <v>Australia</v>
      </c>
      <c r="E2617" s="135"/>
      <c r="F2617" s="31"/>
    </row>
    <row r="2618">
      <c r="A2618" s="134" t="str">
        <f>IFERROR(__xludf.DUMMYFUNCTION("""COMPUTED_VALUE"""),"Forde")</f>
        <v>Forde</v>
      </c>
      <c r="B2618" s="120" t="str">
        <f>IFERROR(__xludf.DUMMYFUNCTION("""COMPUTED_VALUE"""),"FDE")</f>
        <v>FDE</v>
      </c>
      <c r="C2618" s="120" t="str">
        <f>IFERROR(__xludf.DUMMYFUNCTION("""COMPUTED_VALUE"""),"Bringeland")</f>
        <v>Bringeland</v>
      </c>
      <c r="D2618" s="120" t="str">
        <f>IFERROR(__xludf.DUMMYFUNCTION("""COMPUTED_VALUE"""),"Norway")</f>
        <v>Norway</v>
      </c>
      <c r="E2618" s="135"/>
      <c r="F2618" s="31"/>
    </row>
    <row r="2619">
      <c r="A2619" s="134" t="str">
        <f>IFERROR(__xludf.DUMMYFUNCTION("""COMPUTED_VALUE"""),"Forest City")</f>
        <v>Forest City</v>
      </c>
      <c r="B2619" s="120" t="str">
        <f>IFERROR(__xludf.DUMMYFUNCTION("""COMPUTED_VALUE"""),"FXY")</f>
        <v>FXY</v>
      </c>
      <c r="C2619" s="120" t="str">
        <f>IFERROR(__xludf.DUMMYFUNCTION("""COMPUTED_VALUE"""),"Municipal")</f>
        <v>Municipal</v>
      </c>
      <c r="D2619" s="120" t="str">
        <f>IFERROR(__xludf.DUMMYFUNCTION("""COMPUTED_VALUE"""),"United States")</f>
        <v>United States</v>
      </c>
      <c r="E2619" s="135"/>
      <c r="F2619" s="31"/>
    </row>
    <row r="2620">
      <c r="A2620" s="134" t="str">
        <f>IFERROR(__xludf.DUMMYFUNCTION("""COMPUTED_VALUE"""),"Forest Park")</f>
        <v>Forest Park</v>
      </c>
      <c r="B2620" s="120" t="str">
        <f>IFERROR(__xludf.DUMMYFUNCTION("""COMPUTED_VALUE"""),"FOP")</f>
        <v>FOP</v>
      </c>
      <c r="C2620" s="120" t="str">
        <f>IFERROR(__xludf.DUMMYFUNCTION("""COMPUTED_VALUE"""),"Morris AAF")</f>
        <v>Morris AAF</v>
      </c>
      <c r="D2620" s="120" t="str">
        <f>IFERROR(__xludf.DUMMYFUNCTION("""COMPUTED_VALUE"""),"United States")</f>
        <v>United States</v>
      </c>
      <c r="E2620" s="135"/>
      <c r="F2620" s="31"/>
    </row>
    <row r="2621">
      <c r="A2621" s="134" t="str">
        <f>IFERROR(__xludf.DUMMYFUNCTION("""COMPUTED_VALUE"""),"Forestville")</f>
        <v>Forestville</v>
      </c>
      <c r="B2621" s="120" t="str">
        <f>IFERROR(__xludf.DUMMYFUNCTION("""COMPUTED_VALUE"""),"YFE")</f>
        <v>YFE</v>
      </c>
      <c r="C2621" s="120" t="str">
        <f>IFERROR(__xludf.DUMMYFUNCTION("""COMPUTED_VALUE"""),"Forestville")</f>
        <v>Forestville</v>
      </c>
      <c r="D2621" s="120" t="str">
        <f>IFERROR(__xludf.DUMMYFUNCTION("""COMPUTED_VALUE"""),"Canada")</f>
        <v>Canada</v>
      </c>
      <c r="E2621" s="135"/>
      <c r="F2621" s="31"/>
    </row>
    <row r="2622">
      <c r="A2622" s="134" t="str">
        <f>IFERROR(__xludf.DUMMYFUNCTION("""COMPUTED_VALUE"""),"Forli")</f>
        <v>Forli</v>
      </c>
      <c r="B2622" s="120" t="str">
        <f>IFERROR(__xludf.DUMMYFUNCTION("""COMPUTED_VALUE"""),"FRL")</f>
        <v>FRL</v>
      </c>
      <c r="C2622" s="120" t="str">
        <f>IFERROR(__xludf.DUMMYFUNCTION("""COMPUTED_VALUE"""),"Luigi Ridolfi")</f>
        <v>Luigi Ridolfi</v>
      </c>
      <c r="D2622" s="120" t="str">
        <f>IFERROR(__xludf.DUMMYFUNCTION("""COMPUTED_VALUE"""),"Italy")</f>
        <v>Italy</v>
      </c>
      <c r="E2622" s="135"/>
      <c r="F2622" s="31"/>
    </row>
    <row r="2623">
      <c r="A2623" s="134" t="str">
        <f>IFERROR(__xludf.DUMMYFUNCTION("""COMPUTED_VALUE"""),"Formosa")</f>
        <v>Formosa</v>
      </c>
      <c r="B2623" s="120" t="str">
        <f>IFERROR(__xludf.DUMMYFUNCTION("""COMPUTED_VALUE"""),"FMA")</f>
        <v>FMA</v>
      </c>
      <c r="C2623" s="120" t="str">
        <f>IFERROR(__xludf.DUMMYFUNCTION("""COMPUTED_VALUE"""),"El Pucu")</f>
        <v>El Pucu</v>
      </c>
      <c r="D2623" s="120" t="str">
        <f>IFERROR(__xludf.DUMMYFUNCTION("""COMPUTED_VALUE"""),"Argentina")</f>
        <v>Argentina</v>
      </c>
      <c r="E2623" s="135"/>
      <c r="F2623" s="31"/>
    </row>
    <row r="2624">
      <c r="A2624" s="134" t="str">
        <f>IFERROR(__xludf.DUMMYFUNCTION("""COMPUTED_VALUE"""),"Forres")</f>
        <v>Forres</v>
      </c>
      <c r="B2624" s="120" t="str">
        <f>IFERROR(__xludf.DUMMYFUNCTION("""COMPUTED_VALUE"""),"FSS")</f>
        <v>FSS</v>
      </c>
      <c r="C2624" s="120" t="str">
        <f>IFERROR(__xludf.DUMMYFUNCTION("""COMPUTED_VALUE"""),"Kinloss")</f>
        <v>Kinloss</v>
      </c>
      <c r="D2624" s="120" t="str">
        <f>IFERROR(__xludf.DUMMYFUNCTION("""COMPUTED_VALUE"""),"United Kingdom")</f>
        <v>United Kingdom</v>
      </c>
      <c r="E2624" s="135"/>
      <c r="F2624" s="31"/>
    </row>
    <row r="2625">
      <c r="A2625" s="134" t="str">
        <f>IFERROR(__xludf.DUMMYFUNCTION("""COMPUTED_VALUE"""),"Forrest")</f>
        <v>Forrest</v>
      </c>
      <c r="B2625" s="120" t="str">
        <f>IFERROR(__xludf.DUMMYFUNCTION("""COMPUTED_VALUE"""),"FOS")</f>
        <v>FOS</v>
      </c>
      <c r="C2625" s="120" t="str">
        <f>IFERROR(__xludf.DUMMYFUNCTION("""COMPUTED_VALUE"""),"Forrest")</f>
        <v>Forrest</v>
      </c>
      <c r="D2625" s="120" t="str">
        <f>IFERROR(__xludf.DUMMYFUNCTION("""COMPUTED_VALUE"""),"Australia")</f>
        <v>Australia</v>
      </c>
      <c r="E2625" s="135"/>
      <c r="F2625" s="31"/>
    </row>
    <row r="2626">
      <c r="A2626" s="134" t="str">
        <f>IFERROR(__xludf.DUMMYFUNCTION("""COMPUTED_VALUE"""),"Forrest City")</f>
        <v>Forrest City</v>
      </c>
      <c r="B2626" s="120" t="str">
        <f>IFERROR(__xludf.DUMMYFUNCTION("""COMPUTED_VALUE"""),"FCY")</f>
        <v>FCY</v>
      </c>
      <c r="C2626" s="120" t="str">
        <f>IFERROR(__xludf.DUMMYFUNCTION("""COMPUTED_VALUE"""),"Municipal")</f>
        <v>Municipal</v>
      </c>
      <c r="D2626" s="120" t="str">
        <f>IFERROR(__xludf.DUMMYFUNCTION("""COMPUTED_VALUE"""),"United States")</f>
        <v>United States</v>
      </c>
      <c r="E2626" s="135"/>
      <c r="F2626" s="31"/>
    </row>
    <row r="2627">
      <c r="A2627" s="134" t="str">
        <f>IFERROR(__xludf.DUMMYFUNCTION("""COMPUTED_VALUE"""),"Forrest River")</f>
        <v>Forrest River</v>
      </c>
      <c r="B2627" s="120" t="str">
        <f>IFERROR(__xludf.DUMMYFUNCTION("""COMPUTED_VALUE"""),"FVR")</f>
        <v>FVR</v>
      </c>
      <c r="C2627" s="120" t="str">
        <f>IFERROR(__xludf.DUMMYFUNCTION("""COMPUTED_VALUE"""),"Forrest River Airport")</f>
        <v>Forrest River Airport</v>
      </c>
      <c r="D2627" s="120" t="str">
        <f>IFERROR(__xludf.DUMMYFUNCTION("""COMPUTED_VALUE"""),"Australia")</f>
        <v>Australia</v>
      </c>
      <c r="E2627" s="135"/>
      <c r="F2627" s="31"/>
    </row>
    <row r="2628">
      <c r="A2628" s="134" t="str">
        <f>IFERROR(__xludf.DUMMYFUNCTION("""COMPUTED_VALUE"""),"Forster")</f>
        <v>Forster</v>
      </c>
      <c r="B2628" s="120" t="str">
        <f>IFERROR(__xludf.DUMMYFUNCTION("""COMPUTED_VALUE"""),"FOT")</f>
        <v>FOT</v>
      </c>
      <c r="C2628" s="120" t="str">
        <f>IFERROR(__xludf.DUMMYFUNCTION("""COMPUTED_VALUE"""),"Forster")</f>
        <v>Forster</v>
      </c>
      <c r="D2628" s="120" t="str">
        <f>IFERROR(__xludf.DUMMYFUNCTION("""COMPUTED_VALUE"""),"Australia")</f>
        <v>Australia</v>
      </c>
      <c r="E2628" s="135"/>
      <c r="F2628" s="31"/>
    </row>
    <row r="2629">
      <c r="A2629" s="134" t="str">
        <f>IFERROR(__xludf.DUMMYFUNCTION("""COMPUTED_VALUE"""),"Fort Albany")</f>
        <v>Fort Albany</v>
      </c>
      <c r="B2629" s="120" t="str">
        <f>IFERROR(__xludf.DUMMYFUNCTION("""COMPUTED_VALUE"""),"YFA")</f>
        <v>YFA</v>
      </c>
      <c r="C2629" s="120" t="str">
        <f>IFERROR(__xludf.DUMMYFUNCTION("""COMPUTED_VALUE"""),"Fort Albany")</f>
        <v>Fort Albany</v>
      </c>
      <c r="D2629" s="120" t="str">
        <f>IFERROR(__xludf.DUMMYFUNCTION("""COMPUTED_VALUE"""),"Canada")</f>
        <v>Canada</v>
      </c>
      <c r="E2629" s="135"/>
      <c r="F2629" s="31"/>
    </row>
    <row r="2630">
      <c r="A2630" s="134" t="str">
        <f>IFERROR(__xludf.DUMMYFUNCTION("""COMPUTED_VALUE"""),"Fort Belvoir")</f>
        <v>Fort Belvoir</v>
      </c>
      <c r="B2630" s="120" t="str">
        <f>IFERROR(__xludf.DUMMYFUNCTION("""COMPUTED_VALUE"""),"DAA")</f>
        <v>DAA</v>
      </c>
      <c r="C2630" s="120" t="str">
        <f>IFERROR(__xludf.DUMMYFUNCTION("""COMPUTED_VALUE"""),"Davison AAF")</f>
        <v>Davison AAF</v>
      </c>
      <c r="D2630" s="120" t="str">
        <f>IFERROR(__xludf.DUMMYFUNCTION("""COMPUTED_VALUE"""),"United States")</f>
        <v>United States</v>
      </c>
      <c r="E2630" s="135"/>
      <c r="F2630" s="31"/>
    </row>
    <row r="2631">
      <c r="A2631" s="134" t="str">
        <f>IFERROR(__xludf.DUMMYFUNCTION("""COMPUTED_VALUE"""),"Fort Bragg")</f>
        <v>Fort Bragg</v>
      </c>
      <c r="B2631" s="120" t="str">
        <f>IFERROR(__xludf.DUMMYFUNCTION("""COMPUTED_VALUE"""),"FOB")</f>
        <v>FOB</v>
      </c>
      <c r="C2631" s="120" t="str">
        <f>IFERROR(__xludf.DUMMYFUNCTION("""COMPUTED_VALUE"""),"Fort Bragg")</f>
        <v>Fort Bragg</v>
      </c>
      <c r="D2631" s="120" t="str">
        <f>IFERROR(__xludf.DUMMYFUNCTION("""COMPUTED_VALUE"""),"United States")</f>
        <v>United States</v>
      </c>
      <c r="E2631" s="135"/>
      <c r="F2631" s="31"/>
    </row>
    <row r="2632">
      <c r="A2632" s="134" t="str">
        <f>IFERROR(__xludf.DUMMYFUNCTION("""COMPUTED_VALUE"""),"Fort Bragg")</f>
        <v>Fort Bragg</v>
      </c>
      <c r="B2632" s="120" t="str">
        <f>IFERROR(__xludf.DUMMYFUNCTION("""COMPUTED_VALUE"""),"FBG")</f>
        <v>FBG</v>
      </c>
      <c r="C2632" s="120" t="str">
        <f>IFERROR(__xludf.DUMMYFUNCTION("""COMPUTED_VALUE"""),"Simmons AAF")</f>
        <v>Simmons AAF</v>
      </c>
      <c r="D2632" s="120" t="str">
        <f>IFERROR(__xludf.DUMMYFUNCTION("""COMPUTED_VALUE"""),"United States")</f>
        <v>United States</v>
      </c>
      <c r="E2632" s="135"/>
      <c r="F2632" s="31"/>
    </row>
    <row r="2633">
      <c r="A2633" s="134" t="str">
        <f>IFERROR(__xludf.DUMMYFUNCTION("""COMPUTED_VALUE"""),"Fort Bridger")</f>
        <v>Fort Bridger</v>
      </c>
      <c r="B2633" s="120" t="str">
        <f>IFERROR(__xludf.DUMMYFUNCTION("""COMPUTED_VALUE"""),"FBR")</f>
        <v>FBR</v>
      </c>
      <c r="C2633" s="120" t="str">
        <f>IFERROR(__xludf.DUMMYFUNCTION("""COMPUTED_VALUE"""),"Fort Bridger")</f>
        <v>Fort Bridger</v>
      </c>
      <c r="D2633" s="120" t="str">
        <f>IFERROR(__xludf.DUMMYFUNCTION("""COMPUTED_VALUE"""),"United States")</f>
        <v>United States</v>
      </c>
      <c r="E2633" s="135"/>
      <c r="F2633" s="31"/>
    </row>
    <row r="2634">
      <c r="A2634" s="134" t="str">
        <f>IFERROR(__xludf.DUMMYFUNCTION("""COMPUTED_VALUE"""),"Fort Chaffee")</f>
        <v>Fort Chaffee</v>
      </c>
      <c r="B2634" s="120" t="str">
        <f>IFERROR(__xludf.DUMMYFUNCTION("""COMPUTED_VALUE"""),"CCA")</f>
        <v>CCA</v>
      </c>
      <c r="C2634" s="120" t="str">
        <f>IFERROR(__xludf.DUMMYFUNCTION("""COMPUTED_VALUE"""),"Chaffee AFB")</f>
        <v>Chaffee AFB</v>
      </c>
      <c r="D2634" s="120" t="str">
        <f>IFERROR(__xludf.DUMMYFUNCTION("""COMPUTED_VALUE"""),"United States")</f>
        <v>United States</v>
      </c>
      <c r="E2634" s="135"/>
      <c r="F2634" s="31"/>
    </row>
    <row r="2635">
      <c r="A2635" s="134" t="str">
        <f>IFERROR(__xludf.DUMMYFUNCTION("""COMPUTED_VALUE"""),"Fort Chipewyan")</f>
        <v>Fort Chipewyan</v>
      </c>
      <c r="B2635" s="120" t="str">
        <f>IFERROR(__xludf.DUMMYFUNCTION("""COMPUTED_VALUE"""),"YPY")</f>
        <v>YPY</v>
      </c>
      <c r="C2635" s="120" t="str">
        <f>IFERROR(__xludf.DUMMYFUNCTION("""COMPUTED_VALUE"""),"Fort Chipewyan")</f>
        <v>Fort Chipewyan</v>
      </c>
      <c r="D2635" s="120" t="str">
        <f>IFERROR(__xludf.DUMMYFUNCTION("""COMPUTED_VALUE"""),"Canada")</f>
        <v>Canada</v>
      </c>
      <c r="E2635" s="135"/>
      <c r="F2635" s="31"/>
    </row>
    <row r="2636">
      <c r="A2636" s="134" t="str">
        <f>IFERROR(__xludf.DUMMYFUNCTION("""COMPUTED_VALUE"""),"Fort Collins/Loveland")</f>
        <v>Fort Collins/Loveland</v>
      </c>
      <c r="B2636" s="120" t="str">
        <f>IFERROR(__xludf.DUMMYFUNCTION("""COMPUTED_VALUE"""),"QWF")</f>
        <v>QWF</v>
      </c>
      <c r="C2636" s="120" t="str">
        <f>IFERROR(__xludf.DUMMYFUNCTION("""COMPUTED_VALUE"""),"Fort Collins Bus Servi")</f>
        <v>Fort Collins Bus Servi</v>
      </c>
      <c r="D2636" s="120" t="str">
        <f>IFERROR(__xludf.DUMMYFUNCTION("""COMPUTED_VALUE"""),"United States")</f>
        <v>United States</v>
      </c>
      <c r="E2636" s="135"/>
      <c r="F2636" s="31"/>
    </row>
    <row r="2637">
      <c r="A2637" s="134" t="str">
        <f>IFERROR(__xludf.DUMMYFUNCTION("""COMPUTED_VALUE"""),"Fort Collins/Loveland")</f>
        <v>Fort Collins/Loveland</v>
      </c>
      <c r="B2637" s="120" t="str">
        <f>IFERROR(__xludf.DUMMYFUNCTION("""COMPUTED_VALUE"""),"FNL")</f>
        <v>FNL</v>
      </c>
      <c r="C2637" s="120" t="str">
        <f>IFERROR(__xludf.DUMMYFUNCTION("""COMPUTED_VALUE"""),"Municipal Airport")</f>
        <v>Municipal Airport</v>
      </c>
      <c r="D2637" s="120" t="str">
        <f>IFERROR(__xludf.DUMMYFUNCTION("""COMPUTED_VALUE"""),"United States")</f>
        <v>United States</v>
      </c>
      <c r="E2637" s="135"/>
      <c r="F2637" s="31"/>
    </row>
    <row r="2638">
      <c r="A2638" s="134" t="str">
        <f>IFERROR(__xludf.DUMMYFUNCTION("""COMPUTED_VALUE"""),"Fort Dauphin")</f>
        <v>Fort Dauphin</v>
      </c>
      <c r="B2638" s="120" t="str">
        <f>IFERROR(__xludf.DUMMYFUNCTION("""COMPUTED_VALUE"""),"FTU")</f>
        <v>FTU</v>
      </c>
      <c r="C2638" s="120" t="str">
        <f>IFERROR(__xludf.DUMMYFUNCTION("""COMPUTED_VALUE"""),"Marillac")</f>
        <v>Marillac</v>
      </c>
      <c r="D2638" s="120" t="str">
        <f>IFERROR(__xludf.DUMMYFUNCTION("""COMPUTED_VALUE"""),"Madagascar")</f>
        <v>Madagascar</v>
      </c>
      <c r="E2638" s="135"/>
      <c r="F2638" s="31"/>
    </row>
    <row r="2639">
      <c r="A2639" s="134" t="str">
        <f>IFERROR(__xludf.DUMMYFUNCTION("""COMPUTED_VALUE"""),"Fort De France")</f>
        <v>Fort De France</v>
      </c>
      <c r="B2639" s="120" t="str">
        <f>IFERROR(__xludf.DUMMYFUNCTION("""COMPUTED_VALUE"""),"FDF")</f>
        <v>FDF</v>
      </c>
      <c r="C2639" s="120" t="str">
        <f>IFERROR(__xludf.DUMMYFUNCTION("""COMPUTED_VALUE"""),"Lamentin")</f>
        <v>Lamentin</v>
      </c>
      <c r="D2639" s="120" t="str">
        <f>IFERROR(__xludf.DUMMYFUNCTION("""COMPUTED_VALUE"""),"France")</f>
        <v>France</v>
      </c>
      <c r="E2639" s="135"/>
      <c r="F2639" s="31"/>
    </row>
    <row r="2640">
      <c r="A2640" s="134" t="str">
        <f>IFERROR(__xludf.DUMMYFUNCTION("""COMPUTED_VALUE"""),"Fort Devens")</f>
        <v>Fort Devens</v>
      </c>
      <c r="B2640" s="120" t="str">
        <f>IFERROR(__xludf.DUMMYFUNCTION("""COMPUTED_VALUE"""),"AYE")</f>
        <v>AYE</v>
      </c>
      <c r="C2640" s="120" t="str">
        <f>IFERROR(__xludf.DUMMYFUNCTION("""COMPUTED_VALUE"""),"AAF Heliport")</f>
        <v>AAF Heliport</v>
      </c>
      <c r="D2640" s="120" t="str">
        <f>IFERROR(__xludf.DUMMYFUNCTION("""COMPUTED_VALUE"""),"United States")</f>
        <v>United States</v>
      </c>
      <c r="E2640" s="135"/>
      <c r="F2640" s="31"/>
    </row>
    <row r="2641">
      <c r="A2641" s="134" t="str">
        <f>IFERROR(__xludf.DUMMYFUNCTION("""COMPUTED_VALUE"""),"Fort Dix")</f>
        <v>Fort Dix</v>
      </c>
      <c r="B2641" s="120" t="str">
        <f>IFERROR(__xludf.DUMMYFUNCTION("""COMPUTED_VALUE"""),"WRI")</f>
        <v>WRI</v>
      </c>
      <c r="C2641" s="120" t="str">
        <f>IFERROR(__xludf.DUMMYFUNCTION("""COMPUTED_VALUE"""),"Mc Guire AFB")</f>
        <v>Mc Guire AFB</v>
      </c>
      <c r="D2641" s="120" t="str">
        <f>IFERROR(__xludf.DUMMYFUNCTION("""COMPUTED_VALUE"""),"United States")</f>
        <v>United States</v>
      </c>
      <c r="E2641" s="135"/>
      <c r="F2641" s="31"/>
    </row>
    <row r="2642">
      <c r="A2642" s="134" t="str">
        <f>IFERROR(__xludf.DUMMYFUNCTION("""COMPUTED_VALUE"""),"Fort Dodge")</f>
        <v>Fort Dodge</v>
      </c>
      <c r="B2642" s="120" t="str">
        <f>IFERROR(__xludf.DUMMYFUNCTION("""COMPUTED_VALUE"""),"FOD")</f>
        <v>FOD</v>
      </c>
      <c r="C2642" s="120" t="str">
        <f>IFERROR(__xludf.DUMMYFUNCTION("""COMPUTED_VALUE"""),"Fort Dodge")</f>
        <v>Fort Dodge</v>
      </c>
      <c r="D2642" s="120" t="str">
        <f>IFERROR(__xludf.DUMMYFUNCTION("""COMPUTED_VALUE"""),"United States")</f>
        <v>United States</v>
      </c>
      <c r="E2642" s="135"/>
      <c r="F2642" s="31"/>
    </row>
    <row r="2643">
      <c r="A2643" s="134" t="str">
        <f>IFERROR(__xludf.DUMMYFUNCTION("""COMPUTED_VALUE"""),"Fort Eustis")</f>
        <v>Fort Eustis</v>
      </c>
      <c r="B2643" s="120" t="str">
        <f>IFERROR(__xludf.DUMMYFUNCTION("""COMPUTED_VALUE"""),"FAF")</f>
        <v>FAF</v>
      </c>
      <c r="C2643" s="120" t="str">
        <f>IFERROR(__xludf.DUMMYFUNCTION("""COMPUTED_VALUE"""),"Felker AAF")</f>
        <v>Felker AAF</v>
      </c>
      <c r="D2643" s="120" t="str">
        <f>IFERROR(__xludf.DUMMYFUNCTION("""COMPUTED_VALUE"""),"United States")</f>
        <v>United States</v>
      </c>
      <c r="E2643" s="135"/>
      <c r="F2643" s="31"/>
    </row>
    <row r="2644">
      <c r="A2644" s="134" t="str">
        <f>IFERROR(__xludf.DUMMYFUNCTION("""COMPUTED_VALUE"""),"Fort Frances")</f>
        <v>Fort Frances</v>
      </c>
      <c r="B2644" s="120" t="str">
        <f>IFERROR(__xludf.DUMMYFUNCTION("""COMPUTED_VALUE"""),"YAG")</f>
        <v>YAG</v>
      </c>
      <c r="C2644" s="120" t="str">
        <f>IFERROR(__xludf.DUMMYFUNCTION("""COMPUTED_VALUE"""),"Municipal")</f>
        <v>Municipal</v>
      </c>
      <c r="D2644" s="120" t="str">
        <f>IFERROR(__xludf.DUMMYFUNCTION("""COMPUTED_VALUE"""),"Canada")</f>
        <v>Canada</v>
      </c>
      <c r="E2644" s="135"/>
      <c r="F2644" s="31"/>
    </row>
    <row r="2645">
      <c r="A2645" s="134" t="str">
        <f>IFERROR(__xludf.DUMMYFUNCTION("""COMPUTED_VALUE"""),"Fort Good Hope")</f>
        <v>Fort Good Hope</v>
      </c>
      <c r="B2645" s="120" t="str">
        <f>IFERROR(__xludf.DUMMYFUNCTION("""COMPUTED_VALUE"""),"YGH")</f>
        <v>YGH</v>
      </c>
      <c r="C2645" s="120" t="str">
        <f>IFERROR(__xludf.DUMMYFUNCTION("""COMPUTED_VALUE"""),"Fort Good Hope")</f>
        <v>Fort Good Hope</v>
      </c>
      <c r="D2645" s="120" t="str">
        <f>IFERROR(__xludf.DUMMYFUNCTION("""COMPUTED_VALUE"""),"Canada")</f>
        <v>Canada</v>
      </c>
      <c r="E2645" s="135"/>
      <c r="F2645" s="31"/>
    </row>
    <row r="2646">
      <c r="A2646" s="134" t="str">
        <f>IFERROR(__xludf.DUMMYFUNCTION("""COMPUTED_VALUE"""),"Fort Hope")</f>
        <v>Fort Hope</v>
      </c>
      <c r="B2646" s="120" t="str">
        <f>IFERROR(__xludf.DUMMYFUNCTION("""COMPUTED_VALUE"""),"YFH")</f>
        <v>YFH</v>
      </c>
      <c r="C2646" s="120" t="str">
        <f>IFERROR(__xludf.DUMMYFUNCTION("""COMPUTED_VALUE"""),"Fort Hope")</f>
        <v>Fort Hope</v>
      </c>
      <c r="D2646" s="120" t="str">
        <f>IFERROR(__xludf.DUMMYFUNCTION("""COMPUTED_VALUE"""),"Canada")</f>
        <v>Canada</v>
      </c>
      <c r="E2646" s="135"/>
      <c r="F2646" s="31"/>
    </row>
    <row r="2647">
      <c r="A2647" s="134" t="str">
        <f>IFERROR(__xludf.DUMMYFUNCTION("""COMPUTED_VALUE"""),"Fort Indiantown")</f>
        <v>Fort Indiantown</v>
      </c>
      <c r="B2647" s="120" t="str">
        <f>IFERROR(__xludf.DUMMYFUNCTION("""COMPUTED_VALUE"""),"MUI")</f>
        <v>MUI</v>
      </c>
      <c r="C2647" s="120" t="str">
        <f>IFERROR(__xludf.DUMMYFUNCTION("""COMPUTED_VALUE"""),"Muir AAF")</f>
        <v>Muir AAF</v>
      </c>
      <c r="D2647" s="120" t="str">
        <f>IFERROR(__xludf.DUMMYFUNCTION("""COMPUTED_VALUE"""),"United States")</f>
        <v>United States</v>
      </c>
      <c r="E2647" s="135"/>
      <c r="F2647" s="31"/>
    </row>
    <row r="2648">
      <c r="A2648" s="134" t="str">
        <f>IFERROR(__xludf.DUMMYFUNCTION("""COMPUTED_VALUE"""),"Fort Irwin")</f>
        <v>Fort Irwin</v>
      </c>
      <c r="B2648" s="120" t="str">
        <f>IFERROR(__xludf.DUMMYFUNCTION("""COMPUTED_VALUE"""),"BYS")</f>
        <v>BYS</v>
      </c>
      <c r="C2648" s="120" t="str">
        <f>IFERROR(__xludf.DUMMYFUNCTION("""COMPUTED_VALUE"""),"Bicycle Lake AAF")</f>
        <v>Bicycle Lake AAF</v>
      </c>
      <c r="D2648" s="120" t="str">
        <f>IFERROR(__xludf.DUMMYFUNCTION("""COMPUTED_VALUE"""),"United States")</f>
        <v>United States</v>
      </c>
      <c r="E2648" s="135"/>
      <c r="F2648" s="31"/>
    </row>
    <row r="2649">
      <c r="A2649" s="134" t="str">
        <f>IFERROR(__xludf.DUMMYFUNCTION("""COMPUTED_VALUE"""),"Fort Jefferson")</f>
        <v>Fort Jefferson</v>
      </c>
      <c r="B2649" s="120" t="str">
        <f>IFERROR(__xludf.DUMMYFUNCTION("""COMPUTED_VALUE"""),"RBN")</f>
        <v>RBN</v>
      </c>
      <c r="C2649" s="120" t="str">
        <f>IFERROR(__xludf.DUMMYFUNCTION("""COMPUTED_VALUE"""),"Fort Jefferson")</f>
        <v>Fort Jefferson</v>
      </c>
      <c r="D2649" s="120" t="str">
        <f>IFERROR(__xludf.DUMMYFUNCTION("""COMPUTED_VALUE"""),"United States")</f>
        <v>United States</v>
      </c>
      <c r="E2649" s="135"/>
      <c r="F2649" s="31"/>
    </row>
    <row r="2650">
      <c r="A2650" s="134" t="str">
        <f>IFERROR(__xludf.DUMMYFUNCTION("""COMPUTED_VALUE"""),"Fort Knox")</f>
        <v>Fort Knox</v>
      </c>
      <c r="B2650" s="120" t="str">
        <f>IFERROR(__xludf.DUMMYFUNCTION("""COMPUTED_VALUE"""),"FTK")</f>
        <v>FTK</v>
      </c>
      <c r="C2650" s="120" t="str">
        <f>IFERROR(__xludf.DUMMYFUNCTION("""COMPUTED_VALUE"""),"Godman AAF")</f>
        <v>Godman AAF</v>
      </c>
      <c r="D2650" s="120" t="str">
        <f>IFERROR(__xludf.DUMMYFUNCTION("""COMPUTED_VALUE"""),"United States")</f>
        <v>United States</v>
      </c>
      <c r="E2650" s="135"/>
      <c r="F2650" s="31"/>
    </row>
    <row r="2651">
      <c r="A2651" s="134" t="str">
        <f>IFERROR(__xludf.DUMMYFUNCTION("""COMPUTED_VALUE"""),"Fort Kobbe")</f>
        <v>Fort Kobbe</v>
      </c>
      <c r="B2651" s="120" t="str">
        <f>IFERROR(__xludf.DUMMYFUNCTION("""COMPUTED_VALUE"""),"HOW")</f>
        <v>HOW</v>
      </c>
      <c r="C2651" s="120" t="str">
        <f>IFERROR(__xludf.DUMMYFUNCTION("""COMPUTED_VALUE"""),"Howard Afb")</f>
        <v>Howard Afb</v>
      </c>
      <c r="D2651" s="120" t="str">
        <f>IFERROR(__xludf.DUMMYFUNCTION("""COMPUTED_VALUE"""),"Panama")</f>
        <v>Panama</v>
      </c>
      <c r="E2651" s="135"/>
      <c r="F2651" s="31"/>
    </row>
    <row r="2652">
      <c r="A2652" s="134" t="str">
        <f>IFERROR(__xludf.DUMMYFUNCTION("""COMPUTED_VALUE"""),"Fort Lauderdale")</f>
        <v>Fort Lauderdale</v>
      </c>
      <c r="B2652" s="120" t="str">
        <f>IFERROR(__xludf.DUMMYFUNCTION("""COMPUTED_VALUE"""),"FXE")</f>
        <v>FXE</v>
      </c>
      <c r="C2652" s="120" t="str">
        <f>IFERROR(__xludf.DUMMYFUNCTION("""COMPUTED_VALUE"""),"Executive")</f>
        <v>Executive</v>
      </c>
      <c r="D2652" s="120" t="str">
        <f>IFERROR(__xludf.DUMMYFUNCTION("""COMPUTED_VALUE"""),"United States")</f>
        <v>United States</v>
      </c>
      <c r="E2652" s="135"/>
      <c r="F2652" s="31"/>
    </row>
    <row r="2653">
      <c r="A2653" s="134" t="str">
        <f>IFERROR(__xludf.DUMMYFUNCTION("""COMPUTED_VALUE"""),"Fort Lauderdale")</f>
        <v>Fort Lauderdale</v>
      </c>
      <c r="B2653" s="120" t="str">
        <f>IFERROR(__xludf.DUMMYFUNCTION("""COMPUTED_VALUE"""),"FLL")</f>
        <v>FLL</v>
      </c>
      <c r="C2653" s="120" t="str">
        <f>IFERROR(__xludf.DUMMYFUNCTION("""COMPUTED_VALUE"""),"International")</f>
        <v>International</v>
      </c>
      <c r="D2653" s="120" t="str">
        <f>IFERROR(__xludf.DUMMYFUNCTION("""COMPUTED_VALUE"""),"United States")</f>
        <v>United States</v>
      </c>
      <c r="E2653" s="135"/>
      <c r="F2653" s="31"/>
    </row>
    <row r="2654">
      <c r="A2654" s="134" t="str">
        <f>IFERROR(__xludf.DUMMYFUNCTION("""COMPUTED_VALUE"""),"Fort Leavenworth")</f>
        <v>Fort Leavenworth</v>
      </c>
      <c r="B2654" s="120" t="str">
        <f>IFERROR(__xludf.DUMMYFUNCTION("""COMPUTED_VALUE"""),"FLV")</f>
        <v>FLV</v>
      </c>
      <c r="C2654" s="120" t="str">
        <f>IFERROR(__xludf.DUMMYFUNCTION("""COMPUTED_VALUE"""),"Sherman AAF")</f>
        <v>Sherman AAF</v>
      </c>
      <c r="D2654" s="120" t="str">
        <f>IFERROR(__xludf.DUMMYFUNCTION("""COMPUTED_VALUE"""),"United States")</f>
        <v>United States</v>
      </c>
      <c r="E2654" s="135"/>
      <c r="F2654" s="31"/>
    </row>
    <row r="2655">
      <c r="A2655" s="134" t="str">
        <f>IFERROR(__xludf.DUMMYFUNCTION("""COMPUTED_VALUE"""),"Fort Leonard Wood")</f>
        <v>Fort Leonard Wood</v>
      </c>
      <c r="B2655" s="120" t="str">
        <f>IFERROR(__xludf.DUMMYFUNCTION("""COMPUTED_VALUE"""),"TBN")</f>
        <v>TBN</v>
      </c>
      <c r="C2655" s="120" t="str">
        <f>IFERROR(__xludf.DUMMYFUNCTION("""COMPUTED_VALUE"""),"Forney AAF")</f>
        <v>Forney AAF</v>
      </c>
      <c r="D2655" s="120" t="str">
        <f>IFERROR(__xludf.DUMMYFUNCTION("""COMPUTED_VALUE"""),"United States")</f>
        <v>United States</v>
      </c>
      <c r="E2655" s="135"/>
      <c r="F2655" s="31"/>
    </row>
    <row r="2656">
      <c r="A2656" s="134" t="str">
        <f>IFERROR(__xludf.DUMMYFUNCTION("""COMPUTED_VALUE"""),"Fort Liard")</f>
        <v>Fort Liard</v>
      </c>
      <c r="B2656" s="120" t="str">
        <f>IFERROR(__xludf.DUMMYFUNCTION("""COMPUTED_VALUE"""),"YJF")</f>
        <v>YJF</v>
      </c>
      <c r="C2656" s="120" t="str">
        <f>IFERROR(__xludf.DUMMYFUNCTION("""COMPUTED_VALUE"""),"Fort Liard")</f>
        <v>Fort Liard</v>
      </c>
      <c r="D2656" s="120" t="str">
        <f>IFERROR(__xludf.DUMMYFUNCTION("""COMPUTED_VALUE"""),"Canada")</f>
        <v>Canada</v>
      </c>
      <c r="E2656" s="135"/>
      <c r="F2656" s="31"/>
    </row>
    <row r="2657">
      <c r="A2657" s="134" t="str">
        <f>IFERROR(__xludf.DUMMYFUNCTION("""COMPUTED_VALUE"""),"Fort Madison")</f>
        <v>Fort Madison</v>
      </c>
      <c r="B2657" s="120" t="str">
        <f>IFERROR(__xludf.DUMMYFUNCTION("""COMPUTED_VALUE"""),"FMS")</f>
        <v>FMS</v>
      </c>
      <c r="C2657" s="120" t="str">
        <f>IFERROR(__xludf.DUMMYFUNCTION("""COMPUTED_VALUE"""),"Municipal")</f>
        <v>Municipal</v>
      </c>
      <c r="D2657" s="120" t="str">
        <f>IFERROR(__xludf.DUMMYFUNCTION("""COMPUTED_VALUE"""),"United States")</f>
        <v>United States</v>
      </c>
      <c r="E2657" s="135"/>
      <c r="F2657" s="31"/>
    </row>
    <row r="2658">
      <c r="A2658" s="134" t="str">
        <f>IFERROR(__xludf.DUMMYFUNCTION("""COMPUTED_VALUE"""),"Fort Mcmurray")</f>
        <v>Fort Mcmurray</v>
      </c>
      <c r="B2658" s="120" t="str">
        <f>IFERROR(__xludf.DUMMYFUNCTION("""COMPUTED_VALUE"""),"YMM")</f>
        <v>YMM</v>
      </c>
      <c r="C2658" s="120" t="str">
        <f>IFERROR(__xludf.DUMMYFUNCTION("""COMPUTED_VALUE"""),"Fort Mcmurray")</f>
        <v>Fort Mcmurray</v>
      </c>
      <c r="D2658" s="120" t="str">
        <f>IFERROR(__xludf.DUMMYFUNCTION("""COMPUTED_VALUE"""),"Canada")</f>
        <v>Canada</v>
      </c>
      <c r="E2658" s="135"/>
      <c r="F2658" s="31"/>
    </row>
    <row r="2659">
      <c r="A2659" s="134" t="str">
        <f>IFERROR(__xludf.DUMMYFUNCTION("""COMPUTED_VALUE"""),"Fort Mcpherson")</f>
        <v>Fort Mcpherson</v>
      </c>
      <c r="B2659" s="120" t="str">
        <f>IFERROR(__xludf.DUMMYFUNCTION("""COMPUTED_VALUE"""),"ZFM")</f>
        <v>ZFM</v>
      </c>
      <c r="C2659" s="120" t="str">
        <f>IFERROR(__xludf.DUMMYFUNCTION("""COMPUTED_VALUE"""),"Fort Mcpherson")</f>
        <v>Fort Mcpherson</v>
      </c>
      <c r="D2659" s="120" t="str">
        <f>IFERROR(__xludf.DUMMYFUNCTION("""COMPUTED_VALUE"""),"Canada")</f>
        <v>Canada</v>
      </c>
      <c r="E2659" s="135"/>
      <c r="F2659" s="31"/>
    </row>
    <row r="2660">
      <c r="A2660" s="134" t="str">
        <f>IFERROR(__xludf.DUMMYFUNCTION("""COMPUTED_VALUE"""),"Fort Meade")</f>
        <v>Fort Meade</v>
      </c>
      <c r="B2660" s="120" t="str">
        <f>IFERROR(__xludf.DUMMYFUNCTION("""COMPUTED_VALUE"""),"FME")</f>
        <v>FME</v>
      </c>
      <c r="C2660" s="120" t="str">
        <f>IFERROR(__xludf.DUMMYFUNCTION("""COMPUTED_VALUE"""),"Tipton AAF")</f>
        <v>Tipton AAF</v>
      </c>
      <c r="D2660" s="120" t="str">
        <f>IFERROR(__xludf.DUMMYFUNCTION("""COMPUTED_VALUE"""),"United States")</f>
        <v>United States</v>
      </c>
      <c r="E2660" s="135"/>
      <c r="F2660" s="31"/>
    </row>
    <row r="2661">
      <c r="A2661" s="134" t="str">
        <f>IFERROR(__xludf.DUMMYFUNCTION("""COMPUTED_VALUE"""),"Fort Myers")</f>
        <v>Fort Myers</v>
      </c>
      <c r="B2661" s="120" t="str">
        <f>IFERROR(__xludf.DUMMYFUNCTION("""COMPUTED_VALUE"""),"FMY")</f>
        <v>FMY</v>
      </c>
      <c r="C2661" s="120" t="str">
        <f>IFERROR(__xludf.DUMMYFUNCTION("""COMPUTED_VALUE"""),"Page Field")</f>
        <v>Page Field</v>
      </c>
      <c r="D2661" s="120" t="str">
        <f>IFERROR(__xludf.DUMMYFUNCTION("""COMPUTED_VALUE"""),"United States")</f>
        <v>United States</v>
      </c>
      <c r="E2661" s="135"/>
      <c r="F2661" s="31"/>
    </row>
    <row r="2662">
      <c r="A2662" s="134" t="str">
        <f>IFERROR(__xludf.DUMMYFUNCTION("""COMPUTED_VALUE"""),"Fort Myers")</f>
        <v>Fort Myers</v>
      </c>
      <c r="B2662" s="120" t="str">
        <f>IFERROR(__xludf.DUMMYFUNCTION("""COMPUTED_VALUE"""),"RSW")</f>
        <v>RSW</v>
      </c>
      <c r="C2662" s="120" t="str">
        <f>IFERROR(__xludf.DUMMYFUNCTION("""COMPUTED_VALUE"""),"Southwest Florida Reg")</f>
        <v>Southwest Florida Reg</v>
      </c>
      <c r="D2662" s="120" t="str">
        <f>IFERROR(__xludf.DUMMYFUNCTION("""COMPUTED_VALUE"""),"United States")</f>
        <v>United States</v>
      </c>
      <c r="E2662" s="135"/>
      <c r="F2662" s="31"/>
    </row>
    <row r="2663">
      <c r="A2663" s="134" t="str">
        <f>IFERROR(__xludf.DUMMYFUNCTION("""COMPUTED_VALUE"""),"Fort Nelson")</f>
        <v>Fort Nelson</v>
      </c>
      <c r="B2663" s="120" t="str">
        <f>IFERROR(__xludf.DUMMYFUNCTION("""COMPUTED_VALUE"""),"YYE")</f>
        <v>YYE</v>
      </c>
      <c r="C2663" s="120" t="str">
        <f>IFERROR(__xludf.DUMMYFUNCTION("""COMPUTED_VALUE"""),"Fort Nelson")</f>
        <v>Fort Nelson</v>
      </c>
      <c r="D2663" s="120" t="str">
        <f>IFERROR(__xludf.DUMMYFUNCTION("""COMPUTED_VALUE"""),"Canada")</f>
        <v>Canada</v>
      </c>
      <c r="E2663" s="135"/>
      <c r="F2663" s="31"/>
    </row>
    <row r="2664">
      <c r="A2664" s="134" t="str">
        <f>IFERROR(__xludf.DUMMYFUNCTION("""COMPUTED_VALUE"""),"Fort Pierce")</f>
        <v>Fort Pierce</v>
      </c>
      <c r="B2664" s="120" t="str">
        <f>IFERROR(__xludf.DUMMYFUNCTION("""COMPUTED_VALUE"""),"FPR")</f>
        <v>FPR</v>
      </c>
      <c r="C2664" s="120" t="str">
        <f>IFERROR(__xludf.DUMMYFUNCTION("""COMPUTED_VALUE"""),"St Lucie County")</f>
        <v>St Lucie County</v>
      </c>
      <c r="D2664" s="120" t="str">
        <f>IFERROR(__xludf.DUMMYFUNCTION("""COMPUTED_VALUE"""),"United States")</f>
        <v>United States</v>
      </c>
      <c r="E2664" s="135"/>
      <c r="F2664" s="31"/>
    </row>
    <row r="2665">
      <c r="A2665" s="134" t="str">
        <f>IFERROR(__xludf.DUMMYFUNCTION("""COMPUTED_VALUE"""),"Fort Polk")</f>
        <v>Fort Polk</v>
      </c>
      <c r="B2665" s="120" t="str">
        <f>IFERROR(__xludf.DUMMYFUNCTION("""COMPUTED_VALUE"""),"POE")</f>
        <v>POE</v>
      </c>
      <c r="C2665" s="120" t="str">
        <f>IFERROR(__xludf.DUMMYFUNCTION("""COMPUTED_VALUE"""),"Polk AAF")</f>
        <v>Polk AAF</v>
      </c>
      <c r="D2665" s="120" t="str">
        <f>IFERROR(__xludf.DUMMYFUNCTION("""COMPUTED_VALUE"""),"United States")</f>
        <v>United States</v>
      </c>
      <c r="E2665" s="135"/>
      <c r="F2665" s="31"/>
    </row>
    <row r="2666">
      <c r="A2666" s="134" t="str">
        <f>IFERROR(__xludf.DUMMYFUNCTION("""COMPUTED_VALUE"""),"Fort Reliance")</f>
        <v>Fort Reliance</v>
      </c>
      <c r="B2666" s="120" t="str">
        <f>IFERROR(__xludf.DUMMYFUNCTION("""COMPUTED_VALUE"""),"YFL")</f>
        <v>YFL</v>
      </c>
      <c r="C2666" s="120" t="str">
        <f>IFERROR(__xludf.DUMMYFUNCTION("""COMPUTED_VALUE"""),"Fort Reliance")</f>
        <v>Fort Reliance</v>
      </c>
      <c r="D2666" s="120" t="str">
        <f>IFERROR(__xludf.DUMMYFUNCTION("""COMPUTED_VALUE"""),"Canada")</f>
        <v>Canada</v>
      </c>
      <c r="E2666" s="135"/>
      <c r="F2666" s="31"/>
    </row>
    <row r="2667">
      <c r="A2667" s="134" t="str">
        <f>IFERROR(__xludf.DUMMYFUNCTION("""COMPUTED_VALUE"""),"Fort Resolution")</f>
        <v>Fort Resolution</v>
      </c>
      <c r="B2667" s="120" t="str">
        <f>IFERROR(__xludf.DUMMYFUNCTION("""COMPUTED_VALUE"""),"YFR")</f>
        <v>YFR</v>
      </c>
      <c r="C2667" s="120" t="str">
        <f>IFERROR(__xludf.DUMMYFUNCTION("""COMPUTED_VALUE"""),"Fort Resolution")</f>
        <v>Fort Resolution</v>
      </c>
      <c r="D2667" s="120" t="str">
        <f>IFERROR(__xludf.DUMMYFUNCTION("""COMPUTED_VALUE"""),"Canada")</f>
        <v>Canada</v>
      </c>
      <c r="E2667" s="135"/>
      <c r="F2667" s="31"/>
    </row>
    <row r="2668">
      <c r="A2668" s="134" t="str">
        <f>IFERROR(__xludf.DUMMYFUNCTION("""COMPUTED_VALUE"""),"Fort Richardson")</f>
        <v>Fort Richardson</v>
      </c>
      <c r="B2668" s="120" t="str">
        <f>IFERROR(__xludf.DUMMYFUNCTION("""COMPUTED_VALUE"""),"FRN")</f>
        <v>FRN</v>
      </c>
      <c r="C2668" s="120" t="str">
        <f>IFERROR(__xludf.DUMMYFUNCTION("""COMPUTED_VALUE"""),"Bryant AAF")</f>
        <v>Bryant AAF</v>
      </c>
      <c r="D2668" s="120" t="str">
        <f>IFERROR(__xludf.DUMMYFUNCTION("""COMPUTED_VALUE"""),"United States")</f>
        <v>United States</v>
      </c>
      <c r="E2668" s="135"/>
      <c r="F2668" s="31"/>
    </row>
    <row r="2669">
      <c r="A2669" s="134" t="str">
        <f>IFERROR(__xludf.DUMMYFUNCTION("""COMPUTED_VALUE"""),"Fort Riley")</f>
        <v>Fort Riley</v>
      </c>
      <c r="B2669" s="120" t="str">
        <f>IFERROR(__xludf.DUMMYFUNCTION("""COMPUTED_VALUE"""),"FRI")</f>
        <v>FRI</v>
      </c>
      <c r="C2669" s="120" t="str">
        <f>IFERROR(__xludf.DUMMYFUNCTION("""COMPUTED_VALUE"""),"Marshall AAF")</f>
        <v>Marshall AAF</v>
      </c>
      <c r="D2669" s="120" t="str">
        <f>IFERROR(__xludf.DUMMYFUNCTION("""COMPUTED_VALUE"""),"United States")</f>
        <v>United States</v>
      </c>
      <c r="E2669" s="135"/>
      <c r="F2669" s="31"/>
    </row>
    <row r="2670">
      <c r="A2670" s="134" t="str">
        <f>IFERROR(__xludf.DUMMYFUNCTION("""COMPUTED_VALUE"""),"Fort Scott")</f>
        <v>Fort Scott</v>
      </c>
      <c r="B2670" s="120" t="str">
        <f>IFERROR(__xludf.DUMMYFUNCTION("""COMPUTED_VALUE"""),"FSK")</f>
        <v>FSK</v>
      </c>
      <c r="C2670" s="120" t="str">
        <f>IFERROR(__xludf.DUMMYFUNCTION("""COMPUTED_VALUE"""),"Municipal")</f>
        <v>Municipal</v>
      </c>
      <c r="D2670" s="120" t="str">
        <f>IFERROR(__xludf.DUMMYFUNCTION("""COMPUTED_VALUE"""),"United States")</f>
        <v>United States</v>
      </c>
      <c r="E2670" s="135"/>
      <c r="F2670" s="31"/>
    </row>
    <row r="2671">
      <c r="A2671" s="134" t="str">
        <f>IFERROR(__xludf.DUMMYFUNCTION("""COMPUTED_VALUE"""),"Fort Severn")</f>
        <v>Fort Severn</v>
      </c>
      <c r="B2671" s="120" t="str">
        <f>IFERROR(__xludf.DUMMYFUNCTION("""COMPUTED_VALUE"""),"YER")</f>
        <v>YER</v>
      </c>
      <c r="C2671" s="120" t="str">
        <f>IFERROR(__xludf.DUMMYFUNCTION("""COMPUTED_VALUE"""),"Fort Severn")</f>
        <v>Fort Severn</v>
      </c>
      <c r="D2671" s="120" t="str">
        <f>IFERROR(__xludf.DUMMYFUNCTION("""COMPUTED_VALUE"""),"Canada")</f>
        <v>Canada</v>
      </c>
      <c r="E2671" s="135"/>
      <c r="F2671" s="31"/>
    </row>
    <row r="2672">
      <c r="A2672" s="134" t="str">
        <f>IFERROR(__xludf.DUMMYFUNCTION("""COMPUTED_VALUE"""),"Fort Sheridan")</f>
        <v>Fort Sheridan</v>
      </c>
      <c r="B2672" s="120" t="str">
        <f>IFERROR(__xludf.DUMMYFUNCTION("""COMPUTED_VALUE"""),"FSN")</f>
        <v>FSN</v>
      </c>
      <c r="C2672" s="120" t="str">
        <f>IFERROR(__xludf.DUMMYFUNCTION("""COMPUTED_VALUE"""),"Haley AAF")</f>
        <v>Haley AAF</v>
      </c>
      <c r="D2672" s="120" t="str">
        <f>IFERROR(__xludf.DUMMYFUNCTION("""COMPUTED_VALUE"""),"United States")</f>
        <v>United States</v>
      </c>
      <c r="E2672" s="135"/>
      <c r="F2672" s="31"/>
    </row>
    <row r="2673">
      <c r="A2673" s="134" t="str">
        <f>IFERROR(__xludf.DUMMYFUNCTION("""COMPUTED_VALUE"""),"Fort Sill")</f>
        <v>Fort Sill</v>
      </c>
      <c r="B2673" s="120" t="str">
        <f>IFERROR(__xludf.DUMMYFUNCTION("""COMPUTED_VALUE"""),"FSI")</f>
        <v>FSI</v>
      </c>
      <c r="C2673" s="120" t="str">
        <f>IFERROR(__xludf.DUMMYFUNCTION("""COMPUTED_VALUE"""),"Henry Post AAF")</f>
        <v>Henry Post AAF</v>
      </c>
      <c r="D2673" s="120" t="str">
        <f>IFERROR(__xludf.DUMMYFUNCTION("""COMPUTED_VALUE"""),"United States")</f>
        <v>United States</v>
      </c>
      <c r="E2673" s="135"/>
      <c r="F2673" s="31"/>
    </row>
    <row r="2674">
      <c r="A2674" s="134" t="str">
        <f>IFERROR(__xludf.DUMMYFUNCTION("""COMPUTED_VALUE"""),"Fort Simpson")</f>
        <v>Fort Simpson</v>
      </c>
      <c r="B2674" s="120" t="str">
        <f>IFERROR(__xludf.DUMMYFUNCTION("""COMPUTED_VALUE"""),"YFS")</f>
        <v>YFS</v>
      </c>
      <c r="C2674" s="120" t="str">
        <f>IFERROR(__xludf.DUMMYFUNCTION("""COMPUTED_VALUE"""),"Fort Simpson")</f>
        <v>Fort Simpson</v>
      </c>
      <c r="D2674" s="120" t="str">
        <f>IFERROR(__xludf.DUMMYFUNCTION("""COMPUTED_VALUE"""),"Canada")</f>
        <v>Canada</v>
      </c>
      <c r="E2674" s="135"/>
      <c r="F2674" s="31"/>
    </row>
    <row r="2675">
      <c r="A2675" s="134" t="str">
        <f>IFERROR(__xludf.DUMMYFUNCTION("""COMPUTED_VALUE"""),"Fort Smith")</f>
        <v>Fort Smith</v>
      </c>
      <c r="B2675" s="120" t="str">
        <f>IFERROR(__xludf.DUMMYFUNCTION("""COMPUTED_VALUE"""),"FSM")</f>
        <v>FSM</v>
      </c>
      <c r="C2675" s="120" t="str">
        <f>IFERROR(__xludf.DUMMYFUNCTION("""COMPUTED_VALUE"""),"Municipal")</f>
        <v>Municipal</v>
      </c>
      <c r="D2675" s="120" t="str">
        <f>IFERROR(__xludf.DUMMYFUNCTION("""COMPUTED_VALUE"""),"United States")</f>
        <v>United States</v>
      </c>
      <c r="E2675" s="135"/>
      <c r="F2675" s="31"/>
    </row>
    <row r="2676">
      <c r="A2676" s="134" t="str">
        <f>IFERROR(__xludf.DUMMYFUNCTION("""COMPUTED_VALUE"""),"Fort Smith")</f>
        <v>Fort Smith</v>
      </c>
      <c r="B2676" s="120" t="str">
        <f>IFERROR(__xludf.DUMMYFUNCTION("""COMPUTED_VALUE"""),"YSM")</f>
        <v>YSM</v>
      </c>
      <c r="C2676" s="120" t="str">
        <f>IFERROR(__xludf.DUMMYFUNCTION("""COMPUTED_VALUE"""),"Fort Smith")</f>
        <v>Fort Smith</v>
      </c>
      <c r="D2676" s="120" t="str">
        <f>IFERROR(__xludf.DUMMYFUNCTION("""COMPUTED_VALUE"""),"Canada")</f>
        <v>Canada</v>
      </c>
      <c r="E2676" s="135"/>
      <c r="F2676" s="31"/>
    </row>
    <row r="2677">
      <c r="A2677" s="134" t="str">
        <f>IFERROR(__xludf.DUMMYFUNCTION("""COMPUTED_VALUE"""),"Fort St John")</f>
        <v>Fort St John</v>
      </c>
      <c r="B2677" s="120" t="str">
        <f>IFERROR(__xludf.DUMMYFUNCTION("""COMPUTED_VALUE"""),"YXJ")</f>
        <v>YXJ</v>
      </c>
      <c r="C2677" s="120" t="str">
        <f>IFERROR(__xludf.DUMMYFUNCTION("""COMPUTED_VALUE"""),"Fort St John")</f>
        <v>Fort St John</v>
      </c>
      <c r="D2677" s="120" t="str">
        <f>IFERROR(__xludf.DUMMYFUNCTION("""COMPUTED_VALUE"""),"Canada")</f>
        <v>Canada</v>
      </c>
      <c r="E2677" s="135"/>
      <c r="F2677" s="31"/>
    </row>
    <row r="2678">
      <c r="A2678" s="134" t="str">
        <f>IFERROR(__xludf.DUMMYFUNCTION("""COMPUTED_VALUE"""),"Fort Stockton")</f>
        <v>Fort Stockton</v>
      </c>
      <c r="B2678" s="120" t="str">
        <f>IFERROR(__xludf.DUMMYFUNCTION("""COMPUTED_VALUE"""),"FST")</f>
        <v>FST</v>
      </c>
      <c r="C2678" s="120" t="str">
        <f>IFERROR(__xludf.DUMMYFUNCTION("""COMPUTED_VALUE"""),"Pecos County")</f>
        <v>Pecos County</v>
      </c>
      <c r="D2678" s="120" t="str">
        <f>IFERROR(__xludf.DUMMYFUNCTION("""COMPUTED_VALUE"""),"United States")</f>
        <v>United States</v>
      </c>
      <c r="E2678" s="135"/>
      <c r="F2678" s="31"/>
    </row>
    <row r="2679">
      <c r="A2679" s="134" t="str">
        <f>IFERROR(__xludf.DUMMYFUNCTION("""COMPUTED_VALUE"""),"Fort Sumner")</f>
        <v>Fort Sumner</v>
      </c>
      <c r="B2679" s="120" t="str">
        <f>IFERROR(__xludf.DUMMYFUNCTION("""COMPUTED_VALUE"""),"FSU")</f>
        <v>FSU</v>
      </c>
      <c r="C2679" s="120" t="str">
        <f>IFERROR(__xludf.DUMMYFUNCTION("""COMPUTED_VALUE"""),"Fort Sumner")</f>
        <v>Fort Sumner</v>
      </c>
      <c r="D2679" s="120" t="str">
        <f>IFERROR(__xludf.DUMMYFUNCTION("""COMPUTED_VALUE"""),"United States")</f>
        <v>United States</v>
      </c>
      <c r="E2679" s="135"/>
      <c r="F2679" s="31"/>
    </row>
    <row r="2680">
      <c r="A2680" s="134" t="str">
        <f>IFERROR(__xludf.DUMMYFUNCTION("""COMPUTED_VALUE"""),"Fort Wayne")</f>
        <v>Fort Wayne</v>
      </c>
      <c r="B2680" s="120" t="str">
        <f>IFERROR(__xludf.DUMMYFUNCTION("""COMPUTED_VALUE"""),"FWA")</f>
        <v>FWA</v>
      </c>
      <c r="C2680" s="120" t="str">
        <f>IFERROR(__xludf.DUMMYFUNCTION("""COMPUTED_VALUE"""),"Municipal/Baer Field")</f>
        <v>Municipal/Baer Field</v>
      </c>
      <c r="D2680" s="120" t="str">
        <f>IFERROR(__xludf.DUMMYFUNCTION("""COMPUTED_VALUE"""),"United States")</f>
        <v>United States</v>
      </c>
      <c r="E2680" s="135"/>
      <c r="F2680" s="31"/>
    </row>
    <row r="2681">
      <c r="A2681" s="134" t="str">
        <f>IFERROR(__xludf.DUMMYFUNCTION("""COMPUTED_VALUE"""),"Fort Wayne")</f>
        <v>Fort Wayne</v>
      </c>
      <c r="B2681" s="120" t="str">
        <f>IFERROR(__xludf.DUMMYFUNCTION("""COMPUTED_VALUE"""),"SMD")</f>
        <v>SMD</v>
      </c>
      <c r="C2681" s="120" t="str">
        <f>IFERROR(__xludf.DUMMYFUNCTION("""COMPUTED_VALUE"""),"Smith Field")</f>
        <v>Smith Field</v>
      </c>
      <c r="D2681" s="120" t="str">
        <f>IFERROR(__xludf.DUMMYFUNCTION("""COMPUTED_VALUE"""),"United States")</f>
        <v>United States</v>
      </c>
      <c r="E2681" s="135"/>
      <c r="F2681" s="31"/>
    </row>
    <row r="2682">
      <c r="A2682" s="134" t="str">
        <f>IFERROR(__xludf.DUMMYFUNCTION("""COMPUTED_VALUE"""),"Fort William")</f>
        <v>Fort William</v>
      </c>
      <c r="B2682" s="120" t="str">
        <f>IFERROR(__xludf.DUMMYFUNCTION("""COMPUTED_VALUE"""),"FWM")</f>
        <v>FWM</v>
      </c>
      <c r="C2682" s="120" t="str">
        <f>IFERROR(__xludf.DUMMYFUNCTION("""COMPUTED_VALUE"""),"Heliport")</f>
        <v>Heliport</v>
      </c>
      <c r="D2682" s="120" t="str">
        <f>IFERROR(__xludf.DUMMYFUNCTION("""COMPUTED_VALUE"""),"United Kingdom")</f>
        <v>United Kingdom</v>
      </c>
      <c r="E2682" s="135"/>
      <c r="F2682" s="31"/>
    </row>
    <row r="2683">
      <c r="A2683" s="134" t="str">
        <f>IFERROR(__xludf.DUMMYFUNCTION("""COMPUTED_VALUE"""),"Fort Worth")</f>
        <v>Fort Worth</v>
      </c>
      <c r="B2683" s="120" t="str">
        <f>IFERROR(__xludf.DUMMYFUNCTION("""COMPUTED_VALUE"""),"FWH")</f>
        <v>FWH</v>
      </c>
      <c r="C2683" s="120" t="str">
        <f>IFERROR(__xludf.DUMMYFUNCTION("""COMPUTED_VALUE"""),"Carswell AFB")</f>
        <v>Carswell AFB</v>
      </c>
      <c r="D2683" s="120" t="str">
        <f>IFERROR(__xludf.DUMMYFUNCTION("""COMPUTED_VALUE"""),"United States")</f>
        <v>United States</v>
      </c>
      <c r="E2683" s="135"/>
      <c r="F2683" s="31"/>
    </row>
    <row r="2684">
      <c r="A2684" s="134" t="str">
        <f>IFERROR(__xludf.DUMMYFUNCTION("""COMPUTED_VALUE"""),"Fort Worth")</f>
        <v>Fort Worth</v>
      </c>
      <c r="B2684" s="120" t="str">
        <f>IFERROR(__xludf.DUMMYFUNCTION("""COMPUTED_VALUE"""),"AFW")</f>
        <v>AFW</v>
      </c>
      <c r="C2684" s="120" t="str">
        <f>IFERROR(__xludf.DUMMYFUNCTION("""COMPUTED_VALUE"""),"Fort Worth Alliance")</f>
        <v>Fort Worth Alliance</v>
      </c>
      <c r="D2684" s="120" t="str">
        <f>IFERROR(__xludf.DUMMYFUNCTION("""COMPUTED_VALUE"""),"United States")</f>
        <v>United States</v>
      </c>
      <c r="E2684" s="135"/>
      <c r="F2684" s="31"/>
    </row>
    <row r="2685">
      <c r="A2685" s="134" t="str">
        <f>IFERROR(__xludf.DUMMYFUNCTION("""COMPUTED_VALUE"""),"Fort Worth")</f>
        <v>Fort Worth</v>
      </c>
      <c r="B2685" s="120" t="str">
        <f>IFERROR(__xludf.DUMMYFUNCTION("""COMPUTED_VALUE"""),"FTW")</f>
        <v>FTW</v>
      </c>
      <c r="C2685" s="120" t="str">
        <f>IFERROR(__xludf.DUMMYFUNCTION("""COMPUTED_VALUE"""),"Meacham Field")</f>
        <v>Meacham Field</v>
      </c>
      <c r="D2685" s="120" t="str">
        <f>IFERROR(__xludf.DUMMYFUNCTION("""COMPUTED_VALUE"""),"United States")</f>
        <v>United States</v>
      </c>
      <c r="E2685" s="135"/>
      <c r="F2685" s="31"/>
    </row>
    <row r="2686">
      <c r="A2686" s="134" t="str">
        <f>IFERROR(__xludf.DUMMYFUNCTION("""COMPUTED_VALUE"""),"Fort Yukon")</f>
        <v>Fort Yukon</v>
      </c>
      <c r="B2686" s="120" t="str">
        <f>IFERROR(__xludf.DUMMYFUNCTION("""COMPUTED_VALUE"""),"FYU")</f>
        <v>FYU</v>
      </c>
      <c r="C2686" s="120" t="str">
        <f>IFERROR(__xludf.DUMMYFUNCTION("""COMPUTED_VALUE"""),"Fort Yukon")</f>
        <v>Fort Yukon</v>
      </c>
      <c r="D2686" s="120" t="str">
        <f>IFERROR(__xludf.DUMMYFUNCTION("""COMPUTED_VALUE"""),"United States")</f>
        <v>United States</v>
      </c>
      <c r="E2686" s="135"/>
      <c r="F2686" s="31"/>
    </row>
    <row r="2687">
      <c r="A2687" s="134" t="str">
        <f>IFERROR(__xludf.DUMMYFUNCTION("""COMPUTED_VALUE"""),"Fortaleza")</f>
        <v>Fortaleza</v>
      </c>
      <c r="B2687" s="120" t="str">
        <f>IFERROR(__xludf.DUMMYFUNCTION("""COMPUTED_VALUE"""),"FOR")</f>
        <v>FOR</v>
      </c>
      <c r="C2687" s="120" t="str">
        <f>IFERROR(__xludf.DUMMYFUNCTION("""COMPUTED_VALUE"""),"Pinto Martins")</f>
        <v>Pinto Martins</v>
      </c>
      <c r="D2687" s="120" t="str">
        <f>IFERROR(__xludf.DUMMYFUNCTION("""COMPUTED_VALUE"""),"Brazil")</f>
        <v>Brazil</v>
      </c>
      <c r="E2687" s="135"/>
      <c r="F2687" s="31"/>
    </row>
    <row r="2688">
      <c r="A2688" s="134" t="str">
        <f>IFERROR(__xludf.DUMMYFUNCTION("""COMPUTED_VALUE"""),"Fortuna")</f>
        <v>Fortuna</v>
      </c>
      <c r="B2688" s="120" t="str">
        <f>IFERROR(__xludf.DUMMYFUNCTION("""COMPUTED_VALUE"""),"FON")</f>
        <v>FON</v>
      </c>
      <c r="C2688" s="120" t="str">
        <f>IFERROR(__xludf.DUMMYFUNCTION("""COMPUTED_VALUE"""),"Fortuna")</f>
        <v>Fortuna</v>
      </c>
      <c r="D2688" s="120" t="str">
        <f>IFERROR(__xludf.DUMMYFUNCTION("""COMPUTED_VALUE"""),"Costa Rica")</f>
        <v>Costa Rica</v>
      </c>
      <c r="E2688" s="135"/>
      <c r="F2688" s="31"/>
    </row>
    <row r="2689">
      <c r="A2689" s="134" t="str">
        <f>IFERROR(__xludf.DUMMYFUNCTION("""COMPUTED_VALUE"""),"Fortuna Ledge")</f>
        <v>Fortuna Ledge</v>
      </c>
      <c r="B2689" s="120" t="str">
        <f>IFERROR(__xludf.DUMMYFUNCTION("""COMPUTED_VALUE"""),"FTL")</f>
        <v>FTL</v>
      </c>
      <c r="C2689" s="120" t="str">
        <f>IFERROR(__xludf.DUMMYFUNCTION("""COMPUTED_VALUE"""),"Fortuna Ledge")</f>
        <v>Fortuna Ledge</v>
      </c>
      <c r="D2689" s="120" t="str">
        <f>IFERROR(__xludf.DUMMYFUNCTION("""COMPUTED_VALUE"""),"United States")</f>
        <v>United States</v>
      </c>
      <c r="E2689" s="135"/>
      <c r="F2689" s="31"/>
    </row>
    <row r="2690">
      <c r="A2690" s="134" t="str">
        <f>IFERROR(__xludf.DUMMYFUNCTION("""COMPUTED_VALUE"""),"Foshan")</f>
        <v>Foshan</v>
      </c>
      <c r="B2690" s="120" t="str">
        <f>IFERROR(__xludf.DUMMYFUNCTION("""COMPUTED_VALUE"""),"ZCP")</f>
        <v>ZCP</v>
      </c>
      <c r="C2690" s="120" t="str">
        <f>IFERROR(__xludf.DUMMYFUNCTION("""COMPUTED_VALUE"""),"Foshan Ferry")</f>
        <v>Foshan Ferry</v>
      </c>
      <c r="D2690" s="120" t="str">
        <f>IFERROR(__xludf.DUMMYFUNCTION("""COMPUTED_VALUE"""),"China")</f>
        <v>China</v>
      </c>
      <c r="E2690" s="135"/>
      <c r="F2690" s="31"/>
    </row>
    <row r="2691">
      <c r="A2691" s="134" t="str">
        <f>IFERROR(__xludf.DUMMYFUNCTION("""COMPUTED_VALUE"""),"Fossil Downs")</f>
        <v>Fossil Downs</v>
      </c>
      <c r="B2691" s="120" t="str">
        <f>IFERROR(__xludf.DUMMYFUNCTION("""COMPUTED_VALUE"""),"FSL")</f>
        <v>FSL</v>
      </c>
      <c r="C2691" s="120" t="str">
        <f>IFERROR(__xludf.DUMMYFUNCTION("""COMPUTED_VALUE"""),"Fossil Downs")</f>
        <v>Fossil Downs</v>
      </c>
      <c r="D2691" s="120" t="str">
        <f>IFERROR(__xludf.DUMMYFUNCTION("""COMPUTED_VALUE"""),"Australia")</f>
        <v>Australia</v>
      </c>
      <c r="E2691" s="135"/>
      <c r="F2691" s="31"/>
    </row>
    <row r="2692">
      <c r="A2692" s="134" t="str">
        <f>IFERROR(__xludf.DUMMYFUNCTION("""COMPUTED_VALUE"""),"Fougamou")</f>
        <v>Fougamou</v>
      </c>
      <c r="B2692" s="120" t="str">
        <f>IFERROR(__xludf.DUMMYFUNCTION("""COMPUTED_VALUE"""),"FOU")</f>
        <v>FOU</v>
      </c>
      <c r="C2692" s="120" t="str">
        <f>IFERROR(__xludf.DUMMYFUNCTION("""COMPUTED_VALUE"""),"Fougamou")</f>
        <v>Fougamou</v>
      </c>
      <c r="D2692" s="120" t="str">
        <f>IFERROR(__xludf.DUMMYFUNCTION("""COMPUTED_VALUE"""),"Gabon")</f>
        <v>Gabon</v>
      </c>
      <c r="E2692" s="135"/>
      <c r="F2692" s="31"/>
    </row>
    <row r="2693">
      <c r="A2693" s="134" t="str">
        <f>IFERROR(__xludf.DUMMYFUNCTION("""COMPUTED_VALUE"""),"Foula")</f>
        <v>Foula</v>
      </c>
      <c r="B2693" s="120" t="str">
        <f>IFERROR(__xludf.DUMMYFUNCTION("""COMPUTED_VALUE"""),"FOA")</f>
        <v>FOA</v>
      </c>
      <c r="C2693" s="120" t="str">
        <f>IFERROR(__xludf.DUMMYFUNCTION("""COMPUTED_VALUE"""),"Foula")</f>
        <v>Foula</v>
      </c>
      <c r="D2693" s="120" t="str">
        <f>IFERROR(__xludf.DUMMYFUNCTION("""COMPUTED_VALUE"""),"United Kingdom")</f>
        <v>United Kingdom</v>
      </c>
      <c r="E2693" s="135"/>
      <c r="F2693" s="31"/>
    </row>
    <row r="2694">
      <c r="A2694" s="134" t="str">
        <f>IFERROR(__xludf.DUMMYFUNCTION("""COMPUTED_VALUE"""),"Foumban")</f>
        <v>Foumban</v>
      </c>
      <c r="B2694" s="120" t="str">
        <f>IFERROR(__xludf.DUMMYFUNCTION("""COMPUTED_VALUE"""),"FOM")</f>
        <v>FOM</v>
      </c>
      <c r="C2694" s="120" t="str">
        <f>IFERROR(__xludf.DUMMYFUNCTION("""COMPUTED_VALUE"""),"Foumban")</f>
        <v>Foumban</v>
      </c>
      <c r="D2694" s="120" t="str">
        <f>IFERROR(__xludf.DUMMYFUNCTION("""COMPUTED_VALUE"""),"Cameroon")</f>
        <v>Cameroon</v>
      </c>
      <c r="E2694" s="135"/>
      <c r="F2694" s="31"/>
    </row>
    <row r="2695">
      <c r="A2695" s="134" t="str">
        <f>IFERROR(__xludf.DUMMYFUNCTION("""COMPUTED_VALUE"""),"Fox")</f>
        <v>Fox</v>
      </c>
      <c r="B2695" s="120" t="str">
        <f>IFERROR(__xludf.DUMMYFUNCTION("""COMPUTED_VALUE"""),"FOX")</f>
        <v>FOX</v>
      </c>
      <c r="C2695" s="120" t="str">
        <f>IFERROR(__xludf.DUMMYFUNCTION("""COMPUTED_VALUE"""),"Fox")</f>
        <v>Fox</v>
      </c>
      <c r="D2695" s="120" t="str">
        <f>IFERROR(__xludf.DUMMYFUNCTION("""COMPUTED_VALUE"""),"United States")</f>
        <v>United States</v>
      </c>
      <c r="E2695" s="135"/>
      <c r="F2695" s="31"/>
    </row>
    <row r="2696">
      <c r="A2696" s="134" t="str">
        <f>IFERROR(__xludf.DUMMYFUNCTION("""COMPUTED_VALUE"""),"Fox Glacier")</f>
        <v>Fox Glacier</v>
      </c>
      <c r="B2696" s="120" t="str">
        <f>IFERROR(__xludf.DUMMYFUNCTION("""COMPUTED_VALUE"""),"FGL")</f>
        <v>FGL</v>
      </c>
      <c r="C2696" s="120" t="str">
        <f>IFERROR(__xludf.DUMMYFUNCTION("""COMPUTED_VALUE"""),"Fox Glacier")</f>
        <v>Fox Glacier</v>
      </c>
      <c r="D2696" s="120" t="str">
        <f>IFERROR(__xludf.DUMMYFUNCTION("""COMPUTED_VALUE"""),"New Zealand (Aotearoa)")</f>
        <v>New Zealand (Aotearoa)</v>
      </c>
      <c r="E2696" s="135"/>
      <c r="F2696" s="31"/>
    </row>
    <row r="2697">
      <c r="A2697" s="134" t="str">
        <f>IFERROR(__xludf.DUMMYFUNCTION("""COMPUTED_VALUE"""),"Fox Harbour (St Lewis)")</f>
        <v>Fox Harbour (St Lewis)</v>
      </c>
      <c r="B2697" s="120" t="str">
        <f>IFERROR(__xludf.DUMMYFUNCTION("""COMPUTED_VALUE"""),"YFX")</f>
        <v>YFX</v>
      </c>
      <c r="C2697" s="120" t="str">
        <f>IFERROR(__xludf.DUMMYFUNCTION("""COMPUTED_VALUE"""),"Fox Harbour (St Lewis)")</f>
        <v>Fox Harbour (St Lewis)</v>
      </c>
      <c r="D2697" s="120" t="str">
        <f>IFERROR(__xludf.DUMMYFUNCTION("""COMPUTED_VALUE"""),"Canada")</f>
        <v>Canada</v>
      </c>
      <c r="E2697" s="135"/>
      <c r="F2697" s="31"/>
    </row>
    <row r="2698">
      <c r="A2698" s="134" t="str">
        <f>IFERROR(__xludf.DUMMYFUNCTION("""COMPUTED_VALUE"""),"Foya")</f>
        <v>Foya</v>
      </c>
      <c r="B2698" s="120" t="str">
        <f>IFERROR(__xludf.DUMMYFUNCTION("""COMPUTED_VALUE"""),"FOY")</f>
        <v>FOY</v>
      </c>
      <c r="C2698" s="120" t="str">
        <f>IFERROR(__xludf.DUMMYFUNCTION("""COMPUTED_VALUE"""),"Foya")</f>
        <v>Foya</v>
      </c>
      <c r="D2698" s="120" t="str">
        <f>IFERROR(__xludf.DUMMYFUNCTION("""COMPUTED_VALUE"""),"Liberia")</f>
        <v>Liberia</v>
      </c>
      <c r="E2698" s="135"/>
      <c r="F2698" s="31"/>
    </row>
    <row r="2699">
      <c r="A2699" s="134" t="str">
        <f>IFERROR(__xludf.DUMMYFUNCTION("""COMPUTED_VALUE"""),"Franca")</f>
        <v>Franca</v>
      </c>
      <c r="B2699" s="120" t="str">
        <f>IFERROR(__xludf.DUMMYFUNCTION("""COMPUTED_VALUE"""),"FRC")</f>
        <v>FRC</v>
      </c>
      <c r="C2699" s="120" t="str">
        <f>IFERROR(__xludf.DUMMYFUNCTION("""COMPUTED_VALUE"""),"Franca")</f>
        <v>Franca</v>
      </c>
      <c r="D2699" s="120" t="str">
        <f>IFERROR(__xludf.DUMMYFUNCTION("""COMPUTED_VALUE"""),"Brazil")</f>
        <v>Brazil</v>
      </c>
      <c r="E2699" s="135"/>
      <c r="F2699" s="31"/>
    </row>
    <row r="2700">
      <c r="A2700" s="134" t="str">
        <f>IFERROR(__xludf.DUMMYFUNCTION("""COMPUTED_VALUE"""),"Franceville")</f>
        <v>Franceville</v>
      </c>
      <c r="B2700" s="120" t="str">
        <f>IFERROR(__xludf.DUMMYFUNCTION("""COMPUTED_VALUE"""),"MVB")</f>
        <v>MVB</v>
      </c>
      <c r="C2700" s="120" t="str">
        <f>IFERROR(__xludf.DUMMYFUNCTION("""COMPUTED_VALUE"""),"Franceville/Mvengue")</f>
        <v>Franceville/Mvengue</v>
      </c>
      <c r="D2700" s="120" t="str">
        <f>IFERROR(__xludf.DUMMYFUNCTION("""COMPUTED_VALUE"""),"Gabon")</f>
        <v>Gabon</v>
      </c>
      <c r="E2700" s="135"/>
      <c r="F2700" s="31"/>
    </row>
    <row r="2701">
      <c r="A2701" s="134" t="str">
        <f>IFERROR(__xludf.DUMMYFUNCTION("""COMPUTED_VALUE"""),"Francisco Beltrao")</f>
        <v>Francisco Beltrao</v>
      </c>
      <c r="B2701" s="120" t="str">
        <f>IFERROR(__xludf.DUMMYFUNCTION("""COMPUTED_VALUE"""),"FBE")</f>
        <v>FBE</v>
      </c>
      <c r="C2701" s="120" t="str">
        <f>IFERROR(__xludf.DUMMYFUNCTION("""COMPUTED_VALUE"""),"Francisco Beltrao")</f>
        <v>Francisco Beltrao</v>
      </c>
      <c r="D2701" s="120" t="str">
        <f>IFERROR(__xludf.DUMMYFUNCTION("""COMPUTED_VALUE"""),"Brazil")</f>
        <v>Brazil</v>
      </c>
      <c r="E2701" s="135"/>
      <c r="F2701" s="31"/>
    </row>
    <row r="2702">
      <c r="A2702" s="134" t="str">
        <f>IFERROR(__xludf.DUMMYFUNCTION("""COMPUTED_VALUE"""),"Francistown")</f>
        <v>Francistown</v>
      </c>
      <c r="B2702" s="120" t="str">
        <f>IFERROR(__xludf.DUMMYFUNCTION("""COMPUTED_VALUE"""),"FRW")</f>
        <v>FRW</v>
      </c>
      <c r="C2702" s="120" t="str">
        <f>IFERROR(__xludf.DUMMYFUNCTION("""COMPUTED_VALUE"""),"Francistown")</f>
        <v>Francistown</v>
      </c>
      <c r="D2702" s="120" t="str">
        <f>IFERROR(__xludf.DUMMYFUNCTION("""COMPUTED_VALUE"""),"Botswana")</f>
        <v>Botswana</v>
      </c>
      <c r="E2702" s="135"/>
      <c r="F2702" s="31"/>
    </row>
    <row r="2703">
      <c r="A2703" s="134" t="str">
        <f>IFERROR(__xludf.DUMMYFUNCTION("""COMPUTED_VALUE"""),"Frankfort")</f>
        <v>Frankfort</v>
      </c>
      <c r="B2703" s="120" t="str">
        <f>IFERROR(__xludf.DUMMYFUNCTION("""COMPUTED_VALUE"""),"FFT")</f>
        <v>FFT</v>
      </c>
      <c r="C2703" s="120" t="str">
        <f>IFERROR(__xludf.DUMMYFUNCTION("""COMPUTED_VALUE"""),"Capital City")</f>
        <v>Capital City</v>
      </c>
      <c r="D2703" s="120" t="str">
        <f>IFERROR(__xludf.DUMMYFUNCTION("""COMPUTED_VALUE"""),"United States")</f>
        <v>United States</v>
      </c>
      <c r="E2703" s="135"/>
      <c r="F2703" s="31"/>
    </row>
    <row r="2704">
      <c r="A2704" s="134" t="str">
        <f>IFERROR(__xludf.DUMMYFUNCTION("""COMPUTED_VALUE"""),"Hahn")</f>
        <v>Hahn</v>
      </c>
      <c r="B2704" s="120" t="str">
        <f>IFERROR(__xludf.DUMMYFUNCTION("""COMPUTED_VALUE"""),"HHN")</f>
        <v>HHN</v>
      </c>
      <c r="C2704" s="120" t="str">
        <f>IFERROR(__xludf.DUMMYFUNCTION("""COMPUTED_VALUE"""),"Hahn")</f>
        <v>Hahn</v>
      </c>
      <c r="D2704" s="120" t="str">
        <f>IFERROR(__xludf.DUMMYFUNCTION("""COMPUTED_VALUE"""),"Germany")</f>
        <v>Germany</v>
      </c>
      <c r="E2704" s="135"/>
      <c r="F2704" s="31"/>
    </row>
    <row r="2705">
      <c r="A2705" s="134" t="str">
        <f>IFERROR(__xludf.DUMMYFUNCTION("""COMPUTED_VALUE"""),"Frankfurt")</f>
        <v>Frankfurt</v>
      </c>
      <c r="B2705" s="120" t="str">
        <f>IFERROR(__xludf.DUMMYFUNCTION("""COMPUTED_VALUE"""),"FRA")</f>
        <v>FRA</v>
      </c>
      <c r="C2705" s="120" t="str">
        <f>IFERROR(__xludf.DUMMYFUNCTION("""COMPUTED_VALUE"""),"Frankfurt International Airport (Rhein-Main)")</f>
        <v>Frankfurt International Airport (Rhein-Main)</v>
      </c>
      <c r="D2705" s="120" t="str">
        <f>IFERROR(__xludf.DUMMYFUNCTION("""COMPUTED_VALUE"""),"Germany")</f>
        <v>Germany</v>
      </c>
      <c r="E2705" s="135"/>
      <c r="F2705" s="31"/>
    </row>
    <row r="2706">
      <c r="A2706" s="134" t="str">
        <f>IFERROR(__xludf.DUMMYFUNCTION("""COMPUTED_VALUE"""),"Frankfurt")</f>
        <v>Frankfurt</v>
      </c>
      <c r="B2706" s="120" t="str">
        <f>IFERROR(__xludf.DUMMYFUNCTION("""COMPUTED_VALUE"""),"QGV")</f>
        <v>QGV</v>
      </c>
      <c r="C2706" s="120" t="str">
        <f>IFERROR(__xludf.DUMMYFUNCTION("""COMPUTED_VALUE"""),"Neu Isenburg")</f>
        <v>Neu Isenburg</v>
      </c>
      <c r="D2706" s="120" t="str">
        <f>IFERROR(__xludf.DUMMYFUNCTION("""COMPUTED_VALUE"""),"Germany")</f>
        <v>Germany</v>
      </c>
      <c r="E2706" s="135"/>
      <c r="F2706" s="31"/>
    </row>
    <row r="2707">
      <c r="A2707" s="134" t="str">
        <f>IFERROR(__xludf.DUMMYFUNCTION("""COMPUTED_VALUE"""),"Frankfurt")</f>
        <v>Frankfurt</v>
      </c>
      <c r="B2707" s="120" t="str">
        <f>IFERROR(__xludf.DUMMYFUNCTION("""COMPUTED_VALUE"""),"FRF")</f>
        <v>FRF</v>
      </c>
      <c r="C2707" s="120" t="str">
        <f>IFERROR(__xludf.DUMMYFUNCTION("""COMPUTED_VALUE"""),"Rhein-Main AFB")</f>
        <v>Rhein-Main AFB</v>
      </c>
      <c r="D2707" s="120" t="str">
        <f>IFERROR(__xludf.DUMMYFUNCTION("""COMPUTED_VALUE"""),"Germany")</f>
        <v>Germany</v>
      </c>
      <c r="E2707" s="135"/>
      <c r="F2707" s="31"/>
    </row>
    <row r="2708">
      <c r="A2708" s="134" t="str">
        <f>IFERROR(__xludf.DUMMYFUNCTION("""COMPUTED_VALUE"""),"Frankfurt/Oder")</f>
        <v>Frankfurt/Oder</v>
      </c>
      <c r="B2708" s="120" t="str">
        <f>IFERROR(__xludf.DUMMYFUNCTION("""COMPUTED_VALUE"""),"ZFR")</f>
        <v>ZFR</v>
      </c>
      <c r="C2708" s="120" t="str">
        <f>IFERROR(__xludf.DUMMYFUNCTION("""COMPUTED_VALUE"""),"Frankfurt/Oder Railway")</f>
        <v>Frankfurt/Oder Railway</v>
      </c>
      <c r="D2708" s="120" t="str">
        <f>IFERROR(__xludf.DUMMYFUNCTION("""COMPUTED_VALUE"""),"Germany")</f>
        <v>Germany</v>
      </c>
      <c r="E2708" s="135"/>
      <c r="F2708" s="31"/>
    </row>
    <row r="2709">
      <c r="A2709" s="134" t="str">
        <f>IFERROR(__xludf.DUMMYFUNCTION("""COMPUTED_VALUE"""),"Franklin")</f>
        <v>Franklin</v>
      </c>
      <c r="B2709" s="120" t="str">
        <f>IFERROR(__xludf.DUMMYFUNCTION("""COMPUTED_VALUE"""),"FKL")</f>
        <v>FKL</v>
      </c>
      <c r="C2709" s="120" t="str">
        <f>IFERROR(__xludf.DUMMYFUNCTION("""COMPUTED_VALUE"""),"Chess-Lambertin")</f>
        <v>Chess-Lambertin</v>
      </c>
      <c r="D2709" s="120" t="str">
        <f>IFERROR(__xludf.DUMMYFUNCTION("""COMPUTED_VALUE"""),"United States")</f>
        <v>United States</v>
      </c>
      <c r="E2709" s="135"/>
      <c r="F2709" s="31"/>
    </row>
    <row r="2710">
      <c r="A2710" s="134" t="str">
        <f>IFERROR(__xludf.DUMMYFUNCTION("""COMPUTED_VALUE"""),"Franklin")</f>
        <v>Franklin</v>
      </c>
      <c r="B2710" s="120" t="str">
        <f>IFERROR(__xludf.DUMMYFUNCTION("""COMPUTED_VALUE"""),"FKN")</f>
        <v>FKN</v>
      </c>
      <c r="C2710" s="120" t="str">
        <f>IFERROR(__xludf.DUMMYFUNCTION("""COMPUTED_VALUE"""),"Municipal")</f>
        <v>Municipal</v>
      </c>
      <c r="D2710" s="120" t="str">
        <f>IFERROR(__xludf.DUMMYFUNCTION("""COMPUTED_VALUE"""),"United States")</f>
        <v>United States</v>
      </c>
      <c r="E2710" s="135"/>
      <c r="F2710" s="31"/>
    </row>
    <row r="2711">
      <c r="A2711" s="134" t="str">
        <f>IFERROR(__xludf.DUMMYFUNCTION("""COMPUTED_VALUE"""),"Franz Josef")</f>
        <v>Franz Josef</v>
      </c>
      <c r="B2711" s="120" t="str">
        <f>IFERROR(__xludf.DUMMYFUNCTION("""COMPUTED_VALUE"""),"WHO")</f>
        <v>WHO</v>
      </c>
      <c r="C2711" s="120" t="str">
        <f>IFERROR(__xludf.DUMMYFUNCTION("""COMPUTED_VALUE"""),"Franz Josef")</f>
        <v>Franz Josef</v>
      </c>
      <c r="D2711" s="120" t="str">
        <f>IFERROR(__xludf.DUMMYFUNCTION("""COMPUTED_VALUE"""),"New Zealand (Aotearoa)")</f>
        <v>New Zealand (Aotearoa)</v>
      </c>
      <c r="E2711" s="135"/>
      <c r="F2711" s="31"/>
    </row>
    <row r="2712">
      <c r="A2712" s="134" t="str">
        <f>IFERROR(__xludf.DUMMYFUNCTION("""COMPUTED_VALUE"""),"Frederick")</f>
        <v>Frederick</v>
      </c>
      <c r="B2712" s="120" t="str">
        <f>IFERROR(__xludf.DUMMYFUNCTION("""COMPUTED_VALUE"""),"FDK")</f>
        <v>FDK</v>
      </c>
      <c r="C2712" s="120" t="str">
        <f>IFERROR(__xludf.DUMMYFUNCTION("""COMPUTED_VALUE"""),"Municipal")</f>
        <v>Municipal</v>
      </c>
      <c r="D2712" s="120" t="str">
        <f>IFERROR(__xludf.DUMMYFUNCTION("""COMPUTED_VALUE"""),"United States")</f>
        <v>United States</v>
      </c>
      <c r="E2712" s="135"/>
      <c r="F2712" s="31"/>
    </row>
    <row r="2713">
      <c r="A2713" s="134" t="str">
        <f>IFERROR(__xludf.DUMMYFUNCTION("""COMPUTED_VALUE"""),"Frederick")</f>
        <v>Frederick</v>
      </c>
      <c r="B2713" s="120" t="str">
        <f>IFERROR(__xludf.DUMMYFUNCTION("""COMPUTED_VALUE"""),"FDR")</f>
        <v>FDR</v>
      </c>
      <c r="C2713" s="120" t="str">
        <f>IFERROR(__xludf.DUMMYFUNCTION("""COMPUTED_VALUE"""),"Municipal")</f>
        <v>Municipal</v>
      </c>
      <c r="D2713" s="120" t="str">
        <f>IFERROR(__xludf.DUMMYFUNCTION("""COMPUTED_VALUE"""),"United States")</f>
        <v>United States</v>
      </c>
      <c r="E2713" s="135"/>
      <c r="F2713" s="31"/>
    </row>
    <row r="2714">
      <c r="A2714" s="134" t="str">
        <f>IFERROR(__xludf.DUMMYFUNCTION("""COMPUTED_VALUE"""),"Fredericton")</f>
        <v>Fredericton</v>
      </c>
      <c r="B2714" s="120" t="str">
        <f>IFERROR(__xludf.DUMMYFUNCTION("""COMPUTED_VALUE"""),"YFC")</f>
        <v>YFC</v>
      </c>
      <c r="C2714" s="120" t="str">
        <f>IFERROR(__xludf.DUMMYFUNCTION("""COMPUTED_VALUE"""),"Fredericton")</f>
        <v>Fredericton</v>
      </c>
      <c r="D2714" s="120" t="str">
        <f>IFERROR(__xludf.DUMMYFUNCTION("""COMPUTED_VALUE"""),"Canada")</f>
        <v>Canada</v>
      </c>
      <c r="E2714" s="135"/>
      <c r="F2714" s="31"/>
    </row>
    <row r="2715">
      <c r="A2715" s="134" t="str">
        <f>IFERROR(__xludf.DUMMYFUNCTION("""COMPUTED_VALUE"""),"Fredrikstad")</f>
        <v>Fredrikstad</v>
      </c>
      <c r="B2715" s="120" t="str">
        <f>IFERROR(__xludf.DUMMYFUNCTION("""COMPUTED_VALUE"""),"XKF")</f>
        <v>XKF</v>
      </c>
      <c r="C2715" s="120" t="str">
        <f>IFERROR(__xludf.DUMMYFUNCTION("""COMPUTED_VALUE"""),"Fredrikstad Rail Stn.")</f>
        <v>Fredrikstad Rail Stn.</v>
      </c>
      <c r="D2715" s="120" t="str">
        <f>IFERROR(__xludf.DUMMYFUNCTION("""COMPUTED_VALUE"""),"Norway")</f>
        <v>Norway</v>
      </c>
      <c r="E2715" s="135"/>
      <c r="F2715" s="31"/>
    </row>
    <row r="2716">
      <c r="A2716" s="134" t="str">
        <f>IFERROR(__xludf.DUMMYFUNCTION("""COMPUTED_VALUE"""),"Freeport")</f>
        <v>Freeport</v>
      </c>
      <c r="B2716" s="120" t="str">
        <f>IFERROR(__xludf.DUMMYFUNCTION("""COMPUTED_VALUE"""),"FEP")</f>
        <v>FEP</v>
      </c>
      <c r="C2716" s="120" t="str">
        <f>IFERROR(__xludf.DUMMYFUNCTION("""COMPUTED_VALUE"""),"Albertus")</f>
        <v>Albertus</v>
      </c>
      <c r="D2716" s="120" t="str">
        <f>IFERROR(__xludf.DUMMYFUNCTION("""COMPUTED_VALUE"""),"United States")</f>
        <v>United States</v>
      </c>
      <c r="E2716" s="135"/>
      <c r="F2716" s="31"/>
    </row>
    <row r="2717">
      <c r="A2717" s="134" t="str">
        <f>IFERROR(__xludf.DUMMYFUNCTION("""COMPUTED_VALUE"""),"Freetown")</f>
        <v>Freetown</v>
      </c>
      <c r="B2717" s="120" t="str">
        <f>IFERROR(__xludf.DUMMYFUNCTION("""COMPUTED_VALUE"""),"HGS")</f>
        <v>HGS</v>
      </c>
      <c r="C2717" s="120" t="str">
        <f>IFERROR(__xludf.DUMMYFUNCTION("""COMPUTED_VALUE"""),"Hastings")</f>
        <v>Hastings</v>
      </c>
      <c r="D2717" s="120" t="str">
        <f>IFERROR(__xludf.DUMMYFUNCTION("""COMPUTED_VALUE"""),"Sierra Leone")</f>
        <v>Sierra Leone</v>
      </c>
      <c r="E2717" s="135"/>
      <c r="F2717" s="31"/>
    </row>
    <row r="2718">
      <c r="A2718" s="134" t="str">
        <f>IFERROR(__xludf.DUMMYFUNCTION("""COMPUTED_VALUE"""),"Freetown")</f>
        <v>Freetown</v>
      </c>
      <c r="B2718" s="120" t="str">
        <f>IFERROR(__xludf.DUMMYFUNCTION("""COMPUTED_VALUE"""),"FNA")</f>
        <v>FNA</v>
      </c>
      <c r="C2718" s="120" t="str">
        <f>IFERROR(__xludf.DUMMYFUNCTION("""COMPUTED_VALUE"""),"Lungi International")</f>
        <v>Lungi International</v>
      </c>
      <c r="D2718" s="120" t="str">
        <f>IFERROR(__xludf.DUMMYFUNCTION("""COMPUTED_VALUE"""),"Sierra Leone")</f>
        <v>Sierra Leone</v>
      </c>
      <c r="E2718" s="135"/>
      <c r="F2718" s="31"/>
    </row>
    <row r="2719">
      <c r="A2719" s="134" t="str">
        <f>IFERROR(__xludf.DUMMYFUNCTION("""COMPUTED_VALUE"""),"Freetown")</f>
        <v>Freetown</v>
      </c>
      <c r="B2719" s="120" t="str">
        <f>IFERROR(__xludf.DUMMYFUNCTION("""COMPUTED_VALUE"""),"JMY")</f>
        <v>JMY</v>
      </c>
      <c r="C2719" s="120" t="str">
        <f>IFERROR(__xludf.DUMMYFUNCTION("""COMPUTED_VALUE"""),"Mammy Yoko Heliport")</f>
        <v>Mammy Yoko Heliport</v>
      </c>
      <c r="D2719" s="120" t="str">
        <f>IFERROR(__xludf.DUMMYFUNCTION("""COMPUTED_VALUE"""),"Sierra Leone")</f>
        <v>Sierra Leone</v>
      </c>
      <c r="E2719" s="135"/>
      <c r="F2719" s="31"/>
    </row>
    <row r="2720">
      <c r="A2720" s="134" t="str">
        <f>IFERROR(__xludf.DUMMYFUNCTION("""COMPUTED_VALUE"""),"Fregate Is")</f>
        <v>Fregate Is</v>
      </c>
      <c r="B2720" s="120" t="str">
        <f>IFERROR(__xludf.DUMMYFUNCTION("""COMPUTED_VALUE"""),"FRK")</f>
        <v>FRK</v>
      </c>
      <c r="C2720" s="120" t="str">
        <f>IFERROR(__xludf.DUMMYFUNCTION("""COMPUTED_VALUE"""),"Fregate Is")</f>
        <v>Fregate Is</v>
      </c>
      <c r="D2720" s="120" t="str">
        <f>IFERROR(__xludf.DUMMYFUNCTION("""COMPUTED_VALUE"""),"Seychelles")</f>
        <v>Seychelles</v>
      </c>
      <c r="E2720" s="135"/>
      <c r="F2720" s="31"/>
    </row>
    <row r="2721">
      <c r="A2721" s="134" t="str">
        <f>IFERROR(__xludf.DUMMYFUNCTION("""COMPUTED_VALUE"""),"Freida River")</f>
        <v>Freida River</v>
      </c>
      <c r="B2721" s="120" t="str">
        <f>IFERROR(__xludf.DUMMYFUNCTION("""COMPUTED_VALUE"""),"FAQ")</f>
        <v>FAQ</v>
      </c>
      <c r="C2721" s="120" t="str">
        <f>IFERROR(__xludf.DUMMYFUNCTION("""COMPUTED_VALUE"""),"Freida River")</f>
        <v>Freida River</v>
      </c>
      <c r="D2721" s="120" t="str">
        <f>IFERROR(__xludf.DUMMYFUNCTION("""COMPUTED_VALUE"""),"Papua New Guinea")</f>
        <v>Papua New Guinea</v>
      </c>
      <c r="E2721" s="135"/>
      <c r="F2721" s="31"/>
    </row>
    <row r="2722">
      <c r="A2722" s="134" t="str">
        <f>IFERROR(__xludf.DUMMYFUNCTION("""COMPUTED_VALUE"""),"Frejus")</f>
        <v>Frejus</v>
      </c>
      <c r="B2722" s="120" t="str">
        <f>IFERROR(__xludf.DUMMYFUNCTION("""COMPUTED_VALUE"""),"FRJ")</f>
        <v>FRJ</v>
      </c>
      <c r="C2722" s="120" t="str">
        <f>IFERROR(__xludf.DUMMYFUNCTION("""COMPUTED_VALUE"""),"Frejus")</f>
        <v>Frejus</v>
      </c>
      <c r="D2722" s="120" t="str">
        <f>IFERROR(__xludf.DUMMYFUNCTION("""COMPUTED_VALUE"""),"France")</f>
        <v>France</v>
      </c>
      <c r="E2722" s="135"/>
      <c r="F2722" s="31"/>
    </row>
    <row r="2723">
      <c r="A2723" s="134" t="str">
        <f>IFERROR(__xludf.DUMMYFUNCTION("""COMPUTED_VALUE"""),"Fremantle")</f>
        <v>Fremantle</v>
      </c>
      <c r="B2723" s="120" t="str">
        <f>IFERROR(__xludf.DUMMYFUNCTION("""COMPUTED_VALUE"""),"JFM")</f>
        <v>JFM</v>
      </c>
      <c r="C2723" s="120" t="str">
        <f>IFERROR(__xludf.DUMMYFUNCTION("""COMPUTED_VALUE"""),"Heliport")</f>
        <v>Heliport</v>
      </c>
      <c r="D2723" s="120" t="str">
        <f>IFERROR(__xludf.DUMMYFUNCTION("""COMPUTED_VALUE"""),"Australia")</f>
        <v>Australia</v>
      </c>
      <c r="E2723" s="135"/>
      <c r="F2723" s="31"/>
    </row>
    <row r="2724">
      <c r="A2724" s="134" t="str">
        <f>IFERROR(__xludf.DUMMYFUNCTION("""COMPUTED_VALUE"""),"Fremont")</f>
        <v>Fremont</v>
      </c>
      <c r="B2724" s="120" t="str">
        <f>IFERROR(__xludf.DUMMYFUNCTION("""COMPUTED_VALUE"""),"FET")</f>
        <v>FET</v>
      </c>
      <c r="C2724" s="120" t="str">
        <f>IFERROR(__xludf.DUMMYFUNCTION("""COMPUTED_VALUE"""),"Municipal")</f>
        <v>Municipal</v>
      </c>
      <c r="D2724" s="120" t="str">
        <f>IFERROR(__xludf.DUMMYFUNCTION("""COMPUTED_VALUE"""),"United States")</f>
        <v>United States</v>
      </c>
      <c r="E2724" s="135"/>
      <c r="F2724" s="31"/>
    </row>
    <row r="2725">
      <c r="A2725" s="134" t="str">
        <f>IFERROR(__xludf.DUMMYFUNCTION("""COMPUTED_VALUE"""),"French Lick")</f>
        <v>French Lick</v>
      </c>
      <c r="B2725" s="120" t="str">
        <f>IFERROR(__xludf.DUMMYFUNCTION("""COMPUTED_VALUE"""),"FRH")</f>
        <v>FRH</v>
      </c>
      <c r="C2725" s="120" t="str">
        <f>IFERROR(__xludf.DUMMYFUNCTION("""COMPUTED_VALUE"""),"Municipal")</f>
        <v>Municipal</v>
      </c>
      <c r="D2725" s="120" t="str">
        <f>IFERROR(__xludf.DUMMYFUNCTION("""COMPUTED_VALUE"""),"United States")</f>
        <v>United States</v>
      </c>
      <c r="E2725" s="135"/>
      <c r="F2725" s="31"/>
    </row>
    <row r="2726">
      <c r="A2726" s="134" t="str">
        <f>IFERROR(__xludf.DUMMYFUNCTION("""COMPUTED_VALUE"""),"Frenchville")</f>
        <v>Frenchville</v>
      </c>
      <c r="B2726" s="120" t="str">
        <f>IFERROR(__xludf.DUMMYFUNCTION("""COMPUTED_VALUE"""),"WFK")</f>
        <v>WFK</v>
      </c>
      <c r="C2726" s="120" t="str">
        <f>IFERROR(__xludf.DUMMYFUNCTION("""COMPUTED_VALUE"""),"Frenchville")</f>
        <v>Frenchville</v>
      </c>
      <c r="D2726" s="120" t="str">
        <f>IFERROR(__xludf.DUMMYFUNCTION("""COMPUTED_VALUE"""),"United States")</f>
        <v>United States</v>
      </c>
      <c r="E2726" s="135"/>
      <c r="F2726" s="31"/>
    </row>
    <row r="2727">
      <c r="A2727" s="134" t="str">
        <f>IFERROR(__xludf.DUMMYFUNCTION("""COMPUTED_VALUE"""),"Fresh Water Bay")</f>
        <v>Fresh Water Bay</v>
      </c>
      <c r="B2727" s="120" t="str">
        <f>IFERROR(__xludf.DUMMYFUNCTION("""COMPUTED_VALUE"""),"FRP")</f>
        <v>FRP</v>
      </c>
      <c r="C2727" s="120" t="str">
        <f>IFERROR(__xludf.DUMMYFUNCTION("""COMPUTED_VALUE"""),"Fresh Water Bay")</f>
        <v>Fresh Water Bay</v>
      </c>
      <c r="D2727" s="120" t="str">
        <f>IFERROR(__xludf.DUMMYFUNCTION("""COMPUTED_VALUE"""),"United States")</f>
        <v>United States</v>
      </c>
      <c r="E2727" s="135"/>
      <c r="F2727" s="31"/>
    </row>
    <row r="2728">
      <c r="A2728" s="134" t="str">
        <f>IFERROR(__xludf.DUMMYFUNCTION("""COMPUTED_VALUE"""),"Fresno")</f>
        <v>Fresno</v>
      </c>
      <c r="B2728" s="120" t="str">
        <f>IFERROR(__xludf.DUMMYFUNCTION("""COMPUTED_VALUE"""),"FAT")</f>
        <v>FAT</v>
      </c>
      <c r="C2728" s="120" t="str">
        <f>IFERROR(__xludf.DUMMYFUNCTION("""COMPUTED_VALUE"""),"Airterminal")</f>
        <v>Airterminal</v>
      </c>
      <c r="D2728" s="120" t="str">
        <f>IFERROR(__xludf.DUMMYFUNCTION("""COMPUTED_VALUE"""),"United States")</f>
        <v>United States</v>
      </c>
      <c r="E2728" s="135"/>
      <c r="F2728" s="31"/>
    </row>
    <row r="2729">
      <c r="A2729" s="134" t="str">
        <f>IFERROR(__xludf.DUMMYFUNCTION("""COMPUTED_VALUE"""),"Fresno")</f>
        <v>Fresno</v>
      </c>
      <c r="B2729" s="120" t="str">
        <f>IFERROR(__xludf.DUMMYFUNCTION("""COMPUTED_VALUE"""),"FCH")</f>
        <v>FCH</v>
      </c>
      <c r="C2729" s="120" t="str">
        <f>IFERROR(__xludf.DUMMYFUNCTION("""COMPUTED_VALUE"""),"Fresno-Chandler")</f>
        <v>Fresno-Chandler</v>
      </c>
      <c r="D2729" s="120" t="str">
        <f>IFERROR(__xludf.DUMMYFUNCTION("""COMPUTED_VALUE"""),"United States")</f>
        <v>United States</v>
      </c>
      <c r="E2729" s="135"/>
      <c r="F2729" s="31"/>
    </row>
    <row r="2730">
      <c r="A2730" s="134" t="str">
        <f>IFERROR(__xludf.DUMMYFUNCTION("""COMPUTED_VALUE"""),"Fria")</f>
        <v>Fria</v>
      </c>
      <c r="B2730" s="120" t="str">
        <f>IFERROR(__xludf.DUMMYFUNCTION("""COMPUTED_VALUE"""),"FIG")</f>
        <v>FIG</v>
      </c>
      <c r="C2730" s="120" t="str">
        <f>IFERROR(__xludf.DUMMYFUNCTION("""COMPUTED_VALUE"""),"Fria")</f>
        <v>Fria</v>
      </c>
      <c r="D2730" s="120" t="str">
        <f>IFERROR(__xludf.DUMMYFUNCTION("""COMPUTED_VALUE"""),"Guinea")</f>
        <v>Guinea</v>
      </c>
      <c r="E2730" s="135"/>
      <c r="F2730" s="31"/>
    </row>
    <row r="2731">
      <c r="A2731" s="134" t="str">
        <f>IFERROR(__xludf.DUMMYFUNCTION("""COMPUTED_VALUE"""),"Friday Harbor")</f>
        <v>Friday Harbor</v>
      </c>
      <c r="B2731" s="120" t="str">
        <f>IFERROR(__xludf.DUMMYFUNCTION("""COMPUTED_VALUE"""),"FRD")</f>
        <v>FRD</v>
      </c>
      <c r="C2731" s="120" t="str">
        <f>IFERROR(__xludf.DUMMYFUNCTION("""COMPUTED_VALUE"""),"Friday Harbor")</f>
        <v>Friday Harbor</v>
      </c>
      <c r="D2731" s="120" t="str">
        <f>IFERROR(__xludf.DUMMYFUNCTION("""COMPUTED_VALUE"""),"United States")</f>
        <v>United States</v>
      </c>
      <c r="E2731" s="135"/>
      <c r="F2731" s="31"/>
    </row>
    <row r="2732">
      <c r="A2732" s="134" t="str">
        <f>IFERROR(__xludf.DUMMYFUNCTION("""COMPUTED_VALUE"""),"Friday Harbor SPB")</f>
        <v>Friday Harbor SPB</v>
      </c>
      <c r="B2732" s="120" t="str">
        <f>IFERROR(__xludf.DUMMYFUNCTION("""COMPUTED_VALUE"""),"FBS")</f>
        <v>FBS</v>
      </c>
      <c r="C2732" s="120" t="str">
        <f>IFERROR(__xludf.DUMMYFUNCTION("""COMPUTED_VALUE"""),"Friday Harbor SPB")</f>
        <v>Friday Harbor SPB</v>
      </c>
      <c r="D2732" s="120" t="str">
        <f>IFERROR(__xludf.DUMMYFUNCTION("""COMPUTED_VALUE"""),"United States")</f>
        <v>United States</v>
      </c>
      <c r="E2732" s="135"/>
      <c r="F2732" s="31"/>
    </row>
    <row r="2733">
      <c r="A2733" s="134" t="str">
        <f>IFERROR(__xludf.DUMMYFUNCTION("""COMPUTED_VALUE"""),"Friedrichshafen")</f>
        <v>Friedrichshafen</v>
      </c>
      <c r="B2733" s="120" t="str">
        <f>IFERROR(__xludf.DUMMYFUNCTION("""COMPUTED_VALUE"""),"FDH")</f>
        <v>FDH</v>
      </c>
      <c r="C2733" s="120" t="str">
        <f>IFERROR(__xludf.DUMMYFUNCTION("""COMPUTED_VALUE"""),"Friedrichshafen")</f>
        <v>Friedrichshafen</v>
      </c>
      <c r="D2733" s="120" t="str">
        <f>IFERROR(__xludf.DUMMYFUNCTION("""COMPUTED_VALUE"""),"Germany")</f>
        <v>Germany</v>
      </c>
      <c r="E2733" s="135"/>
      <c r="F2733" s="31"/>
    </row>
    <row r="2734">
      <c r="A2734" s="134" t="str">
        <f>IFERROR(__xludf.DUMMYFUNCTION("""COMPUTED_VALUE"""),"Fritzlar")</f>
        <v>Fritzlar</v>
      </c>
      <c r="B2734" s="120" t="str">
        <f>IFERROR(__xludf.DUMMYFUNCTION("""COMPUTED_VALUE"""),"FRZ")</f>
        <v>FRZ</v>
      </c>
      <c r="C2734" s="120" t="str">
        <f>IFERROR(__xludf.DUMMYFUNCTION("""COMPUTED_VALUE"""),"Fritzlar Airbase")</f>
        <v>Fritzlar Airbase</v>
      </c>
      <c r="D2734" s="120" t="str">
        <f>IFERROR(__xludf.DUMMYFUNCTION("""COMPUTED_VALUE"""),"Germany")</f>
        <v>Germany</v>
      </c>
      <c r="E2734" s="135"/>
      <c r="F2734" s="31"/>
    </row>
    <row r="2735">
      <c r="A2735" s="134" t="str">
        <f>IFERROR(__xludf.DUMMYFUNCTION("""COMPUTED_VALUE"""),"Fort Myers, Florida")</f>
        <v>Fort Myers, Florida</v>
      </c>
      <c r="B2735" s="120" t="str">
        <f>IFERROR(__xludf.DUMMYFUNCTION("""COMPUTED_VALUE"""),"FRR")</f>
        <v>FRR</v>
      </c>
      <c r="C2735" s="120" t="str">
        <f>IFERROR(__xludf.DUMMYFUNCTION("""COMPUTED_VALUE"""),"Fort Meyers")</f>
        <v>Fort Meyers</v>
      </c>
      <c r="D2735" s="120" t="str">
        <f>IFERROR(__xludf.DUMMYFUNCTION("""COMPUTED_VALUE"""),"United States")</f>
        <v>United States</v>
      </c>
      <c r="E2735" s="135"/>
      <c r="F2735" s="31"/>
    </row>
    <row r="2736">
      <c r="A2736" s="134" t="str">
        <f>IFERROR(__xludf.DUMMYFUNCTION("""COMPUTED_VALUE"""),"Frutillar")</f>
        <v>Frutillar</v>
      </c>
      <c r="B2736" s="120" t="str">
        <f>IFERROR(__xludf.DUMMYFUNCTION("""COMPUTED_VALUE"""),"FRT")</f>
        <v>FRT</v>
      </c>
      <c r="C2736" s="120" t="str">
        <f>IFERROR(__xludf.DUMMYFUNCTION("""COMPUTED_VALUE"""),"Frutillar")</f>
        <v>Frutillar</v>
      </c>
      <c r="D2736" s="120" t="str">
        <f>IFERROR(__xludf.DUMMYFUNCTION("""COMPUTED_VALUE"""),"Chile")</f>
        <v>Chile</v>
      </c>
      <c r="E2736" s="135"/>
      <c r="F2736" s="31"/>
    </row>
    <row r="2737">
      <c r="A2737" s="134" t="str">
        <f>IFERROR(__xludf.DUMMYFUNCTION("""COMPUTED_VALUE"""),"Fryeburg")</f>
        <v>Fryeburg</v>
      </c>
      <c r="B2737" s="120" t="str">
        <f>IFERROR(__xludf.DUMMYFUNCTION("""COMPUTED_VALUE"""),"FRY")</f>
        <v>FRY</v>
      </c>
      <c r="C2737" s="120" t="str">
        <f>IFERROR(__xludf.DUMMYFUNCTION("""COMPUTED_VALUE"""),"Fryeburg")</f>
        <v>Fryeburg</v>
      </c>
      <c r="D2737" s="120" t="str">
        <f>IFERROR(__xludf.DUMMYFUNCTION("""COMPUTED_VALUE"""),"United States")</f>
        <v>United States</v>
      </c>
      <c r="E2737" s="135"/>
      <c r="F2737" s="31"/>
    </row>
    <row r="2738">
      <c r="A2738" s="134" t="str">
        <f>IFERROR(__xludf.DUMMYFUNCTION("""COMPUTED_VALUE"""),"Fuengirola")</f>
        <v>Fuengirola</v>
      </c>
      <c r="B2738" s="120" t="str">
        <f>IFERROR(__xludf.DUMMYFUNCTION("""COMPUTED_VALUE"""),"FGR")</f>
        <v>FGR</v>
      </c>
      <c r="C2738" s="120" t="str">
        <f>IFERROR(__xludf.DUMMYFUNCTION("""COMPUTED_VALUE"""),"Fuengirola")</f>
        <v>Fuengirola</v>
      </c>
      <c r="D2738" s="120" t="str">
        <f>IFERROR(__xludf.DUMMYFUNCTION("""COMPUTED_VALUE"""),"Spain")</f>
        <v>Spain</v>
      </c>
      <c r="E2738" s="135"/>
      <c r="F2738" s="31"/>
    </row>
    <row r="2739">
      <c r="A2739" s="134" t="str">
        <f>IFERROR(__xludf.DUMMYFUNCTION("""COMPUTED_VALUE"""),"Fuerstenfeldbruck")</f>
        <v>Fuerstenfeldbruck</v>
      </c>
      <c r="B2739" s="120" t="str">
        <f>IFERROR(__xludf.DUMMYFUNCTION("""COMPUTED_VALUE"""),"FEL")</f>
        <v>FEL</v>
      </c>
      <c r="C2739" s="120" t="str">
        <f>IFERROR(__xludf.DUMMYFUNCTION("""COMPUTED_VALUE"""),"Fuerstenfeldbruck")</f>
        <v>Fuerstenfeldbruck</v>
      </c>
      <c r="D2739" s="120" t="str">
        <f>IFERROR(__xludf.DUMMYFUNCTION("""COMPUTED_VALUE"""),"Germany")</f>
        <v>Germany</v>
      </c>
      <c r="E2739" s="135"/>
      <c r="F2739" s="31"/>
    </row>
    <row r="2740">
      <c r="A2740" s="134" t="str">
        <f>IFERROR(__xludf.DUMMYFUNCTION("""COMPUTED_VALUE"""),"Fuerte Olimpo")</f>
        <v>Fuerte Olimpo</v>
      </c>
      <c r="B2740" s="120" t="str">
        <f>IFERROR(__xludf.DUMMYFUNCTION("""COMPUTED_VALUE"""),"OLK")</f>
        <v>OLK</v>
      </c>
      <c r="C2740" s="120" t="str">
        <f>IFERROR(__xludf.DUMMYFUNCTION("""COMPUTED_VALUE"""),"Fuerte Olimpo")</f>
        <v>Fuerte Olimpo</v>
      </c>
      <c r="D2740" s="120" t="str">
        <f>IFERROR(__xludf.DUMMYFUNCTION("""COMPUTED_VALUE"""),"Paraguay")</f>
        <v>Paraguay</v>
      </c>
      <c r="E2740" s="135"/>
      <c r="F2740" s="31"/>
    </row>
    <row r="2741">
      <c r="A2741" s="134" t="str">
        <f>IFERROR(__xludf.DUMMYFUNCTION("""COMPUTED_VALUE"""),"Fukue")</f>
        <v>Fukue</v>
      </c>
      <c r="B2741" s="120" t="str">
        <f>IFERROR(__xludf.DUMMYFUNCTION("""COMPUTED_VALUE"""),"FUJ")</f>
        <v>FUJ</v>
      </c>
      <c r="C2741" s="120" t="str">
        <f>IFERROR(__xludf.DUMMYFUNCTION("""COMPUTED_VALUE"""),"Fukue")</f>
        <v>Fukue</v>
      </c>
      <c r="D2741" s="120" t="str">
        <f>IFERROR(__xludf.DUMMYFUNCTION("""COMPUTED_VALUE"""),"Japan")</f>
        <v>Japan</v>
      </c>
      <c r="E2741" s="135"/>
      <c r="F2741" s="31"/>
    </row>
    <row r="2742">
      <c r="A2742" s="134" t="str">
        <f>IFERROR(__xludf.DUMMYFUNCTION("""COMPUTED_VALUE"""),"Fukui")</f>
        <v>Fukui</v>
      </c>
      <c r="B2742" s="120" t="str">
        <f>IFERROR(__xludf.DUMMYFUNCTION("""COMPUTED_VALUE"""),"FKJ")</f>
        <v>FKJ</v>
      </c>
      <c r="C2742" s="120" t="str">
        <f>IFERROR(__xludf.DUMMYFUNCTION("""COMPUTED_VALUE"""),"Fukui")</f>
        <v>Fukui</v>
      </c>
      <c r="D2742" s="120" t="str">
        <f>IFERROR(__xludf.DUMMYFUNCTION("""COMPUTED_VALUE"""),"Japan")</f>
        <v>Japan</v>
      </c>
      <c r="E2742" s="135"/>
      <c r="F2742" s="31"/>
    </row>
    <row r="2743">
      <c r="A2743" s="134" t="str">
        <f>IFERROR(__xludf.DUMMYFUNCTION("""COMPUTED_VALUE"""),"Fukuoka")</f>
        <v>Fukuoka</v>
      </c>
      <c r="B2743" s="120" t="str">
        <f>IFERROR(__xludf.DUMMYFUNCTION("""COMPUTED_VALUE"""),"FUK")</f>
        <v>FUK</v>
      </c>
      <c r="C2743" s="120" t="str">
        <f>IFERROR(__xludf.DUMMYFUNCTION("""COMPUTED_VALUE"""),"Fukuoka")</f>
        <v>Fukuoka</v>
      </c>
      <c r="D2743" s="120" t="str">
        <f>IFERROR(__xludf.DUMMYFUNCTION("""COMPUTED_VALUE"""),"Japan")</f>
        <v>Japan</v>
      </c>
      <c r="E2743" s="135"/>
      <c r="F2743" s="31"/>
    </row>
    <row r="2744">
      <c r="A2744" s="134" t="str">
        <f>IFERROR(__xludf.DUMMYFUNCTION("""COMPUTED_VALUE"""),"Fukushima")</f>
        <v>Fukushima</v>
      </c>
      <c r="B2744" s="120" t="str">
        <f>IFERROR(__xludf.DUMMYFUNCTION("""COMPUTED_VALUE"""),"FKS")</f>
        <v>FKS</v>
      </c>
      <c r="C2744" s="120" t="str">
        <f>IFERROR(__xludf.DUMMYFUNCTION("""COMPUTED_VALUE"""),"Fukushima Airport")</f>
        <v>Fukushima Airport</v>
      </c>
      <c r="D2744" s="120" t="str">
        <f>IFERROR(__xludf.DUMMYFUNCTION("""COMPUTED_VALUE"""),"Japan")</f>
        <v>Japan</v>
      </c>
      <c r="E2744" s="135"/>
      <c r="F2744" s="31"/>
    </row>
    <row r="2745">
      <c r="A2745" s="134" t="str">
        <f>IFERROR(__xludf.DUMMYFUNCTION("""COMPUTED_VALUE"""),"Fulleborn")</f>
        <v>Fulleborn</v>
      </c>
      <c r="B2745" s="120" t="str">
        <f>IFERROR(__xludf.DUMMYFUNCTION("""COMPUTED_VALUE"""),"FUB")</f>
        <v>FUB</v>
      </c>
      <c r="C2745" s="120" t="str">
        <f>IFERROR(__xludf.DUMMYFUNCTION("""COMPUTED_VALUE"""),"Fulleborn")</f>
        <v>Fulleborn</v>
      </c>
      <c r="D2745" s="120" t="str">
        <f>IFERROR(__xludf.DUMMYFUNCTION("""COMPUTED_VALUE"""),"Papua New Guinea")</f>
        <v>Papua New Guinea</v>
      </c>
      <c r="E2745" s="135"/>
      <c r="F2745" s="31"/>
    </row>
    <row r="2746">
      <c r="A2746" s="134" t="str">
        <f>IFERROR(__xludf.DUMMYFUNCTION("""COMPUTED_VALUE"""),"Fullerton")</f>
        <v>Fullerton</v>
      </c>
      <c r="B2746" s="120" t="str">
        <f>IFERROR(__xludf.DUMMYFUNCTION("""COMPUTED_VALUE"""),"FUL")</f>
        <v>FUL</v>
      </c>
      <c r="C2746" s="120" t="str">
        <f>IFERROR(__xludf.DUMMYFUNCTION("""COMPUTED_VALUE"""),"Municipal")</f>
        <v>Municipal</v>
      </c>
      <c r="D2746" s="120" t="str">
        <f>IFERROR(__xludf.DUMMYFUNCTION("""COMPUTED_VALUE"""),"United States")</f>
        <v>United States</v>
      </c>
      <c r="E2746" s="135"/>
      <c r="F2746" s="31"/>
    </row>
    <row r="2747">
      <c r="A2747" s="134" t="str">
        <f>IFERROR(__xludf.DUMMYFUNCTION("""COMPUTED_VALUE"""),"Fuma")</f>
        <v>Fuma</v>
      </c>
      <c r="B2747" s="120" t="str">
        <f>IFERROR(__xludf.DUMMYFUNCTION("""COMPUTED_VALUE"""),"FUM")</f>
        <v>FUM</v>
      </c>
      <c r="C2747" s="120" t="str">
        <f>IFERROR(__xludf.DUMMYFUNCTION("""COMPUTED_VALUE"""),"Fuma")</f>
        <v>Fuma</v>
      </c>
      <c r="D2747" s="120" t="str">
        <f>IFERROR(__xludf.DUMMYFUNCTION("""COMPUTED_VALUE"""),"Papua New Guinea")</f>
        <v>Papua New Guinea</v>
      </c>
      <c r="E2747" s="135"/>
      <c r="F2747" s="31"/>
    </row>
    <row r="2748">
      <c r="A2748" s="134" t="str">
        <f>IFERROR(__xludf.DUMMYFUNCTION("""COMPUTED_VALUE"""),"Funafuti Atol")</f>
        <v>Funafuti Atol</v>
      </c>
      <c r="B2748" s="120" t="str">
        <f>IFERROR(__xludf.DUMMYFUNCTION("""COMPUTED_VALUE"""),"FUN")</f>
        <v>FUN</v>
      </c>
      <c r="C2748" s="120" t="str">
        <f>IFERROR(__xludf.DUMMYFUNCTION("""COMPUTED_VALUE"""),"International")</f>
        <v>International</v>
      </c>
      <c r="D2748" s="120" t="str">
        <f>IFERROR(__xludf.DUMMYFUNCTION("""COMPUTED_VALUE"""),"Tuvalu")</f>
        <v>Tuvalu</v>
      </c>
      <c r="E2748" s="135"/>
      <c r="F2748" s="31"/>
    </row>
    <row r="2749">
      <c r="A2749" s="134" t="str">
        <f>IFERROR(__xludf.DUMMYFUNCTION("""COMPUTED_VALUE"""),"Funter Bay")</f>
        <v>Funter Bay</v>
      </c>
      <c r="B2749" s="120" t="str">
        <f>IFERROR(__xludf.DUMMYFUNCTION("""COMPUTED_VALUE"""),"FNR")</f>
        <v>FNR</v>
      </c>
      <c r="C2749" s="120" t="str">
        <f>IFERROR(__xludf.DUMMYFUNCTION("""COMPUTED_VALUE"""),"SPB")</f>
        <v>SPB</v>
      </c>
      <c r="D2749" s="120" t="str">
        <f>IFERROR(__xludf.DUMMYFUNCTION("""COMPUTED_VALUE"""),"United States")</f>
        <v>United States</v>
      </c>
      <c r="E2749" s="135"/>
      <c r="F2749" s="31"/>
    </row>
    <row r="2750">
      <c r="A2750" s="134" t="str">
        <f>IFERROR(__xludf.DUMMYFUNCTION("""COMPUTED_VALUE"""),"Fuoshan")</f>
        <v>Fuoshan</v>
      </c>
      <c r="B2750" s="120" t="str">
        <f>IFERROR(__xludf.DUMMYFUNCTION("""COMPUTED_VALUE"""),"FUO")</f>
        <v>FUO</v>
      </c>
      <c r="C2750" s="120" t="str">
        <f>IFERROR(__xludf.DUMMYFUNCTION("""COMPUTED_VALUE"""),"Fuoshan")</f>
        <v>Fuoshan</v>
      </c>
      <c r="D2750" s="120" t="str">
        <f>IFERROR(__xludf.DUMMYFUNCTION("""COMPUTED_VALUE"""),"China")</f>
        <v>China</v>
      </c>
      <c r="E2750" s="135"/>
      <c r="F2750" s="31"/>
    </row>
    <row r="2751">
      <c r="A2751" s="134" t="str">
        <f>IFERROR(__xludf.DUMMYFUNCTION("""COMPUTED_VALUE"""),"Futaleufu")</f>
        <v>Futaleufu</v>
      </c>
      <c r="B2751" s="120" t="str">
        <f>IFERROR(__xludf.DUMMYFUNCTION("""COMPUTED_VALUE"""),"FFU")</f>
        <v>FFU</v>
      </c>
      <c r="C2751" s="120" t="str">
        <f>IFERROR(__xludf.DUMMYFUNCTION("""COMPUTED_VALUE"""),"Futaleufu")</f>
        <v>Futaleufu</v>
      </c>
      <c r="D2751" s="120" t="str">
        <f>IFERROR(__xludf.DUMMYFUNCTION("""COMPUTED_VALUE"""),"Chile")</f>
        <v>Chile</v>
      </c>
      <c r="E2751" s="135"/>
      <c r="F2751" s="31"/>
    </row>
    <row r="2752">
      <c r="A2752" s="134" t="str">
        <f>IFERROR(__xludf.DUMMYFUNCTION("""COMPUTED_VALUE"""),"Futuna Island")</f>
        <v>Futuna Island</v>
      </c>
      <c r="B2752" s="120" t="str">
        <f>IFERROR(__xludf.DUMMYFUNCTION("""COMPUTED_VALUE"""),"FTA")</f>
        <v>FTA</v>
      </c>
      <c r="C2752" s="120" t="str">
        <f>IFERROR(__xludf.DUMMYFUNCTION("""COMPUTED_VALUE"""),"Futuna Airport")</f>
        <v>Futuna Airport</v>
      </c>
      <c r="D2752" s="120" t="str">
        <f>IFERROR(__xludf.DUMMYFUNCTION("""COMPUTED_VALUE"""),"Vanuatu")</f>
        <v>Vanuatu</v>
      </c>
      <c r="E2752" s="135"/>
      <c r="F2752" s="31"/>
    </row>
    <row r="2753">
      <c r="A2753" s="134" t="str">
        <f>IFERROR(__xludf.DUMMYFUNCTION("""COMPUTED_VALUE"""),"Futuna Island")</f>
        <v>Futuna Island</v>
      </c>
      <c r="B2753" s="120" t="str">
        <f>IFERROR(__xludf.DUMMYFUNCTION("""COMPUTED_VALUE"""),"FUT")</f>
        <v>FUT</v>
      </c>
      <c r="C2753" s="120" t="str">
        <f>IFERROR(__xludf.DUMMYFUNCTION("""COMPUTED_VALUE"""),"Futuna Island")</f>
        <v>Futuna Island</v>
      </c>
      <c r="D2753" s="120" t="str">
        <f>IFERROR(__xludf.DUMMYFUNCTION("""COMPUTED_VALUE"""),"Wallis and Futuna Islands")</f>
        <v>Wallis and Futuna Islands</v>
      </c>
      <c r="E2753" s="135"/>
      <c r="F2753" s="31"/>
    </row>
    <row r="2754">
      <c r="A2754" s="134" t="str">
        <f>IFERROR(__xludf.DUMMYFUNCTION("""COMPUTED_VALUE"""),"Fuyang")</f>
        <v>Fuyang</v>
      </c>
      <c r="B2754" s="120" t="str">
        <f>IFERROR(__xludf.DUMMYFUNCTION("""COMPUTED_VALUE"""),"FUG")</f>
        <v>FUG</v>
      </c>
      <c r="C2754" s="120" t="str">
        <f>IFERROR(__xludf.DUMMYFUNCTION("""COMPUTED_VALUE"""),"Fuyang")</f>
        <v>Fuyang</v>
      </c>
      <c r="D2754" s="120" t="str">
        <f>IFERROR(__xludf.DUMMYFUNCTION("""COMPUTED_VALUE"""),"China")</f>
        <v>China</v>
      </c>
      <c r="E2754" s="135"/>
      <c r="F2754" s="31"/>
    </row>
    <row r="2755">
      <c r="A2755" s="134" t="str">
        <f>IFERROR(__xludf.DUMMYFUNCTION("""COMPUTED_VALUE"""),"Fuyun")</f>
        <v>Fuyun</v>
      </c>
      <c r="B2755" s="120" t="str">
        <f>IFERROR(__xludf.DUMMYFUNCTION("""COMPUTED_VALUE"""),"FYN")</f>
        <v>FYN</v>
      </c>
      <c r="C2755" s="120" t="str">
        <f>IFERROR(__xludf.DUMMYFUNCTION("""COMPUTED_VALUE"""),"Fuyun")</f>
        <v>Fuyun</v>
      </c>
      <c r="D2755" s="120" t="str">
        <f>IFERROR(__xludf.DUMMYFUNCTION("""COMPUTED_VALUE"""),"China")</f>
        <v>China</v>
      </c>
      <c r="E2755" s="135"/>
      <c r="F2755" s="31"/>
    </row>
    <row r="2756">
      <c r="A2756" s="134" t="str">
        <f>IFERROR(__xludf.DUMMYFUNCTION("""COMPUTED_VALUE"""),"Fuzhou")</f>
        <v>Fuzhou</v>
      </c>
      <c r="B2756" s="120" t="str">
        <f>IFERROR(__xludf.DUMMYFUNCTION("""COMPUTED_VALUE"""),"FOC")</f>
        <v>FOC</v>
      </c>
      <c r="C2756" s="120" t="str">
        <f>IFERROR(__xludf.DUMMYFUNCTION("""COMPUTED_VALUE"""),"Fuzhou")</f>
        <v>Fuzhou</v>
      </c>
      <c r="D2756" s="120" t="str">
        <f>IFERROR(__xludf.DUMMYFUNCTION("""COMPUTED_VALUE"""),"China")</f>
        <v>China</v>
      </c>
      <c r="E2756" s="135"/>
      <c r="F2756" s="31"/>
    </row>
    <row r="2757">
      <c r="A2757" s="134" t="str">
        <f>IFERROR(__xludf.DUMMYFUNCTION("""COMPUTED_VALUE"""),"Gabbs")</f>
        <v>Gabbs</v>
      </c>
      <c r="B2757" s="120" t="str">
        <f>IFERROR(__xludf.DUMMYFUNCTION("""COMPUTED_VALUE"""),"GAB")</f>
        <v>GAB</v>
      </c>
      <c r="C2757" s="120" t="str">
        <f>IFERROR(__xludf.DUMMYFUNCTION("""COMPUTED_VALUE"""),"Gabbs")</f>
        <v>Gabbs</v>
      </c>
      <c r="D2757" s="120" t="str">
        <f>IFERROR(__xludf.DUMMYFUNCTION("""COMPUTED_VALUE"""),"United States")</f>
        <v>United States</v>
      </c>
      <c r="E2757" s="135"/>
      <c r="F2757" s="31"/>
    </row>
    <row r="2758">
      <c r="A2758" s="134" t="str">
        <f>IFERROR(__xludf.DUMMYFUNCTION("""COMPUTED_VALUE"""),"Gabes")</f>
        <v>Gabes</v>
      </c>
      <c r="B2758" s="120" t="str">
        <f>IFERROR(__xludf.DUMMYFUNCTION("""COMPUTED_VALUE"""),"GAE")</f>
        <v>GAE</v>
      </c>
      <c r="C2758" s="120" t="str">
        <f>IFERROR(__xludf.DUMMYFUNCTION("""COMPUTED_VALUE"""),"Gabes")</f>
        <v>Gabes</v>
      </c>
      <c r="D2758" s="120" t="str">
        <f>IFERROR(__xludf.DUMMYFUNCTION("""COMPUTED_VALUE"""),"Tunisia")</f>
        <v>Tunisia</v>
      </c>
      <c r="E2758" s="135"/>
      <c r="F2758" s="31"/>
    </row>
    <row r="2759">
      <c r="A2759" s="134" t="str">
        <f>IFERROR(__xludf.DUMMYFUNCTION("""COMPUTED_VALUE"""),"Gaborone")</f>
        <v>Gaborone</v>
      </c>
      <c r="B2759" s="120" t="str">
        <f>IFERROR(__xludf.DUMMYFUNCTION("""COMPUTED_VALUE"""),"GBE")</f>
        <v>GBE</v>
      </c>
      <c r="C2759" s="120" t="str">
        <f>IFERROR(__xludf.DUMMYFUNCTION("""COMPUTED_VALUE"""),"Sir Seretse Khama Int")</f>
        <v>Sir Seretse Khama Int</v>
      </c>
      <c r="D2759" s="120" t="str">
        <f>IFERROR(__xludf.DUMMYFUNCTION("""COMPUTED_VALUE"""),"Botswana")</f>
        <v>Botswana</v>
      </c>
      <c r="E2759" s="135"/>
      <c r="F2759" s="31"/>
    </row>
    <row r="2760">
      <c r="A2760" s="134" t="str">
        <f>IFERROR(__xludf.DUMMYFUNCTION("""COMPUTED_VALUE"""),"Gachsaran")</f>
        <v>Gachsaran</v>
      </c>
      <c r="B2760" s="120" t="str">
        <f>IFERROR(__xludf.DUMMYFUNCTION("""COMPUTED_VALUE"""),"GCH")</f>
        <v>GCH</v>
      </c>
      <c r="C2760" s="120" t="str">
        <f>IFERROR(__xludf.DUMMYFUNCTION("""COMPUTED_VALUE"""),"Gachsaran")</f>
        <v>Gachsaran</v>
      </c>
      <c r="D2760" s="120" t="str">
        <f>IFERROR(__xludf.DUMMYFUNCTION("""COMPUTED_VALUE"""),"Iran")</f>
        <v>Iran</v>
      </c>
      <c r="E2760" s="135"/>
      <c r="F2760" s="31"/>
    </row>
    <row r="2761">
      <c r="A2761" s="134" t="str">
        <f>IFERROR(__xludf.DUMMYFUNCTION("""COMPUTED_VALUE"""),"Gadsden")</f>
        <v>Gadsden</v>
      </c>
      <c r="B2761" s="120" t="str">
        <f>IFERROR(__xludf.DUMMYFUNCTION("""COMPUTED_VALUE"""),"GAD")</f>
        <v>GAD</v>
      </c>
      <c r="C2761" s="120" t="str">
        <f>IFERROR(__xludf.DUMMYFUNCTION("""COMPUTED_VALUE"""),"Municipal")</f>
        <v>Municipal</v>
      </c>
      <c r="D2761" s="120" t="str">
        <f>IFERROR(__xludf.DUMMYFUNCTION("""COMPUTED_VALUE"""),"United States")</f>
        <v>United States</v>
      </c>
      <c r="E2761" s="135"/>
      <c r="F2761" s="31"/>
    </row>
    <row r="2762">
      <c r="A2762" s="134" t="str">
        <f>IFERROR(__xludf.DUMMYFUNCTION("""COMPUTED_VALUE"""),"Gafsa")</f>
        <v>Gafsa</v>
      </c>
      <c r="B2762" s="120" t="str">
        <f>IFERROR(__xludf.DUMMYFUNCTION("""COMPUTED_VALUE"""),"GAF")</f>
        <v>GAF</v>
      </c>
      <c r="C2762" s="120" t="str">
        <f>IFERROR(__xludf.DUMMYFUNCTION("""COMPUTED_VALUE"""),"Gafsa")</f>
        <v>Gafsa</v>
      </c>
      <c r="D2762" s="120" t="str">
        <f>IFERROR(__xludf.DUMMYFUNCTION("""COMPUTED_VALUE"""),"Tunisia")</f>
        <v>Tunisia</v>
      </c>
      <c r="E2762" s="135"/>
      <c r="F2762" s="31"/>
    </row>
    <row r="2763">
      <c r="A2763" s="134" t="str">
        <f>IFERROR(__xludf.DUMMYFUNCTION("""COMPUTED_VALUE"""),"Gag Island")</f>
        <v>Gag Island</v>
      </c>
      <c r="B2763" s="120" t="str">
        <f>IFERROR(__xludf.DUMMYFUNCTION("""COMPUTED_VALUE"""),"GAV")</f>
        <v>GAV</v>
      </c>
      <c r="C2763" s="120" t="str">
        <f>IFERROR(__xludf.DUMMYFUNCTION("""COMPUTED_VALUE"""),"Gag Island")</f>
        <v>Gag Island</v>
      </c>
      <c r="D2763" s="120" t="str">
        <f>IFERROR(__xludf.DUMMYFUNCTION("""COMPUTED_VALUE"""),"Indonesia")</f>
        <v>Indonesia</v>
      </c>
      <c r="E2763" s="135"/>
      <c r="F2763" s="31"/>
    </row>
    <row r="2764">
      <c r="A2764" s="134" t="str">
        <f>IFERROR(__xludf.DUMMYFUNCTION("""COMPUTED_VALUE"""),"Gage")</f>
        <v>Gage</v>
      </c>
      <c r="B2764" s="120" t="str">
        <f>IFERROR(__xludf.DUMMYFUNCTION("""COMPUTED_VALUE"""),"GAG")</f>
        <v>GAG</v>
      </c>
      <c r="C2764" s="120" t="str">
        <f>IFERROR(__xludf.DUMMYFUNCTION("""COMPUTED_VALUE"""),"Gage")</f>
        <v>Gage</v>
      </c>
      <c r="D2764" s="120" t="str">
        <f>IFERROR(__xludf.DUMMYFUNCTION("""COMPUTED_VALUE"""),"United States")</f>
        <v>United States</v>
      </c>
      <c r="E2764" s="135"/>
      <c r="F2764" s="31"/>
    </row>
    <row r="2765">
      <c r="A2765" s="134" t="str">
        <f>IFERROR(__xludf.DUMMYFUNCTION("""COMPUTED_VALUE"""),"Gagetown")</f>
        <v>Gagetown</v>
      </c>
      <c r="B2765" s="120" t="str">
        <f>IFERROR(__xludf.DUMMYFUNCTION("""COMPUTED_VALUE"""),"YCX")</f>
        <v>YCX</v>
      </c>
      <c r="C2765" s="120" t="str">
        <f>IFERROR(__xludf.DUMMYFUNCTION("""COMPUTED_VALUE"""),"Gagetown")</f>
        <v>Gagetown</v>
      </c>
      <c r="D2765" s="120" t="str">
        <f>IFERROR(__xludf.DUMMYFUNCTION("""COMPUTED_VALUE"""),"Canada")</f>
        <v>Canada</v>
      </c>
      <c r="E2765" s="135"/>
      <c r="F2765" s="31"/>
    </row>
    <row r="2766">
      <c r="A2766" s="134" t="str">
        <f>IFERROR(__xludf.DUMMYFUNCTION("""COMPUTED_VALUE"""),"Gagnoa")</f>
        <v>Gagnoa</v>
      </c>
      <c r="B2766" s="120" t="str">
        <f>IFERROR(__xludf.DUMMYFUNCTION("""COMPUTED_VALUE"""),"GGN")</f>
        <v>GGN</v>
      </c>
      <c r="C2766" s="120" t="str">
        <f>IFERROR(__xludf.DUMMYFUNCTION("""COMPUTED_VALUE"""),"Gagnoa")</f>
        <v>Gagnoa</v>
      </c>
      <c r="D2766" s="120" t="str">
        <f>IFERROR(__xludf.DUMMYFUNCTION("""COMPUTED_VALUE"""),"Cote D'Ivoire (Ivory Coast)")</f>
        <v>Cote D'Ivoire (Ivory Coast)</v>
      </c>
      <c r="E2766" s="135"/>
      <c r="F2766" s="31"/>
    </row>
    <row r="2767">
      <c r="A2767" s="134" t="str">
        <f>IFERROR(__xludf.DUMMYFUNCTION("""COMPUTED_VALUE"""),"Gagnon")</f>
        <v>Gagnon</v>
      </c>
      <c r="B2767" s="120" t="str">
        <f>IFERROR(__xludf.DUMMYFUNCTION("""COMPUTED_VALUE"""),"YGA")</f>
        <v>YGA</v>
      </c>
      <c r="C2767" s="120" t="str">
        <f>IFERROR(__xludf.DUMMYFUNCTION("""COMPUTED_VALUE"""),"Gagnon")</f>
        <v>Gagnon</v>
      </c>
      <c r="D2767" s="120" t="str">
        <f>IFERROR(__xludf.DUMMYFUNCTION("""COMPUTED_VALUE"""),"Canada")</f>
        <v>Canada</v>
      </c>
      <c r="E2767" s="135"/>
      <c r="F2767" s="31"/>
    </row>
    <row r="2768">
      <c r="A2768" s="134" t="str">
        <f>IFERROR(__xludf.DUMMYFUNCTION("""COMPUTED_VALUE"""),"Gainesville")</f>
        <v>Gainesville</v>
      </c>
      <c r="B2768" s="120" t="str">
        <f>IFERROR(__xludf.DUMMYFUNCTION("""COMPUTED_VALUE"""),"GNV")</f>
        <v>GNV</v>
      </c>
      <c r="C2768" s="120" t="str">
        <f>IFERROR(__xludf.DUMMYFUNCTION("""COMPUTED_VALUE"""),"Gainesville Regional")</f>
        <v>Gainesville Regional</v>
      </c>
      <c r="D2768" s="120" t="str">
        <f>IFERROR(__xludf.DUMMYFUNCTION("""COMPUTED_VALUE"""),"United States")</f>
        <v>United States</v>
      </c>
      <c r="E2768" s="135"/>
      <c r="F2768" s="31"/>
    </row>
    <row r="2769">
      <c r="A2769" s="134" t="str">
        <f>IFERROR(__xludf.DUMMYFUNCTION("""COMPUTED_VALUE"""),"Gainesville")</f>
        <v>Gainesville</v>
      </c>
      <c r="B2769" s="120" t="str">
        <f>IFERROR(__xludf.DUMMYFUNCTION("""COMPUTED_VALUE"""),"GVL")</f>
        <v>GVL</v>
      </c>
      <c r="C2769" s="120" t="str">
        <f>IFERROR(__xludf.DUMMYFUNCTION("""COMPUTED_VALUE"""),"Lee Gilmer Memorial")</f>
        <v>Lee Gilmer Memorial</v>
      </c>
      <c r="D2769" s="120" t="str">
        <f>IFERROR(__xludf.DUMMYFUNCTION("""COMPUTED_VALUE"""),"United States")</f>
        <v>United States</v>
      </c>
      <c r="E2769" s="135"/>
      <c r="F2769" s="31"/>
    </row>
    <row r="2770">
      <c r="A2770" s="134" t="str">
        <f>IFERROR(__xludf.DUMMYFUNCTION("""COMPUTED_VALUE"""),"Gainesville")</f>
        <v>Gainesville</v>
      </c>
      <c r="B2770" s="120" t="str">
        <f>IFERROR(__xludf.DUMMYFUNCTION("""COMPUTED_VALUE"""),"GLE")</f>
        <v>GLE</v>
      </c>
      <c r="C2770" s="120" t="str">
        <f>IFERROR(__xludf.DUMMYFUNCTION("""COMPUTED_VALUE"""),"Municipal")</f>
        <v>Municipal</v>
      </c>
      <c r="D2770" s="120" t="str">
        <f>IFERROR(__xludf.DUMMYFUNCTION("""COMPUTED_VALUE"""),"United States")</f>
        <v>United States</v>
      </c>
      <c r="E2770" s="135"/>
      <c r="F2770" s="31"/>
    </row>
    <row r="2771">
      <c r="A2771" s="134" t="str">
        <f>IFERROR(__xludf.DUMMYFUNCTION("""COMPUTED_VALUE"""),"Gaithersburg")</f>
        <v>Gaithersburg</v>
      </c>
      <c r="B2771" s="120" t="str">
        <f>IFERROR(__xludf.DUMMYFUNCTION("""COMPUTED_VALUE"""),"GAI")</f>
        <v>GAI</v>
      </c>
      <c r="C2771" s="120" t="str">
        <f>IFERROR(__xludf.DUMMYFUNCTION("""COMPUTED_VALUE"""),"Montgomery County")</f>
        <v>Montgomery County</v>
      </c>
      <c r="D2771" s="120" t="str">
        <f>IFERROR(__xludf.DUMMYFUNCTION("""COMPUTED_VALUE"""),"United States")</f>
        <v>United States</v>
      </c>
      <c r="E2771" s="135"/>
      <c r="F2771" s="31"/>
    </row>
    <row r="2772">
      <c r="A2772" s="134" t="str">
        <f>IFERROR(__xludf.DUMMYFUNCTION("""COMPUTED_VALUE"""),"Gakona")</f>
        <v>Gakona</v>
      </c>
      <c r="B2772" s="120" t="str">
        <f>IFERROR(__xludf.DUMMYFUNCTION("""COMPUTED_VALUE"""),"GAK")</f>
        <v>GAK</v>
      </c>
      <c r="C2772" s="120" t="str">
        <f>IFERROR(__xludf.DUMMYFUNCTION("""COMPUTED_VALUE"""),"Gakona")</f>
        <v>Gakona</v>
      </c>
      <c r="D2772" s="120" t="str">
        <f>IFERROR(__xludf.DUMMYFUNCTION("""COMPUTED_VALUE"""),"United States")</f>
        <v>United States</v>
      </c>
      <c r="E2772" s="135"/>
      <c r="F2772" s="31"/>
    </row>
    <row r="2773">
      <c r="A2773" s="134" t="str">
        <f>IFERROR(__xludf.DUMMYFUNCTION("""COMPUTED_VALUE"""),"Gal Oya")</f>
        <v>Gal Oya</v>
      </c>
      <c r="B2773" s="120" t="str">
        <f>IFERROR(__xludf.DUMMYFUNCTION("""COMPUTED_VALUE"""),"GOY")</f>
        <v>GOY</v>
      </c>
      <c r="C2773" s="120" t="str">
        <f>IFERROR(__xludf.DUMMYFUNCTION("""COMPUTED_VALUE"""),"Amparai")</f>
        <v>Amparai</v>
      </c>
      <c r="D2773" s="120" t="str">
        <f>IFERROR(__xludf.DUMMYFUNCTION("""COMPUTED_VALUE"""),"Sri Lanka")</f>
        <v>Sri Lanka</v>
      </c>
      <c r="E2773" s="135"/>
      <c r="F2773" s="31"/>
    </row>
    <row r="2774">
      <c r="A2774" s="134" t="str">
        <f>IFERROR(__xludf.DUMMYFUNCTION("""COMPUTED_VALUE"""),"Galapagos Is")</f>
        <v>Galapagos Is</v>
      </c>
      <c r="B2774" s="120" t="str">
        <f>IFERROR(__xludf.DUMMYFUNCTION("""COMPUTED_VALUE"""),"GPS")</f>
        <v>GPS</v>
      </c>
      <c r="C2774" s="120" t="str">
        <f>IFERROR(__xludf.DUMMYFUNCTION("""COMPUTED_VALUE"""),"Baltra")</f>
        <v>Baltra</v>
      </c>
      <c r="D2774" s="120" t="str">
        <f>IFERROR(__xludf.DUMMYFUNCTION("""COMPUTED_VALUE"""),"Ecuador")</f>
        <v>Ecuador</v>
      </c>
      <c r="E2774" s="135"/>
      <c r="F2774" s="31"/>
    </row>
    <row r="2775">
      <c r="A2775" s="134" t="str">
        <f>IFERROR(__xludf.DUMMYFUNCTION("""COMPUTED_VALUE"""),"Galbraith Lake")</f>
        <v>Galbraith Lake</v>
      </c>
      <c r="B2775" s="120" t="str">
        <f>IFERROR(__xludf.DUMMYFUNCTION("""COMPUTED_VALUE"""),"GBH")</f>
        <v>GBH</v>
      </c>
      <c r="C2775" s="120" t="str">
        <f>IFERROR(__xludf.DUMMYFUNCTION("""COMPUTED_VALUE"""),"Galbraith Lake")</f>
        <v>Galbraith Lake</v>
      </c>
      <c r="D2775" s="120" t="str">
        <f>IFERROR(__xludf.DUMMYFUNCTION("""COMPUTED_VALUE"""),"United States")</f>
        <v>United States</v>
      </c>
      <c r="E2775" s="135"/>
      <c r="F2775" s="31"/>
    </row>
    <row r="2776">
      <c r="A2776" s="134" t="str">
        <f>IFERROR(__xludf.DUMMYFUNCTION("""COMPUTED_VALUE"""),"Galcaio")</f>
        <v>Galcaio</v>
      </c>
      <c r="B2776" s="120" t="str">
        <f>IFERROR(__xludf.DUMMYFUNCTION("""COMPUTED_VALUE"""),"GLK")</f>
        <v>GLK</v>
      </c>
      <c r="C2776" s="120" t="str">
        <f>IFERROR(__xludf.DUMMYFUNCTION("""COMPUTED_VALUE"""),"Galcaio")</f>
        <v>Galcaio</v>
      </c>
      <c r="D2776" s="120" t="str">
        <f>IFERROR(__xludf.DUMMYFUNCTION("""COMPUTED_VALUE"""),"Somalia")</f>
        <v>Somalia</v>
      </c>
      <c r="E2776" s="135"/>
      <c r="F2776" s="31"/>
    </row>
    <row r="2777">
      <c r="A2777" s="134" t="str">
        <f>IFERROR(__xludf.DUMMYFUNCTION("""COMPUTED_VALUE"""),"Galela")</f>
        <v>Galela</v>
      </c>
      <c r="B2777" s="120" t="str">
        <f>IFERROR(__xludf.DUMMYFUNCTION("""COMPUTED_VALUE"""),"GLX")</f>
        <v>GLX</v>
      </c>
      <c r="C2777" s="120" t="str">
        <f>IFERROR(__xludf.DUMMYFUNCTION("""COMPUTED_VALUE"""),"Galela")</f>
        <v>Galela</v>
      </c>
      <c r="D2777" s="120" t="str">
        <f>IFERROR(__xludf.DUMMYFUNCTION("""COMPUTED_VALUE"""),"Indonesia")</f>
        <v>Indonesia</v>
      </c>
      <c r="E2777" s="135"/>
      <c r="F2777" s="31"/>
    </row>
    <row r="2778">
      <c r="A2778" s="134" t="str">
        <f>IFERROR(__xludf.DUMMYFUNCTION("""COMPUTED_VALUE"""),"Galena")</f>
        <v>Galena</v>
      </c>
      <c r="B2778" s="120" t="str">
        <f>IFERROR(__xludf.DUMMYFUNCTION("""COMPUTED_VALUE"""),"GAL")</f>
        <v>GAL</v>
      </c>
      <c r="C2778" s="120" t="str">
        <f>IFERROR(__xludf.DUMMYFUNCTION("""COMPUTED_VALUE"""),"Galena")</f>
        <v>Galena</v>
      </c>
      <c r="D2778" s="120" t="str">
        <f>IFERROR(__xludf.DUMMYFUNCTION("""COMPUTED_VALUE"""),"United States")</f>
        <v>United States</v>
      </c>
      <c r="E2778" s="135"/>
      <c r="F2778" s="31"/>
    </row>
    <row r="2779">
      <c r="A2779" s="134" t="str">
        <f>IFERROR(__xludf.DUMMYFUNCTION("""COMPUTED_VALUE"""),"Galesburg")</f>
        <v>Galesburg</v>
      </c>
      <c r="B2779" s="120" t="str">
        <f>IFERROR(__xludf.DUMMYFUNCTION("""COMPUTED_VALUE"""),"GBG")</f>
        <v>GBG</v>
      </c>
      <c r="C2779" s="120" t="str">
        <f>IFERROR(__xludf.DUMMYFUNCTION("""COMPUTED_VALUE"""),"Galesburg")</f>
        <v>Galesburg</v>
      </c>
      <c r="D2779" s="120" t="str">
        <f>IFERROR(__xludf.DUMMYFUNCTION("""COMPUTED_VALUE"""),"United States")</f>
        <v>United States</v>
      </c>
      <c r="E2779" s="135"/>
      <c r="F2779" s="31"/>
    </row>
    <row r="2780">
      <c r="A2780" s="134" t="str">
        <f>IFERROR(__xludf.DUMMYFUNCTION("""COMPUTED_VALUE"""),"Galion")</f>
        <v>Galion</v>
      </c>
      <c r="B2780" s="120" t="str">
        <f>IFERROR(__xludf.DUMMYFUNCTION("""COMPUTED_VALUE"""),"GQQ")</f>
        <v>GQQ</v>
      </c>
      <c r="C2780" s="120" t="str">
        <f>IFERROR(__xludf.DUMMYFUNCTION("""COMPUTED_VALUE"""),"Galion")</f>
        <v>Galion</v>
      </c>
      <c r="D2780" s="120" t="str">
        <f>IFERROR(__xludf.DUMMYFUNCTION("""COMPUTED_VALUE"""),"United States")</f>
        <v>United States</v>
      </c>
      <c r="E2780" s="135"/>
      <c r="F2780" s="31"/>
    </row>
    <row r="2781">
      <c r="A2781" s="134" t="str">
        <f>IFERROR(__xludf.DUMMYFUNCTION("""COMPUTED_VALUE"""),"Gallivare")</f>
        <v>Gallivare</v>
      </c>
      <c r="B2781" s="120" t="str">
        <f>IFERROR(__xludf.DUMMYFUNCTION("""COMPUTED_VALUE"""),"GEV")</f>
        <v>GEV</v>
      </c>
      <c r="C2781" s="120" t="str">
        <f>IFERROR(__xludf.DUMMYFUNCTION("""COMPUTED_VALUE"""),"Gallivare")</f>
        <v>Gallivare</v>
      </c>
      <c r="D2781" s="120" t="str">
        <f>IFERROR(__xludf.DUMMYFUNCTION("""COMPUTED_VALUE"""),"Sweden")</f>
        <v>Sweden</v>
      </c>
      <c r="E2781" s="135"/>
      <c r="F2781" s="31"/>
    </row>
    <row r="2782">
      <c r="A2782" s="134" t="str">
        <f>IFERROR(__xludf.DUMMYFUNCTION("""COMPUTED_VALUE"""),"Gallup")</f>
        <v>Gallup</v>
      </c>
      <c r="B2782" s="120" t="str">
        <f>IFERROR(__xludf.DUMMYFUNCTION("""COMPUTED_VALUE"""),"GUP")</f>
        <v>GUP</v>
      </c>
      <c r="C2782" s="120" t="str">
        <f>IFERROR(__xludf.DUMMYFUNCTION("""COMPUTED_VALUE"""),"Senator Clark")</f>
        <v>Senator Clark</v>
      </c>
      <c r="D2782" s="120" t="str">
        <f>IFERROR(__xludf.DUMMYFUNCTION("""COMPUTED_VALUE"""),"United States")</f>
        <v>United States</v>
      </c>
      <c r="E2782" s="135"/>
      <c r="F2782" s="31"/>
    </row>
    <row r="2783">
      <c r="A2783" s="134" t="str">
        <f>IFERROR(__xludf.DUMMYFUNCTION("""COMPUTED_VALUE"""),"Galveston")</f>
        <v>Galveston</v>
      </c>
      <c r="B2783" s="120" t="str">
        <f>IFERROR(__xludf.DUMMYFUNCTION("""COMPUTED_VALUE"""),"GLS")</f>
        <v>GLS</v>
      </c>
      <c r="C2783" s="120" t="str">
        <f>IFERROR(__xludf.DUMMYFUNCTION("""COMPUTED_VALUE"""),"Scholes Field")</f>
        <v>Scholes Field</v>
      </c>
      <c r="D2783" s="120" t="str">
        <f>IFERROR(__xludf.DUMMYFUNCTION("""COMPUTED_VALUE"""),"United States")</f>
        <v>United States</v>
      </c>
      <c r="E2783" s="135"/>
      <c r="F2783" s="31"/>
    </row>
    <row r="2784">
      <c r="A2784" s="134" t="str">
        <f>IFERROR(__xludf.DUMMYFUNCTION("""COMPUTED_VALUE"""),"Galway")</f>
        <v>Galway</v>
      </c>
      <c r="B2784" s="120" t="str">
        <f>IFERROR(__xludf.DUMMYFUNCTION("""COMPUTED_VALUE"""),"GWY")</f>
        <v>GWY</v>
      </c>
      <c r="C2784" s="120" t="str">
        <f>IFERROR(__xludf.DUMMYFUNCTION("""COMPUTED_VALUE"""),"Carnmore")</f>
        <v>Carnmore</v>
      </c>
      <c r="D2784" s="120" t="str">
        <f>IFERROR(__xludf.DUMMYFUNCTION("""COMPUTED_VALUE"""),"Ireland")</f>
        <v>Ireland</v>
      </c>
      <c r="E2784" s="135"/>
      <c r="F2784" s="31"/>
    </row>
    <row r="2785">
      <c r="A2785" s="134" t="str">
        <f>IFERROR(__xludf.DUMMYFUNCTION("""COMPUTED_VALUE"""),"Gamarra")</f>
        <v>Gamarra</v>
      </c>
      <c r="B2785" s="120" t="str">
        <f>IFERROR(__xludf.DUMMYFUNCTION("""COMPUTED_VALUE"""),"GRA")</f>
        <v>GRA</v>
      </c>
      <c r="C2785" s="120" t="str">
        <f>IFERROR(__xludf.DUMMYFUNCTION("""COMPUTED_VALUE"""),"Gamarra")</f>
        <v>Gamarra</v>
      </c>
      <c r="D2785" s="120" t="str">
        <f>IFERROR(__xludf.DUMMYFUNCTION("""COMPUTED_VALUE"""),"Colombia")</f>
        <v>Colombia</v>
      </c>
      <c r="E2785" s="135"/>
      <c r="F2785" s="31"/>
    </row>
    <row r="2786">
      <c r="A2786" s="134" t="str">
        <f>IFERROR(__xludf.DUMMYFUNCTION("""COMPUTED_VALUE"""),"Gamba")</f>
        <v>Gamba</v>
      </c>
      <c r="B2786" s="120" t="str">
        <f>IFERROR(__xludf.DUMMYFUNCTION("""COMPUTED_VALUE"""),"GAX")</f>
        <v>GAX</v>
      </c>
      <c r="C2786" s="120" t="str">
        <f>IFERROR(__xludf.DUMMYFUNCTION("""COMPUTED_VALUE"""),"Gamba")</f>
        <v>Gamba</v>
      </c>
      <c r="D2786" s="120" t="str">
        <f>IFERROR(__xludf.DUMMYFUNCTION("""COMPUTED_VALUE"""),"Gabon")</f>
        <v>Gabon</v>
      </c>
      <c r="E2786" s="135"/>
      <c r="F2786" s="31"/>
    </row>
    <row r="2787">
      <c r="A2787" s="134" t="str">
        <f>IFERROR(__xludf.DUMMYFUNCTION("""COMPUTED_VALUE"""),"Gambela")</f>
        <v>Gambela</v>
      </c>
      <c r="B2787" s="120" t="str">
        <f>IFERROR(__xludf.DUMMYFUNCTION("""COMPUTED_VALUE"""),"GMB")</f>
        <v>GMB</v>
      </c>
      <c r="C2787" s="120" t="str">
        <f>IFERROR(__xludf.DUMMYFUNCTION("""COMPUTED_VALUE"""),"Gambela")</f>
        <v>Gambela</v>
      </c>
      <c r="D2787" s="120" t="str">
        <f>IFERROR(__xludf.DUMMYFUNCTION("""COMPUTED_VALUE"""),"Ethiopia")</f>
        <v>Ethiopia</v>
      </c>
      <c r="E2787" s="135"/>
      <c r="F2787" s="31"/>
    </row>
    <row r="2788">
      <c r="A2788" s="134" t="str">
        <f>IFERROR(__xludf.DUMMYFUNCTION("""COMPUTED_VALUE"""),"Gambell")</f>
        <v>Gambell</v>
      </c>
      <c r="B2788" s="120" t="str">
        <f>IFERROR(__xludf.DUMMYFUNCTION("""COMPUTED_VALUE"""),"GAM")</f>
        <v>GAM</v>
      </c>
      <c r="C2788" s="120" t="str">
        <f>IFERROR(__xludf.DUMMYFUNCTION("""COMPUTED_VALUE"""),"Gambell")</f>
        <v>Gambell</v>
      </c>
      <c r="D2788" s="120" t="str">
        <f>IFERROR(__xludf.DUMMYFUNCTION("""COMPUTED_VALUE"""),"United States")</f>
        <v>United States</v>
      </c>
      <c r="E2788" s="135"/>
      <c r="F2788" s="31"/>
    </row>
    <row r="2789">
      <c r="A2789" s="134" t="str">
        <f>IFERROR(__xludf.DUMMYFUNCTION("""COMPUTED_VALUE"""),"Gambier Is")</f>
        <v>Gambier Is</v>
      </c>
      <c r="B2789" s="120" t="str">
        <f>IFERROR(__xludf.DUMMYFUNCTION("""COMPUTED_VALUE"""),"GMR")</f>
        <v>GMR</v>
      </c>
      <c r="C2789" s="120" t="str">
        <f>IFERROR(__xludf.DUMMYFUNCTION("""COMPUTED_VALUE"""),"Gambier Is")</f>
        <v>Gambier Is</v>
      </c>
      <c r="D2789" s="120" t="str">
        <f>IFERROR(__xludf.DUMMYFUNCTION("""COMPUTED_VALUE"""),"French Polynesia")</f>
        <v>French Polynesia</v>
      </c>
      <c r="E2789" s="135"/>
      <c r="F2789" s="31"/>
    </row>
    <row r="2790">
      <c r="A2790" s="134" t="str">
        <f>IFERROR(__xludf.DUMMYFUNCTION("""COMPUTED_VALUE"""),"Gamboma")</f>
        <v>Gamboma</v>
      </c>
      <c r="B2790" s="120" t="str">
        <f>IFERROR(__xludf.DUMMYFUNCTION("""COMPUTED_VALUE"""),"GMM")</f>
        <v>GMM</v>
      </c>
      <c r="C2790" s="120" t="str">
        <f>IFERROR(__xludf.DUMMYFUNCTION("""COMPUTED_VALUE"""),"Gamboma")</f>
        <v>Gamboma</v>
      </c>
      <c r="D2790" s="120" t="str">
        <f>IFERROR(__xludf.DUMMYFUNCTION("""COMPUTED_VALUE"""),"Congo")</f>
        <v>Congo</v>
      </c>
      <c r="E2790" s="135"/>
      <c r="F2790" s="31"/>
    </row>
    <row r="2791">
      <c r="A2791" s="134" t="str">
        <f>IFERROR(__xludf.DUMMYFUNCTION("""COMPUTED_VALUE"""),"Gamboola")</f>
        <v>Gamboola</v>
      </c>
      <c r="B2791" s="120" t="str">
        <f>IFERROR(__xludf.DUMMYFUNCTION("""COMPUTED_VALUE"""),"GBP")</f>
        <v>GBP</v>
      </c>
      <c r="C2791" s="120" t="str">
        <f>IFERROR(__xludf.DUMMYFUNCTION("""COMPUTED_VALUE"""),"Gamboola")</f>
        <v>Gamboola</v>
      </c>
      <c r="D2791" s="120" t="str">
        <f>IFERROR(__xludf.DUMMYFUNCTION("""COMPUTED_VALUE"""),"Australia")</f>
        <v>Australia</v>
      </c>
      <c r="E2791" s="135"/>
      <c r="F2791" s="31"/>
    </row>
    <row r="2792">
      <c r="A2792" s="134" t="str">
        <f>IFERROR(__xludf.DUMMYFUNCTION("""COMPUTED_VALUE"""),"Gan Island")</f>
        <v>Gan Island</v>
      </c>
      <c r="B2792" s="120" t="str">
        <f>IFERROR(__xludf.DUMMYFUNCTION("""COMPUTED_VALUE"""),"GAN")</f>
        <v>GAN</v>
      </c>
      <c r="C2792" s="120" t="str">
        <f>IFERROR(__xludf.DUMMYFUNCTION("""COMPUTED_VALUE"""),"Gan Airport")</f>
        <v>Gan Airport</v>
      </c>
      <c r="D2792" s="120" t="str">
        <f>IFERROR(__xludf.DUMMYFUNCTION("""COMPUTED_VALUE"""),"Maldives")</f>
        <v>Maldives</v>
      </c>
      <c r="E2792" s="135"/>
      <c r="F2792" s="31"/>
    </row>
    <row r="2793">
      <c r="A2793" s="134" t="str">
        <f>IFERROR(__xludf.DUMMYFUNCTION("""COMPUTED_VALUE"""),"Gandajika")</f>
        <v>Gandajika</v>
      </c>
      <c r="B2793" s="120" t="str">
        <f>IFERROR(__xludf.DUMMYFUNCTION("""COMPUTED_VALUE"""),"GDJ")</f>
        <v>GDJ</v>
      </c>
      <c r="C2793" s="120" t="str">
        <f>IFERROR(__xludf.DUMMYFUNCTION("""COMPUTED_VALUE"""),"Gandajika")</f>
        <v>Gandajika</v>
      </c>
      <c r="D2793" s="120" t="str">
        <f>IFERROR(__xludf.DUMMYFUNCTION("""COMPUTED_VALUE"""),"Zaire")</f>
        <v>Zaire</v>
      </c>
      <c r="E2793" s="135"/>
      <c r="F2793" s="31"/>
    </row>
    <row r="2794">
      <c r="A2794" s="134" t="str">
        <f>IFERROR(__xludf.DUMMYFUNCTION("""COMPUTED_VALUE"""),"Gander")</f>
        <v>Gander</v>
      </c>
      <c r="B2794" s="120" t="str">
        <f>IFERROR(__xludf.DUMMYFUNCTION("""COMPUTED_VALUE"""),"YQX")</f>
        <v>YQX</v>
      </c>
      <c r="C2794" s="120" t="str">
        <f>IFERROR(__xludf.DUMMYFUNCTION("""COMPUTED_VALUE"""),"Gander International")</f>
        <v>Gander International</v>
      </c>
      <c r="D2794" s="120" t="str">
        <f>IFERROR(__xludf.DUMMYFUNCTION("""COMPUTED_VALUE"""),"Canada")</f>
        <v>Canada</v>
      </c>
      <c r="E2794" s="135"/>
      <c r="F2794" s="31"/>
    </row>
    <row r="2795">
      <c r="A2795" s="134" t="str">
        <f>IFERROR(__xludf.DUMMYFUNCTION("""COMPUTED_VALUE"""),"Ganes Creek")</f>
        <v>Ganes Creek</v>
      </c>
      <c r="B2795" s="120" t="str">
        <f>IFERROR(__xludf.DUMMYFUNCTION("""COMPUTED_VALUE"""),"GEK")</f>
        <v>GEK</v>
      </c>
      <c r="C2795" s="120" t="str">
        <f>IFERROR(__xludf.DUMMYFUNCTION("""COMPUTED_VALUE"""),"Ganes Creek")</f>
        <v>Ganes Creek</v>
      </c>
      <c r="D2795" s="120" t="str">
        <f>IFERROR(__xludf.DUMMYFUNCTION("""COMPUTED_VALUE"""),"United States")</f>
        <v>United States</v>
      </c>
      <c r="E2795" s="135"/>
      <c r="F2795" s="31"/>
    </row>
    <row r="2796">
      <c r="A2796" s="134" t="str">
        <f>IFERROR(__xludf.DUMMYFUNCTION("""COMPUTED_VALUE"""),"Gangaw")</f>
        <v>Gangaw</v>
      </c>
      <c r="B2796" s="120" t="str">
        <f>IFERROR(__xludf.DUMMYFUNCTION("""COMPUTED_VALUE"""),"GAW")</f>
        <v>GAW</v>
      </c>
      <c r="C2796" s="120" t="str">
        <f>IFERROR(__xludf.DUMMYFUNCTION("""COMPUTED_VALUE"""),"Gangaw")</f>
        <v>Gangaw</v>
      </c>
      <c r="D2796" s="120" t="str">
        <f>IFERROR(__xludf.DUMMYFUNCTION("""COMPUTED_VALUE"""),"Myanmar")</f>
        <v>Myanmar</v>
      </c>
      <c r="E2796" s="135"/>
      <c r="F2796" s="31"/>
    </row>
    <row r="2797">
      <c r="A2797" s="134" t="str">
        <f>IFERROR(__xludf.DUMMYFUNCTION("""COMPUTED_VALUE"""),"Ganges Harbor")</f>
        <v>Ganges Harbor</v>
      </c>
      <c r="B2797" s="120" t="str">
        <f>IFERROR(__xludf.DUMMYFUNCTION("""COMPUTED_VALUE"""),"YGG")</f>
        <v>YGG</v>
      </c>
      <c r="C2797" s="120" t="str">
        <f>IFERROR(__xludf.DUMMYFUNCTION("""COMPUTED_VALUE"""),"Ganges Harbor")</f>
        <v>Ganges Harbor</v>
      </c>
      <c r="D2797" s="120" t="str">
        <f>IFERROR(__xludf.DUMMYFUNCTION("""COMPUTED_VALUE"""),"Canada")</f>
        <v>Canada</v>
      </c>
      <c r="E2797" s="135"/>
      <c r="F2797" s="31"/>
    </row>
    <row r="2798">
      <c r="A2798" s="134" t="str">
        <f>IFERROR(__xludf.DUMMYFUNCTION("""COMPUTED_VALUE"""),"Gangneung")</f>
        <v>Gangneung</v>
      </c>
      <c r="B2798" s="120" t="str">
        <f>IFERROR(__xludf.DUMMYFUNCTION("""COMPUTED_VALUE"""),"KAG")</f>
        <v>KAG</v>
      </c>
      <c r="C2798" s="120" t="str">
        <f>IFERROR(__xludf.DUMMYFUNCTION("""COMPUTED_VALUE"""),"Gangneung")</f>
        <v>Gangneung</v>
      </c>
      <c r="D2798" s="120" t="str">
        <f>IFERROR(__xludf.DUMMYFUNCTION("""COMPUTED_VALUE"""),"Korea (South)")</f>
        <v>Korea (South)</v>
      </c>
      <c r="E2798" s="135"/>
      <c r="F2798" s="31"/>
    </row>
    <row r="2799">
      <c r="A2799" s="134" t="str">
        <f>IFERROR(__xludf.DUMMYFUNCTION("""COMPUTED_VALUE"""),"Ganzhou")</f>
        <v>Ganzhou</v>
      </c>
      <c r="B2799" s="120" t="str">
        <f>IFERROR(__xludf.DUMMYFUNCTION("""COMPUTED_VALUE"""),"KOW")</f>
        <v>KOW</v>
      </c>
      <c r="C2799" s="120" t="str">
        <f>IFERROR(__xludf.DUMMYFUNCTION("""COMPUTED_VALUE"""),"Ganzhou")</f>
        <v>Ganzhou</v>
      </c>
      <c r="D2799" s="120" t="str">
        <f>IFERROR(__xludf.DUMMYFUNCTION("""COMPUTED_VALUE"""),"China")</f>
        <v>China</v>
      </c>
      <c r="E2799" s="135"/>
      <c r="F2799" s="31"/>
    </row>
    <row r="2800">
      <c r="A2800" s="134" t="str">
        <f>IFERROR(__xludf.DUMMYFUNCTION("""COMPUTED_VALUE"""),"Gao")</f>
        <v>Gao</v>
      </c>
      <c r="B2800" s="120" t="str">
        <f>IFERROR(__xludf.DUMMYFUNCTION("""COMPUTED_VALUE"""),"GAQ")</f>
        <v>GAQ</v>
      </c>
      <c r="C2800" s="120" t="str">
        <f>IFERROR(__xludf.DUMMYFUNCTION("""COMPUTED_VALUE"""),"Gao")</f>
        <v>Gao</v>
      </c>
      <c r="D2800" s="120" t="str">
        <f>IFERROR(__xludf.DUMMYFUNCTION("""COMPUTED_VALUE"""),"Mali")</f>
        <v>Mali</v>
      </c>
      <c r="E2800" s="135"/>
      <c r="F2800" s="31"/>
    </row>
    <row r="2801">
      <c r="A2801" s="134" t="str">
        <f>IFERROR(__xludf.DUMMYFUNCTION("""COMPUTED_VALUE"""),"Gaoua")</f>
        <v>Gaoua</v>
      </c>
      <c r="B2801" s="120" t="str">
        <f>IFERROR(__xludf.DUMMYFUNCTION("""COMPUTED_VALUE"""),"XGA")</f>
        <v>XGA</v>
      </c>
      <c r="C2801" s="120" t="str">
        <f>IFERROR(__xludf.DUMMYFUNCTION("""COMPUTED_VALUE"""),"Gaoua")</f>
        <v>Gaoua</v>
      </c>
      <c r="D2801" s="120" t="str">
        <f>IFERROR(__xludf.DUMMYFUNCTION("""COMPUTED_VALUE"""),"Burkina Faso")</f>
        <v>Burkina Faso</v>
      </c>
      <c r="E2801" s="135"/>
      <c r="F2801" s="31"/>
    </row>
    <row r="2802">
      <c r="A2802" s="134" t="str">
        <f>IFERROR(__xludf.DUMMYFUNCTION("""COMPUTED_VALUE"""),"Gap")</f>
        <v>Gap</v>
      </c>
      <c r="B2802" s="120" t="str">
        <f>IFERROR(__xludf.DUMMYFUNCTION("""COMPUTED_VALUE"""),"GAT")</f>
        <v>GAT</v>
      </c>
      <c r="C2802" s="120" t="str">
        <f>IFERROR(__xludf.DUMMYFUNCTION("""COMPUTED_VALUE"""),"Tallard")</f>
        <v>Tallard</v>
      </c>
      <c r="D2802" s="120" t="str">
        <f>IFERROR(__xludf.DUMMYFUNCTION("""COMPUTED_VALUE"""),"France")</f>
        <v>France</v>
      </c>
      <c r="E2802" s="135"/>
      <c r="F2802" s="31"/>
    </row>
    <row r="2803">
      <c r="A2803" s="134" t="str">
        <f>IFERROR(__xludf.DUMMYFUNCTION("""COMPUTED_VALUE"""),"Gara Djebilet")</f>
        <v>Gara Djebilet</v>
      </c>
      <c r="B2803" s="120" t="str">
        <f>IFERROR(__xludf.DUMMYFUNCTION("""COMPUTED_VALUE"""),"GBB")</f>
        <v>GBB</v>
      </c>
      <c r="C2803" s="120" t="str">
        <f>IFERROR(__xludf.DUMMYFUNCTION("""COMPUTED_VALUE"""),"Gara Djebilet")</f>
        <v>Gara Djebilet</v>
      </c>
      <c r="D2803" s="120" t="str">
        <f>IFERROR(__xludf.DUMMYFUNCTION("""COMPUTED_VALUE"""),"Algeria")</f>
        <v>Algeria</v>
      </c>
      <c r="E2803" s="135"/>
      <c r="F2803" s="31"/>
    </row>
    <row r="2804">
      <c r="A2804" s="134" t="str">
        <f>IFERROR(__xludf.DUMMYFUNCTION("""COMPUTED_VALUE"""),"Garachine")</f>
        <v>Garachine</v>
      </c>
      <c r="B2804" s="120" t="str">
        <f>IFERROR(__xludf.DUMMYFUNCTION("""COMPUTED_VALUE"""),"GHE")</f>
        <v>GHE</v>
      </c>
      <c r="C2804" s="120" t="str">
        <f>IFERROR(__xludf.DUMMYFUNCTION("""COMPUTED_VALUE"""),"Garachine")</f>
        <v>Garachine</v>
      </c>
      <c r="D2804" s="120" t="str">
        <f>IFERROR(__xludf.DUMMYFUNCTION("""COMPUTED_VALUE"""),"Panama")</f>
        <v>Panama</v>
      </c>
      <c r="E2804" s="135"/>
      <c r="F2804" s="31"/>
    </row>
    <row r="2805">
      <c r="A2805" s="134" t="str">
        <f>IFERROR(__xludf.DUMMYFUNCTION("""COMPUTED_VALUE"""),"Garaina")</f>
        <v>Garaina</v>
      </c>
      <c r="B2805" s="120" t="str">
        <f>IFERROR(__xludf.DUMMYFUNCTION("""COMPUTED_VALUE"""),"GAR")</f>
        <v>GAR</v>
      </c>
      <c r="C2805" s="120" t="str">
        <f>IFERROR(__xludf.DUMMYFUNCTION("""COMPUTED_VALUE"""),"Garaina")</f>
        <v>Garaina</v>
      </c>
      <c r="D2805" s="120" t="str">
        <f>IFERROR(__xludf.DUMMYFUNCTION("""COMPUTED_VALUE"""),"Papua New Guinea")</f>
        <v>Papua New Guinea</v>
      </c>
      <c r="E2805" s="135"/>
      <c r="F2805" s="31"/>
    </row>
    <row r="2806">
      <c r="A2806" s="134" t="str">
        <f>IFERROR(__xludf.DUMMYFUNCTION("""COMPUTED_VALUE"""),"Garasa")</f>
        <v>Garasa</v>
      </c>
      <c r="B2806" s="120" t="str">
        <f>IFERROR(__xludf.DUMMYFUNCTION("""COMPUTED_VALUE"""),"GRL")</f>
        <v>GRL</v>
      </c>
      <c r="C2806" s="120" t="str">
        <f>IFERROR(__xludf.DUMMYFUNCTION("""COMPUTED_VALUE"""),"Garasa")</f>
        <v>Garasa</v>
      </c>
      <c r="D2806" s="120" t="str">
        <f>IFERROR(__xludf.DUMMYFUNCTION("""COMPUTED_VALUE"""),"Papua New Guinea")</f>
        <v>Papua New Guinea</v>
      </c>
      <c r="E2806" s="135"/>
      <c r="F2806" s="31"/>
    </row>
    <row r="2807">
      <c r="A2807" s="134" t="str">
        <f>IFERROR(__xludf.DUMMYFUNCTION("""COMPUTED_VALUE"""),"Garbaharey")</f>
        <v>Garbaharey</v>
      </c>
      <c r="B2807" s="120" t="str">
        <f>IFERROR(__xludf.DUMMYFUNCTION("""COMPUTED_VALUE"""),"GBM")</f>
        <v>GBM</v>
      </c>
      <c r="C2807" s="120" t="str">
        <f>IFERROR(__xludf.DUMMYFUNCTION("""COMPUTED_VALUE"""),"Garbaharey")</f>
        <v>Garbaharey</v>
      </c>
      <c r="D2807" s="120" t="str">
        <f>IFERROR(__xludf.DUMMYFUNCTION("""COMPUTED_VALUE"""),"Somalia")</f>
        <v>Somalia</v>
      </c>
      <c r="E2807" s="135"/>
      <c r="F2807" s="31"/>
    </row>
    <row r="2808">
      <c r="A2808" s="134" t="str">
        <f>IFERROR(__xludf.DUMMYFUNCTION("""COMPUTED_VALUE"""),"Garden City")</f>
        <v>Garden City</v>
      </c>
      <c r="B2808" s="120" t="str">
        <f>IFERROR(__xludf.DUMMYFUNCTION("""COMPUTED_VALUE"""),"GCK")</f>
        <v>GCK</v>
      </c>
      <c r="C2808" s="120" t="str">
        <f>IFERROR(__xludf.DUMMYFUNCTION("""COMPUTED_VALUE"""),"Municipal Airport")</f>
        <v>Municipal Airport</v>
      </c>
      <c r="D2808" s="120" t="str">
        <f>IFERROR(__xludf.DUMMYFUNCTION("""COMPUTED_VALUE"""),"United States")</f>
        <v>United States</v>
      </c>
      <c r="E2808" s="135"/>
      <c r="F2808" s="31"/>
    </row>
    <row r="2809">
      <c r="A2809" s="134" t="str">
        <f>IFERROR(__xludf.DUMMYFUNCTION("""COMPUTED_VALUE"""),"Garden City")</f>
        <v>Garden City</v>
      </c>
      <c r="B2809" s="120" t="str">
        <f>IFERROR(__xludf.DUMMYFUNCTION("""COMPUTED_VALUE"""),"JHC")</f>
        <v>JHC</v>
      </c>
      <c r="C2809" s="120" t="str">
        <f>IFERROR(__xludf.DUMMYFUNCTION("""COMPUTED_VALUE"""),"Island Heliport")</f>
        <v>Island Heliport</v>
      </c>
      <c r="D2809" s="120" t="str">
        <f>IFERROR(__xludf.DUMMYFUNCTION("""COMPUTED_VALUE"""),"United States")</f>
        <v>United States</v>
      </c>
      <c r="E2809" s="135"/>
      <c r="F2809" s="31"/>
    </row>
    <row r="2810">
      <c r="A2810" s="134" t="str">
        <f>IFERROR(__xludf.DUMMYFUNCTION("""COMPUTED_VALUE"""),"Garden Point")</f>
        <v>Garden Point</v>
      </c>
      <c r="B2810" s="120" t="str">
        <f>IFERROR(__xludf.DUMMYFUNCTION("""COMPUTED_VALUE"""),"GPN")</f>
        <v>GPN</v>
      </c>
      <c r="C2810" s="120" t="str">
        <f>IFERROR(__xludf.DUMMYFUNCTION("""COMPUTED_VALUE"""),"Garden Point")</f>
        <v>Garden Point</v>
      </c>
      <c r="D2810" s="120" t="str">
        <f>IFERROR(__xludf.DUMMYFUNCTION("""COMPUTED_VALUE"""),"Australia")</f>
        <v>Australia</v>
      </c>
      <c r="E2810" s="135"/>
      <c r="F2810" s="31"/>
    </row>
    <row r="2811">
      <c r="A2811" s="134" t="str">
        <f>IFERROR(__xludf.DUMMYFUNCTION("""COMPUTED_VALUE"""),"Gardez")</f>
        <v>Gardez</v>
      </c>
      <c r="B2811" s="120" t="str">
        <f>IFERROR(__xludf.DUMMYFUNCTION("""COMPUTED_VALUE"""),"GRG")</f>
        <v>GRG</v>
      </c>
      <c r="C2811" s="120" t="str">
        <f>IFERROR(__xludf.DUMMYFUNCTION("""COMPUTED_VALUE"""),"Gardez")</f>
        <v>Gardez</v>
      </c>
      <c r="D2811" s="120" t="str">
        <f>IFERROR(__xludf.DUMMYFUNCTION("""COMPUTED_VALUE"""),"Afghanistan")</f>
        <v>Afghanistan</v>
      </c>
      <c r="E2811" s="135"/>
      <c r="F2811" s="31"/>
    </row>
    <row r="2812">
      <c r="A2812" s="134" t="str">
        <f>IFERROR(__xludf.DUMMYFUNCTION("""COMPUTED_VALUE"""),"Gardner")</f>
        <v>Gardner</v>
      </c>
      <c r="B2812" s="120" t="str">
        <f>IFERROR(__xludf.DUMMYFUNCTION("""COMPUTED_VALUE"""),"GDM")</f>
        <v>GDM</v>
      </c>
      <c r="C2812" s="120" t="str">
        <f>IFERROR(__xludf.DUMMYFUNCTION("""COMPUTED_VALUE"""),"Municipal")</f>
        <v>Municipal</v>
      </c>
      <c r="D2812" s="120" t="str">
        <f>IFERROR(__xludf.DUMMYFUNCTION("""COMPUTED_VALUE"""),"United States")</f>
        <v>United States</v>
      </c>
      <c r="E2812" s="135"/>
      <c r="F2812" s="31"/>
    </row>
    <row r="2813">
      <c r="A2813" s="134" t="str">
        <f>IFERROR(__xludf.DUMMYFUNCTION("""COMPUTED_VALUE"""),"Gardo")</f>
        <v>Gardo</v>
      </c>
      <c r="B2813" s="120" t="str">
        <f>IFERROR(__xludf.DUMMYFUNCTION("""COMPUTED_VALUE"""),"GSR")</f>
        <v>GSR</v>
      </c>
      <c r="C2813" s="120" t="str">
        <f>IFERROR(__xludf.DUMMYFUNCTION("""COMPUTED_VALUE"""),"Gardo")</f>
        <v>Gardo</v>
      </c>
      <c r="D2813" s="120" t="str">
        <f>IFERROR(__xludf.DUMMYFUNCTION("""COMPUTED_VALUE"""),"Somalia")</f>
        <v>Somalia</v>
      </c>
      <c r="E2813" s="135"/>
      <c r="F2813" s="31"/>
    </row>
    <row r="2814">
      <c r="A2814" s="134" t="str">
        <f>IFERROR(__xludf.DUMMYFUNCTION("""COMPUTED_VALUE"""),"Garissa")</f>
        <v>Garissa</v>
      </c>
      <c r="B2814" s="120" t="str">
        <f>IFERROR(__xludf.DUMMYFUNCTION("""COMPUTED_VALUE"""),"GAS")</f>
        <v>GAS</v>
      </c>
      <c r="C2814" s="120" t="str">
        <f>IFERROR(__xludf.DUMMYFUNCTION("""COMPUTED_VALUE"""),"Garissa")</f>
        <v>Garissa</v>
      </c>
      <c r="D2814" s="120" t="str">
        <f>IFERROR(__xludf.DUMMYFUNCTION("""COMPUTED_VALUE"""),"Kenya")</f>
        <v>Kenya</v>
      </c>
      <c r="E2814" s="135"/>
      <c r="F2814" s="31"/>
    </row>
    <row r="2815">
      <c r="A2815" s="134" t="str">
        <f>IFERROR(__xludf.DUMMYFUNCTION("""COMPUTED_VALUE"""),"Garoe")</f>
        <v>Garoe</v>
      </c>
      <c r="B2815" s="120" t="str">
        <f>IFERROR(__xludf.DUMMYFUNCTION("""COMPUTED_VALUE"""),"GGR")</f>
        <v>GGR</v>
      </c>
      <c r="C2815" s="120" t="str">
        <f>IFERROR(__xludf.DUMMYFUNCTION("""COMPUTED_VALUE"""),"Garoe")</f>
        <v>Garoe</v>
      </c>
      <c r="D2815" s="120" t="str">
        <f>IFERROR(__xludf.DUMMYFUNCTION("""COMPUTED_VALUE"""),"Somalia")</f>
        <v>Somalia</v>
      </c>
      <c r="E2815" s="135"/>
      <c r="F2815" s="31"/>
    </row>
    <row r="2816">
      <c r="A2816" s="134" t="str">
        <f>IFERROR(__xludf.DUMMYFUNCTION("""COMPUTED_VALUE"""),"Garoua")</f>
        <v>Garoua</v>
      </c>
      <c r="B2816" s="120" t="str">
        <f>IFERROR(__xludf.DUMMYFUNCTION("""COMPUTED_VALUE"""),"GOU")</f>
        <v>GOU</v>
      </c>
      <c r="C2816" s="120" t="str">
        <f>IFERROR(__xludf.DUMMYFUNCTION("""COMPUTED_VALUE"""),"Garoua")</f>
        <v>Garoua</v>
      </c>
      <c r="D2816" s="120" t="str">
        <f>IFERROR(__xludf.DUMMYFUNCTION("""COMPUTED_VALUE"""),"Cameroon")</f>
        <v>Cameroon</v>
      </c>
      <c r="E2816" s="135"/>
      <c r="F2816" s="31"/>
    </row>
    <row r="2817">
      <c r="A2817" s="134" t="str">
        <f>IFERROR(__xludf.DUMMYFUNCTION("""COMPUTED_VALUE"""),"Garuahi")</f>
        <v>Garuahi</v>
      </c>
      <c r="B2817" s="120" t="str">
        <f>IFERROR(__xludf.DUMMYFUNCTION("""COMPUTED_VALUE"""),"GRH")</f>
        <v>GRH</v>
      </c>
      <c r="C2817" s="120" t="str">
        <f>IFERROR(__xludf.DUMMYFUNCTION("""COMPUTED_VALUE"""),"Garuahi")</f>
        <v>Garuahi</v>
      </c>
      <c r="D2817" s="120" t="str">
        <f>IFERROR(__xludf.DUMMYFUNCTION("""COMPUTED_VALUE"""),"Papua New Guinea")</f>
        <v>Papua New Guinea</v>
      </c>
      <c r="E2817" s="135"/>
      <c r="F2817" s="31"/>
    </row>
    <row r="2818">
      <c r="A2818" s="134" t="str">
        <f>IFERROR(__xludf.DUMMYFUNCTION("""COMPUTED_VALUE"""),"Gascoyne Junction")</f>
        <v>Gascoyne Junction</v>
      </c>
      <c r="B2818" s="120" t="str">
        <f>IFERROR(__xludf.DUMMYFUNCTION("""COMPUTED_VALUE"""),"GSC")</f>
        <v>GSC</v>
      </c>
      <c r="C2818" s="120" t="str">
        <f>IFERROR(__xludf.DUMMYFUNCTION("""COMPUTED_VALUE"""),"Gascoyne Junction")</f>
        <v>Gascoyne Junction</v>
      </c>
      <c r="D2818" s="120" t="str">
        <f>IFERROR(__xludf.DUMMYFUNCTION("""COMPUTED_VALUE"""),"Australia")</f>
        <v>Australia</v>
      </c>
      <c r="E2818" s="135"/>
      <c r="F2818" s="31"/>
    </row>
    <row r="2819">
      <c r="A2819" s="134" t="str">
        <f>IFERROR(__xludf.DUMMYFUNCTION("""COMPUTED_VALUE"""),"Gasmata Island")</f>
        <v>Gasmata Island</v>
      </c>
      <c r="B2819" s="120" t="str">
        <f>IFERROR(__xludf.DUMMYFUNCTION("""COMPUTED_VALUE"""),"GMI")</f>
        <v>GMI</v>
      </c>
      <c r="C2819" s="120" t="str">
        <f>IFERROR(__xludf.DUMMYFUNCTION("""COMPUTED_VALUE"""),"Gasmata Island")</f>
        <v>Gasmata Island</v>
      </c>
      <c r="D2819" s="120" t="str">
        <f>IFERROR(__xludf.DUMMYFUNCTION("""COMPUTED_VALUE"""),"Papua New Guinea")</f>
        <v>Papua New Guinea</v>
      </c>
      <c r="E2819" s="135"/>
      <c r="F2819" s="31"/>
    </row>
    <row r="2820">
      <c r="A2820" s="134" t="str">
        <f>IFERROR(__xludf.DUMMYFUNCTION("""COMPUTED_VALUE"""),"Buraidah")</f>
        <v>Buraidah</v>
      </c>
      <c r="B2820" s="120" t="str">
        <f>IFERROR(__xludf.DUMMYFUNCTION("""COMPUTED_VALUE"""),"ELQ")</f>
        <v>ELQ</v>
      </c>
      <c r="C2820" s="120" t="str">
        <f>IFERROR(__xludf.DUMMYFUNCTION("""COMPUTED_VALUE"""),"Gassim Regional Airport")</f>
        <v>Gassim Regional Airport</v>
      </c>
      <c r="D2820" s="120" t="str">
        <f>IFERROR(__xludf.DUMMYFUNCTION("""COMPUTED_VALUE"""),"Saudi Arabia")</f>
        <v>Saudi Arabia</v>
      </c>
      <c r="E2820" s="135"/>
      <c r="F2820" s="31"/>
    </row>
    <row r="2821">
      <c r="A2821" s="134" t="str">
        <f>IFERROR(__xludf.DUMMYFUNCTION("""COMPUTED_VALUE"""),"Gasuke")</f>
        <v>Gasuke</v>
      </c>
      <c r="B2821" s="120" t="str">
        <f>IFERROR(__xludf.DUMMYFUNCTION("""COMPUTED_VALUE"""),"GBC")</f>
        <v>GBC</v>
      </c>
      <c r="C2821" s="120" t="str">
        <f>IFERROR(__xludf.DUMMYFUNCTION("""COMPUTED_VALUE"""),"Gasuke")</f>
        <v>Gasuke</v>
      </c>
      <c r="D2821" s="120" t="str">
        <f>IFERROR(__xludf.DUMMYFUNCTION("""COMPUTED_VALUE"""),"Papua New Guinea")</f>
        <v>Papua New Guinea</v>
      </c>
      <c r="E2821" s="135"/>
      <c r="F2821" s="31"/>
    </row>
    <row r="2822">
      <c r="A2822" s="134" t="str">
        <f>IFERROR(__xludf.DUMMYFUNCTION("""COMPUTED_VALUE"""),"Gatlinburg")</f>
        <v>Gatlinburg</v>
      </c>
      <c r="B2822" s="120" t="str">
        <f>IFERROR(__xludf.DUMMYFUNCTION("""COMPUTED_VALUE"""),"GKT")</f>
        <v>GKT</v>
      </c>
      <c r="C2822" s="120" t="str">
        <f>IFERROR(__xludf.DUMMYFUNCTION("""COMPUTED_VALUE"""),"Gatlinburg")</f>
        <v>Gatlinburg</v>
      </c>
      <c r="D2822" s="120" t="str">
        <f>IFERROR(__xludf.DUMMYFUNCTION("""COMPUTED_VALUE"""),"United States")</f>
        <v>United States</v>
      </c>
      <c r="E2822" s="135"/>
      <c r="F2822" s="31"/>
    </row>
    <row r="2823">
      <c r="A2823" s="134" t="str">
        <f>IFERROR(__xludf.DUMMYFUNCTION("""COMPUTED_VALUE"""),"Gatokae")</f>
        <v>Gatokae</v>
      </c>
      <c r="B2823" s="120" t="str">
        <f>IFERROR(__xludf.DUMMYFUNCTION("""COMPUTED_VALUE"""),"GTA")</f>
        <v>GTA</v>
      </c>
      <c r="C2823" s="120" t="str">
        <f>IFERROR(__xludf.DUMMYFUNCTION("""COMPUTED_VALUE"""),"Gatokae Aerodrom")</f>
        <v>Gatokae Aerodrom</v>
      </c>
      <c r="D2823" s="120" t="str">
        <f>IFERROR(__xludf.DUMMYFUNCTION("""COMPUTED_VALUE"""),"Solomon Islands")</f>
        <v>Solomon Islands</v>
      </c>
      <c r="E2823" s="135"/>
      <c r="F2823" s="31"/>
    </row>
    <row r="2824">
      <c r="A2824" s="134" t="str">
        <f>IFERROR(__xludf.DUMMYFUNCTION("""COMPUTED_VALUE"""),"Gaua")</f>
        <v>Gaua</v>
      </c>
      <c r="B2824" s="120" t="str">
        <f>IFERROR(__xludf.DUMMYFUNCTION("""COMPUTED_VALUE"""),"ZGU")</f>
        <v>ZGU</v>
      </c>
      <c r="C2824" s="120" t="str">
        <f>IFERROR(__xludf.DUMMYFUNCTION("""COMPUTED_VALUE"""),"Gaua")</f>
        <v>Gaua</v>
      </c>
      <c r="D2824" s="120" t="str">
        <f>IFERROR(__xludf.DUMMYFUNCTION("""COMPUTED_VALUE"""),"Vanuatu")</f>
        <v>Vanuatu</v>
      </c>
      <c r="E2824" s="135"/>
      <c r="F2824" s="31"/>
    </row>
    <row r="2825">
      <c r="A2825" s="134" t="str">
        <f>IFERROR(__xludf.DUMMYFUNCTION("""COMPUTED_VALUE"""),"Gavle")</f>
        <v>Gavle</v>
      </c>
      <c r="B2825" s="120" t="str">
        <f>IFERROR(__xludf.DUMMYFUNCTION("""COMPUTED_VALUE"""),"GVX")</f>
        <v>GVX</v>
      </c>
      <c r="C2825" s="120" t="str">
        <f>IFERROR(__xludf.DUMMYFUNCTION("""COMPUTED_VALUE"""),"Sandviken")</f>
        <v>Sandviken</v>
      </c>
      <c r="D2825" s="120" t="str">
        <f>IFERROR(__xludf.DUMMYFUNCTION("""COMPUTED_VALUE"""),"Sweden")</f>
        <v>Sweden</v>
      </c>
      <c r="E2825" s="135"/>
      <c r="F2825" s="31"/>
    </row>
    <row r="2826">
      <c r="A2826" s="134" t="str">
        <f>IFERROR(__xludf.DUMMYFUNCTION("""COMPUTED_VALUE"""),"Gawahati")</f>
        <v>Gawahati</v>
      </c>
      <c r="B2826" s="120" t="str">
        <f>IFERROR(__xludf.DUMMYFUNCTION("""COMPUTED_VALUE"""),"GAU")</f>
        <v>GAU</v>
      </c>
      <c r="C2826" s="120" t="str">
        <f>IFERROR(__xludf.DUMMYFUNCTION("""COMPUTED_VALUE"""),"Borjhar")</f>
        <v>Borjhar</v>
      </c>
      <c r="D2826" s="120" t="str">
        <f>IFERROR(__xludf.DUMMYFUNCTION("""COMPUTED_VALUE"""),"India")</f>
        <v>India</v>
      </c>
      <c r="E2826" s="135"/>
      <c r="F2826" s="31"/>
    </row>
    <row r="2827">
      <c r="A2827" s="134" t="str">
        <f>IFERROR(__xludf.DUMMYFUNCTION("""COMPUTED_VALUE"""),"Gaya")</f>
        <v>Gaya</v>
      </c>
      <c r="B2827" s="120" t="str">
        <f>IFERROR(__xludf.DUMMYFUNCTION("""COMPUTED_VALUE"""),"GAY")</f>
        <v>GAY</v>
      </c>
      <c r="C2827" s="120" t="str">
        <f>IFERROR(__xludf.DUMMYFUNCTION("""COMPUTED_VALUE"""),"Gaya")</f>
        <v>Gaya</v>
      </c>
      <c r="D2827" s="120" t="str">
        <f>IFERROR(__xludf.DUMMYFUNCTION("""COMPUTED_VALUE"""),"India")</f>
        <v>India</v>
      </c>
      <c r="E2827" s="135"/>
      <c r="F2827" s="31"/>
    </row>
    <row r="2828">
      <c r="A2828" s="134" t="str">
        <f>IFERROR(__xludf.DUMMYFUNCTION("""COMPUTED_VALUE"""),"Gaylord")</f>
        <v>Gaylord</v>
      </c>
      <c r="B2828" s="120" t="str">
        <f>IFERROR(__xludf.DUMMYFUNCTION("""COMPUTED_VALUE"""),"GLR")</f>
        <v>GLR</v>
      </c>
      <c r="C2828" s="120" t="str">
        <f>IFERROR(__xludf.DUMMYFUNCTION("""COMPUTED_VALUE"""),"Otsego County")</f>
        <v>Otsego County</v>
      </c>
      <c r="D2828" s="120" t="str">
        <f>IFERROR(__xludf.DUMMYFUNCTION("""COMPUTED_VALUE"""),"United States")</f>
        <v>United States</v>
      </c>
      <c r="E2828" s="135"/>
      <c r="F2828" s="31"/>
    </row>
    <row r="2829">
      <c r="A2829" s="134" t="str">
        <f>IFERROR(__xludf.DUMMYFUNCTION("""COMPUTED_VALUE"""),"Gayndah")</f>
        <v>Gayndah</v>
      </c>
      <c r="B2829" s="120" t="str">
        <f>IFERROR(__xludf.DUMMYFUNCTION("""COMPUTED_VALUE"""),"GAH")</f>
        <v>GAH</v>
      </c>
      <c r="C2829" s="120" t="str">
        <f>IFERROR(__xludf.DUMMYFUNCTION("""COMPUTED_VALUE"""),"Gayndah")</f>
        <v>Gayndah</v>
      </c>
      <c r="D2829" s="120" t="str">
        <f>IFERROR(__xludf.DUMMYFUNCTION("""COMPUTED_VALUE"""),"Australia")</f>
        <v>Australia</v>
      </c>
      <c r="E2829" s="135"/>
      <c r="F2829" s="31"/>
    </row>
    <row r="2830">
      <c r="A2830" s="134" t="str">
        <f>IFERROR(__xludf.DUMMYFUNCTION("""COMPUTED_VALUE"""),"Gaziantep")</f>
        <v>Gaziantep</v>
      </c>
      <c r="B2830" s="120" t="str">
        <f>IFERROR(__xludf.DUMMYFUNCTION("""COMPUTED_VALUE"""),"GZT")</f>
        <v>GZT</v>
      </c>
      <c r="C2830" s="120" t="str">
        <f>IFERROR(__xludf.DUMMYFUNCTION("""COMPUTED_VALUE"""),"Gaziantep")</f>
        <v>Gaziantep</v>
      </c>
      <c r="D2830" s="120" t="str">
        <f>IFERROR(__xludf.DUMMYFUNCTION("""COMPUTED_VALUE"""),"Turkey")</f>
        <v>Turkey</v>
      </c>
      <c r="E2830" s="135"/>
      <c r="F2830" s="31"/>
    </row>
    <row r="2831">
      <c r="A2831" s="134" t="str">
        <f>IFERROR(__xludf.DUMMYFUNCTION("""COMPUTED_VALUE"""),"Gbadolite")</f>
        <v>Gbadolite</v>
      </c>
      <c r="B2831" s="120" t="str">
        <f>IFERROR(__xludf.DUMMYFUNCTION("""COMPUTED_VALUE"""),"BDT")</f>
        <v>BDT</v>
      </c>
      <c r="C2831" s="120" t="str">
        <f>IFERROR(__xludf.DUMMYFUNCTION("""COMPUTED_VALUE"""),"Kisangani")</f>
        <v>Kisangani</v>
      </c>
      <c r="D2831" s="120" t="str">
        <f>IFERROR(__xludf.DUMMYFUNCTION("""COMPUTED_VALUE"""),"Zaire")</f>
        <v>Zaire</v>
      </c>
      <c r="E2831" s="135"/>
      <c r="F2831" s="31"/>
    </row>
    <row r="2832">
      <c r="A2832" s="134" t="str">
        <f>IFERROR(__xludf.DUMMYFUNCTION("""COMPUTED_VALUE"""),"Gbangbatok")</f>
        <v>Gbangbatok</v>
      </c>
      <c r="B2832" s="120" t="str">
        <f>IFERROR(__xludf.DUMMYFUNCTION("""COMPUTED_VALUE"""),"GBK")</f>
        <v>GBK</v>
      </c>
      <c r="C2832" s="120" t="str">
        <f>IFERROR(__xludf.DUMMYFUNCTION("""COMPUTED_VALUE"""),"Gbangbatok")</f>
        <v>Gbangbatok</v>
      </c>
      <c r="D2832" s="120" t="str">
        <f>IFERROR(__xludf.DUMMYFUNCTION("""COMPUTED_VALUE"""),"Sierra Leone")</f>
        <v>Sierra Leone</v>
      </c>
      <c r="E2832" s="135"/>
      <c r="F2832" s="31"/>
    </row>
    <row r="2833">
      <c r="A2833" s="134" t="str">
        <f>IFERROR(__xludf.DUMMYFUNCTION("""COMPUTED_VALUE"""),"Gdansk")</f>
        <v>Gdansk</v>
      </c>
      <c r="B2833" s="120" t="str">
        <f>IFERROR(__xludf.DUMMYFUNCTION("""COMPUTED_VALUE"""),"GDN")</f>
        <v>GDN</v>
      </c>
      <c r="C2833" s="120" t="str">
        <f>IFERROR(__xludf.DUMMYFUNCTION("""COMPUTED_VALUE"""),"Rebiechowo")</f>
        <v>Rebiechowo</v>
      </c>
      <c r="D2833" s="120" t="str">
        <f>IFERROR(__xludf.DUMMYFUNCTION("""COMPUTED_VALUE"""),"Poland")</f>
        <v>Poland</v>
      </c>
      <c r="E2833" s="135"/>
      <c r="F2833" s="31"/>
    </row>
    <row r="2834">
      <c r="A2834" s="134" t="str">
        <f>IFERROR(__xludf.DUMMYFUNCTION("""COMPUTED_VALUE"""),"Gebe")</f>
        <v>Gebe</v>
      </c>
      <c r="B2834" s="120" t="str">
        <f>IFERROR(__xludf.DUMMYFUNCTION("""COMPUTED_VALUE"""),"GEB")</f>
        <v>GEB</v>
      </c>
      <c r="C2834" s="120" t="str">
        <f>IFERROR(__xludf.DUMMYFUNCTION("""COMPUTED_VALUE"""),"Gebe")</f>
        <v>Gebe</v>
      </c>
      <c r="D2834" s="120" t="str">
        <f>IFERROR(__xludf.DUMMYFUNCTION("""COMPUTED_VALUE"""),"Indonesia")</f>
        <v>Indonesia</v>
      </c>
      <c r="E2834" s="135"/>
      <c r="F2834" s="31"/>
    </row>
    <row r="2835">
      <c r="A2835" s="134" t="str">
        <f>IFERROR(__xludf.DUMMYFUNCTION("""COMPUTED_VALUE"""),"Gecitkale")</f>
        <v>Gecitkale</v>
      </c>
      <c r="B2835" s="120" t="str">
        <f>IFERROR(__xludf.DUMMYFUNCTION("""COMPUTED_VALUE"""),"GEC")</f>
        <v>GEC</v>
      </c>
      <c r="C2835" s="120" t="str">
        <f>IFERROR(__xludf.DUMMYFUNCTION("""COMPUTED_VALUE"""),"Gecitkale")</f>
        <v>Gecitkale</v>
      </c>
      <c r="D2835" s="120" t="str">
        <f>IFERROR(__xludf.DUMMYFUNCTION("""COMPUTED_VALUE"""),"Cyprus")</f>
        <v>Cyprus</v>
      </c>
      <c r="E2835" s="135"/>
      <c r="F2835" s="31"/>
    </row>
    <row r="2836">
      <c r="A2836" s="134" t="str">
        <f>IFERROR(__xludf.DUMMYFUNCTION("""COMPUTED_VALUE"""),"Gedaref")</f>
        <v>Gedaref</v>
      </c>
      <c r="B2836" s="120" t="str">
        <f>IFERROR(__xludf.DUMMYFUNCTION("""COMPUTED_VALUE"""),"GSU")</f>
        <v>GSU</v>
      </c>
      <c r="C2836" s="120" t="str">
        <f>IFERROR(__xludf.DUMMYFUNCTION("""COMPUTED_VALUE"""),"Gedaref")</f>
        <v>Gedaref</v>
      </c>
      <c r="D2836" s="120" t="str">
        <f>IFERROR(__xludf.DUMMYFUNCTION("""COMPUTED_VALUE"""),"Sudan")</f>
        <v>Sudan</v>
      </c>
      <c r="E2836" s="135"/>
      <c r="F2836" s="31"/>
    </row>
    <row r="2837">
      <c r="A2837" s="134" t="str">
        <f>IFERROR(__xludf.DUMMYFUNCTION("""COMPUTED_VALUE"""),"Geelong")</f>
        <v>Geelong</v>
      </c>
      <c r="B2837" s="120" t="str">
        <f>IFERROR(__xludf.DUMMYFUNCTION("""COMPUTED_VALUE"""),"GEX")</f>
        <v>GEX</v>
      </c>
      <c r="C2837" s="120" t="str">
        <f>IFERROR(__xludf.DUMMYFUNCTION("""COMPUTED_VALUE"""),"Geelong")</f>
        <v>Geelong</v>
      </c>
      <c r="D2837" s="120" t="str">
        <f>IFERROR(__xludf.DUMMYFUNCTION("""COMPUTED_VALUE"""),"Australia")</f>
        <v>Australia</v>
      </c>
      <c r="E2837" s="135"/>
      <c r="F2837" s="31"/>
    </row>
    <row r="2838">
      <c r="A2838" s="134" t="str">
        <f>IFERROR(__xludf.DUMMYFUNCTION("""COMPUTED_VALUE"""),"Geilenkirchen")</f>
        <v>Geilenkirchen</v>
      </c>
      <c r="B2838" s="120" t="str">
        <f>IFERROR(__xludf.DUMMYFUNCTION("""COMPUTED_VALUE"""),"GKE")</f>
        <v>GKE</v>
      </c>
      <c r="C2838" s="120" t="str">
        <f>IFERROR(__xludf.DUMMYFUNCTION("""COMPUTED_VALUE"""),"Geilenkirchen")</f>
        <v>Geilenkirchen</v>
      </c>
      <c r="D2838" s="120" t="str">
        <f>IFERROR(__xludf.DUMMYFUNCTION("""COMPUTED_VALUE"""),"Germany")</f>
        <v>Germany</v>
      </c>
      <c r="E2838" s="135"/>
      <c r="F2838" s="31"/>
    </row>
    <row r="2839">
      <c r="A2839" s="134" t="str">
        <f>IFERROR(__xludf.DUMMYFUNCTION("""COMPUTED_VALUE"""),"Geilo")</f>
        <v>Geilo</v>
      </c>
      <c r="B2839" s="120" t="str">
        <f>IFERROR(__xludf.DUMMYFUNCTION("""COMPUTED_VALUE"""),"DLD")</f>
        <v>DLD</v>
      </c>
      <c r="C2839" s="120" t="str">
        <f>IFERROR(__xludf.DUMMYFUNCTION("""COMPUTED_VALUE"""),"Dagali Airport")</f>
        <v>Dagali Airport</v>
      </c>
      <c r="D2839" s="120" t="str">
        <f>IFERROR(__xludf.DUMMYFUNCTION("""COMPUTED_VALUE"""),"Norway")</f>
        <v>Norway</v>
      </c>
      <c r="E2839" s="135"/>
      <c r="F2839" s="31"/>
    </row>
    <row r="2840">
      <c r="A2840" s="134" t="str">
        <f>IFERROR(__xludf.DUMMYFUNCTION("""COMPUTED_VALUE"""),"Geita")</f>
        <v>Geita</v>
      </c>
      <c r="B2840" s="120" t="str">
        <f>IFERROR(__xludf.DUMMYFUNCTION("""COMPUTED_VALUE"""),"GIT")</f>
        <v>GIT</v>
      </c>
      <c r="C2840" s="120" t="str">
        <f>IFERROR(__xludf.DUMMYFUNCTION("""COMPUTED_VALUE"""),"Geita")</f>
        <v>Geita</v>
      </c>
      <c r="D2840" s="120" t="str">
        <f>IFERROR(__xludf.DUMMYFUNCTION("""COMPUTED_VALUE"""),"Tanzania")</f>
        <v>Tanzania</v>
      </c>
      <c r="E2840" s="135"/>
      <c r="F2840" s="31"/>
    </row>
    <row r="2841">
      <c r="A2841" s="134" t="str">
        <f>IFERROR(__xludf.DUMMYFUNCTION("""COMPUTED_VALUE"""),"Geladi")</f>
        <v>Geladi</v>
      </c>
      <c r="B2841" s="120" t="str">
        <f>IFERROR(__xludf.DUMMYFUNCTION("""COMPUTED_VALUE"""),"GLC")</f>
        <v>GLC</v>
      </c>
      <c r="C2841" s="120" t="str">
        <f>IFERROR(__xludf.DUMMYFUNCTION("""COMPUTED_VALUE"""),"Geladi")</f>
        <v>Geladi</v>
      </c>
      <c r="D2841" s="120" t="str">
        <f>IFERROR(__xludf.DUMMYFUNCTION("""COMPUTED_VALUE"""),"Ethiopia")</f>
        <v>Ethiopia</v>
      </c>
      <c r="E2841" s="135"/>
      <c r="F2841" s="31"/>
    </row>
    <row r="2842">
      <c r="A2842" s="134" t="str">
        <f>IFERROR(__xludf.DUMMYFUNCTION("""COMPUTED_VALUE"""),"Gelendzik")</f>
        <v>Gelendzik</v>
      </c>
      <c r="B2842" s="120" t="str">
        <f>IFERROR(__xludf.DUMMYFUNCTION("""COMPUTED_VALUE"""),"GDZ")</f>
        <v>GDZ</v>
      </c>
      <c r="C2842" s="120" t="str">
        <f>IFERROR(__xludf.DUMMYFUNCTION("""COMPUTED_VALUE"""),"Gelendzik")</f>
        <v>Gelendzik</v>
      </c>
      <c r="D2842" s="120" t="str">
        <f>IFERROR(__xludf.DUMMYFUNCTION("""COMPUTED_VALUE"""),"Russia")</f>
        <v>Russia</v>
      </c>
      <c r="E2842" s="135"/>
      <c r="F2842" s="31"/>
    </row>
    <row r="2843">
      <c r="A2843" s="134" t="str">
        <f>IFERROR(__xludf.DUMMYFUNCTION("""COMPUTED_VALUE"""),"Gemena")</f>
        <v>Gemena</v>
      </c>
      <c r="B2843" s="120" t="str">
        <f>IFERROR(__xludf.DUMMYFUNCTION("""COMPUTED_VALUE"""),"GMA")</f>
        <v>GMA</v>
      </c>
      <c r="C2843" s="120" t="str">
        <f>IFERROR(__xludf.DUMMYFUNCTION("""COMPUTED_VALUE"""),"Gemena")</f>
        <v>Gemena</v>
      </c>
      <c r="D2843" s="120" t="str">
        <f>IFERROR(__xludf.DUMMYFUNCTION("""COMPUTED_VALUE"""),"Zaire")</f>
        <v>Zaire</v>
      </c>
      <c r="E2843" s="135"/>
      <c r="F2843" s="31"/>
    </row>
    <row r="2844">
      <c r="A2844" s="134" t="str">
        <f>IFERROR(__xludf.DUMMYFUNCTION("""COMPUTED_VALUE"""),"Genda Wuha")</f>
        <v>Genda Wuha</v>
      </c>
      <c r="B2844" s="120" t="str">
        <f>IFERROR(__xludf.DUMMYFUNCTION("""COMPUTED_VALUE"""),"ETE")</f>
        <v>ETE</v>
      </c>
      <c r="C2844" s="120" t="str">
        <f>IFERROR(__xludf.DUMMYFUNCTION("""COMPUTED_VALUE"""),"Genda Wuha")</f>
        <v>Genda Wuha</v>
      </c>
      <c r="D2844" s="120" t="str">
        <f>IFERROR(__xludf.DUMMYFUNCTION("""COMPUTED_VALUE"""),"Ethiopia")</f>
        <v>Ethiopia</v>
      </c>
      <c r="E2844" s="135"/>
      <c r="F2844" s="31"/>
    </row>
    <row r="2845">
      <c r="A2845" s="134" t="str">
        <f>IFERROR(__xludf.DUMMYFUNCTION("""COMPUTED_VALUE"""),"Geneina")</f>
        <v>Geneina</v>
      </c>
      <c r="B2845" s="120" t="str">
        <f>IFERROR(__xludf.DUMMYFUNCTION("""COMPUTED_VALUE"""),"EGN")</f>
        <v>EGN</v>
      </c>
      <c r="C2845" s="120" t="str">
        <f>IFERROR(__xludf.DUMMYFUNCTION("""COMPUTED_VALUE"""),"Geneina")</f>
        <v>Geneina</v>
      </c>
      <c r="D2845" s="120" t="str">
        <f>IFERROR(__xludf.DUMMYFUNCTION("""COMPUTED_VALUE"""),"Sudan")</f>
        <v>Sudan</v>
      </c>
      <c r="E2845" s="135"/>
      <c r="F2845" s="31"/>
    </row>
    <row r="2846">
      <c r="A2846" s="134" t="str">
        <f>IFERROR(__xludf.DUMMYFUNCTION("""COMPUTED_VALUE"""),"General Pico")</f>
        <v>General Pico</v>
      </c>
      <c r="B2846" s="120" t="str">
        <f>IFERROR(__xludf.DUMMYFUNCTION("""COMPUTED_VALUE"""),"GPO")</f>
        <v>GPO</v>
      </c>
      <c r="C2846" s="120" t="str">
        <f>IFERROR(__xludf.DUMMYFUNCTION("""COMPUTED_VALUE"""),"General Pico")</f>
        <v>General Pico</v>
      </c>
      <c r="D2846" s="120" t="str">
        <f>IFERROR(__xludf.DUMMYFUNCTION("""COMPUTED_VALUE"""),"Argentina")</f>
        <v>Argentina</v>
      </c>
      <c r="E2846" s="135"/>
      <c r="F2846" s="31"/>
    </row>
    <row r="2847">
      <c r="A2847" s="134" t="str">
        <f>IFERROR(__xludf.DUMMYFUNCTION("""COMPUTED_VALUE"""),"General Roca")</f>
        <v>General Roca</v>
      </c>
      <c r="B2847" s="120" t="str">
        <f>IFERROR(__xludf.DUMMYFUNCTION("""COMPUTED_VALUE"""),"GNR")</f>
        <v>GNR</v>
      </c>
      <c r="C2847" s="120" t="str">
        <f>IFERROR(__xludf.DUMMYFUNCTION("""COMPUTED_VALUE"""),"General Roca")</f>
        <v>General Roca</v>
      </c>
      <c r="D2847" s="120" t="str">
        <f>IFERROR(__xludf.DUMMYFUNCTION("""COMPUTED_VALUE"""),"Argentina")</f>
        <v>Argentina</v>
      </c>
      <c r="E2847" s="135"/>
      <c r="F2847" s="31"/>
    </row>
    <row r="2848">
      <c r="A2848" s="134" t="str">
        <f>IFERROR(__xludf.DUMMYFUNCTION("""COMPUTED_VALUE"""),"General Santos")</f>
        <v>General Santos</v>
      </c>
      <c r="B2848" s="120" t="str">
        <f>IFERROR(__xludf.DUMMYFUNCTION("""COMPUTED_VALUE"""),"GES")</f>
        <v>GES</v>
      </c>
      <c r="C2848" s="120" t="str">
        <f>IFERROR(__xludf.DUMMYFUNCTION("""COMPUTED_VALUE"""),"Buayan")</f>
        <v>Buayan</v>
      </c>
      <c r="D2848" s="120" t="str">
        <f>IFERROR(__xludf.DUMMYFUNCTION("""COMPUTED_VALUE"""),"Philippines")</f>
        <v>Philippines</v>
      </c>
      <c r="E2848" s="135"/>
      <c r="F2848" s="31"/>
    </row>
    <row r="2849">
      <c r="A2849" s="134" t="str">
        <f>IFERROR(__xludf.DUMMYFUNCTION("""COMPUTED_VALUE"""),"General Villegas")</f>
        <v>General Villegas</v>
      </c>
      <c r="B2849" s="120" t="str">
        <f>IFERROR(__xludf.DUMMYFUNCTION("""COMPUTED_VALUE"""),"VGS")</f>
        <v>VGS</v>
      </c>
      <c r="C2849" s="120" t="str">
        <f>IFERROR(__xludf.DUMMYFUNCTION("""COMPUTED_VALUE"""),"General Villegas")</f>
        <v>General Villegas</v>
      </c>
      <c r="D2849" s="120" t="str">
        <f>IFERROR(__xludf.DUMMYFUNCTION("""COMPUTED_VALUE"""),"Argentina")</f>
        <v>Argentina</v>
      </c>
      <c r="E2849" s="135"/>
      <c r="F2849" s="31"/>
    </row>
    <row r="2850">
      <c r="A2850" s="134" t="str">
        <f>IFERROR(__xludf.DUMMYFUNCTION("""COMPUTED_VALUE"""),"Geneva")</f>
        <v>Geneva</v>
      </c>
      <c r="B2850" s="120" t="str">
        <f>IFERROR(__xludf.DUMMYFUNCTION("""COMPUTED_VALUE"""),"GVA")</f>
        <v>GVA</v>
      </c>
      <c r="C2850" s="120" t="str">
        <f>IFERROR(__xludf.DUMMYFUNCTION("""COMPUTED_VALUE"""),"Geneve-cointrin")</f>
        <v>Geneve-cointrin</v>
      </c>
      <c r="D2850" s="120" t="str">
        <f>IFERROR(__xludf.DUMMYFUNCTION("""COMPUTED_VALUE"""),"Switzerland")</f>
        <v>Switzerland</v>
      </c>
      <c r="E2850" s="135"/>
      <c r="F2850" s="31"/>
    </row>
    <row r="2851">
      <c r="A2851" s="134" t="str">
        <f>IFERROR(__xludf.DUMMYFUNCTION("""COMPUTED_VALUE"""),"Genoa")</f>
        <v>Genoa</v>
      </c>
      <c r="B2851" s="120" t="str">
        <f>IFERROR(__xludf.DUMMYFUNCTION("""COMPUTED_VALUE"""),"GOA")</f>
        <v>GOA</v>
      </c>
      <c r="C2851" s="120" t="str">
        <f>IFERROR(__xludf.DUMMYFUNCTION("""COMPUTED_VALUE"""),"Cristoforo Colombo")</f>
        <v>Cristoforo Colombo</v>
      </c>
      <c r="D2851" s="120" t="str">
        <f>IFERROR(__xludf.DUMMYFUNCTION("""COMPUTED_VALUE"""),"Italy")</f>
        <v>Italy</v>
      </c>
      <c r="E2851" s="135"/>
      <c r="F2851" s="31"/>
    </row>
    <row r="2852">
      <c r="A2852" s="134" t="str">
        <f>IFERROR(__xludf.DUMMYFUNCTION("""COMPUTED_VALUE"""),"Genting")</f>
        <v>Genting</v>
      </c>
      <c r="B2852" s="120" t="str">
        <f>IFERROR(__xludf.DUMMYFUNCTION("""COMPUTED_VALUE"""),"GTB")</f>
        <v>GTB</v>
      </c>
      <c r="C2852" s="120" t="str">
        <f>IFERROR(__xludf.DUMMYFUNCTION("""COMPUTED_VALUE"""),"Genting")</f>
        <v>Genting</v>
      </c>
      <c r="D2852" s="120" t="str">
        <f>IFERROR(__xludf.DUMMYFUNCTION("""COMPUTED_VALUE"""),"Malaysia")</f>
        <v>Malaysia</v>
      </c>
      <c r="E2852" s="135"/>
      <c r="F2852" s="31"/>
    </row>
    <row r="2853">
      <c r="A2853" s="134" t="str">
        <f>IFERROR(__xludf.DUMMYFUNCTION("""COMPUTED_VALUE"""),"Geoje")</f>
        <v>Geoje</v>
      </c>
      <c r="B2853" s="120" t="str">
        <f>IFERROR(__xludf.DUMMYFUNCTION("""COMPUTED_VALUE"""),"JGE")</f>
        <v>JGE</v>
      </c>
      <c r="C2853" s="120" t="str">
        <f>IFERROR(__xludf.DUMMYFUNCTION("""COMPUTED_VALUE"""),"Heliport")</f>
        <v>Heliport</v>
      </c>
      <c r="D2853" s="120" t="str">
        <f>IFERROR(__xludf.DUMMYFUNCTION("""COMPUTED_VALUE"""),"Korea (South)")</f>
        <v>Korea (South)</v>
      </c>
      <c r="E2853" s="135"/>
      <c r="F2853" s="31"/>
    </row>
    <row r="2854">
      <c r="A2854" s="134" t="str">
        <f>IFERROR(__xludf.DUMMYFUNCTION("""COMPUTED_VALUE"""),"George")</f>
        <v>George</v>
      </c>
      <c r="B2854" s="120" t="str">
        <f>IFERROR(__xludf.DUMMYFUNCTION("""COMPUTED_VALUE"""),"GRJ")</f>
        <v>GRJ</v>
      </c>
      <c r="C2854" s="120" t="str">
        <f>IFERROR(__xludf.DUMMYFUNCTION("""COMPUTED_VALUE"""),"George")</f>
        <v>George</v>
      </c>
      <c r="D2854" s="120" t="str">
        <f>IFERROR(__xludf.DUMMYFUNCTION("""COMPUTED_VALUE"""),"South Africa")</f>
        <v>South Africa</v>
      </c>
      <c r="E2854" s="135"/>
      <c r="F2854" s="31"/>
    </row>
    <row r="2855">
      <c r="A2855" s="134" t="str">
        <f>IFERROR(__xludf.DUMMYFUNCTION("""COMPUTED_VALUE"""),"George Town")</f>
        <v>George Town</v>
      </c>
      <c r="B2855" s="120" t="str">
        <f>IFERROR(__xludf.DUMMYFUNCTION("""COMPUTED_VALUE"""),"GGT")</f>
        <v>GGT</v>
      </c>
      <c r="C2855" s="120" t="str">
        <f>IFERROR(__xludf.DUMMYFUNCTION("""COMPUTED_VALUE"""),"Exuma International")</f>
        <v>Exuma International</v>
      </c>
      <c r="D2855" s="120" t="str">
        <f>IFERROR(__xludf.DUMMYFUNCTION("""COMPUTED_VALUE"""),"Bahamas")</f>
        <v>Bahamas</v>
      </c>
      <c r="E2855" s="135"/>
      <c r="F2855" s="31"/>
    </row>
    <row r="2856">
      <c r="A2856" s="134" t="str">
        <f>IFERROR(__xludf.DUMMYFUNCTION("""COMPUTED_VALUE"""),"George Town")</f>
        <v>George Town</v>
      </c>
      <c r="B2856" s="120" t="str">
        <f>IFERROR(__xludf.DUMMYFUNCTION("""COMPUTED_VALUE"""),"GEE")</f>
        <v>GEE</v>
      </c>
      <c r="C2856" s="120" t="str">
        <f>IFERROR(__xludf.DUMMYFUNCTION("""COMPUTED_VALUE"""),"George Town")</f>
        <v>George Town</v>
      </c>
      <c r="D2856" s="120" t="str">
        <f>IFERROR(__xludf.DUMMYFUNCTION("""COMPUTED_VALUE"""),"Australia")</f>
        <v>Australia</v>
      </c>
      <c r="E2856" s="135"/>
      <c r="F2856" s="31"/>
    </row>
    <row r="2857">
      <c r="A2857" s="134" t="str">
        <f>IFERROR(__xludf.DUMMYFUNCTION("""COMPUTED_VALUE"""),"Georgetown")</f>
        <v>Georgetown</v>
      </c>
      <c r="B2857" s="120" t="str">
        <f>IFERROR(__xludf.DUMMYFUNCTION("""COMPUTED_VALUE"""),"GED")</f>
        <v>GED</v>
      </c>
      <c r="C2857" s="120" t="str">
        <f>IFERROR(__xludf.DUMMYFUNCTION("""COMPUTED_VALUE"""),"Sussex County")</f>
        <v>Sussex County</v>
      </c>
      <c r="D2857" s="120" t="str">
        <f>IFERROR(__xludf.DUMMYFUNCTION("""COMPUTED_VALUE"""),"United States")</f>
        <v>United States</v>
      </c>
      <c r="E2857" s="135"/>
      <c r="F2857" s="31"/>
    </row>
    <row r="2858">
      <c r="A2858" s="134" t="str">
        <f>IFERROR(__xludf.DUMMYFUNCTION("""COMPUTED_VALUE"""),"Georgetown")</f>
        <v>Georgetown</v>
      </c>
      <c r="B2858" s="120" t="str">
        <f>IFERROR(__xludf.DUMMYFUNCTION("""COMPUTED_VALUE"""),"GTT")</f>
        <v>GTT</v>
      </c>
      <c r="C2858" s="120" t="str">
        <f>IFERROR(__xludf.DUMMYFUNCTION("""COMPUTED_VALUE"""),"Georgetown")</f>
        <v>Georgetown</v>
      </c>
      <c r="D2858" s="120" t="str">
        <f>IFERROR(__xludf.DUMMYFUNCTION("""COMPUTED_VALUE"""),"Australia")</f>
        <v>Australia</v>
      </c>
      <c r="E2858" s="135"/>
      <c r="F2858" s="31"/>
    </row>
    <row r="2859">
      <c r="A2859" s="134" t="str">
        <f>IFERROR(__xludf.DUMMYFUNCTION("""COMPUTED_VALUE"""),"Georgetown")</f>
        <v>Georgetown</v>
      </c>
      <c r="B2859" s="120" t="str">
        <f>IFERROR(__xludf.DUMMYFUNCTION("""COMPUTED_VALUE"""),"GGE")</f>
        <v>GGE</v>
      </c>
      <c r="C2859" s="120" t="str">
        <f>IFERROR(__xludf.DUMMYFUNCTION("""COMPUTED_VALUE"""),"Georgetown")</f>
        <v>Georgetown</v>
      </c>
      <c r="D2859" s="120" t="str">
        <f>IFERROR(__xludf.DUMMYFUNCTION("""COMPUTED_VALUE"""),"United States")</f>
        <v>United States</v>
      </c>
      <c r="E2859" s="135"/>
      <c r="F2859" s="31"/>
    </row>
    <row r="2860">
      <c r="A2860" s="134" t="str">
        <f>IFERROR(__xludf.DUMMYFUNCTION("""COMPUTED_VALUE"""),"Georgetown, Ascension Island")</f>
        <v>Georgetown, Ascension Island</v>
      </c>
      <c r="B2860" s="120" t="str">
        <f>IFERROR(__xludf.DUMMYFUNCTION("""COMPUTED_VALUE"""),"ASI")</f>
        <v>ASI</v>
      </c>
      <c r="C2860" s="120" t="str">
        <f>IFERROR(__xludf.DUMMYFUNCTION("""COMPUTED_VALUE"""),"Wideawake Fld")</f>
        <v>Wideawake Fld</v>
      </c>
      <c r="D2860" s="120" t="str">
        <f>IFERROR(__xludf.DUMMYFUNCTION("""COMPUTED_VALUE"""),"St. Helena")</f>
        <v>St. Helena</v>
      </c>
      <c r="E2860" s="135"/>
      <c r="F2860" s="31"/>
    </row>
    <row r="2861">
      <c r="A2861" s="134" t="str">
        <f>IFERROR(__xludf.DUMMYFUNCTION("""COMPUTED_VALUE"""),"Gera")</f>
        <v>Gera</v>
      </c>
      <c r="B2861" s="120" t="str">
        <f>IFERROR(__xludf.DUMMYFUNCTION("""COMPUTED_VALUE"""),"ZGA")</f>
        <v>ZGA</v>
      </c>
      <c r="C2861" s="120" t="str">
        <f>IFERROR(__xludf.DUMMYFUNCTION("""COMPUTED_VALUE"""),"Gera Railway")</f>
        <v>Gera Railway</v>
      </c>
      <c r="D2861" s="120" t="str">
        <f>IFERROR(__xludf.DUMMYFUNCTION("""COMPUTED_VALUE"""),"Germany")</f>
        <v>Germany</v>
      </c>
      <c r="E2861" s="135"/>
      <c r="F2861" s="31"/>
    </row>
    <row r="2862">
      <c r="A2862" s="134" t="str">
        <f>IFERROR(__xludf.DUMMYFUNCTION("""COMPUTED_VALUE"""),"Geraldton")</f>
        <v>Geraldton</v>
      </c>
      <c r="B2862" s="120" t="str">
        <f>IFERROR(__xludf.DUMMYFUNCTION("""COMPUTED_VALUE"""),"YGQ")</f>
        <v>YGQ</v>
      </c>
      <c r="C2862" s="120" t="str">
        <f>IFERROR(__xludf.DUMMYFUNCTION("""COMPUTED_VALUE"""),"Geraldton")</f>
        <v>Geraldton</v>
      </c>
      <c r="D2862" s="120" t="str">
        <f>IFERROR(__xludf.DUMMYFUNCTION("""COMPUTED_VALUE"""),"Canada")</f>
        <v>Canada</v>
      </c>
      <c r="E2862" s="135"/>
      <c r="F2862" s="31"/>
    </row>
    <row r="2863">
      <c r="A2863" s="134" t="str">
        <f>IFERROR(__xludf.DUMMYFUNCTION("""COMPUTED_VALUE"""),"Geraldton")</f>
        <v>Geraldton</v>
      </c>
      <c r="B2863" s="120" t="str">
        <f>IFERROR(__xludf.DUMMYFUNCTION("""COMPUTED_VALUE"""),"GET")</f>
        <v>GET</v>
      </c>
      <c r="C2863" s="120" t="str">
        <f>IFERROR(__xludf.DUMMYFUNCTION("""COMPUTED_VALUE"""),"Geraldton")</f>
        <v>Geraldton</v>
      </c>
      <c r="D2863" s="120" t="str">
        <f>IFERROR(__xludf.DUMMYFUNCTION("""COMPUTED_VALUE"""),"Australia")</f>
        <v>Australia</v>
      </c>
      <c r="E2863" s="135"/>
      <c r="F2863" s="31"/>
    </row>
    <row r="2864">
      <c r="A2864" s="134" t="str">
        <f>IFERROR(__xludf.DUMMYFUNCTION("""COMPUTED_VALUE"""),"Germansen")</f>
        <v>Germansen</v>
      </c>
      <c r="B2864" s="120" t="str">
        <f>IFERROR(__xludf.DUMMYFUNCTION("""COMPUTED_VALUE"""),"YGS")</f>
        <v>YGS</v>
      </c>
      <c r="C2864" s="120" t="str">
        <f>IFERROR(__xludf.DUMMYFUNCTION("""COMPUTED_VALUE"""),"Germansen")</f>
        <v>Germansen</v>
      </c>
      <c r="D2864" s="120" t="str">
        <f>IFERROR(__xludf.DUMMYFUNCTION("""COMPUTED_VALUE"""),"Canada")</f>
        <v>Canada</v>
      </c>
      <c r="E2864" s="135"/>
      <c r="F2864" s="31"/>
    </row>
    <row r="2865">
      <c r="A2865" s="134" t="str">
        <f>IFERROR(__xludf.DUMMYFUNCTION("""COMPUTED_VALUE"""),"Gerona")</f>
        <v>Gerona</v>
      </c>
      <c r="B2865" s="120" t="str">
        <f>IFERROR(__xludf.DUMMYFUNCTION("""COMPUTED_VALUE"""),"GRO")</f>
        <v>GRO</v>
      </c>
      <c r="C2865" s="120" t="str">
        <f>IFERROR(__xludf.DUMMYFUNCTION("""COMPUTED_VALUE"""),"Costa Brava")</f>
        <v>Costa Brava</v>
      </c>
      <c r="D2865" s="120" t="str">
        <f>IFERROR(__xludf.DUMMYFUNCTION("""COMPUTED_VALUE"""),"Spain")</f>
        <v>Spain</v>
      </c>
      <c r="E2865" s="135"/>
      <c r="F2865" s="31"/>
    </row>
    <row r="2866">
      <c r="A2866" s="134" t="str">
        <f>IFERROR(__xludf.DUMMYFUNCTION("""COMPUTED_VALUE"""),"Gethsemani")</f>
        <v>Gethsemani</v>
      </c>
      <c r="B2866" s="120" t="str">
        <f>IFERROR(__xludf.DUMMYFUNCTION("""COMPUTED_VALUE"""),"ZGS")</f>
        <v>ZGS</v>
      </c>
      <c r="C2866" s="120" t="str">
        <f>IFERROR(__xludf.DUMMYFUNCTION("""COMPUTED_VALUE"""),"Gethsemani")</f>
        <v>Gethsemani</v>
      </c>
      <c r="D2866" s="120" t="str">
        <f>IFERROR(__xludf.DUMMYFUNCTION("""COMPUTED_VALUE"""),"Canada")</f>
        <v>Canada</v>
      </c>
      <c r="E2866" s="135"/>
      <c r="F2866" s="31"/>
    </row>
    <row r="2867">
      <c r="A2867" s="134" t="str">
        <f>IFERROR(__xludf.DUMMYFUNCTION("""COMPUTED_VALUE"""),"Gettysburg")</f>
        <v>Gettysburg</v>
      </c>
      <c r="B2867" s="120" t="str">
        <f>IFERROR(__xludf.DUMMYFUNCTION("""COMPUTED_VALUE"""),"GTY")</f>
        <v>GTY</v>
      </c>
      <c r="C2867" s="120" t="str">
        <f>IFERROR(__xludf.DUMMYFUNCTION("""COMPUTED_VALUE"""),"Gettysburg")</f>
        <v>Gettysburg</v>
      </c>
      <c r="D2867" s="120" t="str">
        <f>IFERROR(__xludf.DUMMYFUNCTION("""COMPUTED_VALUE"""),"United States")</f>
        <v>United States</v>
      </c>
      <c r="E2867" s="135"/>
      <c r="F2867" s="31"/>
    </row>
    <row r="2868">
      <c r="A2868" s="134" t="str">
        <f>IFERROR(__xludf.DUMMYFUNCTION("""COMPUTED_VALUE"""),"Geva")</f>
        <v>Geva</v>
      </c>
      <c r="B2868" s="120" t="str">
        <f>IFERROR(__xludf.DUMMYFUNCTION("""COMPUTED_VALUE"""),"GEF")</f>
        <v>GEF</v>
      </c>
      <c r="C2868" s="120" t="str">
        <f>IFERROR(__xludf.DUMMYFUNCTION("""COMPUTED_VALUE"""),"Geva Airstrip")</f>
        <v>Geva Airstrip</v>
      </c>
      <c r="D2868" s="120" t="str">
        <f>IFERROR(__xludf.DUMMYFUNCTION("""COMPUTED_VALUE"""),"Solomon Islands")</f>
        <v>Solomon Islands</v>
      </c>
      <c r="E2868" s="135"/>
      <c r="F2868" s="31"/>
    </row>
    <row r="2869">
      <c r="A2869" s="134" t="str">
        <f>IFERROR(__xludf.DUMMYFUNCTION("""COMPUTED_VALUE"""),"Gewoia")</f>
        <v>Gewoia</v>
      </c>
      <c r="B2869" s="120" t="str">
        <f>IFERROR(__xludf.DUMMYFUNCTION("""COMPUTED_VALUE"""),"GEW")</f>
        <v>GEW</v>
      </c>
      <c r="C2869" s="120" t="str">
        <f>IFERROR(__xludf.DUMMYFUNCTION("""COMPUTED_VALUE"""),"Gewoia")</f>
        <v>Gewoia</v>
      </c>
      <c r="D2869" s="120" t="str">
        <f>IFERROR(__xludf.DUMMYFUNCTION("""COMPUTED_VALUE"""),"Papua New Guinea")</f>
        <v>Papua New Guinea</v>
      </c>
      <c r="E2869" s="135"/>
      <c r="F2869" s="31"/>
    </row>
    <row r="2870">
      <c r="A2870" s="134" t="str">
        <f>IFERROR(__xludf.DUMMYFUNCTION("""COMPUTED_VALUE"""),"Ghadames")</f>
        <v>Ghadames</v>
      </c>
      <c r="B2870" s="120" t="str">
        <f>IFERROR(__xludf.DUMMYFUNCTION("""COMPUTED_VALUE"""),"LTD")</f>
        <v>LTD</v>
      </c>
      <c r="C2870" s="120" t="str">
        <f>IFERROR(__xludf.DUMMYFUNCTION("""COMPUTED_VALUE"""),"Ghadames")</f>
        <v>Ghadames</v>
      </c>
      <c r="D2870" s="120" t="str">
        <f>IFERROR(__xludf.DUMMYFUNCTION("""COMPUTED_VALUE"""),"Libya")</f>
        <v>Libya</v>
      </c>
      <c r="E2870" s="135"/>
      <c r="F2870" s="31"/>
    </row>
    <row r="2871">
      <c r="A2871" s="134" t="str">
        <f>IFERROR(__xludf.DUMMYFUNCTION("""COMPUTED_VALUE"""),"Ghanzi")</f>
        <v>Ghanzi</v>
      </c>
      <c r="B2871" s="120" t="str">
        <f>IFERROR(__xludf.DUMMYFUNCTION("""COMPUTED_VALUE"""),"GNZ")</f>
        <v>GNZ</v>
      </c>
      <c r="C2871" s="120" t="str">
        <f>IFERROR(__xludf.DUMMYFUNCTION("""COMPUTED_VALUE"""),"Ghanzi")</f>
        <v>Ghanzi</v>
      </c>
      <c r="D2871" s="120" t="str">
        <f>IFERROR(__xludf.DUMMYFUNCTION("""COMPUTED_VALUE"""),"Botswana")</f>
        <v>Botswana</v>
      </c>
      <c r="E2871" s="135"/>
      <c r="F2871" s="31"/>
    </row>
    <row r="2872">
      <c r="A2872" s="134" t="str">
        <f>IFERROR(__xludf.DUMMYFUNCTION("""COMPUTED_VALUE"""),"Ghardaia")</f>
        <v>Ghardaia</v>
      </c>
      <c r="B2872" s="120" t="str">
        <f>IFERROR(__xludf.DUMMYFUNCTION("""COMPUTED_VALUE"""),"GHA")</f>
        <v>GHA</v>
      </c>
      <c r="C2872" s="120" t="str">
        <f>IFERROR(__xludf.DUMMYFUNCTION("""COMPUTED_VALUE"""),"Noumerate")</f>
        <v>Noumerate</v>
      </c>
      <c r="D2872" s="120" t="str">
        <f>IFERROR(__xludf.DUMMYFUNCTION("""COMPUTED_VALUE"""),"Algeria")</f>
        <v>Algeria</v>
      </c>
      <c r="E2872" s="135"/>
      <c r="F2872" s="31"/>
    </row>
    <row r="2873">
      <c r="A2873" s="134" t="str">
        <f>IFERROR(__xludf.DUMMYFUNCTION("""COMPUTED_VALUE"""),"Ghat")</f>
        <v>Ghat</v>
      </c>
      <c r="B2873" s="120" t="str">
        <f>IFERROR(__xludf.DUMMYFUNCTION("""COMPUTED_VALUE"""),"GHT")</f>
        <v>GHT</v>
      </c>
      <c r="C2873" s="120" t="str">
        <f>IFERROR(__xludf.DUMMYFUNCTION("""COMPUTED_VALUE"""),"Ghat")</f>
        <v>Ghat</v>
      </c>
      <c r="D2873" s="120" t="str">
        <f>IFERROR(__xludf.DUMMYFUNCTION("""COMPUTED_VALUE"""),"Libya")</f>
        <v>Libya</v>
      </c>
      <c r="E2873" s="135"/>
      <c r="F2873" s="31"/>
    </row>
    <row r="2874">
      <c r="A2874" s="134" t="str">
        <f>IFERROR(__xludf.DUMMYFUNCTION("""COMPUTED_VALUE"""),"Ghazni")</f>
        <v>Ghazni</v>
      </c>
      <c r="B2874" s="120" t="str">
        <f>IFERROR(__xludf.DUMMYFUNCTION("""COMPUTED_VALUE"""),"GZI")</f>
        <v>GZI</v>
      </c>
      <c r="C2874" s="120" t="str">
        <f>IFERROR(__xludf.DUMMYFUNCTION("""COMPUTED_VALUE"""),"Ghazni")</f>
        <v>Ghazni</v>
      </c>
      <c r="D2874" s="120" t="str">
        <f>IFERROR(__xludf.DUMMYFUNCTION("""COMPUTED_VALUE"""),"Afghanistan")</f>
        <v>Afghanistan</v>
      </c>
      <c r="E2874" s="135"/>
      <c r="F2874" s="31"/>
    </row>
    <row r="2875">
      <c r="A2875" s="134" t="str">
        <f>IFERROR(__xludf.DUMMYFUNCTION("""COMPUTED_VALUE"""),"Ghazvin")</f>
        <v>Ghazvin</v>
      </c>
      <c r="B2875" s="120" t="str">
        <f>IFERROR(__xludf.DUMMYFUNCTION("""COMPUTED_VALUE"""),"GZW")</f>
        <v>GZW</v>
      </c>
      <c r="C2875" s="120" t="str">
        <f>IFERROR(__xludf.DUMMYFUNCTION("""COMPUTED_VALUE"""),"Ghazvin")</f>
        <v>Ghazvin</v>
      </c>
      <c r="D2875" s="120" t="str">
        <f>IFERROR(__xludf.DUMMYFUNCTION("""COMPUTED_VALUE"""),"Iran")</f>
        <v>Iran</v>
      </c>
      <c r="E2875" s="135"/>
      <c r="F2875" s="31"/>
    </row>
    <row r="2876">
      <c r="A2876" s="134" t="str">
        <f>IFERROR(__xludf.DUMMYFUNCTION("""COMPUTED_VALUE"""),"Ghent")</f>
        <v>Ghent</v>
      </c>
      <c r="B2876" s="120" t="str">
        <f>IFERROR(__xludf.DUMMYFUNCTION("""COMPUTED_VALUE"""),"GNE")</f>
        <v>GNE</v>
      </c>
      <c r="C2876" s="120" t="str">
        <f>IFERROR(__xludf.DUMMYFUNCTION("""COMPUTED_VALUE"""),"Ghent")</f>
        <v>Ghent</v>
      </c>
      <c r="D2876" s="120" t="str">
        <f>IFERROR(__xludf.DUMMYFUNCTION("""COMPUTED_VALUE"""),"Belgium")</f>
        <v>Belgium</v>
      </c>
      <c r="E2876" s="135"/>
      <c r="F2876" s="31"/>
    </row>
    <row r="2877">
      <c r="A2877" s="134" t="str">
        <f>IFERROR(__xludf.DUMMYFUNCTION("""COMPUTED_VALUE"""),"Gheshm")</f>
        <v>Gheshm</v>
      </c>
      <c r="B2877" s="120" t="str">
        <f>IFERROR(__xludf.DUMMYFUNCTION("""COMPUTED_VALUE"""),"GSM")</f>
        <v>GSM</v>
      </c>
      <c r="C2877" s="120" t="str">
        <f>IFERROR(__xludf.DUMMYFUNCTION("""COMPUTED_VALUE"""),"Gheshm")</f>
        <v>Gheshm</v>
      </c>
      <c r="D2877" s="120" t="str">
        <f>IFERROR(__xludf.DUMMYFUNCTION("""COMPUTED_VALUE"""),"Iran")</f>
        <v>Iran</v>
      </c>
      <c r="E2877" s="135"/>
      <c r="F2877" s="31"/>
    </row>
    <row r="2878">
      <c r="A2878" s="134" t="str">
        <f>IFERROR(__xludf.DUMMYFUNCTION("""COMPUTED_VALUE"""),"Ghimbi")</f>
        <v>Ghimbi</v>
      </c>
      <c r="B2878" s="120" t="str">
        <f>IFERROR(__xludf.DUMMYFUNCTION("""COMPUTED_VALUE"""),"GHD")</f>
        <v>GHD</v>
      </c>
      <c r="C2878" s="120" t="str">
        <f>IFERROR(__xludf.DUMMYFUNCTION("""COMPUTED_VALUE"""),"Ghimbi")</f>
        <v>Ghimbi</v>
      </c>
      <c r="D2878" s="120" t="str">
        <f>IFERROR(__xludf.DUMMYFUNCTION("""COMPUTED_VALUE"""),"Ethiopia")</f>
        <v>Ethiopia</v>
      </c>
      <c r="E2878" s="135"/>
      <c r="F2878" s="31"/>
    </row>
    <row r="2879">
      <c r="A2879" s="134" t="str">
        <f>IFERROR(__xludf.DUMMYFUNCTION("""COMPUTED_VALUE"""),"Ghinnir")</f>
        <v>Ghinnir</v>
      </c>
      <c r="B2879" s="120" t="str">
        <f>IFERROR(__xludf.DUMMYFUNCTION("""COMPUTED_VALUE"""),"GNN")</f>
        <v>GNN</v>
      </c>
      <c r="C2879" s="120" t="str">
        <f>IFERROR(__xludf.DUMMYFUNCTION("""COMPUTED_VALUE"""),"Ghinnir")</f>
        <v>Ghinnir</v>
      </c>
      <c r="D2879" s="120" t="str">
        <f>IFERROR(__xludf.DUMMYFUNCTION("""COMPUTED_VALUE"""),"Ethiopia")</f>
        <v>Ethiopia</v>
      </c>
      <c r="E2879" s="135"/>
      <c r="F2879" s="31"/>
    </row>
    <row r="2880">
      <c r="A2880" s="134" t="str">
        <f>IFERROR(__xludf.DUMMYFUNCTION("""COMPUTED_VALUE"""),"Gibb River")</f>
        <v>Gibb River</v>
      </c>
      <c r="B2880" s="120" t="str">
        <f>IFERROR(__xludf.DUMMYFUNCTION("""COMPUTED_VALUE"""),"GBV")</f>
        <v>GBV</v>
      </c>
      <c r="C2880" s="120" t="str">
        <f>IFERROR(__xludf.DUMMYFUNCTION("""COMPUTED_VALUE"""),"Gibb River")</f>
        <v>Gibb River</v>
      </c>
      <c r="D2880" s="120" t="str">
        <f>IFERROR(__xludf.DUMMYFUNCTION("""COMPUTED_VALUE"""),"Australia")</f>
        <v>Australia</v>
      </c>
      <c r="E2880" s="135"/>
      <c r="F2880" s="31"/>
    </row>
    <row r="2881">
      <c r="A2881" s="134" t="str">
        <f>IFERROR(__xludf.DUMMYFUNCTION("""COMPUTED_VALUE"""),"Gibraltar")</f>
        <v>Gibraltar</v>
      </c>
      <c r="B2881" s="120" t="str">
        <f>IFERROR(__xludf.DUMMYFUNCTION("""COMPUTED_VALUE"""),"GIB")</f>
        <v>GIB</v>
      </c>
      <c r="C2881" s="120" t="str">
        <f>IFERROR(__xludf.DUMMYFUNCTION("""COMPUTED_VALUE"""),"North Front")</f>
        <v>North Front</v>
      </c>
      <c r="D2881" s="120" t="str">
        <f>IFERROR(__xludf.DUMMYFUNCTION("""COMPUTED_VALUE"""),"Gibraltar")</f>
        <v>Gibraltar</v>
      </c>
      <c r="E2881" s="135"/>
      <c r="F2881" s="31"/>
    </row>
    <row r="2882">
      <c r="A2882" s="134" t="str">
        <f>IFERROR(__xludf.DUMMYFUNCTION("""COMPUTED_VALUE"""),"Giebelstadt")</f>
        <v>Giebelstadt</v>
      </c>
      <c r="B2882" s="120" t="str">
        <f>IFERROR(__xludf.DUMMYFUNCTION("""COMPUTED_VALUE"""),"GHF")</f>
        <v>GHF</v>
      </c>
      <c r="C2882" s="120" t="str">
        <f>IFERROR(__xludf.DUMMYFUNCTION("""COMPUTED_VALUE"""),"Giebelstadt")</f>
        <v>Giebelstadt</v>
      </c>
      <c r="D2882" s="120" t="str">
        <f>IFERROR(__xludf.DUMMYFUNCTION("""COMPUTED_VALUE"""),"Germany")</f>
        <v>Germany</v>
      </c>
      <c r="E2882" s="135"/>
      <c r="F2882" s="31"/>
    </row>
    <row r="2883">
      <c r="A2883" s="134" t="str">
        <f>IFERROR(__xludf.DUMMYFUNCTION("""COMPUTED_VALUE"""),"Gilgal")</f>
        <v>Gilgal</v>
      </c>
      <c r="B2883" s="120" t="str">
        <f>IFERROR(__xludf.DUMMYFUNCTION("""COMPUTED_VALUE"""),"GGL")</f>
        <v>GGL</v>
      </c>
      <c r="C2883" s="120" t="str">
        <f>IFERROR(__xludf.DUMMYFUNCTION("""COMPUTED_VALUE"""),"Gilgal")</f>
        <v>Gilgal</v>
      </c>
      <c r="D2883" s="120" t="str">
        <f>IFERROR(__xludf.DUMMYFUNCTION("""COMPUTED_VALUE"""),"Colombia")</f>
        <v>Colombia</v>
      </c>
      <c r="E2883" s="135"/>
      <c r="F2883" s="31"/>
    </row>
    <row r="2884">
      <c r="A2884" s="134" t="str">
        <f>IFERROR(__xludf.DUMMYFUNCTION("""COMPUTED_VALUE"""),"Gilgit")</f>
        <v>Gilgit</v>
      </c>
      <c r="B2884" s="120" t="str">
        <f>IFERROR(__xludf.DUMMYFUNCTION("""COMPUTED_VALUE"""),"GIL")</f>
        <v>GIL</v>
      </c>
      <c r="C2884" s="120" t="str">
        <f>IFERROR(__xludf.DUMMYFUNCTION("""COMPUTED_VALUE"""),"Gilgit")</f>
        <v>Gilgit</v>
      </c>
      <c r="D2884" s="120" t="str">
        <f>IFERROR(__xludf.DUMMYFUNCTION("""COMPUTED_VALUE"""),"Pakistan")</f>
        <v>Pakistan</v>
      </c>
      <c r="E2884" s="135"/>
      <c r="F2884" s="31"/>
    </row>
    <row r="2885">
      <c r="A2885" s="134" t="str">
        <f>IFERROR(__xludf.DUMMYFUNCTION("""COMPUTED_VALUE"""),"Gillam")</f>
        <v>Gillam</v>
      </c>
      <c r="B2885" s="120" t="str">
        <f>IFERROR(__xludf.DUMMYFUNCTION("""COMPUTED_VALUE"""),"YGX")</f>
        <v>YGX</v>
      </c>
      <c r="C2885" s="120" t="str">
        <f>IFERROR(__xludf.DUMMYFUNCTION("""COMPUTED_VALUE"""),"Gillam")</f>
        <v>Gillam</v>
      </c>
      <c r="D2885" s="120" t="str">
        <f>IFERROR(__xludf.DUMMYFUNCTION("""COMPUTED_VALUE"""),"Canada")</f>
        <v>Canada</v>
      </c>
      <c r="E2885" s="135"/>
      <c r="F2885" s="31"/>
    </row>
    <row r="2886">
      <c r="A2886" s="134" t="str">
        <f>IFERROR(__xludf.DUMMYFUNCTION("""COMPUTED_VALUE"""),"Gillette")</f>
        <v>Gillette</v>
      </c>
      <c r="B2886" s="120" t="str">
        <f>IFERROR(__xludf.DUMMYFUNCTION("""COMPUTED_VALUE"""),"GCC")</f>
        <v>GCC</v>
      </c>
      <c r="C2886" s="120" t="str">
        <f>IFERROR(__xludf.DUMMYFUNCTION("""COMPUTED_VALUE"""),"Campbell County")</f>
        <v>Campbell County</v>
      </c>
      <c r="D2886" s="120" t="str">
        <f>IFERROR(__xludf.DUMMYFUNCTION("""COMPUTED_VALUE"""),"United States")</f>
        <v>United States</v>
      </c>
      <c r="E2886" s="135"/>
      <c r="F2886" s="31"/>
    </row>
    <row r="2887">
      <c r="A2887" s="134" t="str">
        <f>IFERROR(__xludf.DUMMYFUNCTION("""COMPUTED_VALUE"""),"Gillies Bay")</f>
        <v>Gillies Bay</v>
      </c>
      <c r="B2887" s="120" t="str">
        <f>IFERROR(__xludf.DUMMYFUNCTION("""COMPUTED_VALUE"""),"YGB")</f>
        <v>YGB</v>
      </c>
      <c r="C2887" s="120" t="str">
        <f>IFERROR(__xludf.DUMMYFUNCTION("""COMPUTED_VALUE"""),"Gillies Bay")</f>
        <v>Gillies Bay</v>
      </c>
      <c r="D2887" s="120" t="str">
        <f>IFERROR(__xludf.DUMMYFUNCTION("""COMPUTED_VALUE"""),"Canada")</f>
        <v>Canada</v>
      </c>
      <c r="E2887" s="135"/>
      <c r="F2887" s="31"/>
    </row>
    <row r="2888">
      <c r="A2888" s="134" t="str">
        <f>IFERROR(__xludf.DUMMYFUNCTION("""COMPUTED_VALUE"""),"Gimli")</f>
        <v>Gimli</v>
      </c>
      <c r="B2888" s="120" t="str">
        <f>IFERROR(__xludf.DUMMYFUNCTION("""COMPUTED_VALUE"""),"YGM")</f>
        <v>YGM</v>
      </c>
      <c r="C2888" s="120" t="str">
        <f>IFERROR(__xludf.DUMMYFUNCTION("""COMPUTED_VALUE"""),"Gimli")</f>
        <v>Gimli</v>
      </c>
      <c r="D2888" s="120" t="str">
        <f>IFERROR(__xludf.DUMMYFUNCTION("""COMPUTED_VALUE"""),"Canada")</f>
        <v>Canada</v>
      </c>
      <c r="E2888" s="135"/>
      <c r="F2888" s="31"/>
    </row>
    <row r="2889">
      <c r="A2889" s="134" t="str">
        <f>IFERROR(__xludf.DUMMYFUNCTION("""COMPUTED_VALUE"""),"Girardot")</f>
        <v>Girardot</v>
      </c>
      <c r="B2889" s="120" t="str">
        <f>IFERROR(__xludf.DUMMYFUNCTION("""COMPUTED_VALUE"""),"GIR")</f>
        <v>GIR</v>
      </c>
      <c r="C2889" s="120" t="str">
        <f>IFERROR(__xludf.DUMMYFUNCTION("""COMPUTED_VALUE"""),"Girardot")</f>
        <v>Girardot</v>
      </c>
      <c r="D2889" s="120" t="str">
        <f>IFERROR(__xludf.DUMMYFUNCTION("""COMPUTED_VALUE"""),"Colombia")</f>
        <v>Colombia</v>
      </c>
      <c r="E2889" s="135"/>
      <c r="F2889" s="31"/>
    </row>
    <row r="2890">
      <c r="A2890" s="134" t="str">
        <f>IFERROR(__xludf.DUMMYFUNCTION("""COMPUTED_VALUE"""),"Gisborne")</f>
        <v>Gisborne</v>
      </c>
      <c r="B2890" s="120" t="str">
        <f>IFERROR(__xludf.DUMMYFUNCTION("""COMPUTED_VALUE"""),"GIS")</f>
        <v>GIS</v>
      </c>
      <c r="C2890" s="120" t="str">
        <f>IFERROR(__xludf.DUMMYFUNCTION("""COMPUTED_VALUE"""),"Gisborne")</f>
        <v>Gisborne</v>
      </c>
      <c r="D2890" s="120" t="str">
        <f>IFERROR(__xludf.DUMMYFUNCTION("""COMPUTED_VALUE"""),"New Zealand (Aotearoa)")</f>
        <v>New Zealand (Aotearoa)</v>
      </c>
      <c r="E2890" s="135"/>
      <c r="F2890" s="31"/>
    </row>
    <row r="2891">
      <c r="A2891" s="134" t="str">
        <f>IFERROR(__xludf.DUMMYFUNCTION("""COMPUTED_VALUE"""),"Gisenyi")</f>
        <v>Gisenyi</v>
      </c>
      <c r="B2891" s="120" t="str">
        <f>IFERROR(__xludf.DUMMYFUNCTION("""COMPUTED_VALUE"""),"GYI")</f>
        <v>GYI</v>
      </c>
      <c r="C2891" s="120" t="str">
        <f>IFERROR(__xludf.DUMMYFUNCTION("""COMPUTED_VALUE"""),"Gisenyi")</f>
        <v>Gisenyi</v>
      </c>
      <c r="D2891" s="120" t="str">
        <f>IFERROR(__xludf.DUMMYFUNCTION("""COMPUTED_VALUE"""),"Rwanda")</f>
        <v>Rwanda</v>
      </c>
      <c r="E2891" s="135"/>
      <c r="F2891" s="31"/>
    </row>
    <row r="2892">
      <c r="A2892" s="134" t="str">
        <f>IFERROR(__xludf.DUMMYFUNCTION("""COMPUTED_VALUE"""),"Gitega")</f>
        <v>Gitega</v>
      </c>
      <c r="B2892" s="120" t="str">
        <f>IFERROR(__xludf.DUMMYFUNCTION("""COMPUTED_VALUE"""),"GID")</f>
        <v>GID</v>
      </c>
      <c r="C2892" s="120" t="str">
        <f>IFERROR(__xludf.DUMMYFUNCTION("""COMPUTED_VALUE"""),"Gitega")</f>
        <v>Gitega</v>
      </c>
      <c r="D2892" s="120" t="str">
        <f>IFERROR(__xludf.DUMMYFUNCTION("""COMPUTED_VALUE"""),"Burundi")</f>
        <v>Burundi</v>
      </c>
      <c r="E2892" s="135"/>
      <c r="F2892" s="31"/>
    </row>
    <row r="2893">
      <c r="A2893" s="134" t="str">
        <f>IFERROR(__xludf.DUMMYFUNCTION("""COMPUTED_VALUE"""),"Giyani")</f>
        <v>Giyani</v>
      </c>
      <c r="B2893" s="120" t="str">
        <f>IFERROR(__xludf.DUMMYFUNCTION("""COMPUTED_VALUE"""),"GIY")</f>
        <v>GIY</v>
      </c>
      <c r="C2893" s="120" t="str">
        <f>IFERROR(__xludf.DUMMYFUNCTION("""COMPUTED_VALUE"""),"Giyani")</f>
        <v>Giyani</v>
      </c>
      <c r="D2893" s="120" t="str">
        <f>IFERROR(__xludf.DUMMYFUNCTION("""COMPUTED_VALUE"""),"South Africa")</f>
        <v>South Africa</v>
      </c>
      <c r="E2893" s="135"/>
      <c r="F2893" s="31"/>
    </row>
    <row r="2894">
      <c r="A2894" s="134" t="str">
        <f>IFERROR(__xludf.DUMMYFUNCTION("""COMPUTED_VALUE"""),"Gizo")</f>
        <v>Gizo</v>
      </c>
      <c r="B2894" s="120" t="str">
        <f>IFERROR(__xludf.DUMMYFUNCTION("""COMPUTED_VALUE"""),"GZO")</f>
        <v>GZO</v>
      </c>
      <c r="C2894" s="120" t="str">
        <f>IFERROR(__xludf.DUMMYFUNCTION("""COMPUTED_VALUE"""),"Gizo")</f>
        <v>Gizo</v>
      </c>
      <c r="D2894" s="120" t="str">
        <f>IFERROR(__xludf.DUMMYFUNCTION("""COMPUTED_VALUE"""),"Solomon Islands")</f>
        <v>Solomon Islands</v>
      </c>
      <c r="E2894" s="135"/>
      <c r="F2894" s="31"/>
    </row>
    <row r="2895">
      <c r="A2895" s="134" t="str">
        <f>IFERROR(__xludf.DUMMYFUNCTION("""COMPUTED_VALUE"""),"Gjoa Haven")</f>
        <v>Gjoa Haven</v>
      </c>
      <c r="B2895" s="120" t="str">
        <f>IFERROR(__xludf.DUMMYFUNCTION("""COMPUTED_VALUE"""),"YHK")</f>
        <v>YHK</v>
      </c>
      <c r="C2895" s="120" t="str">
        <f>IFERROR(__xludf.DUMMYFUNCTION("""COMPUTED_VALUE"""),"Gjoa Haven")</f>
        <v>Gjoa Haven</v>
      </c>
      <c r="D2895" s="120" t="str">
        <f>IFERROR(__xludf.DUMMYFUNCTION("""COMPUTED_VALUE"""),"Canada")</f>
        <v>Canada</v>
      </c>
      <c r="E2895" s="135"/>
      <c r="F2895" s="31"/>
    </row>
    <row r="2896">
      <c r="A2896" s="134" t="str">
        <f>IFERROR(__xludf.DUMMYFUNCTION("""COMPUTED_VALUE"""),"Gjogur")</f>
        <v>Gjogur</v>
      </c>
      <c r="B2896" s="120" t="str">
        <f>IFERROR(__xludf.DUMMYFUNCTION("""COMPUTED_VALUE"""),"GJR")</f>
        <v>GJR</v>
      </c>
      <c r="C2896" s="120" t="str">
        <f>IFERROR(__xludf.DUMMYFUNCTION("""COMPUTED_VALUE"""),"Gjogur")</f>
        <v>Gjogur</v>
      </c>
      <c r="D2896" s="120" t="str">
        <f>IFERROR(__xludf.DUMMYFUNCTION("""COMPUTED_VALUE"""),"Iceland")</f>
        <v>Iceland</v>
      </c>
      <c r="E2896" s="135"/>
      <c r="F2896" s="31"/>
    </row>
    <row r="2897">
      <c r="A2897" s="134" t="str">
        <f>IFERROR(__xludf.DUMMYFUNCTION("""COMPUTED_VALUE"""),"Gjovik")</f>
        <v>Gjovik</v>
      </c>
      <c r="B2897" s="120" t="str">
        <f>IFERROR(__xludf.DUMMYFUNCTION("""COMPUTED_VALUE"""),"ZYG")</f>
        <v>ZYG</v>
      </c>
      <c r="C2897" s="120" t="str">
        <f>IFERROR(__xludf.DUMMYFUNCTION("""COMPUTED_VALUE"""),"Railway")</f>
        <v>Railway</v>
      </c>
      <c r="D2897" s="120" t="str">
        <f>IFERROR(__xludf.DUMMYFUNCTION("""COMPUTED_VALUE"""),"Norway")</f>
        <v>Norway</v>
      </c>
      <c r="E2897" s="135"/>
      <c r="F2897" s="31"/>
    </row>
    <row r="2898">
      <c r="A2898" s="134" t="str">
        <f>IFERROR(__xludf.DUMMYFUNCTION("""COMPUTED_VALUE"""),"Glacier Creek")</f>
        <v>Glacier Creek</v>
      </c>
      <c r="B2898" s="120" t="str">
        <f>IFERROR(__xludf.DUMMYFUNCTION("""COMPUTED_VALUE"""),"KGZ")</f>
        <v>KGZ</v>
      </c>
      <c r="C2898" s="120" t="str">
        <f>IFERROR(__xludf.DUMMYFUNCTION("""COMPUTED_VALUE"""),"Glacier Creek")</f>
        <v>Glacier Creek</v>
      </c>
      <c r="D2898" s="120" t="str">
        <f>IFERROR(__xludf.DUMMYFUNCTION("""COMPUTED_VALUE"""),"United States")</f>
        <v>United States</v>
      </c>
      <c r="E2898" s="135"/>
      <c r="F2898" s="31"/>
    </row>
    <row r="2899">
      <c r="A2899" s="134" t="str">
        <f>IFERROR(__xludf.DUMMYFUNCTION("""COMPUTED_VALUE"""),"Gladstone")</f>
        <v>Gladstone</v>
      </c>
      <c r="B2899" s="120" t="str">
        <f>IFERROR(__xludf.DUMMYFUNCTION("""COMPUTED_VALUE"""),"GLT")</f>
        <v>GLT</v>
      </c>
      <c r="C2899" s="120" t="str">
        <f>IFERROR(__xludf.DUMMYFUNCTION("""COMPUTED_VALUE"""),"Gladstone")</f>
        <v>Gladstone</v>
      </c>
      <c r="D2899" s="120" t="str">
        <f>IFERROR(__xludf.DUMMYFUNCTION("""COMPUTED_VALUE"""),"Australia")</f>
        <v>Australia</v>
      </c>
      <c r="E2899" s="135"/>
      <c r="F2899" s="31"/>
    </row>
    <row r="2900">
      <c r="A2900" s="134" t="str">
        <f>IFERROR(__xludf.DUMMYFUNCTION("""COMPUTED_VALUE"""),"Gladwin")</f>
        <v>Gladwin</v>
      </c>
      <c r="B2900" s="120" t="str">
        <f>IFERROR(__xludf.DUMMYFUNCTION("""COMPUTED_VALUE"""),"GDW")</f>
        <v>GDW</v>
      </c>
      <c r="C2900" s="120" t="str">
        <f>IFERROR(__xludf.DUMMYFUNCTION("""COMPUTED_VALUE"""),"Gladwin")</f>
        <v>Gladwin</v>
      </c>
      <c r="D2900" s="120" t="str">
        <f>IFERROR(__xludf.DUMMYFUNCTION("""COMPUTED_VALUE"""),"United States")</f>
        <v>United States</v>
      </c>
      <c r="E2900" s="135"/>
      <c r="F2900" s="31"/>
    </row>
    <row r="2901">
      <c r="A2901" s="134" t="str">
        <f>IFERROR(__xludf.DUMMYFUNCTION("""COMPUTED_VALUE"""),"Glasgow")</f>
        <v>Glasgow</v>
      </c>
      <c r="B2901" s="120" t="str">
        <f>IFERROR(__xludf.DUMMYFUNCTION("""COMPUTED_VALUE"""),"GLA")</f>
        <v>GLA</v>
      </c>
      <c r="C2901" s="120" t="str">
        <f>IFERROR(__xludf.DUMMYFUNCTION("""COMPUTED_VALUE"""),"Glasgow International")</f>
        <v>Glasgow International</v>
      </c>
      <c r="D2901" s="120" t="str">
        <f>IFERROR(__xludf.DUMMYFUNCTION("""COMPUTED_VALUE"""),"United Kingdom")</f>
        <v>United Kingdom</v>
      </c>
      <c r="E2901" s="135"/>
      <c r="F2901" s="31"/>
    </row>
    <row r="2902">
      <c r="A2902" s="134" t="str">
        <f>IFERROR(__xludf.DUMMYFUNCTION("""COMPUTED_VALUE"""),"Glasgow")</f>
        <v>Glasgow</v>
      </c>
      <c r="B2902" s="120" t="str">
        <f>IFERROR(__xludf.DUMMYFUNCTION("""COMPUTED_VALUE"""),"PIK")</f>
        <v>PIK</v>
      </c>
      <c r="C2902" s="120" t="str">
        <f>IFERROR(__xludf.DUMMYFUNCTION("""COMPUTED_VALUE"""),"Prestwick")</f>
        <v>Prestwick</v>
      </c>
      <c r="D2902" s="120" t="str">
        <f>IFERROR(__xludf.DUMMYFUNCTION("""COMPUTED_VALUE"""),"United Kingdom")</f>
        <v>United Kingdom</v>
      </c>
      <c r="E2902" s="135"/>
      <c r="F2902" s="31"/>
    </row>
    <row r="2903">
      <c r="A2903" s="134" t="str">
        <f>IFERROR(__xludf.DUMMYFUNCTION("""COMPUTED_VALUE"""),"Glasgow")</f>
        <v>Glasgow</v>
      </c>
      <c r="B2903" s="120" t="str">
        <f>IFERROR(__xludf.DUMMYFUNCTION("""COMPUTED_VALUE"""),"ZGG")</f>
        <v>ZGG</v>
      </c>
      <c r="C2903" s="120" t="str">
        <f>IFERROR(__xludf.DUMMYFUNCTION("""COMPUTED_VALUE"""),"ScotRail")</f>
        <v>ScotRail</v>
      </c>
      <c r="D2903" s="120" t="str">
        <f>IFERROR(__xludf.DUMMYFUNCTION("""COMPUTED_VALUE"""),"United Kingdom")</f>
        <v>United Kingdom</v>
      </c>
      <c r="E2903" s="135"/>
      <c r="F2903" s="31"/>
    </row>
    <row r="2904">
      <c r="A2904" s="134" t="str">
        <f>IFERROR(__xludf.DUMMYFUNCTION("""COMPUTED_VALUE"""),"Glasgow")</f>
        <v>Glasgow</v>
      </c>
      <c r="B2904" s="120" t="str">
        <f>IFERROR(__xludf.DUMMYFUNCTION("""COMPUTED_VALUE"""),"GLW")</f>
        <v>GLW</v>
      </c>
      <c r="C2904" s="120" t="str">
        <f>IFERROR(__xludf.DUMMYFUNCTION("""COMPUTED_VALUE"""),"Municipal")</f>
        <v>Municipal</v>
      </c>
      <c r="D2904" s="120" t="str">
        <f>IFERROR(__xludf.DUMMYFUNCTION("""COMPUTED_VALUE"""),"United States")</f>
        <v>United States</v>
      </c>
      <c r="E2904" s="135"/>
      <c r="F2904" s="31"/>
    </row>
    <row r="2905">
      <c r="A2905" s="134" t="str">
        <f>IFERROR(__xludf.DUMMYFUNCTION("""COMPUTED_VALUE"""),"Glasgow")</f>
        <v>Glasgow</v>
      </c>
      <c r="B2905" s="120" t="str">
        <f>IFERROR(__xludf.DUMMYFUNCTION("""COMPUTED_VALUE"""),"GGW")</f>
        <v>GGW</v>
      </c>
      <c r="C2905" s="120" t="str">
        <f>IFERROR(__xludf.DUMMYFUNCTION("""COMPUTED_VALUE"""),"International")</f>
        <v>International</v>
      </c>
      <c r="D2905" s="120" t="str">
        <f>IFERROR(__xludf.DUMMYFUNCTION("""COMPUTED_VALUE"""),"United States")</f>
        <v>United States</v>
      </c>
      <c r="E2905" s="135"/>
      <c r="F2905" s="31"/>
    </row>
    <row r="2906">
      <c r="A2906" s="134" t="str">
        <f>IFERROR(__xludf.DUMMYFUNCTION("""COMPUTED_VALUE"""),"Glen Innes")</f>
        <v>Glen Innes</v>
      </c>
      <c r="B2906" s="120" t="str">
        <f>IFERROR(__xludf.DUMMYFUNCTION("""COMPUTED_VALUE"""),"GLI")</f>
        <v>GLI</v>
      </c>
      <c r="C2906" s="120" t="str">
        <f>IFERROR(__xludf.DUMMYFUNCTION("""COMPUTED_VALUE"""),"Glen Innes")</f>
        <v>Glen Innes</v>
      </c>
      <c r="D2906" s="120" t="str">
        <f>IFERROR(__xludf.DUMMYFUNCTION("""COMPUTED_VALUE"""),"Australia")</f>
        <v>Australia</v>
      </c>
      <c r="E2906" s="135"/>
      <c r="F2906" s="31"/>
    </row>
    <row r="2907">
      <c r="A2907" s="134" t="str">
        <f>IFERROR(__xludf.DUMMYFUNCTION("""COMPUTED_VALUE"""),"Glendale")</f>
        <v>Glendale</v>
      </c>
      <c r="B2907" s="120" t="str">
        <f>IFERROR(__xludf.DUMMYFUNCTION("""COMPUTED_VALUE"""),"JGX")</f>
        <v>JGX</v>
      </c>
      <c r="C2907" s="120" t="str">
        <f>IFERROR(__xludf.DUMMYFUNCTION("""COMPUTED_VALUE"""),"Heliport")</f>
        <v>Heliport</v>
      </c>
      <c r="D2907" s="120" t="str">
        <f>IFERROR(__xludf.DUMMYFUNCTION("""COMPUTED_VALUE"""),"United States")</f>
        <v>United States</v>
      </c>
      <c r="E2907" s="135"/>
      <c r="F2907" s="31"/>
    </row>
    <row r="2908">
      <c r="A2908" s="134" t="str">
        <f>IFERROR(__xludf.DUMMYFUNCTION("""COMPUTED_VALUE"""),"Glendale")</f>
        <v>Glendale</v>
      </c>
      <c r="B2908" s="120" t="str">
        <f>IFERROR(__xludf.DUMMYFUNCTION("""COMPUTED_VALUE"""),"GWV")</f>
        <v>GWV</v>
      </c>
      <c r="C2908" s="120" t="str">
        <f>IFERROR(__xludf.DUMMYFUNCTION("""COMPUTED_VALUE"""),"Glendale")</f>
        <v>Glendale</v>
      </c>
      <c r="D2908" s="120" t="str">
        <f>IFERROR(__xludf.DUMMYFUNCTION("""COMPUTED_VALUE"""),"United States")</f>
        <v>United States</v>
      </c>
      <c r="E2908" s="135"/>
      <c r="F2908" s="31"/>
    </row>
    <row r="2909">
      <c r="A2909" s="134" t="str">
        <f>IFERROR(__xludf.DUMMYFUNCTION("""COMPUTED_VALUE"""),"Glendive")</f>
        <v>Glendive</v>
      </c>
      <c r="B2909" s="120" t="str">
        <f>IFERROR(__xludf.DUMMYFUNCTION("""COMPUTED_VALUE"""),"GDV")</f>
        <v>GDV</v>
      </c>
      <c r="C2909" s="120" t="str">
        <f>IFERROR(__xludf.DUMMYFUNCTION("""COMPUTED_VALUE"""),"Dawson Community")</f>
        <v>Dawson Community</v>
      </c>
      <c r="D2909" s="120" t="str">
        <f>IFERROR(__xludf.DUMMYFUNCTION("""COMPUTED_VALUE"""),"United States")</f>
        <v>United States</v>
      </c>
      <c r="E2909" s="135"/>
      <c r="F2909" s="31"/>
    </row>
    <row r="2910">
      <c r="A2910" s="134" t="str">
        <f>IFERROR(__xludf.DUMMYFUNCTION("""COMPUTED_VALUE"""),"Glengyle")</f>
        <v>Glengyle</v>
      </c>
      <c r="B2910" s="120" t="str">
        <f>IFERROR(__xludf.DUMMYFUNCTION("""COMPUTED_VALUE"""),"GLG")</f>
        <v>GLG</v>
      </c>
      <c r="C2910" s="120" t="str">
        <f>IFERROR(__xludf.DUMMYFUNCTION("""COMPUTED_VALUE"""),"Glengyle")</f>
        <v>Glengyle</v>
      </c>
      <c r="D2910" s="120" t="str">
        <f>IFERROR(__xludf.DUMMYFUNCTION("""COMPUTED_VALUE"""),"Australia")</f>
        <v>Australia</v>
      </c>
      <c r="E2910" s="135"/>
      <c r="F2910" s="31"/>
    </row>
    <row r="2911">
      <c r="A2911" s="134" t="str">
        <f>IFERROR(__xludf.DUMMYFUNCTION("""COMPUTED_VALUE"""),"Glennallen")</f>
        <v>Glennallen</v>
      </c>
      <c r="B2911" s="120" t="str">
        <f>IFERROR(__xludf.DUMMYFUNCTION("""COMPUTED_VALUE"""),"GLQ")</f>
        <v>GLQ</v>
      </c>
      <c r="C2911" s="120" t="str">
        <f>IFERROR(__xludf.DUMMYFUNCTION("""COMPUTED_VALUE"""),"Glennallen")</f>
        <v>Glennallen</v>
      </c>
      <c r="D2911" s="120" t="str">
        <f>IFERROR(__xludf.DUMMYFUNCTION("""COMPUTED_VALUE"""),"United States")</f>
        <v>United States</v>
      </c>
      <c r="E2911" s="135"/>
      <c r="F2911" s="31"/>
    </row>
    <row r="2912">
      <c r="A2912" s="134" t="str">
        <f>IFERROR(__xludf.DUMMYFUNCTION("""COMPUTED_VALUE"""),"Glenormiston")</f>
        <v>Glenormiston</v>
      </c>
      <c r="B2912" s="120" t="str">
        <f>IFERROR(__xludf.DUMMYFUNCTION("""COMPUTED_VALUE"""),"GLM")</f>
        <v>GLM</v>
      </c>
      <c r="C2912" s="120" t="str">
        <f>IFERROR(__xludf.DUMMYFUNCTION("""COMPUTED_VALUE"""),"Glenormiston")</f>
        <v>Glenormiston</v>
      </c>
      <c r="D2912" s="120" t="str">
        <f>IFERROR(__xludf.DUMMYFUNCTION("""COMPUTED_VALUE"""),"Australia")</f>
        <v>Australia</v>
      </c>
      <c r="E2912" s="135"/>
      <c r="F2912" s="31"/>
    </row>
    <row r="2913">
      <c r="A2913" s="134" t="str">
        <f>IFERROR(__xludf.DUMMYFUNCTION("""COMPUTED_VALUE"""),"Glens Falls")</f>
        <v>Glens Falls</v>
      </c>
      <c r="B2913" s="120" t="str">
        <f>IFERROR(__xludf.DUMMYFUNCTION("""COMPUTED_VALUE"""),"GFL")</f>
        <v>GFL</v>
      </c>
      <c r="C2913" s="120" t="str">
        <f>IFERROR(__xludf.DUMMYFUNCTION("""COMPUTED_VALUE"""),"Warren County")</f>
        <v>Warren County</v>
      </c>
      <c r="D2913" s="120" t="str">
        <f>IFERROR(__xludf.DUMMYFUNCTION("""COMPUTED_VALUE"""),"United States")</f>
        <v>United States</v>
      </c>
      <c r="E2913" s="135"/>
      <c r="F2913" s="31"/>
    </row>
    <row r="2914">
      <c r="A2914" s="134" t="str">
        <f>IFERROR(__xludf.DUMMYFUNCTION("""COMPUTED_VALUE"""),"Glenview")</f>
        <v>Glenview</v>
      </c>
      <c r="B2914" s="120" t="str">
        <f>IFERROR(__xludf.DUMMYFUNCTION("""COMPUTED_VALUE"""),"NBU")</f>
        <v>NBU</v>
      </c>
      <c r="C2914" s="120" t="str">
        <f>IFERROR(__xludf.DUMMYFUNCTION("""COMPUTED_VALUE"""),"NAS")</f>
        <v>NAS</v>
      </c>
      <c r="D2914" s="120" t="str">
        <f>IFERROR(__xludf.DUMMYFUNCTION("""COMPUTED_VALUE"""),"United States")</f>
        <v>United States</v>
      </c>
      <c r="E2914" s="135"/>
      <c r="F2914" s="31"/>
    </row>
    <row r="2915">
      <c r="A2915" s="134" t="str">
        <f>IFERROR(__xludf.DUMMYFUNCTION("""COMPUTED_VALUE"""),"Glenwood Springs")</f>
        <v>Glenwood Springs</v>
      </c>
      <c r="B2915" s="120" t="str">
        <f>IFERROR(__xludf.DUMMYFUNCTION("""COMPUTED_VALUE"""),"GWS")</f>
        <v>GWS</v>
      </c>
      <c r="C2915" s="120" t="str">
        <f>IFERROR(__xludf.DUMMYFUNCTION("""COMPUTED_VALUE"""),"Glenwood Springs")</f>
        <v>Glenwood Springs</v>
      </c>
      <c r="D2915" s="120" t="str">
        <f>IFERROR(__xludf.DUMMYFUNCTION("""COMPUTED_VALUE"""),"United States")</f>
        <v>United States</v>
      </c>
      <c r="E2915" s="135"/>
      <c r="F2915" s="31"/>
    </row>
    <row r="2916">
      <c r="A2916" s="134" t="str">
        <f>IFERROR(__xludf.DUMMYFUNCTION("""COMPUTED_VALUE"""),"Gloucester")</f>
        <v>Gloucester</v>
      </c>
      <c r="B2916" s="120" t="str">
        <f>IFERROR(__xludf.DUMMYFUNCTION("""COMPUTED_VALUE"""),"GLO")</f>
        <v>GLO</v>
      </c>
      <c r="C2916" s="120" t="str">
        <f>IFERROR(__xludf.DUMMYFUNCTION("""COMPUTED_VALUE"""),"Gloucestershire")</f>
        <v>Gloucestershire</v>
      </c>
      <c r="D2916" s="120" t="str">
        <f>IFERROR(__xludf.DUMMYFUNCTION("""COMPUTED_VALUE"""),"United Kingdom")</f>
        <v>United Kingdom</v>
      </c>
      <c r="E2916" s="135"/>
      <c r="F2916" s="31"/>
    </row>
    <row r="2917">
      <c r="A2917" s="134" t="str">
        <f>IFERROR(__xludf.DUMMYFUNCTION("""COMPUTED_VALUE"""),"Glynco")</f>
        <v>Glynco</v>
      </c>
      <c r="B2917" s="120" t="str">
        <f>IFERROR(__xludf.DUMMYFUNCTION("""COMPUTED_VALUE"""),"NEA")</f>
        <v>NEA</v>
      </c>
      <c r="C2917" s="120" t="str">
        <f>IFERROR(__xludf.DUMMYFUNCTION("""COMPUTED_VALUE"""),"Brunswick Golden Isles")</f>
        <v>Brunswick Golden Isles</v>
      </c>
      <c r="D2917" s="120" t="str">
        <f>IFERROR(__xludf.DUMMYFUNCTION("""COMPUTED_VALUE"""),"United States")</f>
        <v>United States</v>
      </c>
      <c r="E2917" s="135"/>
      <c r="F2917" s="31"/>
    </row>
    <row r="2918">
      <c r="A2918" s="134" t="str">
        <f>IFERROR(__xludf.DUMMYFUNCTION("""COMPUTED_VALUE"""),"Gnarowein")</f>
        <v>Gnarowein</v>
      </c>
      <c r="B2918" s="120" t="str">
        <f>IFERROR(__xludf.DUMMYFUNCTION("""COMPUTED_VALUE"""),"GWN")</f>
        <v>GWN</v>
      </c>
      <c r="C2918" s="120" t="str">
        <f>IFERROR(__xludf.DUMMYFUNCTION("""COMPUTED_VALUE"""),"Gnarowein")</f>
        <v>Gnarowein</v>
      </c>
      <c r="D2918" s="120" t="str">
        <f>IFERROR(__xludf.DUMMYFUNCTION("""COMPUTED_VALUE"""),"Papua New Guinea")</f>
        <v>Papua New Guinea</v>
      </c>
      <c r="E2918" s="135"/>
      <c r="F2918" s="31"/>
    </row>
    <row r="2919">
      <c r="A2919" s="134" t="str">
        <f>IFERROR(__xludf.DUMMYFUNCTION("""COMPUTED_VALUE"""),"Goa")</f>
        <v>Goa</v>
      </c>
      <c r="B2919" s="120" t="str">
        <f>IFERROR(__xludf.DUMMYFUNCTION("""COMPUTED_VALUE"""),"GOI")</f>
        <v>GOI</v>
      </c>
      <c r="C2919" s="120" t="str">
        <f>IFERROR(__xludf.DUMMYFUNCTION("""COMPUTED_VALUE"""),"Dabolim")</f>
        <v>Dabolim</v>
      </c>
      <c r="D2919" s="120" t="str">
        <f>IFERROR(__xludf.DUMMYFUNCTION("""COMPUTED_VALUE"""),"India")</f>
        <v>India</v>
      </c>
      <c r="E2919" s="135"/>
      <c r="F2919" s="31"/>
    </row>
    <row r="2920">
      <c r="A2920" s="134" t="str">
        <f>IFERROR(__xludf.DUMMYFUNCTION("""COMPUTED_VALUE"""),"Goba")</f>
        <v>Goba</v>
      </c>
      <c r="B2920" s="120" t="str">
        <f>IFERROR(__xludf.DUMMYFUNCTION("""COMPUTED_VALUE"""),"GOB")</f>
        <v>GOB</v>
      </c>
      <c r="C2920" s="120" t="str">
        <f>IFERROR(__xludf.DUMMYFUNCTION("""COMPUTED_VALUE"""),"Goba")</f>
        <v>Goba</v>
      </c>
      <c r="D2920" s="120" t="str">
        <f>IFERROR(__xludf.DUMMYFUNCTION("""COMPUTED_VALUE"""),"Ethiopia")</f>
        <v>Ethiopia</v>
      </c>
      <c r="E2920" s="135"/>
      <c r="F2920" s="31"/>
    </row>
    <row r="2921">
      <c r="A2921" s="134" t="str">
        <f>IFERROR(__xludf.DUMMYFUNCTION("""COMPUTED_VALUE"""),"Gobabis")</f>
        <v>Gobabis</v>
      </c>
      <c r="B2921" s="120" t="str">
        <f>IFERROR(__xludf.DUMMYFUNCTION("""COMPUTED_VALUE"""),"GOG")</f>
        <v>GOG</v>
      </c>
      <c r="C2921" s="120" t="str">
        <f>IFERROR(__xludf.DUMMYFUNCTION("""COMPUTED_VALUE"""),"Gobabis")</f>
        <v>Gobabis</v>
      </c>
      <c r="D2921" s="120" t="str">
        <f>IFERROR(__xludf.DUMMYFUNCTION("""COMPUTED_VALUE"""),"Namibia")</f>
        <v>Namibia</v>
      </c>
      <c r="E2921" s="135"/>
      <c r="F2921" s="31"/>
    </row>
    <row r="2922">
      <c r="A2922" s="134" t="str">
        <f>IFERROR(__xludf.DUMMYFUNCTION("""COMPUTED_VALUE"""),"Gobernador Gregores")</f>
        <v>Gobernador Gregores</v>
      </c>
      <c r="B2922" s="120" t="str">
        <f>IFERROR(__xludf.DUMMYFUNCTION("""COMPUTED_VALUE"""),"GGS")</f>
        <v>GGS</v>
      </c>
      <c r="C2922" s="120" t="str">
        <f>IFERROR(__xludf.DUMMYFUNCTION("""COMPUTED_VALUE"""),"Gobernador Gregores")</f>
        <v>Gobernador Gregores</v>
      </c>
      <c r="D2922" s="120" t="str">
        <f>IFERROR(__xludf.DUMMYFUNCTION("""COMPUTED_VALUE"""),"Argentina")</f>
        <v>Argentina</v>
      </c>
      <c r="E2922" s="135"/>
      <c r="F2922" s="31"/>
    </row>
    <row r="2923">
      <c r="A2923" s="134" t="str">
        <f>IFERROR(__xludf.DUMMYFUNCTION("""COMPUTED_VALUE"""),"Gode/Iddidole")</f>
        <v>Gode/Iddidole</v>
      </c>
      <c r="B2923" s="120" t="str">
        <f>IFERROR(__xludf.DUMMYFUNCTION("""COMPUTED_VALUE"""),"GDE")</f>
        <v>GDE</v>
      </c>
      <c r="C2923" s="120" t="str">
        <f>IFERROR(__xludf.DUMMYFUNCTION("""COMPUTED_VALUE"""),"Gode/Iddidole")</f>
        <v>Gode/Iddidole</v>
      </c>
      <c r="D2923" s="120" t="str">
        <f>IFERROR(__xludf.DUMMYFUNCTION("""COMPUTED_VALUE"""),"Ethiopia")</f>
        <v>Ethiopia</v>
      </c>
      <c r="E2923" s="135"/>
      <c r="F2923" s="31"/>
    </row>
    <row r="2924">
      <c r="A2924" s="134" t="str">
        <f>IFERROR(__xludf.DUMMYFUNCTION("""COMPUTED_VALUE"""),"Gods Narrows")</f>
        <v>Gods Narrows</v>
      </c>
      <c r="B2924" s="120" t="str">
        <f>IFERROR(__xludf.DUMMYFUNCTION("""COMPUTED_VALUE"""),"YGO")</f>
        <v>YGO</v>
      </c>
      <c r="C2924" s="120" t="str">
        <f>IFERROR(__xludf.DUMMYFUNCTION("""COMPUTED_VALUE"""),"Gods Narrows")</f>
        <v>Gods Narrows</v>
      </c>
      <c r="D2924" s="120" t="str">
        <f>IFERROR(__xludf.DUMMYFUNCTION("""COMPUTED_VALUE"""),"Canada")</f>
        <v>Canada</v>
      </c>
      <c r="E2924" s="135"/>
      <c r="F2924" s="31"/>
    </row>
    <row r="2925">
      <c r="A2925" s="134" t="str">
        <f>IFERROR(__xludf.DUMMYFUNCTION("""COMPUTED_VALUE"""),"Gods River")</f>
        <v>Gods River</v>
      </c>
      <c r="B2925" s="120" t="str">
        <f>IFERROR(__xludf.DUMMYFUNCTION("""COMPUTED_VALUE"""),"ZGI")</f>
        <v>ZGI</v>
      </c>
      <c r="C2925" s="120" t="str">
        <f>IFERROR(__xludf.DUMMYFUNCTION("""COMPUTED_VALUE"""),"Gods River")</f>
        <v>Gods River</v>
      </c>
      <c r="D2925" s="120" t="str">
        <f>IFERROR(__xludf.DUMMYFUNCTION("""COMPUTED_VALUE"""),"Canada")</f>
        <v>Canada</v>
      </c>
      <c r="E2925" s="135"/>
      <c r="F2925" s="31"/>
    </row>
    <row r="2926">
      <c r="A2926" s="134" t="str">
        <f>IFERROR(__xludf.DUMMYFUNCTION("""COMPUTED_VALUE"""),"Goerlitz")</f>
        <v>Goerlitz</v>
      </c>
      <c r="B2926" s="120" t="str">
        <f>IFERROR(__xludf.DUMMYFUNCTION("""COMPUTED_VALUE"""),"ZGE")</f>
        <v>ZGE</v>
      </c>
      <c r="C2926" s="120" t="str">
        <f>IFERROR(__xludf.DUMMYFUNCTION("""COMPUTED_VALUE"""),"Goerlitz Railway")</f>
        <v>Goerlitz Railway</v>
      </c>
      <c r="D2926" s="120" t="str">
        <f>IFERROR(__xludf.DUMMYFUNCTION("""COMPUTED_VALUE"""),"Germany")</f>
        <v>Germany</v>
      </c>
      <c r="E2926" s="135"/>
      <c r="F2926" s="31"/>
    </row>
    <row r="2927">
      <c r="A2927" s="134" t="str">
        <f>IFERROR(__xludf.DUMMYFUNCTION("""COMPUTED_VALUE"""),"Goiania")</f>
        <v>Goiania</v>
      </c>
      <c r="B2927" s="120" t="str">
        <f>IFERROR(__xludf.DUMMYFUNCTION("""COMPUTED_VALUE"""),"GYN")</f>
        <v>GYN</v>
      </c>
      <c r="C2927" s="120" t="str">
        <f>IFERROR(__xludf.DUMMYFUNCTION("""COMPUTED_VALUE"""),"Santa Genoveva")</f>
        <v>Santa Genoveva</v>
      </c>
      <c r="D2927" s="120" t="str">
        <f>IFERROR(__xludf.DUMMYFUNCTION("""COMPUTED_VALUE"""),"Brazil")</f>
        <v>Brazil</v>
      </c>
      <c r="E2927" s="135"/>
      <c r="F2927" s="31"/>
    </row>
    <row r="2928">
      <c r="A2928" s="134" t="str">
        <f>IFERROR(__xludf.DUMMYFUNCTION("""COMPUTED_VALUE"""),"Gol")</f>
        <v>Gol</v>
      </c>
      <c r="B2928" s="120" t="str">
        <f>IFERROR(__xludf.DUMMYFUNCTION("""COMPUTED_VALUE"""),"GLL")</f>
        <v>GLL</v>
      </c>
      <c r="C2928" s="120" t="str">
        <f>IFERROR(__xludf.DUMMYFUNCTION("""COMPUTED_VALUE"""),"Klanten Arpt")</f>
        <v>Klanten Arpt</v>
      </c>
      <c r="D2928" s="120" t="str">
        <f>IFERROR(__xludf.DUMMYFUNCTION("""COMPUTED_VALUE"""),"Norway")</f>
        <v>Norway</v>
      </c>
      <c r="E2928" s="135"/>
      <c r="F2928" s="31"/>
    </row>
    <row r="2929">
      <c r="A2929" s="134" t="str">
        <f>IFERROR(__xludf.DUMMYFUNCTION("""COMPUTED_VALUE"""),"Gold Beach")</f>
        <v>Gold Beach</v>
      </c>
      <c r="B2929" s="120" t="str">
        <f>IFERROR(__xludf.DUMMYFUNCTION("""COMPUTED_VALUE"""),"GOL")</f>
        <v>GOL</v>
      </c>
      <c r="C2929" s="120" t="str">
        <f>IFERROR(__xludf.DUMMYFUNCTION("""COMPUTED_VALUE"""),"State")</f>
        <v>State</v>
      </c>
      <c r="D2929" s="120" t="str">
        <f>IFERROR(__xludf.DUMMYFUNCTION("""COMPUTED_VALUE"""),"United States")</f>
        <v>United States</v>
      </c>
      <c r="E2929" s="135"/>
      <c r="F2929" s="31"/>
    </row>
    <row r="2930">
      <c r="A2930" s="134" t="str">
        <f>IFERROR(__xludf.DUMMYFUNCTION("""COMPUTED_VALUE"""),"Gold Coast")</f>
        <v>Gold Coast</v>
      </c>
      <c r="B2930" s="120" t="str">
        <f>IFERROR(__xludf.DUMMYFUNCTION("""COMPUTED_VALUE"""),"OOL")</f>
        <v>OOL</v>
      </c>
      <c r="C2930" s="120" t="str">
        <f>IFERROR(__xludf.DUMMYFUNCTION("""COMPUTED_VALUE"""),"Gold Coast (Coolangatta)")</f>
        <v>Gold Coast (Coolangatta)</v>
      </c>
      <c r="D2930" s="120" t="str">
        <f>IFERROR(__xludf.DUMMYFUNCTION("""COMPUTED_VALUE"""),"Australia")</f>
        <v>Australia</v>
      </c>
      <c r="E2930" s="135"/>
      <c r="F2930" s="31"/>
    </row>
    <row r="2931">
      <c r="A2931" s="134" t="str">
        <f>IFERROR(__xludf.DUMMYFUNCTION("""COMPUTED_VALUE"""),"Golden Horn")</f>
        <v>Golden Horn</v>
      </c>
      <c r="B2931" s="120" t="str">
        <f>IFERROR(__xludf.DUMMYFUNCTION("""COMPUTED_VALUE"""),"GDH")</f>
        <v>GDH</v>
      </c>
      <c r="C2931" s="120" t="str">
        <f>IFERROR(__xludf.DUMMYFUNCTION("""COMPUTED_VALUE"""),"SPB")</f>
        <v>SPB</v>
      </c>
      <c r="D2931" s="120" t="str">
        <f>IFERROR(__xludf.DUMMYFUNCTION("""COMPUTED_VALUE"""),"United States")</f>
        <v>United States</v>
      </c>
      <c r="E2931" s="135"/>
      <c r="F2931" s="31"/>
    </row>
    <row r="2932">
      <c r="A2932" s="134" t="str">
        <f>IFERROR(__xludf.DUMMYFUNCTION("""COMPUTED_VALUE"""),"Goldsboro")</f>
        <v>Goldsboro</v>
      </c>
      <c r="B2932" s="120" t="str">
        <f>IFERROR(__xludf.DUMMYFUNCTION("""COMPUTED_VALUE"""),"GSB")</f>
        <v>GSB</v>
      </c>
      <c r="C2932" s="120" t="str">
        <f>IFERROR(__xludf.DUMMYFUNCTION("""COMPUTED_VALUE"""),"Seymour Johnson AFB")</f>
        <v>Seymour Johnson AFB</v>
      </c>
      <c r="D2932" s="120" t="str">
        <f>IFERROR(__xludf.DUMMYFUNCTION("""COMPUTED_VALUE"""),"United States")</f>
        <v>United States</v>
      </c>
      <c r="E2932" s="135"/>
      <c r="F2932" s="31"/>
    </row>
    <row r="2933">
      <c r="A2933" s="134" t="str">
        <f>IFERROR(__xludf.DUMMYFUNCTION("""COMPUTED_VALUE"""),"Goldsworthy")</f>
        <v>Goldsworthy</v>
      </c>
      <c r="B2933" s="120" t="str">
        <f>IFERROR(__xludf.DUMMYFUNCTION("""COMPUTED_VALUE"""),"GLY")</f>
        <v>GLY</v>
      </c>
      <c r="C2933" s="120" t="str">
        <f>IFERROR(__xludf.DUMMYFUNCTION("""COMPUTED_VALUE"""),"Goldsworthy")</f>
        <v>Goldsworthy</v>
      </c>
      <c r="D2933" s="120" t="str">
        <f>IFERROR(__xludf.DUMMYFUNCTION("""COMPUTED_VALUE"""),"Australia")</f>
        <v>Australia</v>
      </c>
      <c r="E2933" s="135"/>
      <c r="F2933" s="31"/>
    </row>
    <row r="2934">
      <c r="A2934" s="134" t="str">
        <f>IFERROR(__xludf.DUMMYFUNCTION("""COMPUTED_VALUE"""),"Golfito")</f>
        <v>Golfito</v>
      </c>
      <c r="B2934" s="120" t="str">
        <f>IFERROR(__xludf.DUMMYFUNCTION("""COMPUTED_VALUE"""),"GLF")</f>
        <v>GLF</v>
      </c>
      <c r="C2934" s="120" t="str">
        <f>IFERROR(__xludf.DUMMYFUNCTION("""COMPUTED_VALUE"""),"Golfito")</f>
        <v>Golfito</v>
      </c>
      <c r="D2934" s="120" t="str">
        <f>IFERROR(__xludf.DUMMYFUNCTION("""COMPUTED_VALUE"""),"Costa Rica")</f>
        <v>Costa Rica</v>
      </c>
      <c r="E2934" s="135"/>
      <c r="F2934" s="31"/>
    </row>
    <row r="2935">
      <c r="A2935" s="134" t="str">
        <f>IFERROR(__xludf.DUMMYFUNCTION("""COMPUTED_VALUE"""),"Golmud")</f>
        <v>Golmud</v>
      </c>
      <c r="B2935" s="120" t="str">
        <f>IFERROR(__xludf.DUMMYFUNCTION("""COMPUTED_VALUE"""),"GOQ")</f>
        <v>GOQ</v>
      </c>
      <c r="C2935" s="120" t="str">
        <f>IFERROR(__xludf.DUMMYFUNCTION("""COMPUTED_VALUE"""),"Golmud")</f>
        <v>Golmud</v>
      </c>
      <c r="D2935" s="120" t="str">
        <f>IFERROR(__xludf.DUMMYFUNCTION("""COMPUTED_VALUE"""),"China")</f>
        <v>China</v>
      </c>
      <c r="E2935" s="135"/>
      <c r="F2935" s="31"/>
    </row>
    <row r="2936">
      <c r="A2936" s="134" t="str">
        <f>IFERROR(__xludf.DUMMYFUNCTION("""COMPUTED_VALUE"""),"Golovin")</f>
        <v>Golovin</v>
      </c>
      <c r="B2936" s="120" t="str">
        <f>IFERROR(__xludf.DUMMYFUNCTION("""COMPUTED_VALUE"""),"GLV")</f>
        <v>GLV</v>
      </c>
      <c r="C2936" s="120" t="str">
        <f>IFERROR(__xludf.DUMMYFUNCTION("""COMPUTED_VALUE"""),"Golovin")</f>
        <v>Golovin</v>
      </c>
      <c r="D2936" s="120" t="str">
        <f>IFERROR(__xludf.DUMMYFUNCTION("""COMPUTED_VALUE"""),"United States")</f>
        <v>United States</v>
      </c>
      <c r="E2936" s="135"/>
      <c r="F2936" s="31"/>
    </row>
    <row r="2937">
      <c r="A2937" s="134" t="str">
        <f>IFERROR(__xludf.DUMMYFUNCTION("""COMPUTED_VALUE"""),"Goma")</f>
        <v>Goma</v>
      </c>
      <c r="B2937" s="120" t="str">
        <f>IFERROR(__xludf.DUMMYFUNCTION("""COMPUTED_VALUE"""),"GOM")</f>
        <v>GOM</v>
      </c>
      <c r="C2937" s="120" t="str">
        <f>IFERROR(__xludf.DUMMYFUNCTION("""COMPUTED_VALUE"""),"Goma")</f>
        <v>Goma</v>
      </c>
      <c r="D2937" s="120" t="str">
        <f>IFERROR(__xludf.DUMMYFUNCTION("""COMPUTED_VALUE"""),"D. R. Congo")</f>
        <v>D. R. Congo</v>
      </c>
      <c r="E2937" s="135"/>
      <c r="F2937" s="31"/>
    </row>
    <row r="2938">
      <c r="A2938" s="134" t="str">
        <f>IFERROR(__xludf.DUMMYFUNCTION("""COMPUTED_VALUE"""),"Gomel")</f>
        <v>Gomel</v>
      </c>
      <c r="B2938" s="120" t="str">
        <f>IFERROR(__xludf.DUMMYFUNCTION("""COMPUTED_VALUE"""),"GME")</f>
        <v>GME</v>
      </c>
      <c r="C2938" s="120" t="str">
        <f>IFERROR(__xludf.DUMMYFUNCTION("""COMPUTED_VALUE"""),"Gomel")</f>
        <v>Gomel</v>
      </c>
      <c r="D2938" s="120" t="str">
        <f>IFERROR(__xludf.DUMMYFUNCTION("""COMPUTED_VALUE"""),"Belarus")</f>
        <v>Belarus</v>
      </c>
      <c r="E2938" s="135"/>
      <c r="F2938" s="31"/>
    </row>
    <row r="2939">
      <c r="A2939" s="134" t="str">
        <f>IFERROR(__xludf.DUMMYFUNCTION("""COMPUTED_VALUE"""),"Gonalia")</f>
        <v>Gonalia</v>
      </c>
      <c r="B2939" s="120" t="str">
        <f>IFERROR(__xludf.DUMMYFUNCTION("""COMPUTED_VALUE"""),"GOE")</f>
        <v>GOE</v>
      </c>
      <c r="C2939" s="120" t="str">
        <f>IFERROR(__xludf.DUMMYFUNCTION("""COMPUTED_VALUE"""),"Gonalia")</f>
        <v>Gonalia</v>
      </c>
      <c r="D2939" s="120" t="str">
        <f>IFERROR(__xludf.DUMMYFUNCTION("""COMPUTED_VALUE"""),"Papua New Guinea")</f>
        <v>Papua New Guinea</v>
      </c>
      <c r="E2939" s="135"/>
      <c r="F2939" s="31"/>
    </row>
    <row r="2940">
      <c r="A2940" s="134" t="str">
        <f>IFERROR(__xludf.DUMMYFUNCTION("""COMPUTED_VALUE"""),"Gondar")</f>
        <v>Gondar</v>
      </c>
      <c r="B2940" s="120" t="str">
        <f>IFERROR(__xludf.DUMMYFUNCTION("""COMPUTED_VALUE"""),"GDQ")</f>
        <v>GDQ</v>
      </c>
      <c r="C2940" s="120" t="str">
        <f>IFERROR(__xludf.DUMMYFUNCTION("""COMPUTED_VALUE"""),"Gondar")</f>
        <v>Gondar</v>
      </c>
      <c r="D2940" s="120" t="str">
        <f>IFERROR(__xludf.DUMMYFUNCTION("""COMPUTED_VALUE"""),"Ethiopia")</f>
        <v>Ethiopia</v>
      </c>
      <c r="E2940" s="135"/>
      <c r="F2940" s="31"/>
    </row>
    <row r="2941">
      <c r="A2941" s="134" t="str">
        <f>IFERROR(__xludf.DUMMYFUNCTION("""COMPUTED_VALUE"""),"Gooding")</f>
        <v>Gooding</v>
      </c>
      <c r="B2941" s="120" t="str">
        <f>IFERROR(__xludf.DUMMYFUNCTION("""COMPUTED_VALUE"""),"GNG")</f>
        <v>GNG</v>
      </c>
      <c r="C2941" s="120" t="str">
        <f>IFERROR(__xludf.DUMMYFUNCTION("""COMPUTED_VALUE"""),"Gooding")</f>
        <v>Gooding</v>
      </c>
      <c r="D2941" s="120" t="str">
        <f>IFERROR(__xludf.DUMMYFUNCTION("""COMPUTED_VALUE"""),"United States")</f>
        <v>United States</v>
      </c>
      <c r="E2941" s="135"/>
      <c r="F2941" s="31"/>
    </row>
    <row r="2942">
      <c r="A2942" s="134" t="str">
        <f>IFERROR(__xludf.DUMMYFUNCTION("""COMPUTED_VALUE"""),"Goodland")</f>
        <v>Goodland</v>
      </c>
      <c r="B2942" s="120" t="str">
        <f>IFERROR(__xludf.DUMMYFUNCTION("""COMPUTED_VALUE"""),"GLD")</f>
        <v>GLD</v>
      </c>
      <c r="C2942" s="120" t="str">
        <f>IFERROR(__xludf.DUMMYFUNCTION("""COMPUTED_VALUE"""),"Renner Field")</f>
        <v>Renner Field</v>
      </c>
      <c r="D2942" s="120" t="str">
        <f>IFERROR(__xludf.DUMMYFUNCTION("""COMPUTED_VALUE"""),"United States")</f>
        <v>United States</v>
      </c>
      <c r="E2942" s="135"/>
      <c r="F2942" s="31"/>
    </row>
    <row r="2943">
      <c r="A2943" s="134" t="str">
        <f>IFERROR(__xludf.DUMMYFUNCTION("""COMPUTED_VALUE"""),"Goodnews Bay")</f>
        <v>Goodnews Bay</v>
      </c>
      <c r="B2943" s="120" t="str">
        <f>IFERROR(__xludf.DUMMYFUNCTION("""COMPUTED_VALUE"""),"GNU")</f>
        <v>GNU</v>
      </c>
      <c r="C2943" s="120" t="str">
        <f>IFERROR(__xludf.DUMMYFUNCTION("""COMPUTED_VALUE"""),"Goodnews Bay")</f>
        <v>Goodnews Bay</v>
      </c>
      <c r="D2943" s="120" t="str">
        <f>IFERROR(__xludf.DUMMYFUNCTION("""COMPUTED_VALUE"""),"United States")</f>
        <v>United States</v>
      </c>
      <c r="E2943" s="135"/>
      <c r="F2943" s="31"/>
    </row>
    <row r="2944">
      <c r="A2944" s="134" t="str">
        <f>IFERROR(__xludf.DUMMYFUNCTION("""COMPUTED_VALUE"""),"Goodyear")</f>
        <v>Goodyear</v>
      </c>
      <c r="B2944" s="120" t="str">
        <f>IFERROR(__xludf.DUMMYFUNCTION("""COMPUTED_VALUE"""),"GYR")</f>
        <v>GYR</v>
      </c>
      <c r="C2944" s="120" t="str">
        <f>IFERROR(__xludf.DUMMYFUNCTION("""COMPUTED_VALUE"""),"Litchfield")</f>
        <v>Litchfield</v>
      </c>
      <c r="D2944" s="120" t="str">
        <f>IFERROR(__xludf.DUMMYFUNCTION("""COMPUTED_VALUE"""),"United States")</f>
        <v>United States</v>
      </c>
      <c r="E2944" s="135"/>
      <c r="F2944" s="31"/>
    </row>
    <row r="2945">
      <c r="A2945" s="134" t="str">
        <f>IFERROR(__xludf.DUMMYFUNCTION("""COMPUTED_VALUE"""),"Goondiwindi")</f>
        <v>Goondiwindi</v>
      </c>
      <c r="B2945" s="120" t="str">
        <f>IFERROR(__xludf.DUMMYFUNCTION("""COMPUTED_VALUE"""),"GOO")</f>
        <v>GOO</v>
      </c>
      <c r="C2945" s="120" t="str">
        <f>IFERROR(__xludf.DUMMYFUNCTION("""COMPUTED_VALUE"""),"Goondiwindi")</f>
        <v>Goondiwindi</v>
      </c>
      <c r="D2945" s="120" t="str">
        <f>IFERROR(__xludf.DUMMYFUNCTION("""COMPUTED_VALUE"""),"Australia")</f>
        <v>Australia</v>
      </c>
      <c r="E2945" s="135"/>
      <c r="F2945" s="31"/>
    </row>
    <row r="2946">
      <c r="A2946" s="134" t="str">
        <f>IFERROR(__xludf.DUMMYFUNCTION("""COMPUTED_VALUE"""),"Goose Bay")</f>
        <v>Goose Bay</v>
      </c>
      <c r="B2946" s="120" t="str">
        <f>IFERROR(__xludf.DUMMYFUNCTION("""COMPUTED_VALUE"""),"YYR")</f>
        <v>YYR</v>
      </c>
      <c r="C2946" s="120" t="str">
        <f>IFERROR(__xludf.DUMMYFUNCTION("""COMPUTED_VALUE"""),"Goose Bay")</f>
        <v>Goose Bay</v>
      </c>
      <c r="D2946" s="120" t="str">
        <f>IFERROR(__xludf.DUMMYFUNCTION("""COMPUTED_VALUE"""),"Canada")</f>
        <v>Canada</v>
      </c>
      <c r="E2946" s="135"/>
      <c r="F2946" s="31"/>
    </row>
    <row r="2947">
      <c r="A2947" s="134" t="str">
        <f>IFERROR(__xludf.DUMMYFUNCTION("""COMPUTED_VALUE"""),"Gora")</f>
        <v>Gora</v>
      </c>
      <c r="B2947" s="120" t="str">
        <f>IFERROR(__xludf.DUMMYFUNCTION("""COMPUTED_VALUE"""),"GOC")</f>
        <v>GOC</v>
      </c>
      <c r="C2947" s="120" t="str">
        <f>IFERROR(__xludf.DUMMYFUNCTION("""COMPUTED_VALUE"""),"Gora")</f>
        <v>Gora</v>
      </c>
      <c r="D2947" s="120" t="str">
        <f>IFERROR(__xludf.DUMMYFUNCTION("""COMPUTED_VALUE"""),"Papua New Guinea")</f>
        <v>Papua New Guinea</v>
      </c>
      <c r="E2947" s="135"/>
      <c r="F2947" s="31"/>
    </row>
    <row r="2948">
      <c r="A2948" s="134" t="str">
        <f>IFERROR(__xludf.DUMMYFUNCTION("""COMPUTED_VALUE"""),"Gorakhpur")</f>
        <v>Gorakhpur</v>
      </c>
      <c r="B2948" s="120" t="str">
        <f>IFERROR(__xludf.DUMMYFUNCTION("""COMPUTED_VALUE"""),"GOP")</f>
        <v>GOP</v>
      </c>
      <c r="C2948" s="120" t="str">
        <f>IFERROR(__xludf.DUMMYFUNCTION("""COMPUTED_VALUE"""),"Gorakhpur")</f>
        <v>Gorakhpur</v>
      </c>
      <c r="D2948" s="120" t="str">
        <f>IFERROR(__xludf.DUMMYFUNCTION("""COMPUTED_VALUE"""),"India")</f>
        <v>India</v>
      </c>
      <c r="E2948" s="135"/>
      <c r="F2948" s="31"/>
    </row>
    <row r="2949">
      <c r="A2949" s="134" t="str">
        <f>IFERROR(__xludf.DUMMYFUNCTION("""COMPUTED_VALUE"""),"Gordil")</f>
        <v>Gordil</v>
      </c>
      <c r="B2949" s="120" t="str">
        <f>IFERROR(__xludf.DUMMYFUNCTION("""COMPUTED_VALUE"""),"GDI")</f>
        <v>GDI</v>
      </c>
      <c r="C2949" s="120" t="str">
        <f>IFERROR(__xludf.DUMMYFUNCTION("""COMPUTED_VALUE"""),"Gordil")</f>
        <v>Gordil</v>
      </c>
      <c r="D2949" s="120" t="str">
        <f>IFERROR(__xludf.DUMMYFUNCTION("""COMPUTED_VALUE"""),"Central African Republic")</f>
        <v>Central African Republic</v>
      </c>
      <c r="E2949" s="135"/>
      <c r="F2949" s="31"/>
    </row>
    <row r="2950">
      <c r="A2950" s="134" t="str">
        <f>IFERROR(__xludf.DUMMYFUNCTION("""COMPUTED_VALUE"""),"Gordon")</f>
        <v>Gordon</v>
      </c>
      <c r="B2950" s="120" t="str">
        <f>IFERROR(__xludf.DUMMYFUNCTION("""COMPUTED_VALUE"""),"GRN")</f>
        <v>GRN</v>
      </c>
      <c r="C2950" s="120" t="str">
        <f>IFERROR(__xludf.DUMMYFUNCTION("""COMPUTED_VALUE"""),"Gordon")</f>
        <v>Gordon</v>
      </c>
      <c r="D2950" s="120" t="str">
        <f>IFERROR(__xludf.DUMMYFUNCTION("""COMPUTED_VALUE"""),"United States")</f>
        <v>United States</v>
      </c>
      <c r="E2950" s="135"/>
      <c r="F2950" s="31"/>
    </row>
    <row r="2951">
      <c r="A2951" s="134" t="str">
        <f>IFERROR(__xludf.DUMMYFUNCTION("""COMPUTED_VALUE"""),"Gordon Downs")</f>
        <v>Gordon Downs</v>
      </c>
      <c r="B2951" s="120" t="str">
        <f>IFERROR(__xludf.DUMMYFUNCTION("""COMPUTED_VALUE"""),"GDD")</f>
        <v>GDD</v>
      </c>
      <c r="C2951" s="120" t="str">
        <f>IFERROR(__xludf.DUMMYFUNCTION("""COMPUTED_VALUE"""),"Gordon Downs")</f>
        <v>Gordon Downs</v>
      </c>
      <c r="D2951" s="120" t="str">
        <f>IFERROR(__xludf.DUMMYFUNCTION("""COMPUTED_VALUE"""),"Australia")</f>
        <v>Australia</v>
      </c>
      <c r="E2951" s="135"/>
      <c r="F2951" s="31"/>
    </row>
    <row r="2952">
      <c r="A2952" s="134" t="str">
        <f>IFERROR(__xludf.DUMMYFUNCTION("""COMPUTED_VALUE"""),"Gordonsville")</f>
        <v>Gordonsville</v>
      </c>
      <c r="B2952" s="120" t="str">
        <f>IFERROR(__xludf.DUMMYFUNCTION("""COMPUTED_VALUE"""),"GVE")</f>
        <v>GVE</v>
      </c>
      <c r="C2952" s="120" t="str">
        <f>IFERROR(__xludf.DUMMYFUNCTION("""COMPUTED_VALUE"""),"Municipal")</f>
        <v>Municipal</v>
      </c>
      <c r="D2952" s="120" t="str">
        <f>IFERROR(__xludf.DUMMYFUNCTION("""COMPUTED_VALUE"""),"United States")</f>
        <v>United States</v>
      </c>
      <c r="E2952" s="135"/>
      <c r="F2952" s="31"/>
    </row>
    <row r="2953">
      <c r="A2953" s="134" t="str">
        <f>IFERROR(__xludf.DUMMYFUNCTION("""COMPUTED_VALUE"""),"Gore")</f>
        <v>Gore</v>
      </c>
      <c r="B2953" s="120" t="str">
        <f>IFERROR(__xludf.DUMMYFUNCTION("""COMPUTED_VALUE"""),"GOR")</f>
        <v>GOR</v>
      </c>
      <c r="C2953" s="120" t="str">
        <f>IFERROR(__xludf.DUMMYFUNCTION("""COMPUTED_VALUE"""),"Gore")</f>
        <v>Gore</v>
      </c>
      <c r="D2953" s="120" t="str">
        <f>IFERROR(__xludf.DUMMYFUNCTION("""COMPUTED_VALUE"""),"Ethiopia")</f>
        <v>Ethiopia</v>
      </c>
      <c r="E2953" s="135"/>
      <c r="F2953" s="31"/>
    </row>
    <row r="2954">
      <c r="A2954" s="134" t="str">
        <f>IFERROR(__xludf.DUMMYFUNCTION("""COMPUTED_VALUE"""),"Gore Bay")</f>
        <v>Gore Bay</v>
      </c>
      <c r="B2954" s="120" t="str">
        <f>IFERROR(__xludf.DUMMYFUNCTION("""COMPUTED_VALUE"""),"YZE")</f>
        <v>YZE</v>
      </c>
      <c r="C2954" s="120" t="str">
        <f>IFERROR(__xludf.DUMMYFUNCTION("""COMPUTED_VALUE"""),"Gore Bay")</f>
        <v>Gore Bay</v>
      </c>
      <c r="D2954" s="120" t="str">
        <f>IFERROR(__xludf.DUMMYFUNCTION("""COMPUTED_VALUE"""),"Canada")</f>
        <v>Canada</v>
      </c>
      <c r="E2954" s="135"/>
      <c r="F2954" s="31"/>
    </row>
    <row r="2955">
      <c r="A2955" s="134" t="str">
        <f>IFERROR(__xludf.DUMMYFUNCTION("""COMPUTED_VALUE"""),"Gorgan")</f>
        <v>Gorgan</v>
      </c>
      <c r="B2955" s="120" t="str">
        <f>IFERROR(__xludf.DUMMYFUNCTION("""COMPUTED_VALUE"""),"GBT")</f>
        <v>GBT</v>
      </c>
      <c r="C2955" s="120" t="str">
        <f>IFERROR(__xludf.DUMMYFUNCTION("""COMPUTED_VALUE"""),"Gorgan")</f>
        <v>Gorgan</v>
      </c>
      <c r="D2955" s="120" t="str">
        <f>IFERROR(__xludf.DUMMYFUNCTION("""COMPUTED_VALUE"""),"Iran")</f>
        <v>Iran</v>
      </c>
      <c r="E2955" s="135"/>
      <c r="F2955" s="31"/>
    </row>
    <row r="2956">
      <c r="A2956" s="134" t="str">
        <f>IFERROR(__xludf.DUMMYFUNCTION("""COMPUTED_VALUE"""),"Gorge Harbor")</f>
        <v>Gorge Harbor</v>
      </c>
      <c r="B2956" s="120" t="str">
        <f>IFERROR(__xludf.DUMMYFUNCTION("""COMPUTED_VALUE"""),"YGE")</f>
        <v>YGE</v>
      </c>
      <c r="C2956" s="120" t="str">
        <f>IFERROR(__xludf.DUMMYFUNCTION("""COMPUTED_VALUE"""),"Gorge Harbor")</f>
        <v>Gorge Harbor</v>
      </c>
      <c r="D2956" s="120" t="str">
        <f>IFERROR(__xludf.DUMMYFUNCTION("""COMPUTED_VALUE"""),"Canada")</f>
        <v>Canada</v>
      </c>
      <c r="E2956" s="135"/>
      <c r="F2956" s="31"/>
    </row>
    <row r="2957">
      <c r="A2957" s="134" t="str">
        <f>IFERROR(__xludf.DUMMYFUNCTION("""COMPUTED_VALUE"""),"Gorkha")</f>
        <v>Gorkha</v>
      </c>
      <c r="B2957" s="120" t="str">
        <f>IFERROR(__xludf.DUMMYFUNCTION("""COMPUTED_VALUE"""),"GKH")</f>
        <v>GKH</v>
      </c>
      <c r="C2957" s="120" t="str">
        <f>IFERROR(__xludf.DUMMYFUNCTION("""COMPUTED_VALUE"""),"Gorkha")</f>
        <v>Gorkha</v>
      </c>
      <c r="D2957" s="120" t="str">
        <f>IFERROR(__xludf.DUMMYFUNCTION("""COMPUTED_VALUE"""),"Nepal")</f>
        <v>Nepal</v>
      </c>
      <c r="E2957" s="135"/>
      <c r="F2957" s="31"/>
    </row>
    <row r="2958">
      <c r="A2958" s="134" t="str">
        <f>IFERROR(__xludf.DUMMYFUNCTION("""COMPUTED_VALUE"""),"Gorna Orechovitsa")</f>
        <v>Gorna Orechovitsa</v>
      </c>
      <c r="B2958" s="120" t="str">
        <f>IFERROR(__xludf.DUMMYFUNCTION("""COMPUTED_VALUE"""),"GOZ")</f>
        <v>GOZ</v>
      </c>
      <c r="C2958" s="120" t="str">
        <f>IFERROR(__xludf.DUMMYFUNCTION("""COMPUTED_VALUE"""),"Gorna Orechovitsa")</f>
        <v>Gorna Orechovitsa</v>
      </c>
      <c r="D2958" s="120" t="str">
        <f>IFERROR(__xludf.DUMMYFUNCTION("""COMPUTED_VALUE"""),"Bulgaria")</f>
        <v>Bulgaria</v>
      </c>
      <c r="E2958" s="135"/>
      <c r="F2958" s="31"/>
    </row>
    <row r="2959">
      <c r="A2959" s="134" t="str">
        <f>IFERROR(__xludf.DUMMYFUNCTION("""COMPUTED_VALUE"""),"Goroka")</f>
        <v>Goroka</v>
      </c>
      <c r="B2959" s="120" t="str">
        <f>IFERROR(__xludf.DUMMYFUNCTION("""COMPUTED_VALUE"""),"GKA")</f>
        <v>GKA</v>
      </c>
      <c r="C2959" s="120" t="str">
        <f>IFERROR(__xludf.DUMMYFUNCTION("""COMPUTED_VALUE"""),"Goroka")</f>
        <v>Goroka</v>
      </c>
      <c r="D2959" s="120" t="str">
        <f>IFERROR(__xludf.DUMMYFUNCTION("""COMPUTED_VALUE"""),"Papua New Guinea")</f>
        <v>Papua New Guinea</v>
      </c>
      <c r="E2959" s="135"/>
      <c r="F2959" s="31"/>
    </row>
    <row r="2960">
      <c r="A2960" s="134" t="str">
        <f>IFERROR(__xludf.DUMMYFUNCTION("""COMPUTED_VALUE"""),"Gorom-Gorom")</f>
        <v>Gorom-Gorom</v>
      </c>
      <c r="B2960" s="120" t="str">
        <f>IFERROR(__xludf.DUMMYFUNCTION("""COMPUTED_VALUE"""),"XGG")</f>
        <v>XGG</v>
      </c>
      <c r="C2960" s="120" t="str">
        <f>IFERROR(__xludf.DUMMYFUNCTION("""COMPUTED_VALUE"""),"Gorom-Gorom")</f>
        <v>Gorom-Gorom</v>
      </c>
      <c r="D2960" s="120" t="str">
        <f>IFERROR(__xludf.DUMMYFUNCTION("""COMPUTED_VALUE"""),"Burkina Faso")</f>
        <v>Burkina Faso</v>
      </c>
      <c r="E2960" s="135"/>
      <c r="F2960" s="31"/>
    </row>
    <row r="2961">
      <c r="A2961" s="134" t="str">
        <f>IFERROR(__xludf.DUMMYFUNCTION("""COMPUTED_VALUE"""),"Gorontalo")</f>
        <v>Gorontalo</v>
      </c>
      <c r="B2961" s="120" t="str">
        <f>IFERROR(__xludf.DUMMYFUNCTION("""COMPUTED_VALUE"""),"GTO")</f>
        <v>GTO</v>
      </c>
      <c r="C2961" s="120" t="str">
        <f>IFERROR(__xludf.DUMMYFUNCTION("""COMPUTED_VALUE"""),"Tolotio")</f>
        <v>Tolotio</v>
      </c>
      <c r="D2961" s="120" t="str">
        <f>IFERROR(__xludf.DUMMYFUNCTION("""COMPUTED_VALUE"""),"Indonesia")</f>
        <v>Indonesia</v>
      </c>
      <c r="E2961" s="135"/>
      <c r="F2961" s="31"/>
    </row>
    <row r="2962">
      <c r="A2962" s="134" t="str">
        <f>IFERROR(__xludf.DUMMYFUNCTION("""COMPUTED_VALUE"""),"Gosford")</f>
        <v>Gosford</v>
      </c>
      <c r="B2962" s="120" t="str">
        <f>IFERROR(__xludf.DUMMYFUNCTION("""COMPUTED_VALUE"""),"GOS")</f>
        <v>GOS</v>
      </c>
      <c r="C2962" s="120" t="str">
        <f>IFERROR(__xludf.DUMMYFUNCTION("""COMPUTED_VALUE"""),"Gosford")</f>
        <v>Gosford</v>
      </c>
      <c r="D2962" s="120" t="str">
        <f>IFERROR(__xludf.DUMMYFUNCTION("""COMPUTED_VALUE"""),"Australia")</f>
        <v>Australia</v>
      </c>
      <c r="E2962" s="135"/>
      <c r="F2962" s="31"/>
    </row>
    <row r="2963">
      <c r="A2963" s="134" t="str">
        <f>IFERROR(__xludf.DUMMYFUNCTION("""COMPUTED_VALUE"""),"Goshen")</f>
        <v>Goshen</v>
      </c>
      <c r="B2963" s="120" t="str">
        <f>IFERROR(__xludf.DUMMYFUNCTION("""COMPUTED_VALUE"""),"GSH")</f>
        <v>GSH</v>
      </c>
      <c r="C2963" s="120" t="str">
        <f>IFERROR(__xludf.DUMMYFUNCTION("""COMPUTED_VALUE"""),"Goshen")</f>
        <v>Goshen</v>
      </c>
      <c r="D2963" s="120" t="str">
        <f>IFERROR(__xludf.DUMMYFUNCTION("""COMPUTED_VALUE"""),"United States")</f>
        <v>United States</v>
      </c>
      <c r="E2963" s="135"/>
      <c r="F2963" s="31"/>
    </row>
    <row r="2964">
      <c r="A2964" s="134" t="str">
        <f>IFERROR(__xludf.DUMMYFUNCTION("""COMPUTED_VALUE"""),"Gotha")</f>
        <v>Gotha</v>
      </c>
      <c r="B2964" s="120" t="str">
        <f>IFERROR(__xludf.DUMMYFUNCTION("""COMPUTED_VALUE"""),"ZGO")</f>
        <v>ZGO</v>
      </c>
      <c r="C2964" s="120" t="str">
        <f>IFERROR(__xludf.DUMMYFUNCTION("""COMPUTED_VALUE"""),"Gotha Railway")</f>
        <v>Gotha Railway</v>
      </c>
      <c r="D2964" s="120" t="str">
        <f>IFERROR(__xludf.DUMMYFUNCTION("""COMPUTED_VALUE"""),"Germany")</f>
        <v>Germany</v>
      </c>
      <c r="E2964" s="135"/>
      <c r="F2964" s="31"/>
    </row>
    <row r="2965">
      <c r="A2965" s="134" t="str">
        <f>IFERROR(__xludf.DUMMYFUNCTION("""COMPUTED_VALUE"""),"Gothenburg")</f>
        <v>Gothenburg</v>
      </c>
      <c r="B2965" s="120" t="str">
        <f>IFERROR(__xludf.DUMMYFUNCTION("""COMPUTED_VALUE"""),"XWL")</f>
        <v>XWL</v>
      </c>
      <c r="C2965" s="120" t="str">
        <f>IFERROR(__xludf.DUMMYFUNCTION("""COMPUTED_VALUE"""),"Gothenburg Rail")</f>
        <v>Gothenburg Rail</v>
      </c>
      <c r="D2965" s="120" t="str">
        <f>IFERROR(__xludf.DUMMYFUNCTION("""COMPUTED_VALUE"""),"Sweden")</f>
        <v>Sweden</v>
      </c>
      <c r="E2965" s="135"/>
      <c r="F2965" s="31"/>
    </row>
    <row r="2966">
      <c r="A2966" s="134" t="str">
        <f>IFERROR(__xludf.DUMMYFUNCTION("""COMPUTED_VALUE"""),"Gothenburg")</f>
        <v>Gothenburg</v>
      </c>
      <c r="B2966" s="120" t="str">
        <f>IFERROR(__xludf.DUMMYFUNCTION("""COMPUTED_VALUE"""),"GOT")</f>
        <v>GOT</v>
      </c>
      <c r="C2966" s="120" t="str">
        <f>IFERROR(__xludf.DUMMYFUNCTION("""COMPUTED_VALUE"""),"Landvetter")</f>
        <v>Landvetter</v>
      </c>
      <c r="D2966" s="120" t="str">
        <f>IFERROR(__xludf.DUMMYFUNCTION("""COMPUTED_VALUE"""),"Sweden")</f>
        <v>Sweden</v>
      </c>
      <c r="E2966" s="135"/>
      <c r="F2966" s="31"/>
    </row>
    <row r="2967">
      <c r="A2967" s="134" t="str">
        <f>IFERROR(__xludf.DUMMYFUNCTION("""COMPUTED_VALUE"""),"Gothenburg")</f>
        <v>Gothenburg</v>
      </c>
      <c r="B2967" s="120" t="str">
        <f>IFERROR(__xludf.DUMMYFUNCTION("""COMPUTED_VALUE"""),"GSE")</f>
        <v>GSE</v>
      </c>
      <c r="C2967" s="120" t="str">
        <f>IFERROR(__xludf.DUMMYFUNCTION("""COMPUTED_VALUE"""),"Saeve")</f>
        <v>Saeve</v>
      </c>
      <c r="D2967" s="120" t="str">
        <f>IFERROR(__xludf.DUMMYFUNCTION("""COMPUTED_VALUE"""),"Sweden")</f>
        <v>Sweden</v>
      </c>
      <c r="E2967" s="135"/>
      <c r="F2967" s="31"/>
    </row>
    <row r="2968">
      <c r="A2968" s="134" t="str">
        <f>IFERROR(__xludf.DUMMYFUNCTION("""COMPUTED_VALUE"""),"Goulburn")</f>
        <v>Goulburn</v>
      </c>
      <c r="B2968" s="120" t="str">
        <f>IFERROR(__xludf.DUMMYFUNCTION("""COMPUTED_VALUE"""),"GUL")</f>
        <v>GUL</v>
      </c>
      <c r="C2968" s="120" t="str">
        <f>IFERROR(__xludf.DUMMYFUNCTION("""COMPUTED_VALUE"""),"Goulburn")</f>
        <v>Goulburn</v>
      </c>
      <c r="D2968" s="120" t="str">
        <f>IFERROR(__xludf.DUMMYFUNCTION("""COMPUTED_VALUE"""),"Australia")</f>
        <v>Australia</v>
      </c>
      <c r="E2968" s="135"/>
      <c r="F2968" s="31"/>
    </row>
    <row r="2969">
      <c r="A2969" s="134" t="str">
        <f>IFERROR(__xludf.DUMMYFUNCTION("""COMPUTED_VALUE"""),"Goulburn Island")</f>
        <v>Goulburn Island</v>
      </c>
      <c r="B2969" s="120" t="str">
        <f>IFERROR(__xludf.DUMMYFUNCTION("""COMPUTED_VALUE"""),"GBL")</f>
        <v>GBL</v>
      </c>
      <c r="C2969" s="120" t="str">
        <f>IFERROR(__xludf.DUMMYFUNCTION("""COMPUTED_VALUE"""),"Goulburn Island")</f>
        <v>Goulburn Island</v>
      </c>
      <c r="D2969" s="120" t="str">
        <f>IFERROR(__xludf.DUMMYFUNCTION("""COMPUTED_VALUE"""),"Australia")</f>
        <v>Australia</v>
      </c>
      <c r="E2969" s="135"/>
      <c r="F2969" s="31"/>
    </row>
    <row r="2970">
      <c r="A2970" s="134" t="str">
        <f>IFERROR(__xludf.DUMMYFUNCTION("""COMPUTED_VALUE"""),"Goulimime")</f>
        <v>Goulimime</v>
      </c>
      <c r="B2970" s="120" t="str">
        <f>IFERROR(__xludf.DUMMYFUNCTION("""COMPUTED_VALUE"""),"GLN")</f>
        <v>GLN</v>
      </c>
      <c r="C2970" s="120" t="str">
        <f>IFERROR(__xludf.DUMMYFUNCTION("""COMPUTED_VALUE"""),"Goulimime")</f>
        <v>Goulimime</v>
      </c>
      <c r="D2970" s="120" t="str">
        <f>IFERROR(__xludf.DUMMYFUNCTION("""COMPUTED_VALUE"""),"Morocco")</f>
        <v>Morocco</v>
      </c>
      <c r="E2970" s="135"/>
      <c r="F2970" s="31"/>
    </row>
    <row r="2971">
      <c r="A2971" s="134" t="str">
        <f>IFERROR(__xludf.DUMMYFUNCTION("""COMPUTED_VALUE"""),"Gounda")</f>
        <v>Gounda</v>
      </c>
      <c r="B2971" s="120" t="str">
        <f>IFERROR(__xludf.DUMMYFUNCTION("""COMPUTED_VALUE"""),"GDA")</f>
        <v>GDA</v>
      </c>
      <c r="C2971" s="120" t="str">
        <f>IFERROR(__xludf.DUMMYFUNCTION("""COMPUTED_VALUE"""),"Gounda")</f>
        <v>Gounda</v>
      </c>
      <c r="D2971" s="120" t="str">
        <f>IFERROR(__xludf.DUMMYFUNCTION("""COMPUTED_VALUE"""),"Central African Republic")</f>
        <v>Central African Republic</v>
      </c>
      <c r="E2971" s="135"/>
      <c r="F2971" s="31"/>
    </row>
    <row r="2972">
      <c r="A2972" s="134" t="str">
        <f>IFERROR(__xludf.DUMMYFUNCTION("""COMPUTED_VALUE"""),"Goundam")</f>
        <v>Goundam</v>
      </c>
      <c r="B2972" s="120" t="str">
        <f>IFERROR(__xludf.DUMMYFUNCTION("""COMPUTED_VALUE"""),"GUD")</f>
        <v>GUD</v>
      </c>
      <c r="C2972" s="120" t="str">
        <f>IFERROR(__xludf.DUMMYFUNCTION("""COMPUTED_VALUE"""),"Goundam")</f>
        <v>Goundam</v>
      </c>
      <c r="D2972" s="120" t="str">
        <f>IFERROR(__xludf.DUMMYFUNCTION("""COMPUTED_VALUE"""),"Mali")</f>
        <v>Mali</v>
      </c>
      <c r="E2972" s="135"/>
      <c r="F2972" s="31"/>
    </row>
    <row r="2973">
      <c r="A2973" s="134" t="str">
        <f>IFERROR(__xludf.DUMMYFUNCTION("""COMPUTED_VALUE"""),"Gove")</f>
        <v>Gove</v>
      </c>
      <c r="B2973" s="120" t="str">
        <f>IFERROR(__xludf.DUMMYFUNCTION("""COMPUTED_VALUE"""),"GOV")</f>
        <v>GOV</v>
      </c>
      <c r="C2973" s="120" t="str">
        <f>IFERROR(__xludf.DUMMYFUNCTION("""COMPUTED_VALUE"""),"Nhulunbuy")</f>
        <v>Nhulunbuy</v>
      </c>
      <c r="D2973" s="120" t="str">
        <f>IFERROR(__xludf.DUMMYFUNCTION("""COMPUTED_VALUE"""),"Australia")</f>
        <v>Australia</v>
      </c>
      <c r="E2973" s="135"/>
      <c r="F2973" s="31"/>
    </row>
    <row r="2974">
      <c r="A2974" s="134" t="str">
        <f>IFERROR(__xludf.DUMMYFUNCTION("""COMPUTED_VALUE"""),"Governador Valadares")</f>
        <v>Governador Valadares</v>
      </c>
      <c r="B2974" s="120" t="str">
        <f>IFERROR(__xludf.DUMMYFUNCTION("""COMPUTED_VALUE"""),"GVR")</f>
        <v>GVR</v>
      </c>
      <c r="C2974" s="120" t="str">
        <f>IFERROR(__xludf.DUMMYFUNCTION("""COMPUTED_VALUE"""),"Governador Valadares")</f>
        <v>Governador Valadares</v>
      </c>
      <c r="D2974" s="120" t="str">
        <f>IFERROR(__xludf.DUMMYFUNCTION("""COMPUTED_VALUE"""),"Brazil")</f>
        <v>Brazil</v>
      </c>
      <c r="E2974" s="135"/>
      <c r="F2974" s="31"/>
    </row>
    <row r="2975">
      <c r="A2975" s="134" t="str">
        <f>IFERROR(__xludf.DUMMYFUNCTION("""COMPUTED_VALUE"""),"Governors Harbour")</f>
        <v>Governors Harbour</v>
      </c>
      <c r="B2975" s="120" t="str">
        <f>IFERROR(__xludf.DUMMYFUNCTION("""COMPUTED_VALUE"""),"GHB")</f>
        <v>GHB</v>
      </c>
      <c r="C2975" s="120" t="str">
        <f>IFERROR(__xludf.DUMMYFUNCTION("""COMPUTED_VALUE"""),"Governors Harbour")</f>
        <v>Governors Harbour</v>
      </c>
      <c r="D2975" s="120" t="str">
        <f>IFERROR(__xludf.DUMMYFUNCTION("""COMPUTED_VALUE"""),"Bahamas")</f>
        <v>Bahamas</v>
      </c>
      <c r="E2975" s="135"/>
      <c r="F2975" s="31"/>
    </row>
    <row r="2976">
      <c r="A2976" s="134" t="str">
        <f>IFERROR(__xludf.DUMMYFUNCTION("""COMPUTED_VALUE"""),"Goya")</f>
        <v>Goya</v>
      </c>
      <c r="B2976" s="120" t="str">
        <f>IFERROR(__xludf.DUMMYFUNCTION("""COMPUTED_VALUE"""),"OYA")</f>
        <v>OYA</v>
      </c>
      <c r="C2976" s="120" t="str">
        <f>IFERROR(__xludf.DUMMYFUNCTION("""COMPUTED_VALUE"""),"Goya")</f>
        <v>Goya</v>
      </c>
      <c r="D2976" s="120" t="str">
        <f>IFERROR(__xludf.DUMMYFUNCTION("""COMPUTED_VALUE"""),"Argentina")</f>
        <v>Argentina</v>
      </c>
      <c r="E2976" s="135"/>
      <c r="F2976" s="31"/>
    </row>
    <row r="2977">
      <c r="A2977" s="134" t="str">
        <f>IFERROR(__xludf.DUMMYFUNCTION("""COMPUTED_VALUE"""),"Gozo")</f>
        <v>Gozo</v>
      </c>
      <c r="B2977" s="120" t="str">
        <f>IFERROR(__xludf.DUMMYFUNCTION("""COMPUTED_VALUE"""),"GZM")</f>
        <v>GZM</v>
      </c>
      <c r="C2977" s="120" t="str">
        <f>IFERROR(__xludf.DUMMYFUNCTION("""COMPUTED_VALUE"""),"Gozo Heliport")</f>
        <v>Gozo Heliport</v>
      </c>
      <c r="D2977" s="120" t="str">
        <f>IFERROR(__xludf.DUMMYFUNCTION("""COMPUTED_VALUE"""),"Malta")</f>
        <v>Malta</v>
      </c>
      <c r="E2977" s="135"/>
      <c r="F2977" s="31"/>
    </row>
    <row r="2978">
      <c r="A2978" s="134" t="str">
        <f>IFERROR(__xludf.DUMMYFUNCTION("""COMPUTED_VALUE"""),"Gracias")</f>
        <v>Gracias</v>
      </c>
      <c r="B2978" s="120" t="str">
        <f>IFERROR(__xludf.DUMMYFUNCTION("""COMPUTED_VALUE"""),"GAC")</f>
        <v>GAC</v>
      </c>
      <c r="C2978" s="120" t="str">
        <f>IFERROR(__xludf.DUMMYFUNCTION("""COMPUTED_VALUE"""),"Gracias")</f>
        <v>Gracias</v>
      </c>
      <c r="D2978" s="120" t="str">
        <f>IFERROR(__xludf.DUMMYFUNCTION("""COMPUTED_VALUE"""),"Honduras")</f>
        <v>Honduras</v>
      </c>
      <c r="E2978" s="135"/>
      <c r="F2978" s="31"/>
    </row>
    <row r="2979">
      <c r="A2979" s="134" t="str">
        <f>IFERROR(__xludf.DUMMYFUNCTION("""COMPUTED_VALUE"""),"Graciosa Island")</f>
        <v>Graciosa Island</v>
      </c>
      <c r="B2979" s="120" t="str">
        <f>IFERROR(__xludf.DUMMYFUNCTION("""COMPUTED_VALUE"""),"GRW")</f>
        <v>GRW</v>
      </c>
      <c r="C2979" s="120" t="str">
        <f>IFERROR(__xludf.DUMMYFUNCTION("""COMPUTED_VALUE"""),"Graciosa Island")</f>
        <v>Graciosa Island</v>
      </c>
      <c r="D2979" s="120" t="str">
        <f>IFERROR(__xludf.DUMMYFUNCTION("""COMPUTED_VALUE"""),"Portugal")</f>
        <v>Portugal</v>
      </c>
      <c r="E2979" s="135"/>
      <c r="F2979" s="31"/>
    </row>
    <row r="2980">
      <c r="A2980" s="134" t="str">
        <f>IFERROR(__xludf.DUMMYFUNCTION("""COMPUTED_VALUE"""),"Grafton")</f>
        <v>Grafton</v>
      </c>
      <c r="B2980" s="120" t="str">
        <f>IFERROR(__xludf.DUMMYFUNCTION("""COMPUTED_VALUE"""),"GFN")</f>
        <v>GFN</v>
      </c>
      <c r="C2980" s="120" t="str">
        <f>IFERROR(__xludf.DUMMYFUNCTION("""COMPUTED_VALUE"""),"Grafton")</f>
        <v>Grafton</v>
      </c>
      <c r="D2980" s="120" t="str">
        <f>IFERROR(__xludf.DUMMYFUNCTION("""COMPUTED_VALUE"""),"Australia")</f>
        <v>Australia</v>
      </c>
      <c r="E2980" s="135"/>
      <c r="F2980" s="31"/>
    </row>
    <row r="2981">
      <c r="A2981" s="134" t="str">
        <f>IFERROR(__xludf.DUMMYFUNCTION("""COMPUTED_VALUE"""),"Granada")</f>
        <v>Granada</v>
      </c>
      <c r="B2981" s="120" t="str">
        <f>IFERROR(__xludf.DUMMYFUNCTION("""COMPUTED_VALUE"""),"GRX")</f>
        <v>GRX</v>
      </c>
      <c r="C2981" s="120" t="str">
        <f>IFERROR(__xludf.DUMMYFUNCTION("""COMPUTED_VALUE"""),"Granada")</f>
        <v>Granada</v>
      </c>
      <c r="D2981" s="120" t="str">
        <f>IFERROR(__xludf.DUMMYFUNCTION("""COMPUTED_VALUE"""),"Spain")</f>
        <v>Spain</v>
      </c>
      <c r="E2981" s="135"/>
      <c r="F2981" s="31"/>
    </row>
    <row r="2982">
      <c r="A2982" s="134" t="str">
        <f>IFERROR(__xludf.DUMMYFUNCTION("""COMPUTED_VALUE"""),"Grand Bahama")</f>
        <v>Grand Bahama</v>
      </c>
      <c r="B2982" s="120" t="str">
        <f>IFERROR(__xludf.DUMMYFUNCTION("""COMPUTED_VALUE"""),"GBI")</f>
        <v>GBI</v>
      </c>
      <c r="C2982" s="120" t="str">
        <f>IFERROR(__xludf.DUMMYFUNCTION("""COMPUTED_VALUE"""),"Aux Ab")</f>
        <v>Aux Ab</v>
      </c>
      <c r="D2982" s="120" t="str">
        <f>IFERROR(__xludf.DUMMYFUNCTION("""COMPUTED_VALUE"""),"Bahamas")</f>
        <v>Bahamas</v>
      </c>
      <c r="E2982" s="135"/>
      <c r="F2982" s="31"/>
    </row>
    <row r="2983">
      <c r="A2983" s="134" t="str">
        <f>IFERROR(__xludf.DUMMYFUNCTION("""COMPUTED_VALUE"""),"Grand Canyon")</f>
        <v>Grand Canyon</v>
      </c>
      <c r="B2983" s="120" t="str">
        <f>IFERROR(__xludf.DUMMYFUNCTION("""COMPUTED_VALUE"""),"JGC")</f>
        <v>JGC</v>
      </c>
      <c r="C2983" s="120" t="str">
        <f>IFERROR(__xludf.DUMMYFUNCTION("""COMPUTED_VALUE"""),"Heliport")</f>
        <v>Heliport</v>
      </c>
      <c r="D2983" s="120" t="str">
        <f>IFERROR(__xludf.DUMMYFUNCTION("""COMPUTED_VALUE"""),"United States")</f>
        <v>United States</v>
      </c>
      <c r="E2983" s="135"/>
      <c r="F2983" s="31"/>
    </row>
    <row r="2984">
      <c r="A2984" s="134" t="str">
        <f>IFERROR(__xludf.DUMMYFUNCTION("""COMPUTED_VALUE"""),"Grand Canyon")</f>
        <v>Grand Canyon</v>
      </c>
      <c r="B2984" s="120" t="str">
        <f>IFERROR(__xludf.DUMMYFUNCTION("""COMPUTED_VALUE"""),"GCN")</f>
        <v>GCN</v>
      </c>
      <c r="C2984" s="120" t="str">
        <f>IFERROR(__xludf.DUMMYFUNCTION("""COMPUTED_VALUE"""),"National Park")</f>
        <v>National Park</v>
      </c>
      <c r="D2984" s="120" t="str">
        <f>IFERROR(__xludf.DUMMYFUNCTION("""COMPUTED_VALUE"""),"United States")</f>
        <v>United States</v>
      </c>
      <c r="E2984" s="135"/>
      <c r="F2984" s="31"/>
    </row>
    <row r="2985">
      <c r="A2985" s="134" t="str">
        <f>IFERROR(__xludf.DUMMYFUNCTION("""COMPUTED_VALUE"""),"Grand Canyon")</f>
        <v>Grand Canyon</v>
      </c>
      <c r="B2985" s="120" t="str">
        <f>IFERROR(__xludf.DUMMYFUNCTION("""COMPUTED_VALUE"""),"NGC")</f>
        <v>NGC</v>
      </c>
      <c r="C2985" s="120" t="str">
        <f>IFERROR(__xludf.DUMMYFUNCTION("""COMPUTED_VALUE"""),"North Rim")</f>
        <v>North Rim</v>
      </c>
      <c r="D2985" s="120" t="str">
        <f>IFERROR(__xludf.DUMMYFUNCTION("""COMPUTED_VALUE"""),"United States")</f>
        <v>United States</v>
      </c>
      <c r="E2985" s="135"/>
      <c r="F2985" s="31"/>
    </row>
    <row r="2986">
      <c r="A2986" s="134" t="str">
        <f>IFERROR(__xludf.DUMMYFUNCTION("""COMPUTED_VALUE"""),"Grand Canyon")</f>
        <v>Grand Canyon</v>
      </c>
      <c r="B2986" s="120" t="str">
        <f>IFERROR(__xludf.DUMMYFUNCTION("""COMPUTED_VALUE"""),"FLG")</f>
        <v>FLG</v>
      </c>
      <c r="C2986" s="120" t="str">
        <f>IFERROR(__xludf.DUMMYFUNCTION("""COMPUTED_VALUE"""),"Pulliam Field")</f>
        <v>Pulliam Field</v>
      </c>
      <c r="D2986" s="120" t="str">
        <f>IFERROR(__xludf.DUMMYFUNCTION("""COMPUTED_VALUE"""),"United States")</f>
        <v>United States</v>
      </c>
      <c r="E2986" s="135"/>
      <c r="F2986" s="31"/>
    </row>
    <row r="2987">
      <c r="A2987" s="134" t="str">
        <f>IFERROR(__xludf.DUMMYFUNCTION("""COMPUTED_VALUE"""),"Georgetown")</f>
        <v>Georgetown</v>
      </c>
      <c r="B2987" s="120" t="str">
        <f>IFERROR(__xludf.DUMMYFUNCTION("""COMPUTED_VALUE"""),"GCM")</f>
        <v>GCM</v>
      </c>
      <c r="C2987" s="120" t="str">
        <f>IFERROR(__xludf.DUMMYFUNCTION("""COMPUTED_VALUE"""),"Owen Roberts International")</f>
        <v>Owen Roberts International</v>
      </c>
      <c r="D2987" s="120" t="str">
        <f>IFERROR(__xludf.DUMMYFUNCTION("""COMPUTED_VALUE"""),"Cayman Islands")</f>
        <v>Cayman Islands</v>
      </c>
      <c r="E2987" s="135"/>
      <c r="F2987" s="31"/>
    </row>
    <row r="2988">
      <c r="A2988" s="134" t="str">
        <f>IFERROR(__xludf.DUMMYFUNCTION("""COMPUTED_VALUE"""),"Grand Cess")</f>
        <v>Grand Cess</v>
      </c>
      <c r="B2988" s="120" t="str">
        <f>IFERROR(__xludf.DUMMYFUNCTION("""COMPUTED_VALUE"""),"GRC")</f>
        <v>GRC</v>
      </c>
      <c r="C2988" s="120" t="str">
        <f>IFERROR(__xludf.DUMMYFUNCTION("""COMPUTED_VALUE"""),"Grand Cess")</f>
        <v>Grand Cess</v>
      </c>
      <c r="D2988" s="120" t="str">
        <f>IFERROR(__xludf.DUMMYFUNCTION("""COMPUTED_VALUE"""),"Liberia")</f>
        <v>Liberia</v>
      </c>
      <c r="E2988" s="135"/>
      <c r="F2988" s="31"/>
    </row>
    <row r="2989">
      <c r="A2989" s="134" t="str">
        <f>IFERROR(__xludf.DUMMYFUNCTION("""COMPUTED_VALUE"""),"Grand Forks")</f>
        <v>Grand Forks</v>
      </c>
      <c r="B2989" s="120" t="str">
        <f>IFERROR(__xludf.DUMMYFUNCTION("""COMPUTED_VALUE"""),"ZGF")</f>
        <v>ZGF</v>
      </c>
      <c r="C2989" s="120" t="str">
        <f>IFERROR(__xludf.DUMMYFUNCTION("""COMPUTED_VALUE"""),"Grand Forks")</f>
        <v>Grand Forks</v>
      </c>
      <c r="D2989" s="120" t="str">
        <f>IFERROR(__xludf.DUMMYFUNCTION("""COMPUTED_VALUE"""),"Canada")</f>
        <v>Canada</v>
      </c>
      <c r="E2989" s="135"/>
      <c r="F2989" s="31"/>
    </row>
    <row r="2990">
      <c r="A2990" s="134" t="str">
        <f>IFERROR(__xludf.DUMMYFUNCTION("""COMPUTED_VALUE"""),"Grand Forks")</f>
        <v>Grand Forks</v>
      </c>
      <c r="B2990" s="120" t="str">
        <f>IFERROR(__xludf.DUMMYFUNCTION("""COMPUTED_VALUE"""),"GFK")</f>
        <v>GFK</v>
      </c>
      <c r="C2990" s="120" t="str">
        <f>IFERROR(__xludf.DUMMYFUNCTION("""COMPUTED_VALUE"""),"Grand Forks")</f>
        <v>Grand Forks</v>
      </c>
      <c r="D2990" s="120" t="str">
        <f>IFERROR(__xludf.DUMMYFUNCTION("""COMPUTED_VALUE"""),"United States")</f>
        <v>United States</v>
      </c>
      <c r="E2990" s="135"/>
      <c r="F2990" s="31"/>
    </row>
    <row r="2991">
      <c r="A2991" s="134" t="str">
        <f>IFERROR(__xludf.DUMMYFUNCTION("""COMPUTED_VALUE"""),"Grand Island")</f>
        <v>Grand Island</v>
      </c>
      <c r="B2991" s="120" t="str">
        <f>IFERROR(__xludf.DUMMYFUNCTION("""COMPUTED_VALUE"""),"GRI")</f>
        <v>GRI</v>
      </c>
      <c r="C2991" s="120" t="str">
        <f>IFERROR(__xludf.DUMMYFUNCTION("""COMPUTED_VALUE"""),"Grand Island")</f>
        <v>Grand Island</v>
      </c>
      <c r="D2991" s="120" t="str">
        <f>IFERROR(__xludf.DUMMYFUNCTION("""COMPUTED_VALUE"""),"United States")</f>
        <v>United States</v>
      </c>
      <c r="E2991" s="135"/>
      <c r="F2991" s="31"/>
    </row>
    <row r="2992">
      <c r="A2992" s="134" t="str">
        <f>IFERROR(__xludf.DUMMYFUNCTION("""COMPUTED_VALUE"""),"Grand Junction")</f>
        <v>Grand Junction</v>
      </c>
      <c r="B2992" s="120" t="str">
        <f>IFERROR(__xludf.DUMMYFUNCTION("""COMPUTED_VALUE"""),"GJT")</f>
        <v>GJT</v>
      </c>
      <c r="C2992" s="120" t="str">
        <f>IFERROR(__xludf.DUMMYFUNCTION("""COMPUTED_VALUE"""),"Walker Field")</f>
        <v>Walker Field</v>
      </c>
      <c r="D2992" s="120" t="str">
        <f>IFERROR(__xludf.DUMMYFUNCTION("""COMPUTED_VALUE"""),"United States")</f>
        <v>United States</v>
      </c>
      <c r="E2992" s="135"/>
      <c r="F2992" s="31"/>
    </row>
    <row r="2993">
      <c r="A2993" s="134" t="str">
        <f>IFERROR(__xludf.DUMMYFUNCTION("""COMPUTED_VALUE"""),"Grand Marais")</f>
        <v>Grand Marais</v>
      </c>
      <c r="B2993" s="120" t="str">
        <f>IFERROR(__xludf.DUMMYFUNCTION("""COMPUTED_VALUE"""),"GRM")</f>
        <v>GRM</v>
      </c>
      <c r="C2993" s="120" t="str">
        <f>IFERROR(__xludf.DUMMYFUNCTION("""COMPUTED_VALUE"""),"Devils Track")</f>
        <v>Devils Track</v>
      </c>
      <c r="D2993" s="120" t="str">
        <f>IFERROR(__xludf.DUMMYFUNCTION("""COMPUTED_VALUE"""),"United States")</f>
        <v>United States</v>
      </c>
      <c r="E2993" s="135"/>
      <c r="F2993" s="31"/>
    </row>
    <row r="2994">
      <c r="A2994" s="134" t="str">
        <f>IFERROR(__xludf.DUMMYFUNCTION("""COMPUTED_VALUE"""),"Grand Rapids")</f>
        <v>Grand Rapids</v>
      </c>
      <c r="B2994" s="120" t="str">
        <f>IFERROR(__xludf.DUMMYFUNCTION("""COMPUTED_VALUE"""),"GRR")</f>
        <v>GRR</v>
      </c>
      <c r="C2994" s="120" t="str">
        <f>IFERROR(__xludf.DUMMYFUNCTION("""COMPUTED_VALUE"""),"Kent County Intl")</f>
        <v>Kent County Intl</v>
      </c>
      <c r="D2994" s="120" t="str">
        <f>IFERROR(__xludf.DUMMYFUNCTION("""COMPUTED_VALUE"""),"United States")</f>
        <v>United States</v>
      </c>
      <c r="E2994" s="135"/>
      <c r="F2994" s="31"/>
    </row>
    <row r="2995">
      <c r="A2995" s="134" t="str">
        <f>IFERROR(__xludf.DUMMYFUNCTION("""COMPUTED_VALUE"""),"Grand Rapids")</f>
        <v>Grand Rapids</v>
      </c>
      <c r="B2995" s="120" t="str">
        <f>IFERROR(__xludf.DUMMYFUNCTION("""COMPUTED_VALUE"""),"GPZ")</f>
        <v>GPZ</v>
      </c>
      <c r="C2995" s="120" t="str">
        <f>IFERROR(__xludf.DUMMYFUNCTION("""COMPUTED_VALUE"""),"Grand Rapids")</f>
        <v>Grand Rapids</v>
      </c>
      <c r="D2995" s="120" t="str">
        <f>IFERROR(__xludf.DUMMYFUNCTION("""COMPUTED_VALUE"""),"United States")</f>
        <v>United States</v>
      </c>
      <c r="E2995" s="135"/>
      <c r="F2995" s="31"/>
    </row>
    <row r="2996">
      <c r="A2996" s="134" t="str">
        <f>IFERROR(__xludf.DUMMYFUNCTION("""COMPUTED_VALUE"""),"Grand Turk Is")</f>
        <v>Grand Turk Is</v>
      </c>
      <c r="B2996" s="120" t="str">
        <f>IFERROR(__xludf.DUMMYFUNCTION("""COMPUTED_VALUE"""),"GDT")</f>
        <v>GDT</v>
      </c>
      <c r="C2996" s="120" t="str">
        <f>IFERROR(__xludf.DUMMYFUNCTION("""COMPUTED_VALUE"""),"Grand Turk Is")</f>
        <v>Grand Turk Is</v>
      </c>
      <c r="D2996" s="120" t="str">
        <f>IFERROR(__xludf.DUMMYFUNCTION("""COMPUTED_VALUE"""),"Turks and Caicos Islands")</f>
        <v>Turks and Caicos Islands</v>
      </c>
      <c r="E2996" s="135"/>
      <c r="F2996" s="31"/>
    </row>
    <row r="2997">
      <c r="A2997" s="134" t="str">
        <f>IFERROR(__xludf.DUMMYFUNCTION("""COMPUTED_VALUE"""),"Grande Cache")</f>
        <v>Grande Cache</v>
      </c>
      <c r="B2997" s="120" t="str">
        <f>IFERROR(__xludf.DUMMYFUNCTION("""COMPUTED_VALUE"""),"YGC")</f>
        <v>YGC</v>
      </c>
      <c r="C2997" s="120" t="str">
        <f>IFERROR(__xludf.DUMMYFUNCTION("""COMPUTED_VALUE"""),"Grande Cache")</f>
        <v>Grande Cache</v>
      </c>
      <c r="D2997" s="120" t="str">
        <f>IFERROR(__xludf.DUMMYFUNCTION("""COMPUTED_VALUE"""),"Canada")</f>
        <v>Canada</v>
      </c>
      <c r="E2997" s="135"/>
      <c r="F2997" s="31"/>
    </row>
    <row r="2998">
      <c r="A2998" s="134" t="str">
        <f>IFERROR(__xludf.DUMMYFUNCTION("""COMPUTED_VALUE"""),"Grande Prairie")</f>
        <v>Grande Prairie</v>
      </c>
      <c r="B2998" s="120" t="str">
        <f>IFERROR(__xludf.DUMMYFUNCTION("""COMPUTED_VALUE"""),"YQU")</f>
        <v>YQU</v>
      </c>
      <c r="C2998" s="120" t="str">
        <f>IFERROR(__xludf.DUMMYFUNCTION("""COMPUTED_VALUE"""),"Grande Prairie")</f>
        <v>Grande Prairie</v>
      </c>
      <c r="D2998" s="120" t="str">
        <f>IFERROR(__xludf.DUMMYFUNCTION("""COMPUTED_VALUE"""),"Canada")</f>
        <v>Canada</v>
      </c>
      <c r="E2998" s="135"/>
      <c r="F2998" s="31"/>
    </row>
    <row r="2999">
      <c r="A2999" s="134" t="str">
        <f>IFERROR(__xludf.DUMMYFUNCTION("""COMPUTED_VALUE"""),"Grandview")</f>
        <v>Grandview</v>
      </c>
      <c r="B2999" s="120" t="str">
        <f>IFERROR(__xludf.DUMMYFUNCTION("""COMPUTED_VALUE"""),"GVW")</f>
        <v>GVW</v>
      </c>
      <c r="C2999" s="120" t="str">
        <f>IFERROR(__xludf.DUMMYFUNCTION("""COMPUTED_VALUE"""),"Richards-Gebaur")</f>
        <v>Richards-Gebaur</v>
      </c>
      <c r="D2999" s="120" t="str">
        <f>IFERROR(__xludf.DUMMYFUNCTION("""COMPUTED_VALUE"""),"United States")</f>
        <v>United States</v>
      </c>
      <c r="E2999" s="135"/>
      <c r="F2999" s="31"/>
    </row>
    <row r="3000">
      <c r="A3000" s="134" t="str">
        <f>IFERROR(__xludf.DUMMYFUNCTION("""COMPUTED_VALUE"""),"Granite Mountain")</f>
        <v>Granite Mountain</v>
      </c>
      <c r="B3000" s="120" t="str">
        <f>IFERROR(__xludf.DUMMYFUNCTION("""COMPUTED_VALUE"""),"GMT")</f>
        <v>GMT</v>
      </c>
      <c r="C3000" s="120" t="str">
        <f>IFERROR(__xludf.DUMMYFUNCTION("""COMPUTED_VALUE"""),"Granite Mountain")</f>
        <v>Granite Mountain</v>
      </c>
      <c r="D3000" s="120" t="str">
        <f>IFERROR(__xludf.DUMMYFUNCTION("""COMPUTED_VALUE"""),"United States")</f>
        <v>United States</v>
      </c>
      <c r="E3000" s="135"/>
      <c r="F3000" s="31"/>
    </row>
    <row r="3001">
      <c r="A3001" s="134" t="str">
        <f>IFERROR(__xludf.DUMMYFUNCTION("""COMPUTED_VALUE"""),"Granites")</f>
        <v>Granites</v>
      </c>
      <c r="B3001" s="120" t="str">
        <f>IFERROR(__xludf.DUMMYFUNCTION("""COMPUTED_VALUE"""),"GTS")</f>
        <v>GTS</v>
      </c>
      <c r="C3001" s="120" t="str">
        <f>IFERROR(__xludf.DUMMYFUNCTION("""COMPUTED_VALUE"""),"Granites")</f>
        <v>Granites</v>
      </c>
      <c r="D3001" s="120" t="str">
        <f>IFERROR(__xludf.DUMMYFUNCTION("""COMPUTED_VALUE"""),"Australia")</f>
        <v>Australia</v>
      </c>
      <c r="E3001" s="135"/>
      <c r="F3001" s="31"/>
    </row>
    <row r="3002">
      <c r="A3002" s="134" t="str">
        <f>IFERROR(__xludf.DUMMYFUNCTION("""COMPUTED_VALUE"""),"Grants")</f>
        <v>Grants</v>
      </c>
      <c r="B3002" s="120" t="str">
        <f>IFERROR(__xludf.DUMMYFUNCTION("""COMPUTED_VALUE"""),"GNT")</f>
        <v>GNT</v>
      </c>
      <c r="C3002" s="120" t="str">
        <f>IFERROR(__xludf.DUMMYFUNCTION("""COMPUTED_VALUE"""),"Milan")</f>
        <v>Milan</v>
      </c>
      <c r="D3002" s="120" t="str">
        <f>IFERROR(__xludf.DUMMYFUNCTION("""COMPUTED_VALUE"""),"United States")</f>
        <v>United States</v>
      </c>
      <c r="E3002" s="135"/>
      <c r="F3002" s="31"/>
    </row>
    <row r="3003">
      <c r="A3003" s="134" t="str">
        <f>IFERROR(__xludf.DUMMYFUNCTION("""COMPUTED_VALUE"""),"Grantsburg")</f>
        <v>Grantsburg</v>
      </c>
      <c r="B3003" s="120" t="str">
        <f>IFERROR(__xludf.DUMMYFUNCTION("""COMPUTED_VALUE"""),"GTG")</f>
        <v>GTG</v>
      </c>
      <c r="C3003" s="120" t="str">
        <f>IFERROR(__xludf.DUMMYFUNCTION("""COMPUTED_VALUE"""),"Municipal")</f>
        <v>Municipal</v>
      </c>
      <c r="D3003" s="120" t="str">
        <f>IFERROR(__xludf.DUMMYFUNCTION("""COMPUTED_VALUE"""),"United States")</f>
        <v>United States</v>
      </c>
      <c r="E3003" s="135"/>
      <c r="F3003" s="31"/>
    </row>
    <row r="3004">
      <c r="A3004" s="134" t="str">
        <f>IFERROR(__xludf.DUMMYFUNCTION("""COMPUTED_VALUE"""),"Granville")</f>
        <v>Granville</v>
      </c>
      <c r="B3004" s="120" t="str">
        <f>IFERROR(__xludf.DUMMYFUNCTION("""COMPUTED_VALUE"""),"GFR")</f>
        <v>GFR</v>
      </c>
      <c r="C3004" s="120" t="str">
        <f>IFERROR(__xludf.DUMMYFUNCTION("""COMPUTED_VALUE"""),"Granville")</f>
        <v>Granville</v>
      </c>
      <c r="D3004" s="120" t="str">
        <f>IFERROR(__xludf.DUMMYFUNCTION("""COMPUTED_VALUE"""),"France")</f>
        <v>France</v>
      </c>
      <c r="E3004" s="135"/>
      <c r="F3004" s="31"/>
    </row>
    <row r="3005">
      <c r="A3005" s="134" t="str">
        <f>IFERROR(__xludf.DUMMYFUNCTION("""COMPUTED_VALUE"""),"Granville Lake")</f>
        <v>Granville Lake</v>
      </c>
      <c r="B3005" s="120" t="str">
        <f>IFERROR(__xludf.DUMMYFUNCTION("""COMPUTED_VALUE"""),"XGL")</f>
        <v>XGL</v>
      </c>
      <c r="C3005" s="120" t="str">
        <f>IFERROR(__xludf.DUMMYFUNCTION("""COMPUTED_VALUE"""),"Granville Lake")</f>
        <v>Granville Lake</v>
      </c>
      <c r="D3005" s="120" t="str">
        <f>IFERROR(__xludf.DUMMYFUNCTION("""COMPUTED_VALUE"""),"Canada")</f>
        <v>Canada</v>
      </c>
      <c r="E3005" s="135"/>
      <c r="F3005" s="31"/>
    </row>
    <row r="3006">
      <c r="A3006" s="134" t="str">
        <f>IFERROR(__xludf.DUMMYFUNCTION("""COMPUTED_VALUE"""),"Gravatai")</f>
        <v>Gravatai</v>
      </c>
      <c r="B3006" s="120" t="str">
        <f>IFERROR(__xludf.DUMMYFUNCTION("""COMPUTED_VALUE"""),"GCV")</f>
        <v>GCV</v>
      </c>
      <c r="C3006" s="120" t="str">
        <f>IFERROR(__xludf.DUMMYFUNCTION("""COMPUTED_VALUE"""),"Gravatai")</f>
        <v>Gravatai</v>
      </c>
      <c r="D3006" s="120" t="str">
        <f>IFERROR(__xludf.DUMMYFUNCTION("""COMPUTED_VALUE"""),"Brazil")</f>
        <v>Brazil</v>
      </c>
      <c r="E3006" s="135"/>
      <c r="F3006" s="31"/>
    </row>
    <row r="3007">
      <c r="A3007" s="134" t="str">
        <f>IFERROR(__xludf.DUMMYFUNCTION("""COMPUTED_VALUE"""),"Grayling")</f>
        <v>Grayling</v>
      </c>
      <c r="B3007" s="120" t="str">
        <f>IFERROR(__xludf.DUMMYFUNCTION("""COMPUTED_VALUE"""),"KGX")</f>
        <v>KGX</v>
      </c>
      <c r="C3007" s="120" t="str">
        <f>IFERROR(__xludf.DUMMYFUNCTION("""COMPUTED_VALUE"""),"Grayling")</f>
        <v>Grayling</v>
      </c>
      <c r="D3007" s="120" t="str">
        <f>IFERROR(__xludf.DUMMYFUNCTION("""COMPUTED_VALUE"""),"United States")</f>
        <v>United States</v>
      </c>
      <c r="E3007" s="135"/>
      <c r="F3007" s="31"/>
    </row>
    <row r="3008">
      <c r="A3008" s="134" t="str">
        <f>IFERROR(__xludf.DUMMYFUNCTION("""COMPUTED_VALUE"""),"Graz")</f>
        <v>Graz</v>
      </c>
      <c r="B3008" s="120" t="str">
        <f>IFERROR(__xludf.DUMMYFUNCTION("""COMPUTED_VALUE"""),"GRZ")</f>
        <v>GRZ</v>
      </c>
      <c r="C3008" s="120" t="str">
        <f>IFERROR(__xludf.DUMMYFUNCTION("""COMPUTED_VALUE"""),"Thalerhof")</f>
        <v>Thalerhof</v>
      </c>
      <c r="D3008" s="120" t="str">
        <f>IFERROR(__xludf.DUMMYFUNCTION("""COMPUTED_VALUE"""),"Austria")</f>
        <v>Austria</v>
      </c>
      <c r="E3008" s="135"/>
      <c r="F3008" s="31"/>
    </row>
    <row r="3009">
      <c r="A3009" s="134" t="str">
        <f>IFERROR(__xludf.DUMMYFUNCTION("""COMPUTED_VALUE"""),"Great Barrier Island")</f>
        <v>Great Barrier Island</v>
      </c>
      <c r="B3009" s="120" t="str">
        <f>IFERROR(__xludf.DUMMYFUNCTION("""COMPUTED_VALUE"""),"GBZ")</f>
        <v>GBZ</v>
      </c>
      <c r="C3009" s="120" t="str">
        <f>IFERROR(__xludf.DUMMYFUNCTION("""COMPUTED_VALUE"""),"Great Barrier Island")</f>
        <v>Great Barrier Island</v>
      </c>
      <c r="D3009" s="120" t="str">
        <f>IFERROR(__xludf.DUMMYFUNCTION("""COMPUTED_VALUE"""),"New Zealand (Aotearoa)")</f>
        <v>New Zealand (Aotearoa)</v>
      </c>
      <c r="E3009" s="135"/>
      <c r="F3009" s="31"/>
    </row>
    <row r="3010">
      <c r="A3010" s="134" t="str">
        <f>IFERROR(__xludf.DUMMYFUNCTION("""COMPUTED_VALUE"""),"Great Barrington")</f>
        <v>Great Barrington</v>
      </c>
      <c r="B3010" s="120" t="str">
        <f>IFERROR(__xludf.DUMMYFUNCTION("""COMPUTED_VALUE"""),"GBR")</f>
        <v>GBR</v>
      </c>
      <c r="C3010" s="120" t="str">
        <f>IFERROR(__xludf.DUMMYFUNCTION("""COMPUTED_VALUE"""),"Great Barrington")</f>
        <v>Great Barrington</v>
      </c>
      <c r="D3010" s="120" t="str">
        <f>IFERROR(__xludf.DUMMYFUNCTION("""COMPUTED_VALUE"""),"United States")</f>
        <v>United States</v>
      </c>
      <c r="E3010" s="135"/>
      <c r="F3010" s="31"/>
    </row>
    <row r="3011">
      <c r="A3011" s="134" t="str">
        <f>IFERROR(__xludf.DUMMYFUNCTION("""COMPUTED_VALUE"""),"Great Bear Lake")</f>
        <v>Great Bear Lake</v>
      </c>
      <c r="B3011" s="120" t="str">
        <f>IFERROR(__xludf.DUMMYFUNCTION("""COMPUTED_VALUE"""),"DAS")</f>
        <v>DAS</v>
      </c>
      <c r="C3011" s="120" t="str">
        <f>IFERROR(__xludf.DUMMYFUNCTION("""COMPUTED_VALUE"""),"Great Bear Lake")</f>
        <v>Great Bear Lake</v>
      </c>
      <c r="D3011" s="120" t="str">
        <f>IFERROR(__xludf.DUMMYFUNCTION("""COMPUTED_VALUE"""),"Canada")</f>
        <v>Canada</v>
      </c>
      <c r="E3011" s="135"/>
      <c r="F3011" s="31"/>
    </row>
    <row r="3012">
      <c r="A3012" s="134" t="str">
        <f>IFERROR(__xludf.DUMMYFUNCTION("""COMPUTED_VALUE"""),"Great Bend")</f>
        <v>Great Bend</v>
      </c>
      <c r="B3012" s="120" t="str">
        <f>IFERROR(__xludf.DUMMYFUNCTION("""COMPUTED_VALUE"""),"GBD")</f>
        <v>GBD</v>
      </c>
      <c r="C3012" s="120" t="str">
        <f>IFERROR(__xludf.DUMMYFUNCTION("""COMPUTED_VALUE"""),"Great Bend")</f>
        <v>Great Bend</v>
      </c>
      <c r="D3012" s="120" t="str">
        <f>IFERROR(__xludf.DUMMYFUNCTION("""COMPUTED_VALUE"""),"United States")</f>
        <v>United States</v>
      </c>
      <c r="E3012" s="135"/>
      <c r="F3012" s="31"/>
    </row>
    <row r="3013">
      <c r="A3013" s="134" t="str">
        <f>IFERROR(__xludf.DUMMYFUNCTION("""COMPUTED_VALUE"""),"Great Falls")</f>
        <v>Great Falls</v>
      </c>
      <c r="B3013" s="120" t="str">
        <f>IFERROR(__xludf.DUMMYFUNCTION("""COMPUTED_VALUE"""),"GTF")</f>
        <v>GTF</v>
      </c>
      <c r="C3013" s="120" t="str">
        <f>IFERROR(__xludf.DUMMYFUNCTION("""COMPUTED_VALUE"""),"International")</f>
        <v>International</v>
      </c>
      <c r="D3013" s="120" t="str">
        <f>IFERROR(__xludf.DUMMYFUNCTION("""COMPUTED_VALUE"""),"United States")</f>
        <v>United States</v>
      </c>
      <c r="E3013" s="135"/>
      <c r="F3013" s="31"/>
    </row>
    <row r="3014">
      <c r="A3014" s="134" t="str">
        <f>IFERROR(__xludf.DUMMYFUNCTION("""COMPUTED_VALUE"""),"Great Falls")</f>
        <v>Great Falls</v>
      </c>
      <c r="B3014" s="120" t="str">
        <f>IFERROR(__xludf.DUMMYFUNCTION("""COMPUTED_VALUE"""),"GFA")</f>
        <v>GFA</v>
      </c>
      <c r="C3014" s="120" t="str">
        <f>IFERROR(__xludf.DUMMYFUNCTION("""COMPUTED_VALUE"""),"Malmstrom AFB")</f>
        <v>Malmstrom AFB</v>
      </c>
      <c r="D3014" s="120" t="str">
        <f>IFERROR(__xludf.DUMMYFUNCTION("""COMPUTED_VALUE"""),"United States")</f>
        <v>United States</v>
      </c>
      <c r="E3014" s="135"/>
      <c r="F3014" s="31"/>
    </row>
    <row r="3015">
      <c r="A3015" s="134" t="str">
        <f>IFERROR(__xludf.DUMMYFUNCTION("""COMPUTED_VALUE"""),"Great Harbour")</f>
        <v>Great Harbour</v>
      </c>
      <c r="B3015" s="120" t="str">
        <f>IFERROR(__xludf.DUMMYFUNCTION("""COMPUTED_VALUE"""),"GHC")</f>
        <v>GHC</v>
      </c>
      <c r="C3015" s="120" t="str">
        <f>IFERROR(__xludf.DUMMYFUNCTION("""COMPUTED_VALUE"""),"Great Harbour")</f>
        <v>Great Harbour</v>
      </c>
      <c r="D3015" s="120" t="str">
        <f>IFERROR(__xludf.DUMMYFUNCTION("""COMPUTED_VALUE"""),"Bahamas")</f>
        <v>Bahamas</v>
      </c>
      <c r="E3015" s="135"/>
      <c r="F3015" s="31"/>
    </row>
    <row r="3016">
      <c r="A3016" s="134" t="str">
        <f>IFERROR(__xludf.DUMMYFUNCTION("""COMPUTED_VALUE"""),"Great Keppel Island")</f>
        <v>Great Keppel Island</v>
      </c>
      <c r="B3016" s="120" t="str">
        <f>IFERROR(__xludf.DUMMYFUNCTION("""COMPUTED_VALUE"""),"GKL")</f>
        <v>GKL</v>
      </c>
      <c r="C3016" s="120" t="str">
        <f>IFERROR(__xludf.DUMMYFUNCTION("""COMPUTED_VALUE"""),"Great Keppel Island")</f>
        <v>Great Keppel Island</v>
      </c>
      <c r="D3016" s="120" t="str">
        <f>IFERROR(__xludf.DUMMYFUNCTION("""COMPUTED_VALUE"""),"Australia")</f>
        <v>Australia</v>
      </c>
      <c r="E3016" s="135"/>
      <c r="F3016" s="31"/>
    </row>
    <row r="3017">
      <c r="A3017" s="134" t="str">
        <f>IFERROR(__xludf.DUMMYFUNCTION("""COMPUTED_VALUE"""),"Greeley")</f>
        <v>Greeley</v>
      </c>
      <c r="B3017" s="120" t="str">
        <f>IFERROR(__xludf.DUMMYFUNCTION("""COMPUTED_VALUE"""),"GXY")</f>
        <v>GXY</v>
      </c>
      <c r="C3017" s="120" t="str">
        <f>IFERROR(__xludf.DUMMYFUNCTION("""COMPUTED_VALUE"""),"Weld County")</f>
        <v>Weld County</v>
      </c>
      <c r="D3017" s="120" t="str">
        <f>IFERROR(__xludf.DUMMYFUNCTION("""COMPUTED_VALUE"""),"United States")</f>
        <v>United States</v>
      </c>
      <c r="E3017" s="135"/>
      <c r="F3017" s="31"/>
    </row>
    <row r="3018">
      <c r="A3018" s="134" t="str">
        <f>IFERROR(__xludf.DUMMYFUNCTION("""COMPUTED_VALUE"""),"Green Bay")</f>
        <v>Green Bay</v>
      </c>
      <c r="B3018" s="120" t="str">
        <f>IFERROR(__xludf.DUMMYFUNCTION("""COMPUTED_VALUE"""),"GRB")</f>
        <v>GRB</v>
      </c>
      <c r="C3018" s="120" t="str">
        <f>IFERROR(__xludf.DUMMYFUNCTION("""COMPUTED_VALUE"""),"Austin-straubel Field")</f>
        <v>Austin-straubel Field</v>
      </c>
      <c r="D3018" s="120" t="str">
        <f>IFERROR(__xludf.DUMMYFUNCTION("""COMPUTED_VALUE"""),"United States")</f>
        <v>United States</v>
      </c>
      <c r="E3018" s="135"/>
      <c r="F3018" s="31"/>
    </row>
    <row r="3019">
      <c r="A3019" s="134" t="str">
        <f>IFERROR(__xludf.DUMMYFUNCTION("""COMPUTED_VALUE"""),"Green Island")</f>
        <v>Green Island</v>
      </c>
      <c r="B3019" s="120" t="str">
        <f>IFERROR(__xludf.DUMMYFUNCTION("""COMPUTED_VALUE"""),"GNI")</f>
        <v>GNI</v>
      </c>
      <c r="C3019" s="120" t="str">
        <f>IFERROR(__xludf.DUMMYFUNCTION("""COMPUTED_VALUE"""),"Green Island")</f>
        <v>Green Island</v>
      </c>
      <c r="D3019" s="120" t="str">
        <f>IFERROR(__xludf.DUMMYFUNCTION("""COMPUTED_VALUE"""),"Taiwan")</f>
        <v>Taiwan</v>
      </c>
      <c r="E3019" s="135"/>
      <c r="F3019" s="31"/>
    </row>
    <row r="3020">
      <c r="A3020" s="134" t="str">
        <f>IFERROR(__xludf.DUMMYFUNCTION("""COMPUTED_VALUE"""),"Green Islands")</f>
        <v>Green Islands</v>
      </c>
      <c r="B3020" s="120" t="str">
        <f>IFERROR(__xludf.DUMMYFUNCTION("""COMPUTED_VALUE"""),"GEI")</f>
        <v>GEI</v>
      </c>
      <c r="C3020" s="120" t="str">
        <f>IFERROR(__xludf.DUMMYFUNCTION("""COMPUTED_VALUE"""),"Green Islands")</f>
        <v>Green Islands</v>
      </c>
      <c r="D3020" s="120" t="str">
        <f>IFERROR(__xludf.DUMMYFUNCTION("""COMPUTED_VALUE"""),"Papua New Guinea")</f>
        <v>Papua New Guinea</v>
      </c>
      <c r="E3020" s="135"/>
      <c r="F3020" s="31"/>
    </row>
    <row r="3021">
      <c r="A3021" s="134" t="str">
        <f>IFERROR(__xludf.DUMMYFUNCTION("""COMPUTED_VALUE"""),"Green River")</f>
        <v>Green River</v>
      </c>
      <c r="B3021" s="120" t="str">
        <f>IFERROR(__xludf.DUMMYFUNCTION("""COMPUTED_VALUE"""),"GVI")</f>
        <v>GVI</v>
      </c>
      <c r="C3021" s="120" t="str">
        <f>IFERROR(__xludf.DUMMYFUNCTION("""COMPUTED_VALUE"""),"Green River")</f>
        <v>Green River</v>
      </c>
      <c r="D3021" s="120" t="str">
        <f>IFERROR(__xludf.DUMMYFUNCTION("""COMPUTED_VALUE"""),"Papua New Guinea")</f>
        <v>Papua New Guinea</v>
      </c>
      <c r="E3021" s="135"/>
      <c r="F3021" s="31"/>
    </row>
    <row r="3022">
      <c r="A3022" s="134" t="str">
        <f>IFERROR(__xludf.DUMMYFUNCTION("""COMPUTED_VALUE"""),"Green River")</f>
        <v>Green River</v>
      </c>
      <c r="B3022" s="120" t="str">
        <f>IFERROR(__xludf.DUMMYFUNCTION("""COMPUTED_VALUE"""),"RVR")</f>
        <v>RVR</v>
      </c>
      <c r="C3022" s="120" t="str">
        <f>IFERROR(__xludf.DUMMYFUNCTION("""COMPUTED_VALUE"""),"Green River")</f>
        <v>Green River</v>
      </c>
      <c r="D3022" s="120" t="str">
        <f>IFERROR(__xludf.DUMMYFUNCTION("""COMPUTED_VALUE"""),"United States")</f>
        <v>United States</v>
      </c>
      <c r="E3022" s="135"/>
      <c r="F3022" s="31"/>
    </row>
    <row r="3023">
      <c r="A3023" s="134" t="str">
        <f>IFERROR(__xludf.DUMMYFUNCTION("""COMPUTED_VALUE"""),"Green Turtle")</f>
        <v>Green Turtle</v>
      </c>
      <c r="B3023" s="120" t="str">
        <f>IFERROR(__xludf.DUMMYFUNCTION("""COMPUTED_VALUE"""),"GTC")</f>
        <v>GTC</v>
      </c>
      <c r="C3023" s="120" t="str">
        <f>IFERROR(__xludf.DUMMYFUNCTION("""COMPUTED_VALUE"""),"Green Turtle")</f>
        <v>Green Turtle</v>
      </c>
      <c r="D3023" s="120" t="str">
        <f>IFERROR(__xludf.DUMMYFUNCTION("""COMPUTED_VALUE"""),"Bahamas")</f>
        <v>Bahamas</v>
      </c>
      <c r="E3023" s="135"/>
      <c r="F3023" s="31"/>
    </row>
    <row r="3024">
      <c r="A3024" s="134" t="str">
        <f>IFERROR(__xludf.DUMMYFUNCTION("""COMPUTED_VALUE"""),"Greenfield")</f>
        <v>Greenfield</v>
      </c>
      <c r="B3024" s="120" t="str">
        <f>IFERROR(__xludf.DUMMYFUNCTION("""COMPUTED_VALUE"""),"GFD")</f>
        <v>GFD</v>
      </c>
      <c r="C3024" s="120" t="str">
        <f>IFERROR(__xludf.DUMMYFUNCTION("""COMPUTED_VALUE"""),"Pope Field")</f>
        <v>Pope Field</v>
      </c>
      <c r="D3024" s="120" t="str">
        <f>IFERROR(__xludf.DUMMYFUNCTION("""COMPUTED_VALUE"""),"United States")</f>
        <v>United States</v>
      </c>
      <c r="E3024" s="135"/>
      <c r="F3024" s="31"/>
    </row>
    <row r="3025">
      <c r="A3025" s="134" t="str">
        <f>IFERROR(__xludf.DUMMYFUNCTION("""COMPUTED_VALUE"""),"Greenvale")</f>
        <v>Greenvale</v>
      </c>
      <c r="B3025" s="120" t="str">
        <f>IFERROR(__xludf.DUMMYFUNCTION("""COMPUTED_VALUE"""),"GVP")</f>
        <v>GVP</v>
      </c>
      <c r="C3025" s="120" t="str">
        <f>IFERROR(__xludf.DUMMYFUNCTION("""COMPUTED_VALUE"""),"Greenvale")</f>
        <v>Greenvale</v>
      </c>
      <c r="D3025" s="120" t="str">
        <f>IFERROR(__xludf.DUMMYFUNCTION("""COMPUTED_VALUE"""),"Australia")</f>
        <v>Australia</v>
      </c>
      <c r="E3025" s="135"/>
      <c r="F3025" s="31"/>
    </row>
    <row r="3026">
      <c r="A3026" s="134" t="str">
        <f>IFERROR(__xludf.DUMMYFUNCTION("""COMPUTED_VALUE"""),"Greenville")</f>
        <v>Greenville</v>
      </c>
      <c r="B3026" s="120" t="str">
        <f>IFERROR(__xludf.DUMMYFUNCTION("""COMPUTED_VALUE"""),"GRE")</f>
        <v>GRE</v>
      </c>
      <c r="C3026" s="120" t="str">
        <f>IFERROR(__xludf.DUMMYFUNCTION("""COMPUTED_VALUE"""),"Municipal")</f>
        <v>Municipal</v>
      </c>
      <c r="D3026" s="120" t="str">
        <f>IFERROR(__xludf.DUMMYFUNCTION("""COMPUTED_VALUE"""),"United States")</f>
        <v>United States</v>
      </c>
      <c r="E3026" s="135"/>
      <c r="F3026" s="31"/>
    </row>
    <row r="3027">
      <c r="A3027" s="134" t="str">
        <f>IFERROR(__xludf.DUMMYFUNCTION("""COMPUTED_VALUE"""),"Greenville")</f>
        <v>Greenville</v>
      </c>
      <c r="B3027" s="120" t="str">
        <f>IFERROR(__xludf.DUMMYFUNCTION("""COMPUTED_VALUE"""),"GLH")</f>
        <v>GLH</v>
      </c>
      <c r="C3027" s="120" t="str">
        <f>IFERROR(__xludf.DUMMYFUNCTION("""COMPUTED_VALUE"""),"Greenville")</f>
        <v>Greenville</v>
      </c>
      <c r="D3027" s="120" t="str">
        <f>IFERROR(__xludf.DUMMYFUNCTION("""COMPUTED_VALUE"""),"United States")</f>
        <v>United States</v>
      </c>
      <c r="E3027" s="135"/>
      <c r="F3027" s="31"/>
    </row>
    <row r="3028">
      <c r="A3028" s="134" t="str">
        <f>IFERROR(__xludf.DUMMYFUNCTION("""COMPUTED_VALUE"""),"Greenville")</f>
        <v>Greenville</v>
      </c>
      <c r="B3028" s="120" t="str">
        <f>IFERROR(__xludf.DUMMYFUNCTION("""COMPUTED_VALUE"""),"PGV")</f>
        <v>PGV</v>
      </c>
      <c r="C3028" s="120" t="str">
        <f>IFERROR(__xludf.DUMMYFUNCTION("""COMPUTED_VALUE"""),"Pitt-Greenville")</f>
        <v>Pitt-Greenville</v>
      </c>
      <c r="D3028" s="120" t="str">
        <f>IFERROR(__xludf.DUMMYFUNCTION("""COMPUTED_VALUE"""),"United States")</f>
        <v>United States</v>
      </c>
      <c r="E3028" s="135"/>
      <c r="F3028" s="31"/>
    </row>
    <row r="3029">
      <c r="A3029" s="134" t="str">
        <f>IFERROR(__xludf.DUMMYFUNCTION("""COMPUTED_VALUE"""),"Greenville")</f>
        <v>Greenville</v>
      </c>
      <c r="B3029" s="120" t="str">
        <f>IFERROR(__xludf.DUMMYFUNCTION("""COMPUTED_VALUE"""),"GDC")</f>
        <v>GDC</v>
      </c>
      <c r="C3029" s="120" t="str">
        <f>IFERROR(__xludf.DUMMYFUNCTION("""COMPUTED_VALUE"""),"Donaldson Center")</f>
        <v>Donaldson Center</v>
      </c>
      <c r="D3029" s="120" t="str">
        <f>IFERROR(__xludf.DUMMYFUNCTION("""COMPUTED_VALUE"""),"United States")</f>
        <v>United States</v>
      </c>
      <c r="E3029" s="135"/>
      <c r="F3029" s="31"/>
    </row>
    <row r="3030">
      <c r="A3030" s="134" t="str">
        <f>IFERROR(__xludf.DUMMYFUNCTION("""COMPUTED_VALUE"""),"Greenville")</f>
        <v>Greenville</v>
      </c>
      <c r="B3030" s="120" t="str">
        <f>IFERROR(__xludf.DUMMYFUNCTION("""COMPUTED_VALUE"""),"GMU")</f>
        <v>GMU</v>
      </c>
      <c r="C3030" s="120" t="str">
        <f>IFERROR(__xludf.DUMMYFUNCTION("""COMPUTED_VALUE"""),"Downtown")</f>
        <v>Downtown</v>
      </c>
      <c r="D3030" s="120" t="str">
        <f>IFERROR(__xludf.DUMMYFUNCTION("""COMPUTED_VALUE"""),"United States")</f>
        <v>United States</v>
      </c>
      <c r="E3030" s="135"/>
      <c r="F3030" s="31"/>
    </row>
    <row r="3031">
      <c r="A3031" s="134" t="str">
        <f>IFERROR(__xludf.DUMMYFUNCTION("""COMPUTED_VALUE"""),"Greenville")</f>
        <v>Greenville</v>
      </c>
      <c r="B3031" s="120" t="str">
        <f>IFERROR(__xludf.DUMMYFUNCTION("""COMPUTED_VALUE"""),"GSP")</f>
        <v>GSP</v>
      </c>
      <c r="C3031" s="120" t="str">
        <f>IFERROR(__xludf.DUMMYFUNCTION("""COMPUTED_VALUE"""),"Greenville-Spartanbur")</f>
        <v>Greenville-Spartanbur</v>
      </c>
      <c r="D3031" s="120" t="str">
        <f>IFERROR(__xludf.DUMMYFUNCTION("""COMPUTED_VALUE"""),"United States")</f>
        <v>United States</v>
      </c>
      <c r="E3031" s="135"/>
      <c r="F3031" s="31"/>
    </row>
    <row r="3032">
      <c r="A3032" s="134" t="str">
        <f>IFERROR(__xludf.DUMMYFUNCTION("""COMPUTED_VALUE"""),"Greenville")</f>
        <v>Greenville</v>
      </c>
      <c r="B3032" s="120" t="str">
        <f>IFERROR(__xludf.DUMMYFUNCTION("""COMPUTED_VALUE"""),"GCY")</f>
        <v>GCY</v>
      </c>
      <c r="C3032" s="120" t="str">
        <f>IFERROR(__xludf.DUMMYFUNCTION("""COMPUTED_VALUE"""),"Municipal")</f>
        <v>Municipal</v>
      </c>
      <c r="D3032" s="120" t="str">
        <f>IFERROR(__xludf.DUMMYFUNCTION("""COMPUTED_VALUE"""),"United States")</f>
        <v>United States</v>
      </c>
      <c r="E3032" s="135"/>
      <c r="F3032" s="31"/>
    </row>
    <row r="3033">
      <c r="A3033" s="134" t="str">
        <f>IFERROR(__xludf.DUMMYFUNCTION("""COMPUTED_VALUE"""),"Greenville")</f>
        <v>Greenville</v>
      </c>
      <c r="B3033" s="120" t="str">
        <f>IFERROR(__xludf.DUMMYFUNCTION("""COMPUTED_VALUE"""),"GVT")</f>
        <v>GVT</v>
      </c>
      <c r="C3033" s="120" t="str">
        <f>IFERROR(__xludf.DUMMYFUNCTION("""COMPUTED_VALUE"""),"Majors Field")</f>
        <v>Majors Field</v>
      </c>
      <c r="D3033" s="120" t="str">
        <f>IFERROR(__xludf.DUMMYFUNCTION("""COMPUTED_VALUE"""),"United States")</f>
        <v>United States</v>
      </c>
      <c r="E3033" s="135"/>
      <c r="F3033" s="31"/>
    </row>
    <row r="3034">
      <c r="A3034" s="134" t="str">
        <f>IFERROR(__xludf.DUMMYFUNCTION("""COMPUTED_VALUE"""),"Greenway Sound")</f>
        <v>Greenway Sound</v>
      </c>
      <c r="B3034" s="120" t="str">
        <f>IFERROR(__xludf.DUMMYFUNCTION("""COMPUTED_VALUE"""),"YGN")</f>
        <v>YGN</v>
      </c>
      <c r="C3034" s="120" t="str">
        <f>IFERROR(__xludf.DUMMYFUNCTION("""COMPUTED_VALUE"""),"Greenway Sound")</f>
        <v>Greenway Sound</v>
      </c>
      <c r="D3034" s="120" t="str">
        <f>IFERROR(__xludf.DUMMYFUNCTION("""COMPUTED_VALUE"""),"Canada")</f>
        <v>Canada</v>
      </c>
      <c r="E3034" s="135"/>
      <c r="F3034" s="31"/>
    </row>
    <row r="3035">
      <c r="A3035" s="134" t="str">
        <f>IFERROR(__xludf.DUMMYFUNCTION("""COMPUTED_VALUE"""),"Greenwood")</f>
        <v>Greenwood</v>
      </c>
      <c r="B3035" s="120" t="str">
        <f>IFERROR(__xludf.DUMMYFUNCTION("""COMPUTED_VALUE"""),"GWO")</f>
        <v>GWO</v>
      </c>
      <c r="C3035" s="120" t="str">
        <f>IFERROR(__xludf.DUMMYFUNCTION("""COMPUTED_VALUE"""),"Leflore")</f>
        <v>Leflore</v>
      </c>
      <c r="D3035" s="120" t="str">
        <f>IFERROR(__xludf.DUMMYFUNCTION("""COMPUTED_VALUE"""),"United States")</f>
        <v>United States</v>
      </c>
      <c r="E3035" s="135"/>
      <c r="F3035" s="31"/>
    </row>
    <row r="3036">
      <c r="A3036" s="134" t="str">
        <f>IFERROR(__xludf.DUMMYFUNCTION("""COMPUTED_VALUE"""),"Greenwood")</f>
        <v>Greenwood</v>
      </c>
      <c r="B3036" s="120" t="str">
        <f>IFERROR(__xludf.DUMMYFUNCTION("""COMPUTED_VALUE"""),"YZX")</f>
        <v>YZX</v>
      </c>
      <c r="C3036" s="120" t="str">
        <f>IFERROR(__xludf.DUMMYFUNCTION("""COMPUTED_VALUE"""),"Greenwood")</f>
        <v>Greenwood</v>
      </c>
      <c r="D3036" s="120" t="str">
        <f>IFERROR(__xludf.DUMMYFUNCTION("""COMPUTED_VALUE"""),"Canada")</f>
        <v>Canada</v>
      </c>
      <c r="E3036" s="135"/>
      <c r="F3036" s="31"/>
    </row>
    <row r="3037">
      <c r="A3037" s="134" t="str">
        <f>IFERROR(__xludf.DUMMYFUNCTION("""COMPUTED_VALUE"""),"Greenwood")</f>
        <v>Greenwood</v>
      </c>
      <c r="B3037" s="120" t="str">
        <f>IFERROR(__xludf.DUMMYFUNCTION("""COMPUTED_VALUE"""),"GRD")</f>
        <v>GRD</v>
      </c>
      <c r="C3037" s="120" t="str">
        <f>IFERROR(__xludf.DUMMYFUNCTION("""COMPUTED_VALUE"""),"Greenwood")</f>
        <v>Greenwood</v>
      </c>
      <c r="D3037" s="120" t="str">
        <f>IFERROR(__xludf.DUMMYFUNCTION("""COMPUTED_VALUE"""),"United States")</f>
        <v>United States</v>
      </c>
      <c r="E3037" s="135"/>
      <c r="F3037" s="31"/>
    </row>
    <row r="3038">
      <c r="A3038" s="134" t="str">
        <f>IFERROR(__xludf.DUMMYFUNCTION("""COMPUTED_VALUE"""),"Gregory Downs")</f>
        <v>Gregory Downs</v>
      </c>
      <c r="B3038" s="120" t="str">
        <f>IFERROR(__xludf.DUMMYFUNCTION("""COMPUTED_VALUE"""),"GGD")</f>
        <v>GGD</v>
      </c>
      <c r="C3038" s="120" t="str">
        <f>IFERROR(__xludf.DUMMYFUNCTION("""COMPUTED_VALUE"""),"Gregory Downs")</f>
        <v>Gregory Downs</v>
      </c>
      <c r="D3038" s="120" t="str">
        <f>IFERROR(__xludf.DUMMYFUNCTION("""COMPUTED_VALUE"""),"Australia")</f>
        <v>Australia</v>
      </c>
      <c r="E3038" s="135"/>
      <c r="F3038" s="31"/>
    </row>
    <row r="3039">
      <c r="A3039" s="134" t="str">
        <f>IFERROR(__xludf.DUMMYFUNCTION("""COMPUTED_VALUE"""),"Greifswald")</f>
        <v>Greifswald</v>
      </c>
      <c r="B3039" s="120" t="str">
        <f>IFERROR(__xludf.DUMMYFUNCTION("""COMPUTED_VALUE"""),"ZGW")</f>
        <v>ZGW</v>
      </c>
      <c r="C3039" s="120" t="str">
        <f>IFERROR(__xludf.DUMMYFUNCTION("""COMPUTED_VALUE"""),"Greifswald Railway")</f>
        <v>Greifswald Railway</v>
      </c>
      <c r="D3039" s="120" t="str">
        <f>IFERROR(__xludf.DUMMYFUNCTION("""COMPUTED_VALUE"""),"Germany")</f>
        <v>Germany</v>
      </c>
      <c r="E3039" s="135"/>
      <c r="F3039" s="31"/>
    </row>
    <row r="3040">
      <c r="A3040" s="134" t="str">
        <f>IFERROR(__xludf.DUMMYFUNCTION("""COMPUTED_VALUE"""),"Grenada")</f>
        <v>Grenada</v>
      </c>
      <c r="B3040" s="120" t="str">
        <f>IFERROR(__xludf.DUMMYFUNCTION("""COMPUTED_VALUE"""),"GND")</f>
        <v>GND</v>
      </c>
      <c r="C3040" s="120" t="str">
        <f>IFERROR(__xludf.DUMMYFUNCTION("""COMPUTED_VALUE"""),"Point Saline Intl")</f>
        <v>Point Saline Intl</v>
      </c>
      <c r="D3040" s="120" t="str">
        <f>IFERROR(__xludf.DUMMYFUNCTION("""COMPUTED_VALUE"""),"Grenada")</f>
        <v>Grenada</v>
      </c>
      <c r="E3040" s="135"/>
      <c r="F3040" s="31"/>
    </row>
    <row r="3041">
      <c r="A3041" s="134" t="str">
        <f>IFERROR(__xludf.DUMMYFUNCTION("""COMPUTED_VALUE"""),"Grenfell")</f>
        <v>Grenfell</v>
      </c>
      <c r="B3041" s="120" t="str">
        <f>IFERROR(__xludf.DUMMYFUNCTION("""COMPUTED_VALUE"""),"GFE")</f>
        <v>GFE</v>
      </c>
      <c r="C3041" s="120" t="str">
        <f>IFERROR(__xludf.DUMMYFUNCTION("""COMPUTED_VALUE"""),"Grenfell")</f>
        <v>Grenfell</v>
      </c>
      <c r="D3041" s="120" t="str">
        <f>IFERROR(__xludf.DUMMYFUNCTION("""COMPUTED_VALUE"""),"Australia")</f>
        <v>Australia</v>
      </c>
      <c r="E3041" s="135"/>
      <c r="F3041" s="31"/>
    </row>
    <row r="3042">
      <c r="A3042" s="134" t="str">
        <f>IFERROR(__xludf.DUMMYFUNCTION("""COMPUTED_VALUE"""),"Greybull")</f>
        <v>Greybull</v>
      </c>
      <c r="B3042" s="120" t="str">
        <f>IFERROR(__xludf.DUMMYFUNCTION("""COMPUTED_VALUE"""),"GEY")</f>
        <v>GEY</v>
      </c>
      <c r="C3042" s="120" t="str">
        <f>IFERROR(__xludf.DUMMYFUNCTION("""COMPUTED_VALUE"""),"South Big Horn County")</f>
        <v>South Big Horn County</v>
      </c>
      <c r="D3042" s="120" t="str">
        <f>IFERROR(__xludf.DUMMYFUNCTION("""COMPUTED_VALUE"""),"United States")</f>
        <v>United States</v>
      </c>
      <c r="E3042" s="135"/>
      <c r="F3042" s="31"/>
    </row>
    <row r="3043">
      <c r="A3043" s="134" t="str">
        <f>IFERROR(__xludf.DUMMYFUNCTION("""COMPUTED_VALUE"""),"Greymouth")</f>
        <v>Greymouth</v>
      </c>
      <c r="B3043" s="120" t="str">
        <f>IFERROR(__xludf.DUMMYFUNCTION("""COMPUTED_VALUE"""),"GMN")</f>
        <v>GMN</v>
      </c>
      <c r="C3043" s="120" t="str">
        <f>IFERROR(__xludf.DUMMYFUNCTION("""COMPUTED_VALUE"""),"Greymouth")</f>
        <v>Greymouth</v>
      </c>
      <c r="D3043" s="120" t="str">
        <f>IFERROR(__xludf.DUMMYFUNCTION("""COMPUTED_VALUE"""),"New Zealand (Aotearoa)")</f>
        <v>New Zealand (Aotearoa)</v>
      </c>
      <c r="E3043" s="135"/>
      <c r="F3043" s="31"/>
    </row>
    <row r="3044">
      <c r="A3044" s="134" t="str">
        <f>IFERROR(__xludf.DUMMYFUNCTION("""COMPUTED_VALUE"""),"Griffith")</f>
        <v>Griffith</v>
      </c>
      <c r="B3044" s="120" t="str">
        <f>IFERROR(__xludf.DUMMYFUNCTION("""COMPUTED_VALUE"""),"GFF")</f>
        <v>GFF</v>
      </c>
      <c r="C3044" s="120" t="str">
        <f>IFERROR(__xludf.DUMMYFUNCTION("""COMPUTED_VALUE"""),"Griffith")</f>
        <v>Griffith</v>
      </c>
      <c r="D3044" s="120" t="str">
        <f>IFERROR(__xludf.DUMMYFUNCTION("""COMPUTED_VALUE"""),"Australia")</f>
        <v>Australia</v>
      </c>
      <c r="E3044" s="135"/>
      <c r="F3044" s="31"/>
    </row>
    <row r="3045">
      <c r="A3045" s="134" t="str">
        <f>IFERROR(__xludf.DUMMYFUNCTION("""COMPUTED_VALUE"""),"Grimsby")</f>
        <v>Grimsby</v>
      </c>
      <c r="B3045" s="120" t="str">
        <f>IFERROR(__xludf.DUMMYFUNCTION("""COMPUTED_VALUE"""),"GSY")</f>
        <v>GSY</v>
      </c>
      <c r="C3045" s="120" t="str">
        <f>IFERROR(__xludf.DUMMYFUNCTION("""COMPUTED_VALUE"""),"Binbrook")</f>
        <v>Binbrook</v>
      </c>
      <c r="D3045" s="120" t="str">
        <f>IFERROR(__xludf.DUMMYFUNCTION("""COMPUTED_VALUE"""),"United Kingdom")</f>
        <v>United Kingdom</v>
      </c>
      <c r="E3045" s="135"/>
      <c r="F3045" s="31"/>
    </row>
    <row r="3046">
      <c r="A3046" s="134" t="str">
        <f>IFERROR(__xludf.DUMMYFUNCTION("""COMPUTED_VALUE"""),"Grimsey")</f>
        <v>Grimsey</v>
      </c>
      <c r="B3046" s="120" t="str">
        <f>IFERROR(__xludf.DUMMYFUNCTION("""COMPUTED_VALUE"""),"GRY")</f>
        <v>GRY</v>
      </c>
      <c r="C3046" s="120" t="str">
        <f>IFERROR(__xludf.DUMMYFUNCTION("""COMPUTED_VALUE"""),"Grimsey")</f>
        <v>Grimsey</v>
      </c>
      <c r="D3046" s="120" t="str">
        <f>IFERROR(__xludf.DUMMYFUNCTION("""COMPUTED_VALUE"""),"Iceland")</f>
        <v>Iceland</v>
      </c>
      <c r="E3046" s="135"/>
      <c r="F3046" s="31"/>
    </row>
    <row r="3047">
      <c r="A3047" s="134" t="str">
        <f>IFERROR(__xludf.DUMMYFUNCTION("""COMPUTED_VALUE"""),"Grise Fiord")</f>
        <v>Grise Fiord</v>
      </c>
      <c r="B3047" s="120" t="str">
        <f>IFERROR(__xludf.DUMMYFUNCTION("""COMPUTED_VALUE"""),"YGZ")</f>
        <v>YGZ</v>
      </c>
      <c r="C3047" s="120" t="str">
        <f>IFERROR(__xludf.DUMMYFUNCTION("""COMPUTED_VALUE"""),"Grise Fiord")</f>
        <v>Grise Fiord</v>
      </c>
      <c r="D3047" s="120" t="str">
        <f>IFERROR(__xludf.DUMMYFUNCTION("""COMPUTED_VALUE"""),"Canada")</f>
        <v>Canada</v>
      </c>
      <c r="E3047" s="135"/>
      <c r="F3047" s="31"/>
    </row>
    <row r="3048">
      <c r="A3048" s="134" t="str">
        <f>IFERROR(__xludf.DUMMYFUNCTION("""COMPUTED_VALUE"""),"Grodna")</f>
        <v>Grodna</v>
      </c>
      <c r="B3048" s="120" t="str">
        <f>IFERROR(__xludf.DUMMYFUNCTION("""COMPUTED_VALUE"""),"GNA")</f>
        <v>GNA</v>
      </c>
      <c r="C3048" s="120" t="str">
        <f>IFERROR(__xludf.DUMMYFUNCTION("""COMPUTED_VALUE"""),"Grodna")</f>
        <v>Grodna</v>
      </c>
      <c r="D3048" s="120" t="str">
        <f>IFERROR(__xludf.DUMMYFUNCTION("""COMPUTED_VALUE"""),"Belarus")</f>
        <v>Belarus</v>
      </c>
      <c r="E3048" s="135"/>
      <c r="F3048" s="31"/>
    </row>
    <row r="3049">
      <c r="A3049" s="134" t="str">
        <f>IFERROR(__xludf.DUMMYFUNCTION("""COMPUTED_VALUE"""),"Groennedal")</f>
        <v>Groennedal</v>
      </c>
      <c r="B3049" s="120" t="str">
        <f>IFERROR(__xludf.DUMMYFUNCTION("""COMPUTED_VALUE"""),"JGR")</f>
        <v>JGR</v>
      </c>
      <c r="C3049" s="120" t="str">
        <f>IFERROR(__xludf.DUMMYFUNCTION("""COMPUTED_VALUE"""),"Heliport")</f>
        <v>Heliport</v>
      </c>
      <c r="D3049" s="120" t="str">
        <f>IFERROR(__xludf.DUMMYFUNCTION("""COMPUTED_VALUE"""),"Greenland")</f>
        <v>Greenland</v>
      </c>
      <c r="E3049" s="135"/>
      <c r="F3049" s="31"/>
    </row>
    <row r="3050">
      <c r="A3050" s="134" t="str">
        <f>IFERROR(__xludf.DUMMYFUNCTION("""COMPUTED_VALUE"""),"Groningen")</f>
        <v>Groningen</v>
      </c>
      <c r="B3050" s="120" t="str">
        <f>IFERROR(__xludf.DUMMYFUNCTION("""COMPUTED_VALUE"""),"GRQ")</f>
        <v>GRQ</v>
      </c>
      <c r="C3050" s="120" t="str">
        <f>IFERROR(__xludf.DUMMYFUNCTION("""COMPUTED_VALUE"""),"Eelde")</f>
        <v>Eelde</v>
      </c>
      <c r="D3050" s="120" t="str">
        <f>IFERROR(__xludf.DUMMYFUNCTION("""COMPUTED_VALUE"""),"Netherlands")</f>
        <v>Netherlands</v>
      </c>
      <c r="E3050" s="135"/>
      <c r="F3050" s="31"/>
    </row>
    <row r="3051">
      <c r="A3051" s="134" t="str">
        <f>IFERROR(__xludf.DUMMYFUNCTION("""COMPUTED_VALUE"""),"Groote Eylandt")</f>
        <v>Groote Eylandt</v>
      </c>
      <c r="B3051" s="120" t="str">
        <f>IFERROR(__xludf.DUMMYFUNCTION("""COMPUTED_VALUE"""),"GTE")</f>
        <v>GTE</v>
      </c>
      <c r="C3051" s="120" t="str">
        <f>IFERROR(__xludf.DUMMYFUNCTION("""COMPUTED_VALUE"""),"Alyangula")</f>
        <v>Alyangula</v>
      </c>
      <c r="D3051" s="120" t="str">
        <f>IFERROR(__xludf.DUMMYFUNCTION("""COMPUTED_VALUE"""),"Australia")</f>
        <v>Australia</v>
      </c>
      <c r="E3051" s="135"/>
      <c r="F3051" s="31"/>
    </row>
    <row r="3052">
      <c r="A3052" s="134" t="str">
        <f>IFERROR(__xludf.DUMMYFUNCTION("""COMPUTED_VALUE"""),"Grootfontein")</f>
        <v>Grootfontein</v>
      </c>
      <c r="B3052" s="120" t="str">
        <f>IFERROR(__xludf.DUMMYFUNCTION("""COMPUTED_VALUE"""),"GFY")</f>
        <v>GFY</v>
      </c>
      <c r="C3052" s="120" t="str">
        <f>IFERROR(__xludf.DUMMYFUNCTION("""COMPUTED_VALUE"""),"Grootfontein")</f>
        <v>Grootfontein</v>
      </c>
      <c r="D3052" s="120" t="str">
        <f>IFERROR(__xludf.DUMMYFUNCTION("""COMPUTED_VALUE"""),"Namibia")</f>
        <v>Namibia</v>
      </c>
      <c r="E3052" s="135"/>
      <c r="F3052" s="31"/>
    </row>
    <row r="3053">
      <c r="A3053" s="134" t="str">
        <f>IFERROR(__xludf.DUMMYFUNCTION("""COMPUTED_VALUE"""),"Grosseto")</f>
        <v>Grosseto</v>
      </c>
      <c r="B3053" s="120" t="str">
        <f>IFERROR(__xludf.DUMMYFUNCTION("""COMPUTED_VALUE"""),"GRS")</f>
        <v>GRS</v>
      </c>
      <c r="C3053" s="120" t="str">
        <f>IFERROR(__xludf.DUMMYFUNCTION("""COMPUTED_VALUE"""),"Baccarini")</f>
        <v>Baccarini</v>
      </c>
      <c r="D3053" s="120" t="str">
        <f>IFERROR(__xludf.DUMMYFUNCTION("""COMPUTED_VALUE"""),"Italy")</f>
        <v>Italy</v>
      </c>
      <c r="E3053" s="135"/>
      <c r="F3053" s="31"/>
    </row>
    <row r="3054">
      <c r="A3054" s="134" t="str">
        <f>IFERROR(__xludf.DUMMYFUNCTION("""COMPUTED_VALUE"""),"Groton")</f>
        <v>Groton</v>
      </c>
      <c r="B3054" s="120" t="str">
        <f>IFERROR(__xludf.DUMMYFUNCTION("""COMPUTED_VALUE"""),"ZGD")</f>
        <v>ZGD</v>
      </c>
      <c r="C3054" s="120" t="str">
        <f>IFERROR(__xludf.DUMMYFUNCTION("""COMPUTED_VALUE"""),"New London Rail")</f>
        <v>New London Rail</v>
      </c>
      <c r="D3054" s="120" t="str">
        <f>IFERROR(__xludf.DUMMYFUNCTION("""COMPUTED_VALUE"""),"United States")</f>
        <v>United States</v>
      </c>
      <c r="E3054" s="135"/>
      <c r="F3054" s="31"/>
    </row>
    <row r="3055">
      <c r="A3055" s="134" t="str">
        <f>IFERROR(__xludf.DUMMYFUNCTION("""COMPUTED_VALUE"""),"Groznyj")</f>
        <v>Groznyj</v>
      </c>
      <c r="B3055" s="120" t="str">
        <f>IFERROR(__xludf.DUMMYFUNCTION("""COMPUTED_VALUE"""),"GRV")</f>
        <v>GRV</v>
      </c>
      <c r="C3055" s="120" t="str">
        <f>IFERROR(__xludf.DUMMYFUNCTION("""COMPUTED_VALUE"""),"Groznyj")</f>
        <v>Groznyj</v>
      </c>
      <c r="D3055" s="120" t="str">
        <f>IFERROR(__xludf.DUMMYFUNCTION("""COMPUTED_VALUE"""),"Russia")</f>
        <v>Russia</v>
      </c>
      <c r="E3055" s="135"/>
      <c r="F3055" s="31"/>
    </row>
    <row r="3056">
      <c r="A3056" s="134" t="str">
        <f>IFERROR(__xludf.DUMMYFUNCTION("""COMPUTED_VALUE"""),"Grundarfjordur")</f>
        <v>Grundarfjordur</v>
      </c>
      <c r="B3056" s="120" t="str">
        <f>IFERROR(__xludf.DUMMYFUNCTION("""COMPUTED_VALUE"""),"GUU")</f>
        <v>GUU</v>
      </c>
      <c r="C3056" s="120" t="str">
        <f>IFERROR(__xludf.DUMMYFUNCTION("""COMPUTED_VALUE"""),"Grundarfjordur")</f>
        <v>Grundarfjordur</v>
      </c>
      <c r="D3056" s="120" t="str">
        <f>IFERROR(__xludf.DUMMYFUNCTION("""COMPUTED_VALUE"""),"Iceland")</f>
        <v>Iceland</v>
      </c>
      <c r="E3056" s="135"/>
      <c r="F3056" s="31"/>
    </row>
    <row r="3057">
      <c r="A3057" s="134" t="str">
        <f>IFERROR(__xludf.DUMMYFUNCTION("""COMPUTED_VALUE"""),"Guacamaya")</f>
        <v>Guacamaya</v>
      </c>
      <c r="B3057" s="120" t="str">
        <f>IFERROR(__xludf.DUMMYFUNCTION("""COMPUTED_VALUE"""),"GCA")</f>
        <v>GCA</v>
      </c>
      <c r="C3057" s="120" t="str">
        <f>IFERROR(__xludf.DUMMYFUNCTION("""COMPUTED_VALUE"""),"Guacamaya")</f>
        <v>Guacamaya</v>
      </c>
      <c r="D3057" s="120" t="str">
        <f>IFERROR(__xludf.DUMMYFUNCTION("""COMPUTED_VALUE"""),"Colombia")</f>
        <v>Colombia</v>
      </c>
      <c r="E3057" s="135"/>
      <c r="F3057" s="31"/>
    </row>
    <row r="3058">
      <c r="A3058" s="134" t="str">
        <f>IFERROR(__xludf.DUMMYFUNCTION("""COMPUTED_VALUE"""),"Guadalajara")</f>
        <v>Guadalajara</v>
      </c>
      <c r="B3058" s="120" t="str">
        <f>IFERROR(__xludf.DUMMYFUNCTION("""COMPUTED_VALUE"""),"GDL")</f>
        <v>GDL</v>
      </c>
      <c r="C3058" s="120" t="str">
        <f>IFERROR(__xludf.DUMMYFUNCTION("""COMPUTED_VALUE"""),"Miguel Hidal")</f>
        <v>Miguel Hidal</v>
      </c>
      <c r="D3058" s="120" t="str">
        <f>IFERROR(__xludf.DUMMYFUNCTION("""COMPUTED_VALUE"""),"Mexico")</f>
        <v>Mexico</v>
      </c>
      <c r="E3058" s="135"/>
      <c r="F3058" s="31"/>
    </row>
    <row r="3059">
      <c r="A3059" s="134" t="str">
        <f>IFERROR(__xludf.DUMMYFUNCTION("""COMPUTED_VALUE"""),"Guadalcanal")</f>
        <v>Guadalcanal</v>
      </c>
      <c r="B3059" s="120" t="str">
        <f>IFERROR(__xludf.DUMMYFUNCTION("""COMPUTED_VALUE"""),"GSI")</f>
        <v>GSI</v>
      </c>
      <c r="C3059" s="120" t="str">
        <f>IFERROR(__xludf.DUMMYFUNCTION("""COMPUTED_VALUE"""),"Guadalcanal")</f>
        <v>Guadalcanal</v>
      </c>
      <c r="D3059" s="120" t="str">
        <f>IFERROR(__xludf.DUMMYFUNCTION("""COMPUTED_VALUE"""),"Solomon Islands")</f>
        <v>Solomon Islands</v>
      </c>
      <c r="E3059" s="135"/>
      <c r="F3059" s="31"/>
    </row>
    <row r="3060">
      <c r="A3060" s="134" t="str">
        <f>IFERROR(__xludf.DUMMYFUNCTION("""COMPUTED_VALUE"""),"Guadalupe")</f>
        <v>Guadalupe</v>
      </c>
      <c r="B3060" s="120" t="str">
        <f>IFERROR(__xludf.DUMMYFUNCTION("""COMPUTED_VALUE"""),"GDP")</f>
        <v>GDP</v>
      </c>
      <c r="C3060" s="120" t="str">
        <f>IFERROR(__xludf.DUMMYFUNCTION("""COMPUTED_VALUE"""),"Guadalupe")</f>
        <v>Guadalupe</v>
      </c>
      <c r="D3060" s="120" t="str">
        <f>IFERROR(__xludf.DUMMYFUNCTION("""COMPUTED_VALUE"""),"Brazil")</f>
        <v>Brazil</v>
      </c>
      <c r="E3060" s="135"/>
      <c r="F3060" s="31"/>
    </row>
    <row r="3061">
      <c r="A3061" s="134" t="str">
        <f>IFERROR(__xludf.DUMMYFUNCTION("""COMPUTED_VALUE"""),"Guajara-Mirim")</f>
        <v>Guajara-Mirim</v>
      </c>
      <c r="B3061" s="120" t="str">
        <f>IFERROR(__xludf.DUMMYFUNCTION("""COMPUTED_VALUE"""),"GJM")</f>
        <v>GJM</v>
      </c>
      <c r="C3061" s="120" t="str">
        <f>IFERROR(__xludf.DUMMYFUNCTION("""COMPUTED_VALUE"""),"Guajara-Mirim")</f>
        <v>Guajara-Mirim</v>
      </c>
      <c r="D3061" s="120" t="str">
        <f>IFERROR(__xludf.DUMMYFUNCTION("""COMPUTED_VALUE"""),"Brazil")</f>
        <v>Brazil</v>
      </c>
      <c r="E3061" s="135"/>
      <c r="F3061" s="31"/>
    </row>
    <row r="3062">
      <c r="A3062" s="134" t="str">
        <f>IFERROR(__xludf.DUMMYFUNCTION("""COMPUTED_VALUE"""),"Gualaco")</f>
        <v>Gualaco</v>
      </c>
      <c r="B3062" s="120" t="str">
        <f>IFERROR(__xludf.DUMMYFUNCTION("""COMPUTED_VALUE"""),"GUO")</f>
        <v>GUO</v>
      </c>
      <c r="C3062" s="120" t="str">
        <f>IFERROR(__xludf.DUMMYFUNCTION("""COMPUTED_VALUE"""),"Gualaco")</f>
        <v>Gualaco</v>
      </c>
      <c r="D3062" s="120" t="str">
        <f>IFERROR(__xludf.DUMMYFUNCTION("""COMPUTED_VALUE"""),"Honduras")</f>
        <v>Honduras</v>
      </c>
      <c r="E3062" s="135"/>
      <c r="F3062" s="31"/>
    </row>
    <row r="3063">
      <c r="A3063" s="134" t="str">
        <f>IFERROR(__xludf.DUMMYFUNCTION("""COMPUTED_VALUE"""),"Gualeguaychu")</f>
        <v>Gualeguaychu</v>
      </c>
      <c r="B3063" s="120" t="str">
        <f>IFERROR(__xludf.DUMMYFUNCTION("""COMPUTED_VALUE"""),"GHU")</f>
        <v>GHU</v>
      </c>
      <c r="C3063" s="120" t="str">
        <f>IFERROR(__xludf.DUMMYFUNCTION("""COMPUTED_VALUE"""),"Gualeguaychu")</f>
        <v>Gualeguaychu</v>
      </c>
      <c r="D3063" s="120" t="str">
        <f>IFERROR(__xludf.DUMMYFUNCTION("""COMPUTED_VALUE"""),"Argentina")</f>
        <v>Argentina</v>
      </c>
      <c r="E3063" s="135"/>
      <c r="F3063" s="31"/>
    </row>
    <row r="3064">
      <c r="A3064" s="134" t="str">
        <f>IFERROR(__xludf.DUMMYFUNCTION("""COMPUTED_VALUE"""),"Agana")</f>
        <v>Agana</v>
      </c>
      <c r="B3064" s="120" t="str">
        <f>IFERROR(__xludf.DUMMYFUNCTION("""COMPUTED_VALUE"""),"NGM")</f>
        <v>NGM</v>
      </c>
      <c r="C3064" s="120" t="str">
        <f>IFERROR(__xludf.DUMMYFUNCTION("""COMPUTED_VALUE"""),"Agana Nas")</f>
        <v>Agana Nas</v>
      </c>
      <c r="D3064" s="120" t="str">
        <f>IFERROR(__xludf.DUMMYFUNCTION("""COMPUTED_VALUE"""),"Guam (usa)")</f>
        <v>Guam (usa)</v>
      </c>
      <c r="E3064" s="135"/>
      <c r="F3064" s="31"/>
    </row>
    <row r="3065">
      <c r="A3065" s="134" t="str">
        <f>IFERROR(__xludf.DUMMYFUNCTION("""COMPUTED_VALUE"""),"Guam")</f>
        <v>Guam</v>
      </c>
      <c r="B3065" s="120" t="str">
        <f>IFERROR(__xludf.DUMMYFUNCTION("""COMPUTED_VALUE"""),"UAM")</f>
        <v>UAM</v>
      </c>
      <c r="C3065" s="120" t="str">
        <f>IFERROR(__xludf.DUMMYFUNCTION("""COMPUTED_VALUE"""),"Anderson AFB")</f>
        <v>Anderson AFB</v>
      </c>
      <c r="D3065" s="120" t="str">
        <f>IFERROR(__xludf.DUMMYFUNCTION("""COMPUTED_VALUE"""),"Guam (USA)")</f>
        <v>Guam (USA)</v>
      </c>
      <c r="E3065" s="135"/>
      <c r="F3065" s="31"/>
    </row>
    <row r="3066">
      <c r="A3066" s="134" t="str">
        <f>IFERROR(__xludf.DUMMYFUNCTION("""COMPUTED_VALUE"""),"Guam")</f>
        <v>Guam</v>
      </c>
      <c r="B3066" s="120" t="str">
        <f>IFERROR(__xludf.DUMMYFUNCTION("""COMPUTED_VALUE"""),"NRV")</f>
        <v>NRV</v>
      </c>
      <c r="C3066" s="120" t="str">
        <f>IFERROR(__xludf.DUMMYFUNCTION("""COMPUTED_VALUE"""),"Uscg Shore St")</f>
        <v>Uscg Shore St</v>
      </c>
      <c r="D3066" s="120" t="str">
        <f>IFERROR(__xludf.DUMMYFUNCTION("""COMPUTED_VALUE"""),"Guam")</f>
        <v>Guam</v>
      </c>
      <c r="E3066" s="135"/>
      <c r="F3066" s="31"/>
    </row>
    <row r="3067">
      <c r="A3067" s="134" t="str">
        <f>IFERROR(__xludf.DUMMYFUNCTION("""COMPUTED_VALUE"""),"Guamal")</f>
        <v>Guamal</v>
      </c>
      <c r="B3067" s="120" t="str">
        <f>IFERROR(__xludf.DUMMYFUNCTION("""COMPUTED_VALUE"""),"GAA")</f>
        <v>GAA</v>
      </c>
      <c r="C3067" s="120" t="str">
        <f>IFERROR(__xludf.DUMMYFUNCTION("""COMPUTED_VALUE"""),"Guamal")</f>
        <v>Guamal</v>
      </c>
      <c r="D3067" s="120" t="str">
        <f>IFERROR(__xludf.DUMMYFUNCTION("""COMPUTED_VALUE"""),"Colombia")</f>
        <v>Colombia</v>
      </c>
      <c r="E3067" s="135"/>
      <c r="F3067" s="31"/>
    </row>
    <row r="3068">
      <c r="A3068" s="134" t="str">
        <f>IFERROR(__xludf.DUMMYFUNCTION("""COMPUTED_VALUE"""),"Guanaja")</f>
        <v>Guanaja</v>
      </c>
      <c r="B3068" s="120" t="str">
        <f>IFERROR(__xludf.DUMMYFUNCTION("""COMPUTED_VALUE"""),"GJA")</f>
        <v>GJA</v>
      </c>
      <c r="C3068" s="120" t="str">
        <f>IFERROR(__xludf.DUMMYFUNCTION("""COMPUTED_VALUE"""),"Guanaja")</f>
        <v>Guanaja</v>
      </c>
      <c r="D3068" s="120" t="str">
        <f>IFERROR(__xludf.DUMMYFUNCTION("""COMPUTED_VALUE"""),"Honduras")</f>
        <v>Honduras</v>
      </c>
      <c r="E3068" s="135"/>
      <c r="F3068" s="31"/>
    </row>
    <row r="3069">
      <c r="A3069" s="134" t="str">
        <f>IFERROR(__xludf.DUMMYFUNCTION("""COMPUTED_VALUE"""),"Guanambi")</f>
        <v>Guanambi</v>
      </c>
      <c r="B3069" s="120" t="str">
        <f>IFERROR(__xludf.DUMMYFUNCTION("""COMPUTED_VALUE"""),"GNM")</f>
        <v>GNM</v>
      </c>
      <c r="C3069" s="120" t="str">
        <f>IFERROR(__xludf.DUMMYFUNCTION("""COMPUTED_VALUE"""),"Guanambi")</f>
        <v>Guanambi</v>
      </c>
      <c r="D3069" s="120" t="str">
        <f>IFERROR(__xludf.DUMMYFUNCTION("""COMPUTED_VALUE"""),"Brazil")</f>
        <v>Brazil</v>
      </c>
      <c r="E3069" s="135"/>
      <c r="F3069" s="31"/>
    </row>
    <row r="3070">
      <c r="A3070" s="134" t="str">
        <f>IFERROR(__xludf.DUMMYFUNCTION("""COMPUTED_VALUE"""),"Guanare")</f>
        <v>Guanare</v>
      </c>
      <c r="B3070" s="120" t="str">
        <f>IFERROR(__xludf.DUMMYFUNCTION("""COMPUTED_VALUE"""),"GUQ")</f>
        <v>GUQ</v>
      </c>
      <c r="C3070" s="120" t="str">
        <f>IFERROR(__xludf.DUMMYFUNCTION("""COMPUTED_VALUE"""),"Guanare")</f>
        <v>Guanare</v>
      </c>
      <c r="D3070" s="120" t="str">
        <f>IFERROR(__xludf.DUMMYFUNCTION("""COMPUTED_VALUE"""),"Venezuela")</f>
        <v>Venezuela</v>
      </c>
      <c r="E3070" s="135"/>
      <c r="F3070" s="31"/>
    </row>
    <row r="3071">
      <c r="A3071" s="134" t="str">
        <f>IFERROR(__xludf.DUMMYFUNCTION("""COMPUTED_VALUE"""),"Guang Yuan")</f>
        <v>Guang Yuan</v>
      </c>
      <c r="B3071" s="120" t="str">
        <f>IFERROR(__xludf.DUMMYFUNCTION("""COMPUTED_VALUE"""),"GYS")</f>
        <v>GYS</v>
      </c>
      <c r="C3071" s="120" t="str">
        <f>IFERROR(__xludf.DUMMYFUNCTION("""COMPUTED_VALUE"""),"Guang Yuan")</f>
        <v>Guang Yuan</v>
      </c>
      <c r="D3071" s="120" t="str">
        <f>IFERROR(__xludf.DUMMYFUNCTION("""COMPUTED_VALUE"""),"China")</f>
        <v>China</v>
      </c>
      <c r="E3071" s="135"/>
      <c r="F3071" s="31"/>
    </row>
    <row r="3072">
      <c r="A3072" s="134" t="str">
        <f>IFERROR(__xludf.DUMMYFUNCTION("""COMPUTED_VALUE"""),"Guanghan")</f>
        <v>Guanghan</v>
      </c>
      <c r="B3072" s="120" t="str">
        <f>IFERROR(__xludf.DUMMYFUNCTION("""COMPUTED_VALUE"""),"GHN")</f>
        <v>GHN</v>
      </c>
      <c r="C3072" s="120" t="str">
        <f>IFERROR(__xludf.DUMMYFUNCTION("""COMPUTED_VALUE"""),"Guanghan")</f>
        <v>Guanghan</v>
      </c>
      <c r="D3072" s="120" t="str">
        <f>IFERROR(__xludf.DUMMYFUNCTION("""COMPUTED_VALUE"""),"China")</f>
        <v>China</v>
      </c>
      <c r="E3072" s="135"/>
      <c r="F3072" s="31"/>
    </row>
    <row r="3073">
      <c r="A3073" s="134" t="str">
        <f>IFERROR(__xludf.DUMMYFUNCTION("""COMPUTED_VALUE"""),"Guanghua")</f>
        <v>Guanghua</v>
      </c>
      <c r="B3073" s="120" t="str">
        <f>IFERROR(__xludf.DUMMYFUNCTION("""COMPUTED_VALUE"""),"LHK")</f>
        <v>LHK</v>
      </c>
      <c r="C3073" s="120" t="str">
        <f>IFERROR(__xludf.DUMMYFUNCTION("""COMPUTED_VALUE"""),"Guanghua")</f>
        <v>Guanghua</v>
      </c>
      <c r="D3073" s="120" t="str">
        <f>IFERROR(__xludf.DUMMYFUNCTION("""COMPUTED_VALUE"""),"China")</f>
        <v>China</v>
      </c>
      <c r="E3073" s="135"/>
      <c r="F3073" s="31"/>
    </row>
    <row r="3074">
      <c r="A3074" s="134" t="str">
        <f>IFERROR(__xludf.DUMMYFUNCTION("""COMPUTED_VALUE"""),"Guangzhou")</f>
        <v>Guangzhou</v>
      </c>
      <c r="B3074" s="120" t="str">
        <f>IFERROR(__xludf.DUMMYFUNCTION("""COMPUTED_VALUE"""),"CAN")</f>
        <v>CAN</v>
      </c>
      <c r="C3074" s="120" t="str">
        <f>IFERROR(__xludf.DUMMYFUNCTION("""COMPUTED_VALUE"""),"Baiyun")</f>
        <v>Baiyun</v>
      </c>
      <c r="D3074" s="120" t="str">
        <f>IFERROR(__xludf.DUMMYFUNCTION("""COMPUTED_VALUE"""),"China")</f>
        <v>China</v>
      </c>
      <c r="E3074" s="135"/>
      <c r="F3074" s="31"/>
    </row>
    <row r="3075">
      <c r="A3075" s="134" t="str">
        <f>IFERROR(__xludf.DUMMYFUNCTION("""COMPUTED_VALUE"""),"Guantanamo")</f>
        <v>Guantanamo</v>
      </c>
      <c r="B3075" s="120" t="str">
        <f>IFERROR(__xludf.DUMMYFUNCTION("""COMPUTED_VALUE"""),"NBW")</f>
        <v>NBW</v>
      </c>
      <c r="C3075" s="120" t="str">
        <f>IFERROR(__xludf.DUMMYFUNCTION("""COMPUTED_VALUE"""),"Guantanamo NAS")</f>
        <v>Guantanamo NAS</v>
      </c>
      <c r="D3075" s="120" t="str">
        <f>IFERROR(__xludf.DUMMYFUNCTION("""COMPUTED_VALUE"""),"Cuba")</f>
        <v>Cuba</v>
      </c>
      <c r="E3075" s="135"/>
      <c r="F3075" s="31"/>
    </row>
    <row r="3076">
      <c r="A3076" s="134" t="str">
        <f>IFERROR(__xludf.DUMMYFUNCTION("""COMPUTED_VALUE"""),"Guantanamo")</f>
        <v>Guantanamo</v>
      </c>
      <c r="B3076" s="120" t="str">
        <f>IFERROR(__xludf.DUMMYFUNCTION("""COMPUTED_VALUE"""),"GAO")</f>
        <v>GAO</v>
      </c>
      <c r="C3076" s="120" t="str">
        <f>IFERROR(__xludf.DUMMYFUNCTION("""COMPUTED_VALUE"""),"Los Canos")</f>
        <v>Los Canos</v>
      </c>
      <c r="D3076" s="120" t="str">
        <f>IFERROR(__xludf.DUMMYFUNCTION("""COMPUTED_VALUE"""),"Cuba")</f>
        <v>Cuba</v>
      </c>
      <c r="E3076" s="135"/>
      <c r="F3076" s="31"/>
    </row>
    <row r="3077">
      <c r="A3077" s="134" t="str">
        <f>IFERROR(__xludf.DUMMYFUNCTION("""COMPUTED_VALUE"""),"Guapi")</f>
        <v>Guapi</v>
      </c>
      <c r="B3077" s="120" t="str">
        <f>IFERROR(__xludf.DUMMYFUNCTION("""COMPUTED_VALUE"""),"GPI")</f>
        <v>GPI</v>
      </c>
      <c r="C3077" s="120" t="str">
        <f>IFERROR(__xludf.DUMMYFUNCTION("""COMPUTED_VALUE"""),"Guapi")</f>
        <v>Guapi</v>
      </c>
      <c r="D3077" s="120" t="str">
        <f>IFERROR(__xludf.DUMMYFUNCTION("""COMPUTED_VALUE"""),"Colombia")</f>
        <v>Colombia</v>
      </c>
      <c r="E3077" s="135"/>
      <c r="F3077" s="31"/>
    </row>
    <row r="3078">
      <c r="A3078" s="134" t="str">
        <f>IFERROR(__xludf.DUMMYFUNCTION("""COMPUTED_VALUE"""),"Guapiles")</f>
        <v>Guapiles</v>
      </c>
      <c r="B3078" s="120" t="str">
        <f>IFERROR(__xludf.DUMMYFUNCTION("""COMPUTED_VALUE"""),"GPL")</f>
        <v>GPL</v>
      </c>
      <c r="C3078" s="120" t="str">
        <f>IFERROR(__xludf.DUMMYFUNCTION("""COMPUTED_VALUE"""),"Guapiles")</f>
        <v>Guapiles</v>
      </c>
      <c r="D3078" s="120" t="str">
        <f>IFERROR(__xludf.DUMMYFUNCTION("""COMPUTED_VALUE"""),"Costa Rica")</f>
        <v>Costa Rica</v>
      </c>
      <c r="E3078" s="135"/>
      <c r="F3078" s="31"/>
    </row>
    <row r="3079">
      <c r="A3079" s="134" t="str">
        <f>IFERROR(__xludf.DUMMYFUNCTION("""COMPUTED_VALUE"""),"Guarapari")</f>
        <v>Guarapari</v>
      </c>
      <c r="B3079" s="120" t="str">
        <f>IFERROR(__xludf.DUMMYFUNCTION("""COMPUTED_VALUE"""),"GUZ")</f>
        <v>GUZ</v>
      </c>
      <c r="C3079" s="120" t="str">
        <f>IFERROR(__xludf.DUMMYFUNCTION("""COMPUTED_VALUE"""),"Guarapari")</f>
        <v>Guarapari</v>
      </c>
      <c r="D3079" s="120" t="str">
        <f>IFERROR(__xludf.DUMMYFUNCTION("""COMPUTED_VALUE"""),"Brazil")</f>
        <v>Brazil</v>
      </c>
      <c r="E3079" s="135"/>
      <c r="F3079" s="31"/>
    </row>
    <row r="3080">
      <c r="A3080" s="134" t="str">
        <f>IFERROR(__xludf.DUMMYFUNCTION("""COMPUTED_VALUE"""),"Guarapuava")</f>
        <v>Guarapuava</v>
      </c>
      <c r="B3080" s="120" t="str">
        <f>IFERROR(__xludf.DUMMYFUNCTION("""COMPUTED_VALUE"""),"GPB")</f>
        <v>GPB</v>
      </c>
      <c r="C3080" s="120" t="str">
        <f>IFERROR(__xludf.DUMMYFUNCTION("""COMPUTED_VALUE"""),"Tancredo Thomaz Faria")</f>
        <v>Tancredo Thomaz Faria</v>
      </c>
      <c r="D3080" s="120" t="str">
        <f>IFERROR(__xludf.DUMMYFUNCTION("""COMPUTED_VALUE"""),"Brazil")</f>
        <v>Brazil</v>
      </c>
      <c r="E3080" s="135"/>
      <c r="F3080" s="31"/>
    </row>
    <row r="3081">
      <c r="A3081" s="134" t="str">
        <f>IFERROR(__xludf.DUMMYFUNCTION("""COMPUTED_VALUE"""),"Guaratingueta")</f>
        <v>Guaratingueta</v>
      </c>
      <c r="B3081" s="120" t="str">
        <f>IFERROR(__xludf.DUMMYFUNCTION("""COMPUTED_VALUE"""),"GUJ")</f>
        <v>GUJ</v>
      </c>
      <c r="C3081" s="120" t="str">
        <f>IFERROR(__xludf.DUMMYFUNCTION("""COMPUTED_VALUE"""),"Guaratingueta")</f>
        <v>Guaratingueta</v>
      </c>
      <c r="D3081" s="120" t="str">
        <f>IFERROR(__xludf.DUMMYFUNCTION("""COMPUTED_VALUE"""),"Brazil")</f>
        <v>Brazil</v>
      </c>
      <c r="E3081" s="135"/>
      <c r="F3081" s="31"/>
    </row>
    <row r="3082">
      <c r="A3082" s="134" t="str">
        <f>IFERROR(__xludf.DUMMYFUNCTION("""COMPUTED_VALUE"""),"Guari")</f>
        <v>Guari</v>
      </c>
      <c r="B3082" s="120" t="str">
        <f>IFERROR(__xludf.DUMMYFUNCTION("""COMPUTED_VALUE"""),"GUG")</f>
        <v>GUG</v>
      </c>
      <c r="C3082" s="120" t="str">
        <f>IFERROR(__xludf.DUMMYFUNCTION("""COMPUTED_VALUE"""),"Guari")</f>
        <v>Guari</v>
      </c>
      <c r="D3082" s="120" t="str">
        <f>IFERROR(__xludf.DUMMYFUNCTION("""COMPUTED_VALUE"""),"Papua New Guinea")</f>
        <v>Papua New Guinea</v>
      </c>
      <c r="E3082" s="135"/>
      <c r="F3082" s="31"/>
    </row>
    <row r="3083">
      <c r="A3083" s="134" t="str">
        <f>IFERROR(__xludf.DUMMYFUNCTION("""COMPUTED_VALUE"""),"Guasdualito")</f>
        <v>Guasdualito</v>
      </c>
      <c r="B3083" s="120" t="str">
        <f>IFERROR(__xludf.DUMMYFUNCTION("""COMPUTED_VALUE"""),"GDO")</f>
        <v>GDO</v>
      </c>
      <c r="C3083" s="120" t="str">
        <f>IFERROR(__xludf.DUMMYFUNCTION("""COMPUTED_VALUE"""),"Vare Maria")</f>
        <v>Vare Maria</v>
      </c>
      <c r="D3083" s="120" t="str">
        <f>IFERROR(__xludf.DUMMYFUNCTION("""COMPUTED_VALUE"""),"Venezuela")</f>
        <v>Venezuela</v>
      </c>
      <c r="E3083" s="135"/>
      <c r="F3083" s="31"/>
    </row>
    <row r="3084">
      <c r="A3084" s="134" t="str">
        <f>IFERROR(__xludf.DUMMYFUNCTION("""COMPUTED_VALUE"""),"Guasopa")</f>
        <v>Guasopa</v>
      </c>
      <c r="B3084" s="120" t="str">
        <f>IFERROR(__xludf.DUMMYFUNCTION("""COMPUTED_VALUE"""),"GAZ")</f>
        <v>GAZ</v>
      </c>
      <c r="C3084" s="120" t="str">
        <f>IFERROR(__xludf.DUMMYFUNCTION("""COMPUTED_VALUE"""),"Guasopa")</f>
        <v>Guasopa</v>
      </c>
      <c r="D3084" s="120" t="str">
        <f>IFERROR(__xludf.DUMMYFUNCTION("""COMPUTED_VALUE"""),"Papua New Guinea")</f>
        <v>Papua New Guinea</v>
      </c>
      <c r="E3084" s="135"/>
      <c r="F3084" s="31"/>
    </row>
    <row r="3085">
      <c r="A3085" s="134" t="str">
        <f>IFERROR(__xludf.DUMMYFUNCTION("""COMPUTED_VALUE"""),"Guatemala City")</f>
        <v>Guatemala City</v>
      </c>
      <c r="B3085" s="120" t="str">
        <f>IFERROR(__xludf.DUMMYFUNCTION("""COMPUTED_VALUE"""),"GUA")</f>
        <v>GUA</v>
      </c>
      <c r="C3085" s="120" t="str">
        <f>IFERROR(__xludf.DUMMYFUNCTION("""COMPUTED_VALUE"""),"La Aurora")</f>
        <v>La Aurora</v>
      </c>
      <c r="D3085" s="120" t="str">
        <f>IFERROR(__xludf.DUMMYFUNCTION("""COMPUTED_VALUE"""),"Guatemala")</f>
        <v>Guatemala</v>
      </c>
      <c r="E3085" s="135"/>
      <c r="F3085" s="31"/>
    </row>
    <row r="3086">
      <c r="A3086" s="134" t="str">
        <f>IFERROR(__xludf.DUMMYFUNCTION("""COMPUTED_VALUE"""),"Guayaquil")</f>
        <v>Guayaquil</v>
      </c>
      <c r="B3086" s="120" t="str">
        <f>IFERROR(__xludf.DUMMYFUNCTION("""COMPUTED_VALUE"""),"GYE")</f>
        <v>GYE</v>
      </c>
      <c r="C3086" s="120" t="str">
        <f>IFERROR(__xludf.DUMMYFUNCTION("""COMPUTED_VALUE"""),"Simon Bolivar")</f>
        <v>Simon Bolivar</v>
      </c>
      <c r="D3086" s="120" t="str">
        <f>IFERROR(__xludf.DUMMYFUNCTION("""COMPUTED_VALUE"""),"Ecuador")</f>
        <v>Ecuador</v>
      </c>
      <c r="E3086" s="135"/>
      <c r="F3086" s="31"/>
    </row>
    <row r="3087">
      <c r="A3087" s="134" t="str">
        <f>IFERROR(__xludf.DUMMYFUNCTION("""COMPUTED_VALUE"""),"Guayaramerin")</f>
        <v>Guayaramerin</v>
      </c>
      <c r="B3087" s="120" t="str">
        <f>IFERROR(__xludf.DUMMYFUNCTION("""COMPUTED_VALUE"""),"GYA")</f>
        <v>GYA</v>
      </c>
      <c r="C3087" s="120" t="str">
        <f>IFERROR(__xludf.DUMMYFUNCTION("""COMPUTED_VALUE"""),"Guayaramerin")</f>
        <v>Guayaramerin</v>
      </c>
      <c r="D3087" s="120" t="str">
        <f>IFERROR(__xludf.DUMMYFUNCTION("""COMPUTED_VALUE"""),"Bolivia")</f>
        <v>Bolivia</v>
      </c>
      <c r="E3087" s="135"/>
      <c r="F3087" s="31"/>
    </row>
    <row r="3088">
      <c r="A3088" s="134" t="str">
        <f>IFERROR(__xludf.DUMMYFUNCTION("""COMPUTED_VALUE"""),"Guaymas")</f>
        <v>Guaymas</v>
      </c>
      <c r="B3088" s="120" t="str">
        <f>IFERROR(__xludf.DUMMYFUNCTION("""COMPUTED_VALUE"""),"GYM")</f>
        <v>GYM</v>
      </c>
      <c r="C3088" s="120" t="str">
        <f>IFERROR(__xludf.DUMMYFUNCTION("""COMPUTED_VALUE"""),"Gen Jose M Yanez")</f>
        <v>Gen Jose M Yanez</v>
      </c>
      <c r="D3088" s="120" t="str">
        <f>IFERROR(__xludf.DUMMYFUNCTION("""COMPUTED_VALUE"""),"Mexico")</f>
        <v>Mexico</v>
      </c>
      <c r="E3088" s="135"/>
      <c r="F3088" s="31"/>
    </row>
    <row r="3089">
      <c r="A3089" s="134" t="str">
        <f>IFERROR(__xludf.DUMMYFUNCTION("""COMPUTED_VALUE"""),"Guerima")</f>
        <v>Guerima</v>
      </c>
      <c r="B3089" s="120" t="str">
        <f>IFERROR(__xludf.DUMMYFUNCTION("""COMPUTED_VALUE"""),"GMC")</f>
        <v>GMC</v>
      </c>
      <c r="C3089" s="120" t="str">
        <f>IFERROR(__xludf.DUMMYFUNCTION("""COMPUTED_VALUE"""),"Guerima")</f>
        <v>Guerima</v>
      </c>
      <c r="D3089" s="120" t="str">
        <f>IFERROR(__xludf.DUMMYFUNCTION("""COMPUTED_VALUE"""),"Colombia")</f>
        <v>Colombia</v>
      </c>
      <c r="E3089" s="135"/>
      <c r="F3089" s="31"/>
    </row>
    <row r="3090">
      <c r="A3090" s="134" t="str">
        <f>IFERROR(__xludf.DUMMYFUNCTION("""COMPUTED_VALUE"""),"Guernsey")</f>
        <v>Guernsey</v>
      </c>
      <c r="B3090" s="120" t="str">
        <f>IFERROR(__xludf.DUMMYFUNCTION("""COMPUTED_VALUE"""),"GCI")</f>
        <v>GCI</v>
      </c>
      <c r="C3090" s="120" t="str">
        <f>IFERROR(__xludf.DUMMYFUNCTION("""COMPUTED_VALUE"""),"Guernsey")</f>
        <v>Guernsey</v>
      </c>
      <c r="D3090" s="120" t="str">
        <f>IFERROR(__xludf.DUMMYFUNCTION("""COMPUTED_VALUE"""),"United Kingdom")</f>
        <v>United Kingdom</v>
      </c>
      <c r="E3090" s="135"/>
      <c r="F3090" s="31"/>
    </row>
    <row r="3091">
      <c r="A3091" s="134" t="str">
        <f>IFERROR(__xludf.DUMMYFUNCTION("""COMPUTED_VALUE"""),"Guerrero Negro")</f>
        <v>Guerrero Negro</v>
      </c>
      <c r="B3091" s="120" t="str">
        <f>IFERROR(__xludf.DUMMYFUNCTION("""COMPUTED_VALUE"""),"GUB")</f>
        <v>GUB</v>
      </c>
      <c r="C3091" s="120" t="str">
        <f>IFERROR(__xludf.DUMMYFUNCTION("""COMPUTED_VALUE"""),"Guerrero Negro")</f>
        <v>Guerrero Negro</v>
      </c>
      <c r="D3091" s="120" t="str">
        <f>IFERROR(__xludf.DUMMYFUNCTION("""COMPUTED_VALUE"""),"Mexico")</f>
        <v>Mexico</v>
      </c>
      <c r="E3091" s="135"/>
      <c r="F3091" s="31"/>
    </row>
    <row r="3092">
      <c r="A3092" s="134" t="str">
        <f>IFERROR(__xludf.DUMMYFUNCTION("""COMPUTED_VALUE"""),"Guetersloh")</f>
        <v>Guetersloh</v>
      </c>
      <c r="B3092" s="120" t="str">
        <f>IFERROR(__xludf.DUMMYFUNCTION("""COMPUTED_VALUE"""),"GUT")</f>
        <v>GUT</v>
      </c>
      <c r="C3092" s="120" t="str">
        <f>IFERROR(__xludf.DUMMYFUNCTION("""COMPUTED_VALUE"""),"Guetersloh")</f>
        <v>Guetersloh</v>
      </c>
      <c r="D3092" s="120" t="str">
        <f>IFERROR(__xludf.DUMMYFUNCTION("""COMPUTED_VALUE"""),"Germany")</f>
        <v>Germany</v>
      </c>
      <c r="E3092" s="135"/>
      <c r="F3092" s="31"/>
    </row>
    <row r="3093">
      <c r="A3093" s="134" t="str">
        <f>IFERROR(__xludf.DUMMYFUNCTION("""COMPUTED_VALUE"""),"Guettin")</f>
        <v>Guettin</v>
      </c>
      <c r="B3093" s="120" t="str">
        <f>IFERROR(__xludf.DUMMYFUNCTION("""COMPUTED_VALUE"""),"GTI")</f>
        <v>GTI</v>
      </c>
      <c r="C3093" s="120" t="str">
        <f>IFERROR(__xludf.DUMMYFUNCTION("""COMPUTED_VALUE"""),"Guettin")</f>
        <v>Guettin</v>
      </c>
      <c r="D3093" s="120" t="str">
        <f>IFERROR(__xludf.DUMMYFUNCTION("""COMPUTED_VALUE"""),"Germany")</f>
        <v>Germany</v>
      </c>
      <c r="E3093" s="135"/>
      <c r="F3093" s="31"/>
    </row>
    <row r="3094">
      <c r="A3094" s="134" t="str">
        <f>IFERROR(__xludf.DUMMYFUNCTION("""COMPUTED_VALUE"""),"Guiglo")</f>
        <v>Guiglo</v>
      </c>
      <c r="B3094" s="120" t="str">
        <f>IFERROR(__xludf.DUMMYFUNCTION("""COMPUTED_VALUE"""),"GGO")</f>
        <v>GGO</v>
      </c>
      <c r="C3094" s="120" t="str">
        <f>IFERROR(__xludf.DUMMYFUNCTION("""COMPUTED_VALUE"""),"Guiglo")</f>
        <v>Guiglo</v>
      </c>
      <c r="D3094" s="120" t="str">
        <f>IFERROR(__xludf.DUMMYFUNCTION("""COMPUTED_VALUE"""),"Cote D'Ivoire (Ivory Coast)")</f>
        <v>Cote D'Ivoire (Ivory Coast)</v>
      </c>
      <c r="E3094" s="135"/>
      <c r="F3094" s="31"/>
    </row>
    <row r="3095">
      <c r="A3095" s="134" t="str">
        <f>IFERROR(__xludf.DUMMYFUNCTION("""COMPUTED_VALUE"""),"Toronto")</f>
        <v>Toronto</v>
      </c>
      <c r="B3095" s="120" t="str">
        <f>IFERROR(__xludf.DUMMYFUNCTION("""COMPUTED_VALUE"""),"YTO")</f>
        <v>YTO</v>
      </c>
      <c r="C3095" s="120" t="str">
        <f>IFERROR(__xludf.DUMMYFUNCTION("""COMPUTED_VALUE"""),"Metropolitan Area")</f>
        <v>Metropolitan Area</v>
      </c>
      <c r="D3095" s="120" t="str">
        <f>IFERROR(__xludf.DUMMYFUNCTION("""COMPUTED_VALUE"""),"Canada")</f>
        <v>Canada</v>
      </c>
      <c r="E3095" s="135"/>
      <c r="F3095" s="31"/>
    </row>
    <row r="3096">
      <c r="A3096" s="134" t="str">
        <f>IFERROR(__xludf.DUMMYFUNCTION("""COMPUTED_VALUE"""),"Guilin")</f>
        <v>Guilin</v>
      </c>
      <c r="B3096" s="120" t="str">
        <f>IFERROR(__xludf.DUMMYFUNCTION("""COMPUTED_VALUE"""),"KWL")</f>
        <v>KWL</v>
      </c>
      <c r="C3096" s="120" t="str">
        <f>IFERROR(__xludf.DUMMYFUNCTION("""COMPUTED_VALUE"""),"Guilin")</f>
        <v>Guilin</v>
      </c>
      <c r="D3096" s="120" t="str">
        <f>IFERROR(__xludf.DUMMYFUNCTION("""COMPUTED_VALUE"""),"China")</f>
        <v>China</v>
      </c>
      <c r="E3096" s="135"/>
      <c r="F3096" s="31"/>
    </row>
    <row r="3097">
      <c r="A3097" s="134" t="str">
        <f>IFERROR(__xludf.DUMMYFUNCTION("""COMPUTED_VALUE"""),"Guimaraes")</f>
        <v>Guimaraes</v>
      </c>
      <c r="B3097" s="120" t="str">
        <f>IFERROR(__xludf.DUMMYFUNCTION("""COMPUTED_VALUE"""),"GMS")</f>
        <v>GMS</v>
      </c>
      <c r="C3097" s="120" t="str">
        <f>IFERROR(__xludf.DUMMYFUNCTION("""COMPUTED_VALUE"""),"Guimaraes")</f>
        <v>Guimaraes</v>
      </c>
      <c r="D3097" s="120" t="str">
        <f>IFERROR(__xludf.DUMMYFUNCTION("""COMPUTED_VALUE"""),"Brazil")</f>
        <v>Brazil</v>
      </c>
      <c r="E3097" s="135"/>
      <c r="F3097" s="31"/>
    </row>
    <row r="3098">
      <c r="A3098" s="134" t="str">
        <f>IFERROR(__xludf.DUMMYFUNCTION("""COMPUTED_VALUE"""),"Guiria")</f>
        <v>Guiria</v>
      </c>
      <c r="B3098" s="120" t="str">
        <f>IFERROR(__xludf.DUMMYFUNCTION("""COMPUTED_VALUE"""),"GUI")</f>
        <v>GUI</v>
      </c>
      <c r="C3098" s="120" t="str">
        <f>IFERROR(__xludf.DUMMYFUNCTION("""COMPUTED_VALUE"""),"Guiria")</f>
        <v>Guiria</v>
      </c>
      <c r="D3098" s="120" t="str">
        <f>IFERROR(__xludf.DUMMYFUNCTION("""COMPUTED_VALUE"""),"Venezuela")</f>
        <v>Venezuela</v>
      </c>
      <c r="E3098" s="135"/>
      <c r="F3098" s="31"/>
    </row>
    <row r="3099">
      <c r="A3099" s="134" t="str">
        <f>IFERROR(__xludf.DUMMYFUNCTION("""COMPUTED_VALUE"""),"Guiyang")</f>
        <v>Guiyang</v>
      </c>
      <c r="B3099" s="120" t="str">
        <f>IFERROR(__xludf.DUMMYFUNCTION("""COMPUTED_VALUE"""),"KWE")</f>
        <v>KWE</v>
      </c>
      <c r="C3099" s="120" t="str">
        <f>IFERROR(__xludf.DUMMYFUNCTION("""COMPUTED_VALUE"""),"Guiyang")</f>
        <v>Guiyang</v>
      </c>
      <c r="D3099" s="120" t="str">
        <f>IFERROR(__xludf.DUMMYFUNCTION("""COMPUTED_VALUE"""),"China")</f>
        <v>China</v>
      </c>
      <c r="E3099" s="135"/>
      <c r="F3099" s="31"/>
    </row>
    <row r="3100">
      <c r="A3100" s="134" t="str">
        <f>IFERROR(__xludf.DUMMYFUNCTION("""COMPUTED_VALUE"""),"Gujrat")</f>
        <v>Gujrat</v>
      </c>
      <c r="B3100" s="120" t="str">
        <f>IFERROR(__xludf.DUMMYFUNCTION("""COMPUTED_VALUE"""),"GRT")</f>
        <v>GRT</v>
      </c>
      <c r="C3100" s="120" t="str">
        <f>IFERROR(__xludf.DUMMYFUNCTION("""COMPUTED_VALUE"""),"Gujrat")</f>
        <v>Gujrat</v>
      </c>
      <c r="D3100" s="120" t="str">
        <f>IFERROR(__xludf.DUMMYFUNCTION("""COMPUTED_VALUE"""),"Pakistan")</f>
        <v>Pakistan</v>
      </c>
      <c r="E3100" s="135"/>
      <c r="F3100" s="31"/>
    </row>
    <row r="3101">
      <c r="A3101" s="134" t="str">
        <f>IFERROR(__xludf.DUMMYFUNCTION("""COMPUTED_VALUE"""),"Gulf Shores")</f>
        <v>Gulf Shores</v>
      </c>
      <c r="B3101" s="120" t="str">
        <f>IFERROR(__xludf.DUMMYFUNCTION("""COMPUTED_VALUE"""),"GUF")</f>
        <v>GUF</v>
      </c>
      <c r="C3101" s="120" t="str">
        <f>IFERROR(__xludf.DUMMYFUNCTION("""COMPUTED_VALUE"""),"Edwards")</f>
        <v>Edwards</v>
      </c>
      <c r="D3101" s="120" t="str">
        <f>IFERROR(__xludf.DUMMYFUNCTION("""COMPUTED_VALUE"""),"United States")</f>
        <v>United States</v>
      </c>
      <c r="E3101" s="135"/>
      <c r="F3101" s="31"/>
    </row>
    <row r="3102">
      <c r="A3102" s="134" t="str">
        <f>IFERROR(__xludf.DUMMYFUNCTION("""COMPUTED_VALUE"""),"Gulfport")</f>
        <v>Gulfport</v>
      </c>
      <c r="B3102" s="120" t="str">
        <f>IFERROR(__xludf.DUMMYFUNCTION("""COMPUTED_VALUE"""),"GPT")</f>
        <v>GPT</v>
      </c>
      <c r="C3102" s="120" t="str">
        <f>IFERROR(__xludf.DUMMYFUNCTION("""COMPUTED_VALUE"""),"Biloxi Regional")</f>
        <v>Biloxi Regional</v>
      </c>
      <c r="D3102" s="120" t="str">
        <f>IFERROR(__xludf.DUMMYFUNCTION("""COMPUTED_VALUE"""),"United States")</f>
        <v>United States</v>
      </c>
      <c r="E3102" s="135"/>
      <c r="F3102" s="31"/>
    </row>
    <row r="3103">
      <c r="A3103" s="134" t="str">
        <f>IFERROR(__xludf.DUMMYFUNCTION("""COMPUTED_VALUE"""),"Gulgubip")</f>
        <v>Gulgubip</v>
      </c>
      <c r="B3103" s="120" t="str">
        <f>IFERROR(__xludf.DUMMYFUNCTION("""COMPUTED_VALUE"""),"GLP")</f>
        <v>GLP</v>
      </c>
      <c r="C3103" s="120" t="str">
        <f>IFERROR(__xludf.DUMMYFUNCTION("""COMPUTED_VALUE"""),"Gulgubip")</f>
        <v>Gulgubip</v>
      </c>
      <c r="D3103" s="120" t="str">
        <f>IFERROR(__xludf.DUMMYFUNCTION("""COMPUTED_VALUE"""),"Papua New Guinea")</f>
        <v>Papua New Guinea</v>
      </c>
      <c r="E3103" s="135"/>
      <c r="F3103" s="31"/>
    </row>
    <row r="3104">
      <c r="A3104" s="134" t="str">
        <f>IFERROR(__xludf.DUMMYFUNCTION("""COMPUTED_VALUE"""),"Gulkana")</f>
        <v>Gulkana</v>
      </c>
      <c r="B3104" s="120" t="str">
        <f>IFERROR(__xludf.DUMMYFUNCTION("""COMPUTED_VALUE"""),"GKN")</f>
        <v>GKN</v>
      </c>
      <c r="C3104" s="120" t="str">
        <f>IFERROR(__xludf.DUMMYFUNCTION("""COMPUTED_VALUE"""),"Gulkana")</f>
        <v>Gulkana</v>
      </c>
      <c r="D3104" s="120" t="str">
        <f>IFERROR(__xludf.DUMMYFUNCTION("""COMPUTED_VALUE"""),"United States")</f>
        <v>United States</v>
      </c>
      <c r="E3104" s="135"/>
      <c r="F3104" s="31"/>
    </row>
    <row r="3105">
      <c r="A3105" s="134" t="str">
        <f>IFERROR(__xludf.DUMMYFUNCTION("""COMPUTED_VALUE"""),"Gulu")</f>
        <v>Gulu</v>
      </c>
      <c r="B3105" s="120" t="str">
        <f>IFERROR(__xludf.DUMMYFUNCTION("""COMPUTED_VALUE"""),"ULU")</f>
        <v>ULU</v>
      </c>
      <c r="C3105" s="120" t="str">
        <f>IFERROR(__xludf.DUMMYFUNCTION("""COMPUTED_VALUE"""),"Gulu")</f>
        <v>Gulu</v>
      </c>
      <c r="D3105" s="120" t="str">
        <f>IFERROR(__xludf.DUMMYFUNCTION("""COMPUTED_VALUE"""),"Uganda")</f>
        <v>Uganda</v>
      </c>
      <c r="E3105" s="135"/>
      <c r="F3105" s="31"/>
    </row>
    <row r="3106">
      <c r="A3106" s="134" t="str">
        <f>IFERROR(__xludf.DUMMYFUNCTION("""COMPUTED_VALUE"""),"Guna")</f>
        <v>Guna</v>
      </c>
      <c r="B3106" s="120" t="str">
        <f>IFERROR(__xludf.DUMMYFUNCTION("""COMPUTED_VALUE"""),"GUX")</f>
        <v>GUX</v>
      </c>
      <c r="C3106" s="120" t="str">
        <f>IFERROR(__xludf.DUMMYFUNCTION("""COMPUTED_VALUE"""),"Guna")</f>
        <v>Guna</v>
      </c>
      <c r="D3106" s="120" t="str">
        <f>IFERROR(__xludf.DUMMYFUNCTION("""COMPUTED_VALUE"""),"India")</f>
        <v>India</v>
      </c>
      <c r="E3106" s="135"/>
      <c r="F3106" s="31"/>
    </row>
    <row r="3107">
      <c r="A3107" s="134" t="str">
        <f>IFERROR(__xludf.DUMMYFUNCTION("""COMPUTED_VALUE"""),"Gunnedah")</f>
        <v>Gunnedah</v>
      </c>
      <c r="B3107" s="120" t="str">
        <f>IFERROR(__xludf.DUMMYFUNCTION("""COMPUTED_VALUE"""),"GUH")</f>
        <v>GUH</v>
      </c>
      <c r="C3107" s="120" t="str">
        <f>IFERROR(__xludf.DUMMYFUNCTION("""COMPUTED_VALUE"""),"Gunnedah")</f>
        <v>Gunnedah</v>
      </c>
      <c r="D3107" s="120" t="str">
        <f>IFERROR(__xludf.DUMMYFUNCTION("""COMPUTED_VALUE"""),"Australia")</f>
        <v>Australia</v>
      </c>
      <c r="E3107" s="135"/>
      <c r="F3107" s="31"/>
    </row>
    <row r="3108">
      <c r="A3108" s="134" t="str">
        <f>IFERROR(__xludf.DUMMYFUNCTION("""COMPUTED_VALUE"""),"Gunnison")</f>
        <v>Gunnison</v>
      </c>
      <c r="B3108" s="120" t="str">
        <f>IFERROR(__xludf.DUMMYFUNCTION("""COMPUTED_VALUE"""),"GUC")</f>
        <v>GUC</v>
      </c>
      <c r="C3108" s="120" t="str">
        <f>IFERROR(__xludf.DUMMYFUNCTION("""COMPUTED_VALUE"""),"Gunnison")</f>
        <v>Gunnison</v>
      </c>
      <c r="D3108" s="120" t="str">
        <f>IFERROR(__xludf.DUMMYFUNCTION("""COMPUTED_VALUE"""),"United States")</f>
        <v>United States</v>
      </c>
      <c r="E3108" s="135"/>
      <c r="F3108" s="31"/>
    </row>
    <row r="3109">
      <c r="A3109" s="134" t="str">
        <f>IFERROR(__xludf.DUMMYFUNCTION("""COMPUTED_VALUE"""),"Gunsan")</f>
        <v>Gunsan</v>
      </c>
      <c r="B3109" s="120" t="str">
        <f>IFERROR(__xludf.DUMMYFUNCTION("""COMPUTED_VALUE"""),"KUV")</f>
        <v>KUV</v>
      </c>
      <c r="C3109" s="120" t="str">
        <f>IFERROR(__xludf.DUMMYFUNCTION("""COMPUTED_VALUE"""),"Gunsan")</f>
        <v>Gunsan</v>
      </c>
      <c r="D3109" s="120" t="str">
        <f>IFERROR(__xludf.DUMMYFUNCTION("""COMPUTED_VALUE"""),"Korea (South)")</f>
        <v>Korea (South)</v>
      </c>
      <c r="E3109" s="135"/>
      <c r="F3109" s="31"/>
    </row>
    <row r="3110">
      <c r="A3110" s="134" t="str">
        <f>IFERROR(__xludf.DUMMYFUNCTION("""COMPUTED_VALUE"""),"Gunsan AB")</f>
        <v>Gunsan AB</v>
      </c>
      <c r="B3110" s="120" t="str">
        <f>IFERROR(__xludf.DUMMYFUNCTION("""COMPUTED_VALUE"""),"KUZ")</f>
        <v>KUZ</v>
      </c>
      <c r="C3110" s="120" t="str">
        <f>IFERROR(__xludf.DUMMYFUNCTION("""COMPUTED_VALUE"""),"Gunsan Airbase")</f>
        <v>Gunsan Airbase</v>
      </c>
      <c r="D3110" s="120" t="str">
        <f>IFERROR(__xludf.DUMMYFUNCTION("""COMPUTED_VALUE"""),"Korea (South)")</f>
        <v>Korea (South)</v>
      </c>
      <c r="E3110" s="135"/>
      <c r="F3110" s="31"/>
    </row>
    <row r="3111">
      <c r="A3111" s="134" t="str">
        <f>IFERROR(__xludf.DUMMYFUNCTION("""COMPUTED_VALUE"""),"Gunungsitoli")</f>
        <v>Gunungsitoli</v>
      </c>
      <c r="B3111" s="120" t="str">
        <f>IFERROR(__xludf.DUMMYFUNCTION("""COMPUTED_VALUE"""),"GNS")</f>
        <v>GNS</v>
      </c>
      <c r="C3111" s="120" t="str">
        <f>IFERROR(__xludf.DUMMYFUNCTION("""COMPUTED_VALUE"""),"Gunungsitoli")</f>
        <v>Gunungsitoli</v>
      </c>
      <c r="D3111" s="120" t="str">
        <f>IFERROR(__xludf.DUMMYFUNCTION("""COMPUTED_VALUE"""),"Indonesia")</f>
        <v>Indonesia</v>
      </c>
      <c r="E3111" s="135"/>
      <c r="F3111" s="31"/>
    </row>
    <row r="3112">
      <c r="A3112" s="134" t="str">
        <f>IFERROR(__xludf.DUMMYFUNCTION("""COMPUTED_VALUE"""),"Gurayat")</f>
        <v>Gurayat</v>
      </c>
      <c r="B3112" s="120" t="str">
        <f>IFERROR(__xludf.DUMMYFUNCTION("""COMPUTED_VALUE"""),"URY")</f>
        <v>URY</v>
      </c>
      <c r="C3112" s="120" t="str">
        <f>IFERROR(__xludf.DUMMYFUNCTION("""COMPUTED_VALUE"""),"Gurayat")</f>
        <v>Gurayat</v>
      </c>
      <c r="D3112" s="120" t="str">
        <f>IFERROR(__xludf.DUMMYFUNCTION("""COMPUTED_VALUE"""),"Saudi Arabia")</f>
        <v>Saudi Arabia</v>
      </c>
      <c r="E3112" s="135"/>
      <c r="F3112" s="31"/>
    </row>
    <row r="3113">
      <c r="A3113" s="134" t="str">
        <f>IFERROR(__xludf.DUMMYFUNCTION("""COMPUTED_VALUE"""),"Guriaso")</f>
        <v>Guriaso</v>
      </c>
      <c r="B3113" s="120" t="str">
        <f>IFERROR(__xludf.DUMMYFUNCTION("""COMPUTED_VALUE"""),"GUE")</f>
        <v>GUE</v>
      </c>
      <c r="C3113" s="120" t="str">
        <f>IFERROR(__xludf.DUMMYFUNCTION("""COMPUTED_VALUE"""),"Guriaso")</f>
        <v>Guriaso</v>
      </c>
      <c r="D3113" s="120" t="str">
        <f>IFERROR(__xludf.DUMMYFUNCTION("""COMPUTED_VALUE"""),"Papua New Guinea")</f>
        <v>Papua New Guinea</v>
      </c>
      <c r="E3113" s="135"/>
      <c r="F3113" s="31"/>
    </row>
    <row r="3114">
      <c r="A3114" s="134" t="str">
        <f>IFERROR(__xludf.DUMMYFUNCTION("""COMPUTED_VALUE"""),"Gurue")</f>
        <v>Gurue</v>
      </c>
      <c r="B3114" s="120" t="str">
        <f>IFERROR(__xludf.DUMMYFUNCTION("""COMPUTED_VALUE"""),"VJQ")</f>
        <v>VJQ</v>
      </c>
      <c r="C3114" s="120" t="str">
        <f>IFERROR(__xludf.DUMMYFUNCTION("""COMPUTED_VALUE"""),"Gurue")</f>
        <v>Gurue</v>
      </c>
      <c r="D3114" s="120" t="str">
        <f>IFERROR(__xludf.DUMMYFUNCTION("""COMPUTED_VALUE"""),"Mozambique")</f>
        <v>Mozambique</v>
      </c>
      <c r="E3114" s="135"/>
      <c r="F3114" s="31"/>
    </row>
    <row r="3115">
      <c r="A3115" s="134" t="str">
        <f>IFERROR(__xludf.DUMMYFUNCTION("""COMPUTED_VALUE"""),"Gurupi")</f>
        <v>Gurupi</v>
      </c>
      <c r="B3115" s="120" t="str">
        <f>IFERROR(__xludf.DUMMYFUNCTION("""COMPUTED_VALUE"""),"GRP")</f>
        <v>GRP</v>
      </c>
      <c r="C3115" s="120" t="str">
        <f>IFERROR(__xludf.DUMMYFUNCTION("""COMPUTED_VALUE"""),"Gurupi")</f>
        <v>Gurupi</v>
      </c>
      <c r="D3115" s="120" t="str">
        <f>IFERROR(__xludf.DUMMYFUNCTION("""COMPUTED_VALUE"""),"Brazil")</f>
        <v>Brazil</v>
      </c>
      <c r="E3115" s="135"/>
      <c r="F3115" s="31"/>
    </row>
    <row r="3116">
      <c r="A3116" s="134" t="str">
        <f>IFERROR(__xludf.DUMMYFUNCTION("""COMPUTED_VALUE"""),"Gusap")</f>
        <v>Gusap</v>
      </c>
      <c r="B3116" s="120" t="str">
        <f>IFERROR(__xludf.DUMMYFUNCTION("""COMPUTED_VALUE"""),"GAP")</f>
        <v>GAP</v>
      </c>
      <c r="C3116" s="120" t="str">
        <f>IFERROR(__xludf.DUMMYFUNCTION("""COMPUTED_VALUE"""),"Gusap")</f>
        <v>Gusap</v>
      </c>
      <c r="D3116" s="120" t="str">
        <f>IFERROR(__xludf.DUMMYFUNCTION("""COMPUTED_VALUE"""),"Papua New Guinea")</f>
        <v>Papua New Guinea</v>
      </c>
      <c r="E3116" s="135"/>
      <c r="F3116" s="31"/>
    </row>
    <row r="3117">
      <c r="A3117" s="134" t="str">
        <f>IFERROR(__xludf.DUMMYFUNCTION("""COMPUTED_VALUE"""),"Gush Katif")</f>
        <v>Gush Katif</v>
      </c>
      <c r="B3117" s="120" t="str">
        <f>IFERROR(__xludf.DUMMYFUNCTION("""COMPUTED_VALUE"""),"GHK")</f>
        <v>GHK</v>
      </c>
      <c r="C3117" s="120" t="str">
        <f>IFERROR(__xludf.DUMMYFUNCTION("""COMPUTED_VALUE"""),"Gush Katif")</f>
        <v>Gush Katif</v>
      </c>
      <c r="D3117" s="120" t="str">
        <f>IFERROR(__xludf.DUMMYFUNCTION("""COMPUTED_VALUE"""),"Israel")</f>
        <v>Israel</v>
      </c>
      <c r="E3117" s="135"/>
      <c r="F3117" s="31"/>
    </row>
    <row r="3118">
      <c r="A3118" s="134" t="str">
        <f>IFERROR(__xludf.DUMMYFUNCTION("""COMPUTED_VALUE"""),"Gustavus")</f>
        <v>Gustavus</v>
      </c>
      <c r="B3118" s="120" t="str">
        <f>IFERROR(__xludf.DUMMYFUNCTION("""COMPUTED_VALUE"""),"BQV")</f>
        <v>BQV</v>
      </c>
      <c r="C3118" s="120" t="str">
        <f>IFERROR(__xludf.DUMMYFUNCTION("""COMPUTED_VALUE"""),"Bartlett SPB")</f>
        <v>Bartlett SPB</v>
      </c>
      <c r="D3118" s="120" t="str">
        <f>IFERROR(__xludf.DUMMYFUNCTION("""COMPUTED_VALUE"""),"United States")</f>
        <v>United States</v>
      </c>
      <c r="E3118" s="135"/>
      <c r="F3118" s="31"/>
    </row>
    <row r="3119">
      <c r="A3119" s="134" t="str">
        <f>IFERROR(__xludf.DUMMYFUNCTION("""COMPUTED_VALUE"""),"Gustavus")</f>
        <v>Gustavus</v>
      </c>
      <c r="B3119" s="120" t="str">
        <f>IFERROR(__xludf.DUMMYFUNCTION("""COMPUTED_VALUE"""),"GST")</f>
        <v>GST</v>
      </c>
      <c r="C3119" s="120" t="str">
        <f>IFERROR(__xludf.DUMMYFUNCTION("""COMPUTED_VALUE"""),"Gustavus Arpt")</f>
        <v>Gustavus Arpt</v>
      </c>
      <c r="D3119" s="120" t="str">
        <f>IFERROR(__xludf.DUMMYFUNCTION("""COMPUTED_VALUE"""),"United States")</f>
        <v>United States</v>
      </c>
      <c r="E3119" s="135"/>
      <c r="F3119" s="31"/>
    </row>
    <row r="3120">
      <c r="A3120" s="134" t="str">
        <f>IFERROR(__xludf.DUMMYFUNCTION("""COMPUTED_VALUE"""),"Guthrie")</f>
        <v>Guthrie</v>
      </c>
      <c r="B3120" s="120" t="str">
        <f>IFERROR(__xludf.DUMMYFUNCTION("""COMPUTED_VALUE"""),"GOK")</f>
        <v>GOK</v>
      </c>
      <c r="C3120" s="120" t="str">
        <f>IFERROR(__xludf.DUMMYFUNCTION("""COMPUTED_VALUE"""),"Guthrie")</f>
        <v>Guthrie</v>
      </c>
      <c r="D3120" s="120" t="str">
        <f>IFERROR(__xludf.DUMMYFUNCTION("""COMPUTED_VALUE"""),"United States")</f>
        <v>United States</v>
      </c>
      <c r="E3120" s="135"/>
      <c r="F3120" s="31"/>
    </row>
    <row r="3121">
      <c r="A3121" s="134" t="str">
        <f>IFERROR(__xludf.DUMMYFUNCTION("""COMPUTED_VALUE"""),"Guymon")</f>
        <v>Guymon</v>
      </c>
      <c r="B3121" s="120" t="str">
        <f>IFERROR(__xludf.DUMMYFUNCTION("""COMPUTED_VALUE"""),"GUY")</f>
        <v>GUY</v>
      </c>
      <c r="C3121" s="120" t="str">
        <f>IFERROR(__xludf.DUMMYFUNCTION("""COMPUTED_VALUE"""),"Guymon")</f>
        <v>Guymon</v>
      </c>
      <c r="D3121" s="120" t="str">
        <f>IFERROR(__xludf.DUMMYFUNCTION("""COMPUTED_VALUE"""),"United States")</f>
        <v>United States</v>
      </c>
      <c r="E3121" s="135"/>
      <c r="F3121" s="31"/>
    </row>
    <row r="3122">
      <c r="A3122" s="134" t="str">
        <f>IFERROR(__xludf.DUMMYFUNCTION("""COMPUTED_VALUE"""),"Gwa")</f>
        <v>Gwa</v>
      </c>
      <c r="B3122" s="120" t="str">
        <f>IFERROR(__xludf.DUMMYFUNCTION("""COMPUTED_VALUE"""),"GWA")</f>
        <v>GWA</v>
      </c>
      <c r="C3122" s="120" t="str">
        <f>IFERROR(__xludf.DUMMYFUNCTION("""COMPUTED_VALUE"""),"Gwa")</f>
        <v>Gwa</v>
      </c>
      <c r="D3122" s="120" t="str">
        <f>IFERROR(__xludf.DUMMYFUNCTION("""COMPUTED_VALUE"""),"Myanmar")</f>
        <v>Myanmar</v>
      </c>
      <c r="E3122" s="135"/>
      <c r="F3122" s="31"/>
    </row>
    <row r="3123">
      <c r="A3123" s="134" t="str">
        <f>IFERROR(__xludf.DUMMYFUNCTION("""COMPUTED_VALUE"""),"Gwadar")</f>
        <v>Gwadar</v>
      </c>
      <c r="B3123" s="120" t="str">
        <f>IFERROR(__xludf.DUMMYFUNCTION("""COMPUTED_VALUE"""),"GWD")</f>
        <v>GWD</v>
      </c>
      <c r="C3123" s="120" t="str">
        <f>IFERROR(__xludf.DUMMYFUNCTION("""COMPUTED_VALUE"""),"Gwadar")</f>
        <v>Gwadar</v>
      </c>
      <c r="D3123" s="120" t="str">
        <f>IFERROR(__xludf.DUMMYFUNCTION("""COMPUTED_VALUE"""),"Pakistan")</f>
        <v>Pakistan</v>
      </c>
      <c r="E3123" s="135"/>
      <c r="F3123" s="31"/>
    </row>
    <row r="3124">
      <c r="A3124" s="134" t="str">
        <f>IFERROR(__xludf.DUMMYFUNCTION("""COMPUTED_VALUE"""),"Gwalior")</f>
        <v>Gwalior</v>
      </c>
      <c r="B3124" s="120" t="str">
        <f>IFERROR(__xludf.DUMMYFUNCTION("""COMPUTED_VALUE"""),"GWL")</f>
        <v>GWL</v>
      </c>
      <c r="C3124" s="120" t="str">
        <f>IFERROR(__xludf.DUMMYFUNCTION("""COMPUTED_VALUE"""),"Gwalior")</f>
        <v>Gwalior</v>
      </c>
      <c r="D3124" s="120" t="str">
        <f>IFERROR(__xludf.DUMMYFUNCTION("""COMPUTED_VALUE"""),"India")</f>
        <v>India</v>
      </c>
      <c r="E3124" s="135"/>
      <c r="F3124" s="31"/>
    </row>
    <row r="3125">
      <c r="A3125" s="134" t="str">
        <f>IFERROR(__xludf.DUMMYFUNCTION("""COMPUTED_VALUE"""),"Gwangju")</f>
        <v>Gwangju</v>
      </c>
      <c r="B3125" s="120" t="str">
        <f>IFERROR(__xludf.DUMMYFUNCTION("""COMPUTED_VALUE"""),"KWJ")</f>
        <v>KWJ</v>
      </c>
      <c r="C3125" s="120" t="str">
        <f>IFERROR(__xludf.DUMMYFUNCTION("""COMPUTED_VALUE"""),"Gwangju")</f>
        <v>Gwangju</v>
      </c>
      <c r="D3125" s="120" t="str">
        <f>IFERROR(__xludf.DUMMYFUNCTION("""COMPUTED_VALUE"""),"Korea (South)")</f>
        <v>Korea (South)</v>
      </c>
      <c r="E3125" s="135"/>
      <c r="F3125" s="31"/>
    </row>
    <row r="3126">
      <c r="A3126" s="134" t="str">
        <f>IFERROR(__xludf.DUMMYFUNCTION("""COMPUTED_VALUE"""),"Gweru")</f>
        <v>Gweru</v>
      </c>
      <c r="B3126" s="120" t="str">
        <f>IFERROR(__xludf.DUMMYFUNCTION("""COMPUTED_VALUE"""),"GWE")</f>
        <v>GWE</v>
      </c>
      <c r="C3126" s="120" t="str">
        <f>IFERROR(__xludf.DUMMYFUNCTION("""COMPUTED_VALUE"""),"Gweru")</f>
        <v>Gweru</v>
      </c>
      <c r="D3126" s="120" t="str">
        <f>IFERROR(__xludf.DUMMYFUNCTION("""COMPUTED_VALUE"""),"Zimbabwe")</f>
        <v>Zimbabwe</v>
      </c>
      <c r="E3126" s="135"/>
      <c r="F3126" s="31"/>
    </row>
    <row r="3127">
      <c r="A3127" s="134" t="str">
        <f>IFERROR(__xludf.DUMMYFUNCTION("""COMPUTED_VALUE"""),"Gyandzha")</f>
        <v>Gyandzha</v>
      </c>
      <c r="B3127" s="120" t="str">
        <f>IFERROR(__xludf.DUMMYFUNCTION("""COMPUTED_VALUE"""),"KVD")</f>
        <v>KVD</v>
      </c>
      <c r="C3127" s="120" t="str">
        <f>IFERROR(__xludf.DUMMYFUNCTION("""COMPUTED_VALUE"""),"Gyandzha")</f>
        <v>Gyandzha</v>
      </c>
      <c r="D3127" s="120" t="str">
        <f>IFERROR(__xludf.DUMMYFUNCTION("""COMPUTED_VALUE"""),"Azerbaijan")</f>
        <v>Azerbaijan</v>
      </c>
      <c r="E3127" s="135"/>
      <c r="F3127" s="31"/>
    </row>
    <row r="3128">
      <c r="A3128" s="134" t="str">
        <f>IFERROR(__xludf.DUMMYFUNCTION("""COMPUTED_VALUE"""),"Gympie")</f>
        <v>Gympie</v>
      </c>
      <c r="B3128" s="120" t="str">
        <f>IFERROR(__xludf.DUMMYFUNCTION("""COMPUTED_VALUE"""),"GYP")</f>
        <v>GYP</v>
      </c>
      <c r="C3128" s="120" t="str">
        <f>IFERROR(__xludf.DUMMYFUNCTION("""COMPUTED_VALUE"""),"Gympie")</f>
        <v>Gympie</v>
      </c>
      <c r="D3128" s="120" t="str">
        <f>IFERROR(__xludf.DUMMYFUNCTION("""COMPUTED_VALUE"""),"Australia")</f>
        <v>Australia</v>
      </c>
      <c r="E3128" s="135"/>
      <c r="F3128" s="31"/>
    </row>
    <row r="3129">
      <c r="A3129" s="134" t="str">
        <f>IFERROR(__xludf.DUMMYFUNCTION("""COMPUTED_VALUE"""),"Gyoumri")</f>
        <v>Gyoumri</v>
      </c>
      <c r="B3129" s="120" t="str">
        <f>IFERROR(__xludf.DUMMYFUNCTION("""COMPUTED_VALUE"""),"LWN")</f>
        <v>LWN</v>
      </c>
      <c r="C3129" s="120" t="str">
        <f>IFERROR(__xludf.DUMMYFUNCTION("""COMPUTED_VALUE"""),"Gyoumri")</f>
        <v>Gyoumri</v>
      </c>
      <c r="D3129" s="120" t="str">
        <f>IFERROR(__xludf.DUMMYFUNCTION("""COMPUTED_VALUE"""),"Armenia")</f>
        <v>Armenia</v>
      </c>
      <c r="E3129" s="135"/>
      <c r="F3129" s="31"/>
    </row>
    <row r="3130">
      <c r="A3130" s="134" t="str">
        <f>IFERROR(__xludf.DUMMYFUNCTION("""COMPUTED_VALUE"""),"Habi")</f>
        <v>Habi</v>
      </c>
      <c r="B3130" s="120" t="str">
        <f>IFERROR(__xludf.DUMMYFUNCTION("""COMPUTED_VALUE"""),"HBD")</f>
        <v>HBD</v>
      </c>
      <c r="C3130" s="120" t="str">
        <f>IFERROR(__xludf.DUMMYFUNCTION("""COMPUTED_VALUE"""),"Habi")</f>
        <v>Habi</v>
      </c>
      <c r="D3130" s="120" t="str">
        <f>IFERROR(__xludf.DUMMYFUNCTION("""COMPUTED_VALUE"""),"Papua New Guinea")</f>
        <v>Papua New Guinea</v>
      </c>
      <c r="E3130" s="135"/>
      <c r="F3130" s="31"/>
    </row>
    <row r="3131">
      <c r="A3131" s="134" t="str">
        <f>IFERROR(__xludf.DUMMYFUNCTION("""COMPUTED_VALUE"""),"Hachijo Jima")</f>
        <v>Hachijo Jima</v>
      </c>
      <c r="B3131" s="120" t="str">
        <f>IFERROR(__xludf.DUMMYFUNCTION("""COMPUTED_VALUE"""),"HAC")</f>
        <v>HAC</v>
      </c>
      <c r="C3131" s="120" t="str">
        <f>IFERROR(__xludf.DUMMYFUNCTION("""COMPUTED_VALUE"""),"Hachijo Jima")</f>
        <v>Hachijo Jima</v>
      </c>
      <c r="D3131" s="120" t="str">
        <f>IFERROR(__xludf.DUMMYFUNCTION("""COMPUTED_VALUE"""),"Japan")</f>
        <v>Japan</v>
      </c>
      <c r="E3131" s="135"/>
      <c r="F3131" s="31"/>
    </row>
    <row r="3132">
      <c r="A3132" s="134" t="str">
        <f>IFERROR(__xludf.DUMMYFUNCTION("""COMPUTED_VALUE"""),"Hachinohe")</f>
        <v>Hachinohe</v>
      </c>
      <c r="B3132" s="120" t="str">
        <f>IFERROR(__xludf.DUMMYFUNCTION("""COMPUTED_VALUE"""),"HHE")</f>
        <v>HHE</v>
      </c>
      <c r="C3132" s="120" t="str">
        <f>IFERROR(__xludf.DUMMYFUNCTION("""COMPUTED_VALUE"""),"Hachinohe")</f>
        <v>Hachinohe</v>
      </c>
      <c r="D3132" s="120" t="str">
        <f>IFERROR(__xludf.DUMMYFUNCTION("""COMPUTED_VALUE"""),"Japan")</f>
        <v>Japan</v>
      </c>
      <c r="E3132" s="135"/>
      <c r="F3132" s="31"/>
    </row>
    <row r="3133">
      <c r="A3133" s="134" t="str">
        <f>IFERROR(__xludf.DUMMYFUNCTION("""COMPUTED_VALUE"""),"Haelogo")</f>
        <v>Haelogo</v>
      </c>
      <c r="B3133" s="120" t="str">
        <f>IFERROR(__xludf.DUMMYFUNCTION("""COMPUTED_VALUE"""),"HEO")</f>
        <v>HEO</v>
      </c>
      <c r="C3133" s="120" t="str">
        <f>IFERROR(__xludf.DUMMYFUNCTION("""COMPUTED_VALUE"""),"Haelogo")</f>
        <v>Haelogo</v>
      </c>
      <c r="D3133" s="120" t="str">
        <f>IFERROR(__xludf.DUMMYFUNCTION("""COMPUTED_VALUE"""),"Papua New Guinea")</f>
        <v>Papua New Guinea</v>
      </c>
      <c r="E3133" s="135"/>
      <c r="F3133" s="31"/>
    </row>
    <row r="3134">
      <c r="A3134" s="134" t="str">
        <f>IFERROR(__xludf.DUMMYFUNCTION("""COMPUTED_VALUE"""),"Hafr Albatin")</f>
        <v>Hafr Albatin</v>
      </c>
      <c r="B3134" s="120" t="str">
        <f>IFERROR(__xludf.DUMMYFUNCTION("""COMPUTED_VALUE"""),"HBT")</f>
        <v>HBT</v>
      </c>
      <c r="C3134" s="120" t="str">
        <f>IFERROR(__xludf.DUMMYFUNCTION("""COMPUTED_VALUE"""),"Hafr Albatin")</f>
        <v>Hafr Albatin</v>
      </c>
      <c r="D3134" s="120" t="str">
        <f>IFERROR(__xludf.DUMMYFUNCTION("""COMPUTED_VALUE"""),"Saudi Arabia")</f>
        <v>Saudi Arabia</v>
      </c>
      <c r="E3134" s="135"/>
      <c r="F3134" s="31"/>
    </row>
    <row r="3135">
      <c r="A3135" s="134" t="str">
        <f>IFERROR(__xludf.DUMMYFUNCTION("""COMPUTED_VALUE"""),"Hagerstown")</f>
        <v>Hagerstown</v>
      </c>
      <c r="B3135" s="120" t="str">
        <f>IFERROR(__xludf.DUMMYFUNCTION("""COMPUTED_VALUE"""),"HGR")</f>
        <v>HGR</v>
      </c>
      <c r="C3135" s="120" t="str">
        <f>IFERROR(__xludf.DUMMYFUNCTION("""COMPUTED_VALUE"""),"Wash. County Regional")</f>
        <v>Wash. County Regional</v>
      </c>
      <c r="D3135" s="120" t="str">
        <f>IFERROR(__xludf.DUMMYFUNCTION("""COMPUTED_VALUE"""),"United States")</f>
        <v>United States</v>
      </c>
      <c r="E3135" s="135"/>
      <c r="F3135" s="31"/>
    </row>
    <row r="3136">
      <c r="A3136" s="134" t="str">
        <f>IFERROR(__xludf.DUMMYFUNCTION("""COMPUTED_VALUE"""),"Hagfors")</f>
        <v>Hagfors</v>
      </c>
      <c r="B3136" s="120" t="str">
        <f>IFERROR(__xludf.DUMMYFUNCTION("""COMPUTED_VALUE"""),"HFS")</f>
        <v>HFS</v>
      </c>
      <c r="C3136" s="120" t="str">
        <f>IFERROR(__xludf.DUMMYFUNCTION("""COMPUTED_VALUE"""),"Hagfors")</f>
        <v>Hagfors</v>
      </c>
      <c r="D3136" s="120" t="str">
        <f>IFERROR(__xludf.DUMMYFUNCTION("""COMPUTED_VALUE"""),"Sweden")</f>
        <v>Sweden</v>
      </c>
      <c r="E3136" s="135"/>
      <c r="F3136" s="31"/>
    </row>
    <row r="3137">
      <c r="A3137" s="134" t="str">
        <f>IFERROR(__xludf.DUMMYFUNCTION("""COMPUTED_VALUE"""),"Haifa")</f>
        <v>Haifa</v>
      </c>
      <c r="B3137" s="120" t="str">
        <f>IFERROR(__xludf.DUMMYFUNCTION("""COMPUTED_VALUE"""),"HFA")</f>
        <v>HFA</v>
      </c>
      <c r="C3137" s="120" t="str">
        <f>IFERROR(__xludf.DUMMYFUNCTION("""COMPUTED_VALUE"""),"Haifa")</f>
        <v>Haifa</v>
      </c>
      <c r="D3137" s="120" t="str">
        <f>IFERROR(__xludf.DUMMYFUNCTION("""COMPUTED_VALUE"""),"Israel")</f>
        <v>Israel</v>
      </c>
      <c r="E3137" s="135"/>
      <c r="F3137" s="31"/>
    </row>
    <row r="3138">
      <c r="A3138" s="134" t="str">
        <f>IFERROR(__xludf.DUMMYFUNCTION("""COMPUTED_VALUE"""),"Haikou")</f>
        <v>Haikou</v>
      </c>
      <c r="B3138" s="120" t="str">
        <f>IFERROR(__xludf.DUMMYFUNCTION("""COMPUTED_VALUE"""),"HAK")</f>
        <v>HAK</v>
      </c>
      <c r="C3138" s="120" t="str">
        <f>IFERROR(__xludf.DUMMYFUNCTION("""COMPUTED_VALUE"""),"Haikou")</f>
        <v>Haikou</v>
      </c>
      <c r="D3138" s="120" t="str">
        <f>IFERROR(__xludf.DUMMYFUNCTION("""COMPUTED_VALUE"""),"China")</f>
        <v>China</v>
      </c>
      <c r="E3138" s="135"/>
      <c r="F3138" s="31"/>
    </row>
    <row r="3139">
      <c r="A3139" s="134" t="str">
        <f>IFERROR(__xludf.DUMMYFUNCTION("""COMPUTED_VALUE"""),"Hail")</f>
        <v>Hail</v>
      </c>
      <c r="B3139" s="120" t="str">
        <f>IFERROR(__xludf.DUMMYFUNCTION("""COMPUTED_VALUE"""),"HAS")</f>
        <v>HAS</v>
      </c>
      <c r="C3139" s="120" t="str">
        <f>IFERROR(__xludf.DUMMYFUNCTION("""COMPUTED_VALUE"""),"Hail")</f>
        <v>Hail</v>
      </c>
      <c r="D3139" s="120" t="str">
        <f>IFERROR(__xludf.DUMMYFUNCTION("""COMPUTED_VALUE"""),"Saudi Arabia")</f>
        <v>Saudi Arabia</v>
      </c>
      <c r="E3139" s="135"/>
      <c r="F3139" s="31"/>
    </row>
    <row r="3140">
      <c r="A3140" s="134" t="str">
        <f>IFERROR(__xludf.DUMMYFUNCTION("""COMPUTED_VALUE"""),"Hailar")</f>
        <v>Hailar</v>
      </c>
      <c r="B3140" s="120" t="str">
        <f>IFERROR(__xludf.DUMMYFUNCTION("""COMPUTED_VALUE"""),"HLD")</f>
        <v>HLD</v>
      </c>
      <c r="C3140" s="120" t="str">
        <f>IFERROR(__xludf.DUMMYFUNCTION("""COMPUTED_VALUE"""),"Hailar")</f>
        <v>Hailar</v>
      </c>
      <c r="D3140" s="120" t="str">
        <f>IFERROR(__xludf.DUMMYFUNCTION("""COMPUTED_VALUE"""),"China")</f>
        <v>China</v>
      </c>
      <c r="E3140" s="135"/>
      <c r="F3140" s="31"/>
    </row>
    <row r="3141">
      <c r="A3141" s="134" t="str">
        <f>IFERROR(__xludf.DUMMYFUNCTION("""COMPUTED_VALUE"""),"Haines")</f>
        <v>Haines</v>
      </c>
      <c r="B3141" s="120" t="str">
        <f>IFERROR(__xludf.DUMMYFUNCTION("""COMPUTED_VALUE"""),"HNS")</f>
        <v>HNS</v>
      </c>
      <c r="C3141" s="120" t="str">
        <f>IFERROR(__xludf.DUMMYFUNCTION("""COMPUTED_VALUE"""),"Municipal")</f>
        <v>Municipal</v>
      </c>
      <c r="D3141" s="120" t="str">
        <f>IFERROR(__xludf.DUMMYFUNCTION("""COMPUTED_VALUE"""),"United States")</f>
        <v>United States</v>
      </c>
      <c r="E3141" s="135"/>
      <c r="F3141" s="31"/>
    </row>
    <row r="3142">
      <c r="A3142" s="134" t="str">
        <f>IFERROR(__xludf.DUMMYFUNCTION("""COMPUTED_VALUE"""),"Haines Junction")</f>
        <v>Haines Junction</v>
      </c>
      <c r="B3142" s="120" t="str">
        <f>IFERROR(__xludf.DUMMYFUNCTION("""COMPUTED_VALUE"""),"YHT")</f>
        <v>YHT</v>
      </c>
      <c r="C3142" s="120" t="str">
        <f>IFERROR(__xludf.DUMMYFUNCTION("""COMPUTED_VALUE"""),"Haines Junction")</f>
        <v>Haines Junction</v>
      </c>
      <c r="D3142" s="120" t="str">
        <f>IFERROR(__xludf.DUMMYFUNCTION("""COMPUTED_VALUE"""),"Canada")</f>
        <v>Canada</v>
      </c>
      <c r="E3142" s="135"/>
      <c r="F3142" s="31"/>
    </row>
    <row r="3143">
      <c r="A3143" s="134" t="str">
        <f>IFERROR(__xludf.DUMMYFUNCTION("""COMPUTED_VALUE"""),"Haiphong")</f>
        <v>Haiphong</v>
      </c>
      <c r="B3143" s="120" t="str">
        <f>IFERROR(__xludf.DUMMYFUNCTION("""COMPUTED_VALUE"""),"HPH")</f>
        <v>HPH</v>
      </c>
      <c r="C3143" s="120" t="str">
        <f>IFERROR(__xludf.DUMMYFUNCTION("""COMPUTED_VALUE"""),"Catbi")</f>
        <v>Catbi</v>
      </c>
      <c r="D3143" s="120" t="str">
        <f>IFERROR(__xludf.DUMMYFUNCTION("""COMPUTED_VALUE"""),"Vietnam")</f>
        <v>Vietnam</v>
      </c>
      <c r="E3143" s="135"/>
      <c r="F3143" s="31"/>
    </row>
    <row r="3144">
      <c r="A3144" s="134" t="str">
        <f>IFERROR(__xludf.DUMMYFUNCTION("""COMPUTED_VALUE"""),"Hakai Pass")</f>
        <v>Hakai Pass</v>
      </c>
      <c r="B3144" s="120" t="str">
        <f>IFERROR(__xludf.DUMMYFUNCTION("""COMPUTED_VALUE"""),"YHC")</f>
        <v>YHC</v>
      </c>
      <c r="C3144" s="120" t="str">
        <f>IFERROR(__xludf.DUMMYFUNCTION("""COMPUTED_VALUE"""),"Hakai Pass")</f>
        <v>Hakai Pass</v>
      </c>
      <c r="D3144" s="120" t="str">
        <f>IFERROR(__xludf.DUMMYFUNCTION("""COMPUTED_VALUE"""),"Canada")</f>
        <v>Canada</v>
      </c>
      <c r="E3144" s="135"/>
      <c r="F3144" s="31"/>
    </row>
    <row r="3145">
      <c r="A3145" s="134" t="str">
        <f>IFERROR(__xludf.DUMMYFUNCTION("""COMPUTED_VALUE"""),"Hakodate")</f>
        <v>Hakodate</v>
      </c>
      <c r="B3145" s="120" t="str">
        <f>IFERROR(__xludf.DUMMYFUNCTION("""COMPUTED_VALUE"""),"HKD")</f>
        <v>HKD</v>
      </c>
      <c r="C3145" s="120" t="str">
        <f>IFERROR(__xludf.DUMMYFUNCTION("""COMPUTED_VALUE"""),"Hakodate")</f>
        <v>Hakodate</v>
      </c>
      <c r="D3145" s="120" t="str">
        <f>IFERROR(__xludf.DUMMYFUNCTION("""COMPUTED_VALUE"""),"Japan")</f>
        <v>Japan</v>
      </c>
      <c r="E3145" s="135"/>
      <c r="F3145" s="31"/>
    </row>
    <row r="3146">
      <c r="A3146" s="134" t="str">
        <f>IFERROR(__xludf.DUMMYFUNCTION("""COMPUTED_VALUE"""),"Halali")</f>
        <v>Halali</v>
      </c>
      <c r="B3146" s="120" t="str">
        <f>IFERROR(__xludf.DUMMYFUNCTION("""COMPUTED_VALUE"""),"HAL")</f>
        <v>HAL</v>
      </c>
      <c r="C3146" s="120" t="str">
        <f>IFERROR(__xludf.DUMMYFUNCTION("""COMPUTED_VALUE"""),"Halali")</f>
        <v>Halali</v>
      </c>
      <c r="D3146" s="120" t="str">
        <f>IFERROR(__xludf.DUMMYFUNCTION("""COMPUTED_VALUE"""),"Namibia")</f>
        <v>Namibia</v>
      </c>
      <c r="E3146" s="135"/>
      <c r="F3146" s="31"/>
    </row>
    <row r="3147">
      <c r="A3147" s="134" t="str">
        <f>IFERROR(__xludf.DUMMYFUNCTION("""COMPUTED_VALUE"""),"Half Moon")</f>
        <v>Half Moon</v>
      </c>
      <c r="B3147" s="120" t="str">
        <f>IFERROR(__xludf.DUMMYFUNCTION("""COMPUTED_VALUE"""),"HAF")</f>
        <v>HAF</v>
      </c>
      <c r="C3147" s="120" t="str">
        <f>IFERROR(__xludf.DUMMYFUNCTION("""COMPUTED_VALUE"""),"Half Moon")</f>
        <v>Half Moon</v>
      </c>
      <c r="D3147" s="120" t="str">
        <f>IFERROR(__xludf.DUMMYFUNCTION("""COMPUTED_VALUE"""),"United States")</f>
        <v>United States</v>
      </c>
      <c r="E3147" s="135"/>
      <c r="F3147" s="31"/>
    </row>
    <row r="3148">
      <c r="A3148" s="134" t="str">
        <f>IFERROR(__xludf.DUMMYFUNCTION("""COMPUTED_VALUE"""),"Halifax")</f>
        <v>Halifax</v>
      </c>
      <c r="B3148" s="120" t="str">
        <f>IFERROR(__xludf.DUMMYFUNCTION("""COMPUTED_VALUE"""),"YWF")</f>
        <v>YWF</v>
      </c>
      <c r="C3148" s="120" t="str">
        <f>IFERROR(__xludf.DUMMYFUNCTION("""COMPUTED_VALUE"""),"Dwtown Waterfront H/P")</f>
        <v>Dwtown Waterfront H/P</v>
      </c>
      <c r="D3148" s="120" t="str">
        <f>IFERROR(__xludf.DUMMYFUNCTION("""COMPUTED_VALUE"""),"Canada")</f>
        <v>Canada</v>
      </c>
      <c r="E3148" s="135"/>
      <c r="F3148" s="31"/>
    </row>
    <row r="3149">
      <c r="A3149" s="134" t="str">
        <f>IFERROR(__xludf.DUMMYFUNCTION("""COMPUTED_VALUE"""),"Halifax")</f>
        <v>Halifax</v>
      </c>
      <c r="B3149" s="120" t="str">
        <f>IFERROR(__xludf.DUMMYFUNCTION("""COMPUTED_VALUE"""),"YHZ")</f>
        <v>YHZ</v>
      </c>
      <c r="C3149" s="120" t="str">
        <f>IFERROR(__xludf.DUMMYFUNCTION("""COMPUTED_VALUE"""),"Halifax International")</f>
        <v>Halifax International</v>
      </c>
      <c r="D3149" s="120" t="str">
        <f>IFERROR(__xludf.DUMMYFUNCTION("""COMPUTED_VALUE"""),"Canada")</f>
        <v>Canada</v>
      </c>
      <c r="E3149" s="135"/>
      <c r="F3149" s="31"/>
    </row>
    <row r="3150">
      <c r="A3150" s="134" t="str">
        <f>IFERROR(__xludf.DUMMYFUNCTION("""COMPUTED_VALUE"""),"Halifax")</f>
        <v>Halifax</v>
      </c>
      <c r="B3150" s="120" t="str">
        <f>IFERROR(__xludf.DUMMYFUNCTION("""COMPUTED_VALUE"""),"YAW")</f>
        <v>YAW</v>
      </c>
      <c r="C3150" s="120" t="str">
        <f>IFERROR(__xludf.DUMMYFUNCTION("""COMPUTED_VALUE"""),"Shearwater")</f>
        <v>Shearwater</v>
      </c>
      <c r="D3150" s="120" t="str">
        <f>IFERROR(__xludf.DUMMYFUNCTION("""COMPUTED_VALUE"""),"Canada")</f>
        <v>Canada</v>
      </c>
      <c r="E3150" s="135"/>
      <c r="F3150" s="31"/>
    </row>
    <row r="3151">
      <c r="A3151" s="134" t="str">
        <f>IFERROR(__xludf.DUMMYFUNCTION("""COMPUTED_VALUE"""),"Hall Beach")</f>
        <v>Hall Beach</v>
      </c>
      <c r="B3151" s="120" t="str">
        <f>IFERROR(__xludf.DUMMYFUNCTION("""COMPUTED_VALUE"""),"YUX")</f>
        <v>YUX</v>
      </c>
      <c r="C3151" s="120" t="str">
        <f>IFERROR(__xludf.DUMMYFUNCTION("""COMPUTED_VALUE"""),"Hall Beach")</f>
        <v>Hall Beach</v>
      </c>
      <c r="D3151" s="120" t="str">
        <f>IFERROR(__xludf.DUMMYFUNCTION("""COMPUTED_VALUE"""),"Canada")</f>
        <v>Canada</v>
      </c>
      <c r="E3151" s="135"/>
      <c r="F3151" s="31"/>
    </row>
    <row r="3152">
      <c r="A3152" s="134" t="str">
        <f>IFERROR(__xludf.DUMMYFUNCTION("""COMPUTED_VALUE"""),"Halle")</f>
        <v>Halle</v>
      </c>
      <c r="B3152" s="120" t="str">
        <f>IFERROR(__xludf.DUMMYFUNCTION("""COMPUTED_VALUE"""),"ZHZ")</f>
        <v>ZHZ</v>
      </c>
      <c r="C3152" s="120" t="str">
        <f>IFERROR(__xludf.DUMMYFUNCTION("""COMPUTED_VALUE"""),"Halle Railway")</f>
        <v>Halle Railway</v>
      </c>
      <c r="D3152" s="120" t="str">
        <f>IFERROR(__xludf.DUMMYFUNCTION("""COMPUTED_VALUE"""),"Germany")</f>
        <v>Germany</v>
      </c>
      <c r="E3152" s="135"/>
      <c r="F3152" s="31"/>
    </row>
    <row r="3153">
      <c r="A3153" s="134" t="str">
        <f>IFERROR(__xludf.DUMMYFUNCTION("""COMPUTED_VALUE"""),"Halls Creek")</f>
        <v>Halls Creek</v>
      </c>
      <c r="B3153" s="120" t="str">
        <f>IFERROR(__xludf.DUMMYFUNCTION("""COMPUTED_VALUE"""),"HCQ")</f>
        <v>HCQ</v>
      </c>
      <c r="C3153" s="120" t="str">
        <f>IFERROR(__xludf.DUMMYFUNCTION("""COMPUTED_VALUE"""),"Halls Creek")</f>
        <v>Halls Creek</v>
      </c>
      <c r="D3153" s="120" t="str">
        <f>IFERROR(__xludf.DUMMYFUNCTION("""COMPUTED_VALUE"""),"Australia")</f>
        <v>Australia</v>
      </c>
      <c r="E3153" s="135"/>
      <c r="F3153" s="31"/>
    </row>
    <row r="3154">
      <c r="A3154" s="134" t="str">
        <f>IFERROR(__xludf.DUMMYFUNCTION("""COMPUTED_VALUE"""),"Halmstad")</f>
        <v>Halmstad</v>
      </c>
      <c r="B3154" s="120" t="str">
        <f>IFERROR(__xludf.DUMMYFUNCTION("""COMPUTED_VALUE"""),"HAD")</f>
        <v>HAD</v>
      </c>
      <c r="C3154" s="120" t="str">
        <f>IFERROR(__xludf.DUMMYFUNCTION("""COMPUTED_VALUE"""),"Halmstad")</f>
        <v>Halmstad</v>
      </c>
      <c r="D3154" s="120" t="str">
        <f>IFERROR(__xludf.DUMMYFUNCTION("""COMPUTED_VALUE"""),"Sweden")</f>
        <v>Sweden</v>
      </c>
      <c r="E3154" s="135"/>
      <c r="F3154" s="31"/>
    </row>
    <row r="3155">
      <c r="A3155" s="134" t="str">
        <f>IFERROR(__xludf.DUMMYFUNCTION("""COMPUTED_VALUE"""),"Hamadan")</f>
        <v>Hamadan</v>
      </c>
      <c r="B3155" s="120" t="str">
        <f>IFERROR(__xludf.DUMMYFUNCTION("""COMPUTED_VALUE"""),"HDM")</f>
        <v>HDM</v>
      </c>
      <c r="C3155" s="120" t="str">
        <f>IFERROR(__xludf.DUMMYFUNCTION("""COMPUTED_VALUE"""),"Hamadan")</f>
        <v>Hamadan</v>
      </c>
      <c r="D3155" s="120" t="str">
        <f>IFERROR(__xludf.DUMMYFUNCTION("""COMPUTED_VALUE"""),"Iran")</f>
        <v>Iran</v>
      </c>
      <c r="E3155" s="135"/>
      <c r="F3155" s="31"/>
    </row>
    <row r="3156">
      <c r="A3156" s="134" t="str">
        <f>IFERROR(__xludf.DUMMYFUNCTION("""COMPUTED_VALUE"""),"Hamar")</f>
        <v>Hamar</v>
      </c>
      <c r="B3156" s="120" t="str">
        <f>IFERROR(__xludf.DUMMYFUNCTION("""COMPUTED_VALUE"""),"HMR")</f>
        <v>HMR</v>
      </c>
      <c r="C3156" s="120" t="str">
        <f>IFERROR(__xludf.DUMMYFUNCTION("""COMPUTED_VALUE"""),"Hamar Arpt")</f>
        <v>Hamar Arpt</v>
      </c>
      <c r="D3156" s="120" t="str">
        <f>IFERROR(__xludf.DUMMYFUNCTION("""COMPUTED_VALUE"""),"Norway")</f>
        <v>Norway</v>
      </c>
      <c r="E3156" s="135"/>
      <c r="F3156" s="31"/>
    </row>
    <row r="3157">
      <c r="A3157" s="134" t="str">
        <f>IFERROR(__xludf.DUMMYFUNCTION("""COMPUTED_VALUE"""),"Hamburg")</f>
        <v>Hamburg</v>
      </c>
      <c r="B3157" s="120" t="str">
        <f>IFERROR(__xludf.DUMMYFUNCTION("""COMPUTED_VALUE"""),"HAM")</f>
        <v>HAM</v>
      </c>
      <c r="C3157" s="120" t="str">
        <f>IFERROR(__xludf.DUMMYFUNCTION("""COMPUTED_VALUE"""),"Hamburg")</f>
        <v>Hamburg</v>
      </c>
      <c r="D3157" s="120" t="str">
        <f>IFERROR(__xludf.DUMMYFUNCTION("""COMPUTED_VALUE"""),"Germany")</f>
        <v>Germany</v>
      </c>
      <c r="E3157" s="135"/>
      <c r="F3157" s="31"/>
    </row>
    <row r="3158">
      <c r="A3158" s="134" t="str">
        <f>IFERROR(__xludf.DUMMYFUNCTION("""COMPUTED_VALUE"""),"Lübeck")</f>
        <v>Lübeck</v>
      </c>
      <c r="B3158" s="120" t="str">
        <f>IFERROR(__xludf.DUMMYFUNCTION("""COMPUTED_VALUE"""),"LBC")</f>
        <v>LBC</v>
      </c>
      <c r="C3158" s="120" t="str">
        <f>IFERROR(__xludf.DUMMYFUNCTION("""COMPUTED_VALUE"""),"Lübeck Blankensee")</f>
        <v>Lübeck Blankensee</v>
      </c>
      <c r="D3158" s="120" t="str">
        <f>IFERROR(__xludf.DUMMYFUNCTION("""COMPUTED_VALUE"""),"Germany")</f>
        <v>Germany</v>
      </c>
      <c r="E3158" s="135"/>
      <c r="F3158" s="31"/>
    </row>
    <row r="3159">
      <c r="A3159" s="134" t="str">
        <f>IFERROR(__xludf.DUMMYFUNCTION("""COMPUTED_VALUE"""),"Hami")</f>
        <v>Hami</v>
      </c>
      <c r="B3159" s="120" t="str">
        <f>IFERROR(__xludf.DUMMYFUNCTION("""COMPUTED_VALUE"""),"HMI")</f>
        <v>HMI</v>
      </c>
      <c r="C3159" s="120" t="str">
        <f>IFERROR(__xludf.DUMMYFUNCTION("""COMPUTED_VALUE"""),"Hami")</f>
        <v>Hami</v>
      </c>
      <c r="D3159" s="120" t="str">
        <f>IFERROR(__xludf.DUMMYFUNCTION("""COMPUTED_VALUE"""),"China")</f>
        <v>China</v>
      </c>
      <c r="E3159" s="135"/>
      <c r="F3159" s="31"/>
    </row>
    <row r="3160">
      <c r="A3160" s="134" t="str">
        <f>IFERROR(__xludf.DUMMYFUNCTION("""COMPUTED_VALUE"""),"Hamilton")</f>
        <v>Hamilton</v>
      </c>
      <c r="B3160" s="120" t="str">
        <f>IFERROR(__xludf.DUMMYFUNCTION("""COMPUTED_VALUE"""),"HAB")</f>
        <v>HAB</v>
      </c>
      <c r="C3160" s="120" t="str">
        <f>IFERROR(__xludf.DUMMYFUNCTION("""COMPUTED_VALUE"""),"Marion County")</f>
        <v>Marion County</v>
      </c>
      <c r="D3160" s="120" t="str">
        <f>IFERROR(__xludf.DUMMYFUNCTION("""COMPUTED_VALUE"""),"United States")</f>
        <v>United States</v>
      </c>
      <c r="E3160" s="135"/>
      <c r="F3160" s="31"/>
    </row>
    <row r="3161">
      <c r="A3161" s="134" t="str">
        <f>IFERROR(__xludf.DUMMYFUNCTION("""COMPUTED_VALUE"""),"Hamilton")</f>
        <v>Hamilton</v>
      </c>
      <c r="B3161" s="120" t="str">
        <f>IFERROR(__xludf.DUMMYFUNCTION("""COMPUTED_VALUE"""),"HLZ")</f>
        <v>HLZ</v>
      </c>
      <c r="C3161" s="120" t="str">
        <f>IFERROR(__xludf.DUMMYFUNCTION("""COMPUTED_VALUE"""),"Hamilton")</f>
        <v>Hamilton</v>
      </c>
      <c r="D3161" s="120" t="str">
        <f>IFERROR(__xludf.DUMMYFUNCTION("""COMPUTED_VALUE"""),"New Zealand (Aotearoa)")</f>
        <v>New Zealand (Aotearoa)</v>
      </c>
      <c r="E3161" s="135"/>
      <c r="F3161" s="31"/>
    </row>
    <row r="3162">
      <c r="A3162" s="134" t="str">
        <f>IFERROR(__xludf.DUMMYFUNCTION("""COMPUTED_VALUE"""),"Hamilton")</f>
        <v>Hamilton</v>
      </c>
      <c r="B3162" s="120" t="str">
        <f>IFERROR(__xludf.DUMMYFUNCTION("""COMPUTED_VALUE"""),"HAO")</f>
        <v>HAO</v>
      </c>
      <c r="C3162" s="120" t="str">
        <f>IFERROR(__xludf.DUMMYFUNCTION("""COMPUTED_VALUE"""),"Hamilton")</f>
        <v>Hamilton</v>
      </c>
      <c r="D3162" s="120" t="str">
        <f>IFERROR(__xludf.DUMMYFUNCTION("""COMPUTED_VALUE"""),"United States")</f>
        <v>United States</v>
      </c>
      <c r="E3162" s="135"/>
      <c r="F3162" s="31"/>
    </row>
    <row r="3163">
      <c r="A3163" s="134" t="str">
        <f>IFERROR(__xludf.DUMMYFUNCTION("""COMPUTED_VALUE"""),"Hamilton")</f>
        <v>Hamilton</v>
      </c>
      <c r="B3163" s="120" t="str">
        <f>IFERROR(__xludf.DUMMYFUNCTION("""COMPUTED_VALUE"""),"YHM")</f>
        <v>YHM</v>
      </c>
      <c r="C3163" s="120" t="str">
        <f>IFERROR(__xludf.DUMMYFUNCTION("""COMPUTED_VALUE"""),"Hamilton")</f>
        <v>Hamilton</v>
      </c>
      <c r="D3163" s="120" t="str">
        <f>IFERROR(__xludf.DUMMYFUNCTION("""COMPUTED_VALUE"""),"Canada")</f>
        <v>Canada</v>
      </c>
      <c r="E3163" s="135"/>
      <c r="F3163" s="31"/>
    </row>
    <row r="3164">
      <c r="A3164" s="134" t="str">
        <f>IFERROR(__xludf.DUMMYFUNCTION("""COMPUTED_VALUE"""),"Hamilton")</f>
        <v>Hamilton</v>
      </c>
      <c r="B3164" s="120" t="str">
        <f>IFERROR(__xludf.DUMMYFUNCTION("""COMPUTED_VALUE"""),"HLT")</f>
        <v>HLT</v>
      </c>
      <c r="C3164" s="120" t="str">
        <f>IFERROR(__xludf.DUMMYFUNCTION("""COMPUTED_VALUE"""),"Hamilton")</f>
        <v>Hamilton</v>
      </c>
      <c r="D3164" s="120" t="str">
        <f>IFERROR(__xludf.DUMMYFUNCTION("""COMPUTED_VALUE"""),"Australia")</f>
        <v>Australia</v>
      </c>
      <c r="E3164" s="135"/>
      <c r="F3164" s="31"/>
    </row>
    <row r="3165">
      <c r="A3165" s="134" t="str">
        <f>IFERROR(__xludf.DUMMYFUNCTION("""COMPUTED_VALUE"""),"Hamilton Island")</f>
        <v>Hamilton Island</v>
      </c>
      <c r="B3165" s="120" t="str">
        <f>IFERROR(__xludf.DUMMYFUNCTION("""COMPUTED_VALUE"""),"HTI")</f>
        <v>HTI</v>
      </c>
      <c r="C3165" s="120" t="str">
        <f>IFERROR(__xludf.DUMMYFUNCTION("""COMPUTED_VALUE"""),"Hamilton Island")</f>
        <v>Hamilton Island</v>
      </c>
      <c r="D3165" s="120" t="str">
        <f>IFERROR(__xludf.DUMMYFUNCTION("""COMPUTED_VALUE"""),"Australia")</f>
        <v>Australia</v>
      </c>
      <c r="E3165" s="135"/>
      <c r="F3165" s="31"/>
    </row>
    <row r="3166">
      <c r="A3166" s="134" t="str">
        <f>IFERROR(__xludf.DUMMYFUNCTION("""COMPUTED_VALUE"""),"Hammerfest")</f>
        <v>Hammerfest</v>
      </c>
      <c r="B3166" s="120" t="str">
        <f>IFERROR(__xludf.DUMMYFUNCTION("""COMPUTED_VALUE"""),"HFT")</f>
        <v>HFT</v>
      </c>
      <c r="C3166" s="120" t="str">
        <f>IFERROR(__xludf.DUMMYFUNCTION("""COMPUTED_VALUE"""),"Hammerfest")</f>
        <v>Hammerfest</v>
      </c>
      <c r="D3166" s="120" t="str">
        <f>IFERROR(__xludf.DUMMYFUNCTION("""COMPUTED_VALUE"""),"Norway")</f>
        <v>Norway</v>
      </c>
      <c r="E3166" s="135"/>
      <c r="F3166" s="31"/>
    </row>
    <row r="3167">
      <c r="A3167" s="134" t="str">
        <f>IFERROR(__xludf.DUMMYFUNCTION("""COMPUTED_VALUE"""),"Hammersmith")</f>
        <v>Hammersmith</v>
      </c>
      <c r="B3167" s="120" t="str">
        <f>IFERROR(__xludf.DUMMYFUNCTION("""COMPUTED_VALUE"""),"WUK")</f>
        <v>WUK</v>
      </c>
      <c r="C3167" s="120" t="str">
        <f>IFERROR(__xludf.DUMMYFUNCTION("""COMPUTED_VALUE"""),"Off Line Point")</f>
        <v>Off Line Point</v>
      </c>
      <c r="D3167" s="120" t="str">
        <f>IFERROR(__xludf.DUMMYFUNCTION("""COMPUTED_VALUE"""),"United Kingdom")</f>
        <v>United Kingdom</v>
      </c>
      <c r="E3167" s="135"/>
      <c r="F3167" s="31"/>
    </row>
    <row r="3168">
      <c r="A3168" s="134" t="str">
        <f>IFERROR(__xludf.DUMMYFUNCTION("""COMPUTED_VALUE"""),"Hampton")</f>
        <v>Hampton</v>
      </c>
      <c r="B3168" s="120" t="str">
        <f>IFERROR(__xludf.DUMMYFUNCTION("""COMPUTED_VALUE"""),"HPT")</f>
        <v>HPT</v>
      </c>
      <c r="C3168" s="120" t="str">
        <f>IFERROR(__xludf.DUMMYFUNCTION("""COMPUTED_VALUE"""),"Municipal")</f>
        <v>Municipal</v>
      </c>
      <c r="D3168" s="120" t="str">
        <f>IFERROR(__xludf.DUMMYFUNCTION("""COMPUTED_VALUE"""),"United States")</f>
        <v>United States</v>
      </c>
      <c r="E3168" s="135"/>
      <c r="F3168" s="31"/>
    </row>
    <row r="3169">
      <c r="A3169" s="134" t="str">
        <f>IFERROR(__xludf.DUMMYFUNCTION("""COMPUTED_VALUE"""),"Hampton")</f>
        <v>Hampton</v>
      </c>
      <c r="B3169" s="120" t="str">
        <f>IFERROR(__xludf.DUMMYFUNCTION("""COMPUTED_VALUE"""),"LFI")</f>
        <v>LFI</v>
      </c>
      <c r="C3169" s="120" t="str">
        <f>IFERROR(__xludf.DUMMYFUNCTION("""COMPUTED_VALUE"""),"Langley AFB")</f>
        <v>Langley AFB</v>
      </c>
      <c r="D3169" s="120" t="str">
        <f>IFERROR(__xludf.DUMMYFUNCTION("""COMPUTED_VALUE"""),"United States")</f>
        <v>United States</v>
      </c>
      <c r="E3169" s="135"/>
      <c r="F3169" s="31"/>
    </row>
    <row r="3170">
      <c r="A3170" s="134" t="str">
        <f>IFERROR(__xludf.DUMMYFUNCTION("""COMPUTED_VALUE"""),"Hampton")</f>
        <v>Hampton</v>
      </c>
      <c r="B3170" s="120" t="str">
        <f>IFERROR(__xludf.DUMMYFUNCTION("""COMPUTED_VALUE"""),"ZWW")</f>
        <v>ZWW</v>
      </c>
      <c r="C3170" s="120" t="str">
        <f>IFERROR(__xludf.DUMMYFUNCTION("""COMPUTED_VALUE"""),"Newport News Rail")</f>
        <v>Newport News Rail</v>
      </c>
      <c r="D3170" s="120" t="str">
        <f>IFERROR(__xludf.DUMMYFUNCTION("""COMPUTED_VALUE"""),"United States")</f>
        <v>United States</v>
      </c>
      <c r="E3170" s="135"/>
      <c r="F3170" s="31"/>
    </row>
    <row r="3171">
      <c r="A3171" s="134" t="str">
        <f>IFERROR(__xludf.DUMMYFUNCTION("""COMPUTED_VALUE"""),"Hampton")</f>
        <v>Hampton</v>
      </c>
      <c r="B3171" s="120" t="str">
        <f>IFERROR(__xludf.DUMMYFUNCTION("""COMPUTED_VALUE"""),"ZWB")</f>
        <v>ZWB</v>
      </c>
      <c r="C3171" s="120" t="str">
        <f>IFERROR(__xludf.DUMMYFUNCTION("""COMPUTED_VALUE"""),"Williamsburg Rail")</f>
        <v>Williamsburg Rail</v>
      </c>
      <c r="D3171" s="120" t="str">
        <f>IFERROR(__xludf.DUMMYFUNCTION("""COMPUTED_VALUE"""),"United States")</f>
        <v>United States</v>
      </c>
      <c r="E3171" s="135"/>
      <c r="F3171" s="31"/>
    </row>
    <row r="3172">
      <c r="A3172" s="134" t="str">
        <f>IFERROR(__xludf.DUMMYFUNCTION("""COMPUTED_VALUE"""),"Hana")</f>
        <v>Hana</v>
      </c>
      <c r="B3172" s="120" t="str">
        <f>IFERROR(__xludf.DUMMYFUNCTION("""COMPUTED_VALUE"""),"HNM")</f>
        <v>HNM</v>
      </c>
      <c r="C3172" s="120" t="str">
        <f>IFERROR(__xludf.DUMMYFUNCTION("""COMPUTED_VALUE"""),"Hana")</f>
        <v>Hana</v>
      </c>
      <c r="D3172" s="120" t="str">
        <f>IFERROR(__xludf.DUMMYFUNCTION("""COMPUTED_VALUE"""),"United States")</f>
        <v>United States</v>
      </c>
      <c r="E3172" s="135"/>
      <c r="F3172" s="31"/>
    </row>
    <row r="3173">
      <c r="A3173" s="134" t="str">
        <f>IFERROR(__xludf.DUMMYFUNCTION("""COMPUTED_VALUE"""),"Hanamaki")</f>
        <v>Hanamaki</v>
      </c>
      <c r="B3173" s="120" t="str">
        <f>IFERROR(__xludf.DUMMYFUNCTION("""COMPUTED_VALUE"""),"HNA")</f>
        <v>HNA</v>
      </c>
      <c r="C3173" s="120" t="str">
        <f>IFERROR(__xludf.DUMMYFUNCTION("""COMPUTED_VALUE"""),"Hanamaki")</f>
        <v>Hanamaki</v>
      </c>
      <c r="D3173" s="120" t="str">
        <f>IFERROR(__xludf.DUMMYFUNCTION("""COMPUTED_VALUE"""),"Japan")</f>
        <v>Japan</v>
      </c>
      <c r="E3173" s="135"/>
      <c r="F3173" s="31"/>
    </row>
    <row r="3174">
      <c r="A3174" s="134" t="str">
        <f>IFERROR(__xludf.DUMMYFUNCTION("""COMPUTED_VALUE"""),"Hanapepe")</f>
        <v>Hanapepe</v>
      </c>
      <c r="B3174" s="120" t="str">
        <f>IFERROR(__xludf.DUMMYFUNCTION("""COMPUTED_VALUE"""),"PAK")</f>
        <v>PAK</v>
      </c>
      <c r="C3174" s="120" t="str">
        <f>IFERROR(__xludf.DUMMYFUNCTION("""COMPUTED_VALUE"""),"Port Allen")</f>
        <v>Port Allen</v>
      </c>
      <c r="D3174" s="120" t="str">
        <f>IFERROR(__xludf.DUMMYFUNCTION("""COMPUTED_VALUE"""),"United States")</f>
        <v>United States</v>
      </c>
      <c r="E3174" s="135"/>
      <c r="F3174" s="31"/>
    </row>
    <row r="3175">
      <c r="A3175" s="134" t="str">
        <f>IFERROR(__xludf.DUMMYFUNCTION("""COMPUTED_VALUE"""),"Hancock")</f>
        <v>Hancock</v>
      </c>
      <c r="B3175" s="120" t="str">
        <f>IFERROR(__xludf.DUMMYFUNCTION("""COMPUTED_VALUE"""),"CMX")</f>
        <v>CMX</v>
      </c>
      <c r="C3175" s="120" t="str">
        <f>IFERROR(__xludf.DUMMYFUNCTION("""COMPUTED_VALUE"""),"Houghton County")</f>
        <v>Houghton County</v>
      </c>
      <c r="D3175" s="120" t="str">
        <f>IFERROR(__xludf.DUMMYFUNCTION("""COMPUTED_VALUE"""),"United States")</f>
        <v>United States</v>
      </c>
      <c r="E3175" s="135"/>
      <c r="F3175" s="31"/>
    </row>
    <row r="3176">
      <c r="A3176" s="134" t="str">
        <f>IFERROR(__xludf.DUMMYFUNCTION("""COMPUTED_VALUE"""),"Hangzhou")</f>
        <v>Hangzhou</v>
      </c>
      <c r="B3176" s="120" t="str">
        <f>IFERROR(__xludf.DUMMYFUNCTION("""COMPUTED_VALUE"""),"HGH")</f>
        <v>HGH</v>
      </c>
      <c r="C3176" s="120" t="str">
        <f>IFERROR(__xludf.DUMMYFUNCTION("""COMPUTED_VALUE"""),"Hangzhou")</f>
        <v>Hangzhou</v>
      </c>
      <c r="D3176" s="120" t="str">
        <f>IFERROR(__xludf.DUMMYFUNCTION("""COMPUTED_VALUE"""),"China")</f>
        <v>China</v>
      </c>
      <c r="E3176" s="135"/>
      <c r="F3176" s="31"/>
    </row>
    <row r="3177">
      <c r="A3177" s="134" t="str">
        <f>IFERROR(__xludf.DUMMYFUNCTION("""COMPUTED_VALUE"""),"Hanimaadhoo")</f>
        <v>Hanimaadhoo</v>
      </c>
      <c r="B3177" s="120" t="str">
        <f>IFERROR(__xludf.DUMMYFUNCTION("""COMPUTED_VALUE"""),"HAQ")</f>
        <v>HAQ</v>
      </c>
      <c r="C3177" s="120" t="str">
        <f>IFERROR(__xludf.DUMMYFUNCTION("""COMPUTED_VALUE"""),"Hanimaadhoo")</f>
        <v>Hanimaadhoo</v>
      </c>
      <c r="D3177" s="120" t="str">
        <f>IFERROR(__xludf.DUMMYFUNCTION("""COMPUTED_VALUE"""),"Maldives")</f>
        <v>Maldives</v>
      </c>
      <c r="E3177" s="135"/>
      <c r="F3177" s="31"/>
    </row>
    <row r="3178">
      <c r="A3178" s="134" t="str">
        <f>IFERROR(__xludf.DUMMYFUNCTION("""COMPUTED_VALUE"""),"Hanksville")</f>
        <v>Hanksville</v>
      </c>
      <c r="B3178" s="120" t="str">
        <f>IFERROR(__xludf.DUMMYFUNCTION("""COMPUTED_VALUE"""),"HVE")</f>
        <v>HVE</v>
      </c>
      <c r="C3178" s="120" t="str">
        <f>IFERROR(__xludf.DUMMYFUNCTION("""COMPUTED_VALUE"""),"Intermediate")</f>
        <v>Intermediate</v>
      </c>
      <c r="D3178" s="120" t="str">
        <f>IFERROR(__xludf.DUMMYFUNCTION("""COMPUTED_VALUE"""),"United States")</f>
        <v>United States</v>
      </c>
      <c r="E3178" s="135"/>
      <c r="F3178" s="31"/>
    </row>
    <row r="3179">
      <c r="A3179" s="134" t="str">
        <f>IFERROR(__xludf.DUMMYFUNCTION("""COMPUTED_VALUE"""),"Hanna")</f>
        <v>Hanna</v>
      </c>
      <c r="B3179" s="120" t="str">
        <f>IFERROR(__xludf.DUMMYFUNCTION("""COMPUTED_VALUE"""),"HNX")</f>
        <v>HNX</v>
      </c>
      <c r="C3179" s="120" t="str">
        <f>IFERROR(__xludf.DUMMYFUNCTION("""COMPUTED_VALUE"""),"Hanna")</f>
        <v>Hanna</v>
      </c>
      <c r="D3179" s="120" t="str">
        <f>IFERROR(__xludf.DUMMYFUNCTION("""COMPUTED_VALUE"""),"United States")</f>
        <v>United States</v>
      </c>
      <c r="E3179" s="135"/>
      <c r="F3179" s="31"/>
    </row>
    <row r="3180">
      <c r="A3180" s="134" t="str">
        <f>IFERROR(__xludf.DUMMYFUNCTION("""COMPUTED_VALUE"""),"Hanoi")</f>
        <v>Hanoi</v>
      </c>
      <c r="B3180" s="120" t="str">
        <f>IFERROR(__xludf.DUMMYFUNCTION("""COMPUTED_VALUE"""),"HAN")</f>
        <v>HAN</v>
      </c>
      <c r="C3180" s="120" t="str">
        <f>IFERROR(__xludf.DUMMYFUNCTION("""COMPUTED_VALUE"""),"Noibai International")</f>
        <v>Noibai International</v>
      </c>
      <c r="D3180" s="120" t="str">
        <f>IFERROR(__xludf.DUMMYFUNCTION("""COMPUTED_VALUE"""),"Vietnam")</f>
        <v>Vietnam</v>
      </c>
      <c r="E3180" s="135"/>
      <c r="F3180" s="31"/>
    </row>
    <row r="3181">
      <c r="A3181" s="134" t="str">
        <f>IFERROR(__xludf.DUMMYFUNCTION("""COMPUTED_VALUE"""),"Hanover")</f>
        <v>Hanover</v>
      </c>
      <c r="B3181" s="120" t="str">
        <f>IFERROR(__xludf.DUMMYFUNCTION("""COMPUTED_VALUE"""),"HAJ")</f>
        <v>HAJ</v>
      </c>
      <c r="C3181" s="120" t="str">
        <f>IFERROR(__xludf.DUMMYFUNCTION("""COMPUTED_VALUE"""),"Hanover Arpt")</f>
        <v>Hanover Arpt</v>
      </c>
      <c r="D3181" s="120" t="str">
        <f>IFERROR(__xludf.DUMMYFUNCTION("""COMPUTED_VALUE"""),"Germany")</f>
        <v>Germany</v>
      </c>
      <c r="E3181" s="135"/>
      <c r="F3181" s="31"/>
    </row>
    <row r="3182">
      <c r="A3182" s="134" t="str">
        <f>IFERROR(__xludf.DUMMYFUNCTION("""COMPUTED_VALUE"""),"Hanover")</f>
        <v>Hanover</v>
      </c>
      <c r="B3182" s="120" t="str">
        <f>IFERROR(__xludf.DUMMYFUNCTION("""COMPUTED_VALUE"""),"ZVR")</f>
        <v>ZVR</v>
      </c>
      <c r="C3182" s="120" t="str">
        <f>IFERROR(__xludf.DUMMYFUNCTION("""COMPUTED_VALUE"""),"Hanover Railway")</f>
        <v>Hanover Railway</v>
      </c>
      <c r="D3182" s="120" t="str">
        <f>IFERROR(__xludf.DUMMYFUNCTION("""COMPUTED_VALUE"""),"Germany")</f>
        <v>Germany</v>
      </c>
      <c r="E3182" s="135"/>
      <c r="F3182" s="31"/>
    </row>
    <row r="3183">
      <c r="A3183" s="134" t="str">
        <f>IFERROR(__xludf.DUMMYFUNCTION("""COMPUTED_VALUE"""),"Hanover")</f>
        <v>Hanover</v>
      </c>
      <c r="B3183" s="120" t="str">
        <f>IFERROR(__xludf.DUMMYFUNCTION("""COMPUTED_VALUE"""),"ZVM")</f>
        <v>ZVM</v>
      </c>
      <c r="C3183" s="120" t="str">
        <f>IFERROR(__xludf.DUMMYFUNCTION("""COMPUTED_VALUE"""),"Messe-BF Railway Servi")</f>
        <v>Messe-BF Railway Servi</v>
      </c>
      <c r="D3183" s="120" t="str">
        <f>IFERROR(__xludf.DUMMYFUNCTION("""COMPUTED_VALUE"""),"Germany")</f>
        <v>Germany</v>
      </c>
      <c r="E3183" s="135"/>
      <c r="F3183" s="31"/>
    </row>
    <row r="3184">
      <c r="A3184" s="134" t="str">
        <f>IFERROR(__xludf.DUMMYFUNCTION("""COMPUTED_VALUE"""),"Hanus Bay")</f>
        <v>Hanus Bay</v>
      </c>
      <c r="B3184" s="120" t="str">
        <f>IFERROR(__xludf.DUMMYFUNCTION("""COMPUTED_VALUE"""),"HBC")</f>
        <v>HBC</v>
      </c>
      <c r="C3184" s="120" t="str">
        <f>IFERROR(__xludf.DUMMYFUNCTION("""COMPUTED_VALUE"""),"Hanus Bay")</f>
        <v>Hanus Bay</v>
      </c>
      <c r="D3184" s="120" t="str">
        <f>IFERROR(__xludf.DUMMYFUNCTION("""COMPUTED_VALUE"""),"United States")</f>
        <v>United States</v>
      </c>
      <c r="E3184" s="135"/>
      <c r="F3184" s="31"/>
    </row>
    <row r="3185">
      <c r="A3185" s="134" t="str">
        <f>IFERROR(__xludf.DUMMYFUNCTION("""COMPUTED_VALUE"""),"Hanzhong")</f>
        <v>Hanzhong</v>
      </c>
      <c r="B3185" s="120" t="str">
        <f>IFERROR(__xludf.DUMMYFUNCTION("""COMPUTED_VALUE"""),"HZG")</f>
        <v>HZG</v>
      </c>
      <c r="C3185" s="120" t="str">
        <f>IFERROR(__xludf.DUMMYFUNCTION("""COMPUTED_VALUE"""),"Hanzhong")</f>
        <v>Hanzhong</v>
      </c>
      <c r="D3185" s="120" t="str">
        <f>IFERROR(__xludf.DUMMYFUNCTION("""COMPUTED_VALUE"""),"China")</f>
        <v>China</v>
      </c>
      <c r="E3185" s="135"/>
      <c r="F3185" s="31"/>
    </row>
    <row r="3186">
      <c r="A3186" s="134" t="str">
        <f>IFERROR(__xludf.DUMMYFUNCTION("""COMPUTED_VALUE"""),"Hao Island")</f>
        <v>Hao Island</v>
      </c>
      <c r="B3186" s="120" t="str">
        <f>IFERROR(__xludf.DUMMYFUNCTION("""COMPUTED_VALUE"""),"HOI")</f>
        <v>HOI</v>
      </c>
      <c r="C3186" s="120" t="str">
        <f>IFERROR(__xludf.DUMMYFUNCTION("""COMPUTED_VALUE"""),"Hao Island")</f>
        <v>Hao Island</v>
      </c>
      <c r="D3186" s="120" t="str">
        <f>IFERROR(__xludf.DUMMYFUNCTION("""COMPUTED_VALUE"""),"French Polynesia")</f>
        <v>French Polynesia</v>
      </c>
      <c r="E3186" s="135"/>
      <c r="F3186" s="31"/>
    </row>
    <row r="3187">
      <c r="A3187" s="134" t="str">
        <f>IFERROR(__xludf.DUMMYFUNCTION("""COMPUTED_VALUE"""),"Harare")</f>
        <v>Harare</v>
      </c>
      <c r="B3187" s="120" t="str">
        <f>IFERROR(__xludf.DUMMYFUNCTION("""COMPUTED_VALUE"""),"HRE")</f>
        <v>HRE</v>
      </c>
      <c r="C3187" s="120" t="str">
        <f>IFERROR(__xludf.DUMMYFUNCTION("""COMPUTED_VALUE"""),"Harare")</f>
        <v>Harare</v>
      </c>
      <c r="D3187" s="120" t="str">
        <f>IFERROR(__xludf.DUMMYFUNCTION("""COMPUTED_VALUE"""),"Zimbabwe")</f>
        <v>Zimbabwe</v>
      </c>
      <c r="E3187" s="135"/>
      <c r="F3187" s="31"/>
    </row>
    <row r="3188">
      <c r="A3188" s="134" t="str">
        <f>IFERROR(__xludf.DUMMYFUNCTION("""COMPUTED_VALUE"""),"Harbin")</f>
        <v>Harbin</v>
      </c>
      <c r="B3188" s="120" t="str">
        <f>IFERROR(__xludf.DUMMYFUNCTION("""COMPUTED_VALUE"""),"HRB")</f>
        <v>HRB</v>
      </c>
      <c r="C3188" s="120" t="str">
        <f>IFERROR(__xludf.DUMMYFUNCTION("""COMPUTED_VALUE"""),"Harbin")</f>
        <v>Harbin</v>
      </c>
      <c r="D3188" s="120" t="str">
        <f>IFERROR(__xludf.DUMMYFUNCTION("""COMPUTED_VALUE"""),"China")</f>
        <v>China</v>
      </c>
      <c r="E3188" s="135"/>
      <c r="F3188" s="31"/>
    </row>
    <row r="3189">
      <c r="A3189" s="134" t="str">
        <f>IFERROR(__xludf.DUMMYFUNCTION("""COMPUTED_VALUE"""),"Harbour Island")</f>
        <v>Harbour Island</v>
      </c>
      <c r="B3189" s="120" t="str">
        <f>IFERROR(__xludf.DUMMYFUNCTION("""COMPUTED_VALUE"""),"HBI")</f>
        <v>HBI</v>
      </c>
      <c r="C3189" s="120" t="str">
        <f>IFERROR(__xludf.DUMMYFUNCTION("""COMPUTED_VALUE"""),"Harbour Island")</f>
        <v>Harbour Island</v>
      </c>
      <c r="D3189" s="120" t="str">
        <f>IFERROR(__xludf.DUMMYFUNCTION("""COMPUTED_VALUE"""),"Bahamas")</f>
        <v>Bahamas</v>
      </c>
      <c r="E3189" s="135"/>
      <c r="F3189" s="31"/>
    </row>
    <row r="3190">
      <c r="A3190" s="134" t="str">
        <f>IFERROR(__xludf.DUMMYFUNCTION("""COMPUTED_VALUE"""),"Hargeisa")</f>
        <v>Hargeisa</v>
      </c>
      <c r="B3190" s="120" t="str">
        <f>IFERROR(__xludf.DUMMYFUNCTION("""COMPUTED_VALUE"""),"HGA")</f>
        <v>HGA</v>
      </c>
      <c r="C3190" s="120" t="str">
        <f>IFERROR(__xludf.DUMMYFUNCTION("""COMPUTED_VALUE"""),"Hargeisa")</f>
        <v>Hargeisa</v>
      </c>
      <c r="D3190" s="120" t="str">
        <f>IFERROR(__xludf.DUMMYFUNCTION("""COMPUTED_VALUE"""),"Somalia")</f>
        <v>Somalia</v>
      </c>
      <c r="E3190" s="135"/>
      <c r="F3190" s="31"/>
    </row>
    <row r="3191">
      <c r="A3191" s="134" t="str">
        <f>IFERROR(__xludf.DUMMYFUNCTION("""COMPUTED_VALUE"""),"Harlingen")</f>
        <v>Harlingen</v>
      </c>
      <c r="B3191" s="120" t="str">
        <f>IFERROR(__xludf.DUMMYFUNCTION("""COMPUTED_VALUE"""),"HRL")</f>
        <v>HRL</v>
      </c>
      <c r="C3191" s="120" t="str">
        <f>IFERROR(__xludf.DUMMYFUNCTION("""COMPUTED_VALUE"""),"Valley International")</f>
        <v>Valley International</v>
      </c>
      <c r="D3191" s="120" t="str">
        <f>IFERROR(__xludf.DUMMYFUNCTION("""COMPUTED_VALUE"""),"United States")</f>
        <v>United States</v>
      </c>
      <c r="E3191" s="135"/>
      <c r="F3191" s="31"/>
    </row>
    <row r="3192">
      <c r="A3192" s="134" t="str">
        <f>IFERROR(__xludf.DUMMYFUNCTION("""COMPUTED_VALUE"""),"Harrisburg")</f>
        <v>Harrisburg</v>
      </c>
      <c r="B3192" s="120" t="str">
        <f>IFERROR(__xludf.DUMMYFUNCTION("""COMPUTED_VALUE"""),"HSB")</f>
        <v>HSB</v>
      </c>
      <c r="C3192" s="120" t="str">
        <f>IFERROR(__xludf.DUMMYFUNCTION("""COMPUTED_VALUE"""),"Raleigh")</f>
        <v>Raleigh</v>
      </c>
      <c r="D3192" s="120" t="str">
        <f>IFERROR(__xludf.DUMMYFUNCTION("""COMPUTED_VALUE"""),"United States")</f>
        <v>United States</v>
      </c>
      <c r="E3192" s="135"/>
      <c r="F3192" s="31"/>
    </row>
    <row r="3193">
      <c r="A3193" s="134" t="str">
        <f>IFERROR(__xludf.DUMMYFUNCTION("""COMPUTED_VALUE"""),"Harrisburg")</f>
        <v>Harrisburg</v>
      </c>
      <c r="B3193" s="120" t="str">
        <f>IFERROR(__xludf.DUMMYFUNCTION("""COMPUTED_VALUE"""),"MDT")</f>
        <v>MDT</v>
      </c>
      <c r="C3193" s="120" t="str">
        <f>IFERROR(__xludf.DUMMYFUNCTION("""COMPUTED_VALUE"""),"Harrisburg Intl")</f>
        <v>Harrisburg Intl</v>
      </c>
      <c r="D3193" s="120" t="str">
        <f>IFERROR(__xludf.DUMMYFUNCTION("""COMPUTED_VALUE"""),"United States")</f>
        <v>United States</v>
      </c>
      <c r="E3193" s="135"/>
      <c r="F3193" s="31"/>
    </row>
    <row r="3194">
      <c r="A3194" s="134" t="str">
        <f>IFERROR(__xludf.DUMMYFUNCTION("""COMPUTED_VALUE"""),"Harrisburg")</f>
        <v>Harrisburg</v>
      </c>
      <c r="B3194" s="120" t="str">
        <f>IFERROR(__xludf.DUMMYFUNCTION("""COMPUTED_VALUE"""),"ZUG")</f>
        <v>ZUG</v>
      </c>
      <c r="C3194" s="120" t="str">
        <f>IFERROR(__xludf.DUMMYFUNCTION("""COMPUTED_VALUE"""),"Harrisburg Rail")</f>
        <v>Harrisburg Rail</v>
      </c>
      <c r="D3194" s="120" t="str">
        <f>IFERROR(__xludf.DUMMYFUNCTION("""COMPUTED_VALUE"""),"United States")</f>
        <v>United States</v>
      </c>
      <c r="E3194" s="135"/>
      <c r="F3194" s="31"/>
    </row>
    <row r="3195">
      <c r="A3195" s="134" t="str">
        <f>IFERROR(__xludf.DUMMYFUNCTION("""COMPUTED_VALUE"""),"Harrisburg")</f>
        <v>Harrisburg</v>
      </c>
      <c r="B3195" s="120" t="str">
        <f>IFERROR(__xludf.DUMMYFUNCTION("""COMPUTED_VALUE"""),"HAR")</f>
        <v>HAR</v>
      </c>
      <c r="C3195" s="120" t="str">
        <f>IFERROR(__xludf.DUMMYFUNCTION("""COMPUTED_VALUE"""),"Harrisburg Skyport")</f>
        <v>Harrisburg Skyport</v>
      </c>
      <c r="D3195" s="120" t="str">
        <f>IFERROR(__xludf.DUMMYFUNCTION("""COMPUTED_VALUE"""),"United States")</f>
        <v>United States</v>
      </c>
      <c r="E3195" s="135"/>
      <c r="F3195" s="31"/>
    </row>
    <row r="3196">
      <c r="A3196" s="134" t="str">
        <f>IFERROR(__xludf.DUMMYFUNCTION("""COMPUTED_VALUE"""),"Harrismith")</f>
        <v>Harrismith</v>
      </c>
      <c r="B3196" s="120" t="str">
        <f>IFERROR(__xludf.DUMMYFUNCTION("""COMPUTED_VALUE"""),"HRS")</f>
        <v>HRS</v>
      </c>
      <c r="C3196" s="120" t="str">
        <f>IFERROR(__xludf.DUMMYFUNCTION("""COMPUTED_VALUE"""),"Harrismith Airport")</f>
        <v>Harrismith Airport</v>
      </c>
      <c r="D3196" s="120" t="str">
        <f>IFERROR(__xludf.DUMMYFUNCTION("""COMPUTED_VALUE"""),"South Africa")</f>
        <v>South Africa</v>
      </c>
      <c r="E3196" s="135"/>
      <c r="F3196" s="31"/>
    </row>
    <row r="3197">
      <c r="A3197" s="134" t="str">
        <f>IFERROR(__xludf.DUMMYFUNCTION("""COMPUTED_VALUE"""),"Harrison")</f>
        <v>Harrison</v>
      </c>
      <c r="B3197" s="120" t="str">
        <f>IFERROR(__xludf.DUMMYFUNCTION("""COMPUTED_VALUE"""),"HRO")</f>
        <v>HRO</v>
      </c>
      <c r="C3197" s="120" t="str">
        <f>IFERROR(__xludf.DUMMYFUNCTION("""COMPUTED_VALUE"""),"Boone County")</f>
        <v>Boone County</v>
      </c>
      <c r="D3197" s="120" t="str">
        <f>IFERROR(__xludf.DUMMYFUNCTION("""COMPUTED_VALUE"""),"United States")</f>
        <v>United States</v>
      </c>
      <c r="E3197" s="135"/>
      <c r="F3197" s="31"/>
    </row>
    <row r="3198">
      <c r="A3198" s="134" t="str">
        <f>IFERROR(__xludf.DUMMYFUNCTION("""COMPUTED_VALUE"""),"Harrogate")</f>
        <v>Harrogate</v>
      </c>
      <c r="B3198" s="120" t="str">
        <f>IFERROR(__xludf.DUMMYFUNCTION("""COMPUTED_VALUE"""),"HRT")</f>
        <v>HRT</v>
      </c>
      <c r="C3198" s="120" t="str">
        <f>IFERROR(__xludf.DUMMYFUNCTION("""COMPUTED_VALUE"""),"Linton-On-Ouse")</f>
        <v>Linton-On-Ouse</v>
      </c>
      <c r="D3198" s="120" t="str">
        <f>IFERROR(__xludf.DUMMYFUNCTION("""COMPUTED_VALUE"""),"United Kingdom")</f>
        <v>United Kingdom</v>
      </c>
      <c r="E3198" s="135"/>
      <c r="F3198" s="31"/>
    </row>
    <row r="3199">
      <c r="A3199" s="134" t="str">
        <f>IFERROR(__xludf.DUMMYFUNCTION("""COMPUTED_VALUE"""),"Harstad-Narvik")</f>
        <v>Harstad-Narvik</v>
      </c>
      <c r="B3199" s="120" t="str">
        <f>IFERROR(__xludf.DUMMYFUNCTION("""COMPUTED_VALUE"""),"EVE")</f>
        <v>EVE</v>
      </c>
      <c r="C3199" s="120" t="str">
        <f>IFERROR(__xludf.DUMMYFUNCTION("""COMPUTED_VALUE"""),"Evenes")</f>
        <v>Evenes</v>
      </c>
      <c r="D3199" s="120" t="str">
        <f>IFERROR(__xludf.DUMMYFUNCTION("""COMPUTED_VALUE"""),"Norway")</f>
        <v>Norway</v>
      </c>
      <c r="E3199" s="135"/>
      <c r="F3199" s="31"/>
    </row>
    <row r="3200">
      <c r="A3200" s="134" t="str">
        <f>IFERROR(__xludf.DUMMYFUNCTION("""COMPUTED_VALUE"""),"Hartford")</f>
        <v>Hartford</v>
      </c>
      <c r="B3200" s="120" t="str">
        <f>IFERROR(__xludf.DUMMYFUNCTION("""COMPUTED_VALUE"""),"BNH")</f>
        <v>BNH</v>
      </c>
      <c r="C3200" s="120" t="str">
        <f>IFERROR(__xludf.DUMMYFUNCTION("""COMPUTED_VALUE"""),"Barnes")</f>
        <v>Barnes</v>
      </c>
      <c r="D3200" s="120" t="str">
        <f>IFERROR(__xludf.DUMMYFUNCTION("""COMPUTED_VALUE"""),"United States")</f>
        <v>United States</v>
      </c>
      <c r="E3200" s="135"/>
      <c r="F3200" s="31"/>
    </row>
    <row r="3201">
      <c r="A3201" s="134" t="str">
        <f>IFERROR(__xludf.DUMMYFUNCTION("""COMPUTED_VALUE"""),"Hartford")</f>
        <v>Hartford</v>
      </c>
      <c r="B3201" s="120" t="str">
        <f>IFERROR(__xludf.DUMMYFUNCTION("""COMPUTED_VALUE"""),"HFD")</f>
        <v>HFD</v>
      </c>
      <c r="C3201" s="120" t="str">
        <f>IFERROR(__xludf.DUMMYFUNCTION("""COMPUTED_VALUE"""),"Brainard")</f>
        <v>Brainard</v>
      </c>
      <c r="D3201" s="120" t="str">
        <f>IFERROR(__xludf.DUMMYFUNCTION("""COMPUTED_VALUE"""),"United States")</f>
        <v>United States</v>
      </c>
      <c r="E3201" s="135"/>
      <c r="F3201" s="31"/>
    </row>
    <row r="3202">
      <c r="A3202" s="134" t="str">
        <f>IFERROR(__xludf.DUMMYFUNCTION("""COMPUTED_VALUE"""),"Hartford")</f>
        <v>Hartford</v>
      </c>
      <c r="B3202" s="120" t="str">
        <f>IFERROR(__xludf.DUMMYFUNCTION("""COMPUTED_VALUE"""),"ZRT")</f>
        <v>ZRT</v>
      </c>
      <c r="C3202" s="120" t="str">
        <f>IFERROR(__xludf.DUMMYFUNCTION("""COMPUTED_VALUE"""),"Hartford CT Rail")</f>
        <v>Hartford CT Rail</v>
      </c>
      <c r="D3202" s="120" t="str">
        <f>IFERROR(__xludf.DUMMYFUNCTION("""COMPUTED_VALUE"""),"United States")</f>
        <v>United States</v>
      </c>
      <c r="E3202" s="135"/>
      <c r="F3202" s="31"/>
    </row>
    <row r="3203">
      <c r="A3203" s="134" t="str">
        <f>IFERROR(__xludf.DUMMYFUNCTION("""COMPUTED_VALUE"""),"Hartley Bay")</f>
        <v>Hartley Bay</v>
      </c>
      <c r="B3203" s="120" t="str">
        <f>IFERROR(__xludf.DUMMYFUNCTION("""COMPUTED_VALUE"""),"YTB")</f>
        <v>YTB</v>
      </c>
      <c r="C3203" s="120" t="str">
        <f>IFERROR(__xludf.DUMMYFUNCTION("""COMPUTED_VALUE"""),"Hartley Bay")</f>
        <v>Hartley Bay</v>
      </c>
      <c r="D3203" s="120" t="str">
        <f>IFERROR(__xludf.DUMMYFUNCTION("""COMPUTED_VALUE"""),"Canada")</f>
        <v>Canada</v>
      </c>
      <c r="E3203" s="135"/>
      <c r="F3203" s="31"/>
    </row>
    <row r="3204">
      <c r="A3204" s="134" t="str">
        <f>IFERROR(__xludf.DUMMYFUNCTION("""COMPUTED_VALUE"""),"Hartsville")</f>
        <v>Hartsville</v>
      </c>
      <c r="B3204" s="120" t="str">
        <f>IFERROR(__xludf.DUMMYFUNCTION("""COMPUTED_VALUE"""),"HVS")</f>
        <v>HVS</v>
      </c>
      <c r="C3204" s="120" t="str">
        <f>IFERROR(__xludf.DUMMYFUNCTION("""COMPUTED_VALUE"""),"Municipal")</f>
        <v>Municipal</v>
      </c>
      <c r="D3204" s="120" t="str">
        <f>IFERROR(__xludf.DUMMYFUNCTION("""COMPUTED_VALUE"""),"United States")</f>
        <v>United States</v>
      </c>
      <c r="E3204" s="135"/>
      <c r="F3204" s="31"/>
    </row>
    <row r="3205">
      <c r="A3205" s="134" t="str">
        <f>IFERROR(__xludf.DUMMYFUNCTION("""COMPUTED_VALUE"""),"Haskovo")</f>
        <v>Haskovo</v>
      </c>
      <c r="B3205" s="120" t="str">
        <f>IFERROR(__xludf.DUMMYFUNCTION("""COMPUTED_VALUE"""),"HKV")</f>
        <v>HKV</v>
      </c>
      <c r="C3205" s="120" t="str">
        <f>IFERROR(__xludf.DUMMYFUNCTION("""COMPUTED_VALUE"""),"Haskovo")</f>
        <v>Haskovo</v>
      </c>
      <c r="D3205" s="120" t="str">
        <f>IFERROR(__xludf.DUMMYFUNCTION("""COMPUTED_VALUE"""),"Bulgaria")</f>
        <v>Bulgaria</v>
      </c>
      <c r="E3205" s="135"/>
      <c r="F3205" s="31"/>
    </row>
    <row r="3206">
      <c r="A3206" s="134" t="str">
        <f>IFERROR(__xludf.DUMMYFUNCTION("""COMPUTED_VALUE"""),"Hassi Messaoud")</f>
        <v>Hassi Messaoud</v>
      </c>
      <c r="B3206" s="120" t="str">
        <f>IFERROR(__xludf.DUMMYFUNCTION("""COMPUTED_VALUE"""),"HME")</f>
        <v>HME</v>
      </c>
      <c r="C3206" s="120" t="str">
        <f>IFERROR(__xludf.DUMMYFUNCTION("""COMPUTED_VALUE"""),"Oued Irara Apt")</f>
        <v>Oued Irara Apt</v>
      </c>
      <c r="D3206" s="120" t="str">
        <f>IFERROR(__xludf.DUMMYFUNCTION("""COMPUTED_VALUE"""),"Algeria")</f>
        <v>Algeria</v>
      </c>
      <c r="E3206" s="135"/>
      <c r="F3206" s="31"/>
    </row>
    <row r="3207">
      <c r="A3207" s="134" t="str">
        <f>IFERROR(__xludf.DUMMYFUNCTION("""COMPUTED_VALUE"""),"Hassleholm")</f>
        <v>Hassleholm</v>
      </c>
      <c r="B3207" s="120" t="str">
        <f>IFERROR(__xludf.DUMMYFUNCTION("""COMPUTED_VALUE"""),"XWP")</f>
        <v>XWP</v>
      </c>
      <c r="C3207" s="120" t="str">
        <f>IFERROR(__xludf.DUMMYFUNCTION("""COMPUTED_VALUE"""),"Hassleholm")</f>
        <v>Hassleholm</v>
      </c>
      <c r="D3207" s="120" t="str">
        <f>IFERROR(__xludf.DUMMYFUNCTION("""COMPUTED_VALUE"""),"Sweden")</f>
        <v>Sweden</v>
      </c>
      <c r="E3207" s="135"/>
      <c r="F3207" s="31"/>
    </row>
    <row r="3208">
      <c r="A3208" s="134" t="str">
        <f>IFERROR(__xludf.DUMMYFUNCTION("""COMPUTED_VALUE"""),"Hastings")</f>
        <v>Hastings</v>
      </c>
      <c r="B3208" s="120" t="str">
        <f>IFERROR(__xludf.DUMMYFUNCTION("""COMPUTED_VALUE"""),"HSI")</f>
        <v>HSI</v>
      </c>
      <c r="C3208" s="120" t="str">
        <f>IFERROR(__xludf.DUMMYFUNCTION("""COMPUTED_VALUE"""),"Hastings")</f>
        <v>Hastings</v>
      </c>
      <c r="D3208" s="120" t="str">
        <f>IFERROR(__xludf.DUMMYFUNCTION("""COMPUTED_VALUE"""),"United States")</f>
        <v>United States</v>
      </c>
      <c r="E3208" s="135"/>
      <c r="F3208" s="31"/>
    </row>
    <row r="3209">
      <c r="A3209" s="134" t="str">
        <f>IFERROR(__xludf.DUMMYFUNCTION("""COMPUTED_VALUE"""),"Hasvik")</f>
        <v>Hasvik</v>
      </c>
      <c r="B3209" s="120" t="str">
        <f>IFERROR(__xludf.DUMMYFUNCTION("""COMPUTED_VALUE"""),"HAA")</f>
        <v>HAA</v>
      </c>
      <c r="C3209" s="120" t="str">
        <f>IFERROR(__xludf.DUMMYFUNCTION("""COMPUTED_VALUE"""),"Hasvik")</f>
        <v>Hasvik</v>
      </c>
      <c r="D3209" s="120" t="str">
        <f>IFERROR(__xludf.DUMMYFUNCTION("""COMPUTED_VALUE"""),"Norway")</f>
        <v>Norway</v>
      </c>
      <c r="E3209" s="135"/>
      <c r="F3209" s="31"/>
    </row>
    <row r="3210">
      <c r="A3210" s="134" t="str">
        <f>IFERROR(__xludf.DUMMYFUNCTION("""COMPUTED_VALUE"""),"Hat Yai")</f>
        <v>Hat Yai</v>
      </c>
      <c r="B3210" s="120" t="str">
        <f>IFERROR(__xludf.DUMMYFUNCTION("""COMPUTED_VALUE"""),"HDY")</f>
        <v>HDY</v>
      </c>
      <c r="C3210" s="120" t="str">
        <f>IFERROR(__xludf.DUMMYFUNCTION("""COMPUTED_VALUE"""),"Hat Yai")</f>
        <v>Hat Yai</v>
      </c>
      <c r="D3210" s="120" t="str">
        <f>IFERROR(__xludf.DUMMYFUNCTION("""COMPUTED_VALUE"""),"Thailand")</f>
        <v>Thailand</v>
      </c>
      <c r="E3210" s="135"/>
      <c r="F3210" s="31"/>
    </row>
    <row r="3211">
      <c r="A3211" s="134" t="str">
        <f>IFERROR(__xludf.DUMMYFUNCTION("""COMPUTED_VALUE"""),"Hatanga")</f>
        <v>Hatanga</v>
      </c>
      <c r="B3211" s="120" t="str">
        <f>IFERROR(__xludf.DUMMYFUNCTION("""COMPUTED_VALUE"""),"HTG")</f>
        <v>HTG</v>
      </c>
      <c r="C3211" s="120" t="str">
        <f>IFERROR(__xludf.DUMMYFUNCTION("""COMPUTED_VALUE"""),"Hatanga")</f>
        <v>Hatanga</v>
      </c>
      <c r="D3211" s="120" t="str">
        <f>IFERROR(__xludf.DUMMYFUNCTION("""COMPUTED_VALUE"""),"Russia")</f>
        <v>Russia</v>
      </c>
      <c r="E3211" s="135"/>
      <c r="F3211" s="31"/>
    </row>
    <row r="3212">
      <c r="A3212" s="134" t="str">
        <f>IFERROR(__xludf.DUMMYFUNCTION("""COMPUTED_VALUE"""),"Hatchet Lake")</f>
        <v>Hatchet Lake</v>
      </c>
      <c r="B3212" s="120" t="str">
        <f>IFERROR(__xludf.DUMMYFUNCTION("""COMPUTED_VALUE"""),"YDJ")</f>
        <v>YDJ</v>
      </c>
      <c r="C3212" s="120" t="str">
        <f>IFERROR(__xludf.DUMMYFUNCTION("""COMPUTED_VALUE"""),"Hatchet Lake")</f>
        <v>Hatchet Lake</v>
      </c>
      <c r="D3212" s="120" t="str">
        <f>IFERROR(__xludf.DUMMYFUNCTION("""COMPUTED_VALUE"""),"Canada")</f>
        <v>Canada</v>
      </c>
      <c r="E3212" s="135"/>
      <c r="F3212" s="31"/>
    </row>
    <row r="3213">
      <c r="A3213" s="134" t="str">
        <f>IFERROR(__xludf.DUMMYFUNCTION("""COMPUTED_VALUE"""),"Hateruma")</f>
        <v>Hateruma</v>
      </c>
      <c r="B3213" s="120" t="str">
        <f>IFERROR(__xludf.DUMMYFUNCTION("""COMPUTED_VALUE"""),"HTR")</f>
        <v>HTR</v>
      </c>
      <c r="C3213" s="120" t="str">
        <f>IFERROR(__xludf.DUMMYFUNCTION("""COMPUTED_VALUE"""),"Hateruma")</f>
        <v>Hateruma</v>
      </c>
      <c r="D3213" s="120" t="str">
        <f>IFERROR(__xludf.DUMMYFUNCTION("""COMPUTED_VALUE"""),"Japan")</f>
        <v>Japan</v>
      </c>
      <c r="E3213" s="135"/>
      <c r="F3213" s="31"/>
    </row>
    <row r="3214">
      <c r="A3214" s="134" t="str">
        <f>IFERROR(__xludf.DUMMYFUNCTION("""COMPUTED_VALUE"""),"Hatfield")</f>
        <v>Hatfield</v>
      </c>
      <c r="B3214" s="120" t="str">
        <f>IFERROR(__xludf.DUMMYFUNCTION("""COMPUTED_VALUE"""),"HTF")</f>
        <v>HTF</v>
      </c>
      <c r="C3214" s="120" t="str">
        <f>IFERROR(__xludf.DUMMYFUNCTION("""COMPUTED_VALUE"""),"Hatfield")</f>
        <v>Hatfield</v>
      </c>
      <c r="D3214" s="120" t="str">
        <f>IFERROR(__xludf.DUMMYFUNCTION("""COMPUTED_VALUE"""),"United Kingdom")</f>
        <v>United Kingdom</v>
      </c>
      <c r="E3214" s="135"/>
      <c r="F3214" s="31"/>
    </row>
    <row r="3215">
      <c r="A3215" s="134" t="str">
        <f>IFERROR(__xludf.DUMMYFUNCTION("""COMPUTED_VALUE"""),"Hato Corozal")</f>
        <v>Hato Corozal</v>
      </c>
      <c r="B3215" s="120" t="str">
        <f>IFERROR(__xludf.DUMMYFUNCTION("""COMPUTED_VALUE"""),"HTZ")</f>
        <v>HTZ</v>
      </c>
      <c r="C3215" s="120" t="str">
        <f>IFERROR(__xludf.DUMMYFUNCTION("""COMPUTED_VALUE"""),"Hato Corozal")</f>
        <v>Hato Corozal</v>
      </c>
      <c r="D3215" s="120" t="str">
        <f>IFERROR(__xludf.DUMMYFUNCTION("""COMPUTED_VALUE"""),"Colombia")</f>
        <v>Colombia</v>
      </c>
      <c r="E3215" s="135"/>
      <c r="F3215" s="31"/>
    </row>
    <row r="3216">
      <c r="A3216" s="134" t="str">
        <f>IFERROR(__xludf.DUMMYFUNCTION("""COMPUTED_VALUE"""),"Hatteras")</f>
        <v>Hatteras</v>
      </c>
      <c r="B3216" s="120" t="str">
        <f>IFERROR(__xludf.DUMMYFUNCTION("""COMPUTED_VALUE"""),"HNC")</f>
        <v>HNC</v>
      </c>
      <c r="C3216" s="120" t="str">
        <f>IFERROR(__xludf.DUMMYFUNCTION("""COMPUTED_VALUE"""),"Hatteras")</f>
        <v>Hatteras</v>
      </c>
      <c r="D3216" s="120" t="str">
        <f>IFERROR(__xludf.DUMMYFUNCTION("""COMPUTED_VALUE"""),"United States")</f>
        <v>United States</v>
      </c>
      <c r="E3216" s="135"/>
      <c r="F3216" s="31"/>
    </row>
    <row r="3217">
      <c r="A3217" s="134" t="str">
        <f>IFERROR(__xludf.DUMMYFUNCTION("""COMPUTED_VALUE"""),"Hattiesburg")</f>
        <v>Hattiesburg</v>
      </c>
      <c r="B3217" s="120" t="str">
        <f>IFERROR(__xludf.DUMMYFUNCTION("""COMPUTED_VALUE"""),"HBG")</f>
        <v>HBG</v>
      </c>
      <c r="C3217" s="120" t="str">
        <f>IFERROR(__xludf.DUMMYFUNCTION("""COMPUTED_VALUE"""),"The Hattiesburg-Bobby L. Chain Mun.")</f>
        <v>The Hattiesburg-Bobby L. Chain Mun.</v>
      </c>
      <c r="D3217" s="120" t="str">
        <f>IFERROR(__xludf.DUMMYFUNCTION("""COMPUTED_VALUE"""),"United States")</f>
        <v>United States</v>
      </c>
      <c r="E3217" s="135"/>
      <c r="F3217" s="31"/>
    </row>
    <row r="3218">
      <c r="A3218" s="134" t="str">
        <f>IFERROR(__xludf.DUMMYFUNCTION("""COMPUTED_VALUE"""),"Hatton")</f>
        <v>Hatton</v>
      </c>
      <c r="B3218" s="120" t="str">
        <f>IFERROR(__xludf.DUMMYFUNCTION("""COMPUTED_VALUE"""),"NUF")</f>
        <v>NUF</v>
      </c>
      <c r="C3218" s="120" t="str">
        <f>IFERROR(__xludf.DUMMYFUNCTION("""COMPUTED_VALUE"""),"Castlereigh Reservoir")</f>
        <v>Castlereigh Reservoir</v>
      </c>
      <c r="D3218" s="120" t="str">
        <f>IFERROR(__xludf.DUMMYFUNCTION("""COMPUTED_VALUE"""),"Sri Lanka")</f>
        <v>Sri Lanka</v>
      </c>
      <c r="E3218" s="135"/>
      <c r="F3218" s="31"/>
    </row>
    <row r="3219">
      <c r="A3219" s="134" t="str">
        <f>IFERROR(__xludf.DUMMYFUNCTION("""COMPUTED_VALUE"""),"Hatzfeldthaven")</f>
        <v>Hatzfeldthaven</v>
      </c>
      <c r="B3219" s="120" t="str">
        <f>IFERROR(__xludf.DUMMYFUNCTION("""COMPUTED_VALUE"""),"HAZ")</f>
        <v>HAZ</v>
      </c>
      <c r="C3219" s="120" t="str">
        <f>IFERROR(__xludf.DUMMYFUNCTION("""COMPUTED_VALUE"""),"Hatzfeldthaven")</f>
        <v>Hatzfeldthaven</v>
      </c>
      <c r="D3219" s="120" t="str">
        <f>IFERROR(__xludf.DUMMYFUNCTION("""COMPUTED_VALUE"""),"Papua New Guinea")</f>
        <v>Papua New Guinea</v>
      </c>
      <c r="E3219" s="135"/>
      <c r="F3219" s="31"/>
    </row>
    <row r="3220">
      <c r="A3220" s="134" t="str">
        <f>IFERROR(__xludf.DUMMYFUNCTION("""COMPUTED_VALUE"""),"Haugesund")</f>
        <v>Haugesund</v>
      </c>
      <c r="B3220" s="120" t="str">
        <f>IFERROR(__xludf.DUMMYFUNCTION("""COMPUTED_VALUE"""),"HAU")</f>
        <v>HAU</v>
      </c>
      <c r="C3220" s="120" t="str">
        <f>IFERROR(__xludf.DUMMYFUNCTION("""COMPUTED_VALUE"""),"Haugesund")</f>
        <v>Haugesund</v>
      </c>
      <c r="D3220" s="120" t="str">
        <f>IFERROR(__xludf.DUMMYFUNCTION("""COMPUTED_VALUE"""),"Norway")</f>
        <v>Norway</v>
      </c>
      <c r="E3220" s="135"/>
      <c r="F3220" s="31"/>
    </row>
    <row r="3221">
      <c r="A3221" s="134" t="str">
        <f>IFERROR(__xludf.DUMMYFUNCTION("""COMPUTED_VALUE"""),"Havadarya")</f>
        <v>Havadarya</v>
      </c>
      <c r="B3221" s="120" t="str">
        <f>IFERROR(__xludf.DUMMYFUNCTION("""COMPUTED_VALUE"""),"HDR")</f>
        <v>HDR</v>
      </c>
      <c r="C3221" s="120" t="str">
        <f>IFERROR(__xludf.DUMMYFUNCTION("""COMPUTED_VALUE"""),"Havadarya")</f>
        <v>Havadarya</v>
      </c>
      <c r="D3221" s="120" t="str">
        <f>IFERROR(__xludf.DUMMYFUNCTION("""COMPUTED_VALUE"""),"Iran")</f>
        <v>Iran</v>
      </c>
      <c r="E3221" s="135"/>
      <c r="F3221" s="31"/>
    </row>
    <row r="3222">
      <c r="A3222" s="134" t="str">
        <f>IFERROR(__xludf.DUMMYFUNCTION("""COMPUTED_VALUE"""),"Havana")</f>
        <v>Havana</v>
      </c>
      <c r="B3222" s="120" t="str">
        <f>IFERROR(__xludf.DUMMYFUNCTION("""COMPUTED_VALUE"""),"HAV")</f>
        <v>HAV</v>
      </c>
      <c r="C3222" s="120" t="str">
        <f>IFERROR(__xludf.DUMMYFUNCTION("""COMPUTED_VALUE"""),"Jose Marti Intl")</f>
        <v>Jose Marti Intl</v>
      </c>
      <c r="D3222" s="120" t="str">
        <f>IFERROR(__xludf.DUMMYFUNCTION("""COMPUTED_VALUE"""),"Cuba")</f>
        <v>Cuba</v>
      </c>
      <c r="E3222" s="135"/>
      <c r="F3222" s="31"/>
    </row>
    <row r="3223">
      <c r="A3223" s="134" t="str">
        <f>IFERROR(__xludf.DUMMYFUNCTION("""COMPUTED_VALUE"""),"Havana")</f>
        <v>Havana</v>
      </c>
      <c r="B3223" s="120" t="str">
        <f>IFERROR(__xludf.DUMMYFUNCTION("""COMPUTED_VALUE"""),"UPB")</f>
        <v>UPB</v>
      </c>
      <c r="C3223" s="120" t="str">
        <f>IFERROR(__xludf.DUMMYFUNCTION("""COMPUTED_VALUE"""),"Playa Baracoa")</f>
        <v>Playa Baracoa</v>
      </c>
      <c r="D3223" s="120" t="str">
        <f>IFERROR(__xludf.DUMMYFUNCTION("""COMPUTED_VALUE"""),"Cuba")</f>
        <v>Cuba</v>
      </c>
      <c r="E3223" s="135"/>
      <c r="F3223" s="31"/>
    </row>
    <row r="3224">
      <c r="A3224" s="134" t="str">
        <f>IFERROR(__xludf.DUMMYFUNCTION("""COMPUTED_VALUE"""),"Havasupai")</f>
        <v>Havasupai</v>
      </c>
      <c r="B3224" s="120" t="str">
        <f>IFERROR(__xludf.DUMMYFUNCTION("""COMPUTED_VALUE"""),"HAE")</f>
        <v>HAE</v>
      </c>
      <c r="C3224" s="120" t="str">
        <f>IFERROR(__xludf.DUMMYFUNCTION("""COMPUTED_VALUE"""),"Havasupai")</f>
        <v>Havasupai</v>
      </c>
      <c r="D3224" s="120" t="str">
        <f>IFERROR(__xludf.DUMMYFUNCTION("""COMPUTED_VALUE"""),"United States")</f>
        <v>United States</v>
      </c>
      <c r="E3224" s="135"/>
      <c r="F3224" s="31"/>
    </row>
    <row r="3225">
      <c r="A3225" s="134" t="str">
        <f>IFERROR(__xludf.DUMMYFUNCTION("""COMPUTED_VALUE"""),"Haverfordwest")</f>
        <v>Haverfordwest</v>
      </c>
      <c r="B3225" s="120" t="str">
        <f>IFERROR(__xludf.DUMMYFUNCTION("""COMPUTED_VALUE"""),"HAW")</f>
        <v>HAW</v>
      </c>
      <c r="C3225" s="120" t="str">
        <f>IFERROR(__xludf.DUMMYFUNCTION("""COMPUTED_VALUE"""),"Haverfordwest")</f>
        <v>Haverfordwest</v>
      </c>
      <c r="D3225" s="120" t="str">
        <f>IFERROR(__xludf.DUMMYFUNCTION("""COMPUTED_VALUE"""),"United Kingdom")</f>
        <v>United Kingdom</v>
      </c>
      <c r="E3225" s="135"/>
      <c r="F3225" s="31"/>
    </row>
    <row r="3226">
      <c r="A3226" s="134" t="str">
        <f>IFERROR(__xludf.DUMMYFUNCTION("""COMPUTED_VALUE"""),"Havre")</f>
        <v>Havre</v>
      </c>
      <c r="B3226" s="120" t="str">
        <f>IFERROR(__xludf.DUMMYFUNCTION("""COMPUTED_VALUE"""),"HVR")</f>
        <v>HVR</v>
      </c>
      <c r="C3226" s="120" t="str">
        <f>IFERROR(__xludf.DUMMYFUNCTION("""COMPUTED_VALUE"""),"City County")</f>
        <v>City County</v>
      </c>
      <c r="D3226" s="120" t="str">
        <f>IFERROR(__xludf.DUMMYFUNCTION("""COMPUTED_VALUE"""),"United States")</f>
        <v>United States</v>
      </c>
      <c r="E3226" s="135"/>
      <c r="F3226" s="31"/>
    </row>
    <row r="3227">
      <c r="A3227" s="134" t="str">
        <f>IFERROR(__xludf.DUMMYFUNCTION("""COMPUTED_VALUE"""),"Havre St Pierre")</f>
        <v>Havre St Pierre</v>
      </c>
      <c r="B3227" s="120" t="str">
        <f>IFERROR(__xludf.DUMMYFUNCTION("""COMPUTED_VALUE"""),"YGV")</f>
        <v>YGV</v>
      </c>
      <c r="C3227" s="120" t="str">
        <f>IFERROR(__xludf.DUMMYFUNCTION("""COMPUTED_VALUE"""),"Havre St Pierre")</f>
        <v>Havre St Pierre</v>
      </c>
      <c r="D3227" s="120" t="str">
        <f>IFERROR(__xludf.DUMMYFUNCTION("""COMPUTED_VALUE"""),"Canada")</f>
        <v>Canada</v>
      </c>
      <c r="E3227" s="135"/>
      <c r="F3227" s="31"/>
    </row>
    <row r="3228">
      <c r="A3228" s="134" t="str">
        <f>IFERROR(__xludf.DUMMYFUNCTION("""COMPUTED_VALUE"""),"Hawabango")</f>
        <v>Hawabango</v>
      </c>
      <c r="B3228" s="120" t="str">
        <f>IFERROR(__xludf.DUMMYFUNCTION("""COMPUTED_VALUE"""),"HWA")</f>
        <v>HWA</v>
      </c>
      <c r="C3228" s="120" t="str">
        <f>IFERROR(__xludf.DUMMYFUNCTION("""COMPUTED_VALUE"""),"Hawabango")</f>
        <v>Hawabango</v>
      </c>
      <c r="D3228" s="120" t="str">
        <f>IFERROR(__xludf.DUMMYFUNCTION("""COMPUTED_VALUE"""),"Papua New Guinea")</f>
        <v>Papua New Guinea</v>
      </c>
      <c r="E3228" s="135"/>
      <c r="F3228" s="31"/>
    </row>
    <row r="3229">
      <c r="A3229" s="134" t="str">
        <f>IFERROR(__xludf.DUMMYFUNCTION("""COMPUTED_VALUE"""),"Hawk Inlet")</f>
        <v>Hawk Inlet</v>
      </c>
      <c r="B3229" s="120" t="str">
        <f>IFERROR(__xludf.DUMMYFUNCTION("""COMPUTED_VALUE"""),"HWI")</f>
        <v>HWI</v>
      </c>
      <c r="C3229" s="120" t="str">
        <f>IFERROR(__xludf.DUMMYFUNCTION("""COMPUTED_VALUE"""),"SPB")</f>
        <v>SPB</v>
      </c>
      <c r="D3229" s="120" t="str">
        <f>IFERROR(__xludf.DUMMYFUNCTION("""COMPUTED_VALUE"""),"United States")</f>
        <v>United States</v>
      </c>
      <c r="E3229" s="135"/>
      <c r="F3229" s="31"/>
    </row>
    <row r="3230">
      <c r="A3230" s="134" t="str">
        <f>IFERROR(__xludf.DUMMYFUNCTION("""COMPUTED_VALUE"""),"Hawker")</f>
        <v>Hawker</v>
      </c>
      <c r="B3230" s="120" t="str">
        <f>IFERROR(__xludf.DUMMYFUNCTION("""COMPUTED_VALUE"""),"HWK")</f>
        <v>HWK</v>
      </c>
      <c r="C3230" s="120" t="str">
        <f>IFERROR(__xludf.DUMMYFUNCTION("""COMPUTED_VALUE"""),"Wilpena Pound")</f>
        <v>Wilpena Pound</v>
      </c>
      <c r="D3230" s="120" t="str">
        <f>IFERROR(__xludf.DUMMYFUNCTION("""COMPUTED_VALUE"""),"Australia")</f>
        <v>Australia</v>
      </c>
      <c r="E3230" s="135"/>
      <c r="F3230" s="31"/>
    </row>
    <row r="3231">
      <c r="A3231" s="134" t="str">
        <f>IFERROR(__xludf.DUMMYFUNCTION("""COMPUTED_VALUE"""),"Hawthorne")</f>
        <v>Hawthorne</v>
      </c>
      <c r="B3231" s="120" t="str">
        <f>IFERROR(__xludf.DUMMYFUNCTION("""COMPUTED_VALUE"""),"HHR")</f>
        <v>HHR</v>
      </c>
      <c r="C3231" s="120" t="str">
        <f>IFERROR(__xludf.DUMMYFUNCTION("""COMPUTED_VALUE"""),"Hawthorne")</f>
        <v>Hawthorne</v>
      </c>
      <c r="D3231" s="120" t="str">
        <f>IFERROR(__xludf.DUMMYFUNCTION("""COMPUTED_VALUE"""),"United States")</f>
        <v>United States</v>
      </c>
      <c r="E3231" s="135"/>
      <c r="F3231" s="31"/>
    </row>
    <row r="3232">
      <c r="A3232" s="134" t="str">
        <f>IFERROR(__xludf.DUMMYFUNCTION("""COMPUTED_VALUE"""),"Hawthorne")</f>
        <v>Hawthorne</v>
      </c>
      <c r="B3232" s="120" t="str">
        <f>IFERROR(__xludf.DUMMYFUNCTION("""COMPUTED_VALUE"""),"HTH")</f>
        <v>HTH</v>
      </c>
      <c r="C3232" s="120" t="str">
        <f>IFERROR(__xludf.DUMMYFUNCTION("""COMPUTED_VALUE"""),"Hawthorne")</f>
        <v>Hawthorne</v>
      </c>
      <c r="D3232" s="120" t="str">
        <f>IFERROR(__xludf.DUMMYFUNCTION("""COMPUTED_VALUE"""),"United States")</f>
        <v>United States</v>
      </c>
      <c r="E3232" s="135"/>
      <c r="F3232" s="31"/>
    </row>
    <row r="3233">
      <c r="A3233" s="134" t="str">
        <f>IFERROR(__xludf.DUMMYFUNCTION("""COMPUTED_VALUE"""),"Hay")</f>
        <v>Hay</v>
      </c>
      <c r="B3233" s="120" t="str">
        <f>IFERROR(__xludf.DUMMYFUNCTION("""COMPUTED_VALUE"""),"HXX")</f>
        <v>HXX</v>
      </c>
      <c r="C3233" s="120" t="str">
        <f>IFERROR(__xludf.DUMMYFUNCTION("""COMPUTED_VALUE"""),"Hay")</f>
        <v>Hay</v>
      </c>
      <c r="D3233" s="120" t="str">
        <f>IFERROR(__xludf.DUMMYFUNCTION("""COMPUTED_VALUE"""),"Australia")</f>
        <v>Australia</v>
      </c>
      <c r="E3233" s="135"/>
      <c r="F3233" s="31"/>
    </row>
    <row r="3234">
      <c r="A3234" s="134" t="str">
        <f>IFERROR(__xludf.DUMMYFUNCTION("""COMPUTED_VALUE"""),"Hay River")</f>
        <v>Hay River</v>
      </c>
      <c r="B3234" s="120" t="str">
        <f>IFERROR(__xludf.DUMMYFUNCTION("""COMPUTED_VALUE"""),"YHY")</f>
        <v>YHY</v>
      </c>
      <c r="C3234" s="120" t="str">
        <f>IFERROR(__xludf.DUMMYFUNCTION("""COMPUTED_VALUE"""),"Hay River")</f>
        <v>Hay River</v>
      </c>
      <c r="D3234" s="120" t="str">
        <f>IFERROR(__xludf.DUMMYFUNCTION("""COMPUTED_VALUE"""),"Canada")</f>
        <v>Canada</v>
      </c>
      <c r="E3234" s="135"/>
      <c r="F3234" s="31"/>
    </row>
    <row r="3235">
      <c r="A3235" s="134" t="str">
        <f>IFERROR(__xludf.DUMMYFUNCTION("""COMPUTED_VALUE"""),"Haycock")</f>
        <v>Haycock</v>
      </c>
      <c r="B3235" s="120" t="str">
        <f>IFERROR(__xludf.DUMMYFUNCTION("""COMPUTED_VALUE"""),"HAY")</f>
        <v>HAY</v>
      </c>
      <c r="C3235" s="120" t="str">
        <f>IFERROR(__xludf.DUMMYFUNCTION("""COMPUTED_VALUE"""),"Haycock")</f>
        <v>Haycock</v>
      </c>
      <c r="D3235" s="120" t="str">
        <f>IFERROR(__xludf.DUMMYFUNCTION("""COMPUTED_VALUE"""),"United States")</f>
        <v>United States</v>
      </c>
      <c r="E3235" s="135"/>
      <c r="F3235" s="31"/>
    </row>
    <row r="3236">
      <c r="A3236" s="134" t="str">
        <f>IFERROR(__xludf.DUMMYFUNCTION("""COMPUTED_VALUE"""),"Hayden")</f>
        <v>Hayden</v>
      </c>
      <c r="B3236" s="120" t="str">
        <f>IFERROR(__xludf.DUMMYFUNCTION("""COMPUTED_VALUE"""),"HDN")</f>
        <v>HDN</v>
      </c>
      <c r="C3236" s="120" t="str">
        <f>IFERROR(__xludf.DUMMYFUNCTION("""COMPUTED_VALUE"""),"Yampa Valley")</f>
        <v>Yampa Valley</v>
      </c>
      <c r="D3236" s="120" t="str">
        <f>IFERROR(__xludf.DUMMYFUNCTION("""COMPUTED_VALUE"""),"United States")</f>
        <v>United States</v>
      </c>
      <c r="E3236" s="135"/>
      <c r="F3236" s="31"/>
    </row>
    <row r="3237">
      <c r="A3237" s="134" t="str">
        <f>IFERROR(__xludf.DUMMYFUNCTION("""COMPUTED_VALUE"""),"Hayfields")</f>
        <v>Hayfields</v>
      </c>
      <c r="B3237" s="120" t="str">
        <f>IFERROR(__xludf.DUMMYFUNCTION("""COMPUTED_VALUE"""),"HYF")</f>
        <v>HYF</v>
      </c>
      <c r="C3237" s="120" t="str">
        <f>IFERROR(__xludf.DUMMYFUNCTION("""COMPUTED_VALUE"""),"Hayfields")</f>
        <v>Hayfields</v>
      </c>
      <c r="D3237" s="120" t="str">
        <f>IFERROR(__xludf.DUMMYFUNCTION("""COMPUTED_VALUE"""),"Papua New Guinea")</f>
        <v>Papua New Guinea</v>
      </c>
      <c r="E3237" s="135"/>
      <c r="F3237" s="31"/>
    </row>
    <row r="3238">
      <c r="A3238" s="134" t="str">
        <f>IFERROR(__xludf.DUMMYFUNCTION("""COMPUTED_VALUE"""),"Hayman Island")</f>
        <v>Hayman Island</v>
      </c>
      <c r="B3238" s="120" t="str">
        <f>IFERROR(__xludf.DUMMYFUNCTION("""COMPUTED_VALUE"""),"HIS")</f>
        <v>HIS</v>
      </c>
      <c r="C3238" s="120" t="str">
        <f>IFERROR(__xludf.DUMMYFUNCTION("""COMPUTED_VALUE"""),"Hayman Island")</f>
        <v>Hayman Island</v>
      </c>
      <c r="D3238" s="120" t="str">
        <f>IFERROR(__xludf.DUMMYFUNCTION("""COMPUTED_VALUE"""),"Australia")</f>
        <v>Australia</v>
      </c>
      <c r="E3238" s="135"/>
      <c r="F3238" s="31"/>
    </row>
    <row r="3239">
      <c r="A3239" s="134" t="str">
        <f>IFERROR(__xludf.DUMMYFUNCTION("""COMPUTED_VALUE"""),"Hays")</f>
        <v>Hays</v>
      </c>
      <c r="B3239" s="120" t="str">
        <f>IFERROR(__xludf.DUMMYFUNCTION("""COMPUTED_VALUE"""),"HYS")</f>
        <v>HYS</v>
      </c>
      <c r="C3239" s="120" t="str">
        <f>IFERROR(__xludf.DUMMYFUNCTION("""COMPUTED_VALUE"""),"Municipal")</f>
        <v>Municipal</v>
      </c>
      <c r="D3239" s="120" t="str">
        <f>IFERROR(__xludf.DUMMYFUNCTION("""COMPUTED_VALUE"""),"United States")</f>
        <v>United States</v>
      </c>
      <c r="E3239" s="135"/>
      <c r="F3239" s="31"/>
    </row>
    <row r="3240">
      <c r="A3240" s="134" t="str">
        <f>IFERROR(__xludf.DUMMYFUNCTION("""COMPUTED_VALUE"""),"Hayward")</f>
        <v>Hayward</v>
      </c>
      <c r="B3240" s="120" t="str">
        <f>IFERROR(__xludf.DUMMYFUNCTION("""COMPUTED_VALUE"""),"HWD")</f>
        <v>HWD</v>
      </c>
      <c r="C3240" s="120" t="str">
        <f>IFERROR(__xludf.DUMMYFUNCTION("""COMPUTED_VALUE"""),"Air Terminal")</f>
        <v>Air Terminal</v>
      </c>
      <c r="D3240" s="120" t="str">
        <f>IFERROR(__xludf.DUMMYFUNCTION("""COMPUTED_VALUE"""),"United States")</f>
        <v>United States</v>
      </c>
      <c r="E3240" s="135"/>
      <c r="F3240" s="31"/>
    </row>
    <row r="3241">
      <c r="A3241" s="134" t="str">
        <f>IFERROR(__xludf.DUMMYFUNCTION("""COMPUTED_VALUE"""),"Hayward")</f>
        <v>Hayward</v>
      </c>
      <c r="B3241" s="120" t="str">
        <f>IFERROR(__xludf.DUMMYFUNCTION("""COMPUTED_VALUE"""),"HYR")</f>
        <v>HYR</v>
      </c>
      <c r="C3241" s="120" t="str">
        <f>IFERROR(__xludf.DUMMYFUNCTION("""COMPUTED_VALUE"""),"Municipal")</f>
        <v>Municipal</v>
      </c>
      <c r="D3241" s="120" t="str">
        <f>IFERROR(__xludf.DUMMYFUNCTION("""COMPUTED_VALUE"""),"United States")</f>
        <v>United States</v>
      </c>
      <c r="E3241" s="135"/>
      <c r="F3241" s="31"/>
    </row>
    <row r="3242">
      <c r="A3242" s="134" t="str">
        <f>IFERROR(__xludf.DUMMYFUNCTION("""COMPUTED_VALUE"""),"Hazebrouck")</f>
        <v>Hazebrouck</v>
      </c>
      <c r="B3242" s="120" t="str">
        <f>IFERROR(__xludf.DUMMYFUNCTION("""COMPUTED_VALUE"""),"HZB")</f>
        <v>HZB</v>
      </c>
      <c r="C3242" s="120" t="str">
        <f>IFERROR(__xludf.DUMMYFUNCTION("""COMPUTED_VALUE"""),"Merville/Calonne")</f>
        <v>Merville/Calonne</v>
      </c>
      <c r="D3242" s="120" t="str">
        <f>IFERROR(__xludf.DUMMYFUNCTION("""COMPUTED_VALUE"""),"France")</f>
        <v>France</v>
      </c>
      <c r="E3242" s="135"/>
      <c r="F3242" s="31"/>
    </row>
    <row r="3243">
      <c r="A3243" s="134" t="str">
        <f>IFERROR(__xludf.DUMMYFUNCTION("""COMPUTED_VALUE"""),"Hazleton")</f>
        <v>Hazleton</v>
      </c>
      <c r="B3243" s="120" t="str">
        <f>IFERROR(__xludf.DUMMYFUNCTION("""COMPUTED_VALUE"""),"HZL")</f>
        <v>HZL</v>
      </c>
      <c r="C3243" s="120" t="str">
        <f>IFERROR(__xludf.DUMMYFUNCTION("""COMPUTED_VALUE"""),"Hazleton")</f>
        <v>Hazleton</v>
      </c>
      <c r="D3243" s="120" t="str">
        <f>IFERROR(__xludf.DUMMYFUNCTION("""COMPUTED_VALUE"""),"United States")</f>
        <v>United States</v>
      </c>
      <c r="E3243" s="135"/>
      <c r="F3243" s="31"/>
    </row>
    <row r="3244">
      <c r="A3244" s="134" t="str">
        <f>IFERROR(__xludf.DUMMYFUNCTION("""COMPUTED_VALUE"""),"Hazyview")</f>
        <v>Hazyview</v>
      </c>
      <c r="B3244" s="120" t="str">
        <f>IFERROR(__xludf.DUMMYFUNCTION("""COMPUTED_VALUE"""),"HZV")</f>
        <v>HZV</v>
      </c>
      <c r="C3244" s="120" t="str">
        <f>IFERROR(__xludf.DUMMYFUNCTION("""COMPUTED_VALUE"""),"Hazyview")</f>
        <v>Hazyview</v>
      </c>
      <c r="D3244" s="120" t="str">
        <f>IFERROR(__xludf.DUMMYFUNCTION("""COMPUTED_VALUE"""),"South Africa")</f>
        <v>South Africa</v>
      </c>
      <c r="E3244" s="135"/>
      <c r="F3244" s="31"/>
    </row>
    <row r="3245">
      <c r="A3245" s="134" t="str">
        <f>IFERROR(__xludf.DUMMYFUNCTION("""COMPUTED_VALUE"""),"Headingly")</f>
        <v>Headingly</v>
      </c>
      <c r="B3245" s="120" t="str">
        <f>IFERROR(__xludf.DUMMYFUNCTION("""COMPUTED_VALUE"""),"HIP")</f>
        <v>HIP</v>
      </c>
      <c r="C3245" s="120" t="str">
        <f>IFERROR(__xludf.DUMMYFUNCTION("""COMPUTED_VALUE"""),"Headingly")</f>
        <v>Headingly</v>
      </c>
      <c r="D3245" s="120" t="str">
        <f>IFERROR(__xludf.DUMMYFUNCTION("""COMPUTED_VALUE"""),"Australia")</f>
        <v>Australia</v>
      </c>
      <c r="E3245" s="135"/>
      <c r="F3245" s="31"/>
    </row>
    <row r="3246">
      <c r="A3246" s="134" t="str">
        <f>IFERROR(__xludf.DUMMYFUNCTION("""COMPUTED_VALUE"""),"Healy Lake")</f>
        <v>Healy Lake</v>
      </c>
      <c r="B3246" s="120" t="str">
        <f>IFERROR(__xludf.DUMMYFUNCTION("""COMPUTED_VALUE"""),"HKB")</f>
        <v>HKB</v>
      </c>
      <c r="C3246" s="120" t="str">
        <f>IFERROR(__xludf.DUMMYFUNCTION("""COMPUTED_VALUE"""),"Healy Lake")</f>
        <v>Healy Lake</v>
      </c>
      <c r="D3246" s="120" t="str">
        <f>IFERROR(__xludf.DUMMYFUNCTION("""COMPUTED_VALUE"""),"United States")</f>
        <v>United States</v>
      </c>
      <c r="E3246" s="135"/>
      <c r="F3246" s="31"/>
    </row>
    <row r="3247">
      <c r="A3247" s="134" t="str">
        <f>IFERROR(__xludf.DUMMYFUNCTION("""COMPUTED_VALUE"""),"Hearst")</f>
        <v>Hearst</v>
      </c>
      <c r="B3247" s="120" t="str">
        <f>IFERROR(__xludf.DUMMYFUNCTION("""COMPUTED_VALUE"""),"YHF")</f>
        <v>YHF</v>
      </c>
      <c r="C3247" s="120" t="str">
        <f>IFERROR(__xludf.DUMMYFUNCTION("""COMPUTED_VALUE"""),"Hearst")</f>
        <v>Hearst</v>
      </c>
      <c r="D3247" s="120" t="str">
        <f>IFERROR(__xludf.DUMMYFUNCTION("""COMPUTED_VALUE"""),"Canada")</f>
        <v>Canada</v>
      </c>
      <c r="E3247" s="135"/>
      <c r="F3247" s="31"/>
    </row>
    <row r="3248">
      <c r="A3248" s="134" t="str">
        <f>IFERROR(__xludf.DUMMYFUNCTION("""COMPUTED_VALUE"""),"Heathlands")</f>
        <v>Heathlands</v>
      </c>
      <c r="B3248" s="120" t="str">
        <f>IFERROR(__xludf.DUMMYFUNCTION("""COMPUTED_VALUE"""),"HAT")</f>
        <v>HAT</v>
      </c>
      <c r="C3248" s="120" t="str">
        <f>IFERROR(__xludf.DUMMYFUNCTION("""COMPUTED_VALUE"""),"Heathlands")</f>
        <v>Heathlands</v>
      </c>
      <c r="D3248" s="120" t="str">
        <f>IFERROR(__xludf.DUMMYFUNCTION("""COMPUTED_VALUE"""),"Australia")</f>
        <v>Australia</v>
      </c>
      <c r="E3248" s="135"/>
      <c r="F3248" s="31"/>
    </row>
    <row r="3249">
      <c r="A3249" s="134" t="str">
        <f>IFERROR(__xludf.DUMMYFUNCTION("""COMPUTED_VALUE"""),"Hedemora")</f>
        <v>Hedemora</v>
      </c>
      <c r="B3249" s="120" t="str">
        <f>IFERROR(__xludf.DUMMYFUNCTION("""COMPUTED_VALUE"""),"XXU")</f>
        <v>XXU</v>
      </c>
      <c r="C3249" s="120" t="str">
        <f>IFERROR(__xludf.DUMMYFUNCTION("""COMPUTED_VALUE"""),"Hedemora")</f>
        <v>Hedemora</v>
      </c>
      <c r="D3249" s="120" t="str">
        <f>IFERROR(__xludf.DUMMYFUNCTION("""COMPUTED_VALUE"""),"Sweden")</f>
        <v>Sweden</v>
      </c>
      <c r="E3249" s="135"/>
      <c r="F3249" s="31"/>
    </row>
    <row r="3250">
      <c r="A3250" s="134" t="str">
        <f>IFERROR(__xludf.DUMMYFUNCTION("""COMPUTED_VALUE"""),"Hefei")</f>
        <v>Hefei</v>
      </c>
      <c r="B3250" s="120" t="str">
        <f>IFERROR(__xludf.DUMMYFUNCTION("""COMPUTED_VALUE"""),"HFE")</f>
        <v>HFE</v>
      </c>
      <c r="C3250" s="120" t="str">
        <f>IFERROR(__xludf.DUMMYFUNCTION("""COMPUTED_VALUE"""),"Shanghai")</f>
        <v>Shanghai</v>
      </c>
      <c r="D3250" s="120" t="str">
        <f>IFERROR(__xludf.DUMMYFUNCTION("""COMPUTED_VALUE"""),"China")</f>
        <v>China</v>
      </c>
      <c r="E3250" s="135"/>
      <c r="F3250" s="31"/>
    </row>
    <row r="3251">
      <c r="A3251" s="134" t="str">
        <f>IFERROR(__xludf.DUMMYFUNCTION("""COMPUTED_VALUE"""),"Heho")</f>
        <v>Heho</v>
      </c>
      <c r="B3251" s="120" t="str">
        <f>IFERROR(__xludf.DUMMYFUNCTION("""COMPUTED_VALUE"""),"HEH")</f>
        <v>HEH</v>
      </c>
      <c r="C3251" s="120" t="str">
        <f>IFERROR(__xludf.DUMMYFUNCTION("""COMPUTED_VALUE"""),"Heho")</f>
        <v>Heho</v>
      </c>
      <c r="D3251" s="120" t="str">
        <f>IFERROR(__xludf.DUMMYFUNCTION("""COMPUTED_VALUE"""),"Myanmar")</f>
        <v>Myanmar</v>
      </c>
      <c r="E3251" s="135"/>
      <c r="F3251" s="31"/>
    </row>
    <row r="3252">
      <c r="A3252" s="134" t="str">
        <f>IFERROR(__xludf.DUMMYFUNCTION("""COMPUTED_VALUE"""),"Heide-Buesum")</f>
        <v>Heide-Buesum</v>
      </c>
      <c r="B3252" s="120" t="str">
        <f>IFERROR(__xludf.DUMMYFUNCTION("""COMPUTED_VALUE"""),"HEI")</f>
        <v>HEI</v>
      </c>
      <c r="C3252" s="120" t="str">
        <f>IFERROR(__xludf.DUMMYFUNCTION("""COMPUTED_VALUE"""),"Heide-Buesum")</f>
        <v>Heide-Buesum</v>
      </c>
      <c r="D3252" s="120" t="str">
        <f>IFERROR(__xludf.DUMMYFUNCTION("""COMPUTED_VALUE"""),"Germany")</f>
        <v>Germany</v>
      </c>
      <c r="E3252" s="135"/>
      <c r="F3252" s="31"/>
    </row>
    <row r="3253">
      <c r="A3253" s="134" t="str">
        <f>IFERROR(__xludf.DUMMYFUNCTION("""COMPUTED_VALUE"""),"Heidelberg")</f>
        <v>Heidelberg</v>
      </c>
      <c r="B3253" s="120" t="str">
        <f>IFERROR(__xludf.DUMMYFUNCTION("""COMPUTED_VALUE"""),"HDB")</f>
        <v>HDB</v>
      </c>
      <c r="C3253" s="120" t="str">
        <f>IFERROR(__xludf.DUMMYFUNCTION("""COMPUTED_VALUE"""),"Heidelberg")</f>
        <v>Heidelberg</v>
      </c>
      <c r="D3253" s="120" t="str">
        <f>IFERROR(__xludf.DUMMYFUNCTION("""COMPUTED_VALUE"""),"Germany")</f>
        <v>Germany</v>
      </c>
      <c r="E3253" s="135"/>
      <c r="F3253" s="31"/>
    </row>
    <row r="3254">
      <c r="A3254" s="134" t="str">
        <f>IFERROR(__xludf.DUMMYFUNCTION("""COMPUTED_VALUE"""),"Heihe")</f>
        <v>Heihe</v>
      </c>
      <c r="B3254" s="120" t="str">
        <f>IFERROR(__xludf.DUMMYFUNCTION("""COMPUTED_VALUE"""),"HEK")</f>
        <v>HEK</v>
      </c>
      <c r="C3254" s="120" t="str">
        <f>IFERROR(__xludf.DUMMYFUNCTION("""COMPUTED_VALUE"""),"Heihe")</f>
        <v>Heihe</v>
      </c>
      <c r="D3254" s="120" t="str">
        <f>IFERROR(__xludf.DUMMYFUNCTION("""COMPUTED_VALUE"""),"China")</f>
        <v>China</v>
      </c>
      <c r="E3254" s="135"/>
      <c r="F3254" s="31"/>
    </row>
    <row r="3255">
      <c r="A3255" s="134" t="str">
        <f>IFERROR(__xludf.DUMMYFUNCTION("""COMPUTED_VALUE"""),"Heimdal")</f>
        <v>Heimdal</v>
      </c>
      <c r="B3255" s="120" t="str">
        <f>IFERROR(__xludf.DUMMYFUNCTION("""COMPUTED_VALUE"""),"XUE")</f>
        <v>XUE</v>
      </c>
      <c r="C3255" s="120" t="str">
        <f>IFERROR(__xludf.DUMMYFUNCTION("""COMPUTED_VALUE"""),"Heimdal Railway")</f>
        <v>Heimdal Railway</v>
      </c>
      <c r="D3255" s="120" t="str">
        <f>IFERROR(__xludf.DUMMYFUNCTION("""COMPUTED_VALUE"""),"Norway")</f>
        <v>Norway</v>
      </c>
      <c r="E3255" s="135"/>
      <c r="F3255" s="31"/>
    </row>
    <row r="3256">
      <c r="A3256" s="134" t="str">
        <f>IFERROR(__xludf.DUMMYFUNCTION("""COMPUTED_VALUE"""),"Heiweni")</f>
        <v>Heiweni</v>
      </c>
      <c r="B3256" s="120" t="str">
        <f>IFERROR(__xludf.DUMMYFUNCTION("""COMPUTED_VALUE"""),"HNI")</f>
        <v>HNI</v>
      </c>
      <c r="C3256" s="120" t="str">
        <f>IFERROR(__xludf.DUMMYFUNCTION("""COMPUTED_VALUE"""),"Heiweni")</f>
        <v>Heiweni</v>
      </c>
      <c r="D3256" s="120" t="str">
        <f>IFERROR(__xludf.DUMMYFUNCTION("""COMPUTED_VALUE"""),"Papua New Guinea")</f>
        <v>Papua New Guinea</v>
      </c>
      <c r="E3256" s="135"/>
      <c r="F3256" s="31"/>
    </row>
    <row r="3257">
      <c r="A3257" s="134" t="str">
        <f>IFERROR(__xludf.DUMMYFUNCTION("""COMPUTED_VALUE"""),"Helena")</f>
        <v>Helena</v>
      </c>
      <c r="B3257" s="120" t="str">
        <f>IFERROR(__xludf.DUMMYFUNCTION("""COMPUTED_VALUE"""),"HEE")</f>
        <v>HEE</v>
      </c>
      <c r="C3257" s="120" t="str">
        <f>IFERROR(__xludf.DUMMYFUNCTION("""COMPUTED_VALUE"""),"Thompson-Robbins")</f>
        <v>Thompson-Robbins</v>
      </c>
      <c r="D3257" s="120" t="str">
        <f>IFERROR(__xludf.DUMMYFUNCTION("""COMPUTED_VALUE"""),"United States")</f>
        <v>United States</v>
      </c>
      <c r="E3257" s="135"/>
      <c r="F3257" s="31"/>
    </row>
    <row r="3258">
      <c r="A3258" s="134" t="str">
        <f>IFERROR(__xludf.DUMMYFUNCTION("""COMPUTED_VALUE"""),"Helena")</f>
        <v>Helena</v>
      </c>
      <c r="B3258" s="120" t="str">
        <f>IFERROR(__xludf.DUMMYFUNCTION("""COMPUTED_VALUE"""),"HLN")</f>
        <v>HLN</v>
      </c>
      <c r="C3258" s="120" t="str">
        <f>IFERROR(__xludf.DUMMYFUNCTION("""COMPUTED_VALUE"""),"Helena")</f>
        <v>Helena</v>
      </c>
      <c r="D3258" s="120" t="str">
        <f>IFERROR(__xludf.DUMMYFUNCTION("""COMPUTED_VALUE"""),"United States")</f>
        <v>United States</v>
      </c>
      <c r="E3258" s="135"/>
      <c r="F3258" s="31"/>
    </row>
    <row r="3259">
      <c r="A3259" s="134" t="str">
        <f>IFERROR(__xludf.DUMMYFUNCTION("""COMPUTED_VALUE"""),"Helenvale")</f>
        <v>Helenvale</v>
      </c>
      <c r="B3259" s="120" t="str">
        <f>IFERROR(__xludf.DUMMYFUNCTION("""COMPUTED_VALUE"""),"HLV")</f>
        <v>HLV</v>
      </c>
      <c r="C3259" s="120" t="str">
        <f>IFERROR(__xludf.DUMMYFUNCTION("""COMPUTED_VALUE"""),"Helenvale")</f>
        <v>Helenvale</v>
      </c>
      <c r="D3259" s="120" t="str">
        <f>IFERROR(__xludf.DUMMYFUNCTION("""COMPUTED_VALUE"""),"Australia")</f>
        <v>Australia</v>
      </c>
      <c r="E3259" s="135"/>
      <c r="F3259" s="31"/>
    </row>
    <row r="3260">
      <c r="A3260" s="134" t="str">
        <f>IFERROR(__xludf.DUMMYFUNCTION("""COMPUTED_VALUE"""),"Helgoland")</f>
        <v>Helgoland</v>
      </c>
      <c r="B3260" s="120" t="str">
        <f>IFERROR(__xludf.DUMMYFUNCTION("""COMPUTED_VALUE"""),"HGL")</f>
        <v>HGL</v>
      </c>
      <c r="C3260" s="120" t="str">
        <f>IFERROR(__xludf.DUMMYFUNCTION("""COMPUTED_VALUE"""),"Helgoland")</f>
        <v>Helgoland</v>
      </c>
      <c r="D3260" s="120" t="str">
        <f>IFERROR(__xludf.DUMMYFUNCTION("""COMPUTED_VALUE"""),"Germany")</f>
        <v>Germany</v>
      </c>
      <c r="E3260" s="135"/>
      <c r="F3260" s="31"/>
    </row>
    <row r="3261">
      <c r="A3261" s="134" t="str">
        <f>IFERROR(__xludf.DUMMYFUNCTION("""COMPUTED_VALUE"""),"Helsinki")</f>
        <v>Helsinki</v>
      </c>
      <c r="B3261" s="120" t="str">
        <f>IFERROR(__xludf.DUMMYFUNCTION("""COMPUTED_VALUE"""),"HEM")</f>
        <v>HEM</v>
      </c>
      <c r="C3261" s="120" t="str">
        <f>IFERROR(__xludf.DUMMYFUNCTION("""COMPUTED_VALUE"""),"Helsinki-Malmi")</f>
        <v>Helsinki-Malmi</v>
      </c>
      <c r="D3261" s="120" t="str">
        <f>IFERROR(__xludf.DUMMYFUNCTION("""COMPUTED_VALUE"""),"Finland")</f>
        <v>Finland</v>
      </c>
      <c r="E3261" s="135"/>
      <c r="F3261" s="31"/>
    </row>
    <row r="3262">
      <c r="A3262" s="134" t="str">
        <f>IFERROR(__xludf.DUMMYFUNCTION("""COMPUTED_VALUE"""),"Vantaa")</f>
        <v>Vantaa</v>
      </c>
      <c r="B3262" s="120" t="str">
        <f>IFERROR(__xludf.DUMMYFUNCTION("""COMPUTED_VALUE"""),"HEL")</f>
        <v>HEL</v>
      </c>
      <c r="C3262" s="120" t="str">
        <f>IFERROR(__xludf.DUMMYFUNCTION("""COMPUTED_VALUE"""),"Helsinki-vantaa")</f>
        <v>Helsinki-vantaa</v>
      </c>
      <c r="D3262" s="120" t="str">
        <f>IFERROR(__xludf.DUMMYFUNCTION("""COMPUTED_VALUE"""),"Finland")</f>
        <v>Finland</v>
      </c>
      <c r="E3262" s="135"/>
      <c r="F3262" s="31"/>
    </row>
    <row r="3263">
      <c r="A3263" s="134" t="str">
        <f>IFERROR(__xludf.DUMMYFUNCTION("""COMPUTED_VALUE"""),"Hemavan")</f>
        <v>Hemavan</v>
      </c>
      <c r="B3263" s="120" t="str">
        <f>IFERROR(__xludf.DUMMYFUNCTION("""COMPUTED_VALUE"""),"HMV")</f>
        <v>HMV</v>
      </c>
      <c r="C3263" s="120" t="str">
        <f>IFERROR(__xludf.DUMMYFUNCTION("""COMPUTED_VALUE"""),"Hemavan")</f>
        <v>Hemavan</v>
      </c>
      <c r="D3263" s="120" t="str">
        <f>IFERROR(__xludf.DUMMYFUNCTION("""COMPUTED_VALUE"""),"Sweden")</f>
        <v>Sweden</v>
      </c>
      <c r="E3263" s="135"/>
      <c r="F3263" s="31"/>
    </row>
    <row r="3264">
      <c r="A3264" s="134" t="str">
        <f>IFERROR(__xludf.DUMMYFUNCTION("""COMPUTED_VALUE"""),"Hemet")</f>
        <v>Hemet</v>
      </c>
      <c r="B3264" s="120" t="str">
        <f>IFERROR(__xludf.DUMMYFUNCTION("""COMPUTED_VALUE"""),"HMT")</f>
        <v>HMT</v>
      </c>
      <c r="C3264" s="120" t="str">
        <f>IFERROR(__xludf.DUMMYFUNCTION("""COMPUTED_VALUE"""),"Ryan Field")</f>
        <v>Ryan Field</v>
      </c>
      <c r="D3264" s="120" t="str">
        <f>IFERROR(__xludf.DUMMYFUNCTION("""COMPUTED_VALUE"""),"United States")</f>
        <v>United States</v>
      </c>
      <c r="E3264" s="135"/>
      <c r="F3264" s="31"/>
    </row>
    <row r="3265">
      <c r="A3265" s="134" t="str">
        <f>IFERROR(__xludf.DUMMYFUNCTION("""COMPUTED_VALUE"""),"Henbury")</f>
        <v>Henbury</v>
      </c>
      <c r="B3265" s="120" t="str">
        <f>IFERROR(__xludf.DUMMYFUNCTION("""COMPUTED_VALUE"""),"HRY")</f>
        <v>HRY</v>
      </c>
      <c r="C3265" s="120" t="str">
        <f>IFERROR(__xludf.DUMMYFUNCTION("""COMPUTED_VALUE"""),"Henbury")</f>
        <v>Henbury</v>
      </c>
      <c r="D3265" s="120" t="str">
        <f>IFERROR(__xludf.DUMMYFUNCTION("""COMPUTED_VALUE"""),"Australia")</f>
        <v>Australia</v>
      </c>
      <c r="E3265" s="135"/>
      <c r="F3265" s="31"/>
    </row>
    <row r="3266">
      <c r="A3266" s="134" t="str">
        <f>IFERROR(__xludf.DUMMYFUNCTION("""COMPUTED_VALUE"""),"Fletcher")</f>
        <v>Fletcher</v>
      </c>
      <c r="B3266" s="120" t="str">
        <f>IFERROR(__xludf.DUMMYFUNCTION("""COMPUTED_VALUE"""),"AVL")</f>
        <v>AVL</v>
      </c>
      <c r="C3266" s="120" t="str">
        <f>IFERROR(__xludf.DUMMYFUNCTION("""COMPUTED_VALUE"""),"Asheville Regional Airport")</f>
        <v>Asheville Regional Airport</v>
      </c>
      <c r="D3266" s="120" t="str">
        <f>IFERROR(__xludf.DUMMYFUNCTION("""COMPUTED_VALUE"""),"United States")</f>
        <v>United States</v>
      </c>
      <c r="E3266" s="135"/>
      <c r="F3266" s="31"/>
    </row>
    <row r="3267">
      <c r="A3267" s="134" t="str">
        <f>IFERROR(__xludf.DUMMYFUNCTION("""COMPUTED_VALUE"""),"Hengchun")</f>
        <v>Hengchun</v>
      </c>
      <c r="B3267" s="120" t="str">
        <f>IFERROR(__xludf.DUMMYFUNCTION("""COMPUTED_VALUE"""),"HCN")</f>
        <v>HCN</v>
      </c>
      <c r="C3267" s="120" t="str">
        <f>IFERROR(__xludf.DUMMYFUNCTION("""COMPUTED_VALUE"""),"Hengchun")</f>
        <v>Hengchun</v>
      </c>
      <c r="D3267" s="120" t="str">
        <f>IFERROR(__xludf.DUMMYFUNCTION("""COMPUTED_VALUE"""),"Taiwan")</f>
        <v>Taiwan</v>
      </c>
      <c r="E3267" s="135"/>
      <c r="F3267" s="31"/>
    </row>
    <row r="3268">
      <c r="A3268" s="134" t="str">
        <f>IFERROR(__xludf.DUMMYFUNCTION("""COMPUTED_VALUE"""),"Hengyang")</f>
        <v>Hengyang</v>
      </c>
      <c r="B3268" s="120" t="str">
        <f>IFERROR(__xludf.DUMMYFUNCTION("""COMPUTED_VALUE"""),"HNY")</f>
        <v>HNY</v>
      </c>
      <c r="C3268" s="120" t="str">
        <f>IFERROR(__xludf.DUMMYFUNCTION("""COMPUTED_VALUE"""),"Hengyang")</f>
        <v>Hengyang</v>
      </c>
      <c r="D3268" s="120" t="str">
        <f>IFERROR(__xludf.DUMMYFUNCTION("""COMPUTED_VALUE"""),"China")</f>
        <v>China</v>
      </c>
      <c r="E3268" s="135"/>
      <c r="F3268" s="31"/>
    </row>
    <row r="3269">
      <c r="A3269" s="134" t="str">
        <f>IFERROR(__xludf.DUMMYFUNCTION("""COMPUTED_VALUE"""),"Henzada")</f>
        <v>Henzada</v>
      </c>
      <c r="B3269" s="120" t="str">
        <f>IFERROR(__xludf.DUMMYFUNCTION("""COMPUTED_VALUE"""),"HEB")</f>
        <v>HEB</v>
      </c>
      <c r="C3269" s="120" t="str">
        <f>IFERROR(__xludf.DUMMYFUNCTION("""COMPUTED_VALUE"""),"Henzada")</f>
        <v>Henzada</v>
      </c>
      <c r="D3269" s="120" t="str">
        <f>IFERROR(__xludf.DUMMYFUNCTION("""COMPUTED_VALUE"""),"Myanmar")</f>
        <v>Myanmar</v>
      </c>
      <c r="E3269" s="135"/>
      <c r="F3269" s="31"/>
    </row>
    <row r="3270">
      <c r="A3270" s="134" t="str">
        <f>IFERROR(__xludf.DUMMYFUNCTION("""COMPUTED_VALUE"""),"Heraklion")</f>
        <v>Heraklion</v>
      </c>
      <c r="B3270" s="120" t="str">
        <f>IFERROR(__xludf.DUMMYFUNCTION("""COMPUTED_VALUE"""),"HER")</f>
        <v>HER</v>
      </c>
      <c r="C3270" s="120" t="str">
        <f>IFERROR(__xludf.DUMMYFUNCTION("""COMPUTED_VALUE"""),"N. Kazantzakis Apt.")</f>
        <v>N. Kazantzakis Apt.</v>
      </c>
      <c r="D3270" s="120" t="str">
        <f>IFERROR(__xludf.DUMMYFUNCTION("""COMPUTED_VALUE"""),"Greece")</f>
        <v>Greece</v>
      </c>
      <c r="E3270" s="135"/>
      <c r="F3270" s="31"/>
    </row>
    <row r="3271">
      <c r="A3271" s="134" t="str">
        <f>IFERROR(__xludf.DUMMYFUNCTION("""COMPUTED_VALUE"""),"Herat")</f>
        <v>Herat</v>
      </c>
      <c r="B3271" s="120" t="str">
        <f>IFERROR(__xludf.DUMMYFUNCTION("""COMPUTED_VALUE"""),"HEA")</f>
        <v>HEA</v>
      </c>
      <c r="C3271" s="120" t="str">
        <f>IFERROR(__xludf.DUMMYFUNCTION("""COMPUTED_VALUE"""),"Herat")</f>
        <v>Herat</v>
      </c>
      <c r="D3271" s="120" t="str">
        <f>IFERROR(__xludf.DUMMYFUNCTION("""COMPUTED_VALUE"""),"Afghanistan")</f>
        <v>Afghanistan</v>
      </c>
      <c r="E3271" s="135"/>
      <c r="F3271" s="31"/>
    </row>
    <row r="3272">
      <c r="A3272" s="134" t="str">
        <f>IFERROR(__xludf.DUMMYFUNCTION("""COMPUTED_VALUE"""),"Hercegnovi")</f>
        <v>Hercegnovi</v>
      </c>
      <c r="B3272" s="120" t="str">
        <f>IFERROR(__xludf.DUMMYFUNCTION("""COMPUTED_VALUE"""),"HNO")</f>
        <v>HNO</v>
      </c>
      <c r="C3272" s="120" t="str">
        <f>IFERROR(__xludf.DUMMYFUNCTION("""COMPUTED_VALUE"""),"Hercegnovi")</f>
        <v>Hercegnovi</v>
      </c>
      <c r="D3272" s="120" t="str">
        <f>IFERROR(__xludf.DUMMYFUNCTION("""COMPUTED_VALUE"""),"Czech")</f>
        <v>Czech</v>
      </c>
      <c r="E3272" s="135"/>
      <c r="F3272" s="31"/>
    </row>
    <row r="3273">
      <c r="A3273" s="134" t="str">
        <f>IFERROR(__xludf.DUMMYFUNCTION("""COMPUTED_VALUE"""),"Herendeen")</f>
        <v>Herendeen</v>
      </c>
      <c r="B3273" s="120" t="str">
        <f>IFERROR(__xludf.DUMMYFUNCTION("""COMPUTED_VALUE"""),"HED")</f>
        <v>HED</v>
      </c>
      <c r="C3273" s="120" t="str">
        <f>IFERROR(__xludf.DUMMYFUNCTION("""COMPUTED_VALUE"""),"Herendeen")</f>
        <v>Herendeen</v>
      </c>
      <c r="D3273" s="120" t="str">
        <f>IFERROR(__xludf.DUMMYFUNCTION("""COMPUTED_VALUE"""),"United States")</f>
        <v>United States</v>
      </c>
      <c r="E3273" s="135"/>
      <c r="F3273" s="31"/>
    </row>
    <row r="3274">
      <c r="A3274" s="134" t="str">
        <f>IFERROR(__xludf.DUMMYFUNCTION("""COMPUTED_VALUE"""),"Heringsdorf")</f>
        <v>Heringsdorf</v>
      </c>
      <c r="B3274" s="120" t="str">
        <f>IFERROR(__xludf.DUMMYFUNCTION("""COMPUTED_VALUE"""),"HDF")</f>
        <v>HDF</v>
      </c>
      <c r="C3274" s="120" t="str">
        <f>IFERROR(__xludf.DUMMYFUNCTION("""COMPUTED_VALUE"""),"Heringsdorf")</f>
        <v>Heringsdorf</v>
      </c>
      <c r="D3274" s="120" t="str">
        <f>IFERROR(__xludf.DUMMYFUNCTION("""COMPUTED_VALUE"""),"Germany")</f>
        <v>Germany</v>
      </c>
      <c r="E3274" s="135"/>
      <c r="F3274" s="31"/>
    </row>
    <row r="3275">
      <c r="A3275" s="134" t="str">
        <f>IFERROR(__xludf.DUMMYFUNCTION("""COMPUTED_VALUE"""),"Herlong")</f>
        <v>Herlong</v>
      </c>
      <c r="B3275" s="120" t="str">
        <f>IFERROR(__xludf.DUMMYFUNCTION("""COMPUTED_VALUE"""),"AHC")</f>
        <v>AHC</v>
      </c>
      <c r="C3275" s="120" t="str">
        <f>IFERROR(__xludf.DUMMYFUNCTION("""COMPUTED_VALUE"""),"Amedee AAF")</f>
        <v>Amedee AAF</v>
      </c>
      <c r="D3275" s="120" t="str">
        <f>IFERROR(__xludf.DUMMYFUNCTION("""COMPUTED_VALUE"""),"United States")</f>
        <v>United States</v>
      </c>
      <c r="E3275" s="135"/>
      <c r="F3275" s="31"/>
    </row>
    <row r="3276">
      <c r="A3276" s="134" t="str">
        <f>IFERROR(__xludf.DUMMYFUNCTION("""COMPUTED_VALUE"""),"Hermannsburg")</f>
        <v>Hermannsburg</v>
      </c>
      <c r="B3276" s="120" t="str">
        <f>IFERROR(__xludf.DUMMYFUNCTION("""COMPUTED_VALUE"""),"HMG")</f>
        <v>HMG</v>
      </c>
      <c r="C3276" s="120" t="str">
        <f>IFERROR(__xludf.DUMMYFUNCTION("""COMPUTED_VALUE"""),"Hermannsburg")</f>
        <v>Hermannsburg</v>
      </c>
      <c r="D3276" s="120" t="str">
        <f>IFERROR(__xludf.DUMMYFUNCTION("""COMPUTED_VALUE"""),"Australia")</f>
        <v>Australia</v>
      </c>
      <c r="E3276" s="135"/>
      <c r="F3276" s="31"/>
    </row>
    <row r="3277">
      <c r="A3277" s="134" t="str">
        <f>IFERROR(__xludf.DUMMYFUNCTION("""COMPUTED_VALUE"""),"Hermiston")</f>
        <v>Hermiston</v>
      </c>
      <c r="B3277" s="120" t="str">
        <f>IFERROR(__xludf.DUMMYFUNCTION("""COMPUTED_VALUE"""),"HES")</f>
        <v>HES</v>
      </c>
      <c r="C3277" s="120" t="str">
        <f>IFERROR(__xludf.DUMMYFUNCTION("""COMPUTED_VALUE"""),"State")</f>
        <v>State</v>
      </c>
      <c r="D3277" s="120" t="str">
        <f>IFERROR(__xludf.DUMMYFUNCTION("""COMPUTED_VALUE"""),"United States")</f>
        <v>United States</v>
      </c>
      <c r="E3277" s="135"/>
      <c r="F3277" s="31"/>
    </row>
    <row r="3278">
      <c r="A3278" s="134" t="str">
        <f>IFERROR(__xludf.DUMMYFUNCTION("""COMPUTED_VALUE"""),"Hermosillo")</f>
        <v>Hermosillo</v>
      </c>
      <c r="B3278" s="120" t="str">
        <f>IFERROR(__xludf.DUMMYFUNCTION("""COMPUTED_VALUE"""),"HMO")</f>
        <v>HMO</v>
      </c>
      <c r="C3278" s="120" t="str">
        <f>IFERROR(__xludf.DUMMYFUNCTION("""COMPUTED_VALUE"""),"Gen Pesqueira Garcia")</f>
        <v>Gen Pesqueira Garcia</v>
      </c>
      <c r="D3278" s="120" t="str">
        <f>IFERROR(__xludf.DUMMYFUNCTION("""COMPUTED_VALUE"""),"Mexico")</f>
        <v>Mexico</v>
      </c>
      <c r="E3278" s="135"/>
      <c r="F3278" s="31"/>
    </row>
    <row r="3279">
      <c r="A3279" s="134" t="str">
        <f>IFERROR(__xludf.DUMMYFUNCTION("""COMPUTED_VALUE"""),"Heron Island")</f>
        <v>Heron Island</v>
      </c>
      <c r="B3279" s="120" t="str">
        <f>IFERROR(__xludf.DUMMYFUNCTION("""COMPUTED_VALUE"""),"HRN")</f>
        <v>HRN</v>
      </c>
      <c r="C3279" s="120" t="str">
        <f>IFERROR(__xludf.DUMMYFUNCTION("""COMPUTED_VALUE"""),"Heliport")</f>
        <v>Heliport</v>
      </c>
      <c r="D3279" s="120" t="str">
        <f>IFERROR(__xludf.DUMMYFUNCTION("""COMPUTED_VALUE"""),"Australia")</f>
        <v>Australia</v>
      </c>
      <c r="E3279" s="135"/>
      <c r="F3279" s="31"/>
    </row>
    <row r="3280">
      <c r="A3280" s="134" t="str">
        <f>IFERROR(__xludf.DUMMYFUNCTION("""COMPUTED_VALUE"""),"Herrera")</f>
        <v>Herrera</v>
      </c>
      <c r="B3280" s="120" t="str">
        <f>IFERROR(__xludf.DUMMYFUNCTION("""COMPUTED_VALUE"""),"HRR")</f>
        <v>HRR</v>
      </c>
      <c r="C3280" s="120" t="str">
        <f>IFERROR(__xludf.DUMMYFUNCTION("""COMPUTED_VALUE"""),"Herrera")</f>
        <v>Herrera</v>
      </c>
      <c r="D3280" s="120" t="str">
        <f>IFERROR(__xludf.DUMMYFUNCTION("""COMPUTED_VALUE"""),"Colombia")</f>
        <v>Colombia</v>
      </c>
      <c r="E3280" s="135"/>
      <c r="F3280" s="31"/>
    </row>
    <row r="3281">
      <c r="A3281" s="134" t="str">
        <f>IFERROR(__xludf.DUMMYFUNCTION("""COMPUTED_VALUE"""),"Herrljunga")</f>
        <v>Herrljunga</v>
      </c>
      <c r="B3281" s="120" t="str">
        <f>IFERROR(__xludf.DUMMYFUNCTION("""COMPUTED_VALUE"""),"XYC")</f>
        <v>XYC</v>
      </c>
      <c r="C3281" s="120" t="str">
        <f>IFERROR(__xludf.DUMMYFUNCTION("""COMPUTED_VALUE"""),"Herrljunga")</f>
        <v>Herrljunga</v>
      </c>
      <c r="D3281" s="120" t="str">
        <f>IFERROR(__xludf.DUMMYFUNCTION("""COMPUTED_VALUE"""),"Sweden")</f>
        <v>Sweden</v>
      </c>
      <c r="E3281" s="135"/>
      <c r="F3281" s="31"/>
    </row>
    <row r="3282">
      <c r="A3282" s="134" t="str">
        <f>IFERROR(__xludf.DUMMYFUNCTION("""COMPUTED_VALUE"""),"Hervey Bay")</f>
        <v>Hervey Bay</v>
      </c>
      <c r="B3282" s="120" t="str">
        <f>IFERROR(__xludf.DUMMYFUNCTION("""COMPUTED_VALUE"""),"HVB")</f>
        <v>HVB</v>
      </c>
      <c r="C3282" s="120" t="str">
        <f>IFERROR(__xludf.DUMMYFUNCTION("""COMPUTED_VALUE"""),"Hervey Bay")</f>
        <v>Hervey Bay</v>
      </c>
      <c r="D3282" s="120" t="str">
        <f>IFERROR(__xludf.DUMMYFUNCTION("""COMPUTED_VALUE"""),"Australia")</f>
        <v>Australia</v>
      </c>
      <c r="E3282" s="135"/>
      <c r="F3282" s="31"/>
    </row>
    <row r="3283">
      <c r="A3283" s="134" t="str">
        <f>IFERROR(__xludf.DUMMYFUNCTION("""COMPUTED_VALUE"""),"Hesa")</f>
        <v>Hesa</v>
      </c>
      <c r="B3283" s="120" t="str">
        <f>IFERROR(__xludf.DUMMYFUNCTION("""COMPUTED_VALUE"""),"IFH")</f>
        <v>IFH</v>
      </c>
      <c r="C3283" s="120" t="str">
        <f>IFERROR(__xludf.DUMMYFUNCTION("""COMPUTED_VALUE"""),"Hesa")</f>
        <v>Hesa</v>
      </c>
      <c r="D3283" s="120" t="str">
        <f>IFERROR(__xludf.DUMMYFUNCTION("""COMPUTED_VALUE"""),"Iran")</f>
        <v>Iran</v>
      </c>
      <c r="E3283" s="135"/>
      <c r="F3283" s="31"/>
    </row>
    <row r="3284">
      <c r="A3284" s="134" t="str">
        <f>IFERROR(__xludf.DUMMYFUNCTION("""COMPUTED_VALUE"""),"Hickory")</f>
        <v>Hickory</v>
      </c>
      <c r="B3284" s="120" t="str">
        <f>IFERROR(__xludf.DUMMYFUNCTION("""COMPUTED_VALUE"""),"HKY")</f>
        <v>HKY</v>
      </c>
      <c r="C3284" s="120" t="str">
        <f>IFERROR(__xludf.DUMMYFUNCTION("""COMPUTED_VALUE"""),"Hickory")</f>
        <v>Hickory</v>
      </c>
      <c r="D3284" s="120" t="str">
        <f>IFERROR(__xludf.DUMMYFUNCTION("""COMPUTED_VALUE"""),"United States")</f>
        <v>United States</v>
      </c>
      <c r="E3284" s="135"/>
      <c r="F3284" s="31"/>
    </row>
    <row r="3285">
      <c r="A3285" s="134" t="str">
        <f>IFERROR(__xludf.DUMMYFUNCTION("""COMPUTED_VALUE"""),"Hidden Falls")</f>
        <v>Hidden Falls</v>
      </c>
      <c r="B3285" s="120" t="str">
        <f>IFERROR(__xludf.DUMMYFUNCTION("""COMPUTED_VALUE"""),"HDA")</f>
        <v>HDA</v>
      </c>
      <c r="C3285" s="120" t="str">
        <f>IFERROR(__xludf.DUMMYFUNCTION("""COMPUTED_VALUE"""),"Hidden Falls")</f>
        <v>Hidden Falls</v>
      </c>
      <c r="D3285" s="120" t="str">
        <f>IFERROR(__xludf.DUMMYFUNCTION("""COMPUTED_VALUE"""),"United States")</f>
        <v>United States</v>
      </c>
      <c r="E3285" s="135"/>
      <c r="F3285" s="31"/>
    </row>
    <row r="3286">
      <c r="A3286" s="134" t="str">
        <f>IFERROR(__xludf.DUMMYFUNCTION("""COMPUTED_VALUE"""),"Hienghene")</f>
        <v>Hienghene</v>
      </c>
      <c r="B3286" s="120" t="str">
        <f>IFERROR(__xludf.DUMMYFUNCTION("""COMPUTED_VALUE"""),"HNG")</f>
        <v>HNG</v>
      </c>
      <c r="C3286" s="120" t="str">
        <f>IFERROR(__xludf.DUMMYFUNCTION("""COMPUTED_VALUE"""),"Hienghene")</f>
        <v>Hienghene</v>
      </c>
      <c r="D3286" s="120" t="str">
        <f>IFERROR(__xludf.DUMMYFUNCTION("""COMPUTED_VALUE"""),"New Caledonia")</f>
        <v>New Caledonia</v>
      </c>
      <c r="E3286" s="135"/>
      <c r="F3286" s="31"/>
    </row>
    <row r="3287">
      <c r="A3287" s="134" t="str">
        <f>IFERROR(__xludf.DUMMYFUNCTION("""COMPUTED_VALUE"""),"High Level")</f>
        <v>High Level</v>
      </c>
      <c r="B3287" s="120" t="str">
        <f>IFERROR(__xludf.DUMMYFUNCTION("""COMPUTED_VALUE"""),"YOJ")</f>
        <v>YOJ</v>
      </c>
      <c r="C3287" s="120" t="str">
        <f>IFERROR(__xludf.DUMMYFUNCTION("""COMPUTED_VALUE"""),"Footner Lake")</f>
        <v>Footner Lake</v>
      </c>
      <c r="D3287" s="120" t="str">
        <f>IFERROR(__xludf.DUMMYFUNCTION("""COMPUTED_VALUE"""),"Canada")</f>
        <v>Canada</v>
      </c>
      <c r="E3287" s="135"/>
      <c r="F3287" s="31"/>
    </row>
    <row r="3288">
      <c r="A3288" s="134" t="str">
        <f>IFERROR(__xludf.DUMMYFUNCTION("""COMPUTED_VALUE"""),"High Point")</f>
        <v>High Point</v>
      </c>
      <c r="B3288" s="120" t="str">
        <f>IFERROR(__xludf.DUMMYFUNCTION("""COMPUTED_VALUE"""),"GSO")</f>
        <v>GSO</v>
      </c>
      <c r="C3288" s="120" t="str">
        <f>IFERROR(__xludf.DUMMYFUNCTION("""COMPUTED_VALUE"""),"Piedmont Triad Intl")</f>
        <v>Piedmont Triad Intl</v>
      </c>
      <c r="D3288" s="120" t="str">
        <f>IFERROR(__xludf.DUMMYFUNCTION("""COMPUTED_VALUE"""),"United States")</f>
        <v>United States</v>
      </c>
      <c r="E3288" s="135"/>
      <c r="F3288" s="31"/>
    </row>
    <row r="3289">
      <c r="A3289" s="134" t="str">
        <f>IFERROR(__xludf.DUMMYFUNCTION("""COMPUTED_VALUE"""),"High Prairie")</f>
        <v>High Prairie</v>
      </c>
      <c r="B3289" s="120" t="str">
        <f>IFERROR(__xludf.DUMMYFUNCTION("""COMPUTED_VALUE"""),"ZHP")</f>
        <v>ZHP</v>
      </c>
      <c r="C3289" s="120" t="str">
        <f>IFERROR(__xludf.DUMMYFUNCTION("""COMPUTED_VALUE"""),"High Prairie")</f>
        <v>High Prairie</v>
      </c>
      <c r="D3289" s="120" t="str">
        <f>IFERROR(__xludf.DUMMYFUNCTION("""COMPUTED_VALUE"""),"Canada")</f>
        <v>Canada</v>
      </c>
      <c r="E3289" s="135"/>
      <c r="F3289" s="31"/>
    </row>
    <row r="3290">
      <c r="A3290" s="134" t="str">
        <f>IFERROR(__xludf.DUMMYFUNCTION("""COMPUTED_VALUE"""),"High Wycombe")</f>
        <v>High Wycombe</v>
      </c>
      <c r="B3290" s="120" t="str">
        <f>IFERROR(__xludf.DUMMYFUNCTION("""COMPUTED_VALUE"""),"HYC")</f>
        <v>HYC</v>
      </c>
      <c r="C3290" s="120" t="str">
        <f>IFERROR(__xludf.DUMMYFUNCTION("""COMPUTED_VALUE"""),"High Wycombe")</f>
        <v>High Wycombe</v>
      </c>
      <c r="D3290" s="120" t="str">
        <f>IFERROR(__xludf.DUMMYFUNCTION("""COMPUTED_VALUE"""),"United Kingdom")</f>
        <v>United Kingdom</v>
      </c>
      <c r="E3290" s="135"/>
      <c r="F3290" s="31"/>
    </row>
    <row r="3291">
      <c r="A3291" s="134" t="str">
        <f>IFERROR(__xludf.DUMMYFUNCTION("""COMPUTED_VALUE"""),"Highbury")</f>
        <v>Highbury</v>
      </c>
      <c r="B3291" s="120" t="str">
        <f>IFERROR(__xludf.DUMMYFUNCTION("""COMPUTED_VALUE"""),"HIG")</f>
        <v>HIG</v>
      </c>
      <c r="C3291" s="120" t="str">
        <f>IFERROR(__xludf.DUMMYFUNCTION("""COMPUTED_VALUE"""),"Highbury")</f>
        <v>Highbury</v>
      </c>
      <c r="D3291" s="120" t="str">
        <f>IFERROR(__xludf.DUMMYFUNCTION("""COMPUTED_VALUE"""),"Australia")</f>
        <v>Australia</v>
      </c>
      <c r="E3291" s="135"/>
      <c r="F3291" s="31"/>
    </row>
    <row r="3292">
      <c r="A3292" s="134" t="str">
        <f>IFERROR(__xludf.DUMMYFUNCTION("""COMPUTED_VALUE"""),"Higlieg")</f>
        <v>Higlieg</v>
      </c>
      <c r="B3292" s="120" t="str">
        <f>IFERROR(__xludf.DUMMYFUNCTION("""COMPUTED_VALUE"""),"HGI")</f>
        <v>HGI</v>
      </c>
      <c r="C3292" s="120" t="str">
        <f>IFERROR(__xludf.DUMMYFUNCTION("""COMPUTED_VALUE"""),"Higlieg")</f>
        <v>Higlieg</v>
      </c>
      <c r="D3292" s="120" t="str">
        <f>IFERROR(__xludf.DUMMYFUNCTION("""COMPUTED_VALUE"""),"Sudan")</f>
        <v>Sudan</v>
      </c>
      <c r="E3292" s="135"/>
      <c r="F3292" s="31"/>
    </row>
    <row r="3293">
      <c r="A3293" s="134" t="str">
        <f>IFERROR(__xludf.DUMMYFUNCTION("""COMPUTED_VALUE"""),"Hikueru")</f>
        <v>Hikueru</v>
      </c>
      <c r="B3293" s="120" t="str">
        <f>IFERROR(__xludf.DUMMYFUNCTION("""COMPUTED_VALUE"""),"HHZ")</f>
        <v>HHZ</v>
      </c>
      <c r="C3293" s="120" t="str">
        <f>IFERROR(__xludf.DUMMYFUNCTION("""COMPUTED_VALUE"""),"Hikueru")</f>
        <v>Hikueru</v>
      </c>
      <c r="D3293" s="120" t="str">
        <f>IFERROR(__xludf.DUMMYFUNCTION("""COMPUTED_VALUE"""),"French Polynesia")</f>
        <v>French Polynesia</v>
      </c>
      <c r="E3293" s="135"/>
      <c r="F3293" s="31"/>
    </row>
    <row r="3294">
      <c r="A3294" s="134" t="str">
        <f>IFERROR(__xludf.DUMMYFUNCTION("""COMPUTED_VALUE"""),"Hill City")</f>
        <v>Hill City</v>
      </c>
      <c r="B3294" s="120" t="str">
        <f>IFERROR(__xludf.DUMMYFUNCTION("""COMPUTED_VALUE"""),"HLC")</f>
        <v>HLC</v>
      </c>
      <c r="C3294" s="120" t="str">
        <f>IFERROR(__xludf.DUMMYFUNCTION("""COMPUTED_VALUE"""),"Hill City")</f>
        <v>Hill City</v>
      </c>
      <c r="D3294" s="120" t="str">
        <f>IFERROR(__xludf.DUMMYFUNCTION("""COMPUTED_VALUE"""),"United States")</f>
        <v>United States</v>
      </c>
      <c r="E3294" s="135"/>
      <c r="F3294" s="31"/>
    </row>
    <row r="3295">
      <c r="A3295" s="134" t="str">
        <f>IFERROR(__xludf.DUMMYFUNCTION("""COMPUTED_VALUE"""),"Hillsboro")</f>
        <v>Hillsboro</v>
      </c>
      <c r="B3295" s="120" t="str">
        <f>IFERROR(__xludf.DUMMYFUNCTION("""COMPUTED_VALUE"""),"HIO")</f>
        <v>HIO</v>
      </c>
      <c r="C3295" s="120" t="str">
        <f>IFERROR(__xludf.DUMMYFUNCTION("""COMPUTED_VALUE"""),"Portland")</f>
        <v>Portland</v>
      </c>
      <c r="D3295" s="120" t="str">
        <f>IFERROR(__xludf.DUMMYFUNCTION("""COMPUTED_VALUE"""),"United States")</f>
        <v>United States</v>
      </c>
      <c r="E3295" s="135"/>
      <c r="F3295" s="31"/>
    </row>
    <row r="3296">
      <c r="A3296" s="134" t="str">
        <f>IFERROR(__xludf.DUMMYFUNCTION("""COMPUTED_VALUE"""),"Hillside")</f>
        <v>Hillside</v>
      </c>
      <c r="B3296" s="120" t="str">
        <f>IFERROR(__xludf.DUMMYFUNCTION("""COMPUTED_VALUE"""),"HLL")</f>
        <v>HLL</v>
      </c>
      <c r="C3296" s="120" t="str">
        <f>IFERROR(__xludf.DUMMYFUNCTION("""COMPUTED_VALUE"""),"Hillside")</f>
        <v>Hillside</v>
      </c>
      <c r="D3296" s="120" t="str">
        <f>IFERROR(__xludf.DUMMYFUNCTION("""COMPUTED_VALUE"""),"Australia")</f>
        <v>Australia</v>
      </c>
      <c r="E3296" s="135"/>
      <c r="F3296" s="31"/>
    </row>
    <row r="3297">
      <c r="A3297" s="134" t="str">
        <f>IFERROR(__xludf.DUMMYFUNCTION("""COMPUTED_VALUE"""),"Hilo")</f>
        <v>Hilo</v>
      </c>
      <c r="B3297" s="120" t="str">
        <f>IFERROR(__xludf.DUMMYFUNCTION("""COMPUTED_VALUE"""),"ITO")</f>
        <v>ITO</v>
      </c>
      <c r="C3297" s="120" t="str">
        <f>IFERROR(__xludf.DUMMYFUNCTION("""COMPUTED_VALUE"""),"Hilo International")</f>
        <v>Hilo International</v>
      </c>
      <c r="D3297" s="120" t="str">
        <f>IFERROR(__xludf.DUMMYFUNCTION("""COMPUTED_VALUE"""),"United States")</f>
        <v>United States</v>
      </c>
      <c r="E3297" s="135"/>
      <c r="F3297" s="31"/>
    </row>
    <row r="3298">
      <c r="A3298" s="134" t="str">
        <f>IFERROR(__xludf.DUMMYFUNCTION("""COMPUTED_VALUE"""),"Hilton Head")</f>
        <v>Hilton Head</v>
      </c>
      <c r="B3298" s="120" t="str">
        <f>IFERROR(__xludf.DUMMYFUNCTION("""COMPUTED_VALUE"""),"HHH")</f>
        <v>HHH</v>
      </c>
      <c r="C3298" s="120" t="str">
        <f>IFERROR(__xludf.DUMMYFUNCTION("""COMPUTED_VALUE"""),"Hilton Head")</f>
        <v>Hilton Head</v>
      </c>
      <c r="D3298" s="120" t="str">
        <f>IFERROR(__xludf.DUMMYFUNCTION("""COMPUTED_VALUE"""),"United States")</f>
        <v>United States</v>
      </c>
      <c r="E3298" s="135"/>
      <c r="F3298" s="31"/>
    </row>
    <row r="3299">
      <c r="A3299" s="134" t="str">
        <f>IFERROR(__xludf.DUMMYFUNCTION("""COMPUTED_VALUE"""),"Hinchinbrook Island")</f>
        <v>Hinchinbrook Island</v>
      </c>
      <c r="B3299" s="120" t="str">
        <f>IFERROR(__xludf.DUMMYFUNCTION("""COMPUTED_VALUE"""),"HNK")</f>
        <v>HNK</v>
      </c>
      <c r="C3299" s="120" t="str">
        <f>IFERROR(__xludf.DUMMYFUNCTION("""COMPUTED_VALUE"""),"Hinchinbrook Island")</f>
        <v>Hinchinbrook Island</v>
      </c>
      <c r="D3299" s="120" t="str">
        <f>IFERROR(__xludf.DUMMYFUNCTION("""COMPUTED_VALUE"""),"Australia")</f>
        <v>Australia</v>
      </c>
      <c r="E3299" s="135"/>
      <c r="F3299" s="31"/>
    </row>
    <row r="3300">
      <c r="A3300" s="134" t="str">
        <f>IFERROR(__xludf.DUMMYFUNCTION("""COMPUTED_VALUE"""),"Hinesville")</f>
        <v>Hinesville</v>
      </c>
      <c r="B3300" s="120" t="str">
        <f>IFERROR(__xludf.DUMMYFUNCTION("""COMPUTED_VALUE"""),"LIY")</f>
        <v>LIY</v>
      </c>
      <c r="C3300" s="120" t="str">
        <f>IFERROR(__xludf.DUMMYFUNCTION("""COMPUTED_VALUE"""),"Wright AAF")</f>
        <v>Wright AAF</v>
      </c>
      <c r="D3300" s="120" t="str">
        <f>IFERROR(__xludf.DUMMYFUNCTION("""COMPUTED_VALUE"""),"United States")</f>
        <v>United States</v>
      </c>
      <c r="E3300" s="135"/>
      <c r="F3300" s="31"/>
    </row>
    <row r="3301">
      <c r="A3301" s="134" t="str">
        <f>IFERROR(__xludf.DUMMYFUNCTION("""COMPUTED_VALUE"""),"Hingurakgoda")</f>
        <v>Hingurakgoda</v>
      </c>
      <c r="B3301" s="120" t="str">
        <f>IFERROR(__xludf.DUMMYFUNCTION("""COMPUTED_VALUE"""),"HIM")</f>
        <v>HIM</v>
      </c>
      <c r="C3301" s="120" t="str">
        <f>IFERROR(__xludf.DUMMYFUNCTION("""COMPUTED_VALUE"""),"Hingurakgoda")</f>
        <v>Hingurakgoda</v>
      </c>
      <c r="D3301" s="120" t="str">
        <f>IFERROR(__xludf.DUMMYFUNCTION("""COMPUTED_VALUE"""),"Sri Lanka")</f>
        <v>Sri Lanka</v>
      </c>
      <c r="E3301" s="135"/>
      <c r="F3301" s="31"/>
    </row>
    <row r="3302">
      <c r="A3302" s="134" t="str">
        <f>IFERROR(__xludf.DUMMYFUNCTION("""COMPUTED_VALUE"""),"Hiroshima")</f>
        <v>Hiroshima</v>
      </c>
      <c r="B3302" s="120" t="str">
        <f>IFERROR(__xludf.DUMMYFUNCTION("""COMPUTED_VALUE"""),"HIW")</f>
        <v>HIW</v>
      </c>
      <c r="C3302" s="120" t="str">
        <f>IFERROR(__xludf.DUMMYFUNCTION("""COMPUTED_VALUE"""),"Hiroshima West")</f>
        <v>Hiroshima West</v>
      </c>
      <c r="D3302" s="120" t="str">
        <f>IFERROR(__xludf.DUMMYFUNCTION("""COMPUTED_VALUE"""),"Japan")</f>
        <v>Japan</v>
      </c>
      <c r="E3302" s="135"/>
      <c r="F3302" s="31"/>
    </row>
    <row r="3303">
      <c r="A3303" s="134" t="str">
        <f>IFERROR(__xludf.DUMMYFUNCTION("""COMPUTED_VALUE"""),"Hiroshima")</f>
        <v>Hiroshima</v>
      </c>
      <c r="B3303" s="120" t="str">
        <f>IFERROR(__xludf.DUMMYFUNCTION("""COMPUTED_VALUE"""),"HIJ")</f>
        <v>HIJ</v>
      </c>
      <c r="C3303" s="120" t="str">
        <f>IFERROR(__xludf.DUMMYFUNCTION("""COMPUTED_VALUE"""),"International")</f>
        <v>International</v>
      </c>
      <c r="D3303" s="120" t="str">
        <f>IFERROR(__xludf.DUMMYFUNCTION("""COMPUTED_VALUE"""),"Japan")</f>
        <v>Japan</v>
      </c>
      <c r="E3303" s="135"/>
      <c r="F3303" s="31"/>
    </row>
    <row r="3304">
      <c r="A3304" s="134" t="str">
        <f>IFERROR(__xludf.DUMMYFUNCTION("""COMPUTED_VALUE"""),"Hissar")</f>
        <v>Hissar</v>
      </c>
      <c r="B3304" s="120" t="str">
        <f>IFERROR(__xludf.DUMMYFUNCTION("""COMPUTED_VALUE"""),"HSS")</f>
        <v>HSS</v>
      </c>
      <c r="C3304" s="120" t="str">
        <f>IFERROR(__xludf.DUMMYFUNCTION("""COMPUTED_VALUE"""),"Hissar")</f>
        <v>Hissar</v>
      </c>
      <c r="D3304" s="120" t="str">
        <f>IFERROR(__xludf.DUMMYFUNCTION("""COMPUTED_VALUE"""),"India")</f>
        <v>India</v>
      </c>
      <c r="E3304" s="135"/>
      <c r="F3304" s="31"/>
    </row>
    <row r="3305">
      <c r="A3305" s="134" t="str">
        <f>IFERROR(__xludf.DUMMYFUNCTION("""COMPUTED_VALUE"""),"Hiva Oa")</f>
        <v>Hiva Oa</v>
      </c>
      <c r="B3305" s="120" t="str">
        <f>IFERROR(__xludf.DUMMYFUNCTION("""COMPUTED_VALUE"""),"HIX")</f>
        <v>HIX</v>
      </c>
      <c r="C3305" s="120" t="str">
        <f>IFERROR(__xludf.DUMMYFUNCTION("""COMPUTED_VALUE"""),"Hiva Oa")</f>
        <v>Hiva Oa</v>
      </c>
      <c r="D3305" s="120" t="str">
        <f>IFERROR(__xludf.DUMMYFUNCTION("""COMPUTED_VALUE"""),"French Polynesia")</f>
        <v>French Polynesia</v>
      </c>
      <c r="E3305" s="135"/>
      <c r="F3305" s="31"/>
    </row>
    <row r="3306">
      <c r="A3306" s="134" t="str">
        <f>IFERROR(__xludf.DUMMYFUNCTION("""COMPUTED_VALUE"""),"Hivaro")</f>
        <v>Hivaro</v>
      </c>
      <c r="B3306" s="120" t="str">
        <f>IFERROR(__xludf.DUMMYFUNCTION("""COMPUTED_VALUE"""),"HIT")</f>
        <v>HIT</v>
      </c>
      <c r="C3306" s="120" t="str">
        <f>IFERROR(__xludf.DUMMYFUNCTION("""COMPUTED_VALUE"""),"Hivaro")</f>
        <v>Hivaro</v>
      </c>
      <c r="D3306" s="120" t="str">
        <f>IFERROR(__xludf.DUMMYFUNCTION("""COMPUTED_VALUE"""),"Papua New Guinea")</f>
        <v>Papua New Guinea</v>
      </c>
      <c r="E3306" s="135"/>
      <c r="F3306" s="31"/>
    </row>
    <row r="3307">
      <c r="A3307" s="134" t="str">
        <f>IFERROR(__xludf.DUMMYFUNCTION("""COMPUTED_VALUE"""),"Hjerkinn")</f>
        <v>Hjerkinn</v>
      </c>
      <c r="B3307" s="120" t="str">
        <f>IFERROR(__xludf.DUMMYFUNCTION("""COMPUTED_VALUE"""),"YVH")</f>
        <v>YVH</v>
      </c>
      <c r="C3307" s="120" t="str">
        <f>IFERROR(__xludf.DUMMYFUNCTION("""COMPUTED_VALUE"""),"Railway")</f>
        <v>Railway</v>
      </c>
      <c r="D3307" s="120" t="str">
        <f>IFERROR(__xludf.DUMMYFUNCTION("""COMPUTED_VALUE"""),"Norway")</f>
        <v>Norway</v>
      </c>
      <c r="E3307" s="135"/>
      <c r="F3307" s="31"/>
    </row>
    <row r="3308">
      <c r="A3308" s="134" t="str">
        <f>IFERROR(__xludf.DUMMYFUNCTION("""COMPUTED_VALUE"""),"Hluhluwe")</f>
        <v>Hluhluwe</v>
      </c>
      <c r="B3308" s="120" t="str">
        <f>IFERROR(__xludf.DUMMYFUNCTION("""COMPUTED_VALUE"""),"HLW")</f>
        <v>HLW</v>
      </c>
      <c r="C3308" s="120" t="str">
        <f>IFERROR(__xludf.DUMMYFUNCTION("""COMPUTED_VALUE"""),"Hluhluwe")</f>
        <v>Hluhluwe</v>
      </c>
      <c r="D3308" s="120" t="str">
        <f>IFERROR(__xludf.DUMMYFUNCTION("""COMPUTED_VALUE"""),"South Africa")</f>
        <v>South Africa</v>
      </c>
      <c r="E3308" s="135"/>
      <c r="F3308" s="31"/>
    </row>
    <row r="3309">
      <c r="A3309" s="134" t="str">
        <f>IFERROR(__xludf.DUMMYFUNCTION("""COMPUTED_VALUE"""),"Ho Chi Minh City")</f>
        <v>Ho Chi Minh City</v>
      </c>
      <c r="B3309" s="120" t="str">
        <f>IFERROR(__xludf.DUMMYFUNCTION("""COMPUTED_VALUE"""),"SGN")</f>
        <v>SGN</v>
      </c>
      <c r="C3309" s="120" t="str">
        <f>IFERROR(__xludf.DUMMYFUNCTION("""COMPUTED_VALUE"""),"Tan Son Nhat")</f>
        <v>Tan Son Nhat</v>
      </c>
      <c r="D3309" s="120" t="str">
        <f>IFERROR(__xludf.DUMMYFUNCTION("""COMPUTED_VALUE"""),"Vietnam")</f>
        <v>Vietnam</v>
      </c>
      <c r="E3309" s="135"/>
      <c r="F3309" s="31"/>
    </row>
    <row r="3310">
      <c r="A3310" s="134" t="str">
        <f>IFERROR(__xludf.DUMMYFUNCTION("""COMPUTED_VALUE"""),"Hobart")</f>
        <v>Hobart</v>
      </c>
      <c r="B3310" s="120" t="str">
        <f>IFERROR(__xludf.DUMMYFUNCTION("""COMPUTED_VALUE"""),"HBR")</f>
        <v>HBR</v>
      </c>
      <c r="C3310" s="120" t="str">
        <f>IFERROR(__xludf.DUMMYFUNCTION("""COMPUTED_VALUE"""),"Hobart")</f>
        <v>Hobart</v>
      </c>
      <c r="D3310" s="120" t="str">
        <f>IFERROR(__xludf.DUMMYFUNCTION("""COMPUTED_VALUE"""),"United States")</f>
        <v>United States</v>
      </c>
      <c r="E3310" s="135"/>
      <c r="F3310" s="31"/>
    </row>
    <row r="3311">
      <c r="A3311" s="134" t="str">
        <f>IFERROR(__xludf.DUMMYFUNCTION("""COMPUTED_VALUE"""),"Hobart")</f>
        <v>Hobart</v>
      </c>
      <c r="B3311" s="120" t="str">
        <f>IFERROR(__xludf.DUMMYFUNCTION("""COMPUTED_VALUE"""),"HBA")</f>
        <v>HBA</v>
      </c>
      <c r="C3311" s="120" t="str">
        <f>IFERROR(__xludf.DUMMYFUNCTION("""COMPUTED_VALUE"""),"Hobart")</f>
        <v>Hobart</v>
      </c>
      <c r="D3311" s="120" t="str">
        <f>IFERROR(__xludf.DUMMYFUNCTION("""COMPUTED_VALUE"""),"Australia")</f>
        <v>Australia</v>
      </c>
      <c r="E3311" s="135"/>
      <c r="F3311" s="31"/>
    </row>
    <row r="3312">
      <c r="A3312" s="134" t="str">
        <f>IFERROR(__xludf.DUMMYFUNCTION("""COMPUTED_VALUE"""),"Hobart Bay")</f>
        <v>Hobart Bay</v>
      </c>
      <c r="B3312" s="120" t="str">
        <f>IFERROR(__xludf.DUMMYFUNCTION("""COMPUTED_VALUE"""),"HBH")</f>
        <v>HBH</v>
      </c>
      <c r="C3312" s="120" t="str">
        <f>IFERROR(__xludf.DUMMYFUNCTION("""COMPUTED_VALUE"""),"Hobart Bay")</f>
        <v>Hobart Bay</v>
      </c>
      <c r="D3312" s="120" t="str">
        <f>IFERROR(__xludf.DUMMYFUNCTION("""COMPUTED_VALUE"""),"United States")</f>
        <v>United States</v>
      </c>
      <c r="E3312" s="135"/>
      <c r="F3312" s="31"/>
    </row>
    <row r="3313">
      <c r="A3313" s="134" t="str">
        <f>IFERROR(__xludf.DUMMYFUNCTION("""COMPUTED_VALUE"""),"Hobbs")</f>
        <v>Hobbs</v>
      </c>
      <c r="B3313" s="120" t="str">
        <f>IFERROR(__xludf.DUMMYFUNCTION("""COMPUTED_VALUE"""),"HBB")</f>
        <v>HBB</v>
      </c>
      <c r="C3313" s="120" t="str">
        <f>IFERROR(__xludf.DUMMYFUNCTION("""COMPUTED_VALUE"""),"Industrial Airpark")</f>
        <v>Industrial Airpark</v>
      </c>
      <c r="D3313" s="120" t="str">
        <f>IFERROR(__xludf.DUMMYFUNCTION("""COMPUTED_VALUE"""),"United States")</f>
        <v>United States</v>
      </c>
      <c r="E3313" s="135"/>
      <c r="F3313" s="31"/>
    </row>
    <row r="3314">
      <c r="A3314" s="134" t="str">
        <f>IFERROR(__xludf.DUMMYFUNCTION("""COMPUTED_VALUE"""),"Hobbs")</f>
        <v>Hobbs</v>
      </c>
      <c r="B3314" s="120" t="str">
        <f>IFERROR(__xludf.DUMMYFUNCTION("""COMPUTED_VALUE"""),"HOB")</f>
        <v>HOB</v>
      </c>
      <c r="C3314" s="120" t="str">
        <f>IFERROR(__xludf.DUMMYFUNCTION("""COMPUTED_VALUE"""),"Lea County")</f>
        <v>Lea County</v>
      </c>
      <c r="D3314" s="120" t="str">
        <f>IFERROR(__xludf.DUMMYFUNCTION("""COMPUTED_VALUE"""),"United States")</f>
        <v>United States</v>
      </c>
      <c r="E3314" s="135"/>
      <c r="F3314" s="31"/>
    </row>
    <row r="3315">
      <c r="A3315" s="134" t="str">
        <f>IFERROR(__xludf.DUMMYFUNCTION("""COMPUTED_VALUE"""),"Hodeidah")</f>
        <v>Hodeidah</v>
      </c>
      <c r="B3315" s="120" t="str">
        <f>IFERROR(__xludf.DUMMYFUNCTION("""COMPUTED_VALUE"""),"HOD")</f>
        <v>HOD</v>
      </c>
      <c r="C3315" s="120" t="str">
        <f>IFERROR(__xludf.DUMMYFUNCTION("""COMPUTED_VALUE"""),"Hodeidah Arpt")</f>
        <v>Hodeidah Arpt</v>
      </c>
      <c r="D3315" s="120" t="str">
        <f>IFERROR(__xludf.DUMMYFUNCTION("""COMPUTED_VALUE"""),"Yemen")</f>
        <v>Yemen</v>
      </c>
      <c r="E3315" s="135"/>
      <c r="F3315" s="31"/>
    </row>
    <row r="3316">
      <c r="A3316" s="134" t="str">
        <f>IFERROR(__xludf.DUMMYFUNCTION("""COMPUTED_VALUE"""),"Hoedspruit")</f>
        <v>Hoedspruit</v>
      </c>
      <c r="B3316" s="120" t="str">
        <f>IFERROR(__xludf.DUMMYFUNCTION("""COMPUTED_VALUE"""),"HDS")</f>
        <v>HDS</v>
      </c>
      <c r="C3316" s="120" t="str">
        <f>IFERROR(__xludf.DUMMYFUNCTION("""COMPUTED_VALUE"""),"Hoedspruit Airport")</f>
        <v>Hoedspruit Airport</v>
      </c>
      <c r="D3316" s="120" t="str">
        <f>IFERROR(__xludf.DUMMYFUNCTION("""COMPUTED_VALUE"""),"South Africa")</f>
        <v>South Africa</v>
      </c>
      <c r="E3316" s="135"/>
      <c r="F3316" s="31"/>
    </row>
    <row r="3317">
      <c r="A3317" s="134" t="str">
        <f>IFERROR(__xludf.DUMMYFUNCTION("""COMPUTED_VALUE"""),"Hof")</f>
        <v>Hof</v>
      </c>
      <c r="B3317" s="120" t="str">
        <f>IFERROR(__xludf.DUMMYFUNCTION("""COMPUTED_VALUE"""),"HOQ")</f>
        <v>HOQ</v>
      </c>
      <c r="C3317" s="120" t="str">
        <f>IFERROR(__xludf.DUMMYFUNCTION("""COMPUTED_VALUE"""),"Hof")</f>
        <v>Hof</v>
      </c>
      <c r="D3317" s="120" t="str">
        <f>IFERROR(__xludf.DUMMYFUNCTION("""COMPUTED_VALUE"""),"Germany")</f>
        <v>Germany</v>
      </c>
      <c r="E3317" s="135"/>
      <c r="F3317" s="31"/>
    </row>
    <row r="3318">
      <c r="A3318" s="134" t="str">
        <f>IFERROR(__xludf.DUMMYFUNCTION("""COMPUTED_VALUE"""),"Hoffman")</f>
        <v>Hoffman</v>
      </c>
      <c r="B3318" s="120" t="str">
        <f>IFERROR(__xludf.DUMMYFUNCTION("""COMPUTED_VALUE"""),"HFF")</f>
        <v>HFF</v>
      </c>
      <c r="C3318" s="120" t="str">
        <f>IFERROR(__xludf.DUMMYFUNCTION("""COMPUTED_VALUE"""),"Mackall AAF")</f>
        <v>Mackall AAF</v>
      </c>
      <c r="D3318" s="120" t="str">
        <f>IFERROR(__xludf.DUMMYFUNCTION("""COMPUTED_VALUE"""),"United States")</f>
        <v>United States</v>
      </c>
      <c r="E3318" s="135"/>
      <c r="F3318" s="31"/>
    </row>
    <row r="3319">
      <c r="A3319" s="134" t="str">
        <f>IFERROR(__xludf.DUMMYFUNCTION("""COMPUTED_VALUE"""),"Hogatza")</f>
        <v>Hogatza</v>
      </c>
      <c r="B3319" s="120" t="str">
        <f>IFERROR(__xludf.DUMMYFUNCTION("""COMPUTED_VALUE"""),"HGZ")</f>
        <v>HGZ</v>
      </c>
      <c r="C3319" s="120" t="str">
        <f>IFERROR(__xludf.DUMMYFUNCTION("""COMPUTED_VALUE"""),"Hogatza")</f>
        <v>Hogatza</v>
      </c>
      <c r="D3319" s="120" t="str">
        <f>IFERROR(__xludf.DUMMYFUNCTION("""COMPUTED_VALUE"""),"United States")</f>
        <v>United States</v>
      </c>
      <c r="E3319" s="135"/>
      <c r="F3319" s="31"/>
    </row>
    <row r="3320">
      <c r="A3320" s="134" t="str">
        <f>IFERROR(__xludf.DUMMYFUNCTION("""COMPUTED_VALUE"""),"Hohenems")</f>
        <v>Hohenems</v>
      </c>
      <c r="B3320" s="120" t="str">
        <f>IFERROR(__xludf.DUMMYFUNCTION("""COMPUTED_VALUE"""),"HOH")</f>
        <v>HOH</v>
      </c>
      <c r="C3320" s="120" t="str">
        <f>IFERROR(__xludf.DUMMYFUNCTION("""COMPUTED_VALUE"""),"Hohenems")</f>
        <v>Hohenems</v>
      </c>
      <c r="D3320" s="120" t="str">
        <f>IFERROR(__xludf.DUMMYFUNCTION("""COMPUTED_VALUE"""),"Austria")</f>
        <v>Austria</v>
      </c>
      <c r="E3320" s="135"/>
      <c r="F3320" s="31"/>
    </row>
    <row r="3321">
      <c r="A3321" s="134" t="str">
        <f>IFERROR(__xludf.DUMMYFUNCTION("""COMPUTED_VALUE"""),"Hohhot")</f>
        <v>Hohhot</v>
      </c>
      <c r="B3321" s="120" t="str">
        <f>IFERROR(__xludf.DUMMYFUNCTION("""COMPUTED_VALUE"""),"HET")</f>
        <v>HET</v>
      </c>
      <c r="C3321" s="120" t="str">
        <f>IFERROR(__xludf.DUMMYFUNCTION("""COMPUTED_VALUE"""),"Hohhot")</f>
        <v>Hohhot</v>
      </c>
      <c r="D3321" s="120" t="str">
        <f>IFERROR(__xludf.DUMMYFUNCTION("""COMPUTED_VALUE"""),"China")</f>
        <v>China</v>
      </c>
      <c r="E3321" s="135"/>
      <c r="F3321" s="31"/>
    </row>
    <row r="3322">
      <c r="A3322" s="134" t="str">
        <f>IFERROR(__xludf.DUMMYFUNCTION("""COMPUTED_VALUE"""),"Hokitika")</f>
        <v>Hokitika</v>
      </c>
      <c r="B3322" s="120" t="str">
        <f>IFERROR(__xludf.DUMMYFUNCTION("""COMPUTED_VALUE"""),"HKK")</f>
        <v>HKK</v>
      </c>
      <c r="C3322" s="120" t="str">
        <f>IFERROR(__xludf.DUMMYFUNCTION("""COMPUTED_VALUE"""),"Hokitika Arpt")</f>
        <v>Hokitika Arpt</v>
      </c>
      <c r="D3322" s="120" t="str">
        <f>IFERROR(__xludf.DUMMYFUNCTION("""COMPUTED_VALUE"""),"New Zealand (Aotearoa)")</f>
        <v>New Zealand (Aotearoa)</v>
      </c>
      <c r="E3322" s="135"/>
      <c r="F3322" s="31"/>
    </row>
    <row r="3323">
      <c r="A3323" s="134" t="str">
        <f>IFERROR(__xludf.DUMMYFUNCTION("""COMPUTED_VALUE"""),"Hola")</f>
        <v>Hola</v>
      </c>
      <c r="B3323" s="120" t="str">
        <f>IFERROR(__xludf.DUMMYFUNCTION("""COMPUTED_VALUE"""),"HOA")</f>
        <v>HOA</v>
      </c>
      <c r="C3323" s="120" t="str">
        <f>IFERROR(__xludf.DUMMYFUNCTION("""COMPUTED_VALUE"""),"Hola")</f>
        <v>Hola</v>
      </c>
      <c r="D3323" s="120" t="str">
        <f>IFERROR(__xludf.DUMMYFUNCTION("""COMPUTED_VALUE"""),"Kenya")</f>
        <v>Kenya</v>
      </c>
      <c r="E3323" s="135"/>
      <c r="F3323" s="31"/>
    </row>
    <row r="3324">
      <c r="A3324" s="134" t="str">
        <f>IFERROR(__xludf.DUMMYFUNCTION("""COMPUTED_VALUE"""),"Holdrege")</f>
        <v>Holdrege</v>
      </c>
      <c r="B3324" s="120" t="str">
        <f>IFERROR(__xludf.DUMMYFUNCTION("""COMPUTED_VALUE"""),"HDE")</f>
        <v>HDE</v>
      </c>
      <c r="C3324" s="120" t="str">
        <f>IFERROR(__xludf.DUMMYFUNCTION("""COMPUTED_VALUE"""),"Brewster Field")</f>
        <v>Brewster Field</v>
      </c>
      <c r="D3324" s="120" t="str">
        <f>IFERROR(__xludf.DUMMYFUNCTION("""COMPUTED_VALUE"""),"United States")</f>
        <v>United States</v>
      </c>
      <c r="E3324" s="135"/>
      <c r="F3324" s="31"/>
    </row>
    <row r="3325">
      <c r="A3325" s="134" t="str">
        <f>IFERROR(__xludf.DUMMYFUNCTION("""COMPUTED_VALUE"""),"Holguin")</f>
        <v>Holguin</v>
      </c>
      <c r="B3325" s="120" t="str">
        <f>IFERROR(__xludf.DUMMYFUNCTION("""COMPUTED_VALUE"""),"HOG")</f>
        <v>HOG</v>
      </c>
      <c r="C3325" s="120" t="str">
        <f>IFERROR(__xludf.DUMMYFUNCTION("""COMPUTED_VALUE"""),"Frank Pais")</f>
        <v>Frank Pais</v>
      </c>
      <c r="D3325" s="120" t="str">
        <f>IFERROR(__xludf.DUMMYFUNCTION("""COMPUTED_VALUE"""),"Cuba")</f>
        <v>Cuba</v>
      </c>
      <c r="E3325" s="135"/>
      <c r="F3325" s="31"/>
    </row>
    <row r="3326">
      <c r="A3326" s="134" t="str">
        <f>IFERROR(__xludf.DUMMYFUNCTION("""COMPUTED_VALUE"""),"Holikachu")</f>
        <v>Holikachu</v>
      </c>
      <c r="B3326" s="120" t="str">
        <f>IFERROR(__xludf.DUMMYFUNCTION("""COMPUTED_VALUE"""),"HOL")</f>
        <v>HOL</v>
      </c>
      <c r="C3326" s="120" t="str">
        <f>IFERROR(__xludf.DUMMYFUNCTION("""COMPUTED_VALUE"""),"Holikachu")</f>
        <v>Holikachu</v>
      </c>
      <c r="D3326" s="120" t="str">
        <f>IFERROR(__xludf.DUMMYFUNCTION("""COMPUTED_VALUE"""),"United States")</f>
        <v>United States</v>
      </c>
      <c r="E3326" s="135"/>
      <c r="F3326" s="31"/>
    </row>
    <row r="3327">
      <c r="A3327" s="134" t="str">
        <f>IFERROR(__xludf.DUMMYFUNCTION("""COMPUTED_VALUE"""),"Holland")</f>
        <v>Holland</v>
      </c>
      <c r="B3327" s="120" t="str">
        <f>IFERROR(__xludf.DUMMYFUNCTION("""COMPUTED_VALUE"""),"HLM")</f>
        <v>HLM</v>
      </c>
      <c r="C3327" s="120" t="str">
        <f>IFERROR(__xludf.DUMMYFUNCTION("""COMPUTED_VALUE"""),"Park Township")</f>
        <v>Park Township</v>
      </c>
      <c r="D3327" s="120" t="str">
        <f>IFERROR(__xludf.DUMMYFUNCTION("""COMPUTED_VALUE"""),"United States")</f>
        <v>United States</v>
      </c>
      <c r="E3327" s="135"/>
      <c r="F3327" s="31"/>
    </row>
    <row r="3328">
      <c r="A3328" s="134" t="str">
        <f>IFERROR(__xludf.DUMMYFUNCTION("""COMPUTED_VALUE"""),"Hollis")</f>
        <v>Hollis</v>
      </c>
      <c r="B3328" s="120" t="str">
        <f>IFERROR(__xludf.DUMMYFUNCTION("""COMPUTED_VALUE"""),"HYL")</f>
        <v>HYL</v>
      </c>
      <c r="C3328" s="120" t="str">
        <f>IFERROR(__xludf.DUMMYFUNCTION("""COMPUTED_VALUE"""),"SPB")</f>
        <v>SPB</v>
      </c>
      <c r="D3328" s="120" t="str">
        <f>IFERROR(__xludf.DUMMYFUNCTION("""COMPUTED_VALUE"""),"United States")</f>
        <v>United States</v>
      </c>
      <c r="E3328" s="135"/>
      <c r="F3328" s="31"/>
    </row>
    <row r="3329">
      <c r="A3329" s="134" t="str">
        <f>IFERROR(__xludf.DUMMYFUNCTION("""COMPUTED_VALUE"""),"Hollister")</f>
        <v>Hollister</v>
      </c>
      <c r="B3329" s="120" t="str">
        <f>IFERROR(__xludf.DUMMYFUNCTION("""COMPUTED_VALUE"""),"HLI")</f>
        <v>HLI</v>
      </c>
      <c r="C3329" s="120" t="str">
        <f>IFERROR(__xludf.DUMMYFUNCTION("""COMPUTED_VALUE"""),"Hollister")</f>
        <v>Hollister</v>
      </c>
      <c r="D3329" s="120" t="str">
        <f>IFERROR(__xludf.DUMMYFUNCTION("""COMPUTED_VALUE"""),"United States")</f>
        <v>United States</v>
      </c>
      <c r="E3329" s="135"/>
      <c r="F3329" s="31"/>
    </row>
    <row r="3330">
      <c r="A3330" s="134" t="str">
        <f>IFERROR(__xludf.DUMMYFUNCTION("""COMPUTED_VALUE"""),"Hollywood")</f>
        <v>Hollywood</v>
      </c>
      <c r="B3330" s="120" t="str">
        <f>IFERROR(__xludf.DUMMYFUNCTION("""COMPUTED_VALUE"""),"HWO")</f>
        <v>HWO</v>
      </c>
      <c r="C3330" s="120" t="str">
        <f>IFERROR(__xludf.DUMMYFUNCTION("""COMPUTED_VALUE"""),"North Perry")</f>
        <v>North Perry</v>
      </c>
      <c r="D3330" s="120" t="str">
        <f>IFERROR(__xludf.DUMMYFUNCTION("""COMPUTED_VALUE"""),"United States")</f>
        <v>United States</v>
      </c>
      <c r="E3330" s="135"/>
      <c r="F3330" s="31"/>
    </row>
    <row r="3331">
      <c r="A3331" s="134" t="str">
        <f>IFERROR(__xludf.DUMMYFUNCTION("""COMPUTED_VALUE"""),"Holman")</f>
        <v>Holman</v>
      </c>
      <c r="B3331" s="120" t="str">
        <f>IFERROR(__xludf.DUMMYFUNCTION("""COMPUTED_VALUE"""),"YHI")</f>
        <v>YHI</v>
      </c>
      <c r="C3331" s="120" t="str">
        <f>IFERROR(__xludf.DUMMYFUNCTION("""COMPUTED_VALUE"""),"Holman")</f>
        <v>Holman</v>
      </c>
      <c r="D3331" s="120" t="str">
        <f>IFERROR(__xludf.DUMMYFUNCTION("""COMPUTED_VALUE"""),"Canada")</f>
        <v>Canada</v>
      </c>
      <c r="E3331" s="135"/>
      <c r="F3331" s="31"/>
    </row>
    <row r="3332">
      <c r="A3332" s="134" t="str">
        <f>IFERROR(__xludf.DUMMYFUNCTION("""COMPUTED_VALUE"""),"Holmavik")</f>
        <v>Holmavik</v>
      </c>
      <c r="B3332" s="120" t="str">
        <f>IFERROR(__xludf.DUMMYFUNCTION("""COMPUTED_VALUE"""),"HVK")</f>
        <v>HVK</v>
      </c>
      <c r="C3332" s="120" t="str">
        <f>IFERROR(__xludf.DUMMYFUNCTION("""COMPUTED_VALUE"""),"Holmavik")</f>
        <v>Holmavik</v>
      </c>
      <c r="D3332" s="120" t="str">
        <f>IFERROR(__xludf.DUMMYFUNCTION("""COMPUTED_VALUE"""),"Iceland")</f>
        <v>Iceland</v>
      </c>
      <c r="E3332" s="135"/>
      <c r="F3332" s="31"/>
    </row>
    <row r="3333">
      <c r="A3333" s="134" t="str">
        <f>IFERROR(__xludf.DUMMYFUNCTION("""COMPUTED_VALUE"""),"Holmestrand")</f>
        <v>Holmestrand</v>
      </c>
      <c r="B3333" s="120" t="str">
        <f>IFERROR(__xludf.DUMMYFUNCTION("""COMPUTED_VALUE"""),"XUG")</f>
        <v>XUG</v>
      </c>
      <c r="C3333" s="120" t="str">
        <f>IFERROR(__xludf.DUMMYFUNCTION("""COMPUTED_VALUE"""),"Holmestrand Railway")</f>
        <v>Holmestrand Railway</v>
      </c>
      <c r="D3333" s="120" t="str">
        <f>IFERROR(__xludf.DUMMYFUNCTION("""COMPUTED_VALUE"""),"Norway")</f>
        <v>Norway</v>
      </c>
      <c r="E3333" s="135"/>
      <c r="F3333" s="31"/>
    </row>
    <row r="3334">
      <c r="A3334" s="134" t="str">
        <f>IFERROR(__xludf.DUMMYFUNCTION("""COMPUTED_VALUE"""),"Holy Cross")</f>
        <v>Holy Cross</v>
      </c>
      <c r="B3334" s="120" t="str">
        <f>IFERROR(__xludf.DUMMYFUNCTION("""COMPUTED_VALUE"""),"HCR")</f>
        <v>HCR</v>
      </c>
      <c r="C3334" s="120" t="str">
        <f>IFERROR(__xludf.DUMMYFUNCTION("""COMPUTED_VALUE"""),"Holy Cross")</f>
        <v>Holy Cross</v>
      </c>
      <c r="D3334" s="120" t="str">
        <f>IFERROR(__xludf.DUMMYFUNCTION("""COMPUTED_VALUE"""),"United States")</f>
        <v>United States</v>
      </c>
      <c r="E3334" s="135"/>
      <c r="F3334" s="31"/>
    </row>
    <row r="3335">
      <c r="A3335" s="134" t="str">
        <f>IFERROR(__xludf.DUMMYFUNCTION("""COMPUTED_VALUE"""),"Holyhead")</f>
        <v>Holyhead</v>
      </c>
      <c r="B3335" s="120" t="str">
        <f>IFERROR(__xludf.DUMMYFUNCTION("""COMPUTED_VALUE"""),"HLY")</f>
        <v>HLY</v>
      </c>
      <c r="C3335" s="120" t="str">
        <f>IFERROR(__xludf.DUMMYFUNCTION("""COMPUTED_VALUE"""),"Holyhead")</f>
        <v>Holyhead</v>
      </c>
      <c r="D3335" s="120" t="str">
        <f>IFERROR(__xludf.DUMMYFUNCTION("""COMPUTED_VALUE"""),"United Kingdom")</f>
        <v>United Kingdom</v>
      </c>
      <c r="E3335" s="135"/>
      <c r="F3335" s="31"/>
    </row>
    <row r="3336">
      <c r="A3336" s="134" t="str">
        <f>IFERROR(__xludf.DUMMYFUNCTION("""COMPUTED_VALUE"""),"Homalin")</f>
        <v>Homalin</v>
      </c>
      <c r="B3336" s="120" t="str">
        <f>IFERROR(__xludf.DUMMYFUNCTION("""COMPUTED_VALUE"""),"HOX")</f>
        <v>HOX</v>
      </c>
      <c r="C3336" s="120" t="str">
        <f>IFERROR(__xludf.DUMMYFUNCTION("""COMPUTED_VALUE"""),"Homalin")</f>
        <v>Homalin</v>
      </c>
      <c r="D3336" s="120" t="str">
        <f>IFERROR(__xludf.DUMMYFUNCTION("""COMPUTED_VALUE"""),"Myanmar")</f>
        <v>Myanmar</v>
      </c>
      <c r="E3336" s="135"/>
      <c r="F3336" s="31"/>
    </row>
    <row r="3337">
      <c r="A3337" s="134" t="str">
        <f>IFERROR(__xludf.DUMMYFUNCTION("""COMPUTED_VALUE"""),"Homer")</f>
        <v>Homer</v>
      </c>
      <c r="B3337" s="120" t="str">
        <f>IFERROR(__xludf.DUMMYFUNCTION("""COMPUTED_VALUE"""),"HOM")</f>
        <v>HOM</v>
      </c>
      <c r="C3337" s="120" t="str">
        <f>IFERROR(__xludf.DUMMYFUNCTION("""COMPUTED_VALUE"""),"Homer")</f>
        <v>Homer</v>
      </c>
      <c r="D3337" s="120" t="str">
        <f>IFERROR(__xludf.DUMMYFUNCTION("""COMPUTED_VALUE"""),"United States")</f>
        <v>United States</v>
      </c>
      <c r="E3337" s="135"/>
      <c r="F3337" s="31"/>
    </row>
    <row r="3338">
      <c r="A3338" s="134" t="str">
        <f>IFERROR(__xludf.DUMMYFUNCTION("""COMPUTED_VALUE"""),"Homeshore")</f>
        <v>Homeshore</v>
      </c>
      <c r="B3338" s="120" t="str">
        <f>IFERROR(__xludf.DUMMYFUNCTION("""COMPUTED_VALUE"""),"HMS")</f>
        <v>HMS</v>
      </c>
      <c r="C3338" s="120" t="str">
        <f>IFERROR(__xludf.DUMMYFUNCTION("""COMPUTED_VALUE"""),"Homeshore")</f>
        <v>Homeshore</v>
      </c>
      <c r="D3338" s="120" t="str">
        <f>IFERROR(__xludf.DUMMYFUNCTION("""COMPUTED_VALUE"""),"United States")</f>
        <v>United States</v>
      </c>
      <c r="E3338" s="135"/>
      <c r="F3338" s="31"/>
    </row>
    <row r="3339">
      <c r="A3339" s="134" t="str">
        <f>IFERROR(__xludf.DUMMYFUNCTION("""COMPUTED_VALUE"""),"Homestead")</f>
        <v>Homestead</v>
      </c>
      <c r="B3339" s="120" t="str">
        <f>IFERROR(__xludf.DUMMYFUNCTION("""COMPUTED_VALUE"""),"HST")</f>
        <v>HST</v>
      </c>
      <c r="C3339" s="120" t="str">
        <f>IFERROR(__xludf.DUMMYFUNCTION("""COMPUTED_VALUE"""),"AFB")</f>
        <v>AFB</v>
      </c>
      <c r="D3339" s="120" t="str">
        <f>IFERROR(__xludf.DUMMYFUNCTION("""COMPUTED_VALUE"""),"United States")</f>
        <v>United States</v>
      </c>
      <c r="E3339" s="135"/>
      <c r="F3339" s="31"/>
    </row>
    <row r="3340">
      <c r="A3340" s="134" t="str">
        <f>IFERROR(__xludf.DUMMYFUNCTION("""COMPUTED_VALUE"""),"Honefoss")</f>
        <v>Honefoss</v>
      </c>
      <c r="B3340" s="120" t="str">
        <f>IFERROR(__xludf.DUMMYFUNCTION("""COMPUTED_VALUE"""),"XHF")</f>
        <v>XHF</v>
      </c>
      <c r="C3340" s="120" t="str">
        <f>IFERROR(__xludf.DUMMYFUNCTION("""COMPUTED_VALUE"""),"Honefoss Rail Stn.")</f>
        <v>Honefoss Rail Stn.</v>
      </c>
      <c r="D3340" s="120" t="str">
        <f>IFERROR(__xludf.DUMMYFUNCTION("""COMPUTED_VALUE"""),"Norway")</f>
        <v>Norway</v>
      </c>
      <c r="E3340" s="135"/>
      <c r="F3340" s="31"/>
    </row>
    <row r="3341">
      <c r="A3341" s="134" t="str">
        <f>IFERROR(__xludf.DUMMYFUNCTION("""COMPUTED_VALUE"""),"Hong Kong")</f>
        <v>Hong Kong</v>
      </c>
      <c r="B3341" s="120" t="str">
        <f>IFERROR(__xludf.DUMMYFUNCTION("""COMPUTED_VALUE"""),"HHP")</f>
        <v>HHP</v>
      </c>
      <c r="C3341" s="120" t="str">
        <f>IFERROR(__xludf.DUMMYFUNCTION("""COMPUTED_VALUE"""),"H K Heliport")</f>
        <v>H K Heliport</v>
      </c>
      <c r="D3341" s="120" t="str">
        <f>IFERROR(__xludf.DUMMYFUNCTION("""COMPUTED_VALUE"""),"Hong Kong")</f>
        <v>Hong Kong</v>
      </c>
      <c r="E3341" s="135"/>
      <c r="F3341" s="31"/>
    </row>
    <row r="3342">
      <c r="A3342" s="134" t="str">
        <f>IFERROR(__xludf.DUMMYFUNCTION("""COMPUTED_VALUE"""),"Honiara")</f>
        <v>Honiara</v>
      </c>
      <c r="B3342" s="120" t="str">
        <f>IFERROR(__xludf.DUMMYFUNCTION("""COMPUTED_VALUE"""),"HIR")</f>
        <v>HIR</v>
      </c>
      <c r="C3342" s="120" t="str">
        <f>IFERROR(__xludf.DUMMYFUNCTION("""COMPUTED_VALUE"""),"Henderson Intl")</f>
        <v>Henderson Intl</v>
      </c>
      <c r="D3342" s="120" t="str">
        <f>IFERROR(__xludf.DUMMYFUNCTION("""COMPUTED_VALUE"""),"Solomon Islands")</f>
        <v>Solomon Islands</v>
      </c>
      <c r="E3342" s="135"/>
      <c r="F3342" s="31"/>
    </row>
    <row r="3343">
      <c r="A3343" s="134" t="str">
        <f>IFERROR(__xludf.DUMMYFUNCTION("""COMPUTED_VALUE"""),"Honinabi")</f>
        <v>Honinabi</v>
      </c>
      <c r="B3343" s="120" t="str">
        <f>IFERROR(__xludf.DUMMYFUNCTION("""COMPUTED_VALUE"""),"HNN")</f>
        <v>HNN</v>
      </c>
      <c r="C3343" s="120" t="str">
        <f>IFERROR(__xludf.DUMMYFUNCTION("""COMPUTED_VALUE"""),"Honinabi")</f>
        <v>Honinabi</v>
      </c>
      <c r="D3343" s="120" t="str">
        <f>IFERROR(__xludf.DUMMYFUNCTION("""COMPUTED_VALUE"""),"Papua New Guinea")</f>
        <v>Papua New Guinea</v>
      </c>
      <c r="E3343" s="135"/>
      <c r="F3343" s="31"/>
    </row>
    <row r="3344">
      <c r="A3344" s="134" t="str">
        <f>IFERROR(__xludf.DUMMYFUNCTION("""COMPUTED_VALUE"""),"Honningsvag")</f>
        <v>Honningsvag</v>
      </c>
      <c r="B3344" s="120" t="str">
        <f>IFERROR(__xludf.DUMMYFUNCTION("""COMPUTED_VALUE"""),"HVG")</f>
        <v>HVG</v>
      </c>
      <c r="C3344" s="120" t="str">
        <f>IFERROR(__xludf.DUMMYFUNCTION("""COMPUTED_VALUE"""),"Valan")</f>
        <v>Valan</v>
      </c>
      <c r="D3344" s="120" t="str">
        <f>IFERROR(__xludf.DUMMYFUNCTION("""COMPUTED_VALUE"""),"Norway")</f>
        <v>Norway</v>
      </c>
      <c r="E3344" s="135"/>
      <c r="F3344" s="31"/>
    </row>
    <row r="3345">
      <c r="A3345" s="134" t="str">
        <f>IFERROR(__xludf.DUMMYFUNCTION("""COMPUTED_VALUE"""),"Honolulu")</f>
        <v>Honolulu</v>
      </c>
      <c r="B3345" s="120" t="str">
        <f>IFERROR(__xludf.DUMMYFUNCTION("""COMPUTED_VALUE"""),"HIK")</f>
        <v>HIK</v>
      </c>
      <c r="C3345" s="120" t="str">
        <f>IFERROR(__xludf.DUMMYFUNCTION("""COMPUTED_VALUE"""),"Hickam AFB")</f>
        <v>Hickam AFB</v>
      </c>
      <c r="D3345" s="120" t="str">
        <f>IFERROR(__xludf.DUMMYFUNCTION("""COMPUTED_VALUE"""),"United States")</f>
        <v>United States</v>
      </c>
      <c r="E3345" s="135"/>
      <c r="F3345" s="31"/>
    </row>
    <row r="3346">
      <c r="A3346" s="134" t="str">
        <f>IFERROR(__xludf.DUMMYFUNCTION("""COMPUTED_VALUE"""),"Honolulu")</f>
        <v>Honolulu</v>
      </c>
      <c r="B3346" s="120" t="str">
        <f>IFERROR(__xludf.DUMMYFUNCTION("""COMPUTED_VALUE"""),"HNL")</f>
        <v>HNL</v>
      </c>
      <c r="C3346" s="120" t="str">
        <f>IFERROR(__xludf.DUMMYFUNCTION("""COMPUTED_VALUE"""),"International")</f>
        <v>International</v>
      </c>
      <c r="D3346" s="120" t="str">
        <f>IFERROR(__xludf.DUMMYFUNCTION("""COMPUTED_VALUE"""),"United States")</f>
        <v>United States</v>
      </c>
      <c r="E3346" s="135"/>
      <c r="F3346" s="31"/>
    </row>
    <row r="3347">
      <c r="A3347" s="134" t="str">
        <f>IFERROR(__xludf.DUMMYFUNCTION("""COMPUTED_VALUE"""),"Hook Island")</f>
        <v>Hook Island</v>
      </c>
      <c r="B3347" s="120" t="str">
        <f>IFERROR(__xludf.DUMMYFUNCTION("""COMPUTED_VALUE"""),"HIH")</f>
        <v>HIH</v>
      </c>
      <c r="C3347" s="120" t="str">
        <f>IFERROR(__xludf.DUMMYFUNCTION("""COMPUTED_VALUE"""),"Hook Island")</f>
        <v>Hook Island</v>
      </c>
      <c r="D3347" s="120" t="str">
        <f>IFERROR(__xludf.DUMMYFUNCTION("""COMPUTED_VALUE"""),"Australia")</f>
        <v>Australia</v>
      </c>
      <c r="E3347" s="135"/>
      <c r="F3347" s="31"/>
    </row>
    <row r="3348">
      <c r="A3348" s="134" t="str">
        <f>IFERROR(__xludf.DUMMYFUNCTION("""COMPUTED_VALUE"""),"Hooker Creek")</f>
        <v>Hooker Creek</v>
      </c>
      <c r="B3348" s="120" t="str">
        <f>IFERROR(__xludf.DUMMYFUNCTION("""COMPUTED_VALUE"""),"HOK")</f>
        <v>HOK</v>
      </c>
      <c r="C3348" s="120" t="str">
        <f>IFERROR(__xludf.DUMMYFUNCTION("""COMPUTED_VALUE"""),"Hooker Creek")</f>
        <v>Hooker Creek</v>
      </c>
      <c r="D3348" s="120" t="str">
        <f>IFERROR(__xludf.DUMMYFUNCTION("""COMPUTED_VALUE"""),"Australia")</f>
        <v>Australia</v>
      </c>
      <c r="E3348" s="135"/>
      <c r="F3348" s="31"/>
    </row>
    <row r="3349">
      <c r="A3349" s="134" t="str">
        <f>IFERROR(__xludf.DUMMYFUNCTION("""COMPUTED_VALUE"""),"Hoolehua")</f>
        <v>Hoolehua</v>
      </c>
      <c r="B3349" s="120" t="str">
        <f>IFERROR(__xludf.DUMMYFUNCTION("""COMPUTED_VALUE"""),"MKK")</f>
        <v>MKK</v>
      </c>
      <c r="C3349" s="120" t="str">
        <f>IFERROR(__xludf.DUMMYFUNCTION("""COMPUTED_VALUE"""),"Molokai")</f>
        <v>Molokai</v>
      </c>
      <c r="D3349" s="120" t="str">
        <f>IFERROR(__xludf.DUMMYFUNCTION("""COMPUTED_VALUE"""),"United States")</f>
        <v>United States</v>
      </c>
      <c r="E3349" s="135"/>
      <c r="F3349" s="31"/>
    </row>
    <row r="3350">
      <c r="A3350" s="134" t="str">
        <f>IFERROR(__xludf.DUMMYFUNCTION("""COMPUTED_VALUE"""),"Hoonah")</f>
        <v>Hoonah</v>
      </c>
      <c r="B3350" s="120" t="str">
        <f>IFERROR(__xludf.DUMMYFUNCTION("""COMPUTED_VALUE"""),"HNH")</f>
        <v>HNH</v>
      </c>
      <c r="C3350" s="120" t="str">
        <f>IFERROR(__xludf.DUMMYFUNCTION("""COMPUTED_VALUE"""),"Hoonah")</f>
        <v>Hoonah</v>
      </c>
      <c r="D3350" s="120" t="str">
        <f>IFERROR(__xludf.DUMMYFUNCTION("""COMPUTED_VALUE"""),"United States")</f>
        <v>United States</v>
      </c>
      <c r="E3350" s="135"/>
      <c r="F3350" s="31"/>
    </row>
    <row r="3351">
      <c r="A3351" s="134" t="str">
        <f>IFERROR(__xludf.DUMMYFUNCTION("""COMPUTED_VALUE"""),"Hooper Bay")</f>
        <v>Hooper Bay</v>
      </c>
      <c r="B3351" s="120" t="str">
        <f>IFERROR(__xludf.DUMMYFUNCTION("""COMPUTED_VALUE"""),"HPB")</f>
        <v>HPB</v>
      </c>
      <c r="C3351" s="120" t="str">
        <f>IFERROR(__xludf.DUMMYFUNCTION("""COMPUTED_VALUE"""),"Hooper Bay")</f>
        <v>Hooper Bay</v>
      </c>
      <c r="D3351" s="120" t="str">
        <f>IFERROR(__xludf.DUMMYFUNCTION("""COMPUTED_VALUE"""),"United States")</f>
        <v>United States</v>
      </c>
      <c r="E3351" s="135"/>
      <c r="F3351" s="31"/>
    </row>
    <row r="3352">
      <c r="A3352" s="134" t="str">
        <f>IFERROR(__xludf.DUMMYFUNCTION("""COMPUTED_VALUE"""),"Hope")</f>
        <v>Hope</v>
      </c>
      <c r="B3352" s="120" t="str">
        <f>IFERROR(__xludf.DUMMYFUNCTION("""COMPUTED_VALUE"""),"YHE")</f>
        <v>YHE</v>
      </c>
      <c r="C3352" s="120" t="str">
        <f>IFERROR(__xludf.DUMMYFUNCTION("""COMPUTED_VALUE"""),"Hope")</f>
        <v>Hope</v>
      </c>
      <c r="D3352" s="120" t="str">
        <f>IFERROR(__xludf.DUMMYFUNCTION("""COMPUTED_VALUE"""),"Canada")</f>
        <v>Canada</v>
      </c>
      <c r="E3352" s="135"/>
      <c r="F3352" s="31"/>
    </row>
    <row r="3353">
      <c r="A3353" s="134" t="str">
        <f>IFERROR(__xludf.DUMMYFUNCTION("""COMPUTED_VALUE"""),"Hope Vale")</f>
        <v>Hope Vale</v>
      </c>
      <c r="B3353" s="120" t="str">
        <f>IFERROR(__xludf.DUMMYFUNCTION("""COMPUTED_VALUE"""),"HPE")</f>
        <v>HPE</v>
      </c>
      <c r="C3353" s="120" t="str">
        <f>IFERROR(__xludf.DUMMYFUNCTION("""COMPUTED_VALUE"""),"Hope Vale")</f>
        <v>Hope Vale</v>
      </c>
      <c r="D3353" s="120" t="str">
        <f>IFERROR(__xludf.DUMMYFUNCTION("""COMPUTED_VALUE"""),"Australia")</f>
        <v>Australia</v>
      </c>
      <c r="E3353" s="135"/>
      <c r="F3353" s="31"/>
    </row>
    <row r="3354">
      <c r="A3354" s="134" t="str">
        <f>IFERROR(__xludf.DUMMYFUNCTION("""COMPUTED_VALUE"""),"Hopedale")</f>
        <v>Hopedale</v>
      </c>
      <c r="B3354" s="120" t="str">
        <f>IFERROR(__xludf.DUMMYFUNCTION("""COMPUTED_VALUE"""),"YHO")</f>
        <v>YHO</v>
      </c>
      <c r="C3354" s="120" t="str">
        <f>IFERROR(__xludf.DUMMYFUNCTION("""COMPUTED_VALUE"""),"Hopedale")</f>
        <v>Hopedale</v>
      </c>
      <c r="D3354" s="120" t="str">
        <f>IFERROR(__xludf.DUMMYFUNCTION("""COMPUTED_VALUE"""),"Canada")</f>
        <v>Canada</v>
      </c>
      <c r="E3354" s="135"/>
      <c r="F3354" s="31"/>
    </row>
    <row r="3355">
      <c r="A3355" s="134" t="str">
        <f>IFERROR(__xludf.DUMMYFUNCTION("""COMPUTED_VALUE"""),"Hopetoun")</f>
        <v>Hopetoun</v>
      </c>
      <c r="B3355" s="120" t="str">
        <f>IFERROR(__xludf.DUMMYFUNCTION("""COMPUTED_VALUE"""),"HTU")</f>
        <v>HTU</v>
      </c>
      <c r="C3355" s="120" t="str">
        <f>IFERROR(__xludf.DUMMYFUNCTION("""COMPUTED_VALUE"""),"Hopetoun")</f>
        <v>Hopetoun</v>
      </c>
      <c r="D3355" s="120" t="str">
        <f>IFERROR(__xludf.DUMMYFUNCTION("""COMPUTED_VALUE"""),"Australia")</f>
        <v>Australia</v>
      </c>
      <c r="E3355" s="135"/>
      <c r="F3355" s="31"/>
    </row>
    <row r="3356">
      <c r="A3356" s="134" t="str">
        <f>IFERROR(__xludf.DUMMYFUNCTION("""COMPUTED_VALUE"""),"Hopkinsville")</f>
        <v>Hopkinsville</v>
      </c>
      <c r="B3356" s="120" t="str">
        <f>IFERROR(__xludf.DUMMYFUNCTION("""COMPUTED_VALUE"""),"HOP")</f>
        <v>HOP</v>
      </c>
      <c r="C3356" s="120" t="str">
        <f>IFERROR(__xludf.DUMMYFUNCTION("""COMPUTED_VALUE"""),"Campbell AAF")</f>
        <v>Campbell AAF</v>
      </c>
      <c r="D3356" s="120" t="str">
        <f>IFERROR(__xludf.DUMMYFUNCTION("""COMPUTED_VALUE"""),"United States")</f>
        <v>United States</v>
      </c>
      <c r="E3356" s="135"/>
      <c r="F3356" s="31"/>
    </row>
    <row r="3357">
      <c r="A3357" s="134" t="str">
        <f>IFERROR(__xludf.DUMMYFUNCTION("""COMPUTED_VALUE"""),"Hoquiam")</f>
        <v>Hoquiam</v>
      </c>
      <c r="B3357" s="120" t="str">
        <f>IFERROR(__xludf.DUMMYFUNCTION("""COMPUTED_VALUE"""),"HQM")</f>
        <v>HQM</v>
      </c>
      <c r="C3357" s="120" t="str">
        <f>IFERROR(__xludf.DUMMYFUNCTION("""COMPUTED_VALUE"""),"Bowerman")</f>
        <v>Bowerman</v>
      </c>
      <c r="D3357" s="120" t="str">
        <f>IFERROR(__xludf.DUMMYFUNCTION("""COMPUTED_VALUE"""),"United States")</f>
        <v>United States</v>
      </c>
      <c r="E3357" s="135"/>
      <c r="F3357" s="31"/>
    </row>
    <row r="3358">
      <c r="A3358" s="134" t="str">
        <f>IFERROR(__xludf.DUMMYFUNCTION("""COMPUTED_VALUE"""),"Horizontina")</f>
        <v>Horizontina</v>
      </c>
      <c r="B3358" s="120" t="str">
        <f>IFERROR(__xludf.DUMMYFUNCTION("""COMPUTED_VALUE"""),"HRZ")</f>
        <v>HRZ</v>
      </c>
      <c r="C3358" s="120" t="str">
        <f>IFERROR(__xludf.DUMMYFUNCTION("""COMPUTED_VALUE"""),"Horizontina")</f>
        <v>Horizontina</v>
      </c>
      <c r="D3358" s="120" t="str">
        <f>IFERROR(__xludf.DUMMYFUNCTION("""COMPUTED_VALUE"""),"Brazil")</f>
        <v>Brazil</v>
      </c>
      <c r="E3358" s="135"/>
      <c r="F3358" s="31"/>
    </row>
    <row r="3359">
      <c r="A3359" s="134" t="str">
        <f>IFERROR(__xludf.DUMMYFUNCTION("""COMPUTED_VALUE"""),"Horn Island")</f>
        <v>Horn Island</v>
      </c>
      <c r="B3359" s="120" t="str">
        <f>IFERROR(__xludf.DUMMYFUNCTION("""COMPUTED_VALUE"""),"HID")</f>
        <v>HID</v>
      </c>
      <c r="C3359" s="120" t="str">
        <f>IFERROR(__xludf.DUMMYFUNCTION("""COMPUTED_VALUE"""),"Horn Island")</f>
        <v>Horn Island</v>
      </c>
      <c r="D3359" s="120" t="str">
        <f>IFERROR(__xludf.DUMMYFUNCTION("""COMPUTED_VALUE"""),"Australia")</f>
        <v>Australia</v>
      </c>
      <c r="E3359" s="135"/>
      <c r="F3359" s="31"/>
    </row>
    <row r="3360">
      <c r="A3360" s="134" t="str">
        <f>IFERROR(__xludf.DUMMYFUNCTION("""COMPUTED_VALUE"""),"Hornafjordur")</f>
        <v>Hornafjordur</v>
      </c>
      <c r="B3360" s="120" t="str">
        <f>IFERROR(__xludf.DUMMYFUNCTION("""COMPUTED_VALUE"""),"HFN")</f>
        <v>HFN</v>
      </c>
      <c r="C3360" s="120" t="str">
        <f>IFERROR(__xludf.DUMMYFUNCTION("""COMPUTED_VALUE"""),"Hornafjordur")</f>
        <v>Hornafjordur</v>
      </c>
      <c r="D3360" s="120" t="str">
        <f>IFERROR(__xludf.DUMMYFUNCTION("""COMPUTED_VALUE"""),"Iceland")</f>
        <v>Iceland</v>
      </c>
      <c r="E3360" s="135"/>
      <c r="F3360" s="31"/>
    </row>
    <row r="3361">
      <c r="A3361" s="134" t="str">
        <f>IFERROR(__xludf.DUMMYFUNCTION("""COMPUTED_VALUE"""),"Hornepayne")</f>
        <v>Hornepayne</v>
      </c>
      <c r="B3361" s="120" t="str">
        <f>IFERROR(__xludf.DUMMYFUNCTION("""COMPUTED_VALUE"""),"YHN")</f>
        <v>YHN</v>
      </c>
      <c r="C3361" s="120" t="str">
        <f>IFERROR(__xludf.DUMMYFUNCTION("""COMPUTED_VALUE"""),"Hornepayne")</f>
        <v>Hornepayne</v>
      </c>
      <c r="D3361" s="120" t="str">
        <f>IFERROR(__xludf.DUMMYFUNCTION("""COMPUTED_VALUE"""),"Canada")</f>
        <v>Canada</v>
      </c>
      <c r="E3361" s="135"/>
      <c r="F3361" s="31"/>
    </row>
    <row r="3362">
      <c r="A3362" s="134" t="str">
        <f>IFERROR(__xludf.DUMMYFUNCTION("""COMPUTED_VALUE"""),"Horsham")</f>
        <v>Horsham</v>
      </c>
      <c r="B3362" s="120" t="str">
        <f>IFERROR(__xludf.DUMMYFUNCTION("""COMPUTED_VALUE"""),"HSM")</f>
        <v>HSM</v>
      </c>
      <c r="C3362" s="120" t="str">
        <f>IFERROR(__xludf.DUMMYFUNCTION("""COMPUTED_VALUE"""),"Horsham")</f>
        <v>Horsham</v>
      </c>
      <c r="D3362" s="120" t="str">
        <f>IFERROR(__xludf.DUMMYFUNCTION("""COMPUTED_VALUE"""),"Australia")</f>
        <v>Australia</v>
      </c>
      <c r="E3362" s="135"/>
      <c r="F3362" s="31"/>
    </row>
    <row r="3363">
      <c r="A3363" s="134" t="str">
        <f>IFERROR(__xludf.DUMMYFUNCTION("""COMPUTED_VALUE"""),"Horta")</f>
        <v>Horta</v>
      </c>
      <c r="B3363" s="120" t="str">
        <f>IFERROR(__xludf.DUMMYFUNCTION("""COMPUTED_VALUE"""),"HOR")</f>
        <v>HOR</v>
      </c>
      <c r="C3363" s="120" t="str">
        <f>IFERROR(__xludf.DUMMYFUNCTION("""COMPUTED_VALUE"""),"Horta")</f>
        <v>Horta</v>
      </c>
      <c r="D3363" s="120" t="str">
        <f>IFERROR(__xludf.DUMMYFUNCTION("""COMPUTED_VALUE"""),"Portugal")</f>
        <v>Portugal</v>
      </c>
      <c r="E3363" s="135"/>
      <c r="F3363" s="31"/>
    </row>
    <row r="3364">
      <c r="A3364" s="134" t="str">
        <f>IFERROR(__xludf.DUMMYFUNCTION("""COMPUTED_VALUE"""),"Hoskins")</f>
        <v>Hoskins</v>
      </c>
      <c r="B3364" s="120" t="str">
        <f>IFERROR(__xludf.DUMMYFUNCTION("""COMPUTED_VALUE"""),"HKN")</f>
        <v>HKN</v>
      </c>
      <c r="C3364" s="120" t="str">
        <f>IFERROR(__xludf.DUMMYFUNCTION("""COMPUTED_VALUE"""),"Hoskins")</f>
        <v>Hoskins</v>
      </c>
      <c r="D3364" s="120" t="str">
        <f>IFERROR(__xludf.DUMMYFUNCTION("""COMPUTED_VALUE"""),"Papua New Guinea")</f>
        <v>Papua New Guinea</v>
      </c>
      <c r="E3364" s="135"/>
      <c r="F3364" s="31"/>
    </row>
    <row r="3365">
      <c r="A3365" s="134" t="str">
        <f>IFERROR(__xludf.DUMMYFUNCTION("""COMPUTED_VALUE"""),"Hot Springs")</f>
        <v>Hot Springs</v>
      </c>
      <c r="B3365" s="120" t="str">
        <f>IFERROR(__xludf.DUMMYFUNCTION("""COMPUTED_VALUE"""),"HOT")</f>
        <v>HOT</v>
      </c>
      <c r="C3365" s="120" t="str">
        <f>IFERROR(__xludf.DUMMYFUNCTION("""COMPUTED_VALUE"""),"Memorial Field")</f>
        <v>Memorial Field</v>
      </c>
      <c r="D3365" s="120" t="str">
        <f>IFERROR(__xludf.DUMMYFUNCTION("""COMPUTED_VALUE"""),"United States")</f>
        <v>United States</v>
      </c>
      <c r="E3365" s="135"/>
      <c r="F3365" s="31"/>
    </row>
    <row r="3366">
      <c r="A3366" s="134" t="str">
        <f>IFERROR(__xludf.DUMMYFUNCTION("""COMPUTED_VALUE"""),"Hot Springs")</f>
        <v>Hot Springs</v>
      </c>
      <c r="B3366" s="120" t="str">
        <f>IFERROR(__xludf.DUMMYFUNCTION("""COMPUTED_VALUE"""),"HSP")</f>
        <v>HSP</v>
      </c>
      <c r="C3366" s="120" t="str">
        <f>IFERROR(__xludf.DUMMYFUNCTION("""COMPUTED_VALUE"""),"Ingalls Field")</f>
        <v>Ingalls Field</v>
      </c>
      <c r="D3366" s="120" t="str">
        <f>IFERROR(__xludf.DUMMYFUNCTION("""COMPUTED_VALUE"""),"United States")</f>
        <v>United States</v>
      </c>
      <c r="E3366" s="135"/>
      <c r="F3366" s="31"/>
    </row>
    <row r="3367">
      <c r="A3367" s="134" t="str">
        <f>IFERROR(__xludf.DUMMYFUNCTION("""COMPUTED_VALUE"""),"Hotan")</f>
        <v>Hotan</v>
      </c>
      <c r="B3367" s="120" t="str">
        <f>IFERROR(__xludf.DUMMYFUNCTION("""COMPUTED_VALUE"""),"HTN")</f>
        <v>HTN</v>
      </c>
      <c r="C3367" s="120" t="str">
        <f>IFERROR(__xludf.DUMMYFUNCTION("""COMPUTED_VALUE"""),"Hotan")</f>
        <v>Hotan</v>
      </c>
      <c r="D3367" s="120" t="str">
        <f>IFERROR(__xludf.DUMMYFUNCTION("""COMPUTED_VALUE"""),"China")</f>
        <v>China</v>
      </c>
      <c r="E3367" s="135"/>
      <c r="F3367" s="31"/>
    </row>
    <row r="3368">
      <c r="A3368" s="134" t="str">
        <f>IFERROR(__xludf.DUMMYFUNCTION("""COMPUTED_VALUE"""),"Houailou")</f>
        <v>Houailou</v>
      </c>
      <c r="B3368" s="120" t="str">
        <f>IFERROR(__xludf.DUMMYFUNCTION("""COMPUTED_VALUE"""),"HLU")</f>
        <v>HLU</v>
      </c>
      <c r="C3368" s="120" t="str">
        <f>IFERROR(__xludf.DUMMYFUNCTION("""COMPUTED_VALUE"""),"Houailou")</f>
        <v>Houailou</v>
      </c>
      <c r="D3368" s="120" t="str">
        <f>IFERROR(__xludf.DUMMYFUNCTION("""COMPUTED_VALUE"""),"New Caledonia")</f>
        <v>New Caledonia</v>
      </c>
      <c r="E3368" s="135"/>
      <c r="F3368" s="31"/>
    </row>
    <row r="3369">
      <c r="A3369" s="134" t="str">
        <f>IFERROR(__xludf.DUMMYFUNCTION("""COMPUTED_VALUE"""),"Houeisay")</f>
        <v>Houeisay</v>
      </c>
      <c r="B3369" s="120" t="str">
        <f>IFERROR(__xludf.DUMMYFUNCTION("""COMPUTED_VALUE"""),"HOE")</f>
        <v>HOE</v>
      </c>
      <c r="C3369" s="120" t="str">
        <f>IFERROR(__xludf.DUMMYFUNCTION("""COMPUTED_VALUE"""),"Houeisay")</f>
        <v>Houeisay</v>
      </c>
      <c r="D3369" s="120" t="str">
        <f>IFERROR(__xludf.DUMMYFUNCTION("""COMPUTED_VALUE"""),"Laos")</f>
        <v>Laos</v>
      </c>
      <c r="E3369" s="135"/>
      <c r="F3369" s="31"/>
    </row>
    <row r="3370">
      <c r="A3370" s="134" t="str">
        <f>IFERROR(__xludf.DUMMYFUNCTION("""COMPUTED_VALUE"""),"Houghton")</f>
        <v>Houghton</v>
      </c>
      <c r="B3370" s="120" t="str">
        <f>IFERROR(__xludf.DUMMYFUNCTION("""COMPUTED_VALUE"""),"HTL")</f>
        <v>HTL</v>
      </c>
      <c r="C3370" s="120" t="str">
        <f>IFERROR(__xludf.DUMMYFUNCTION("""COMPUTED_VALUE"""),"Roscommon County")</f>
        <v>Roscommon County</v>
      </c>
      <c r="D3370" s="120" t="str">
        <f>IFERROR(__xludf.DUMMYFUNCTION("""COMPUTED_VALUE"""),"United States")</f>
        <v>United States</v>
      </c>
      <c r="E3370" s="135"/>
      <c r="F3370" s="31"/>
    </row>
    <row r="3371">
      <c r="A3371" s="134" t="str">
        <f>IFERROR(__xludf.DUMMYFUNCTION("""COMPUTED_VALUE"""),"Houlton")</f>
        <v>Houlton</v>
      </c>
      <c r="B3371" s="120" t="str">
        <f>IFERROR(__xludf.DUMMYFUNCTION("""COMPUTED_VALUE"""),"HUL")</f>
        <v>HUL</v>
      </c>
      <c r="C3371" s="120" t="str">
        <f>IFERROR(__xludf.DUMMYFUNCTION("""COMPUTED_VALUE"""),"International")</f>
        <v>International</v>
      </c>
      <c r="D3371" s="120" t="str">
        <f>IFERROR(__xludf.DUMMYFUNCTION("""COMPUTED_VALUE"""),"United States")</f>
        <v>United States</v>
      </c>
      <c r="E3371" s="135"/>
      <c r="F3371" s="31"/>
    </row>
    <row r="3372">
      <c r="A3372" s="134" t="str">
        <f>IFERROR(__xludf.DUMMYFUNCTION("""COMPUTED_VALUE"""),"Houma")</f>
        <v>Houma</v>
      </c>
      <c r="B3372" s="120" t="str">
        <f>IFERROR(__xludf.DUMMYFUNCTION("""COMPUTED_VALUE"""),"HUM")</f>
        <v>HUM</v>
      </c>
      <c r="C3372" s="120" t="str">
        <f>IFERROR(__xludf.DUMMYFUNCTION("""COMPUTED_VALUE"""),"Terrebonne")</f>
        <v>Terrebonne</v>
      </c>
      <c r="D3372" s="120" t="str">
        <f>IFERROR(__xludf.DUMMYFUNCTION("""COMPUTED_VALUE"""),"United States")</f>
        <v>United States</v>
      </c>
      <c r="E3372" s="135"/>
      <c r="F3372" s="31"/>
    </row>
    <row r="3373">
      <c r="A3373" s="134" t="str">
        <f>IFERROR(__xludf.DUMMYFUNCTION("""COMPUTED_VALUE"""),"Houn")</f>
        <v>Houn</v>
      </c>
      <c r="B3373" s="120" t="str">
        <f>IFERROR(__xludf.DUMMYFUNCTION("""COMPUTED_VALUE"""),"HUQ")</f>
        <v>HUQ</v>
      </c>
      <c r="C3373" s="120" t="str">
        <f>IFERROR(__xludf.DUMMYFUNCTION("""COMPUTED_VALUE"""),"Houn")</f>
        <v>Houn</v>
      </c>
      <c r="D3373" s="120" t="str">
        <f>IFERROR(__xludf.DUMMYFUNCTION("""COMPUTED_VALUE"""),"Libya")</f>
        <v>Libya</v>
      </c>
      <c r="E3373" s="135"/>
      <c r="F3373" s="31"/>
    </row>
    <row r="3374">
      <c r="A3374" s="134" t="str">
        <f>IFERROR(__xludf.DUMMYFUNCTION("""COMPUTED_VALUE"""),"Houston")</f>
        <v>Houston</v>
      </c>
      <c r="B3374" s="120" t="str">
        <f>IFERROR(__xludf.DUMMYFUNCTION("""COMPUTED_VALUE"""),"ZHO")</f>
        <v>ZHO</v>
      </c>
      <c r="C3374" s="120" t="str">
        <f>IFERROR(__xludf.DUMMYFUNCTION("""COMPUTED_VALUE"""),"Bus Station")</f>
        <v>Bus Station</v>
      </c>
      <c r="D3374" s="120" t="str">
        <f>IFERROR(__xludf.DUMMYFUNCTION("""COMPUTED_VALUE"""),"Canada")</f>
        <v>Canada</v>
      </c>
      <c r="E3374" s="135"/>
      <c r="F3374" s="31"/>
    </row>
    <row r="3375">
      <c r="A3375" s="134" t="str">
        <f>IFERROR(__xludf.DUMMYFUNCTION("""COMPUTED_VALUE"""),"Houston")</f>
        <v>Houston</v>
      </c>
      <c r="B3375" s="120" t="str">
        <f>IFERROR(__xludf.DUMMYFUNCTION("""COMPUTED_VALUE"""),"AAP")</f>
        <v>AAP</v>
      </c>
      <c r="C3375" s="120" t="str">
        <f>IFERROR(__xludf.DUMMYFUNCTION("""COMPUTED_VALUE"""),"Andrau Airpark")</f>
        <v>Andrau Airpark</v>
      </c>
      <c r="D3375" s="120" t="str">
        <f>IFERROR(__xludf.DUMMYFUNCTION("""COMPUTED_VALUE"""),"United States")</f>
        <v>United States</v>
      </c>
      <c r="E3375" s="135"/>
      <c r="F3375" s="31"/>
    </row>
    <row r="3376">
      <c r="A3376" s="134" t="str">
        <f>IFERROR(__xludf.DUMMYFUNCTION("""COMPUTED_VALUE"""),"Houston")</f>
        <v>Houston</v>
      </c>
      <c r="B3376" s="120" t="str">
        <f>IFERROR(__xludf.DUMMYFUNCTION("""COMPUTED_VALUE"""),"JDX")</f>
        <v>JDX</v>
      </c>
      <c r="C3376" s="120" t="str">
        <f>IFERROR(__xludf.DUMMYFUNCTION("""COMPUTED_VALUE"""),"Central Bus. District")</f>
        <v>Central Bus. District</v>
      </c>
      <c r="D3376" s="120" t="str">
        <f>IFERROR(__xludf.DUMMYFUNCTION("""COMPUTED_VALUE"""),"United States")</f>
        <v>United States</v>
      </c>
      <c r="E3376" s="135"/>
      <c r="F3376" s="31"/>
    </row>
    <row r="3377">
      <c r="A3377" s="134" t="str">
        <f>IFERROR(__xludf.DUMMYFUNCTION("""COMPUTED_VALUE"""),"Houston")</f>
        <v>Houston</v>
      </c>
      <c r="B3377" s="120" t="str">
        <f>IFERROR(__xludf.DUMMYFUNCTION("""COMPUTED_VALUE"""),"DWH")</f>
        <v>DWH</v>
      </c>
      <c r="C3377" s="120" t="str">
        <f>IFERROR(__xludf.DUMMYFUNCTION("""COMPUTED_VALUE"""),"David Wayne Hooks")</f>
        <v>David Wayne Hooks</v>
      </c>
      <c r="D3377" s="120" t="str">
        <f>IFERROR(__xludf.DUMMYFUNCTION("""COMPUTED_VALUE"""),"United States")</f>
        <v>United States</v>
      </c>
      <c r="E3377" s="135"/>
      <c r="F3377" s="31"/>
    </row>
    <row r="3378">
      <c r="A3378" s="134" t="str">
        <f>IFERROR(__xludf.DUMMYFUNCTION("""COMPUTED_VALUE"""),"Houston")</f>
        <v>Houston</v>
      </c>
      <c r="B3378" s="120" t="str">
        <f>IFERROR(__xludf.DUMMYFUNCTION("""COMPUTED_VALUE"""),"EFD")</f>
        <v>EFD</v>
      </c>
      <c r="C3378" s="120" t="str">
        <f>IFERROR(__xludf.DUMMYFUNCTION("""COMPUTED_VALUE"""),"Ellington Field")</f>
        <v>Ellington Field</v>
      </c>
      <c r="D3378" s="120" t="str">
        <f>IFERROR(__xludf.DUMMYFUNCTION("""COMPUTED_VALUE"""),"United States")</f>
        <v>United States</v>
      </c>
      <c r="E3378" s="135"/>
      <c r="F3378" s="31"/>
    </row>
    <row r="3379">
      <c r="A3379" s="134" t="str">
        <f>IFERROR(__xludf.DUMMYFUNCTION("""COMPUTED_VALUE"""),"Houston")</f>
        <v>Houston</v>
      </c>
      <c r="B3379" s="120" t="str">
        <f>IFERROR(__xludf.DUMMYFUNCTION("""COMPUTED_VALUE"""),"IAH")</f>
        <v>IAH</v>
      </c>
      <c r="C3379" s="120" t="str">
        <f>IFERROR(__xludf.DUMMYFUNCTION("""COMPUTED_VALUE"""),"George Bush Intercntl.")</f>
        <v>George Bush Intercntl.</v>
      </c>
      <c r="D3379" s="120" t="str">
        <f>IFERROR(__xludf.DUMMYFUNCTION("""COMPUTED_VALUE"""),"United States")</f>
        <v>United States</v>
      </c>
      <c r="E3379" s="135"/>
      <c r="F3379" s="31"/>
    </row>
    <row r="3380">
      <c r="A3380" s="134" t="str">
        <f>IFERROR(__xludf.DUMMYFUNCTION("""COMPUTED_VALUE"""),"Houston")</f>
        <v>Houston</v>
      </c>
      <c r="B3380" s="120" t="str">
        <f>IFERROR(__xludf.DUMMYFUNCTION("""COMPUTED_VALUE"""),"JGP")</f>
        <v>JGP</v>
      </c>
      <c r="C3380" s="120" t="str">
        <f>IFERROR(__xludf.DUMMYFUNCTION("""COMPUTED_VALUE"""),"Greenway Plaza H/P")</f>
        <v>Greenway Plaza H/P</v>
      </c>
      <c r="D3380" s="120" t="str">
        <f>IFERROR(__xludf.DUMMYFUNCTION("""COMPUTED_VALUE"""),"United States")</f>
        <v>United States</v>
      </c>
      <c r="E3380" s="135"/>
      <c r="F3380" s="31"/>
    </row>
    <row r="3381">
      <c r="A3381" s="134" t="str">
        <f>IFERROR(__xludf.DUMMYFUNCTION("""COMPUTED_VALUE"""),"Houston")</f>
        <v>Houston</v>
      </c>
      <c r="B3381" s="120" t="str">
        <f>IFERROR(__xludf.DUMMYFUNCTION("""COMPUTED_VALUE"""),"HOU")</f>
        <v>HOU</v>
      </c>
      <c r="C3381" s="120" t="str">
        <f>IFERROR(__xludf.DUMMYFUNCTION("""COMPUTED_VALUE"""),"Hobby")</f>
        <v>Hobby</v>
      </c>
      <c r="D3381" s="120" t="str">
        <f>IFERROR(__xludf.DUMMYFUNCTION("""COMPUTED_VALUE"""),"United States")</f>
        <v>United States</v>
      </c>
      <c r="E3381" s="135"/>
      <c r="F3381" s="31"/>
    </row>
    <row r="3382">
      <c r="A3382" s="134" t="str">
        <f>IFERROR(__xludf.DUMMYFUNCTION("""COMPUTED_VALUE"""),"Houston")</f>
        <v>Houston</v>
      </c>
      <c r="B3382" s="120" t="str">
        <f>IFERROR(__xludf.DUMMYFUNCTION("""COMPUTED_VALUE"""),"JMA")</f>
        <v>JMA</v>
      </c>
      <c r="C3382" s="120" t="str">
        <f>IFERROR(__xludf.DUMMYFUNCTION("""COMPUTED_VALUE"""),"Marriot Astrodome")</f>
        <v>Marriot Astrodome</v>
      </c>
      <c r="D3382" s="120" t="str">
        <f>IFERROR(__xludf.DUMMYFUNCTION("""COMPUTED_VALUE"""),"United States")</f>
        <v>United States</v>
      </c>
      <c r="E3382" s="135"/>
      <c r="F3382" s="31"/>
    </row>
    <row r="3383">
      <c r="A3383" s="134" t="str">
        <f>IFERROR(__xludf.DUMMYFUNCTION("""COMPUTED_VALUE"""),"Houston")</f>
        <v>Houston</v>
      </c>
      <c r="B3383" s="120" t="str">
        <f>IFERROR(__xludf.DUMMYFUNCTION("""COMPUTED_VALUE"""),"JPT")</f>
        <v>JPT</v>
      </c>
      <c r="C3383" s="120" t="str">
        <f>IFERROR(__xludf.DUMMYFUNCTION("""COMPUTED_VALUE"""),"Park Ten Heliport")</f>
        <v>Park Ten Heliport</v>
      </c>
      <c r="D3383" s="120" t="str">
        <f>IFERROR(__xludf.DUMMYFUNCTION("""COMPUTED_VALUE"""),"United States")</f>
        <v>United States</v>
      </c>
      <c r="E3383" s="135"/>
      <c r="F3383" s="31"/>
    </row>
    <row r="3384">
      <c r="A3384" s="134" t="str">
        <f>IFERROR(__xludf.DUMMYFUNCTION("""COMPUTED_VALUE"""),"Houston")</f>
        <v>Houston</v>
      </c>
      <c r="B3384" s="120" t="str">
        <f>IFERROR(__xludf.DUMMYFUNCTION("""COMPUTED_VALUE"""),"JGQ")</f>
        <v>JGQ</v>
      </c>
      <c r="C3384" s="120" t="str">
        <f>IFERROR(__xludf.DUMMYFUNCTION("""COMPUTED_VALUE"""),"Transco Twr Galleria")</f>
        <v>Transco Twr Galleria</v>
      </c>
      <c r="D3384" s="120" t="str">
        <f>IFERROR(__xludf.DUMMYFUNCTION("""COMPUTED_VALUE"""),"United States")</f>
        <v>United States</v>
      </c>
      <c r="E3384" s="135"/>
      <c r="F3384" s="31"/>
    </row>
    <row r="3385">
      <c r="A3385" s="134" t="str">
        <f>IFERROR(__xludf.DUMMYFUNCTION("""COMPUTED_VALUE"""),"Houston")</f>
        <v>Houston</v>
      </c>
      <c r="B3385" s="120" t="str">
        <f>IFERROR(__xludf.DUMMYFUNCTION("""COMPUTED_VALUE"""),"IWS")</f>
        <v>IWS</v>
      </c>
      <c r="C3385" s="120" t="str">
        <f>IFERROR(__xludf.DUMMYFUNCTION("""COMPUTED_VALUE"""),"West Houston")</f>
        <v>West Houston</v>
      </c>
      <c r="D3385" s="120" t="str">
        <f>IFERROR(__xludf.DUMMYFUNCTION("""COMPUTED_VALUE"""),"United States")</f>
        <v>United States</v>
      </c>
      <c r="E3385" s="135"/>
      <c r="F3385" s="31"/>
    </row>
    <row r="3386">
      <c r="A3386" s="134" t="str">
        <f>IFERROR(__xludf.DUMMYFUNCTION("""COMPUTED_VALUE"""),"Houston")</f>
        <v>Houston</v>
      </c>
      <c r="B3386" s="120" t="str">
        <f>IFERROR(__xludf.DUMMYFUNCTION("""COMPUTED_VALUE"""),"JWH")</f>
        <v>JWH</v>
      </c>
      <c r="C3386" s="120" t="str">
        <f>IFERROR(__xludf.DUMMYFUNCTION("""COMPUTED_VALUE"""),"Westchase Hilton H/P")</f>
        <v>Westchase Hilton H/P</v>
      </c>
      <c r="D3386" s="120" t="str">
        <f>IFERROR(__xludf.DUMMYFUNCTION("""COMPUTED_VALUE"""),"United States")</f>
        <v>United States</v>
      </c>
      <c r="E3386" s="135"/>
      <c r="F3386" s="31"/>
    </row>
    <row r="3387">
      <c r="A3387" s="134" t="str">
        <f>IFERROR(__xludf.DUMMYFUNCTION("""COMPUTED_VALUE"""),"Houston")</f>
        <v>Houston</v>
      </c>
      <c r="B3387" s="120" t="str">
        <f>IFERROR(__xludf.DUMMYFUNCTION("""COMPUTED_VALUE"""),"JWL")</f>
        <v>JWL</v>
      </c>
      <c r="C3387" s="120" t="str">
        <f>IFERROR(__xludf.DUMMYFUNCTION("""COMPUTED_VALUE"""),"Woodlawns")</f>
        <v>Woodlawns</v>
      </c>
      <c r="D3387" s="120" t="str">
        <f>IFERROR(__xludf.DUMMYFUNCTION("""COMPUTED_VALUE"""),"United States")</f>
        <v>United States</v>
      </c>
      <c r="E3387" s="135"/>
      <c r="F3387" s="31"/>
    </row>
    <row r="3388">
      <c r="A3388" s="134" t="str">
        <f>IFERROR(__xludf.DUMMYFUNCTION("""COMPUTED_VALUE"""),"Hoy Island")</f>
        <v>Hoy Island</v>
      </c>
      <c r="B3388" s="120" t="str">
        <f>IFERROR(__xludf.DUMMYFUNCTION("""COMPUTED_VALUE"""),"HOY")</f>
        <v>HOY</v>
      </c>
      <c r="C3388" s="120" t="str">
        <f>IFERROR(__xludf.DUMMYFUNCTION("""COMPUTED_VALUE"""),"Hoy Island")</f>
        <v>Hoy Island</v>
      </c>
      <c r="D3388" s="120" t="str">
        <f>IFERROR(__xludf.DUMMYFUNCTION("""COMPUTED_VALUE"""),"United Kingdom")</f>
        <v>United Kingdom</v>
      </c>
      <c r="E3388" s="135"/>
      <c r="F3388" s="31"/>
    </row>
    <row r="3389">
      <c r="A3389" s="134" t="str">
        <f>IFERROR(__xludf.DUMMYFUNCTION("""COMPUTED_VALUE"""),"Hsinchu")</f>
        <v>Hsinchu</v>
      </c>
      <c r="B3389" s="120" t="str">
        <f>IFERROR(__xludf.DUMMYFUNCTION("""COMPUTED_VALUE"""),"HSZ")</f>
        <v>HSZ</v>
      </c>
      <c r="C3389" s="120" t="str">
        <f>IFERROR(__xludf.DUMMYFUNCTION("""COMPUTED_VALUE"""),"Hsinchu")</f>
        <v>Hsinchu</v>
      </c>
      <c r="D3389" s="120" t="str">
        <f>IFERROR(__xludf.DUMMYFUNCTION("""COMPUTED_VALUE"""),"Taiwan")</f>
        <v>Taiwan</v>
      </c>
      <c r="E3389" s="135"/>
      <c r="F3389" s="31"/>
    </row>
    <row r="3390">
      <c r="A3390" s="134" t="str">
        <f>IFERROR(__xludf.DUMMYFUNCTION("""COMPUTED_VALUE"""),"Hua Hin")</f>
        <v>Hua Hin</v>
      </c>
      <c r="B3390" s="120" t="str">
        <f>IFERROR(__xludf.DUMMYFUNCTION("""COMPUTED_VALUE"""),"HHQ")</f>
        <v>HHQ</v>
      </c>
      <c r="C3390" s="120" t="str">
        <f>IFERROR(__xludf.DUMMYFUNCTION("""COMPUTED_VALUE"""),"Hua Hin Airport")</f>
        <v>Hua Hin Airport</v>
      </c>
      <c r="D3390" s="120" t="str">
        <f>IFERROR(__xludf.DUMMYFUNCTION("""COMPUTED_VALUE"""),"Thailand")</f>
        <v>Thailand</v>
      </c>
      <c r="E3390" s="135"/>
      <c r="F3390" s="31"/>
    </row>
    <row r="3391">
      <c r="A3391" s="134" t="str">
        <f>IFERROR(__xludf.DUMMYFUNCTION("""COMPUTED_VALUE"""),"Huacaraje")</f>
        <v>Huacaraje</v>
      </c>
      <c r="B3391" s="120" t="str">
        <f>IFERROR(__xludf.DUMMYFUNCTION("""COMPUTED_VALUE"""),"BVK")</f>
        <v>BVK</v>
      </c>
      <c r="C3391" s="120" t="str">
        <f>IFERROR(__xludf.DUMMYFUNCTION("""COMPUTED_VALUE"""),"Huacaraje")</f>
        <v>Huacaraje</v>
      </c>
      <c r="D3391" s="120" t="str">
        <f>IFERROR(__xludf.DUMMYFUNCTION("""COMPUTED_VALUE"""),"Bolivia")</f>
        <v>Bolivia</v>
      </c>
      <c r="E3391" s="135"/>
      <c r="F3391" s="31"/>
    </row>
    <row r="3392">
      <c r="A3392" s="134" t="str">
        <f>IFERROR(__xludf.DUMMYFUNCTION("""COMPUTED_VALUE"""),"Huahine")</f>
        <v>Huahine</v>
      </c>
      <c r="B3392" s="120" t="str">
        <f>IFERROR(__xludf.DUMMYFUNCTION("""COMPUTED_VALUE"""),"HUH")</f>
        <v>HUH</v>
      </c>
      <c r="C3392" s="120" t="str">
        <f>IFERROR(__xludf.DUMMYFUNCTION("""COMPUTED_VALUE"""),"Huahine")</f>
        <v>Huahine</v>
      </c>
      <c r="D3392" s="120" t="str">
        <f>IFERROR(__xludf.DUMMYFUNCTION("""COMPUTED_VALUE"""),"French Polynesia")</f>
        <v>French Polynesia</v>
      </c>
      <c r="E3392" s="135"/>
      <c r="F3392" s="31"/>
    </row>
    <row r="3393">
      <c r="A3393" s="134" t="str">
        <f>IFERROR(__xludf.DUMMYFUNCTION("""COMPUTED_VALUE"""),"Hualien")</f>
        <v>Hualien</v>
      </c>
      <c r="B3393" s="120" t="str">
        <f>IFERROR(__xludf.DUMMYFUNCTION("""COMPUTED_VALUE"""),"HUN")</f>
        <v>HUN</v>
      </c>
      <c r="C3393" s="120" t="str">
        <f>IFERROR(__xludf.DUMMYFUNCTION("""COMPUTED_VALUE"""),"Hualien")</f>
        <v>Hualien</v>
      </c>
      <c r="D3393" s="120" t="str">
        <f>IFERROR(__xludf.DUMMYFUNCTION("""COMPUTED_VALUE"""),"Taiwan")</f>
        <v>Taiwan</v>
      </c>
      <c r="E3393" s="135"/>
      <c r="F3393" s="31"/>
    </row>
    <row r="3394">
      <c r="A3394" s="134" t="str">
        <f>IFERROR(__xludf.DUMMYFUNCTION("""COMPUTED_VALUE"""),"Huambo")</f>
        <v>Huambo</v>
      </c>
      <c r="B3394" s="120" t="str">
        <f>IFERROR(__xludf.DUMMYFUNCTION("""COMPUTED_VALUE"""),"NOV")</f>
        <v>NOV</v>
      </c>
      <c r="C3394" s="120" t="str">
        <f>IFERROR(__xludf.DUMMYFUNCTION("""COMPUTED_VALUE"""),"Huambo")</f>
        <v>Huambo</v>
      </c>
      <c r="D3394" s="120" t="str">
        <f>IFERROR(__xludf.DUMMYFUNCTION("""COMPUTED_VALUE"""),"Angola")</f>
        <v>Angola</v>
      </c>
      <c r="E3394" s="135"/>
      <c r="F3394" s="31"/>
    </row>
    <row r="3395">
      <c r="A3395" s="134" t="str">
        <f>IFERROR(__xludf.DUMMYFUNCTION("""COMPUTED_VALUE"""),"Huanghua")</f>
        <v>Huanghua</v>
      </c>
      <c r="B3395" s="120" t="str">
        <f>IFERROR(__xludf.DUMMYFUNCTION("""COMPUTED_VALUE"""),"HHA")</f>
        <v>HHA</v>
      </c>
      <c r="C3395" s="120" t="str">
        <f>IFERROR(__xludf.DUMMYFUNCTION("""COMPUTED_VALUE"""),"Changsha Huanghua")</f>
        <v>Changsha Huanghua</v>
      </c>
      <c r="D3395" s="120" t="str">
        <f>IFERROR(__xludf.DUMMYFUNCTION("""COMPUTED_VALUE"""),"China")</f>
        <v>China</v>
      </c>
      <c r="E3395" s="135"/>
      <c r="F3395" s="31"/>
    </row>
    <row r="3396">
      <c r="A3396" s="134" t="str">
        <f>IFERROR(__xludf.DUMMYFUNCTION("""COMPUTED_VALUE"""),"Huangpu")</f>
        <v>Huangpu</v>
      </c>
      <c r="B3396" s="120" t="str">
        <f>IFERROR(__xludf.DUMMYFUNCTION("""COMPUTED_VALUE"""),"ZMY")</f>
        <v>ZMY</v>
      </c>
      <c r="C3396" s="120" t="str">
        <f>IFERROR(__xludf.DUMMYFUNCTION("""COMPUTED_VALUE"""),"Harbour")</f>
        <v>Harbour</v>
      </c>
      <c r="D3396" s="120" t="str">
        <f>IFERROR(__xludf.DUMMYFUNCTION("""COMPUTED_VALUE"""),"China")</f>
        <v>China</v>
      </c>
      <c r="E3396" s="135"/>
      <c r="F3396" s="31"/>
    </row>
    <row r="3397">
      <c r="A3397" s="134" t="str">
        <f>IFERROR(__xludf.DUMMYFUNCTION("""COMPUTED_VALUE"""),"Huangyan")</f>
        <v>Huangyan</v>
      </c>
      <c r="B3397" s="120" t="str">
        <f>IFERROR(__xludf.DUMMYFUNCTION("""COMPUTED_VALUE"""),"HYN")</f>
        <v>HYN</v>
      </c>
      <c r="C3397" s="120" t="str">
        <f>IFERROR(__xludf.DUMMYFUNCTION("""COMPUTED_VALUE"""),"Huangyan")</f>
        <v>Huangyan</v>
      </c>
      <c r="D3397" s="120" t="str">
        <f>IFERROR(__xludf.DUMMYFUNCTION("""COMPUTED_VALUE"""),"China")</f>
        <v>China</v>
      </c>
      <c r="E3397" s="135"/>
      <c r="F3397" s="31"/>
    </row>
    <row r="3398">
      <c r="A3398" s="134" t="str">
        <f>IFERROR(__xludf.DUMMYFUNCTION("""COMPUTED_VALUE"""),"Huanuco")</f>
        <v>Huanuco</v>
      </c>
      <c r="B3398" s="120" t="str">
        <f>IFERROR(__xludf.DUMMYFUNCTION("""COMPUTED_VALUE"""),"HUU")</f>
        <v>HUU</v>
      </c>
      <c r="C3398" s="120" t="str">
        <f>IFERROR(__xludf.DUMMYFUNCTION("""COMPUTED_VALUE"""),"Huanuco")</f>
        <v>Huanuco</v>
      </c>
      <c r="D3398" s="120" t="str">
        <f>IFERROR(__xludf.DUMMYFUNCTION("""COMPUTED_VALUE"""),"Peru")</f>
        <v>Peru</v>
      </c>
      <c r="E3398" s="135"/>
      <c r="F3398" s="31"/>
    </row>
    <row r="3399">
      <c r="A3399" s="134" t="str">
        <f>IFERROR(__xludf.DUMMYFUNCTION("""COMPUTED_VALUE"""),"Huatulco")</f>
        <v>Huatulco</v>
      </c>
      <c r="B3399" s="120" t="str">
        <f>IFERROR(__xludf.DUMMYFUNCTION("""COMPUTED_VALUE"""),"HUX")</f>
        <v>HUX</v>
      </c>
      <c r="C3399" s="120" t="str">
        <f>IFERROR(__xludf.DUMMYFUNCTION("""COMPUTED_VALUE"""),"Huatulco")</f>
        <v>Huatulco</v>
      </c>
      <c r="D3399" s="120" t="str">
        <f>IFERROR(__xludf.DUMMYFUNCTION("""COMPUTED_VALUE"""),"Mexico")</f>
        <v>Mexico</v>
      </c>
      <c r="E3399" s="135"/>
      <c r="F3399" s="31"/>
    </row>
    <row r="3400">
      <c r="A3400" s="134" t="str">
        <f>IFERROR(__xludf.DUMMYFUNCTION("""COMPUTED_VALUE"""),"Hubli")</f>
        <v>Hubli</v>
      </c>
      <c r="B3400" s="120" t="str">
        <f>IFERROR(__xludf.DUMMYFUNCTION("""COMPUTED_VALUE"""),"HBX")</f>
        <v>HBX</v>
      </c>
      <c r="C3400" s="120" t="str">
        <f>IFERROR(__xludf.DUMMYFUNCTION("""COMPUTED_VALUE"""),"Hubli")</f>
        <v>Hubli</v>
      </c>
      <c r="D3400" s="120" t="str">
        <f>IFERROR(__xludf.DUMMYFUNCTION("""COMPUTED_VALUE"""),"India")</f>
        <v>India</v>
      </c>
      <c r="E3400" s="135"/>
      <c r="F3400" s="31"/>
    </row>
    <row r="3401">
      <c r="A3401" s="134" t="str">
        <f>IFERROR(__xludf.DUMMYFUNCTION("""COMPUTED_VALUE"""),"Hudiksvall")</f>
        <v>Hudiksvall</v>
      </c>
      <c r="B3401" s="120" t="str">
        <f>IFERROR(__xludf.DUMMYFUNCTION("""COMPUTED_VALUE"""),"HUV")</f>
        <v>HUV</v>
      </c>
      <c r="C3401" s="120" t="str">
        <f>IFERROR(__xludf.DUMMYFUNCTION("""COMPUTED_VALUE"""),"Hudiksvall")</f>
        <v>Hudiksvall</v>
      </c>
      <c r="D3401" s="120" t="str">
        <f>IFERROR(__xludf.DUMMYFUNCTION("""COMPUTED_VALUE"""),"Sweden")</f>
        <v>Sweden</v>
      </c>
      <c r="E3401" s="135"/>
      <c r="F3401" s="31"/>
    </row>
    <row r="3402">
      <c r="A3402" s="134" t="str">
        <f>IFERROR(__xludf.DUMMYFUNCTION("""COMPUTED_VALUE"""),"Hudson")</f>
        <v>Hudson</v>
      </c>
      <c r="B3402" s="120" t="str">
        <f>IFERROR(__xludf.DUMMYFUNCTION("""COMPUTED_VALUE"""),"HCC")</f>
        <v>HCC</v>
      </c>
      <c r="C3402" s="120" t="str">
        <f>IFERROR(__xludf.DUMMYFUNCTION("""COMPUTED_VALUE"""),"Columbia County")</f>
        <v>Columbia County</v>
      </c>
      <c r="D3402" s="120" t="str">
        <f>IFERROR(__xludf.DUMMYFUNCTION("""COMPUTED_VALUE"""),"United States")</f>
        <v>United States</v>
      </c>
      <c r="E3402" s="135"/>
      <c r="F3402" s="31"/>
    </row>
    <row r="3403">
      <c r="A3403" s="134" t="str">
        <f>IFERROR(__xludf.DUMMYFUNCTION("""COMPUTED_VALUE"""),"Hudson Bay")</f>
        <v>Hudson Bay</v>
      </c>
      <c r="B3403" s="120" t="str">
        <f>IFERROR(__xludf.DUMMYFUNCTION("""COMPUTED_VALUE"""),"YHB")</f>
        <v>YHB</v>
      </c>
      <c r="C3403" s="120" t="str">
        <f>IFERROR(__xludf.DUMMYFUNCTION("""COMPUTED_VALUE"""),"Hudson Bay")</f>
        <v>Hudson Bay</v>
      </c>
      <c r="D3403" s="120" t="str">
        <f>IFERROR(__xludf.DUMMYFUNCTION("""COMPUTED_VALUE"""),"Canada")</f>
        <v>Canada</v>
      </c>
      <c r="E3403" s="135"/>
      <c r="F3403" s="31"/>
    </row>
    <row r="3404">
      <c r="A3404" s="134" t="str">
        <f>IFERROR(__xludf.DUMMYFUNCTION("""COMPUTED_VALUE"""),"Hue")</f>
        <v>Hue</v>
      </c>
      <c r="B3404" s="120" t="str">
        <f>IFERROR(__xludf.DUMMYFUNCTION("""COMPUTED_VALUE"""),"HUI")</f>
        <v>HUI</v>
      </c>
      <c r="C3404" s="120" t="str">
        <f>IFERROR(__xludf.DUMMYFUNCTION("""COMPUTED_VALUE"""),"Phu Bai")</f>
        <v>Phu Bai</v>
      </c>
      <c r="D3404" s="120" t="str">
        <f>IFERROR(__xludf.DUMMYFUNCTION("""COMPUTED_VALUE"""),"Vietnam")</f>
        <v>Vietnam</v>
      </c>
      <c r="E3404" s="135"/>
      <c r="F3404" s="31"/>
    </row>
    <row r="3405">
      <c r="A3405" s="134" t="str">
        <f>IFERROR(__xludf.DUMMYFUNCTION("""COMPUTED_VALUE"""),"Huehuetenango")</f>
        <v>Huehuetenango</v>
      </c>
      <c r="B3405" s="120" t="str">
        <f>IFERROR(__xludf.DUMMYFUNCTION("""COMPUTED_VALUE"""),"HUG")</f>
        <v>HUG</v>
      </c>
      <c r="C3405" s="120" t="str">
        <f>IFERROR(__xludf.DUMMYFUNCTION("""COMPUTED_VALUE"""),"Huehuetenango")</f>
        <v>Huehuetenango</v>
      </c>
      <c r="D3405" s="120" t="str">
        <f>IFERROR(__xludf.DUMMYFUNCTION("""COMPUTED_VALUE"""),"Guatemala")</f>
        <v>Guatemala</v>
      </c>
      <c r="E3405" s="135"/>
      <c r="F3405" s="31"/>
    </row>
    <row r="3406">
      <c r="A3406" s="134" t="str">
        <f>IFERROR(__xludf.DUMMYFUNCTION("""COMPUTED_VALUE"""),"Huelva")</f>
        <v>Huelva</v>
      </c>
      <c r="B3406" s="120" t="str">
        <f>IFERROR(__xludf.DUMMYFUNCTION("""COMPUTED_VALUE"""),"HEV")</f>
        <v>HEV</v>
      </c>
      <c r="C3406" s="120" t="str">
        <f>IFERROR(__xludf.DUMMYFUNCTION("""COMPUTED_VALUE"""),"Huelva")</f>
        <v>Huelva</v>
      </c>
      <c r="D3406" s="120" t="str">
        <f>IFERROR(__xludf.DUMMYFUNCTION("""COMPUTED_VALUE"""),"Spain")</f>
        <v>Spain</v>
      </c>
      <c r="E3406" s="135"/>
      <c r="F3406" s="31"/>
    </row>
    <row r="3407">
      <c r="A3407" s="134" t="str">
        <f>IFERROR(__xludf.DUMMYFUNCTION("""COMPUTED_VALUE"""),"Huesca")</f>
        <v>Huesca</v>
      </c>
      <c r="B3407" s="120" t="str">
        <f>IFERROR(__xludf.DUMMYFUNCTION("""COMPUTED_VALUE"""),"HSK")</f>
        <v>HSK</v>
      </c>
      <c r="C3407" s="120" t="str">
        <f>IFERROR(__xludf.DUMMYFUNCTION("""COMPUTED_VALUE"""),"Huesca")</f>
        <v>Huesca</v>
      </c>
      <c r="D3407" s="120" t="str">
        <f>IFERROR(__xludf.DUMMYFUNCTION("""COMPUTED_VALUE"""),"Spain")</f>
        <v>Spain</v>
      </c>
      <c r="E3407" s="135"/>
      <c r="F3407" s="31"/>
    </row>
    <row r="3408">
      <c r="A3408" s="134" t="str">
        <f>IFERROR(__xludf.DUMMYFUNCTION("""COMPUTED_VALUE"""),"Hughenden")</f>
        <v>Hughenden</v>
      </c>
      <c r="B3408" s="120" t="str">
        <f>IFERROR(__xludf.DUMMYFUNCTION("""COMPUTED_VALUE"""),"HGD")</f>
        <v>HGD</v>
      </c>
      <c r="C3408" s="120" t="str">
        <f>IFERROR(__xludf.DUMMYFUNCTION("""COMPUTED_VALUE"""),"Hughenden")</f>
        <v>Hughenden</v>
      </c>
      <c r="D3408" s="120" t="str">
        <f>IFERROR(__xludf.DUMMYFUNCTION("""COMPUTED_VALUE"""),"Australia")</f>
        <v>Australia</v>
      </c>
      <c r="E3408" s="135"/>
      <c r="F3408" s="31"/>
    </row>
    <row r="3409">
      <c r="A3409" s="134" t="str">
        <f>IFERROR(__xludf.DUMMYFUNCTION("""COMPUTED_VALUE"""),"Hughes")</f>
        <v>Hughes</v>
      </c>
      <c r="B3409" s="120" t="str">
        <f>IFERROR(__xludf.DUMMYFUNCTION("""COMPUTED_VALUE"""),"HUS")</f>
        <v>HUS</v>
      </c>
      <c r="C3409" s="120" t="str">
        <f>IFERROR(__xludf.DUMMYFUNCTION("""COMPUTED_VALUE"""),"Municipal")</f>
        <v>Municipal</v>
      </c>
      <c r="D3409" s="120" t="str">
        <f>IFERROR(__xludf.DUMMYFUNCTION("""COMPUTED_VALUE"""),"United States")</f>
        <v>United States</v>
      </c>
      <c r="E3409" s="135"/>
      <c r="F3409" s="31"/>
    </row>
    <row r="3410">
      <c r="A3410" s="134" t="str">
        <f>IFERROR(__xludf.DUMMYFUNCTION("""COMPUTED_VALUE"""),"Hugo")</f>
        <v>Hugo</v>
      </c>
      <c r="B3410" s="120" t="str">
        <f>IFERROR(__xludf.DUMMYFUNCTION("""COMPUTED_VALUE"""),"HUJ")</f>
        <v>HUJ</v>
      </c>
      <c r="C3410" s="120" t="str">
        <f>IFERROR(__xludf.DUMMYFUNCTION("""COMPUTED_VALUE"""),"Hugo")</f>
        <v>Hugo</v>
      </c>
      <c r="D3410" s="120" t="str">
        <f>IFERROR(__xludf.DUMMYFUNCTION("""COMPUTED_VALUE"""),"United States")</f>
        <v>United States</v>
      </c>
      <c r="E3410" s="135"/>
      <c r="F3410" s="31"/>
    </row>
    <row r="3411">
      <c r="A3411" s="134" t="str">
        <f>IFERROR(__xludf.DUMMYFUNCTION("""COMPUTED_VALUE"""),"Huizhou")</f>
        <v>Huizhou</v>
      </c>
      <c r="B3411" s="120" t="str">
        <f>IFERROR(__xludf.DUMMYFUNCTION("""COMPUTED_VALUE"""),"HUZ")</f>
        <v>HUZ</v>
      </c>
      <c r="C3411" s="120" t="str">
        <f>IFERROR(__xludf.DUMMYFUNCTION("""COMPUTED_VALUE"""),"Huizhou")</f>
        <v>Huizhou</v>
      </c>
      <c r="D3411" s="120" t="str">
        <f>IFERROR(__xludf.DUMMYFUNCTION("""COMPUTED_VALUE"""),"China")</f>
        <v>China</v>
      </c>
      <c r="E3411" s="135"/>
      <c r="F3411" s="31"/>
    </row>
    <row r="3412">
      <c r="A3412" s="134" t="str">
        <f>IFERROR(__xludf.DUMMYFUNCTION("""COMPUTED_VALUE"""),"Hukuntsi")</f>
        <v>Hukuntsi</v>
      </c>
      <c r="B3412" s="120" t="str">
        <f>IFERROR(__xludf.DUMMYFUNCTION("""COMPUTED_VALUE"""),"HUK")</f>
        <v>HUK</v>
      </c>
      <c r="C3412" s="120" t="str">
        <f>IFERROR(__xludf.DUMMYFUNCTION("""COMPUTED_VALUE"""),"Hukuntsi")</f>
        <v>Hukuntsi</v>
      </c>
      <c r="D3412" s="120" t="str">
        <f>IFERROR(__xludf.DUMMYFUNCTION("""COMPUTED_VALUE"""),"Botswana")</f>
        <v>Botswana</v>
      </c>
      <c r="E3412" s="135"/>
      <c r="F3412" s="31"/>
    </row>
    <row r="3413">
      <c r="A3413" s="134" t="str">
        <f>IFERROR(__xludf.DUMMYFUNCTION("""COMPUTED_VALUE"""),"Hultsfred")</f>
        <v>Hultsfred</v>
      </c>
      <c r="B3413" s="120" t="str">
        <f>IFERROR(__xludf.DUMMYFUNCTION("""COMPUTED_VALUE"""),"HLF")</f>
        <v>HLF</v>
      </c>
      <c r="C3413" s="120" t="str">
        <f>IFERROR(__xludf.DUMMYFUNCTION("""COMPUTED_VALUE"""),"Hultsfred")</f>
        <v>Hultsfred</v>
      </c>
      <c r="D3413" s="120" t="str">
        <f>IFERROR(__xludf.DUMMYFUNCTION("""COMPUTED_VALUE"""),"Sweden")</f>
        <v>Sweden</v>
      </c>
      <c r="E3413" s="135"/>
      <c r="F3413" s="31"/>
    </row>
    <row r="3414">
      <c r="A3414" s="134" t="str">
        <f>IFERROR(__xludf.DUMMYFUNCTION("""COMPUTED_VALUE"""),"Humacao")</f>
        <v>Humacao</v>
      </c>
      <c r="B3414" s="120" t="str">
        <f>IFERROR(__xludf.DUMMYFUNCTION("""COMPUTED_VALUE"""),"HUC")</f>
        <v>HUC</v>
      </c>
      <c r="C3414" s="120" t="str">
        <f>IFERROR(__xludf.DUMMYFUNCTION("""COMPUTED_VALUE"""),"Humacao Arpt")</f>
        <v>Humacao Arpt</v>
      </c>
      <c r="D3414" s="120" t="str">
        <f>IFERROR(__xludf.DUMMYFUNCTION("""COMPUTED_VALUE"""),"Puerto Rico")</f>
        <v>Puerto Rico</v>
      </c>
      <c r="E3414" s="135"/>
      <c r="F3414" s="31"/>
    </row>
    <row r="3415">
      <c r="A3415" s="134" t="str">
        <f>IFERROR(__xludf.DUMMYFUNCTION("""COMPUTED_VALUE"""),"Humacao")</f>
        <v>Humacao</v>
      </c>
      <c r="B3415" s="120" t="str">
        <f>IFERROR(__xludf.DUMMYFUNCTION("""COMPUTED_VALUE"""),"PPD")</f>
        <v>PPD</v>
      </c>
      <c r="C3415" s="120" t="str">
        <f>IFERROR(__xludf.DUMMYFUNCTION("""COMPUTED_VALUE"""),"Palmas Del Mar")</f>
        <v>Palmas Del Mar</v>
      </c>
      <c r="D3415" s="120" t="str">
        <f>IFERROR(__xludf.DUMMYFUNCTION("""COMPUTED_VALUE"""),"Puerto Rico")</f>
        <v>Puerto Rico</v>
      </c>
      <c r="E3415" s="135"/>
      <c r="F3415" s="31"/>
    </row>
    <row r="3416">
      <c r="A3416" s="134" t="str">
        <f>IFERROR(__xludf.DUMMYFUNCTION("""COMPUTED_VALUE"""),"Humberside")</f>
        <v>Humberside</v>
      </c>
      <c r="B3416" s="120" t="str">
        <f>IFERROR(__xludf.DUMMYFUNCTION("""COMPUTED_VALUE"""),"HUY")</f>
        <v>HUY</v>
      </c>
      <c r="C3416" s="120" t="str">
        <f>IFERROR(__xludf.DUMMYFUNCTION("""COMPUTED_VALUE"""),"Humberside Arpt")</f>
        <v>Humberside Arpt</v>
      </c>
      <c r="D3416" s="120" t="str">
        <f>IFERROR(__xludf.DUMMYFUNCTION("""COMPUTED_VALUE"""),"United Kingdom")</f>
        <v>United Kingdom</v>
      </c>
      <c r="E3416" s="135"/>
      <c r="F3416" s="31"/>
    </row>
    <row r="3417">
      <c r="A3417" s="134" t="str">
        <f>IFERROR(__xludf.DUMMYFUNCTION("""COMPUTED_VALUE"""),"Humbert River")</f>
        <v>Humbert River</v>
      </c>
      <c r="B3417" s="120" t="str">
        <f>IFERROR(__xludf.DUMMYFUNCTION("""COMPUTED_VALUE"""),"HUB")</f>
        <v>HUB</v>
      </c>
      <c r="C3417" s="120" t="str">
        <f>IFERROR(__xludf.DUMMYFUNCTION("""COMPUTED_VALUE"""),"Humbert River")</f>
        <v>Humbert River</v>
      </c>
      <c r="D3417" s="120" t="str">
        <f>IFERROR(__xludf.DUMMYFUNCTION("""COMPUTED_VALUE"""),"Australia")</f>
        <v>Australia</v>
      </c>
      <c r="E3417" s="135"/>
      <c r="F3417" s="31"/>
    </row>
    <row r="3418">
      <c r="A3418" s="134" t="str">
        <f>IFERROR(__xludf.DUMMYFUNCTION("""COMPUTED_VALUE"""),"Humboldt")</f>
        <v>Humboldt</v>
      </c>
      <c r="B3418" s="120" t="str">
        <f>IFERROR(__xludf.DUMMYFUNCTION("""COMPUTED_VALUE"""),"HUD")</f>
        <v>HUD</v>
      </c>
      <c r="C3418" s="120" t="str">
        <f>IFERROR(__xludf.DUMMYFUNCTION("""COMPUTED_VALUE"""),"Humboldt")</f>
        <v>Humboldt</v>
      </c>
      <c r="D3418" s="120" t="str">
        <f>IFERROR(__xludf.DUMMYFUNCTION("""COMPUTED_VALUE"""),"United States")</f>
        <v>United States</v>
      </c>
      <c r="E3418" s="135"/>
      <c r="F3418" s="31"/>
    </row>
    <row r="3419">
      <c r="A3419" s="134" t="str">
        <f>IFERROR(__xludf.DUMMYFUNCTION("""COMPUTED_VALUE"""),"Humboldt")</f>
        <v>Humboldt</v>
      </c>
      <c r="B3419" s="120" t="str">
        <f>IFERROR(__xludf.DUMMYFUNCTION("""COMPUTED_VALUE"""),"HBO")</f>
        <v>HBO</v>
      </c>
      <c r="C3419" s="120" t="str">
        <f>IFERROR(__xludf.DUMMYFUNCTION("""COMPUTED_VALUE"""),"Municipal")</f>
        <v>Municipal</v>
      </c>
      <c r="D3419" s="120" t="str">
        <f>IFERROR(__xludf.DUMMYFUNCTION("""COMPUTED_VALUE"""),"United States")</f>
        <v>United States</v>
      </c>
      <c r="E3419" s="135"/>
      <c r="F3419" s="31"/>
    </row>
    <row r="3420">
      <c r="A3420" s="134" t="str">
        <f>IFERROR(__xludf.DUMMYFUNCTION("""COMPUTED_VALUE"""),"Humen")</f>
        <v>Humen</v>
      </c>
      <c r="B3420" s="120" t="str">
        <f>IFERROR(__xludf.DUMMYFUNCTION("""COMPUTED_VALUE"""),"ZTI")</f>
        <v>ZTI</v>
      </c>
      <c r="C3420" s="120" t="str">
        <f>IFERROR(__xludf.DUMMYFUNCTION("""COMPUTED_VALUE"""),"Humen Port")</f>
        <v>Humen Port</v>
      </c>
      <c r="D3420" s="120" t="str">
        <f>IFERROR(__xludf.DUMMYFUNCTION("""COMPUTED_VALUE"""),"China")</f>
        <v>China</v>
      </c>
      <c r="E3420" s="135"/>
      <c r="F3420" s="31"/>
    </row>
    <row r="3421">
      <c r="A3421" s="134" t="str">
        <f>IFERROR(__xludf.DUMMYFUNCTION("""COMPUTED_VALUE"""),"Humera")</f>
        <v>Humera</v>
      </c>
      <c r="B3421" s="120" t="str">
        <f>IFERROR(__xludf.DUMMYFUNCTION("""COMPUTED_VALUE"""),"HUE")</f>
        <v>HUE</v>
      </c>
      <c r="C3421" s="120" t="str">
        <f>IFERROR(__xludf.DUMMYFUNCTION("""COMPUTED_VALUE"""),"Humera")</f>
        <v>Humera</v>
      </c>
      <c r="D3421" s="120" t="str">
        <f>IFERROR(__xludf.DUMMYFUNCTION("""COMPUTED_VALUE"""),"Ethiopia")</f>
        <v>Ethiopia</v>
      </c>
      <c r="E3421" s="135"/>
      <c r="F3421" s="31"/>
    </row>
    <row r="3422">
      <c r="A3422" s="134" t="str">
        <f>IFERROR(__xludf.DUMMYFUNCTION("""COMPUTED_VALUE"""),"Huntingburg")</f>
        <v>Huntingburg</v>
      </c>
      <c r="B3422" s="120" t="str">
        <f>IFERROR(__xludf.DUMMYFUNCTION("""COMPUTED_VALUE"""),"HNB")</f>
        <v>HNB</v>
      </c>
      <c r="C3422" s="120" t="str">
        <f>IFERROR(__xludf.DUMMYFUNCTION("""COMPUTED_VALUE"""),"Municipal")</f>
        <v>Municipal</v>
      </c>
      <c r="D3422" s="120" t="str">
        <f>IFERROR(__xludf.DUMMYFUNCTION("""COMPUTED_VALUE"""),"United States")</f>
        <v>United States</v>
      </c>
      <c r="E3422" s="135"/>
      <c r="F3422" s="31"/>
    </row>
    <row r="3423">
      <c r="A3423" s="134" t="str">
        <f>IFERROR(__xludf.DUMMYFUNCTION("""COMPUTED_VALUE"""),"Huntington")</f>
        <v>Huntington</v>
      </c>
      <c r="B3423" s="120" t="str">
        <f>IFERROR(__xludf.DUMMYFUNCTION("""COMPUTED_VALUE"""),"HTS")</f>
        <v>HTS</v>
      </c>
      <c r="C3423" s="120" t="str">
        <f>IFERROR(__xludf.DUMMYFUNCTION("""COMPUTED_VALUE"""),"Tri-State/Milton")</f>
        <v>Tri-State/Milton</v>
      </c>
      <c r="D3423" s="120" t="str">
        <f>IFERROR(__xludf.DUMMYFUNCTION("""COMPUTED_VALUE"""),"United States")</f>
        <v>United States</v>
      </c>
      <c r="E3423" s="135"/>
      <c r="F3423" s="31"/>
    </row>
    <row r="3424">
      <c r="A3424" s="134" t="str">
        <f>IFERROR(__xludf.DUMMYFUNCTION("""COMPUTED_VALUE"""),"Huntsville")</f>
        <v>Huntsville</v>
      </c>
      <c r="B3424" s="120" t="str">
        <f>IFERROR(__xludf.DUMMYFUNCTION("""COMPUTED_VALUE"""),"HUA")</f>
        <v>HUA</v>
      </c>
      <c r="C3424" s="120" t="str">
        <f>IFERROR(__xludf.DUMMYFUNCTION("""COMPUTED_VALUE"""),"Redstone AAF")</f>
        <v>Redstone AAF</v>
      </c>
      <c r="D3424" s="120" t="str">
        <f>IFERROR(__xludf.DUMMYFUNCTION("""COMPUTED_VALUE"""),"United States")</f>
        <v>United States</v>
      </c>
      <c r="E3424" s="135"/>
      <c r="F3424" s="31"/>
    </row>
    <row r="3425">
      <c r="A3425" s="134" t="str">
        <f>IFERROR(__xludf.DUMMYFUNCTION("""COMPUTED_VALUE"""),"Huntsville")</f>
        <v>Huntsville</v>
      </c>
      <c r="B3425" s="120" t="str">
        <f>IFERROR(__xludf.DUMMYFUNCTION("""COMPUTED_VALUE"""),"HSV")</f>
        <v>HSV</v>
      </c>
      <c r="C3425" s="120" t="str">
        <f>IFERROR(__xludf.DUMMYFUNCTION("""COMPUTED_VALUE"""),"Huntsville")</f>
        <v>Huntsville</v>
      </c>
      <c r="D3425" s="120" t="str">
        <f>IFERROR(__xludf.DUMMYFUNCTION("""COMPUTED_VALUE"""),"United States")</f>
        <v>United States</v>
      </c>
      <c r="E3425" s="135"/>
      <c r="F3425" s="31"/>
    </row>
    <row r="3426">
      <c r="A3426" s="134" t="str">
        <f>IFERROR(__xludf.DUMMYFUNCTION("""COMPUTED_VALUE"""),"Hurghada")</f>
        <v>Hurghada</v>
      </c>
      <c r="B3426" s="120" t="str">
        <f>IFERROR(__xludf.DUMMYFUNCTION("""COMPUTED_VALUE"""),"HRG")</f>
        <v>HRG</v>
      </c>
      <c r="C3426" s="120" t="str">
        <f>IFERROR(__xludf.DUMMYFUNCTION("""COMPUTED_VALUE"""),"Hurghada")</f>
        <v>Hurghada</v>
      </c>
      <c r="D3426" s="120" t="str">
        <f>IFERROR(__xludf.DUMMYFUNCTION("""COMPUTED_VALUE"""),"Egypt")</f>
        <v>Egypt</v>
      </c>
      <c r="E3426" s="135"/>
      <c r="F3426" s="31"/>
    </row>
    <row r="3427">
      <c r="A3427" s="134" t="str">
        <f>IFERROR(__xludf.DUMMYFUNCTION("""COMPUTED_VALUE"""),"Huron")</f>
        <v>Huron</v>
      </c>
      <c r="B3427" s="120" t="str">
        <f>IFERROR(__xludf.DUMMYFUNCTION("""COMPUTED_VALUE"""),"HON")</f>
        <v>HON</v>
      </c>
      <c r="C3427" s="120" t="str">
        <f>IFERROR(__xludf.DUMMYFUNCTION("""COMPUTED_VALUE"""),"Howes")</f>
        <v>Howes</v>
      </c>
      <c r="D3427" s="120" t="str">
        <f>IFERROR(__xludf.DUMMYFUNCTION("""COMPUTED_VALUE"""),"United States")</f>
        <v>United States</v>
      </c>
      <c r="E3427" s="135"/>
      <c r="F3427" s="31"/>
    </row>
    <row r="3428">
      <c r="A3428" s="134" t="str">
        <f>IFERROR(__xludf.DUMMYFUNCTION("""COMPUTED_VALUE"""),"Husavik")</f>
        <v>Husavik</v>
      </c>
      <c r="B3428" s="120" t="str">
        <f>IFERROR(__xludf.DUMMYFUNCTION("""COMPUTED_VALUE"""),"HZK")</f>
        <v>HZK</v>
      </c>
      <c r="C3428" s="120" t="str">
        <f>IFERROR(__xludf.DUMMYFUNCTION("""COMPUTED_VALUE"""),"Husavik")</f>
        <v>Husavik</v>
      </c>
      <c r="D3428" s="120" t="str">
        <f>IFERROR(__xludf.DUMMYFUNCTION("""COMPUTED_VALUE"""),"Iceland")</f>
        <v>Iceland</v>
      </c>
      <c r="E3428" s="135"/>
      <c r="F3428" s="31"/>
    </row>
    <row r="3429">
      <c r="A3429" s="134" t="str">
        <f>IFERROR(__xludf.DUMMYFUNCTION("""COMPUTED_VALUE"""),"Huslia")</f>
        <v>Huslia</v>
      </c>
      <c r="B3429" s="120" t="str">
        <f>IFERROR(__xludf.DUMMYFUNCTION("""COMPUTED_VALUE"""),"HSL")</f>
        <v>HSL</v>
      </c>
      <c r="C3429" s="120" t="str">
        <f>IFERROR(__xludf.DUMMYFUNCTION("""COMPUTED_VALUE"""),"Huslia")</f>
        <v>Huslia</v>
      </c>
      <c r="D3429" s="120" t="str">
        <f>IFERROR(__xludf.DUMMYFUNCTION("""COMPUTED_VALUE"""),"United States")</f>
        <v>United States</v>
      </c>
      <c r="E3429" s="135"/>
      <c r="F3429" s="31"/>
    </row>
    <row r="3430">
      <c r="A3430" s="134" t="str">
        <f>IFERROR(__xludf.DUMMYFUNCTION("""COMPUTED_VALUE"""),"Husum")</f>
        <v>Husum</v>
      </c>
      <c r="B3430" s="120" t="str">
        <f>IFERROR(__xludf.DUMMYFUNCTION("""COMPUTED_VALUE"""),"QHU")</f>
        <v>QHU</v>
      </c>
      <c r="C3430" s="120" t="str">
        <f>IFERROR(__xludf.DUMMYFUNCTION("""COMPUTED_VALUE"""),"Husum")</f>
        <v>Husum</v>
      </c>
      <c r="D3430" s="120" t="str">
        <f>IFERROR(__xludf.DUMMYFUNCTION("""COMPUTED_VALUE"""),"Germany")</f>
        <v>Germany</v>
      </c>
      <c r="E3430" s="135"/>
      <c r="F3430" s="31"/>
    </row>
    <row r="3431">
      <c r="A3431" s="134" t="str">
        <f>IFERROR(__xludf.DUMMYFUNCTION("""COMPUTED_VALUE"""),"Hutchinson")</f>
        <v>Hutchinson</v>
      </c>
      <c r="B3431" s="120" t="str">
        <f>IFERROR(__xludf.DUMMYFUNCTION("""COMPUTED_VALUE"""),"HUT")</f>
        <v>HUT</v>
      </c>
      <c r="C3431" s="120" t="str">
        <f>IFERROR(__xludf.DUMMYFUNCTION("""COMPUTED_VALUE"""),"Hutchinson")</f>
        <v>Hutchinson</v>
      </c>
      <c r="D3431" s="120" t="str">
        <f>IFERROR(__xludf.DUMMYFUNCTION("""COMPUTED_VALUE"""),"United States")</f>
        <v>United States</v>
      </c>
      <c r="E3431" s="135"/>
      <c r="F3431" s="31"/>
    </row>
    <row r="3432">
      <c r="A3432" s="134" t="str">
        <f>IFERROR(__xludf.DUMMYFUNCTION("""COMPUTED_VALUE"""),"Hvammstangi")</f>
        <v>Hvammstangi</v>
      </c>
      <c r="B3432" s="120" t="str">
        <f>IFERROR(__xludf.DUMMYFUNCTION("""COMPUTED_VALUE"""),"HVM")</f>
        <v>HVM</v>
      </c>
      <c r="C3432" s="120" t="str">
        <f>IFERROR(__xludf.DUMMYFUNCTION("""COMPUTED_VALUE"""),"Hvammstangi")</f>
        <v>Hvammstangi</v>
      </c>
      <c r="D3432" s="120" t="str">
        <f>IFERROR(__xludf.DUMMYFUNCTION("""COMPUTED_VALUE"""),"Iceland")</f>
        <v>Iceland</v>
      </c>
      <c r="E3432" s="135"/>
      <c r="F3432" s="31"/>
    </row>
    <row r="3433">
      <c r="A3433" s="134" t="str">
        <f>IFERROR(__xludf.DUMMYFUNCTION("""COMPUTED_VALUE"""),"Hwange")</f>
        <v>Hwange</v>
      </c>
      <c r="B3433" s="120" t="str">
        <f>IFERROR(__xludf.DUMMYFUNCTION("""COMPUTED_VALUE"""),"WKI")</f>
        <v>WKI</v>
      </c>
      <c r="C3433" s="120" t="str">
        <f>IFERROR(__xludf.DUMMYFUNCTION("""COMPUTED_VALUE"""),"Hwange")</f>
        <v>Hwange</v>
      </c>
      <c r="D3433" s="120" t="str">
        <f>IFERROR(__xludf.DUMMYFUNCTION("""COMPUTED_VALUE"""),"Zimbabwe")</f>
        <v>Zimbabwe</v>
      </c>
      <c r="E3433" s="135"/>
      <c r="F3433" s="31"/>
    </row>
    <row r="3434">
      <c r="A3434" s="134" t="str">
        <f>IFERROR(__xludf.DUMMYFUNCTION("""COMPUTED_VALUE"""),"Hwange Nat Park")</f>
        <v>Hwange Nat Park</v>
      </c>
      <c r="B3434" s="120" t="str">
        <f>IFERROR(__xludf.DUMMYFUNCTION("""COMPUTED_VALUE"""),"HWN")</f>
        <v>HWN</v>
      </c>
      <c r="C3434" s="120" t="str">
        <f>IFERROR(__xludf.DUMMYFUNCTION("""COMPUTED_VALUE"""),"Hwange Nat Park")</f>
        <v>Hwange Nat Park</v>
      </c>
      <c r="D3434" s="120" t="str">
        <f>IFERROR(__xludf.DUMMYFUNCTION("""COMPUTED_VALUE"""),"Zimbabwe")</f>
        <v>Zimbabwe</v>
      </c>
      <c r="E3434" s="135"/>
      <c r="F3434" s="31"/>
    </row>
    <row r="3435">
      <c r="A3435" s="134" t="str">
        <f>IFERROR(__xludf.DUMMYFUNCTION("""COMPUTED_VALUE"""),"Hyannis")</f>
        <v>Hyannis</v>
      </c>
      <c r="B3435" s="120" t="str">
        <f>IFERROR(__xludf.DUMMYFUNCTION("""COMPUTED_VALUE"""),"HYA")</f>
        <v>HYA</v>
      </c>
      <c r="C3435" s="120" t="str">
        <f>IFERROR(__xludf.DUMMYFUNCTION("""COMPUTED_VALUE"""),"Barnstable")</f>
        <v>Barnstable</v>
      </c>
      <c r="D3435" s="120" t="str">
        <f>IFERROR(__xludf.DUMMYFUNCTION("""COMPUTED_VALUE"""),"United States")</f>
        <v>United States</v>
      </c>
      <c r="E3435" s="135"/>
      <c r="F3435" s="31"/>
    </row>
    <row r="3436">
      <c r="A3436" s="134" t="str">
        <f>IFERROR(__xludf.DUMMYFUNCTION("""COMPUTED_VALUE"""),"Hydaburg")</f>
        <v>Hydaburg</v>
      </c>
      <c r="B3436" s="120" t="str">
        <f>IFERROR(__xludf.DUMMYFUNCTION("""COMPUTED_VALUE"""),"HYG")</f>
        <v>HYG</v>
      </c>
      <c r="C3436" s="120" t="str">
        <f>IFERROR(__xludf.DUMMYFUNCTION("""COMPUTED_VALUE"""),"SPB")</f>
        <v>SPB</v>
      </c>
      <c r="D3436" s="120" t="str">
        <f>IFERROR(__xludf.DUMMYFUNCTION("""COMPUTED_VALUE"""),"United States")</f>
        <v>United States</v>
      </c>
      <c r="E3436" s="135"/>
      <c r="F3436" s="31"/>
    </row>
    <row r="3437">
      <c r="A3437" s="134" t="str">
        <f>IFERROR(__xludf.DUMMYFUNCTION("""COMPUTED_VALUE"""),"Hyder")</f>
        <v>Hyder</v>
      </c>
      <c r="B3437" s="120" t="str">
        <f>IFERROR(__xludf.DUMMYFUNCTION("""COMPUTED_VALUE"""),"WHD")</f>
        <v>WHD</v>
      </c>
      <c r="C3437" s="120" t="str">
        <f>IFERROR(__xludf.DUMMYFUNCTION("""COMPUTED_VALUE"""),"SPB")</f>
        <v>SPB</v>
      </c>
      <c r="D3437" s="120" t="str">
        <f>IFERROR(__xludf.DUMMYFUNCTION("""COMPUTED_VALUE"""),"United States")</f>
        <v>United States</v>
      </c>
      <c r="E3437" s="135"/>
      <c r="F3437" s="31"/>
    </row>
    <row r="3438">
      <c r="A3438" s="134" t="str">
        <f>IFERROR(__xludf.DUMMYFUNCTION("""COMPUTED_VALUE"""),"Hyderabad")</f>
        <v>Hyderabad</v>
      </c>
      <c r="B3438" s="120" t="str">
        <f>IFERROR(__xludf.DUMMYFUNCTION("""COMPUTED_VALUE"""),"HYD")</f>
        <v>HYD</v>
      </c>
      <c r="C3438" s="120" t="str">
        <f>IFERROR(__xludf.DUMMYFUNCTION("""COMPUTED_VALUE"""),"Begumpet Airport")</f>
        <v>Begumpet Airport</v>
      </c>
      <c r="D3438" s="120" t="str">
        <f>IFERROR(__xludf.DUMMYFUNCTION("""COMPUTED_VALUE"""),"India")</f>
        <v>India</v>
      </c>
      <c r="E3438" s="135"/>
      <c r="F3438" s="31"/>
    </row>
    <row r="3439">
      <c r="A3439" s="134" t="str">
        <f>IFERROR(__xludf.DUMMYFUNCTION("""COMPUTED_VALUE"""),"Hyderabad")</f>
        <v>Hyderabad</v>
      </c>
      <c r="B3439" s="120" t="str">
        <f>IFERROR(__xludf.DUMMYFUNCTION("""COMPUTED_VALUE"""),"HDD")</f>
        <v>HDD</v>
      </c>
      <c r="C3439" s="120" t="str">
        <f>IFERROR(__xludf.DUMMYFUNCTION("""COMPUTED_VALUE"""),"Hyderabad")</f>
        <v>Hyderabad</v>
      </c>
      <c r="D3439" s="120" t="str">
        <f>IFERROR(__xludf.DUMMYFUNCTION("""COMPUTED_VALUE"""),"Pakistan")</f>
        <v>Pakistan</v>
      </c>
      <c r="E3439" s="135"/>
      <c r="F3439" s="31"/>
    </row>
    <row r="3440">
      <c r="A3440" s="134" t="str">
        <f>IFERROR(__xludf.DUMMYFUNCTION("""COMPUTED_VALUE"""),"Hyvinkaa")</f>
        <v>Hyvinkaa</v>
      </c>
      <c r="B3440" s="120" t="str">
        <f>IFERROR(__xludf.DUMMYFUNCTION("""COMPUTED_VALUE"""),"HYV")</f>
        <v>HYV</v>
      </c>
      <c r="C3440" s="120" t="str">
        <f>IFERROR(__xludf.DUMMYFUNCTION("""COMPUTED_VALUE"""),"Hyvinkaa")</f>
        <v>Hyvinkaa</v>
      </c>
      <c r="D3440" s="120" t="str">
        <f>IFERROR(__xludf.DUMMYFUNCTION("""COMPUTED_VALUE"""),"Finland")</f>
        <v>Finland</v>
      </c>
      <c r="E3440" s="135"/>
      <c r="F3440" s="31"/>
    </row>
    <row r="3441">
      <c r="A3441" s="134" t="str">
        <f>IFERROR(__xludf.DUMMYFUNCTION("""COMPUTED_VALUE"""),"Iamalele")</f>
        <v>Iamalele</v>
      </c>
      <c r="B3441" s="120" t="str">
        <f>IFERROR(__xludf.DUMMYFUNCTION("""COMPUTED_VALUE"""),"IMA")</f>
        <v>IMA</v>
      </c>
      <c r="C3441" s="120" t="str">
        <f>IFERROR(__xludf.DUMMYFUNCTION("""COMPUTED_VALUE"""),"Iamalele")</f>
        <v>Iamalele</v>
      </c>
      <c r="D3441" s="120" t="str">
        <f>IFERROR(__xludf.DUMMYFUNCTION("""COMPUTED_VALUE"""),"Papua New Guinea")</f>
        <v>Papua New Guinea</v>
      </c>
      <c r="E3441" s="135"/>
      <c r="F3441" s="31"/>
    </row>
    <row r="3442">
      <c r="A3442" s="134" t="str">
        <f>IFERROR(__xludf.DUMMYFUNCTION("""COMPUTED_VALUE"""),"Iasi")</f>
        <v>Iasi</v>
      </c>
      <c r="B3442" s="120" t="str">
        <f>IFERROR(__xludf.DUMMYFUNCTION("""COMPUTED_VALUE"""),"IAS")</f>
        <v>IAS</v>
      </c>
      <c r="C3442" s="120" t="str">
        <f>IFERROR(__xludf.DUMMYFUNCTION("""COMPUTED_VALUE"""),"Iasi")</f>
        <v>Iasi</v>
      </c>
      <c r="D3442" s="120" t="str">
        <f>IFERROR(__xludf.DUMMYFUNCTION("""COMPUTED_VALUE"""),"Romania")</f>
        <v>Romania</v>
      </c>
      <c r="E3442" s="135"/>
      <c r="F3442" s="31"/>
    </row>
    <row r="3443">
      <c r="A3443" s="134" t="str">
        <f>IFERROR(__xludf.DUMMYFUNCTION("""COMPUTED_VALUE"""),"Iaura")</f>
        <v>Iaura</v>
      </c>
      <c r="B3443" s="120" t="str">
        <f>IFERROR(__xludf.DUMMYFUNCTION("""COMPUTED_VALUE"""),"IAU")</f>
        <v>IAU</v>
      </c>
      <c r="C3443" s="120" t="str">
        <f>IFERROR(__xludf.DUMMYFUNCTION("""COMPUTED_VALUE"""),"Iaura")</f>
        <v>Iaura</v>
      </c>
      <c r="D3443" s="120" t="str">
        <f>IFERROR(__xludf.DUMMYFUNCTION("""COMPUTED_VALUE"""),"Papua New Guinea")</f>
        <v>Papua New Guinea</v>
      </c>
      <c r="E3443" s="135"/>
      <c r="F3443" s="31"/>
    </row>
    <row r="3444">
      <c r="A3444" s="134" t="str">
        <f>IFERROR(__xludf.DUMMYFUNCTION("""COMPUTED_VALUE"""),"Ibadan")</f>
        <v>Ibadan</v>
      </c>
      <c r="B3444" s="120" t="str">
        <f>IFERROR(__xludf.DUMMYFUNCTION("""COMPUTED_VALUE"""),"IBA")</f>
        <v>IBA</v>
      </c>
      <c r="C3444" s="120" t="str">
        <f>IFERROR(__xludf.DUMMYFUNCTION("""COMPUTED_VALUE"""),"Ibadan")</f>
        <v>Ibadan</v>
      </c>
      <c r="D3444" s="120" t="str">
        <f>IFERROR(__xludf.DUMMYFUNCTION("""COMPUTED_VALUE"""),"Nigeria")</f>
        <v>Nigeria</v>
      </c>
      <c r="E3444" s="135"/>
      <c r="F3444" s="31"/>
    </row>
    <row r="3445">
      <c r="A3445" s="134" t="str">
        <f>IFERROR(__xludf.DUMMYFUNCTION("""COMPUTED_VALUE"""),"Ibague")</f>
        <v>Ibague</v>
      </c>
      <c r="B3445" s="120" t="str">
        <f>IFERROR(__xludf.DUMMYFUNCTION("""COMPUTED_VALUE"""),"IBE")</f>
        <v>IBE</v>
      </c>
      <c r="C3445" s="120" t="str">
        <f>IFERROR(__xludf.DUMMYFUNCTION("""COMPUTED_VALUE"""),"Ibague")</f>
        <v>Ibague</v>
      </c>
      <c r="D3445" s="120" t="str">
        <f>IFERROR(__xludf.DUMMYFUNCTION("""COMPUTED_VALUE"""),"Colombia")</f>
        <v>Colombia</v>
      </c>
      <c r="E3445" s="135"/>
      <c r="F3445" s="31"/>
    </row>
    <row r="3446">
      <c r="A3446" s="134" t="str">
        <f>IFERROR(__xludf.DUMMYFUNCTION("""COMPUTED_VALUE"""),"Iberia")</f>
        <v>Iberia</v>
      </c>
      <c r="B3446" s="120" t="str">
        <f>IFERROR(__xludf.DUMMYFUNCTION("""COMPUTED_VALUE"""),"IBP")</f>
        <v>IBP</v>
      </c>
      <c r="C3446" s="120" t="str">
        <f>IFERROR(__xludf.DUMMYFUNCTION("""COMPUTED_VALUE"""),"Iberia")</f>
        <v>Iberia</v>
      </c>
      <c r="D3446" s="120" t="str">
        <f>IFERROR(__xludf.DUMMYFUNCTION("""COMPUTED_VALUE"""),"Peru")</f>
        <v>Peru</v>
      </c>
      <c r="E3446" s="135"/>
      <c r="F3446" s="31"/>
    </row>
    <row r="3447">
      <c r="A3447" s="134" t="str">
        <f>IFERROR(__xludf.DUMMYFUNCTION("""COMPUTED_VALUE"""),"Ibiza")</f>
        <v>Ibiza</v>
      </c>
      <c r="B3447" s="120" t="str">
        <f>IFERROR(__xludf.DUMMYFUNCTION("""COMPUTED_VALUE"""),"IBZ")</f>
        <v>IBZ</v>
      </c>
      <c r="C3447" s="120" t="str">
        <f>IFERROR(__xludf.DUMMYFUNCTION("""COMPUTED_VALUE"""),"Ibiza")</f>
        <v>Ibiza</v>
      </c>
      <c r="D3447" s="120" t="str">
        <f>IFERROR(__xludf.DUMMYFUNCTION("""COMPUTED_VALUE"""),"Spain")</f>
        <v>Spain</v>
      </c>
      <c r="E3447" s="135"/>
      <c r="F3447" s="31"/>
    </row>
    <row r="3448">
      <c r="A3448" s="134" t="str">
        <f>IFERROR(__xludf.DUMMYFUNCTION("""COMPUTED_VALUE"""),"Ibo")</f>
        <v>Ibo</v>
      </c>
      <c r="B3448" s="120" t="str">
        <f>IFERROR(__xludf.DUMMYFUNCTION("""COMPUTED_VALUE"""),"IBO")</f>
        <v>IBO</v>
      </c>
      <c r="C3448" s="120" t="str">
        <f>IFERROR(__xludf.DUMMYFUNCTION("""COMPUTED_VALUE"""),"Ibo")</f>
        <v>Ibo</v>
      </c>
      <c r="D3448" s="120" t="str">
        <f>IFERROR(__xludf.DUMMYFUNCTION("""COMPUTED_VALUE"""),"Mozambique")</f>
        <v>Mozambique</v>
      </c>
      <c r="E3448" s="135"/>
      <c r="F3448" s="31"/>
    </row>
    <row r="3449">
      <c r="A3449" s="134" t="str">
        <f>IFERROR(__xludf.DUMMYFUNCTION("""COMPUTED_VALUE"""),"Iboki")</f>
        <v>Iboki</v>
      </c>
      <c r="B3449" s="120" t="str">
        <f>IFERROR(__xludf.DUMMYFUNCTION("""COMPUTED_VALUE"""),"IBI")</f>
        <v>IBI</v>
      </c>
      <c r="C3449" s="120" t="str">
        <f>IFERROR(__xludf.DUMMYFUNCTION("""COMPUTED_VALUE"""),"Iboki")</f>
        <v>Iboki</v>
      </c>
      <c r="D3449" s="120" t="str">
        <f>IFERROR(__xludf.DUMMYFUNCTION("""COMPUTED_VALUE"""),"Papua New Guinea")</f>
        <v>Papua New Guinea</v>
      </c>
      <c r="E3449" s="135"/>
      <c r="F3449" s="31"/>
    </row>
    <row r="3450">
      <c r="A3450" s="134" t="str">
        <f>IFERROR(__xludf.DUMMYFUNCTION("""COMPUTED_VALUE"""),"Icabaru")</f>
        <v>Icabaru</v>
      </c>
      <c r="B3450" s="120" t="str">
        <f>IFERROR(__xludf.DUMMYFUNCTION("""COMPUTED_VALUE"""),"ICA")</f>
        <v>ICA</v>
      </c>
      <c r="C3450" s="120" t="str">
        <f>IFERROR(__xludf.DUMMYFUNCTION("""COMPUTED_VALUE"""),"Icabaru")</f>
        <v>Icabaru</v>
      </c>
      <c r="D3450" s="120" t="str">
        <f>IFERROR(__xludf.DUMMYFUNCTION("""COMPUTED_VALUE"""),"Venezuela")</f>
        <v>Venezuela</v>
      </c>
      <c r="E3450" s="135"/>
      <c r="F3450" s="31"/>
    </row>
    <row r="3451">
      <c r="A3451" s="134" t="str">
        <f>IFERROR(__xludf.DUMMYFUNCTION("""COMPUTED_VALUE"""),"Icy Bay")</f>
        <v>Icy Bay</v>
      </c>
      <c r="B3451" s="120" t="str">
        <f>IFERROR(__xludf.DUMMYFUNCTION("""COMPUTED_VALUE"""),"ICY")</f>
        <v>ICY</v>
      </c>
      <c r="C3451" s="120" t="str">
        <f>IFERROR(__xludf.DUMMYFUNCTION("""COMPUTED_VALUE"""),"Icy Bay")</f>
        <v>Icy Bay</v>
      </c>
      <c r="D3451" s="120" t="str">
        <f>IFERROR(__xludf.DUMMYFUNCTION("""COMPUTED_VALUE"""),"United States")</f>
        <v>United States</v>
      </c>
      <c r="E3451" s="135"/>
      <c r="F3451" s="31"/>
    </row>
    <row r="3452">
      <c r="A3452" s="134" t="str">
        <f>IFERROR(__xludf.DUMMYFUNCTION("""COMPUTED_VALUE"""),"Ida Grove")</f>
        <v>Ida Grove</v>
      </c>
      <c r="B3452" s="120" t="str">
        <f>IFERROR(__xludf.DUMMYFUNCTION("""COMPUTED_VALUE"""),"IDG")</f>
        <v>IDG</v>
      </c>
      <c r="C3452" s="120" t="str">
        <f>IFERROR(__xludf.DUMMYFUNCTION("""COMPUTED_VALUE"""),"Municipal")</f>
        <v>Municipal</v>
      </c>
      <c r="D3452" s="120" t="str">
        <f>IFERROR(__xludf.DUMMYFUNCTION("""COMPUTED_VALUE"""),"United States")</f>
        <v>United States</v>
      </c>
      <c r="E3452" s="135"/>
      <c r="F3452" s="31"/>
    </row>
    <row r="3453">
      <c r="A3453" s="134" t="str">
        <f>IFERROR(__xludf.DUMMYFUNCTION("""COMPUTED_VALUE"""),"Idaho Falls")</f>
        <v>Idaho Falls</v>
      </c>
      <c r="B3453" s="120" t="str">
        <f>IFERROR(__xludf.DUMMYFUNCTION("""COMPUTED_VALUE"""),"IDA")</f>
        <v>IDA</v>
      </c>
      <c r="C3453" s="120" t="str">
        <f>IFERROR(__xludf.DUMMYFUNCTION("""COMPUTED_VALUE"""),"Fanning Field")</f>
        <v>Fanning Field</v>
      </c>
      <c r="D3453" s="120" t="str">
        <f>IFERROR(__xludf.DUMMYFUNCTION("""COMPUTED_VALUE"""),"United States")</f>
        <v>United States</v>
      </c>
      <c r="E3453" s="135"/>
      <c r="F3453" s="31"/>
    </row>
    <row r="3454">
      <c r="A3454" s="134" t="str">
        <f>IFERROR(__xludf.DUMMYFUNCTION("""COMPUTED_VALUE"""),"Idiofa")</f>
        <v>Idiofa</v>
      </c>
      <c r="B3454" s="120" t="str">
        <f>IFERROR(__xludf.DUMMYFUNCTION("""COMPUTED_VALUE"""),"IDF")</f>
        <v>IDF</v>
      </c>
      <c r="C3454" s="120" t="str">
        <f>IFERROR(__xludf.DUMMYFUNCTION("""COMPUTED_VALUE"""),"Idiofa")</f>
        <v>Idiofa</v>
      </c>
      <c r="D3454" s="120" t="str">
        <f>IFERROR(__xludf.DUMMYFUNCTION("""COMPUTED_VALUE"""),"Zaire")</f>
        <v>Zaire</v>
      </c>
      <c r="E3454" s="135"/>
      <c r="F3454" s="31"/>
    </row>
    <row r="3455">
      <c r="A3455" s="134" t="str">
        <f>IFERROR(__xludf.DUMMYFUNCTION("""COMPUTED_VALUE"""),"Idre")</f>
        <v>Idre</v>
      </c>
      <c r="B3455" s="120" t="str">
        <f>IFERROR(__xludf.DUMMYFUNCTION("""COMPUTED_VALUE"""),"IDB")</f>
        <v>IDB</v>
      </c>
      <c r="C3455" s="120" t="str">
        <f>IFERROR(__xludf.DUMMYFUNCTION("""COMPUTED_VALUE"""),"Idre")</f>
        <v>Idre</v>
      </c>
      <c r="D3455" s="120" t="str">
        <f>IFERROR(__xludf.DUMMYFUNCTION("""COMPUTED_VALUE"""),"Sweden")</f>
        <v>Sweden</v>
      </c>
      <c r="E3455" s="135"/>
      <c r="F3455" s="31"/>
    </row>
    <row r="3456">
      <c r="A3456" s="134" t="str">
        <f>IFERROR(__xludf.DUMMYFUNCTION("""COMPUTED_VALUE"""),"Iejima")</f>
        <v>Iejima</v>
      </c>
      <c r="B3456" s="120" t="str">
        <f>IFERROR(__xludf.DUMMYFUNCTION("""COMPUTED_VALUE"""),"IEJ")</f>
        <v>IEJ</v>
      </c>
      <c r="C3456" s="120" t="str">
        <f>IFERROR(__xludf.DUMMYFUNCTION("""COMPUTED_VALUE"""),"Iejima")</f>
        <v>Iejima</v>
      </c>
      <c r="D3456" s="120" t="str">
        <f>IFERROR(__xludf.DUMMYFUNCTION("""COMPUTED_VALUE"""),"Japan")</f>
        <v>Japan</v>
      </c>
      <c r="E3456" s="135"/>
      <c r="F3456" s="31"/>
    </row>
    <row r="3457">
      <c r="A3457" s="134" t="str">
        <f>IFERROR(__xludf.DUMMYFUNCTION("""COMPUTED_VALUE"""),"Iffley")</f>
        <v>Iffley</v>
      </c>
      <c r="B3457" s="120" t="str">
        <f>IFERROR(__xludf.DUMMYFUNCTION("""COMPUTED_VALUE"""),"IFF")</f>
        <v>IFF</v>
      </c>
      <c r="C3457" s="120" t="str">
        <f>IFERROR(__xludf.DUMMYFUNCTION("""COMPUTED_VALUE"""),"Iffley")</f>
        <v>Iffley</v>
      </c>
      <c r="D3457" s="120" t="str">
        <f>IFERROR(__xludf.DUMMYFUNCTION("""COMPUTED_VALUE"""),"Australia")</f>
        <v>Australia</v>
      </c>
      <c r="E3457" s="135"/>
      <c r="F3457" s="31"/>
    </row>
    <row r="3458">
      <c r="A3458" s="134" t="str">
        <f>IFERROR(__xludf.DUMMYFUNCTION("""COMPUTED_VALUE"""),"Igarka")</f>
        <v>Igarka</v>
      </c>
      <c r="B3458" s="120" t="str">
        <f>IFERROR(__xludf.DUMMYFUNCTION("""COMPUTED_VALUE"""),"IAA")</f>
        <v>IAA</v>
      </c>
      <c r="C3458" s="120" t="str">
        <f>IFERROR(__xludf.DUMMYFUNCTION("""COMPUTED_VALUE"""),"Igarka")</f>
        <v>Igarka</v>
      </c>
      <c r="D3458" s="120" t="str">
        <f>IFERROR(__xludf.DUMMYFUNCTION("""COMPUTED_VALUE"""),"Russia")</f>
        <v>Russia</v>
      </c>
      <c r="E3458" s="135"/>
      <c r="F3458" s="31"/>
    </row>
    <row r="3459">
      <c r="A3459" s="134" t="str">
        <f>IFERROR(__xludf.DUMMYFUNCTION("""COMPUTED_VALUE"""),"Iginniarfik")</f>
        <v>Iginniarfik</v>
      </c>
      <c r="B3459" s="120" t="str">
        <f>IFERROR(__xludf.DUMMYFUNCTION("""COMPUTED_VALUE"""),"QFI")</f>
        <v>QFI</v>
      </c>
      <c r="C3459" s="120" t="str">
        <f>IFERROR(__xludf.DUMMYFUNCTION("""COMPUTED_VALUE"""),"Heliport")</f>
        <v>Heliport</v>
      </c>
      <c r="D3459" s="120" t="str">
        <f>IFERROR(__xludf.DUMMYFUNCTION("""COMPUTED_VALUE"""),"Greenland")</f>
        <v>Greenland</v>
      </c>
      <c r="E3459" s="135"/>
      <c r="F3459" s="31"/>
    </row>
    <row r="3460">
      <c r="A3460" s="134" t="str">
        <f>IFERROR(__xludf.DUMMYFUNCTION("""COMPUTED_VALUE"""),"Igiugig")</f>
        <v>Igiugig</v>
      </c>
      <c r="B3460" s="120" t="str">
        <f>IFERROR(__xludf.DUMMYFUNCTION("""COMPUTED_VALUE"""),"IGG")</f>
        <v>IGG</v>
      </c>
      <c r="C3460" s="120" t="str">
        <f>IFERROR(__xludf.DUMMYFUNCTION("""COMPUTED_VALUE"""),"Igiugig")</f>
        <v>Igiugig</v>
      </c>
      <c r="D3460" s="120" t="str">
        <f>IFERROR(__xludf.DUMMYFUNCTION("""COMPUTED_VALUE"""),"United States")</f>
        <v>United States</v>
      </c>
      <c r="E3460" s="135"/>
      <c r="F3460" s="31"/>
    </row>
    <row r="3461">
      <c r="A3461" s="134" t="str">
        <f>IFERROR(__xludf.DUMMYFUNCTION("""COMPUTED_VALUE"""),"Igloolik")</f>
        <v>Igloolik</v>
      </c>
      <c r="B3461" s="120" t="str">
        <f>IFERROR(__xludf.DUMMYFUNCTION("""COMPUTED_VALUE"""),"YGT")</f>
        <v>YGT</v>
      </c>
      <c r="C3461" s="120" t="str">
        <f>IFERROR(__xludf.DUMMYFUNCTION("""COMPUTED_VALUE"""),"Igloolik")</f>
        <v>Igloolik</v>
      </c>
      <c r="D3461" s="120" t="str">
        <f>IFERROR(__xludf.DUMMYFUNCTION("""COMPUTED_VALUE"""),"Canada")</f>
        <v>Canada</v>
      </c>
      <c r="E3461" s="135"/>
      <c r="F3461" s="31"/>
    </row>
    <row r="3462">
      <c r="A3462" s="134" t="str">
        <f>IFERROR(__xludf.DUMMYFUNCTION("""COMPUTED_VALUE"""),"Ignace")</f>
        <v>Ignace</v>
      </c>
      <c r="B3462" s="120" t="str">
        <f>IFERROR(__xludf.DUMMYFUNCTION("""COMPUTED_VALUE"""),"ZUC")</f>
        <v>ZUC</v>
      </c>
      <c r="C3462" s="120" t="str">
        <f>IFERROR(__xludf.DUMMYFUNCTION("""COMPUTED_VALUE"""),"Ignace")</f>
        <v>Ignace</v>
      </c>
      <c r="D3462" s="120" t="str">
        <f>IFERROR(__xludf.DUMMYFUNCTION("""COMPUTED_VALUE"""),"Canada")</f>
        <v>Canada</v>
      </c>
      <c r="E3462" s="135"/>
      <c r="F3462" s="31"/>
    </row>
    <row r="3463">
      <c r="A3463" s="134" t="str">
        <f>IFERROR(__xludf.DUMMYFUNCTION("""COMPUTED_VALUE"""),"Iguassu Falls")</f>
        <v>Iguassu Falls</v>
      </c>
      <c r="B3463" s="120" t="str">
        <f>IFERROR(__xludf.DUMMYFUNCTION("""COMPUTED_VALUE"""),"IGU")</f>
        <v>IGU</v>
      </c>
      <c r="C3463" s="120" t="str">
        <f>IFERROR(__xludf.DUMMYFUNCTION("""COMPUTED_VALUE"""),"Cataratas")</f>
        <v>Cataratas</v>
      </c>
      <c r="D3463" s="120" t="str">
        <f>IFERROR(__xludf.DUMMYFUNCTION("""COMPUTED_VALUE"""),"Brazil")</f>
        <v>Brazil</v>
      </c>
      <c r="E3463" s="135"/>
      <c r="F3463" s="31"/>
    </row>
    <row r="3464">
      <c r="A3464" s="134" t="str">
        <f>IFERROR(__xludf.DUMMYFUNCTION("""COMPUTED_VALUE"""),"Iguazu")</f>
        <v>Iguazu</v>
      </c>
      <c r="B3464" s="120" t="str">
        <f>IFERROR(__xludf.DUMMYFUNCTION("""COMPUTED_VALUE"""),"IGR")</f>
        <v>IGR</v>
      </c>
      <c r="C3464" s="120" t="str">
        <f>IFERROR(__xludf.DUMMYFUNCTION("""COMPUTED_VALUE"""),"Cataratas")</f>
        <v>Cataratas</v>
      </c>
      <c r="D3464" s="120" t="str">
        <f>IFERROR(__xludf.DUMMYFUNCTION("""COMPUTED_VALUE"""),"Argentina")</f>
        <v>Argentina</v>
      </c>
      <c r="E3464" s="135"/>
      <c r="F3464" s="31"/>
    </row>
    <row r="3465">
      <c r="A3465" s="134" t="str">
        <f>IFERROR(__xludf.DUMMYFUNCTION("""COMPUTED_VALUE"""),"Iguela")</f>
        <v>Iguela</v>
      </c>
      <c r="B3465" s="120" t="str">
        <f>IFERROR(__xludf.DUMMYFUNCTION("""COMPUTED_VALUE"""),"IGE")</f>
        <v>IGE</v>
      </c>
      <c r="C3465" s="120" t="str">
        <f>IFERROR(__xludf.DUMMYFUNCTION("""COMPUTED_VALUE"""),"Iguela")</f>
        <v>Iguela</v>
      </c>
      <c r="D3465" s="120" t="str">
        <f>IFERROR(__xludf.DUMMYFUNCTION("""COMPUTED_VALUE"""),"Gabon")</f>
        <v>Gabon</v>
      </c>
      <c r="E3465" s="135"/>
      <c r="F3465" s="31"/>
    </row>
    <row r="3466">
      <c r="A3466" s="134" t="str">
        <f>IFERROR(__xludf.DUMMYFUNCTION("""COMPUTED_VALUE"""),"Ihosy")</f>
        <v>Ihosy</v>
      </c>
      <c r="B3466" s="120" t="str">
        <f>IFERROR(__xludf.DUMMYFUNCTION("""COMPUTED_VALUE"""),"IHO")</f>
        <v>IHO</v>
      </c>
      <c r="C3466" s="120" t="str">
        <f>IFERROR(__xludf.DUMMYFUNCTION("""COMPUTED_VALUE"""),"Ihosy")</f>
        <v>Ihosy</v>
      </c>
      <c r="D3466" s="120" t="str">
        <f>IFERROR(__xludf.DUMMYFUNCTION("""COMPUTED_VALUE"""),"Madagascar")</f>
        <v>Madagascar</v>
      </c>
      <c r="E3466" s="135"/>
      <c r="F3466" s="31"/>
    </row>
    <row r="3467">
      <c r="A3467" s="134" t="str">
        <f>IFERROR(__xludf.DUMMYFUNCTION("""COMPUTED_VALUE"""),"Ihu")</f>
        <v>Ihu</v>
      </c>
      <c r="B3467" s="120" t="str">
        <f>IFERROR(__xludf.DUMMYFUNCTION("""COMPUTED_VALUE"""),"IHU")</f>
        <v>IHU</v>
      </c>
      <c r="C3467" s="120" t="str">
        <f>IFERROR(__xludf.DUMMYFUNCTION("""COMPUTED_VALUE"""),"Ihu")</f>
        <v>Ihu</v>
      </c>
      <c r="D3467" s="120" t="str">
        <f>IFERROR(__xludf.DUMMYFUNCTION("""COMPUTED_VALUE"""),"Papua New Guinea")</f>
        <v>Papua New Guinea</v>
      </c>
      <c r="E3467" s="135"/>
      <c r="F3467" s="31"/>
    </row>
    <row r="3468">
      <c r="A3468" s="134" t="str">
        <f>IFERROR(__xludf.DUMMYFUNCTION("""COMPUTED_VALUE"""),"Ijui")</f>
        <v>Ijui</v>
      </c>
      <c r="B3468" s="120" t="str">
        <f>IFERROR(__xludf.DUMMYFUNCTION("""COMPUTED_VALUE"""),"IJU")</f>
        <v>IJU</v>
      </c>
      <c r="C3468" s="120" t="str">
        <f>IFERROR(__xludf.DUMMYFUNCTION("""COMPUTED_VALUE"""),"J.Batista Bos Filho")</f>
        <v>J.Batista Bos Filho</v>
      </c>
      <c r="D3468" s="120" t="str">
        <f>IFERROR(__xludf.DUMMYFUNCTION("""COMPUTED_VALUE"""),"Brazil")</f>
        <v>Brazil</v>
      </c>
      <c r="E3468" s="135"/>
      <c r="F3468" s="31"/>
    </row>
    <row r="3469">
      <c r="A3469" s="134" t="str">
        <f>IFERROR(__xludf.DUMMYFUNCTION("""COMPUTED_VALUE"""),"Ikamiut")</f>
        <v>Ikamiut</v>
      </c>
      <c r="B3469" s="120" t="str">
        <f>IFERROR(__xludf.DUMMYFUNCTION("""COMPUTED_VALUE"""),"QJI")</f>
        <v>QJI</v>
      </c>
      <c r="C3469" s="120" t="str">
        <f>IFERROR(__xludf.DUMMYFUNCTION("""COMPUTED_VALUE"""),"Heliport")</f>
        <v>Heliport</v>
      </c>
      <c r="D3469" s="120" t="str">
        <f>IFERROR(__xludf.DUMMYFUNCTION("""COMPUTED_VALUE"""),"Greenland")</f>
        <v>Greenland</v>
      </c>
      <c r="E3469" s="135"/>
      <c r="F3469" s="31"/>
    </row>
    <row r="3470">
      <c r="A3470" s="134" t="str">
        <f>IFERROR(__xludf.DUMMYFUNCTION("""COMPUTED_VALUE"""),"Ikaria Island")</f>
        <v>Ikaria Island</v>
      </c>
      <c r="B3470" s="120" t="str">
        <f>IFERROR(__xludf.DUMMYFUNCTION("""COMPUTED_VALUE"""),"JIK")</f>
        <v>JIK</v>
      </c>
      <c r="C3470" s="120" t="str">
        <f>IFERROR(__xludf.DUMMYFUNCTION("""COMPUTED_VALUE"""),"Ikaria")</f>
        <v>Ikaria</v>
      </c>
      <c r="D3470" s="120" t="str">
        <f>IFERROR(__xludf.DUMMYFUNCTION("""COMPUTED_VALUE"""),"Greece")</f>
        <v>Greece</v>
      </c>
      <c r="E3470" s="135"/>
      <c r="F3470" s="31"/>
    </row>
    <row r="3471">
      <c r="A3471" s="134" t="str">
        <f>IFERROR(__xludf.DUMMYFUNCTION("""COMPUTED_VALUE"""),"Ikela")</f>
        <v>Ikela</v>
      </c>
      <c r="B3471" s="120" t="str">
        <f>IFERROR(__xludf.DUMMYFUNCTION("""COMPUTED_VALUE"""),"IKL")</f>
        <v>IKL</v>
      </c>
      <c r="C3471" s="120" t="str">
        <f>IFERROR(__xludf.DUMMYFUNCTION("""COMPUTED_VALUE"""),"Ikela")</f>
        <v>Ikela</v>
      </c>
      <c r="D3471" s="120" t="str">
        <f>IFERROR(__xludf.DUMMYFUNCTION("""COMPUTED_VALUE"""),"D. R. Congo (Zaire)")</f>
        <v>D. R. Congo (Zaire)</v>
      </c>
      <c r="E3471" s="135"/>
      <c r="F3471" s="31"/>
    </row>
    <row r="3472">
      <c r="A3472" s="134" t="str">
        <f>IFERROR(__xludf.DUMMYFUNCTION("""COMPUTED_VALUE"""),"Ikerasaarsuk")</f>
        <v>Ikerasaarsuk</v>
      </c>
      <c r="B3472" s="120" t="str">
        <f>IFERROR(__xludf.DUMMYFUNCTION("""COMPUTED_VALUE"""),"QRY")</f>
        <v>QRY</v>
      </c>
      <c r="C3472" s="120" t="str">
        <f>IFERROR(__xludf.DUMMYFUNCTION("""COMPUTED_VALUE"""),"Heliport")</f>
        <v>Heliport</v>
      </c>
      <c r="D3472" s="120" t="str">
        <f>IFERROR(__xludf.DUMMYFUNCTION("""COMPUTED_VALUE"""),"Greenland")</f>
        <v>Greenland</v>
      </c>
      <c r="E3472" s="135"/>
      <c r="F3472" s="31"/>
    </row>
    <row r="3473">
      <c r="A3473" s="134" t="str">
        <f>IFERROR(__xludf.DUMMYFUNCTION("""COMPUTED_VALUE"""),"Iki")</f>
        <v>Iki</v>
      </c>
      <c r="B3473" s="120" t="str">
        <f>IFERROR(__xludf.DUMMYFUNCTION("""COMPUTED_VALUE"""),"IKI")</f>
        <v>IKI</v>
      </c>
      <c r="C3473" s="120" t="str">
        <f>IFERROR(__xludf.DUMMYFUNCTION("""COMPUTED_VALUE"""),"Iki")</f>
        <v>Iki</v>
      </c>
      <c r="D3473" s="120" t="str">
        <f>IFERROR(__xludf.DUMMYFUNCTION("""COMPUTED_VALUE"""),"Japan")</f>
        <v>Japan</v>
      </c>
      <c r="E3473" s="135"/>
      <c r="F3473" s="31"/>
    </row>
    <row r="3474">
      <c r="A3474" s="134" t="str">
        <f>IFERROR(__xludf.DUMMYFUNCTION("""COMPUTED_VALUE"""),"Ila Da Chilonzuene")</f>
        <v>Ila Da Chilonzuene</v>
      </c>
      <c r="B3474" s="120" t="str">
        <f>IFERROR(__xludf.DUMMYFUNCTION("""COMPUTED_VALUE"""),"IDC")</f>
        <v>IDC</v>
      </c>
      <c r="C3474" s="120" t="str">
        <f>IFERROR(__xludf.DUMMYFUNCTION("""COMPUTED_VALUE"""),"Ila Da Chilonzuene")</f>
        <v>Ila Da Chilonzuene</v>
      </c>
      <c r="D3474" s="120" t="str">
        <f>IFERROR(__xludf.DUMMYFUNCTION("""COMPUTED_VALUE"""),"Mozambique")</f>
        <v>Mozambique</v>
      </c>
      <c r="E3474" s="135"/>
      <c r="F3474" s="31"/>
    </row>
    <row r="3475">
      <c r="A3475" s="134" t="str">
        <f>IFERROR(__xludf.DUMMYFUNCTION("""COMPUTED_VALUE"""),"Ilaam")</f>
        <v>Ilaam</v>
      </c>
      <c r="B3475" s="120" t="str">
        <f>IFERROR(__xludf.DUMMYFUNCTION("""COMPUTED_VALUE"""),"IIL")</f>
        <v>IIL</v>
      </c>
      <c r="C3475" s="120" t="str">
        <f>IFERROR(__xludf.DUMMYFUNCTION("""COMPUTED_VALUE"""),"Ilaam")</f>
        <v>Ilaam</v>
      </c>
      <c r="D3475" s="120" t="str">
        <f>IFERROR(__xludf.DUMMYFUNCTION("""COMPUTED_VALUE"""),"Iran")</f>
        <v>Iran</v>
      </c>
      <c r="E3475" s="135"/>
      <c r="F3475" s="31"/>
    </row>
    <row r="3476">
      <c r="A3476" s="134" t="str">
        <f>IFERROR(__xludf.DUMMYFUNCTION("""COMPUTED_VALUE"""),"Ilaka")</f>
        <v>Ilaka</v>
      </c>
      <c r="B3476" s="120" t="str">
        <f>IFERROR(__xludf.DUMMYFUNCTION("""COMPUTED_VALUE"""),"ILK")</f>
        <v>ILK</v>
      </c>
      <c r="C3476" s="120" t="str">
        <f>IFERROR(__xludf.DUMMYFUNCTION("""COMPUTED_VALUE"""),"Ilaka")</f>
        <v>Ilaka</v>
      </c>
      <c r="D3476" s="120" t="str">
        <f>IFERROR(__xludf.DUMMYFUNCTION("""COMPUTED_VALUE"""),"Madagascar")</f>
        <v>Madagascar</v>
      </c>
      <c r="E3476" s="135"/>
      <c r="F3476" s="31"/>
    </row>
    <row r="3477">
      <c r="A3477" s="134" t="str">
        <f>IFERROR(__xludf.DUMMYFUNCTION("""COMPUTED_VALUE"""),"Ile Des Pins")</f>
        <v>Ile Des Pins</v>
      </c>
      <c r="B3477" s="120" t="str">
        <f>IFERROR(__xludf.DUMMYFUNCTION("""COMPUTED_VALUE"""),"ILP")</f>
        <v>ILP</v>
      </c>
      <c r="C3477" s="120" t="str">
        <f>IFERROR(__xludf.DUMMYFUNCTION("""COMPUTED_VALUE"""),"Ile Des Pins")</f>
        <v>Ile Des Pins</v>
      </c>
      <c r="D3477" s="120" t="str">
        <f>IFERROR(__xludf.DUMMYFUNCTION("""COMPUTED_VALUE"""),"New Caledonia")</f>
        <v>New Caledonia</v>
      </c>
      <c r="E3477" s="135"/>
      <c r="F3477" s="31"/>
    </row>
    <row r="3478">
      <c r="A3478" s="134" t="str">
        <f>IFERROR(__xludf.DUMMYFUNCTION("""COMPUTED_VALUE"""),"Ile Ouen")</f>
        <v>Ile Ouen</v>
      </c>
      <c r="B3478" s="120" t="str">
        <f>IFERROR(__xludf.DUMMYFUNCTION("""COMPUTED_VALUE"""),"IOU")</f>
        <v>IOU</v>
      </c>
      <c r="C3478" s="120" t="str">
        <f>IFERROR(__xludf.DUMMYFUNCTION("""COMPUTED_VALUE"""),"Ile Ouen")</f>
        <v>Ile Ouen</v>
      </c>
      <c r="D3478" s="120" t="str">
        <f>IFERROR(__xludf.DUMMYFUNCTION("""COMPUTED_VALUE"""),"New Caledonia")</f>
        <v>New Caledonia</v>
      </c>
      <c r="E3478" s="135"/>
      <c r="F3478" s="31"/>
    </row>
    <row r="3479">
      <c r="A3479" s="134" t="str">
        <f>IFERROR(__xludf.DUMMYFUNCTION("""COMPUTED_VALUE"""),"Ilebo")</f>
        <v>Ilebo</v>
      </c>
      <c r="B3479" s="120" t="str">
        <f>IFERROR(__xludf.DUMMYFUNCTION("""COMPUTED_VALUE"""),"PFR")</f>
        <v>PFR</v>
      </c>
      <c r="C3479" s="120" t="str">
        <f>IFERROR(__xludf.DUMMYFUNCTION("""COMPUTED_VALUE"""),"Ilebo")</f>
        <v>Ilebo</v>
      </c>
      <c r="D3479" s="120" t="str">
        <f>IFERROR(__xludf.DUMMYFUNCTION("""COMPUTED_VALUE"""),"Zaire")</f>
        <v>Zaire</v>
      </c>
      <c r="E3479" s="135"/>
      <c r="F3479" s="31"/>
    </row>
    <row r="3480">
      <c r="A3480" s="134" t="str">
        <f>IFERROR(__xludf.DUMMYFUNCTION("""COMPUTED_VALUE"""),"Ileg")</f>
        <v>Ileg</v>
      </c>
      <c r="B3480" s="120" t="str">
        <f>IFERROR(__xludf.DUMMYFUNCTION("""COMPUTED_VALUE"""),"ILX")</f>
        <v>ILX</v>
      </c>
      <c r="C3480" s="120" t="str">
        <f>IFERROR(__xludf.DUMMYFUNCTION("""COMPUTED_VALUE"""),"Ileg")</f>
        <v>Ileg</v>
      </c>
      <c r="D3480" s="120" t="str">
        <f>IFERROR(__xludf.DUMMYFUNCTION("""COMPUTED_VALUE"""),"Papua New Guinea")</f>
        <v>Papua New Guinea</v>
      </c>
      <c r="E3480" s="135"/>
      <c r="F3480" s="31"/>
    </row>
    <row r="3481">
      <c r="A3481" s="134" t="str">
        <f>IFERROR(__xludf.DUMMYFUNCTION("""COMPUTED_VALUE"""),"Iles De La Madeleine")</f>
        <v>Iles De La Madeleine</v>
      </c>
      <c r="B3481" s="120" t="str">
        <f>IFERROR(__xludf.DUMMYFUNCTION("""COMPUTED_VALUE"""),"YGR")</f>
        <v>YGR</v>
      </c>
      <c r="C3481" s="120" t="str">
        <f>IFERROR(__xludf.DUMMYFUNCTION("""COMPUTED_VALUE"""),"Iles De La Madeleine")</f>
        <v>Iles De La Madeleine</v>
      </c>
      <c r="D3481" s="120" t="str">
        <f>IFERROR(__xludf.DUMMYFUNCTION("""COMPUTED_VALUE"""),"Canada")</f>
        <v>Canada</v>
      </c>
      <c r="E3481" s="135"/>
      <c r="F3481" s="31"/>
    </row>
    <row r="3482">
      <c r="A3482" s="134" t="str">
        <f>IFERROR(__xludf.DUMMYFUNCTION("""COMPUTED_VALUE"""),"Ilford")</f>
        <v>Ilford</v>
      </c>
      <c r="B3482" s="120" t="str">
        <f>IFERROR(__xludf.DUMMYFUNCTION("""COMPUTED_VALUE"""),"ILF")</f>
        <v>ILF</v>
      </c>
      <c r="C3482" s="120" t="str">
        <f>IFERROR(__xludf.DUMMYFUNCTION("""COMPUTED_VALUE"""),"Ilford")</f>
        <v>Ilford</v>
      </c>
      <c r="D3482" s="120" t="str">
        <f>IFERROR(__xludf.DUMMYFUNCTION("""COMPUTED_VALUE"""),"Canada")</f>
        <v>Canada</v>
      </c>
      <c r="E3482" s="135"/>
      <c r="F3482" s="31"/>
    </row>
    <row r="3483">
      <c r="A3483" s="134" t="str">
        <f>IFERROR(__xludf.DUMMYFUNCTION("""COMPUTED_VALUE"""),"Ilha Solteira")</f>
        <v>Ilha Solteira</v>
      </c>
      <c r="B3483" s="120" t="str">
        <f>IFERROR(__xludf.DUMMYFUNCTION("""COMPUTED_VALUE"""),"ILB")</f>
        <v>ILB</v>
      </c>
      <c r="C3483" s="120" t="str">
        <f>IFERROR(__xludf.DUMMYFUNCTION("""COMPUTED_VALUE"""),"Ilha Solteira")</f>
        <v>Ilha Solteira</v>
      </c>
      <c r="D3483" s="120" t="str">
        <f>IFERROR(__xludf.DUMMYFUNCTION("""COMPUTED_VALUE"""),"Brazil")</f>
        <v>Brazil</v>
      </c>
      <c r="E3483" s="135"/>
      <c r="F3483" s="31"/>
    </row>
    <row r="3484">
      <c r="A3484" s="134" t="str">
        <f>IFERROR(__xludf.DUMMYFUNCTION("""COMPUTED_VALUE"""),"Ilheus")</f>
        <v>Ilheus</v>
      </c>
      <c r="B3484" s="120" t="str">
        <f>IFERROR(__xludf.DUMMYFUNCTION("""COMPUTED_VALUE"""),"IOS")</f>
        <v>IOS</v>
      </c>
      <c r="C3484" s="120" t="str">
        <f>IFERROR(__xludf.DUMMYFUNCTION("""COMPUTED_VALUE"""),"Eduardo Gomes")</f>
        <v>Eduardo Gomes</v>
      </c>
      <c r="D3484" s="120" t="str">
        <f>IFERROR(__xludf.DUMMYFUNCTION("""COMPUTED_VALUE"""),"Brazil")</f>
        <v>Brazil</v>
      </c>
      <c r="E3484" s="135"/>
      <c r="F3484" s="31"/>
    </row>
    <row r="3485">
      <c r="A3485" s="134" t="str">
        <f>IFERROR(__xludf.DUMMYFUNCTION("""COMPUTED_VALUE"""),"Iliamna")</f>
        <v>Iliamna</v>
      </c>
      <c r="B3485" s="120" t="str">
        <f>IFERROR(__xludf.DUMMYFUNCTION("""COMPUTED_VALUE"""),"ILI")</f>
        <v>ILI</v>
      </c>
      <c r="C3485" s="120" t="str">
        <f>IFERROR(__xludf.DUMMYFUNCTION("""COMPUTED_VALUE"""),"Iliamna")</f>
        <v>Iliamna</v>
      </c>
      <c r="D3485" s="120" t="str">
        <f>IFERROR(__xludf.DUMMYFUNCTION("""COMPUTED_VALUE"""),"United States")</f>
        <v>United States</v>
      </c>
      <c r="E3485" s="135"/>
      <c r="F3485" s="31"/>
    </row>
    <row r="3486">
      <c r="A3486" s="134" t="str">
        <f>IFERROR(__xludf.DUMMYFUNCTION("""COMPUTED_VALUE"""),"Iligan")</f>
        <v>Iligan</v>
      </c>
      <c r="B3486" s="120" t="str">
        <f>IFERROR(__xludf.DUMMYFUNCTION("""COMPUTED_VALUE"""),"IGN")</f>
        <v>IGN</v>
      </c>
      <c r="C3486" s="120" t="str">
        <f>IFERROR(__xludf.DUMMYFUNCTION("""COMPUTED_VALUE"""),"Maria Cristina")</f>
        <v>Maria Cristina</v>
      </c>
      <c r="D3486" s="120" t="str">
        <f>IFERROR(__xludf.DUMMYFUNCTION("""COMPUTED_VALUE"""),"Philippines")</f>
        <v>Philippines</v>
      </c>
      <c r="E3486" s="135"/>
      <c r="F3486" s="31"/>
    </row>
    <row r="3487">
      <c r="A3487" s="134" t="str">
        <f>IFERROR(__xludf.DUMMYFUNCTION("""COMPUTED_VALUE"""),"Ilimanaq")</f>
        <v>Ilimanaq</v>
      </c>
      <c r="B3487" s="120" t="str">
        <f>IFERROR(__xludf.DUMMYFUNCTION("""COMPUTED_VALUE"""),"XIQ")</f>
        <v>XIQ</v>
      </c>
      <c r="C3487" s="120" t="str">
        <f>IFERROR(__xludf.DUMMYFUNCTION("""COMPUTED_VALUE"""),"Harbour")</f>
        <v>Harbour</v>
      </c>
      <c r="D3487" s="120" t="str">
        <f>IFERROR(__xludf.DUMMYFUNCTION("""COMPUTED_VALUE"""),"Greenland")</f>
        <v>Greenland</v>
      </c>
      <c r="E3487" s="135"/>
      <c r="F3487" s="31"/>
    </row>
    <row r="3488">
      <c r="A3488" s="134" t="str">
        <f>IFERROR(__xludf.DUMMYFUNCTION("""COMPUTED_VALUE"""),"Illaga")</f>
        <v>Illaga</v>
      </c>
      <c r="B3488" s="120" t="str">
        <f>IFERROR(__xludf.DUMMYFUNCTION("""COMPUTED_VALUE"""),"ILA")</f>
        <v>ILA</v>
      </c>
      <c r="C3488" s="120" t="str">
        <f>IFERROR(__xludf.DUMMYFUNCTION("""COMPUTED_VALUE"""),"Illaga")</f>
        <v>Illaga</v>
      </c>
      <c r="D3488" s="120" t="str">
        <f>IFERROR(__xludf.DUMMYFUNCTION("""COMPUTED_VALUE"""),"Indonesia")</f>
        <v>Indonesia</v>
      </c>
      <c r="E3488" s="135"/>
      <c r="F3488" s="31"/>
    </row>
    <row r="3489">
      <c r="A3489" s="134" t="str">
        <f>IFERROR(__xludf.DUMMYFUNCTION("""COMPUTED_VALUE"""),"Illisheim")</f>
        <v>Illisheim</v>
      </c>
      <c r="B3489" s="120" t="str">
        <f>IFERROR(__xludf.DUMMYFUNCTION("""COMPUTED_VALUE"""),"ILH")</f>
        <v>ILH</v>
      </c>
      <c r="C3489" s="120" t="str">
        <f>IFERROR(__xludf.DUMMYFUNCTION("""COMPUTED_VALUE"""),"Illis Airbase")</f>
        <v>Illis Airbase</v>
      </c>
      <c r="D3489" s="120" t="str">
        <f>IFERROR(__xludf.DUMMYFUNCTION("""COMPUTED_VALUE"""),"Germany")</f>
        <v>Germany</v>
      </c>
      <c r="E3489" s="135"/>
      <c r="F3489" s="31"/>
    </row>
    <row r="3490">
      <c r="A3490" s="134" t="str">
        <f>IFERROR(__xludf.DUMMYFUNCTION("""COMPUTED_VALUE"""),"Illizi")</f>
        <v>Illizi</v>
      </c>
      <c r="B3490" s="120" t="str">
        <f>IFERROR(__xludf.DUMMYFUNCTION("""COMPUTED_VALUE"""),"VVZ")</f>
        <v>VVZ</v>
      </c>
      <c r="C3490" s="120" t="str">
        <f>IFERROR(__xludf.DUMMYFUNCTION("""COMPUTED_VALUE"""),"Illizi")</f>
        <v>Illizi</v>
      </c>
      <c r="D3490" s="120" t="str">
        <f>IFERROR(__xludf.DUMMYFUNCTION("""COMPUTED_VALUE"""),"Algeria")</f>
        <v>Algeria</v>
      </c>
      <c r="E3490" s="135"/>
      <c r="F3490" s="31"/>
    </row>
    <row r="3491">
      <c r="A3491" s="134" t="str">
        <f>IFERROR(__xludf.DUMMYFUNCTION("""COMPUTED_VALUE"""),"Ilo")</f>
        <v>Ilo</v>
      </c>
      <c r="B3491" s="120" t="str">
        <f>IFERROR(__xludf.DUMMYFUNCTION("""COMPUTED_VALUE"""),"ILQ")</f>
        <v>ILQ</v>
      </c>
      <c r="C3491" s="120" t="str">
        <f>IFERROR(__xludf.DUMMYFUNCTION("""COMPUTED_VALUE"""),"Ilo")</f>
        <v>Ilo</v>
      </c>
      <c r="D3491" s="120" t="str">
        <f>IFERROR(__xludf.DUMMYFUNCTION("""COMPUTED_VALUE"""),"Peru")</f>
        <v>Peru</v>
      </c>
      <c r="E3491" s="135"/>
      <c r="F3491" s="31"/>
    </row>
    <row r="3492">
      <c r="A3492" s="134" t="str">
        <f>IFERROR(__xludf.DUMMYFUNCTION("""COMPUTED_VALUE"""),"Iloilo")</f>
        <v>Iloilo</v>
      </c>
      <c r="B3492" s="120" t="str">
        <f>IFERROR(__xludf.DUMMYFUNCTION("""COMPUTED_VALUE"""),"ILO")</f>
        <v>ILO</v>
      </c>
      <c r="C3492" s="120" t="str">
        <f>IFERROR(__xludf.DUMMYFUNCTION("""COMPUTED_VALUE"""),"Mandurriao")</f>
        <v>Mandurriao</v>
      </c>
      <c r="D3492" s="120" t="str">
        <f>IFERROR(__xludf.DUMMYFUNCTION("""COMPUTED_VALUE"""),"Philippines")</f>
        <v>Philippines</v>
      </c>
      <c r="E3492" s="135"/>
      <c r="F3492" s="31"/>
    </row>
    <row r="3493">
      <c r="A3493" s="134" t="str">
        <f>IFERROR(__xludf.DUMMYFUNCTION("""COMPUTED_VALUE"""),"Ilorin")</f>
        <v>Ilorin</v>
      </c>
      <c r="B3493" s="120" t="str">
        <f>IFERROR(__xludf.DUMMYFUNCTION("""COMPUTED_VALUE"""),"ILR")</f>
        <v>ILR</v>
      </c>
      <c r="C3493" s="120" t="str">
        <f>IFERROR(__xludf.DUMMYFUNCTION("""COMPUTED_VALUE"""),"Ilorin")</f>
        <v>Ilorin</v>
      </c>
      <c r="D3493" s="120" t="str">
        <f>IFERROR(__xludf.DUMMYFUNCTION("""COMPUTED_VALUE"""),"Nigeria")</f>
        <v>Nigeria</v>
      </c>
      <c r="E3493" s="135"/>
      <c r="F3493" s="31"/>
    </row>
    <row r="3494">
      <c r="A3494" s="134" t="str">
        <f>IFERROR(__xludf.DUMMYFUNCTION("""COMPUTED_VALUE"""),"Ilu")</f>
        <v>Ilu</v>
      </c>
      <c r="B3494" s="120" t="str">
        <f>IFERROR(__xludf.DUMMYFUNCTION("""COMPUTED_VALUE"""),"IUL")</f>
        <v>IUL</v>
      </c>
      <c r="C3494" s="120" t="str">
        <f>IFERROR(__xludf.DUMMYFUNCTION("""COMPUTED_VALUE"""),"Ilu")</f>
        <v>Ilu</v>
      </c>
      <c r="D3494" s="120" t="str">
        <f>IFERROR(__xludf.DUMMYFUNCTION("""COMPUTED_VALUE"""),"Indonesia")</f>
        <v>Indonesia</v>
      </c>
      <c r="E3494" s="135"/>
      <c r="F3494" s="31"/>
    </row>
    <row r="3495">
      <c r="A3495" s="134" t="str">
        <f>IFERROR(__xludf.DUMMYFUNCTION("""COMPUTED_VALUE"""),"Ilulissat")</f>
        <v>Ilulissat</v>
      </c>
      <c r="B3495" s="120" t="str">
        <f>IFERROR(__xludf.DUMMYFUNCTION("""COMPUTED_VALUE"""),"JAV")</f>
        <v>JAV</v>
      </c>
      <c r="C3495" s="120" t="str">
        <f>IFERROR(__xludf.DUMMYFUNCTION("""COMPUTED_VALUE"""),"Ilulissat")</f>
        <v>Ilulissat</v>
      </c>
      <c r="D3495" s="120" t="str">
        <f>IFERROR(__xludf.DUMMYFUNCTION("""COMPUTED_VALUE"""),"Greenland")</f>
        <v>Greenland</v>
      </c>
      <c r="E3495" s="135"/>
      <c r="F3495" s="31"/>
    </row>
    <row r="3496">
      <c r="A3496" s="134" t="str">
        <f>IFERROR(__xludf.DUMMYFUNCTION("""COMPUTED_VALUE"""),"Imane")</f>
        <v>Imane</v>
      </c>
      <c r="B3496" s="120" t="str">
        <f>IFERROR(__xludf.DUMMYFUNCTION("""COMPUTED_VALUE"""),"IMN")</f>
        <v>IMN</v>
      </c>
      <c r="C3496" s="120" t="str">
        <f>IFERROR(__xludf.DUMMYFUNCTION("""COMPUTED_VALUE"""),"Imane")</f>
        <v>Imane</v>
      </c>
      <c r="D3496" s="120" t="str">
        <f>IFERROR(__xludf.DUMMYFUNCTION("""COMPUTED_VALUE"""),"Papua New Guinea")</f>
        <v>Papua New Guinea</v>
      </c>
      <c r="E3496" s="135"/>
      <c r="F3496" s="31"/>
    </row>
    <row r="3497">
      <c r="A3497" s="134" t="str">
        <f>IFERROR(__xludf.DUMMYFUNCTION("""COMPUTED_VALUE"""),"Imbaimadai")</f>
        <v>Imbaimadai</v>
      </c>
      <c r="B3497" s="120" t="str">
        <f>IFERROR(__xludf.DUMMYFUNCTION("""COMPUTED_VALUE"""),"IMB")</f>
        <v>IMB</v>
      </c>
      <c r="C3497" s="120" t="str">
        <f>IFERROR(__xludf.DUMMYFUNCTION("""COMPUTED_VALUE"""),"Imbaimadai")</f>
        <v>Imbaimadai</v>
      </c>
      <c r="D3497" s="120" t="str">
        <f>IFERROR(__xludf.DUMMYFUNCTION("""COMPUTED_VALUE"""),"Guyana")</f>
        <v>Guyana</v>
      </c>
      <c r="E3497" s="135"/>
      <c r="F3497" s="31"/>
    </row>
    <row r="3498">
      <c r="A3498" s="134" t="str">
        <f>IFERROR(__xludf.DUMMYFUNCTION("""COMPUTED_VALUE"""),"Immokalee")</f>
        <v>Immokalee</v>
      </c>
      <c r="B3498" s="120" t="str">
        <f>IFERROR(__xludf.DUMMYFUNCTION("""COMPUTED_VALUE"""),"IMM")</f>
        <v>IMM</v>
      </c>
      <c r="C3498" s="120" t="str">
        <f>IFERROR(__xludf.DUMMYFUNCTION("""COMPUTED_VALUE"""),"Immokalee")</f>
        <v>Immokalee</v>
      </c>
      <c r="D3498" s="120" t="str">
        <f>IFERROR(__xludf.DUMMYFUNCTION("""COMPUTED_VALUE"""),"United States")</f>
        <v>United States</v>
      </c>
      <c r="E3498" s="135"/>
      <c r="F3498" s="31"/>
    </row>
    <row r="3499">
      <c r="A3499" s="134" t="str">
        <f>IFERROR(__xludf.DUMMYFUNCTION("""COMPUTED_VALUE"""),"Imonda")</f>
        <v>Imonda</v>
      </c>
      <c r="B3499" s="120" t="str">
        <f>IFERROR(__xludf.DUMMYFUNCTION("""COMPUTED_VALUE"""),"IMD")</f>
        <v>IMD</v>
      </c>
      <c r="C3499" s="120" t="str">
        <f>IFERROR(__xludf.DUMMYFUNCTION("""COMPUTED_VALUE"""),"Imonda")</f>
        <v>Imonda</v>
      </c>
      <c r="D3499" s="120" t="str">
        <f>IFERROR(__xludf.DUMMYFUNCTION("""COMPUTED_VALUE"""),"Papua New Guinea")</f>
        <v>Papua New Guinea</v>
      </c>
      <c r="E3499" s="135"/>
      <c r="F3499" s="31"/>
    </row>
    <row r="3500">
      <c r="A3500" s="134" t="str">
        <f>IFERROR(__xludf.DUMMYFUNCTION("""COMPUTED_VALUE"""),"Imperatriz")</f>
        <v>Imperatriz</v>
      </c>
      <c r="B3500" s="120" t="str">
        <f>IFERROR(__xludf.DUMMYFUNCTION("""COMPUTED_VALUE"""),"IMP")</f>
        <v>IMP</v>
      </c>
      <c r="C3500" s="120" t="str">
        <f>IFERROR(__xludf.DUMMYFUNCTION("""COMPUTED_VALUE"""),"Imperatriz")</f>
        <v>Imperatriz</v>
      </c>
      <c r="D3500" s="120" t="str">
        <f>IFERROR(__xludf.DUMMYFUNCTION("""COMPUTED_VALUE"""),"Brazil")</f>
        <v>Brazil</v>
      </c>
      <c r="E3500" s="135"/>
      <c r="F3500" s="31"/>
    </row>
    <row r="3501">
      <c r="A3501" s="134" t="str">
        <f>IFERROR(__xludf.DUMMYFUNCTION("""COMPUTED_VALUE"""),"Imperial")</f>
        <v>Imperial</v>
      </c>
      <c r="B3501" s="120" t="str">
        <f>IFERROR(__xludf.DUMMYFUNCTION("""COMPUTED_VALUE"""),"IPL")</f>
        <v>IPL</v>
      </c>
      <c r="C3501" s="120" t="str">
        <f>IFERROR(__xludf.DUMMYFUNCTION("""COMPUTED_VALUE"""),"Imperial County")</f>
        <v>Imperial County</v>
      </c>
      <c r="D3501" s="120" t="str">
        <f>IFERROR(__xludf.DUMMYFUNCTION("""COMPUTED_VALUE"""),"United States")</f>
        <v>United States</v>
      </c>
      <c r="E3501" s="135"/>
      <c r="F3501" s="31"/>
    </row>
    <row r="3502">
      <c r="A3502" s="134" t="str">
        <f>IFERROR(__xludf.DUMMYFUNCTION("""COMPUTED_VALUE"""),"Imperial")</f>
        <v>Imperial</v>
      </c>
      <c r="B3502" s="120" t="str">
        <f>IFERROR(__xludf.DUMMYFUNCTION("""COMPUTED_VALUE"""),"IML")</f>
        <v>IML</v>
      </c>
      <c r="C3502" s="120" t="str">
        <f>IFERROR(__xludf.DUMMYFUNCTION("""COMPUTED_VALUE"""),"Imperial")</f>
        <v>Imperial</v>
      </c>
      <c r="D3502" s="120" t="str">
        <f>IFERROR(__xludf.DUMMYFUNCTION("""COMPUTED_VALUE"""),"United States")</f>
        <v>United States</v>
      </c>
      <c r="E3502" s="135"/>
      <c r="F3502" s="31"/>
    </row>
    <row r="3503">
      <c r="A3503" s="134" t="str">
        <f>IFERROR(__xludf.DUMMYFUNCTION("""COMPUTED_VALUE"""),"Imperial Beach")</f>
        <v>Imperial Beach</v>
      </c>
      <c r="B3503" s="120" t="str">
        <f>IFERROR(__xludf.DUMMYFUNCTION("""COMPUTED_VALUE"""),"NRS")</f>
        <v>NRS</v>
      </c>
      <c r="C3503" s="120" t="str">
        <f>IFERROR(__xludf.DUMMYFUNCTION("""COMPUTED_VALUE"""),"NAS")</f>
        <v>NAS</v>
      </c>
      <c r="D3503" s="120" t="str">
        <f>IFERROR(__xludf.DUMMYFUNCTION("""COMPUTED_VALUE"""),"United States")</f>
        <v>United States</v>
      </c>
      <c r="E3503" s="135"/>
      <c r="F3503" s="31"/>
    </row>
    <row r="3504">
      <c r="A3504" s="134" t="str">
        <f>IFERROR(__xludf.DUMMYFUNCTION("""COMPUTED_VALUE"""),"Impfondo")</f>
        <v>Impfondo</v>
      </c>
      <c r="B3504" s="120" t="str">
        <f>IFERROR(__xludf.DUMMYFUNCTION("""COMPUTED_VALUE"""),"ION")</f>
        <v>ION</v>
      </c>
      <c r="C3504" s="120" t="str">
        <f>IFERROR(__xludf.DUMMYFUNCTION("""COMPUTED_VALUE"""),"Impfondo")</f>
        <v>Impfondo</v>
      </c>
      <c r="D3504" s="120" t="str">
        <f>IFERROR(__xludf.DUMMYFUNCTION("""COMPUTED_VALUE"""),"Congo")</f>
        <v>Congo</v>
      </c>
      <c r="E3504" s="135"/>
      <c r="F3504" s="31"/>
    </row>
    <row r="3505">
      <c r="A3505" s="134" t="str">
        <f>IFERROR(__xludf.DUMMYFUNCTION("""COMPUTED_VALUE"""),"Imphal")</f>
        <v>Imphal</v>
      </c>
      <c r="B3505" s="120" t="str">
        <f>IFERROR(__xludf.DUMMYFUNCTION("""COMPUTED_VALUE"""),"IMF")</f>
        <v>IMF</v>
      </c>
      <c r="C3505" s="120" t="str">
        <f>IFERROR(__xludf.DUMMYFUNCTION("""COMPUTED_VALUE"""),"Municipal")</f>
        <v>Municipal</v>
      </c>
      <c r="D3505" s="120" t="str">
        <f>IFERROR(__xludf.DUMMYFUNCTION("""COMPUTED_VALUE"""),"India")</f>
        <v>India</v>
      </c>
      <c r="E3505" s="135"/>
      <c r="F3505" s="31"/>
    </row>
    <row r="3506">
      <c r="A3506" s="134" t="str">
        <f>IFERROR(__xludf.DUMMYFUNCTION("""COMPUTED_VALUE"""),"In Amenas")</f>
        <v>In Amenas</v>
      </c>
      <c r="B3506" s="120" t="str">
        <f>IFERROR(__xludf.DUMMYFUNCTION("""COMPUTED_VALUE"""),"IAM")</f>
        <v>IAM</v>
      </c>
      <c r="C3506" s="120" t="str">
        <f>IFERROR(__xludf.DUMMYFUNCTION("""COMPUTED_VALUE"""),"In Amenas")</f>
        <v>In Amenas</v>
      </c>
      <c r="D3506" s="120" t="str">
        <f>IFERROR(__xludf.DUMMYFUNCTION("""COMPUTED_VALUE"""),"Algeria")</f>
        <v>Algeria</v>
      </c>
      <c r="E3506" s="135"/>
      <c r="F3506" s="31"/>
    </row>
    <row r="3507">
      <c r="A3507" s="134" t="str">
        <f>IFERROR(__xludf.DUMMYFUNCTION("""COMPUTED_VALUE"""),"In Guezzam")</f>
        <v>In Guezzam</v>
      </c>
      <c r="B3507" s="120" t="str">
        <f>IFERROR(__xludf.DUMMYFUNCTION("""COMPUTED_VALUE"""),"INF")</f>
        <v>INF</v>
      </c>
      <c r="C3507" s="120" t="str">
        <f>IFERROR(__xludf.DUMMYFUNCTION("""COMPUTED_VALUE"""),"In Guezzam")</f>
        <v>In Guezzam</v>
      </c>
      <c r="D3507" s="120" t="str">
        <f>IFERROR(__xludf.DUMMYFUNCTION("""COMPUTED_VALUE"""),"Algeria")</f>
        <v>Algeria</v>
      </c>
      <c r="E3507" s="135"/>
      <c r="F3507" s="31"/>
    </row>
    <row r="3508">
      <c r="A3508" s="134" t="str">
        <f>IFERROR(__xludf.DUMMYFUNCTION("""COMPUTED_VALUE"""),"In Salah")</f>
        <v>In Salah</v>
      </c>
      <c r="B3508" s="120" t="str">
        <f>IFERROR(__xludf.DUMMYFUNCTION("""COMPUTED_VALUE"""),"INZ")</f>
        <v>INZ</v>
      </c>
      <c r="C3508" s="120" t="str">
        <f>IFERROR(__xludf.DUMMYFUNCTION("""COMPUTED_VALUE"""),"In Salah")</f>
        <v>In Salah</v>
      </c>
      <c r="D3508" s="120" t="str">
        <f>IFERROR(__xludf.DUMMYFUNCTION("""COMPUTED_VALUE"""),"Algeria")</f>
        <v>Algeria</v>
      </c>
      <c r="E3508" s="135"/>
      <c r="F3508" s="31"/>
    </row>
    <row r="3509">
      <c r="A3509" s="134" t="str">
        <f>IFERROR(__xludf.DUMMYFUNCTION("""COMPUTED_VALUE"""),"Inagua")</f>
        <v>Inagua</v>
      </c>
      <c r="B3509" s="120" t="str">
        <f>IFERROR(__xludf.DUMMYFUNCTION("""COMPUTED_VALUE"""),"IGA")</f>
        <v>IGA</v>
      </c>
      <c r="C3509" s="120" t="str">
        <f>IFERROR(__xludf.DUMMYFUNCTION("""COMPUTED_VALUE"""),"Inagua")</f>
        <v>Inagua</v>
      </c>
      <c r="D3509" s="120" t="str">
        <f>IFERROR(__xludf.DUMMYFUNCTION("""COMPUTED_VALUE"""),"Bahamas")</f>
        <v>Bahamas</v>
      </c>
      <c r="E3509" s="135"/>
      <c r="F3509" s="31"/>
    </row>
    <row r="3510">
      <c r="A3510" s="134" t="str">
        <f>IFERROR(__xludf.DUMMYFUNCTION("""COMPUTED_VALUE"""),"Inanwatan")</f>
        <v>Inanwatan</v>
      </c>
      <c r="B3510" s="120" t="str">
        <f>IFERROR(__xludf.DUMMYFUNCTION("""COMPUTED_VALUE"""),"INX")</f>
        <v>INX</v>
      </c>
      <c r="C3510" s="120" t="str">
        <f>IFERROR(__xludf.DUMMYFUNCTION("""COMPUTED_VALUE"""),"Inanwatan")</f>
        <v>Inanwatan</v>
      </c>
      <c r="D3510" s="120" t="str">
        <f>IFERROR(__xludf.DUMMYFUNCTION("""COMPUTED_VALUE"""),"Indonesia")</f>
        <v>Indonesia</v>
      </c>
      <c r="E3510" s="135"/>
      <c r="F3510" s="31"/>
    </row>
    <row r="3511">
      <c r="A3511" s="134" t="str">
        <f>IFERROR(__xludf.DUMMYFUNCTION("""COMPUTED_VALUE"""),"Incheon")</f>
        <v>Incheon</v>
      </c>
      <c r="B3511" s="120" t="str">
        <f>IFERROR(__xludf.DUMMYFUNCTION("""COMPUTED_VALUE"""),"JCN")</f>
        <v>JCN</v>
      </c>
      <c r="C3511" s="120" t="str">
        <f>IFERROR(__xludf.DUMMYFUNCTION("""COMPUTED_VALUE"""),"Heliport")</f>
        <v>Heliport</v>
      </c>
      <c r="D3511" s="120" t="str">
        <f>IFERROR(__xludf.DUMMYFUNCTION("""COMPUTED_VALUE"""),"Korea (South)")</f>
        <v>Korea (South)</v>
      </c>
      <c r="E3511" s="135"/>
      <c r="F3511" s="31"/>
    </row>
    <row r="3512">
      <c r="A3512" s="134" t="str">
        <f>IFERROR(__xludf.DUMMYFUNCTION("""COMPUTED_VALUE"""),"Indagen")</f>
        <v>Indagen</v>
      </c>
      <c r="B3512" s="120" t="str">
        <f>IFERROR(__xludf.DUMMYFUNCTION("""COMPUTED_VALUE"""),"IDN")</f>
        <v>IDN</v>
      </c>
      <c r="C3512" s="120" t="str">
        <f>IFERROR(__xludf.DUMMYFUNCTION("""COMPUTED_VALUE"""),"Indagen")</f>
        <v>Indagen</v>
      </c>
      <c r="D3512" s="120" t="str">
        <f>IFERROR(__xludf.DUMMYFUNCTION("""COMPUTED_VALUE"""),"Papua New Guinea")</f>
        <v>Papua New Guinea</v>
      </c>
      <c r="E3512" s="135"/>
      <c r="F3512" s="31"/>
    </row>
    <row r="3513">
      <c r="A3513" s="134" t="str">
        <f>IFERROR(__xludf.DUMMYFUNCTION("""COMPUTED_VALUE"""),"Indaselassie")</f>
        <v>Indaselassie</v>
      </c>
      <c r="B3513" s="120" t="str">
        <f>IFERROR(__xludf.DUMMYFUNCTION("""COMPUTED_VALUE"""),"SHC")</f>
        <v>SHC</v>
      </c>
      <c r="C3513" s="120" t="str">
        <f>IFERROR(__xludf.DUMMYFUNCTION("""COMPUTED_VALUE"""),"Indaselassie")</f>
        <v>Indaselassie</v>
      </c>
      <c r="D3513" s="120" t="str">
        <f>IFERROR(__xludf.DUMMYFUNCTION("""COMPUTED_VALUE"""),"Ethiopia")</f>
        <v>Ethiopia</v>
      </c>
      <c r="E3513" s="135"/>
      <c r="F3513" s="31"/>
    </row>
    <row r="3514">
      <c r="A3514" s="134" t="str">
        <f>IFERROR(__xludf.DUMMYFUNCTION("""COMPUTED_VALUE"""),"Independence")</f>
        <v>Independence</v>
      </c>
      <c r="B3514" s="120" t="str">
        <f>IFERROR(__xludf.DUMMYFUNCTION("""COMPUTED_VALUE"""),"INB")</f>
        <v>INB</v>
      </c>
      <c r="C3514" s="120" t="str">
        <f>IFERROR(__xludf.DUMMYFUNCTION("""COMPUTED_VALUE"""),"Independence")</f>
        <v>Independence</v>
      </c>
      <c r="D3514" s="120" t="str">
        <f>IFERROR(__xludf.DUMMYFUNCTION("""COMPUTED_VALUE"""),"Belize")</f>
        <v>Belize</v>
      </c>
      <c r="E3514" s="135"/>
      <c r="F3514" s="31"/>
    </row>
    <row r="3515">
      <c r="A3515" s="134" t="str">
        <f>IFERROR(__xludf.DUMMYFUNCTION("""COMPUTED_VALUE"""),"Independence")</f>
        <v>Independence</v>
      </c>
      <c r="B3515" s="120" t="str">
        <f>IFERROR(__xludf.DUMMYFUNCTION("""COMPUTED_VALUE"""),"IDP")</f>
        <v>IDP</v>
      </c>
      <c r="C3515" s="120" t="str">
        <f>IFERROR(__xludf.DUMMYFUNCTION("""COMPUTED_VALUE"""),"Independence")</f>
        <v>Independence</v>
      </c>
      <c r="D3515" s="120" t="str">
        <f>IFERROR(__xludf.DUMMYFUNCTION("""COMPUTED_VALUE"""),"United States")</f>
        <v>United States</v>
      </c>
      <c r="E3515" s="135"/>
      <c r="F3515" s="31"/>
    </row>
    <row r="3516">
      <c r="A3516" s="134" t="str">
        <f>IFERROR(__xludf.DUMMYFUNCTION("""COMPUTED_VALUE"""),"Indian Springs")</f>
        <v>Indian Springs</v>
      </c>
      <c r="B3516" s="120" t="str">
        <f>IFERROR(__xludf.DUMMYFUNCTION("""COMPUTED_VALUE"""),"INS")</f>
        <v>INS</v>
      </c>
      <c r="C3516" s="120" t="str">
        <f>IFERROR(__xludf.DUMMYFUNCTION("""COMPUTED_VALUE"""),"Af Aux")</f>
        <v>Af Aux</v>
      </c>
      <c r="D3516" s="120" t="str">
        <f>IFERROR(__xludf.DUMMYFUNCTION("""COMPUTED_VALUE"""),"United States")</f>
        <v>United States</v>
      </c>
      <c r="E3516" s="135"/>
      <c r="F3516" s="31"/>
    </row>
    <row r="3517">
      <c r="A3517" s="134" t="str">
        <f>IFERROR(__xludf.DUMMYFUNCTION("""COMPUTED_VALUE"""),"Indiana")</f>
        <v>Indiana</v>
      </c>
      <c r="B3517" s="120" t="str">
        <f>IFERROR(__xludf.DUMMYFUNCTION("""COMPUTED_VALUE"""),"IDI")</f>
        <v>IDI</v>
      </c>
      <c r="C3517" s="120" t="str">
        <f>IFERROR(__xludf.DUMMYFUNCTION("""COMPUTED_VALUE"""),"Indiana")</f>
        <v>Indiana</v>
      </c>
      <c r="D3517" s="120" t="str">
        <f>IFERROR(__xludf.DUMMYFUNCTION("""COMPUTED_VALUE"""),"United States")</f>
        <v>United States</v>
      </c>
      <c r="E3517" s="135"/>
      <c r="F3517" s="31"/>
    </row>
    <row r="3518">
      <c r="A3518" s="134" t="str">
        <f>IFERROR(__xludf.DUMMYFUNCTION("""COMPUTED_VALUE"""),"Indianapolis")</f>
        <v>Indianapolis</v>
      </c>
      <c r="B3518" s="120" t="str">
        <f>IFERROR(__xludf.DUMMYFUNCTION("""COMPUTED_VALUE"""),"IND")</f>
        <v>IND</v>
      </c>
      <c r="C3518" s="120" t="str">
        <f>IFERROR(__xludf.DUMMYFUNCTION("""COMPUTED_VALUE"""),"International")</f>
        <v>International</v>
      </c>
      <c r="D3518" s="120" t="str">
        <f>IFERROR(__xludf.DUMMYFUNCTION("""COMPUTED_VALUE"""),"United States")</f>
        <v>United States</v>
      </c>
      <c r="E3518" s="135"/>
      <c r="F3518" s="31"/>
    </row>
    <row r="3519">
      <c r="A3519" s="134" t="str">
        <f>IFERROR(__xludf.DUMMYFUNCTION("""COMPUTED_VALUE"""),"Indigo Bay Lodge")</f>
        <v>Indigo Bay Lodge</v>
      </c>
      <c r="B3519" s="120" t="str">
        <f>IFERROR(__xludf.DUMMYFUNCTION("""COMPUTED_VALUE"""),"IBL")</f>
        <v>IBL</v>
      </c>
      <c r="C3519" s="120" t="str">
        <f>IFERROR(__xludf.DUMMYFUNCTION("""COMPUTED_VALUE"""),"Indigo Bay Lodge")</f>
        <v>Indigo Bay Lodge</v>
      </c>
      <c r="D3519" s="120" t="str">
        <f>IFERROR(__xludf.DUMMYFUNCTION("""COMPUTED_VALUE"""),"Mozambique")</f>
        <v>Mozambique</v>
      </c>
      <c r="E3519" s="135"/>
      <c r="F3519" s="31"/>
    </row>
    <row r="3520">
      <c r="A3520" s="134" t="str">
        <f>IFERROR(__xludf.DUMMYFUNCTION("""COMPUTED_VALUE"""),"Indore")</f>
        <v>Indore</v>
      </c>
      <c r="B3520" s="120" t="str">
        <f>IFERROR(__xludf.DUMMYFUNCTION("""COMPUTED_VALUE"""),"IDR")</f>
        <v>IDR</v>
      </c>
      <c r="C3520" s="120" t="str">
        <f>IFERROR(__xludf.DUMMYFUNCTION("""COMPUTED_VALUE"""),"Indore")</f>
        <v>Indore</v>
      </c>
      <c r="D3520" s="120" t="str">
        <f>IFERROR(__xludf.DUMMYFUNCTION("""COMPUTED_VALUE"""),"India")</f>
        <v>India</v>
      </c>
      <c r="E3520" s="135"/>
      <c r="F3520" s="31"/>
    </row>
    <row r="3521">
      <c r="A3521" s="134" t="str">
        <f>IFERROR(__xludf.DUMMYFUNCTION("""COMPUTED_VALUE"""),"Indulkana")</f>
        <v>Indulkana</v>
      </c>
      <c r="B3521" s="120" t="str">
        <f>IFERROR(__xludf.DUMMYFUNCTION("""COMPUTED_VALUE"""),"IDK")</f>
        <v>IDK</v>
      </c>
      <c r="C3521" s="120" t="str">
        <f>IFERROR(__xludf.DUMMYFUNCTION("""COMPUTED_VALUE"""),"Indulkana")</f>
        <v>Indulkana</v>
      </c>
      <c r="D3521" s="120" t="str">
        <f>IFERROR(__xludf.DUMMYFUNCTION("""COMPUTED_VALUE"""),"Australia")</f>
        <v>Australia</v>
      </c>
      <c r="E3521" s="135"/>
      <c r="F3521" s="31"/>
    </row>
    <row r="3522">
      <c r="A3522" s="134" t="str">
        <f>IFERROR(__xludf.DUMMYFUNCTION("""COMPUTED_VALUE"""),"Ine Island")</f>
        <v>Ine Island</v>
      </c>
      <c r="B3522" s="120" t="str">
        <f>IFERROR(__xludf.DUMMYFUNCTION("""COMPUTED_VALUE"""),"IMI")</f>
        <v>IMI</v>
      </c>
      <c r="C3522" s="120" t="str">
        <f>IFERROR(__xludf.DUMMYFUNCTION("""COMPUTED_VALUE"""),"Ine Island")</f>
        <v>Ine Island</v>
      </c>
      <c r="D3522" s="120" t="str">
        <f>IFERROR(__xludf.DUMMYFUNCTION("""COMPUTED_VALUE"""),"Marshall Islands")</f>
        <v>Marshall Islands</v>
      </c>
      <c r="E3522" s="135"/>
      <c r="F3522" s="31"/>
    </row>
    <row r="3523">
      <c r="A3523" s="134" t="str">
        <f>IFERROR(__xludf.DUMMYFUNCTION("""COMPUTED_VALUE"""),"Ingeniero Jacobacci")</f>
        <v>Ingeniero Jacobacci</v>
      </c>
      <c r="B3523" s="120" t="str">
        <f>IFERROR(__xludf.DUMMYFUNCTION("""COMPUTED_VALUE"""),"IGB")</f>
        <v>IGB</v>
      </c>
      <c r="C3523" s="120" t="str">
        <f>IFERROR(__xludf.DUMMYFUNCTION("""COMPUTED_VALUE"""),"Ingeniero Jacobacci")</f>
        <v>Ingeniero Jacobacci</v>
      </c>
      <c r="D3523" s="120" t="str">
        <f>IFERROR(__xludf.DUMMYFUNCTION("""COMPUTED_VALUE"""),"Argentina")</f>
        <v>Argentina</v>
      </c>
      <c r="E3523" s="135"/>
      <c r="F3523" s="31"/>
    </row>
    <row r="3524">
      <c r="A3524" s="134" t="str">
        <f>IFERROR(__xludf.DUMMYFUNCTION("""COMPUTED_VALUE"""),"Ingham")</f>
        <v>Ingham</v>
      </c>
      <c r="B3524" s="120" t="str">
        <f>IFERROR(__xludf.DUMMYFUNCTION("""COMPUTED_VALUE"""),"IGH")</f>
        <v>IGH</v>
      </c>
      <c r="C3524" s="120" t="str">
        <f>IFERROR(__xludf.DUMMYFUNCTION("""COMPUTED_VALUE"""),"Ingham")</f>
        <v>Ingham</v>
      </c>
      <c r="D3524" s="120" t="str">
        <f>IFERROR(__xludf.DUMMYFUNCTION("""COMPUTED_VALUE"""),"Australia")</f>
        <v>Australia</v>
      </c>
      <c r="E3524" s="135"/>
      <c r="F3524" s="31"/>
    </row>
    <row r="3525">
      <c r="A3525" s="134" t="str">
        <f>IFERROR(__xludf.DUMMYFUNCTION("""COMPUTED_VALUE"""),"Ingolstadt-Manching")</f>
        <v>Ingolstadt-Manching</v>
      </c>
      <c r="B3525" s="120" t="str">
        <f>IFERROR(__xludf.DUMMYFUNCTION("""COMPUTED_VALUE"""),"IGS")</f>
        <v>IGS</v>
      </c>
      <c r="C3525" s="120" t="str">
        <f>IFERROR(__xludf.DUMMYFUNCTION("""COMPUTED_VALUE"""),"Ingolstadt-Manching")</f>
        <v>Ingolstadt-Manching</v>
      </c>
      <c r="D3525" s="120" t="str">
        <f>IFERROR(__xludf.DUMMYFUNCTION("""COMPUTED_VALUE"""),"Germany")</f>
        <v>Germany</v>
      </c>
      <c r="E3525" s="135"/>
      <c r="F3525" s="31"/>
    </row>
    <row r="3526">
      <c r="A3526" s="134" t="str">
        <f>IFERROR(__xludf.DUMMYFUNCTION("""COMPUTED_VALUE"""),"Inhaca")</f>
        <v>Inhaca</v>
      </c>
      <c r="B3526" s="120" t="str">
        <f>IFERROR(__xludf.DUMMYFUNCTION("""COMPUTED_VALUE"""),"IHC")</f>
        <v>IHC</v>
      </c>
      <c r="C3526" s="120" t="str">
        <f>IFERROR(__xludf.DUMMYFUNCTION("""COMPUTED_VALUE"""),"Inhaca")</f>
        <v>Inhaca</v>
      </c>
      <c r="D3526" s="120" t="str">
        <f>IFERROR(__xludf.DUMMYFUNCTION("""COMPUTED_VALUE"""),"Mozambique")</f>
        <v>Mozambique</v>
      </c>
      <c r="E3526" s="135"/>
      <c r="F3526" s="31"/>
    </row>
    <row r="3527">
      <c r="A3527" s="134" t="str">
        <f>IFERROR(__xludf.DUMMYFUNCTION("""COMPUTED_VALUE"""),"Inhambane")</f>
        <v>Inhambane</v>
      </c>
      <c r="B3527" s="120" t="str">
        <f>IFERROR(__xludf.DUMMYFUNCTION("""COMPUTED_VALUE"""),"INH")</f>
        <v>INH</v>
      </c>
      <c r="C3527" s="120" t="str">
        <f>IFERROR(__xludf.DUMMYFUNCTION("""COMPUTED_VALUE"""),"Inhambane")</f>
        <v>Inhambane</v>
      </c>
      <c r="D3527" s="120" t="str">
        <f>IFERROR(__xludf.DUMMYFUNCTION("""COMPUTED_VALUE"""),"Mozambique")</f>
        <v>Mozambique</v>
      </c>
      <c r="E3527" s="135"/>
      <c r="F3527" s="31"/>
    </row>
    <row r="3528">
      <c r="A3528" s="134" t="str">
        <f>IFERROR(__xludf.DUMMYFUNCTION("""COMPUTED_VALUE"""),"Inhaminga")</f>
        <v>Inhaminga</v>
      </c>
      <c r="B3528" s="120" t="str">
        <f>IFERROR(__xludf.DUMMYFUNCTION("""COMPUTED_VALUE"""),"IMG")</f>
        <v>IMG</v>
      </c>
      <c r="C3528" s="120" t="str">
        <f>IFERROR(__xludf.DUMMYFUNCTION("""COMPUTED_VALUE"""),"Inhaminga")</f>
        <v>Inhaminga</v>
      </c>
      <c r="D3528" s="120" t="str">
        <f>IFERROR(__xludf.DUMMYFUNCTION("""COMPUTED_VALUE"""),"Mozambique")</f>
        <v>Mozambique</v>
      </c>
      <c r="E3528" s="135"/>
      <c r="F3528" s="31"/>
    </row>
    <row r="3529">
      <c r="A3529" s="134" t="str">
        <f>IFERROR(__xludf.DUMMYFUNCTION("""COMPUTED_VALUE"""),"Inisheer")</f>
        <v>Inisheer</v>
      </c>
      <c r="B3529" s="120" t="str">
        <f>IFERROR(__xludf.DUMMYFUNCTION("""COMPUTED_VALUE"""),"INQ")</f>
        <v>INQ</v>
      </c>
      <c r="C3529" s="120" t="str">
        <f>IFERROR(__xludf.DUMMYFUNCTION("""COMPUTED_VALUE"""),"Inisheer")</f>
        <v>Inisheer</v>
      </c>
      <c r="D3529" s="120" t="str">
        <f>IFERROR(__xludf.DUMMYFUNCTION("""COMPUTED_VALUE"""),"Ireland")</f>
        <v>Ireland</v>
      </c>
      <c r="E3529" s="135"/>
      <c r="F3529" s="31"/>
    </row>
    <row r="3530">
      <c r="A3530" s="134" t="str">
        <f>IFERROR(__xludf.DUMMYFUNCTION("""COMPUTED_VALUE"""),"Inishmaan")</f>
        <v>Inishmaan</v>
      </c>
      <c r="B3530" s="120" t="str">
        <f>IFERROR(__xludf.DUMMYFUNCTION("""COMPUTED_VALUE"""),"IIA")</f>
        <v>IIA</v>
      </c>
      <c r="C3530" s="120" t="str">
        <f>IFERROR(__xludf.DUMMYFUNCTION("""COMPUTED_VALUE"""),"Inishmaan")</f>
        <v>Inishmaan</v>
      </c>
      <c r="D3530" s="120" t="str">
        <f>IFERROR(__xludf.DUMMYFUNCTION("""COMPUTED_VALUE"""),"Ireland")</f>
        <v>Ireland</v>
      </c>
      <c r="E3530" s="135"/>
      <c r="F3530" s="31"/>
    </row>
    <row r="3531">
      <c r="A3531" s="134" t="str">
        <f>IFERROR(__xludf.DUMMYFUNCTION("""COMPUTED_VALUE"""),"Inishmore")</f>
        <v>Inishmore</v>
      </c>
      <c r="B3531" s="120" t="str">
        <f>IFERROR(__xludf.DUMMYFUNCTION("""COMPUTED_VALUE"""),"IOR")</f>
        <v>IOR</v>
      </c>
      <c r="C3531" s="120" t="str">
        <f>IFERROR(__xludf.DUMMYFUNCTION("""COMPUTED_VALUE"""),"Kilronan")</f>
        <v>Kilronan</v>
      </c>
      <c r="D3531" s="120" t="str">
        <f>IFERROR(__xludf.DUMMYFUNCTION("""COMPUTED_VALUE"""),"Ireland")</f>
        <v>Ireland</v>
      </c>
      <c r="E3531" s="135"/>
      <c r="F3531" s="31"/>
    </row>
    <row r="3532">
      <c r="A3532" s="134" t="str">
        <f>IFERROR(__xludf.DUMMYFUNCTION("""COMPUTED_VALUE"""),"Injune")</f>
        <v>Injune</v>
      </c>
      <c r="B3532" s="120" t="str">
        <f>IFERROR(__xludf.DUMMYFUNCTION("""COMPUTED_VALUE"""),"INJ")</f>
        <v>INJ</v>
      </c>
      <c r="C3532" s="120" t="str">
        <f>IFERROR(__xludf.DUMMYFUNCTION("""COMPUTED_VALUE"""),"Injune")</f>
        <v>Injune</v>
      </c>
      <c r="D3532" s="120" t="str">
        <f>IFERROR(__xludf.DUMMYFUNCTION("""COMPUTED_VALUE"""),"Australia")</f>
        <v>Australia</v>
      </c>
      <c r="E3532" s="135"/>
      <c r="F3532" s="31"/>
    </row>
    <row r="3533">
      <c r="A3533" s="134" t="str">
        <f>IFERROR(__xludf.DUMMYFUNCTION("""COMPUTED_VALUE"""),"Inkerman")</f>
        <v>Inkerman</v>
      </c>
      <c r="B3533" s="120" t="str">
        <f>IFERROR(__xludf.DUMMYFUNCTION("""COMPUTED_VALUE"""),"IKP")</f>
        <v>IKP</v>
      </c>
      <c r="C3533" s="120" t="str">
        <f>IFERROR(__xludf.DUMMYFUNCTION("""COMPUTED_VALUE"""),"Inkerman")</f>
        <v>Inkerman</v>
      </c>
      <c r="D3533" s="120" t="str">
        <f>IFERROR(__xludf.DUMMYFUNCTION("""COMPUTED_VALUE"""),"Australia")</f>
        <v>Australia</v>
      </c>
      <c r="E3533" s="135"/>
      <c r="F3533" s="31"/>
    </row>
    <row r="3534">
      <c r="A3534" s="134" t="str">
        <f>IFERROR(__xludf.DUMMYFUNCTION("""COMPUTED_VALUE"""),"Innamincka")</f>
        <v>Innamincka</v>
      </c>
      <c r="B3534" s="120" t="str">
        <f>IFERROR(__xludf.DUMMYFUNCTION("""COMPUTED_VALUE"""),"INM")</f>
        <v>INM</v>
      </c>
      <c r="C3534" s="120" t="str">
        <f>IFERROR(__xludf.DUMMYFUNCTION("""COMPUTED_VALUE"""),"Innamincka")</f>
        <v>Innamincka</v>
      </c>
      <c r="D3534" s="120" t="str">
        <f>IFERROR(__xludf.DUMMYFUNCTION("""COMPUTED_VALUE"""),"Australia")</f>
        <v>Australia</v>
      </c>
      <c r="E3534" s="135"/>
      <c r="F3534" s="31"/>
    </row>
    <row r="3535">
      <c r="A3535" s="134" t="str">
        <f>IFERROR(__xludf.DUMMYFUNCTION("""COMPUTED_VALUE"""),"Innisfail")</f>
        <v>Innisfail</v>
      </c>
      <c r="B3535" s="120" t="str">
        <f>IFERROR(__xludf.DUMMYFUNCTION("""COMPUTED_VALUE"""),"IFL")</f>
        <v>IFL</v>
      </c>
      <c r="C3535" s="120" t="str">
        <f>IFERROR(__xludf.DUMMYFUNCTION("""COMPUTED_VALUE"""),"Innisfail")</f>
        <v>Innisfail</v>
      </c>
      <c r="D3535" s="120" t="str">
        <f>IFERROR(__xludf.DUMMYFUNCTION("""COMPUTED_VALUE"""),"Australia")</f>
        <v>Australia</v>
      </c>
      <c r="E3535" s="135"/>
      <c r="F3535" s="31"/>
    </row>
    <row r="3536">
      <c r="A3536" s="134" t="str">
        <f>IFERROR(__xludf.DUMMYFUNCTION("""COMPUTED_VALUE"""),"Innsbruck")</f>
        <v>Innsbruck</v>
      </c>
      <c r="B3536" s="120" t="str">
        <f>IFERROR(__xludf.DUMMYFUNCTION("""COMPUTED_VALUE"""),"INN")</f>
        <v>INN</v>
      </c>
      <c r="C3536" s="120" t="str">
        <f>IFERROR(__xludf.DUMMYFUNCTION("""COMPUTED_VALUE"""),"Kranebitten")</f>
        <v>Kranebitten</v>
      </c>
      <c r="D3536" s="120" t="str">
        <f>IFERROR(__xludf.DUMMYFUNCTION("""COMPUTED_VALUE"""),"Austria")</f>
        <v>Austria</v>
      </c>
      <c r="E3536" s="135"/>
      <c r="F3536" s="31"/>
    </row>
    <row r="3537">
      <c r="A3537" s="134" t="str">
        <f>IFERROR(__xludf.DUMMYFUNCTION("""COMPUTED_VALUE"""),"Inongo")</f>
        <v>Inongo</v>
      </c>
      <c r="B3537" s="120" t="str">
        <f>IFERROR(__xludf.DUMMYFUNCTION("""COMPUTED_VALUE"""),"INO")</f>
        <v>INO</v>
      </c>
      <c r="C3537" s="120" t="str">
        <f>IFERROR(__xludf.DUMMYFUNCTION("""COMPUTED_VALUE"""),"Inongo")</f>
        <v>Inongo</v>
      </c>
      <c r="D3537" s="120" t="str">
        <f>IFERROR(__xludf.DUMMYFUNCTION("""COMPUTED_VALUE"""),"Zaire")</f>
        <v>Zaire</v>
      </c>
      <c r="E3537" s="135"/>
      <c r="F3537" s="31"/>
    </row>
    <row r="3538">
      <c r="A3538" s="134" t="str">
        <f>IFERROR(__xludf.DUMMYFUNCTION("""COMPUTED_VALUE"""),"Inta")</f>
        <v>Inta</v>
      </c>
      <c r="B3538" s="120" t="str">
        <f>IFERROR(__xludf.DUMMYFUNCTION("""COMPUTED_VALUE"""),"INA")</f>
        <v>INA</v>
      </c>
      <c r="C3538" s="120" t="str">
        <f>IFERROR(__xludf.DUMMYFUNCTION("""COMPUTED_VALUE"""),"Inta")</f>
        <v>Inta</v>
      </c>
      <c r="D3538" s="120" t="str">
        <f>IFERROR(__xludf.DUMMYFUNCTION("""COMPUTED_VALUE"""),"Russia")</f>
        <v>Russia</v>
      </c>
      <c r="E3538" s="135"/>
      <c r="F3538" s="31"/>
    </row>
    <row r="3539">
      <c r="A3539" s="134" t="str">
        <f>IFERROR(__xludf.DUMMYFUNCTION("""COMPUTED_VALUE"""),"International Falls")</f>
        <v>International Falls</v>
      </c>
      <c r="B3539" s="120" t="str">
        <f>IFERROR(__xludf.DUMMYFUNCTION("""COMPUTED_VALUE"""),"INL")</f>
        <v>INL</v>
      </c>
      <c r="C3539" s="120" t="str">
        <f>IFERROR(__xludf.DUMMYFUNCTION("""COMPUTED_VALUE"""),"Falls Intl")</f>
        <v>Falls Intl</v>
      </c>
      <c r="D3539" s="120" t="str">
        <f>IFERROR(__xludf.DUMMYFUNCTION("""COMPUTED_VALUE"""),"United States")</f>
        <v>United States</v>
      </c>
      <c r="E3539" s="135"/>
      <c r="F3539" s="31"/>
    </row>
    <row r="3540">
      <c r="A3540" s="134" t="str">
        <f>IFERROR(__xludf.DUMMYFUNCTION("""COMPUTED_VALUE"""),"Inukjuak")</f>
        <v>Inukjuak</v>
      </c>
      <c r="B3540" s="120" t="str">
        <f>IFERROR(__xludf.DUMMYFUNCTION("""COMPUTED_VALUE"""),"YPH")</f>
        <v>YPH</v>
      </c>
      <c r="C3540" s="120" t="str">
        <f>IFERROR(__xludf.DUMMYFUNCTION("""COMPUTED_VALUE"""),"Inukjuak")</f>
        <v>Inukjuak</v>
      </c>
      <c r="D3540" s="120" t="str">
        <f>IFERROR(__xludf.DUMMYFUNCTION("""COMPUTED_VALUE"""),"Canada")</f>
        <v>Canada</v>
      </c>
      <c r="E3540" s="135"/>
      <c r="F3540" s="31"/>
    </row>
    <row r="3541">
      <c r="A3541" s="134" t="str">
        <f>IFERROR(__xludf.DUMMYFUNCTION("""COMPUTED_VALUE"""),"Inus")</f>
        <v>Inus</v>
      </c>
      <c r="B3541" s="120" t="str">
        <f>IFERROR(__xludf.DUMMYFUNCTION("""COMPUTED_VALUE"""),"IUS")</f>
        <v>IUS</v>
      </c>
      <c r="C3541" s="120" t="str">
        <f>IFERROR(__xludf.DUMMYFUNCTION("""COMPUTED_VALUE"""),"Inus")</f>
        <v>Inus</v>
      </c>
      <c r="D3541" s="120" t="str">
        <f>IFERROR(__xludf.DUMMYFUNCTION("""COMPUTED_VALUE"""),"Papua New Guinea")</f>
        <v>Papua New Guinea</v>
      </c>
      <c r="E3541" s="135"/>
      <c r="F3541" s="31"/>
    </row>
    <row r="3542">
      <c r="A3542" s="134" t="str">
        <f>IFERROR(__xludf.DUMMYFUNCTION("""COMPUTED_VALUE"""),"Inuvik")</f>
        <v>Inuvik</v>
      </c>
      <c r="B3542" s="120" t="str">
        <f>IFERROR(__xludf.DUMMYFUNCTION("""COMPUTED_VALUE"""),"YEV")</f>
        <v>YEV</v>
      </c>
      <c r="C3542" s="120" t="str">
        <f>IFERROR(__xludf.DUMMYFUNCTION("""COMPUTED_VALUE"""),"Inuvik/Mike Zubko")</f>
        <v>Inuvik/Mike Zubko</v>
      </c>
      <c r="D3542" s="120" t="str">
        <f>IFERROR(__xludf.DUMMYFUNCTION("""COMPUTED_VALUE"""),"Canada")</f>
        <v>Canada</v>
      </c>
      <c r="E3542" s="135"/>
      <c r="F3542" s="31"/>
    </row>
    <row r="3543">
      <c r="A3543" s="134" t="str">
        <f>IFERROR(__xludf.DUMMYFUNCTION("""COMPUTED_VALUE"""),"Invercargill")</f>
        <v>Invercargill</v>
      </c>
      <c r="B3543" s="120" t="str">
        <f>IFERROR(__xludf.DUMMYFUNCTION("""COMPUTED_VALUE"""),"IVC")</f>
        <v>IVC</v>
      </c>
      <c r="C3543" s="120" t="str">
        <f>IFERROR(__xludf.DUMMYFUNCTION("""COMPUTED_VALUE"""),"Invercargill")</f>
        <v>Invercargill</v>
      </c>
      <c r="D3543" s="120" t="str">
        <f>IFERROR(__xludf.DUMMYFUNCTION("""COMPUTED_VALUE"""),"New Zealand (aotearoa)")</f>
        <v>New Zealand (aotearoa)</v>
      </c>
      <c r="E3543" s="135"/>
      <c r="F3543" s="31"/>
    </row>
    <row r="3544">
      <c r="A3544" s="134" t="str">
        <f>IFERROR(__xludf.DUMMYFUNCTION("""COMPUTED_VALUE"""),"Inverell")</f>
        <v>Inverell</v>
      </c>
      <c r="B3544" s="120" t="str">
        <f>IFERROR(__xludf.DUMMYFUNCTION("""COMPUTED_VALUE"""),"IVR")</f>
        <v>IVR</v>
      </c>
      <c r="C3544" s="120" t="str">
        <f>IFERROR(__xludf.DUMMYFUNCTION("""COMPUTED_VALUE"""),"Inverell")</f>
        <v>Inverell</v>
      </c>
      <c r="D3544" s="120" t="str">
        <f>IFERROR(__xludf.DUMMYFUNCTION("""COMPUTED_VALUE"""),"Australia")</f>
        <v>Australia</v>
      </c>
      <c r="E3544" s="135"/>
      <c r="F3544" s="31"/>
    </row>
    <row r="3545">
      <c r="A3545" s="134" t="str">
        <f>IFERROR(__xludf.DUMMYFUNCTION("""COMPUTED_VALUE"""),"Inverlake")</f>
        <v>Inverlake</v>
      </c>
      <c r="B3545" s="120" t="str">
        <f>IFERROR(__xludf.DUMMYFUNCTION("""COMPUTED_VALUE"""),"TIL")</f>
        <v>TIL</v>
      </c>
      <c r="C3545" s="120" t="str">
        <f>IFERROR(__xludf.DUMMYFUNCTION("""COMPUTED_VALUE"""),"Inverlake")</f>
        <v>Inverlake</v>
      </c>
      <c r="D3545" s="120" t="str">
        <f>IFERROR(__xludf.DUMMYFUNCTION("""COMPUTED_VALUE"""),"Canada")</f>
        <v>Canada</v>
      </c>
      <c r="E3545" s="135"/>
      <c r="F3545" s="31"/>
    </row>
    <row r="3546">
      <c r="A3546" s="134" t="str">
        <f>IFERROR(__xludf.DUMMYFUNCTION("""COMPUTED_VALUE"""),"Inverness")</f>
        <v>Inverness</v>
      </c>
      <c r="B3546" s="120" t="str">
        <f>IFERROR(__xludf.DUMMYFUNCTION("""COMPUTED_VALUE"""),"INV")</f>
        <v>INV</v>
      </c>
      <c r="C3546" s="120" t="str">
        <f>IFERROR(__xludf.DUMMYFUNCTION("""COMPUTED_VALUE"""),"Inverness")</f>
        <v>Inverness</v>
      </c>
      <c r="D3546" s="120" t="str">
        <f>IFERROR(__xludf.DUMMYFUNCTION("""COMPUTED_VALUE"""),"United Kingdom")</f>
        <v>United Kingdom</v>
      </c>
      <c r="E3546" s="135"/>
      <c r="F3546" s="31"/>
    </row>
    <row r="3547">
      <c r="A3547" s="134" t="str">
        <f>IFERROR(__xludf.DUMMYFUNCTION("""COMPUTED_VALUE"""),"Inverness")</f>
        <v>Inverness</v>
      </c>
      <c r="B3547" s="120" t="str">
        <f>IFERROR(__xludf.DUMMYFUNCTION("""COMPUTED_VALUE"""),"ZIV")</f>
        <v>ZIV</v>
      </c>
      <c r="C3547" s="120" t="str">
        <f>IFERROR(__xludf.DUMMYFUNCTION("""COMPUTED_VALUE"""),"ScotRail")</f>
        <v>ScotRail</v>
      </c>
      <c r="D3547" s="120" t="str">
        <f>IFERROR(__xludf.DUMMYFUNCTION("""COMPUTED_VALUE"""),"United Kingdom")</f>
        <v>United Kingdom</v>
      </c>
      <c r="E3547" s="135"/>
      <c r="F3547" s="31"/>
    </row>
    <row r="3548">
      <c r="A3548" s="134" t="str">
        <f>IFERROR(__xludf.DUMMYFUNCTION("""COMPUTED_VALUE"""),"Inverway")</f>
        <v>Inverway</v>
      </c>
      <c r="B3548" s="120" t="str">
        <f>IFERROR(__xludf.DUMMYFUNCTION("""COMPUTED_VALUE"""),"IVW")</f>
        <v>IVW</v>
      </c>
      <c r="C3548" s="120" t="str">
        <f>IFERROR(__xludf.DUMMYFUNCTION("""COMPUTED_VALUE"""),"Inverway")</f>
        <v>Inverway</v>
      </c>
      <c r="D3548" s="120" t="str">
        <f>IFERROR(__xludf.DUMMYFUNCTION("""COMPUTED_VALUE"""),"Australia")</f>
        <v>Australia</v>
      </c>
      <c r="E3548" s="135"/>
      <c r="F3548" s="31"/>
    </row>
    <row r="3549">
      <c r="A3549" s="134" t="str">
        <f>IFERROR(__xludf.DUMMYFUNCTION("""COMPUTED_VALUE"""),"Inyati")</f>
        <v>Inyati</v>
      </c>
      <c r="B3549" s="120" t="str">
        <f>IFERROR(__xludf.DUMMYFUNCTION("""COMPUTED_VALUE"""),"INY")</f>
        <v>INY</v>
      </c>
      <c r="C3549" s="120" t="str">
        <f>IFERROR(__xludf.DUMMYFUNCTION("""COMPUTED_VALUE"""),"Inyati")</f>
        <v>Inyati</v>
      </c>
      <c r="D3549" s="120" t="str">
        <f>IFERROR(__xludf.DUMMYFUNCTION("""COMPUTED_VALUE"""),"South Africa")</f>
        <v>South Africa</v>
      </c>
      <c r="E3549" s="135"/>
      <c r="F3549" s="31"/>
    </row>
    <row r="3550">
      <c r="A3550" s="134" t="str">
        <f>IFERROR(__xludf.DUMMYFUNCTION("""COMPUTED_VALUE"""),"Inyokern")</f>
        <v>Inyokern</v>
      </c>
      <c r="B3550" s="120" t="str">
        <f>IFERROR(__xludf.DUMMYFUNCTION("""COMPUTED_VALUE"""),"IYK")</f>
        <v>IYK</v>
      </c>
      <c r="C3550" s="120" t="str">
        <f>IFERROR(__xludf.DUMMYFUNCTION("""COMPUTED_VALUE"""),"Kern County")</f>
        <v>Kern County</v>
      </c>
      <c r="D3550" s="120" t="str">
        <f>IFERROR(__xludf.DUMMYFUNCTION("""COMPUTED_VALUE"""),"United States")</f>
        <v>United States</v>
      </c>
      <c r="E3550" s="135"/>
      <c r="F3550" s="31"/>
    </row>
    <row r="3551">
      <c r="A3551" s="134" t="str">
        <f>IFERROR(__xludf.DUMMYFUNCTION("""COMPUTED_VALUE"""),"Ioannina")</f>
        <v>Ioannina</v>
      </c>
      <c r="B3551" s="120" t="str">
        <f>IFERROR(__xludf.DUMMYFUNCTION("""COMPUTED_VALUE"""),"IOA")</f>
        <v>IOA</v>
      </c>
      <c r="C3551" s="120" t="str">
        <f>IFERROR(__xludf.DUMMYFUNCTION("""COMPUTED_VALUE"""),"Ioannina")</f>
        <v>Ioannina</v>
      </c>
      <c r="D3551" s="120" t="str">
        <f>IFERROR(__xludf.DUMMYFUNCTION("""COMPUTED_VALUE"""),"Greece")</f>
        <v>Greece</v>
      </c>
      <c r="E3551" s="135"/>
      <c r="F3551" s="31"/>
    </row>
    <row r="3552">
      <c r="A3552" s="134" t="str">
        <f>IFERROR(__xludf.DUMMYFUNCTION("""COMPUTED_VALUE"""),"Iokea")</f>
        <v>Iokea</v>
      </c>
      <c r="B3552" s="120" t="str">
        <f>IFERROR(__xludf.DUMMYFUNCTION("""COMPUTED_VALUE"""),"IOK")</f>
        <v>IOK</v>
      </c>
      <c r="C3552" s="120" t="str">
        <f>IFERROR(__xludf.DUMMYFUNCTION("""COMPUTED_VALUE"""),"Iokea")</f>
        <v>Iokea</v>
      </c>
      <c r="D3552" s="120" t="str">
        <f>IFERROR(__xludf.DUMMYFUNCTION("""COMPUTED_VALUE"""),"Papua New Guinea")</f>
        <v>Papua New Guinea</v>
      </c>
      <c r="E3552" s="135"/>
      <c r="F3552" s="31"/>
    </row>
    <row r="3553">
      <c r="A3553" s="134" t="str">
        <f>IFERROR(__xludf.DUMMYFUNCTION("""COMPUTED_VALUE"""),"Ioma")</f>
        <v>Ioma</v>
      </c>
      <c r="B3553" s="120" t="str">
        <f>IFERROR(__xludf.DUMMYFUNCTION("""COMPUTED_VALUE"""),"IOP")</f>
        <v>IOP</v>
      </c>
      <c r="C3553" s="120" t="str">
        <f>IFERROR(__xludf.DUMMYFUNCTION("""COMPUTED_VALUE"""),"Ioma")</f>
        <v>Ioma</v>
      </c>
      <c r="D3553" s="120" t="str">
        <f>IFERROR(__xludf.DUMMYFUNCTION("""COMPUTED_VALUE"""),"Papua New Guinea")</f>
        <v>Papua New Guinea</v>
      </c>
      <c r="E3553" s="135"/>
      <c r="F3553" s="31"/>
    </row>
    <row r="3554">
      <c r="A3554" s="134" t="str">
        <f>IFERROR(__xludf.DUMMYFUNCTION("""COMPUTED_VALUE"""),"Iowa City")</f>
        <v>Iowa City</v>
      </c>
      <c r="B3554" s="120" t="str">
        <f>IFERROR(__xludf.DUMMYFUNCTION("""COMPUTED_VALUE"""),"IOW")</f>
        <v>IOW</v>
      </c>
      <c r="C3554" s="120" t="str">
        <f>IFERROR(__xludf.DUMMYFUNCTION("""COMPUTED_VALUE"""),"Iowa City")</f>
        <v>Iowa City</v>
      </c>
      <c r="D3554" s="120" t="str">
        <f>IFERROR(__xludf.DUMMYFUNCTION("""COMPUTED_VALUE"""),"United States")</f>
        <v>United States</v>
      </c>
      <c r="E3554" s="135"/>
      <c r="F3554" s="31"/>
    </row>
    <row r="3555">
      <c r="A3555" s="134" t="str">
        <f>IFERROR(__xludf.DUMMYFUNCTION("""COMPUTED_VALUE"""),"Iowa Falls")</f>
        <v>Iowa Falls</v>
      </c>
      <c r="B3555" s="120" t="str">
        <f>IFERROR(__xludf.DUMMYFUNCTION("""COMPUTED_VALUE"""),"IFA")</f>
        <v>IFA</v>
      </c>
      <c r="C3555" s="120" t="str">
        <f>IFERROR(__xludf.DUMMYFUNCTION("""COMPUTED_VALUE"""),"Iowa Falls")</f>
        <v>Iowa Falls</v>
      </c>
      <c r="D3555" s="120" t="str">
        <f>IFERROR(__xludf.DUMMYFUNCTION("""COMPUTED_VALUE"""),"United States")</f>
        <v>United States</v>
      </c>
      <c r="E3555" s="135"/>
      <c r="F3555" s="31"/>
    </row>
    <row r="3556">
      <c r="A3556" s="134" t="str">
        <f>IFERROR(__xludf.DUMMYFUNCTION("""COMPUTED_VALUE"""),"Ipatinga")</f>
        <v>Ipatinga</v>
      </c>
      <c r="B3556" s="120" t="str">
        <f>IFERROR(__xludf.DUMMYFUNCTION("""COMPUTED_VALUE"""),"IPN")</f>
        <v>IPN</v>
      </c>
      <c r="C3556" s="120" t="str">
        <f>IFERROR(__xludf.DUMMYFUNCTION("""COMPUTED_VALUE"""),"Usiminas")</f>
        <v>Usiminas</v>
      </c>
      <c r="D3556" s="120" t="str">
        <f>IFERROR(__xludf.DUMMYFUNCTION("""COMPUTED_VALUE"""),"Brazil")</f>
        <v>Brazil</v>
      </c>
      <c r="E3556" s="135"/>
      <c r="F3556" s="31"/>
    </row>
    <row r="3557">
      <c r="A3557" s="134" t="str">
        <f>IFERROR(__xludf.DUMMYFUNCTION("""COMPUTED_VALUE"""),"Ipiales")</f>
        <v>Ipiales</v>
      </c>
      <c r="B3557" s="120" t="str">
        <f>IFERROR(__xludf.DUMMYFUNCTION("""COMPUTED_VALUE"""),"IPI")</f>
        <v>IPI</v>
      </c>
      <c r="C3557" s="120" t="str">
        <f>IFERROR(__xludf.DUMMYFUNCTION("""COMPUTED_VALUE"""),"San Luis")</f>
        <v>San Luis</v>
      </c>
      <c r="D3557" s="120" t="str">
        <f>IFERROR(__xludf.DUMMYFUNCTION("""COMPUTED_VALUE"""),"Colombia")</f>
        <v>Colombia</v>
      </c>
      <c r="E3557" s="135"/>
      <c r="F3557" s="31"/>
    </row>
    <row r="3558">
      <c r="A3558" s="134" t="str">
        <f>IFERROR(__xludf.DUMMYFUNCTION("""COMPUTED_VALUE"""),"Ipiau")</f>
        <v>Ipiau</v>
      </c>
      <c r="B3558" s="120" t="str">
        <f>IFERROR(__xludf.DUMMYFUNCTION("""COMPUTED_VALUE"""),"IPU")</f>
        <v>IPU</v>
      </c>
      <c r="C3558" s="120" t="str">
        <f>IFERROR(__xludf.DUMMYFUNCTION("""COMPUTED_VALUE"""),"Ipiau")</f>
        <v>Ipiau</v>
      </c>
      <c r="D3558" s="120" t="str">
        <f>IFERROR(__xludf.DUMMYFUNCTION("""COMPUTED_VALUE"""),"Brazil")</f>
        <v>Brazil</v>
      </c>
      <c r="E3558" s="135"/>
      <c r="F3558" s="31"/>
    </row>
    <row r="3559">
      <c r="A3559" s="134" t="str">
        <f>IFERROR(__xludf.DUMMYFUNCTION("""COMPUTED_VALUE"""),"Ipil")</f>
        <v>Ipil</v>
      </c>
      <c r="B3559" s="120" t="str">
        <f>IFERROR(__xludf.DUMMYFUNCTION("""COMPUTED_VALUE"""),"IPE")</f>
        <v>IPE</v>
      </c>
      <c r="C3559" s="120" t="str">
        <f>IFERROR(__xludf.DUMMYFUNCTION("""COMPUTED_VALUE"""),"Ipil")</f>
        <v>Ipil</v>
      </c>
      <c r="D3559" s="120" t="str">
        <f>IFERROR(__xludf.DUMMYFUNCTION("""COMPUTED_VALUE"""),"Philippines")</f>
        <v>Philippines</v>
      </c>
      <c r="E3559" s="135"/>
      <c r="F3559" s="31"/>
    </row>
    <row r="3560">
      <c r="A3560" s="134" t="str">
        <f>IFERROR(__xludf.DUMMYFUNCTION("""COMPUTED_VALUE"""),"Ipiranga")</f>
        <v>Ipiranga</v>
      </c>
      <c r="B3560" s="120" t="str">
        <f>IFERROR(__xludf.DUMMYFUNCTION("""COMPUTED_VALUE"""),"IPG")</f>
        <v>IPG</v>
      </c>
      <c r="C3560" s="120" t="str">
        <f>IFERROR(__xludf.DUMMYFUNCTION("""COMPUTED_VALUE"""),"Ipiranga")</f>
        <v>Ipiranga</v>
      </c>
      <c r="D3560" s="120" t="str">
        <f>IFERROR(__xludf.DUMMYFUNCTION("""COMPUTED_VALUE"""),"Brazil")</f>
        <v>Brazil</v>
      </c>
      <c r="E3560" s="135"/>
      <c r="F3560" s="31"/>
    </row>
    <row r="3561">
      <c r="A3561" s="134" t="str">
        <f>IFERROR(__xludf.DUMMYFUNCTION("""COMPUTED_VALUE"""),"Ipoh")</f>
        <v>Ipoh</v>
      </c>
      <c r="B3561" s="120" t="str">
        <f>IFERROR(__xludf.DUMMYFUNCTION("""COMPUTED_VALUE"""),"IPH")</f>
        <v>IPH</v>
      </c>
      <c r="C3561" s="120" t="str">
        <f>IFERROR(__xludf.DUMMYFUNCTION("""COMPUTED_VALUE"""),"Ipoh")</f>
        <v>Ipoh</v>
      </c>
      <c r="D3561" s="120" t="str">
        <f>IFERROR(__xludf.DUMMYFUNCTION("""COMPUTED_VALUE"""),"Malaysia")</f>
        <v>Malaysia</v>
      </c>
      <c r="E3561" s="135"/>
      <c r="F3561" s="31"/>
    </row>
    <row r="3562">
      <c r="A3562" s="134" t="str">
        <f>IFERROR(__xludf.DUMMYFUNCTION("""COMPUTED_VALUE"""),"Ipota")</f>
        <v>Ipota</v>
      </c>
      <c r="B3562" s="120" t="str">
        <f>IFERROR(__xludf.DUMMYFUNCTION("""COMPUTED_VALUE"""),"IPA")</f>
        <v>IPA</v>
      </c>
      <c r="C3562" s="120" t="str">
        <f>IFERROR(__xludf.DUMMYFUNCTION("""COMPUTED_VALUE"""),"Ipota")</f>
        <v>Ipota</v>
      </c>
      <c r="D3562" s="120" t="str">
        <f>IFERROR(__xludf.DUMMYFUNCTION("""COMPUTED_VALUE"""),"Vanuatu")</f>
        <v>Vanuatu</v>
      </c>
      <c r="E3562" s="135"/>
      <c r="F3562" s="31"/>
    </row>
    <row r="3563">
      <c r="A3563" s="134" t="str">
        <f>IFERROR(__xludf.DUMMYFUNCTION("""COMPUTED_VALUE"""),"Ipswich")</f>
        <v>Ipswich</v>
      </c>
      <c r="B3563" s="120" t="str">
        <f>IFERROR(__xludf.DUMMYFUNCTION("""COMPUTED_VALUE"""),"IPW")</f>
        <v>IPW</v>
      </c>
      <c r="C3563" s="120" t="str">
        <f>IFERROR(__xludf.DUMMYFUNCTION("""COMPUTED_VALUE"""),"Ipswich (Closed)")</f>
        <v>Ipswich (Closed)</v>
      </c>
      <c r="D3563" s="120" t="str">
        <f>IFERROR(__xludf.DUMMYFUNCTION("""COMPUTED_VALUE"""),"United Kingdom")</f>
        <v>United Kingdom</v>
      </c>
      <c r="E3563" s="135"/>
      <c r="F3563" s="31"/>
    </row>
    <row r="3564">
      <c r="A3564" s="134" t="str">
        <f>IFERROR(__xludf.DUMMYFUNCTION("""COMPUTED_VALUE"""),"Iqaluit")</f>
        <v>Iqaluit</v>
      </c>
      <c r="B3564" s="120" t="str">
        <f>IFERROR(__xludf.DUMMYFUNCTION("""COMPUTED_VALUE"""),"YFB")</f>
        <v>YFB</v>
      </c>
      <c r="C3564" s="120" t="str">
        <f>IFERROR(__xludf.DUMMYFUNCTION("""COMPUTED_VALUE"""),"Iqaluit")</f>
        <v>Iqaluit</v>
      </c>
      <c r="D3564" s="120" t="str">
        <f>IFERROR(__xludf.DUMMYFUNCTION("""COMPUTED_VALUE"""),"Canada")</f>
        <v>Canada</v>
      </c>
      <c r="E3564" s="135"/>
      <c r="F3564" s="31"/>
    </row>
    <row r="3565">
      <c r="A3565" s="134" t="str">
        <f>IFERROR(__xludf.DUMMYFUNCTION("""COMPUTED_VALUE"""),"Iquique")</f>
        <v>Iquique</v>
      </c>
      <c r="B3565" s="120" t="str">
        <f>IFERROR(__xludf.DUMMYFUNCTION("""COMPUTED_VALUE"""),"IQQ")</f>
        <v>IQQ</v>
      </c>
      <c r="C3565" s="120" t="str">
        <f>IFERROR(__xludf.DUMMYFUNCTION("""COMPUTED_VALUE"""),"Cavancha")</f>
        <v>Cavancha</v>
      </c>
      <c r="D3565" s="120" t="str">
        <f>IFERROR(__xludf.DUMMYFUNCTION("""COMPUTED_VALUE"""),"Chile")</f>
        <v>Chile</v>
      </c>
      <c r="E3565" s="135"/>
      <c r="F3565" s="31"/>
    </row>
    <row r="3566">
      <c r="A3566" s="134" t="str">
        <f>IFERROR(__xludf.DUMMYFUNCTION("""COMPUTED_VALUE"""),"Iquitos")</f>
        <v>Iquitos</v>
      </c>
      <c r="B3566" s="120" t="str">
        <f>IFERROR(__xludf.DUMMYFUNCTION("""COMPUTED_VALUE"""),"IQT")</f>
        <v>IQT</v>
      </c>
      <c r="C3566" s="120" t="str">
        <f>IFERROR(__xludf.DUMMYFUNCTION("""COMPUTED_VALUE"""),"C.F. Secada")</f>
        <v>C.F. Secada</v>
      </c>
      <c r="D3566" s="120" t="str">
        <f>IFERROR(__xludf.DUMMYFUNCTION("""COMPUTED_VALUE"""),"Peru")</f>
        <v>Peru</v>
      </c>
      <c r="E3566" s="135"/>
      <c r="F3566" s="31"/>
    </row>
    <row r="3567">
      <c r="A3567" s="134" t="str">
        <f>IFERROR(__xludf.DUMMYFUNCTION("""COMPUTED_VALUE"""),"Iraan")</f>
        <v>Iraan</v>
      </c>
      <c r="B3567" s="120" t="str">
        <f>IFERROR(__xludf.DUMMYFUNCTION("""COMPUTED_VALUE"""),"IRB")</f>
        <v>IRB</v>
      </c>
      <c r="C3567" s="120" t="str">
        <f>IFERROR(__xludf.DUMMYFUNCTION("""COMPUTED_VALUE"""),"Municipal")</f>
        <v>Municipal</v>
      </c>
      <c r="D3567" s="120" t="str">
        <f>IFERROR(__xludf.DUMMYFUNCTION("""COMPUTED_VALUE"""),"United States")</f>
        <v>United States</v>
      </c>
      <c r="E3567" s="135"/>
      <c r="F3567" s="31"/>
    </row>
    <row r="3568">
      <c r="A3568" s="134" t="str">
        <f>IFERROR(__xludf.DUMMYFUNCTION("""COMPUTED_VALUE"""),"Iran Shahr")</f>
        <v>Iran Shahr</v>
      </c>
      <c r="B3568" s="120" t="str">
        <f>IFERROR(__xludf.DUMMYFUNCTION("""COMPUTED_VALUE"""),"IHR")</f>
        <v>IHR</v>
      </c>
      <c r="C3568" s="120" t="str">
        <f>IFERROR(__xludf.DUMMYFUNCTION("""COMPUTED_VALUE"""),"Iran Shahr")</f>
        <v>Iran Shahr</v>
      </c>
      <c r="D3568" s="120" t="str">
        <f>IFERROR(__xludf.DUMMYFUNCTION("""COMPUTED_VALUE"""),"Iran")</f>
        <v>Iran</v>
      </c>
      <c r="E3568" s="135"/>
      <c r="F3568" s="31"/>
    </row>
    <row r="3569">
      <c r="A3569" s="134" t="str">
        <f>IFERROR(__xludf.DUMMYFUNCTION("""COMPUTED_VALUE"""),"Irece")</f>
        <v>Irece</v>
      </c>
      <c r="B3569" s="120" t="str">
        <f>IFERROR(__xludf.DUMMYFUNCTION("""COMPUTED_VALUE"""),"IRE")</f>
        <v>IRE</v>
      </c>
      <c r="C3569" s="120" t="str">
        <f>IFERROR(__xludf.DUMMYFUNCTION("""COMPUTED_VALUE"""),"Irece")</f>
        <v>Irece</v>
      </c>
      <c r="D3569" s="120" t="str">
        <f>IFERROR(__xludf.DUMMYFUNCTION("""COMPUTED_VALUE"""),"Brazil")</f>
        <v>Brazil</v>
      </c>
      <c r="E3569" s="135"/>
      <c r="F3569" s="31"/>
    </row>
    <row r="3570">
      <c r="A3570" s="134" t="str">
        <f>IFERROR(__xludf.DUMMYFUNCTION("""COMPUTED_VALUE"""),"Iringa")</f>
        <v>Iringa</v>
      </c>
      <c r="B3570" s="120" t="str">
        <f>IFERROR(__xludf.DUMMYFUNCTION("""COMPUTED_VALUE"""),"IRI")</f>
        <v>IRI</v>
      </c>
      <c r="C3570" s="120" t="str">
        <f>IFERROR(__xludf.DUMMYFUNCTION("""COMPUTED_VALUE"""),"Nduli")</f>
        <v>Nduli</v>
      </c>
      <c r="D3570" s="120" t="str">
        <f>IFERROR(__xludf.DUMMYFUNCTION("""COMPUTED_VALUE"""),"Tanzania")</f>
        <v>Tanzania</v>
      </c>
      <c r="E3570" s="135"/>
      <c r="F3570" s="31"/>
    </row>
    <row r="3571">
      <c r="A3571" s="134" t="str">
        <f>IFERROR(__xludf.DUMMYFUNCTION("""COMPUTED_VALUE"""),"Iriona")</f>
        <v>Iriona</v>
      </c>
      <c r="B3571" s="120" t="str">
        <f>IFERROR(__xludf.DUMMYFUNCTION("""COMPUTED_VALUE"""),"IRN")</f>
        <v>IRN</v>
      </c>
      <c r="C3571" s="120" t="str">
        <f>IFERROR(__xludf.DUMMYFUNCTION("""COMPUTED_VALUE"""),"Iriona")</f>
        <v>Iriona</v>
      </c>
      <c r="D3571" s="120" t="str">
        <f>IFERROR(__xludf.DUMMYFUNCTION("""COMPUTED_VALUE"""),"Honduras")</f>
        <v>Honduras</v>
      </c>
      <c r="E3571" s="135"/>
      <c r="F3571" s="31"/>
    </row>
    <row r="3572">
      <c r="A3572" s="134" t="str">
        <f>IFERROR(__xludf.DUMMYFUNCTION("""COMPUTED_VALUE"""),"Irkutsk")</f>
        <v>Irkutsk</v>
      </c>
      <c r="B3572" s="120" t="str">
        <f>IFERROR(__xludf.DUMMYFUNCTION("""COMPUTED_VALUE"""),"IKT")</f>
        <v>IKT</v>
      </c>
      <c r="C3572" s="120" t="str">
        <f>IFERROR(__xludf.DUMMYFUNCTION("""COMPUTED_VALUE"""),"Irkutsk")</f>
        <v>Irkutsk</v>
      </c>
      <c r="D3572" s="120" t="str">
        <f>IFERROR(__xludf.DUMMYFUNCTION("""COMPUTED_VALUE"""),"Russia")</f>
        <v>Russia</v>
      </c>
      <c r="E3572" s="135"/>
      <c r="F3572" s="31"/>
    </row>
    <row r="3573">
      <c r="A3573" s="134" t="str">
        <f>IFERROR(__xludf.DUMMYFUNCTION("""COMPUTED_VALUE"""),"Iron Mountain")</f>
        <v>Iron Mountain</v>
      </c>
      <c r="B3573" s="120" t="str">
        <f>IFERROR(__xludf.DUMMYFUNCTION("""COMPUTED_VALUE"""),"IMT")</f>
        <v>IMT</v>
      </c>
      <c r="C3573" s="120" t="str">
        <f>IFERROR(__xludf.DUMMYFUNCTION("""COMPUTED_VALUE"""),"Ford")</f>
        <v>Ford</v>
      </c>
      <c r="D3573" s="120" t="str">
        <f>IFERROR(__xludf.DUMMYFUNCTION("""COMPUTED_VALUE"""),"United States")</f>
        <v>United States</v>
      </c>
      <c r="E3573" s="135"/>
      <c r="F3573" s="31"/>
    </row>
    <row r="3574">
      <c r="A3574" s="134" t="str">
        <f>IFERROR(__xludf.DUMMYFUNCTION("""COMPUTED_VALUE"""),"Ironwood")</f>
        <v>Ironwood</v>
      </c>
      <c r="B3574" s="120" t="str">
        <f>IFERROR(__xludf.DUMMYFUNCTION("""COMPUTED_VALUE"""),"IWD")</f>
        <v>IWD</v>
      </c>
      <c r="C3574" s="120" t="str">
        <f>IFERROR(__xludf.DUMMYFUNCTION("""COMPUTED_VALUE"""),"Gogebic County")</f>
        <v>Gogebic County</v>
      </c>
      <c r="D3574" s="120" t="str">
        <f>IFERROR(__xludf.DUMMYFUNCTION("""COMPUTED_VALUE"""),"United States")</f>
        <v>United States</v>
      </c>
      <c r="E3574" s="135"/>
      <c r="F3574" s="31"/>
    </row>
    <row r="3575">
      <c r="A3575" s="134" t="str">
        <f>IFERROR(__xludf.DUMMYFUNCTION("""COMPUTED_VALUE"""),"Isafjordur")</f>
        <v>Isafjordur</v>
      </c>
      <c r="B3575" s="120" t="str">
        <f>IFERROR(__xludf.DUMMYFUNCTION("""COMPUTED_VALUE"""),"IFJ")</f>
        <v>IFJ</v>
      </c>
      <c r="C3575" s="120" t="str">
        <f>IFERROR(__xludf.DUMMYFUNCTION("""COMPUTED_VALUE"""),"Isafjordur")</f>
        <v>Isafjordur</v>
      </c>
      <c r="D3575" s="120" t="str">
        <f>IFERROR(__xludf.DUMMYFUNCTION("""COMPUTED_VALUE"""),"Iceland")</f>
        <v>Iceland</v>
      </c>
      <c r="E3575" s="135"/>
      <c r="F3575" s="31"/>
    </row>
    <row r="3576">
      <c r="A3576" s="134" t="str">
        <f>IFERROR(__xludf.DUMMYFUNCTION("""COMPUTED_VALUE"""),"Ischia")</f>
        <v>Ischia</v>
      </c>
      <c r="B3576" s="120" t="str">
        <f>IFERROR(__xludf.DUMMYFUNCTION("""COMPUTED_VALUE"""),"ISH")</f>
        <v>ISH</v>
      </c>
      <c r="C3576" s="120" t="str">
        <f>IFERROR(__xludf.DUMMYFUNCTION("""COMPUTED_VALUE"""),"Ischia")</f>
        <v>Ischia</v>
      </c>
      <c r="D3576" s="120" t="str">
        <f>IFERROR(__xludf.DUMMYFUNCTION("""COMPUTED_VALUE"""),"Italy")</f>
        <v>Italy</v>
      </c>
      <c r="E3576" s="135"/>
      <c r="F3576" s="31"/>
    </row>
    <row r="3577">
      <c r="A3577" s="134" t="str">
        <f>IFERROR(__xludf.DUMMYFUNCTION("""COMPUTED_VALUE"""),"Iscuande")</f>
        <v>Iscuande</v>
      </c>
      <c r="B3577" s="120" t="str">
        <f>IFERROR(__xludf.DUMMYFUNCTION("""COMPUTED_VALUE"""),"ISD")</f>
        <v>ISD</v>
      </c>
      <c r="C3577" s="120" t="str">
        <f>IFERROR(__xludf.DUMMYFUNCTION("""COMPUTED_VALUE"""),"Iscuande")</f>
        <v>Iscuande</v>
      </c>
      <c r="D3577" s="120" t="str">
        <f>IFERROR(__xludf.DUMMYFUNCTION("""COMPUTED_VALUE"""),"Colombia")</f>
        <v>Colombia</v>
      </c>
      <c r="E3577" s="135"/>
      <c r="F3577" s="31"/>
    </row>
    <row r="3578">
      <c r="A3578" s="134" t="str">
        <f>IFERROR(__xludf.DUMMYFUNCTION("""COMPUTED_VALUE"""),"Isfahan")</f>
        <v>Isfahan</v>
      </c>
      <c r="B3578" s="120" t="str">
        <f>IFERROR(__xludf.DUMMYFUNCTION("""COMPUTED_VALUE"""),"IFN")</f>
        <v>IFN</v>
      </c>
      <c r="C3578" s="120" t="str">
        <f>IFERROR(__xludf.DUMMYFUNCTION("""COMPUTED_VALUE"""),"Isfahan")</f>
        <v>Isfahan</v>
      </c>
      <c r="D3578" s="120" t="str">
        <f>IFERROR(__xludf.DUMMYFUNCTION("""COMPUTED_VALUE"""),"Iran")</f>
        <v>Iran</v>
      </c>
      <c r="E3578" s="135"/>
      <c r="F3578" s="31"/>
    </row>
    <row r="3579">
      <c r="A3579" s="134" t="str">
        <f>IFERROR(__xludf.DUMMYFUNCTION("""COMPUTED_VALUE"""),"Ishigaki")</f>
        <v>Ishigaki</v>
      </c>
      <c r="B3579" s="120" t="str">
        <f>IFERROR(__xludf.DUMMYFUNCTION("""COMPUTED_VALUE"""),"ISG")</f>
        <v>ISG</v>
      </c>
      <c r="C3579" s="120" t="str">
        <f>IFERROR(__xludf.DUMMYFUNCTION("""COMPUTED_VALUE"""),"Ishigaki")</f>
        <v>Ishigaki</v>
      </c>
      <c r="D3579" s="120" t="str">
        <f>IFERROR(__xludf.DUMMYFUNCTION("""COMPUTED_VALUE"""),"Japan")</f>
        <v>Japan</v>
      </c>
      <c r="E3579" s="135"/>
      <c r="F3579" s="31"/>
    </row>
    <row r="3580">
      <c r="A3580" s="134" t="str">
        <f>IFERROR(__xludf.DUMMYFUNCTION("""COMPUTED_VALUE"""),"Ishurdi")</f>
        <v>Ishurdi</v>
      </c>
      <c r="B3580" s="120" t="str">
        <f>IFERROR(__xludf.DUMMYFUNCTION("""COMPUTED_VALUE"""),"IRD")</f>
        <v>IRD</v>
      </c>
      <c r="C3580" s="120" t="str">
        <f>IFERROR(__xludf.DUMMYFUNCTION("""COMPUTED_VALUE"""),"Ishurdi")</f>
        <v>Ishurdi</v>
      </c>
      <c r="D3580" s="120" t="str">
        <f>IFERROR(__xludf.DUMMYFUNCTION("""COMPUTED_VALUE"""),"Bangladesh")</f>
        <v>Bangladesh</v>
      </c>
      <c r="E3580" s="135"/>
      <c r="F3580" s="31"/>
    </row>
    <row r="3581">
      <c r="A3581" s="134" t="str">
        <f>IFERROR(__xludf.DUMMYFUNCTION("""COMPUTED_VALUE"""),"Isiro")</f>
        <v>Isiro</v>
      </c>
      <c r="B3581" s="120" t="str">
        <f>IFERROR(__xludf.DUMMYFUNCTION("""COMPUTED_VALUE"""),"IRP")</f>
        <v>IRP</v>
      </c>
      <c r="C3581" s="120" t="str">
        <f>IFERROR(__xludf.DUMMYFUNCTION("""COMPUTED_VALUE"""),"Matari")</f>
        <v>Matari</v>
      </c>
      <c r="D3581" s="120" t="str">
        <f>IFERROR(__xludf.DUMMYFUNCTION("""COMPUTED_VALUE"""),"Zaire")</f>
        <v>Zaire</v>
      </c>
      <c r="E3581" s="135"/>
      <c r="F3581" s="31"/>
    </row>
    <row r="3582">
      <c r="A3582" s="134" t="str">
        <f>IFERROR(__xludf.DUMMYFUNCTION("""COMPUTED_VALUE"""),"Isisford")</f>
        <v>Isisford</v>
      </c>
      <c r="B3582" s="120" t="str">
        <f>IFERROR(__xludf.DUMMYFUNCTION("""COMPUTED_VALUE"""),"ISI")</f>
        <v>ISI</v>
      </c>
      <c r="C3582" s="120" t="str">
        <f>IFERROR(__xludf.DUMMYFUNCTION("""COMPUTED_VALUE"""),"Isisford")</f>
        <v>Isisford</v>
      </c>
      <c r="D3582" s="120" t="str">
        <f>IFERROR(__xludf.DUMMYFUNCTION("""COMPUTED_VALUE"""),"Australia")</f>
        <v>Australia</v>
      </c>
      <c r="E3582" s="135"/>
      <c r="F3582" s="31"/>
    </row>
    <row r="3583">
      <c r="A3583" s="134" t="str">
        <f>IFERROR(__xludf.DUMMYFUNCTION("""COMPUTED_VALUE"""),"Isla Mujeres")</f>
        <v>Isla Mujeres</v>
      </c>
      <c r="B3583" s="120" t="str">
        <f>IFERROR(__xludf.DUMMYFUNCTION("""COMPUTED_VALUE"""),"ISJ")</f>
        <v>ISJ</v>
      </c>
      <c r="C3583" s="120" t="str">
        <f>IFERROR(__xludf.DUMMYFUNCTION("""COMPUTED_VALUE"""),"Isla Mujeres")</f>
        <v>Isla Mujeres</v>
      </c>
      <c r="D3583" s="120" t="str">
        <f>IFERROR(__xludf.DUMMYFUNCTION("""COMPUTED_VALUE"""),"Mexico")</f>
        <v>Mexico</v>
      </c>
      <c r="E3583" s="135"/>
      <c r="F3583" s="31"/>
    </row>
    <row r="3584">
      <c r="A3584" s="134" t="str">
        <f>IFERROR(__xludf.DUMMYFUNCTION("""COMPUTED_VALUE"""),"Islamabad")</f>
        <v>Islamabad</v>
      </c>
      <c r="B3584" s="120" t="str">
        <f>IFERROR(__xludf.DUMMYFUNCTION("""COMPUTED_VALUE"""),"ISB")</f>
        <v>ISB</v>
      </c>
      <c r="C3584" s="120" t="str">
        <f>IFERROR(__xludf.DUMMYFUNCTION("""COMPUTED_VALUE"""),"Islamabad Intl")</f>
        <v>Islamabad Intl</v>
      </c>
      <c r="D3584" s="120" t="str">
        <f>IFERROR(__xludf.DUMMYFUNCTION("""COMPUTED_VALUE"""),"Pakistan")</f>
        <v>Pakistan</v>
      </c>
      <c r="E3584" s="135"/>
      <c r="F3584" s="31"/>
    </row>
    <row r="3585">
      <c r="A3585" s="134" t="str">
        <f>IFERROR(__xludf.DUMMYFUNCTION("""COMPUTED_VALUE"""),"Island Lk/Garden Hill")</f>
        <v>Island Lk/Garden Hill</v>
      </c>
      <c r="B3585" s="120" t="str">
        <f>IFERROR(__xludf.DUMMYFUNCTION("""COMPUTED_VALUE"""),"YIV")</f>
        <v>YIV</v>
      </c>
      <c r="C3585" s="120" t="str">
        <f>IFERROR(__xludf.DUMMYFUNCTION("""COMPUTED_VALUE"""),"Island Lk/Garden Hill")</f>
        <v>Island Lk/Garden Hill</v>
      </c>
      <c r="D3585" s="120" t="str">
        <f>IFERROR(__xludf.DUMMYFUNCTION("""COMPUTED_VALUE"""),"Canada")</f>
        <v>Canada</v>
      </c>
      <c r="E3585" s="135"/>
      <c r="F3585" s="31"/>
    </row>
    <row r="3586">
      <c r="A3586" s="134" t="str">
        <f>IFERROR(__xludf.DUMMYFUNCTION("""COMPUTED_VALUE"""),"Islay")</f>
        <v>Islay</v>
      </c>
      <c r="B3586" s="120" t="str">
        <f>IFERROR(__xludf.DUMMYFUNCTION("""COMPUTED_VALUE"""),"ILY")</f>
        <v>ILY</v>
      </c>
      <c r="C3586" s="120" t="str">
        <f>IFERROR(__xludf.DUMMYFUNCTION("""COMPUTED_VALUE"""),"Glenegedale")</f>
        <v>Glenegedale</v>
      </c>
      <c r="D3586" s="120" t="str">
        <f>IFERROR(__xludf.DUMMYFUNCTION("""COMPUTED_VALUE"""),"United Kingdom")</f>
        <v>United Kingdom</v>
      </c>
      <c r="E3586" s="135"/>
      <c r="F3586" s="31"/>
    </row>
    <row r="3587">
      <c r="A3587" s="134" t="str">
        <f>IFERROR(__xludf.DUMMYFUNCTION("""COMPUTED_VALUE"""),"Isle Of Man")</f>
        <v>Isle Of Man</v>
      </c>
      <c r="B3587" s="120" t="str">
        <f>IFERROR(__xludf.DUMMYFUNCTION("""COMPUTED_VALUE"""),"IOM")</f>
        <v>IOM</v>
      </c>
      <c r="C3587" s="120" t="str">
        <f>IFERROR(__xludf.DUMMYFUNCTION("""COMPUTED_VALUE"""),"Ronaldsway")</f>
        <v>Ronaldsway</v>
      </c>
      <c r="D3587" s="120" t="str">
        <f>IFERROR(__xludf.DUMMYFUNCTION("""COMPUTED_VALUE"""),"United Kingdom")</f>
        <v>United Kingdom</v>
      </c>
      <c r="E3587" s="135"/>
      <c r="F3587" s="31"/>
    </row>
    <row r="3588">
      <c r="A3588" s="134" t="str">
        <f>IFERROR(__xludf.DUMMYFUNCTION("""COMPUTED_VALUE"""),"Isle Of Skye")</f>
        <v>Isle Of Skye</v>
      </c>
      <c r="B3588" s="120" t="str">
        <f>IFERROR(__xludf.DUMMYFUNCTION("""COMPUTED_VALUE"""),"SKL")</f>
        <v>SKL</v>
      </c>
      <c r="C3588" s="120" t="str">
        <f>IFERROR(__xludf.DUMMYFUNCTION("""COMPUTED_VALUE"""),"Broadford")</f>
        <v>Broadford</v>
      </c>
      <c r="D3588" s="120" t="str">
        <f>IFERROR(__xludf.DUMMYFUNCTION("""COMPUTED_VALUE"""),"United Kingdom")</f>
        <v>United Kingdom</v>
      </c>
      <c r="E3588" s="135"/>
      <c r="F3588" s="31"/>
    </row>
    <row r="3589">
      <c r="A3589" s="134" t="str">
        <f>IFERROR(__xludf.DUMMYFUNCTION("""COMPUTED_VALUE"""),"Isles Of Scilly")</f>
        <v>Isles Of Scilly</v>
      </c>
      <c r="B3589" s="120" t="str">
        <f>IFERROR(__xludf.DUMMYFUNCTION("""COMPUTED_VALUE"""),"ISC")</f>
        <v>ISC</v>
      </c>
      <c r="C3589" s="120" t="str">
        <f>IFERROR(__xludf.DUMMYFUNCTION("""COMPUTED_VALUE"""),"St Marys")</f>
        <v>St Marys</v>
      </c>
      <c r="D3589" s="120" t="str">
        <f>IFERROR(__xludf.DUMMYFUNCTION("""COMPUTED_VALUE"""),"United Kingdom")</f>
        <v>United Kingdom</v>
      </c>
      <c r="E3589" s="135"/>
      <c r="F3589" s="31"/>
    </row>
    <row r="3590">
      <c r="A3590" s="134" t="str">
        <f>IFERROR(__xludf.DUMMYFUNCTION("""COMPUTED_VALUE"""),"Isles Of Scilly")</f>
        <v>Isles Of Scilly</v>
      </c>
      <c r="B3590" s="120" t="str">
        <f>IFERROR(__xludf.DUMMYFUNCTION("""COMPUTED_VALUE"""),"TSO")</f>
        <v>TSO</v>
      </c>
      <c r="C3590" s="120" t="str">
        <f>IFERROR(__xludf.DUMMYFUNCTION("""COMPUTED_VALUE"""),"Tresco")</f>
        <v>Tresco</v>
      </c>
      <c r="D3590" s="120" t="str">
        <f>IFERROR(__xludf.DUMMYFUNCTION("""COMPUTED_VALUE"""),"United Kingdom")</f>
        <v>United Kingdom</v>
      </c>
      <c r="E3590" s="135"/>
      <c r="F3590" s="31"/>
    </row>
    <row r="3591">
      <c r="A3591" s="134" t="str">
        <f>IFERROR(__xludf.DUMMYFUNCTION("""COMPUTED_VALUE"""),"Islip")</f>
        <v>Islip</v>
      </c>
      <c r="B3591" s="120" t="str">
        <f>IFERROR(__xludf.DUMMYFUNCTION("""COMPUTED_VALUE"""),"ISP")</f>
        <v>ISP</v>
      </c>
      <c r="C3591" s="120" t="str">
        <f>IFERROR(__xludf.DUMMYFUNCTION("""COMPUTED_VALUE"""),"Long Island Macarthur")</f>
        <v>Long Island Macarthur</v>
      </c>
      <c r="D3591" s="120" t="str">
        <f>IFERROR(__xludf.DUMMYFUNCTION("""COMPUTED_VALUE"""),"United States")</f>
        <v>United States</v>
      </c>
      <c r="E3591" s="135"/>
      <c r="F3591" s="31"/>
    </row>
    <row r="3592">
      <c r="A3592" s="134" t="str">
        <f>IFERROR(__xludf.DUMMYFUNCTION("""COMPUTED_VALUE"""),"Isparta")</f>
        <v>Isparta</v>
      </c>
      <c r="B3592" s="120" t="str">
        <f>IFERROR(__xludf.DUMMYFUNCTION("""COMPUTED_VALUE"""),"ISE")</f>
        <v>ISE</v>
      </c>
      <c r="C3592" s="120" t="str">
        <f>IFERROR(__xludf.DUMMYFUNCTION("""COMPUTED_VALUE"""),"Isparta")</f>
        <v>Isparta</v>
      </c>
      <c r="D3592" s="120" t="str">
        <f>IFERROR(__xludf.DUMMYFUNCTION("""COMPUTED_VALUE"""),"Turkey")</f>
        <v>Turkey</v>
      </c>
      <c r="E3592" s="135"/>
      <c r="F3592" s="31"/>
    </row>
    <row r="3593">
      <c r="A3593" s="134" t="str">
        <f>IFERROR(__xludf.DUMMYFUNCTION("""COMPUTED_VALUE"""),"Istanbul")</f>
        <v>Istanbul</v>
      </c>
      <c r="B3593" s="120" t="str">
        <f>IFERROR(__xludf.DUMMYFUNCTION("""COMPUTED_VALUE"""),"IST")</f>
        <v>IST</v>
      </c>
      <c r="C3593" s="120" t="str">
        <f>IFERROR(__xludf.DUMMYFUNCTION("""COMPUTED_VALUE"""),"Ataturk")</f>
        <v>Ataturk</v>
      </c>
      <c r="D3593" s="120" t="str">
        <f>IFERROR(__xludf.DUMMYFUNCTION("""COMPUTED_VALUE"""),"Turkey")</f>
        <v>Turkey</v>
      </c>
      <c r="E3593" s="135"/>
      <c r="F3593" s="31"/>
    </row>
    <row r="3594">
      <c r="A3594" s="134" t="str">
        <f>IFERROR(__xludf.DUMMYFUNCTION("""COMPUTED_VALUE"""),"Istanbul")</f>
        <v>Istanbul</v>
      </c>
      <c r="B3594" s="120" t="str">
        <f>IFERROR(__xludf.DUMMYFUNCTION("""COMPUTED_VALUE"""),"SAW")</f>
        <v>SAW</v>
      </c>
      <c r="C3594" s="120" t="str">
        <f>IFERROR(__xludf.DUMMYFUNCTION("""COMPUTED_VALUE"""),"Sabiha Gokcen")</f>
        <v>Sabiha Gokcen</v>
      </c>
      <c r="D3594" s="120" t="str">
        <f>IFERROR(__xludf.DUMMYFUNCTION("""COMPUTED_VALUE"""),"Turkey")</f>
        <v>Turkey</v>
      </c>
      <c r="E3594" s="135"/>
      <c r="F3594" s="31"/>
    </row>
    <row r="3595">
      <c r="A3595" s="134" t="str">
        <f>IFERROR(__xludf.DUMMYFUNCTION("""COMPUTED_VALUE"""),"Itabuna")</f>
        <v>Itabuna</v>
      </c>
      <c r="B3595" s="120" t="str">
        <f>IFERROR(__xludf.DUMMYFUNCTION("""COMPUTED_VALUE"""),"ITN")</f>
        <v>ITN</v>
      </c>
      <c r="C3595" s="120" t="str">
        <f>IFERROR(__xludf.DUMMYFUNCTION("""COMPUTED_VALUE"""),"Itabuna")</f>
        <v>Itabuna</v>
      </c>
      <c r="D3595" s="120" t="str">
        <f>IFERROR(__xludf.DUMMYFUNCTION("""COMPUTED_VALUE"""),"Brazil")</f>
        <v>Brazil</v>
      </c>
      <c r="E3595" s="135"/>
      <c r="F3595" s="31"/>
    </row>
    <row r="3596">
      <c r="A3596" s="134" t="str">
        <f>IFERROR(__xludf.DUMMYFUNCTION("""COMPUTED_VALUE"""),"Itacoatiara")</f>
        <v>Itacoatiara</v>
      </c>
      <c r="B3596" s="120" t="str">
        <f>IFERROR(__xludf.DUMMYFUNCTION("""COMPUTED_VALUE"""),"ITA")</f>
        <v>ITA</v>
      </c>
      <c r="C3596" s="120" t="str">
        <f>IFERROR(__xludf.DUMMYFUNCTION("""COMPUTED_VALUE"""),"Itacoatiara")</f>
        <v>Itacoatiara</v>
      </c>
      <c r="D3596" s="120" t="str">
        <f>IFERROR(__xludf.DUMMYFUNCTION("""COMPUTED_VALUE"""),"Brazil")</f>
        <v>Brazil</v>
      </c>
      <c r="E3596" s="135"/>
      <c r="F3596" s="31"/>
    </row>
    <row r="3597">
      <c r="A3597" s="134" t="str">
        <f>IFERROR(__xludf.DUMMYFUNCTION("""COMPUTED_VALUE"""),"Itaituba")</f>
        <v>Itaituba</v>
      </c>
      <c r="B3597" s="120" t="str">
        <f>IFERROR(__xludf.DUMMYFUNCTION("""COMPUTED_VALUE"""),"ITB")</f>
        <v>ITB</v>
      </c>
      <c r="C3597" s="120" t="str">
        <f>IFERROR(__xludf.DUMMYFUNCTION("""COMPUTED_VALUE"""),"Itaituba")</f>
        <v>Itaituba</v>
      </c>
      <c r="D3597" s="120" t="str">
        <f>IFERROR(__xludf.DUMMYFUNCTION("""COMPUTED_VALUE"""),"Brazil")</f>
        <v>Brazil</v>
      </c>
      <c r="E3597" s="135"/>
      <c r="F3597" s="31"/>
    </row>
    <row r="3598">
      <c r="A3598" s="134" t="str">
        <f>IFERROR(__xludf.DUMMYFUNCTION("""COMPUTED_VALUE"""),"Itambacuri")</f>
        <v>Itambacuri</v>
      </c>
      <c r="B3598" s="120" t="str">
        <f>IFERROR(__xludf.DUMMYFUNCTION("""COMPUTED_VALUE"""),"ITI")</f>
        <v>ITI</v>
      </c>
      <c r="C3598" s="120" t="str">
        <f>IFERROR(__xludf.DUMMYFUNCTION("""COMPUTED_VALUE"""),"Itambacuri")</f>
        <v>Itambacuri</v>
      </c>
      <c r="D3598" s="120" t="str">
        <f>IFERROR(__xludf.DUMMYFUNCTION("""COMPUTED_VALUE"""),"Brazil")</f>
        <v>Brazil</v>
      </c>
      <c r="E3598" s="135"/>
      <c r="F3598" s="31"/>
    </row>
    <row r="3599">
      <c r="A3599" s="134" t="str">
        <f>IFERROR(__xludf.DUMMYFUNCTION("""COMPUTED_VALUE"""),"Itaperuna")</f>
        <v>Itaperuna</v>
      </c>
      <c r="B3599" s="120" t="str">
        <f>IFERROR(__xludf.DUMMYFUNCTION("""COMPUTED_VALUE"""),"ITP")</f>
        <v>ITP</v>
      </c>
      <c r="C3599" s="120" t="str">
        <f>IFERROR(__xludf.DUMMYFUNCTION("""COMPUTED_VALUE"""),"Itaperuna")</f>
        <v>Itaperuna</v>
      </c>
      <c r="D3599" s="120" t="str">
        <f>IFERROR(__xludf.DUMMYFUNCTION("""COMPUTED_VALUE"""),"Brazil")</f>
        <v>Brazil</v>
      </c>
      <c r="E3599" s="135"/>
      <c r="F3599" s="31"/>
    </row>
    <row r="3600">
      <c r="A3600" s="134" t="str">
        <f>IFERROR(__xludf.DUMMYFUNCTION("""COMPUTED_VALUE"""),"Itaqui")</f>
        <v>Itaqui</v>
      </c>
      <c r="B3600" s="120" t="str">
        <f>IFERROR(__xludf.DUMMYFUNCTION("""COMPUTED_VALUE"""),"ITQ")</f>
        <v>ITQ</v>
      </c>
      <c r="C3600" s="120" t="str">
        <f>IFERROR(__xludf.DUMMYFUNCTION("""COMPUTED_VALUE"""),"Itaqui")</f>
        <v>Itaqui</v>
      </c>
      <c r="D3600" s="120" t="str">
        <f>IFERROR(__xludf.DUMMYFUNCTION("""COMPUTED_VALUE"""),"Brazil")</f>
        <v>Brazil</v>
      </c>
      <c r="E3600" s="135"/>
      <c r="F3600" s="31"/>
    </row>
    <row r="3601">
      <c r="A3601" s="134" t="str">
        <f>IFERROR(__xludf.DUMMYFUNCTION("""COMPUTED_VALUE"""),"Itauba")</f>
        <v>Itauba</v>
      </c>
      <c r="B3601" s="120" t="str">
        <f>IFERROR(__xludf.DUMMYFUNCTION("""COMPUTED_VALUE"""),"AUB")</f>
        <v>AUB</v>
      </c>
      <c r="C3601" s="120" t="str">
        <f>IFERROR(__xludf.DUMMYFUNCTION("""COMPUTED_VALUE"""),"Itauba")</f>
        <v>Itauba</v>
      </c>
      <c r="D3601" s="120" t="str">
        <f>IFERROR(__xludf.DUMMYFUNCTION("""COMPUTED_VALUE"""),"Brazil")</f>
        <v>Brazil</v>
      </c>
      <c r="E3601" s="135"/>
      <c r="F3601" s="31"/>
    </row>
    <row r="3602">
      <c r="A3602" s="134" t="str">
        <f>IFERROR(__xludf.DUMMYFUNCTION("""COMPUTED_VALUE"""),"Ithaca")</f>
        <v>Ithaca</v>
      </c>
      <c r="B3602" s="120" t="str">
        <f>IFERROR(__xludf.DUMMYFUNCTION("""COMPUTED_VALUE"""),"ITH")</f>
        <v>ITH</v>
      </c>
      <c r="C3602" s="120" t="str">
        <f>IFERROR(__xludf.DUMMYFUNCTION("""COMPUTED_VALUE"""),"Tompkins County")</f>
        <v>Tompkins County</v>
      </c>
      <c r="D3602" s="120" t="str">
        <f>IFERROR(__xludf.DUMMYFUNCTION("""COMPUTED_VALUE"""),"United States")</f>
        <v>United States</v>
      </c>
      <c r="E3602" s="135"/>
      <c r="F3602" s="31"/>
    </row>
    <row r="3603">
      <c r="A3603" s="134" t="str">
        <f>IFERROR(__xludf.DUMMYFUNCTION("""COMPUTED_VALUE"""),"Itokama")</f>
        <v>Itokama</v>
      </c>
      <c r="B3603" s="120" t="str">
        <f>IFERROR(__xludf.DUMMYFUNCTION("""COMPUTED_VALUE"""),"ITK")</f>
        <v>ITK</v>
      </c>
      <c r="C3603" s="120" t="str">
        <f>IFERROR(__xludf.DUMMYFUNCTION("""COMPUTED_VALUE"""),"Itokama")</f>
        <v>Itokama</v>
      </c>
      <c r="D3603" s="120" t="str">
        <f>IFERROR(__xludf.DUMMYFUNCTION("""COMPUTED_VALUE"""),"Papua New Guinea")</f>
        <v>Papua New Guinea</v>
      </c>
      <c r="E3603" s="135"/>
      <c r="F3603" s="31"/>
    </row>
    <row r="3604">
      <c r="A3604" s="134" t="str">
        <f>IFERROR(__xludf.DUMMYFUNCTION("""COMPUTED_VALUE"""),"Ittoqqortoormiit")</f>
        <v>Ittoqqortoormiit</v>
      </c>
      <c r="B3604" s="120" t="str">
        <f>IFERROR(__xludf.DUMMYFUNCTION("""COMPUTED_VALUE"""),"OBY")</f>
        <v>OBY</v>
      </c>
      <c r="C3604" s="120" t="str">
        <f>IFERROR(__xludf.DUMMYFUNCTION("""COMPUTED_VALUE"""),"Ittoqqortoormiit")</f>
        <v>Ittoqqortoormiit</v>
      </c>
      <c r="D3604" s="120" t="str">
        <f>IFERROR(__xludf.DUMMYFUNCTION("""COMPUTED_VALUE"""),"Greenland")</f>
        <v>Greenland</v>
      </c>
      <c r="E3604" s="135"/>
      <c r="F3604" s="31"/>
    </row>
    <row r="3605">
      <c r="A3605" s="134" t="str">
        <f>IFERROR(__xludf.DUMMYFUNCTION("""COMPUTED_VALUE"""),"Itubera")</f>
        <v>Itubera</v>
      </c>
      <c r="B3605" s="120" t="str">
        <f>IFERROR(__xludf.DUMMYFUNCTION("""COMPUTED_VALUE"""),"ITE")</f>
        <v>ITE</v>
      </c>
      <c r="C3605" s="120" t="str">
        <f>IFERROR(__xludf.DUMMYFUNCTION("""COMPUTED_VALUE"""),"Itubera")</f>
        <v>Itubera</v>
      </c>
      <c r="D3605" s="120" t="str">
        <f>IFERROR(__xludf.DUMMYFUNCTION("""COMPUTED_VALUE"""),"Brazil")</f>
        <v>Brazil</v>
      </c>
      <c r="E3605" s="135"/>
      <c r="F3605" s="31"/>
    </row>
    <row r="3606">
      <c r="A3606" s="134" t="str">
        <f>IFERROR(__xludf.DUMMYFUNCTION("""COMPUTED_VALUE"""),"Itumbiara")</f>
        <v>Itumbiara</v>
      </c>
      <c r="B3606" s="120" t="str">
        <f>IFERROR(__xludf.DUMMYFUNCTION("""COMPUTED_VALUE"""),"ITR")</f>
        <v>ITR</v>
      </c>
      <c r="C3606" s="120" t="str">
        <f>IFERROR(__xludf.DUMMYFUNCTION("""COMPUTED_VALUE"""),"Itumbiara")</f>
        <v>Itumbiara</v>
      </c>
      <c r="D3606" s="120" t="str">
        <f>IFERROR(__xludf.DUMMYFUNCTION("""COMPUTED_VALUE"""),"Brazil")</f>
        <v>Brazil</v>
      </c>
      <c r="E3606" s="135"/>
      <c r="F3606" s="31"/>
    </row>
    <row r="3607">
      <c r="A3607" s="134" t="str">
        <f>IFERROR(__xludf.DUMMYFUNCTION("""COMPUTED_VALUE"""),"Ivalo")</f>
        <v>Ivalo</v>
      </c>
      <c r="B3607" s="120" t="str">
        <f>IFERROR(__xludf.DUMMYFUNCTION("""COMPUTED_VALUE"""),"IVL")</f>
        <v>IVL</v>
      </c>
      <c r="C3607" s="120" t="str">
        <f>IFERROR(__xludf.DUMMYFUNCTION("""COMPUTED_VALUE"""),"Ivalo")</f>
        <v>Ivalo</v>
      </c>
      <c r="D3607" s="120" t="str">
        <f>IFERROR(__xludf.DUMMYFUNCTION("""COMPUTED_VALUE"""),"Finland")</f>
        <v>Finland</v>
      </c>
      <c r="E3607" s="135"/>
      <c r="F3607" s="31"/>
    </row>
    <row r="3608">
      <c r="A3608" s="134" t="str">
        <f>IFERROR(__xludf.DUMMYFUNCTION("""COMPUTED_VALUE"""),"Ivanof Bay")</f>
        <v>Ivanof Bay</v>
      </c>
      <c r="B3608" s="120" t="str">
        <f>IFERROR(__xludf.DUMMYFUNCTION("""COMPUTED_VALUE"""),"KIB")</f>
        <v>KIB</v>
      </c>
      <c r="C3608" s="120" t="str">
        <f>IFERROR(__xludf.DUMMYFUNCTION("""COMPUTED_VALUE"""),"SPB")</f>
        <v>SPB</v>
      </c>
      <c r="D3608" s="120" t="str">
        <f>IFERROR(__xludf.DUMMYFUNCTION("""COMPUTED_VALUE"""),"United States")</f>
        <v>United States</v>
      </c>
      <c r="E3608" s="135"/>
      <c r="F3608" s="31"/>
    </row>
    <row r="3609">
      <c r="A3609" s="134" t="str">
        <f>IFERROR(__xludf.DUMMYFUNCTION("""COMPUTED_VALUE"""),"Ivano-Frankovsk")</f>
        <v>Ivano-Frankovsk</v>
      </c>
      <c r="B3609" s="120" t="str">
        <f>IFERROR(__xludf.DUMMYFUNCTION("""COMPUTED_VALUE"""),"IFO")</f>
        <v>IFO</v>
      </c>
      <c r="C3609" s="120" t="str">
        <f>IFERROR(__xludf.DUMMYFUNCTION("""COMPUTED_VALUE"""),"Ivano-Frankovsk")</f>
        <v>Ivano-Frankovsk</v>
      </c>
      <c r="D3609" s="120" t="str">
        <f>IFERROR(__xludf.DUMMYFUNCTION("""COMPUTED_VALUE"""),"Ukraine")</f>
        <v>Ukraine</v>
      </c>
      <c r="E3609" s="135"/>
      <c r="F3609" s="31"/>
    </row>
    <row r="3610">
      <c r="A3610" s="134" t="str">
        <f>IFERROR(__xludf.DUMMYFUNCTION("""COMPUTED_VALUE"""),"Ivanova")</f>
        <v>Ivanova</v>
      </c>
      <c r="B3610" s="120" t="str">
        <f>IFERROR(__xludf.DUMMYFUNCTION("""COMPUTED_VALUE"""),"IWA")</f>
        <v>IWA</v>
      </c>
      <c r="C3610" s="120" t="str">
        <f>IFERROR(__xludf.DUMMYFUNCTION("""COMPUTED_VALUE"""),"Ivanova")</f>
        <v>Ivanova</v>
      </c>
      <c r="D3610" s="120" t="str">
        <f>IFERROR(__xludf.DUMMYFUNCTION("""COMPUTED_VALUE"""),"Russia")</f>
        <v>Russia</v>
      </c>
      <c r="E3610" s="135"/>
      <c r="F3610" s="31"/>
    </row>
    <row r="3611">
      <c r="A3611" s="134" t="str">
        <f>IFERROR(__xludf.DUMMYFUNCTION("""COMPUTED_VALUE"""),"Ivishak")</f>
        <v>Ivishak</v>
      </c>
      <c r="B3611" s="120" t="str">
        <f>IFERROR(__xludf.DUMMYFUNCTION("""COMPUTED_VALUE"""),"IVH")</f>
        <v>IVH</v>
      </c>
      <c r="C3611" s="120" t="str">
        <f>IFERROR(__xludf.DUMMYFUNCTION("""COMPUTED_VALUE"""),"Ivishak")</f>
        <v>Ivishak</v>
      </c>
      <c r="D3611" s="120" t="str">
        <f>IFERROR(__xludf.DUMMYFUNCTION("""COMPUTED_VALUE"""),"United States")</f>
        <v>United States</v>
      </c>
      <c r="E3611" s="135"/>
      <c r="F3611" s="31"/>
    </row>
    <row r="3612">
      <c r="A3612" s="134" t="str">
        <f>IFERROR(__xludf.DUMMYFUNCTION("""COMPUTED_VALUE"""),"Ivujivik")</f>
        <v>Ivujivik</v>
      </c>
      <c r="B3612" s="120" t="str">
        <f>IFERROR(__xludf.DUMMYFUNCTION("""COMPUTED_VALUE"""),"YIK")</f>
        <v>YIK</v>
      </c>
      <c r="C3612" s="120" t="str">
        <f>IFERROR(__xludf.DUMMYFUNCTION("""COMPUTED_VALUE"""),"Ivujivik")</f>
        <v>Ivujivik</v>
      </c>
      <c r="D3612" s="120" t="str">
        <f>IFERROR(__xludf.DUMMYFUNCTION("""COMPUTED_VALUE"""),"Canada")</f>
        <v>Canada</v>
      </c>
      <c r="E3612" s="135"/>
      <c r="F3612" s="31"/>
    </row>
    <row r="3613">
      <c r="A3613" s="134" t="str">
        <f>IFERROR(__xludf.DUMMYFUNCTION("""COMPUTED_VALUE"""),"Iwami")</f>
        <v>Iwami</v>
      </c>
      <c r="B3613" s="120" t="str">
        <f>IFERROR(__xludf.DUMMYFUNCTION("""COMPUTED_VALUE"""),"IWJ")</f>
        <v>IWJ</v>
      </c>
      <c r="C3613" s="120" t="str">
        <f>IFERROR(__xludf.DUMMYFUNCTION("""COMPUTED_VALUE"""),"Iwami")</f>
        <v>Iwami</v>
      </c>
      <c r="D3613" s="120" t="str">
        <f>IFERROR(__xludf.DUMMYFUNCTION("""COMPUTED_VALUE"""),"Japan")</f>
        <v>Japan</v>
      </c>
      <c r="E3613" s="135"/>
      <c r="F3613" s="31"/>
    </row>
    <row r="3614">
      <c r="A3614" s="134" t="str">
        <f>IFERROR(__xludf.DUMMYFUNCTION("""COMPUTED_VALUE"""),"Iwo Jima Vol")</f>
        <v>Iwo Jima Vol</v>
      </c>
      <c r="B3614" s="120" t="str">
        <f>IFERROR(__xludf.DUMMYFUNCTION("""COMPUTED_VALUE"""),"IWO")</f>
        <v>IWO</v>
      </c>
      <c r="C3614" s="120" t="str">
        <f>IFERROR(__xludf.DUMMYFUNCTION("""COMPUTED_VALUE"""),"Iwo Jima Airbase")</f>
        <v>Iwo Jima Airbase</v>
      </c>
      <c r="D3614" s="120" t="str">
        <f>IFERROR(__xludf.DUMMYFUNCTION("""COMPUTED_VALUE"""),"Japan")</f>
        <v>Japan</v>
      </c>
      <c r="E3614" s="135"/>
      <c r="F3614" s="31"/>
    </row>
    <row r="3615">
      <c r="A3615" s="134" t="str">
        <f>IFERROR(__xludf.DUMMYFUNCTION("""COMPUTED_VALUE"""),"Ixtapa/Zihuatanejo")</f>
        <v>Ixtapa/Zihuatanejo</v>
      </c>
      <c r="B3615" s="120" t="str">
        <f>IFERROR(__xludf.DUMMYFUNCTION("""COMPUTED_VALUE"""),"ZIH")</f>
        <v>ZIH</v>
      </c>
      <c r="C3615" s="120" t="str">
        <f>IFERROR(__xludf.DUMMYFUNCTION("""COMPUTED_VALUE"""),"Internacional")</f>
        <v>Internacional</v>
      </c>
      <c r="D3615" s="120" t="str">
        <f>IFERROR(__xludf.DUMMYFUNCTION("""COMPUTED_VALUE"""),"Mexico")</f>
        <v>Mexico</v>
      </c>
      <c r="E3615" s="135"/>
      <c r="F3615" s="31"/>
    </row>
    <row r="3616">
      <c r="A3616" s="134" t="str">
        <f>IFERROR(__xludf.DUMMYFUNCTION("""COMPUTED_VALUE"""),"Ixtepec")</f>
        <v>Ixtepec</v>
      </c>
      <c r="B3616" s="120" t="str">
        <f>IFERROR(__xludf.DUMMYFUNCTION("""COMPUTED_VALUE"""),"IZT")</f>
        <v>IZT</v>
      </c>
      <c r="C3616" s="120" t="str">
        <f>IFERROR(__xludf.DUMMYFUNCTION("""COMPUTED_VALUE"""),"Ixtepec")</f>
        <v>Ixtepec</v>
      </c>
      <c r="D3616" s="120" t="str">
        <f>IFERROR(__xludf.DUMMYFUNCTION("""COMPUTED_VALUE"""),"Mexico")</f>
        <v>Mexico</v>
      </c>
      <c r="E3616" s="135"/>
      <c r="F3616" s="31"/>
    </row>
    <row r="3617">
      <c r="A3617" s="134" t="str">
        <f>IFERROR(__xludf.DUMMYFUNCTION("""COMPUTED_VALUE"""),"Izhevsk")</f>
        <v>Izhevsk</v>
      </c>
      <c r="B3617" s="120" t="str">
        <f>IFERROR(__xludf.DUMMYFUNCTION("""COMPUTED_VALUE"""),"IJK")</f>
        <v>IJK</v>
      </c>
      <c r="C3617" s="120" t="str">
        <f>IFERROR(__xludf.DUMMYFUNCTION("""COMPUTED_VALUE"""),"Izhevsk")</f>
        <v>Izhevsk</v>
      </c>
      <c r="D3617" s="120" t="str">
        <f>IFERROR(__xludf.DUMMYFUNCTION("""COMPUTED_VALUE"""),"Russia")</f>
        <v>Russia</v>
      </c>
      <c r="E3617" s="135"/>
      <c r="F3617" s="31"/>
    </row>
    <row r="3618">
      <c r="A3618" s="134" t="str">
        <f>IFERROR(__xludf.DUMMYFUNCTION("""COMPUTED_VALUE"""),"Izmir")</f>
        <v>Izmir</v>
      </c>
      <c r="B3618" s="120" t="str">
        <f>IFERROR(__xludf.DUMMYFUNCTION("""COMPUTED_VALUE"""),"ADB")</f>
        <v>ADB</v>
      </c>
      <c r="C3618" s="120" t="str">
        <f>IFERROR(__xludf.DUMMYFUNCTION("""COMPUTED_VALUE"""),"Adnan Menderes Arpt")</f>
        <v>Adnan Menderes Arpt</v>
      </c>
      <c r="D3618" s="120" t="str">
        <f>IFERROR(__xludf.DUMMYFUNCTION("""COMPUTED_VALUE"""),"Turkey")</f>
        <v>Turkey</v>
      </c>
      <c r="E3618" s="135"/>
      <c r="F3618" s="31"/>
    </row>
    <row r="3619">
      <c r="A3619" s="134" t="str">
        <f>IFERROR(__xludf.DUMMYFUNCTION("""COMPUTED_VALUE"""),"Izmir")</f>
        <v>Izmir</v>
      </c>
      <c r="B3619" s="120" t="str">
        <f>IFERROR(__xludf.DUMMYFUNCTION("""COMPUTED_VALUE"""),"IGL")</f>
        <v>IGL</v>
      </c>
      <c r="C3619" s="120" t="str">
        <f>IFERROR(__xludf.DUMMYFUNCTION("""COMPUTED_VALUE"""),"Cigli Military Arpt")</f>
        <v>Cigli Military Arpt</v>
      </c>
      <c r="D3619" s="120" t="str">
        <f>IFERROR(__xludf.DUMMYFUNCTION("""COMPUTED_VALUE"""),"Turkey")</f>
        <v>Turkey</v>
      </c>
      <c r="E3619" s="135"/>
      <c r="F3619" s="31"/>
    </row>
    <row r="3620">
      <c r="A3620" s="134" t="str">
        <f>IFERROR(__xludf.DUMMYFUNCTION("""COMPUTED_VALUE"""),"Izumo")</f>
        <v>Izumo</v>
      </c>
      <c r="B3620" s="120" t="str">
        <f>IFERROR(__xludf.DUMMYFUNCTION("""COMPUTED_VALUE"""),"IZO")</f>
        <v>IZO</v>
      </c>
      <c r="C3620" s="120" t="str">
        <f>IFERROR(__xludf.DUMMYFUNCTION("""COMPUTED_VALUE"""),"Izumo")</f>
        <v>Izumo</v>
      </c>
      <c r="D3620" s="120" t="str">
        <f>IFERROR(__xludf.DUMMYFUNCTION("""COMPUTED_VALUE"""),"Japan")</f>
        <v>Japan</v>
      </c>
      <c r="E3620" s="135"/>
      <c r="F3620" s="31"/>
    </row>
    <row r="3621">
      <c r="A3621" s="134" t="str">
        <f>IFERROR(__xludf.DUMMYFUNCTION("""COMPUTED_VALUE"""),"Jabalpur")</f>
        <v>Jabalpur</v>
      </c>
      <c r="B3621" s="120" t="str">
        <f>IFERROR(__xludf.DUMMYFUNCTION("""COMPUTED_VALUE"""),"JLR")</f>
        <v>JLR</v>
      </c>
      <c r="C3621" s="120" t="str">
        <f>IFERROR(__xludf.DUMMYFUNCTION("""COMPUTED_VALUE"""),"Jabalpur")</f>
        <v>Jabalpur</v>
      </c>
      <c r="D3621" s="120" t="str">
        <f>IFERROR(__xludf.DUMMYFUNCTION("""COMPUTED_VALUE"""),"India")</f>
        <v>India</v>
      </c>
      <c r="E3621" s="135"/>
      <c r="F3621" s="31"/>
    </row>
    <row r="3622">
      <c r="A3622" s="134" t="str">
        <f>IFERROR(__xludf.DUMMYFUNCTION("""COMPUTED_VALUE"""),"Jabiru")</f>
        <v>Jabiru</v>
      </c>
      <c r="B3622" s="120" t="str">
        <f>IFERROR(__xludf.DUMMYFUNCTION("""COMPUTED_VALUE"""),"JAB")</f>
        <v>JAB</v>
      </c>
      <c r="C3622" s="120" t="str">
        <f>IFERROR(__xludf.DUMMYFUNCTION("""COMPUTED_VALUE"""),"Jabiru")</f>
        <v>Jabiru</v>
      </c>
      <c r="D3622" s="120" t="str">
        <f>IFERROR(__xludf.DUMMYFUNCTION("""COMPUTED_VALUE"""),"Australia")</f>
        <v>Australia</v>
      </c>
      <c r="E3622" s="135"/>
      <c r="F3622" s="31"/>
    </row>
    <row r="3623">
      <c r="A3623" s="134" t="str">
        <f>IFERROR(__xludf.DUMMYFUNCTION("""COMPUTED_VALUE"""),"Jabot")</f>
        <v>Jabot</v>
      </c>
      <c r="B3623" s="120" t="str">
        <f>IFERROR(__xludf.DUMMYFUNCTION("""COMPUTED_VALUE"""),"JAT")</f>
        <v>JAT</v>
      </c>
      <c r="C3623" s="120" t="str">
        <f>IFERROR(__xludf.DUMMYFUNCTION("""COMPUTED_VALUE"""),"Jabot")</f>
        <v>Jabot</v>
      </c>
      <c r="D3623" s="120" t="str">
        <f>IFERROR(__xludf.DUMMYFUNCTION("""COMPUTED_VALUE"""),"Marshall Islands")</f>
        <v>Marshall Islands</v>
      </c>
      <c r="E3623" s="135"/>
      <c r="F3623" s="31"/>
    </row>
    <row r="3624">
      <c r="A3624" s="134" t="str">
        <f>IFERROR(__xludf.DUMMYFUNCTION("""COMPUTED_VALUE"""),"Jacareacanga")</f>
        <v>Jacareacanga</v>
      </c>
      <c r="B3624" s="120" t="str">
        <f>IFERROR(__xludf.DUMMYFUNCTION("""COMPUTED_VALUE"""),"JCR")</f>
        <v>JCR</v>
      </c>
      <c r="C3624" s="120" t="str">
        <f>IFERROR(__xludf.DUMMYFUNCTION("""COMPUTED_VALUE"""),"Jacareacanga")</f>
        <v>Jacareacanga</v>
      </c>
      <c r="D3624" s="120" t="str">
        <f>IFERROR(__xludf.DUMMYFUNCTION("""COMPUTED_VALUE"""),"Brazil")</f>
        <v>Brazil</v>
      </c>
      <c r="E3624" s="135"/>
      <c r="F3624" s="31"/>
    </row>
    <row r="3625">
      <c r="A3625" s="134" t="str">
        <f>IFERROR(__xludf.DUMMYFUNCTION("""COMPUTED_VALUE"""),"Jackpot")</f>
        <v>Jackpot</v>
      </c>
      <c r="B3625" s="120" t="str">
        <f>IFERROR(__xludf.DUMMYFUNCTION("""COMPUTED_VALUE"""),"KPT")</f>
        <v>KPT</v>
      </c>
      <c r="C3625" s="120" t="str">
        <f>IFERROR(__xludf.DUMMYFUNCTION("""COMPUTED_VALUE"""),"Jackpot")</f>
        <v>Jackpot</v>
      </c>
      <c r="D3625" s="120" t="str">
        <f>IFERROR(__xludf.DUMMYFUNCTION("""COMPUTED_VALUE"""),"United States")</f>
        <v>United States</v>
      </c>
      <c r="E3625" s="135"/>
      <c r="F3625" s="31"/>
    </row>
    <row r="3626">
      <c r="A3626" s="134" t="str">
        <f>IFERROR(__xludf.DUMMYFUNCTION("""COMPUTED_VALUE"""),"Jackson")</f>
        <v>Jackson</v>
      </c>
      <c r="B3626" s="120" t="str">
        <f>IFERROR(__xludf.DUMMYFUNCTION("""COMPUTED_VALUE"""),"JXN")</f>
        <v>JXN</v>
      </c>
      <c r="C3626" s="120" t="str">
        <f>IFERROR(__xludf.DUMMYFUNCTION("""COMPUTED_VALUE"""),"Reynolds Municipal")</f>
        <v>Reynolds Municipal</v>
      </c>
      <c r="D3626" s="120" t="str">
        <f>IFERROR(__xludf.DUMMYFUNCTION("""COMPUTED_VALUE"""),"United States")</f>
        <v>United States</v>
      </c>
      <c r="E3626" s="135"/>
      <c r="F3626" s="31"/>
    </row>
    <row r="3627">
      <c r="A3627" s="134" t="str">
        <f>IFERROR(__xludf.DUMMYFUNCTION("""COMPUTED_VALUE"""),"Jackson")</f>
        <v>Jackson</v>
      </c>
      <c r="B3627" s="120" t="str">
        <f>IFERROR(__xludf.DUMMYFUNCTION("""COMPUTED_VALUE"""),"MJQ")</f>
        <v>MJQ</v>
      </c>
      <c r="C3627" s="120" t="str">
        <f>IFERROR(__xludf.DUMMYFUNCTION("""COMPUTED_VALUE"""),"Jackson")</f>
        <v>Jackson</v>
      </c>
      <c r="D3627" s="120" t="str">
        <f>IFERROR(__xludf.DUMMYFUNCTION("""COMPUTED_VALUE"""),"United States")</f>
        <v>United States</v>
      </c>
      <c r="E3627" s="135"/>
      <c r="F3627" s="31"/>
    </row>
    <row r="3628">
      <c r="A3628" s="134" t="str">
        <f>IFERROR(__xludf.DUMMYFUNCTION("""COMPUTED_VALUE"""),"Jackson")</f>
        <v>Jackson</v>
      </c>
      <c r="B3628" s="120" t="str">
        <f>IFERROR(__xludf.DUMMYFUNCTION("""COMPUTED_VALUE"""),"HKS")</f>
        <v>HKS</v>
      </c>
      <c r="C3628" s="120" t="str">
        <f>IFERROR(__xludf.DUMMYFUNCTION("""COMPUTED_VALUE"""),"Hawkins Field")</f>
        <v>Hawkins Field</v>
      </c>
      <c r="D3628" s="120" t="str">
        <f>IFERROR(__xludf.DUMMYFUNCTION("""COMPUTED_VALUE"""),"United States")</f>
        <v>United States</v>
      </c>
      <c r="E3628" s="135"/>
      <c r="F3628" s="31"/>
    </row>
    <row r="3629">
      <c r="A3629" s="134" t="str">
        <f>IFERROR(__xludf.DUMMYFUNCTION("""COMPUTED_VALUE"""),"Jackson")</f>
        <v>Jackson</v>
      </c>
      <c r="B3629" s="120" t="str">
        <f>IFERROR(__xludf.DUMMYFUNCTION("""COMPUTED_VALUE"""),"JAN")</f>
        <v>JAN</v>
      </c>
      <c r="C3629" s="120" t="str">
        <f>IFERROR(__xludf.DUMMYFUNCTION("""COMPUTED_VALUE"""),"Jackson-Evers")</f>
        <v>Jackson-Evers</v>
      </c>
      <c r="D3629" s="120" t="str">
        <f>IFERROR(__xludf.DUMMYFUNCTION("""COMPUTED_VALUE"""),"United States")</f>
        <v>United States</v>
      </c>
      <c r="E3629" s="135"/>
      <c r="F3629" s="31"/>
    </row>
    <row r="3630">
      <c r="A3630" s="134" t="str">
        <f>IFERROR(__xludf.DUMMYFUNCTION("""COMPUTED_VALUE"""),"Jackson")</f>
        <v>Jackson</v>
      </c>
      <c r="B3630" s="120" t="str">
        <f>IFERROR(__xludf.DUMMYFUNCTION("""COMPUTED_VALUE"""),"MKL")</f>
        <v>MKL</v>
      </c>
      <c r="C3630" s="120" t="str">
        <f>IFERROR(__xludf.DUMMYFUNCTION("""COMPUTED_VALUE"""),"Mckellar")</f>
        <v>Mckellar</v>
      </c>
      <c r="D3630" s="120" t="str">
        <f>IFERROR(__xludf.DUMMYFUNCTION("""COMPUTED_VALUE"""),"United States")</f>
        <v>United States</v>
      </c>
      <c r="E3630" s="135"/>
      <c r="F3630" s="31"/>
    </row>
    <row r="3631">
      <c r="A3631" s="134" t="str">
        <f>IFERROR(__xludf.DUMMYFUNCTION("""COMPUTED_VALUE"""),"Jackson")</f>
        <v>Jackson</v>
      </c>
      <c r="B3631" s="120" t="str">
        <f>IFERROR(__xludf.DUMMYFUNCTION("""COMPUTED_VALUE"""),"JAC")</f>
        <v>JAC</v>
      </c>
      <c r="C3631" s="120" t="str">
        <f>IFERROR(__xludf.DUMMYFUNCTION("""COMPUTED_VALUE"""),"Jackson Hole")</f>
        <v>Jackson Hole</v>
      </c>
      <c r="D3631" s="120" t="str">
        <f>IFERROR(__xludf.DUMMYFUNCTION("""COMPUTED_VALUE"""),"United States")</f>
        <v>United States</v>
      </c>
      <c r="E3631" s="135"/>
      <c r="F3631" s="31"/>
    </row>
    <row r="3632">
      <c r="A3632" s="134" t="str">
        <f>IFERROR(__xludf.DUMMYFUNCTION("""COMPUTED_VALUE"""),"Jacksonville")</f>
        <v>Jacksonville</v>
      </c>
      <c r="B3632" s="120" t="str">
        <f>IFERROR(__xludf.DUMMYFUNCTION("""COMPUTED_VALUE"""),"LRF")</f>
        <v>LRF</v>
      </c>
      <c r="C3632" s="120" t="str">
        <f>IFERROR(__xludf.DUMMYFUNCTION("""COMPUTED_VALUE"""),"Little Rock Afb")</f>
        <v>Little Rock Afb</v>
      </c>
      <c r="D3632" s="120" t="str">
        <f>IFERROR(__xludf.DUMMYFUNCTION("""COMPUTED_VALUE"""),"United States")</f>
        <v>United States</v>
      </c>
      <c r="E3632" s="135"/>
      <c r="F3632" s="31"/>
    </row>
    <row r="3633">
      <c r="A3633" s="134" t="str">
        <f>IFERROR(__xludf.DUMMYFUNCTION("""COMPUTED_VALUE"""),"Jacksonville")</f>
        <v>Jacksonville</v>
      </c>
      <c r="B3633" s="120" t="str">
        <f>IFERROR(__xludf.DUMMYFUNCTION("""COMPUTED_VALUE"""),"NZC")</f>
        <v>NZC</v>
      </c>
      <c r="C3633" s="120" t="str">
        <f>IFERROR(__xludf.DUMMYFUNCTION("""COMPUTED_VALUE"""),"Cecil Field NAS")</f>
        <v>Cecil Field NAS</v>
      </c>
      <c r="D3633" s="120" t="str">
        <f>IFERROR(__xludf.DUMMYFUNCTION("""COMPUTED_VALUE"""),"United States")</f>
        <v>United States</v>
      </c>
      <c r="E3633" s="135"/>
      <c r="F3633" s="31"/>
    </row>
    <row r="3634">
      <c r="A3634" s="134" t="str">
        <f>IFERROR(__xludf.DUMMYFUNCTION("""COMPUTED_VALUE"""),"Jacksonville")</f>
        <v>Jacksonville</v>
      </c>
      <c r="B3634" s="120" t="str">
        <f>IFERROR(__xludf.DUMMYFUNCTION("""COMPUTED_VALUE"""),"CRG")</f>
        <v>CRG</v>
      </c>
      <c r="C3634" s="120" t="str">
        <f>IFERROR(__xludf.DUMMYFUNCTION("""COMPUTED_VALUE"""),"Craig Municipal")</f>
        <v>Craig Municipal</v>
      </c>
      <c r="D3634" s="120" t="str">
        <f>IFERROR(__xludf.DUMMYFUNCTION("""COMPUTED_VALUE"""),"United States")</f>
        <v>United States</v>
      </c>
      <c r="E3634" s="135"/>
      <c r="F3634" s="31"/>
    </row>
    <row r="3635">
      <c r="A3635" s="134" t="str">
        <f>IFERROR(__xludf.DUMMYFUNCTION("""COMPUTED_VALUE"""),"Jacksonville")</f>
        <v>Jacksonville</v>
      </c>
      <c r="B3635" s="120" t="str">
        <f>IFERROR(__xludf.DUMMYFUNCTION("""COMPUTED_VALUE"""),"JAX")</f>
        <v>JAX</v>
      </c>
      <c r="C3635" s="120" t="str">
        <f>IFERROR(__xludf.DUMMYFUNCTION("""COMPUTED_VALUE"""),"International")</f>
        <v>International</v>
      </c>
      <c r="D3635" s="120" t="str">
        <f>IFERROR(__xludf.DUMMYFUNCTION("""COMPUTED_VALUE"""),"United States")</f>
        <v>United States</v>
      </c>
      <c r="E3635" s="135"/>
      <c r="F3635" s="31"/>
    </row>
    <row r="3636">
      <c r="A3636" s="134" t="str">
        <f>IFERROR(__xludf.DUMMYFUNCTION("""COMPUTED_VALUE"""),"Jacksonville")</f>
        <v>Jacksonville</v>
      </c>
      <c r="B3636" s="120" t="str">
        <f>IFERROR(__xludf.DUMMYFUNCTION("""COMPUTED_VALUE"""),"NIP")</f>
        <v>NIP</v>
      </c>
      <c r="C3636" s="120" t="str">
        <f>IFERROR(__xludf.DUMMYFUNCTION("""COMPUTED_VALUE"""),"Jacksonville NAS")</f>
        <v>Jacksonville NAS</v>
      </c>
      <c r="D3636" s="120" t="str">
        <f>IFERROR(__xludf.DUMMYFUNCTION("""COMPUTED_VALUE"""),"United States")</f>
        <v>United States</v>
      </c>
      <c r="E3636" s="135"/>
      <c r="F3636" s="31"/>
    </row>
    <row r="3637">
      <c r="A3637" s="134" t="str">
        <f>IFERROR(__xludf.DUMMYFUNCTION("""COMPUTED_VALUE"""),"Jacksonville")</f>
        <v>Jacksonville</v>
      </c>
      <c r="B3637" s="120" t="str">
        <f>IFERROR(__xludf.DUMMYFUNCTION("""COMPUTED_VALUE"""),"IJX")</f>
        <v>IJX</v>
      </c>
      <c r="C3637" s="120" t="str">
        <f>IFERROR(__xludf.DUMMYFUNCTION("""COMPUTED_VALUE"""),"Municipal")</f>
        <v>Municipal</v>
      </c>
      <c r="D3637" s="120" t="str">
        <f>IFERROR(__xludf.DUMMYFUNCTION("""COMPUTED_VALUE"""),"United States")</f>
        <v>United States</v>
      </c>
      <c r="E3637" s="135"/>
      <c r="F3637" s="31"/>
    </row>
    <row r="3638">
      <c r="A3638" s="134" t="str">
        <f>IFERROR(__xludf.DUMMYFUNCTION("""COMPUTED_VALUE"""),"Jacksonville")</f>
        <v>Jacksonville</v>
      </c>
      <c r="B3638" s="120" t="str">
        <f>IFERROR(__xludf.DUMMYFUNCTION("""COMPUTED_VALUE"""),"OAJ")</f>
        <v>OAJ</v>
      </c>
      <c r="C3638" s="120" t="str">
        <f>IFERROR(__xludf.DUMMYFUNCTION("""COMPUTED_VALUE"""),"Albert J Ellis")</f>
        <v>Albert J Ellis</v>
      </c>
      <c r="D3638" s="120" t="str">
        <f>IFERROR(__xludf.DUMMYFUNCTION("""COMPUTED_VALUE"""),"United States")</f>
        <v>United States</v>
      </c>
      <c r="E3638" s="135"/>
      <c r="F3638" s="31"/>
    </row>
    <row r="3639">
      <c r="A3639" s="134" t="str">
        <f>IFERROR(__xludf.DUMMYFUNCTION("""COMPUTED_VALUE"""),"Jacksonville")</f>
        <v>Jacksonville</v>
      </c>
      <c r="B3639" s="120" t="str">
        <f>IFERROR(__xludf.DUMMYFUNCTION("""COMPUTED_VALUE"""),"JKV")</f>
        <v>JKV</v>
      </c>
      <c r="C3639" s="120" t="str">
        <f>IFERROR(__xludf.DUMMYFUNCTION("""COMPUTED_VALUE"""),"Jacksonville")</f>
        <v>Jacksonville</v>
      </c>
      <c r="D3639" s="120" t="str">
        <f>IFERROR(__xludf.DUMMYFUNCTION("""COMPUTED_VALUE"""),"United States")</f>
        <v>United States</v>
      </c>
      <c r="E3639" s="135"/>
      <c r="F3639" s="31"/>
    </row>
    <row r="3640">
      <c r="A3640" s="134" t="str">
        <f>IFERROR(__xludf.DUMMYFUNCTION("""COMPUTED_VALUE"""),"Jacmel")</f>
        <v>Jacmel</v>
      </c>
      <c r="B3640" s="120" t="str">
        <f>IFERROR(__xludf.DUMMYFUNCTION("""COMPUTED_VALUE"""),"JAK")</f>
        <v>JAK</v>
      </c>
      <c r="C3640" s="120" t="str">
        <f>IFERROR(__xludf.DUMMYFUNCTION("""COMPUTED_VALUE"""),"Jacmel")</f>
        <v>Jacmel</v>
      </c>
      <c r="D3640" s="120" t="str">
        <f>IFERROR(__xludf.DUMMYFUNCTION("""COMPUTED_VALUE"""),"Haiti")</f>
        <v>Haiti</v>
      </c>
      <c r="E3640" s="135"/>
      <c r="F3640" s="31"/>
    </row>
    <row r="3641">
      <c r="A3641" s="134" t="str">
        <f>IFERROR(__xludf.DUMMYFUNCTION("""COMPUTED_VALUE"""),"Jacobabad")</f>
        <v>Jacobabad</v>
      </c>
      <c r="B3641" s="120" t="str">
        <f>IFERROR(__xludf.DUMMYFUNCTION("""COMPUTED_VALUE"""),"JAG")</f>
        <v>JAG</v>
      </c>
      <c r="C3641" s="120" t="str">
        <f>IFERROR(__xludf.DUMMYFUNCTION("""COMPUTED_VALUE"""),"Jacobabad")</f>
        <v>Jacobabad</v>
      </c>
      <c r="D3641" s="120" t="str">
        <f>IFERROR(__xludf.DUMMYFUNCTION("""COMPUTED_VALUE"""),"Pakistan")</f>
        <v>Pakistan</v>
      </c>
      <c r="E3641" s="135"/>
      <c r="F3641" s="31"/>
    </row>
    <row r="3642">
      <c r="A3642" s="134" t="str">
        <f>IFERROR(__xludf.DUMMYFUNCTION("""COMPUTED_VALUE"""),"Jacobina")</f>
        <v>Jacobina</v>
      </c>
      <c r="B3642" s="120" t="str">
        <f>IFERROR(__xludf.DUMMYFUNCTION("""COMPUTED_VALUE"""),"JCM")</f>
        <v>JCM</v>
      </c>
      <c r="C3642" s="120" t="str">
        <f>IFERROR(__xludf.DUMMYFUNCTION("""COMPUTED_VALUE"""),"Jacobina")</f>
        <v>Jacobina</v>
      </c>
      <c r="D3642" s="120" t="str">
        <f>IFERROR(__xludf.DUMMYFUNCTION("""COMPUTED_VALUE"""),"Brazil")</f>
        <v>Brazil</v>
      </c>
      <c r="E3642" s="135"/>
      <c r="F3642" s="31"/>
    </row>
    <row r="3643">
      <c r="A3643" s="134" t="str">
        <f>IFERROR(__xludf.DUMMYFUNCTION("""COMPUTED_VALUE"""),"Jacquinot Bay")</f>
        <v>Jacquinot Bay</v>
      </c>
      <c r="B3643" s="120" t="str">
        <f>IFERROR(__xludf.DUMMYFUNCTION("""COMPUTED_VALUE"""),"JAQ")</f>
        <v>JAQ</v>
      </c>
      <c r="C3643" s="120" t="str">
        <f>IFERROR(__xludf.DUMMYFUNCTION("""COMPUTED_VALUE"""),"Jacquinot Bay")</f>
        <v>Jacquinot Bay</v>
      </c>
      <c r="D3643" s="120" t="str">
        <f>IFERROR(__xludf.DUMMYFUNCTION("""COMPUTED_VALUE"""),"Papua New Guinea")</f>
        <v>Papua New Guinea</v>
      </c>
      <c r="E3643" s="135"/>
      <c r="F3643" s="31"/>
    </row>
    <row r="3644">
      <c r="A3644" s="134" t="str">
        <f>IFERROR(__xludf.DUMMYFUNCTION("""COMPUTED_VALUE"""),"Jaffna")</f>
        <v>Jaffna</v>
      </c>
      <c r="B3644" s="120" t="str">
        <f>IFERROR(__xludf.DUMMYFUNCTION("""COMPUTED_VALUE"""),"JAF")</f>
        <v>JAF</v>
      </c>
      <c r="C3644" s="120" t="str">
        <f>IFERROR(__xludf.DUMMYFUNCTION("""COMPUTED_VALUE"""),"Kankesanturai")</f>
        <v>Kankesanturai</v>
      </c>
      <c r="D3644" s="120" t="str">
        <f>IFERROR(__xludf.DUMMYFUNCTION("""COMPUTED_VALUE"""),"Sri Lanka")</f>
        <v>Sri Lanka</v>
      </c>
      <c r="E3644" s="135"/>
      <c r="F3644" s="31"/>
    </row>
    <row r="3645">
      <c r="A3645" s="134" t="str">
        <f>IFERROR(__xludf.DUMMYFUNCTION("""COMPUTED_VALUE"""),"Jaffrey")</f>
        <v>Jaffrey</v>
      </c>
      <c r="B3645" s="120" t="str">
        <f>IFERROR(__xludf.DUMMYFUNCTION("""COMPUTED_VALUE"""),"AFN")</f>
        <v>AFN</v>
      </c>
      <c r="C3645" s="120" t="str">
        <f>IFERROR(__xludf.DUMMYFUNCTION("""COMPUTED_VALUE"""),"Municipal")</f>
        <v>Municipal</v>
      </c>
      <c r="D3645" s="120" t="str">
        <f>IFERROR(__xludf.DUMMYFUNCTION("""COMPUTED_VALUE"""),"United States")</f>
        <v>United States</v>
      </c>
      <c r="E3645" s="135"/>
      <c r="F3645" s="31"/>
    </row>
    <row r="3646">
      <c r="A3646" s="134" t="str">
        <f>IFERROR(__xludf.DUMMYFUNCTION("""COMPUTED_VALUE"""),"Jagdalpur")</f>
        <v>Jagdalpur</v>
      </c>
      <c r="B3646" s="120" t="str">
        <f>IFERROR(__xludf.DUMMYFUNCTION("""COMPUTED_VALUE"""),"JGB")</f>
        <v>JGB</v>
      </c>
      <c r="C3646" s="120" t="str">
        <f>IFERROR(__xludf.DUMMYFUNCTION("""COMPUTED_VALUE"""),"Jagdalpur")</f>
        <v>Jagdalpur</v>
      </c>
      <c r="D3646" s="120" t="str">
        <f>IFERROR(__xludf.DUMMYFUNCTION("""COMPUTED_VALUE"""),"India")</f>
        <v>India</v>
      </c>
      <c r="E3646" s="135"/>
      <c r="F3646" s="31"/>
    </row>
    <row r="3647">
      <c r="A3647" s="134" t="str">
        <f>IFERROR(__xludf.DUMMYFUNCTION("""COMPUTED_VALUE"""),"Jahrom")</f>
        <v>Jahrom</v>
      </c>
      <c r="B3647" s="120" t="str">
        <f>IFERROR(__xludf.DUMMYFUNCTION("""COMPUTED_VALUE"""),"JAR")</f>
        <v>JAR</v>
      </c>
      <c r="C3647" s="120" t="str">
        <f>IFERROR(__xludf.DUMMYFUNCTION("""COMPUTED_VALUE"""),"Jahrom")</f>
        <v>Jahrom</v>
      </c>
      <c r="D3647" s="120" t="str">
        <f>IFERROR(__xludf.DUMMYFUNCTION("""COMPUTED_VALUE"""),"United States")</f>
        <v>United States</v>
      </c>
      <c r="E3647" s="135"/>
      <c r="F3647" s="31"/>
    </row>
    <row r="3648">
      <c r="A3648" s="134" t="str">
        <f>IFERROR(__xludf.DUMMYFUNCTION("""COMPUTED_VALUE"""),"Jaipur")</f>
        <v>Jaipur</v>
      </c>
      <c r="B3648" s="120" t="str">
        <f>IFERROR(__xludf.DUMMYFUNCTION("""COMPUTED_VALUE"""),"JAI")</f>
        <v>JAI</v>
      </c>
      <c r="C3648" s="120" t="str">
        <f>IFERROR(__xludf.DUMMYFUNCTION("""COMPUTED_VALUE"""),"Sanganeer")</f>
        <v>Sanganeer</v>
      </c>
      <c r="D3648" s="120" t="str">
        <f>IFERROR(__xludf.DUMMYFUNCTION("""COMPUTED_VALUE"""),"India")</f>
        <v>India</v>
      </c>
      <c r="E3648" s="135"/>
      <c r="F3648" s="31"/>
    </row>
    <row r="3649">
      <c r="A3649" s="134" t="str">
        <f>IFERROR(__xludf.DUMMYFUNCTION("""COMPUTED_VALUE"""),"Jaisalmer")</f>
        <v>Jaisalmer</v>
      </c>
      <c r="B3649" s="120" t="str">
        <f>IFERROR(__xludf.DUMMYFUNCTION("""COMPUTED_VALUE"""),"JSA")</f>
        <v>JSA</v>
      </c>
      <c r="C3649" s="120" t="str">
        <f>IFERROR(__xludf.DUMMYFUNCTION("""COMPUTED_VALUE"""),"Jaisalmer")</f>
        <v>Jaisalmer</v>
      </c>
      <c r="D3649" s="120" t="str">
        <f>IFERROR(__xludf.DUMMYFUNCTION("""COMPUTED_VALUE"""),"India")</f>
        <v>India</v>
      </c>
      <c r="E3649" s="135"/>
      <c r="F3649" s="31"/>
    </row>
    <row r="3650">
      <c r="A3650" s="134" t="str">
        <f>IFERROR(__xludf.DUMMYFUNCTION("""COMPUTED_VALUE"""),"Jakarta")</f>
        <v>Jakarta</v>
      </c>
      <c r="B3650" s="120" t="str">
        <f>IFERROR(__xludf.DUMMYFUNCTION("""COMPUTED_VALUE"""),"HLP")</f>
        <v>HLP</v>
      </c>
      <c r="C3650" s="120" t="str">
        <f>IFERROR(__xludf.DUMMYFUNCTION("""COMPUTED_VALUE"""),"Halim Perdana Kusuma")</f>
        <v>Halim Perdana Kusuma</v>
      </c>
      <c r="D3650" s="120" t="str">
        <f>IFERROR(__xludf.DUMMYFUNCTION("""COMPUTED_VALUE"""),"Indonesia")</f>
        <v>Indonesia</v>
      </c>
      <c r="E3650" s="135"/>
      <c r="F3650" s="31"/>
    </row>
    <row r="3651">
      <c r="A3651" s="134" t="str">
        <f>IFERROR(__xludf.DUMMYFUNCTION("""COMPUTED_VALUE"""),"Jakarta")</f>
        <v>Jakarta</v>
      </c>
      <c r="B3651" s="120" t="str">
        <f>IFERROR(__xludf.DUMMYFUNCTION("""COMPUTED_VALUE"""),"JKT")</f>
        <v>JKT</v>
      </c>
      <c r="C3651" s="120" t="str">
        <f>IFERROR(__xludf.DUMMYFUNCTION("""COMPUTED_VALUE"""),"Soekarno-Hatta Intl")</f>
        <v>Soekarno-Hatta Intl</v>
      </c>
      <c r="D3651" s="120" t="str">
        <f>IFERROR(__xludf.DUMMYFUNCTION("""COMPUTED_VALUE"""),"Indonesia")</f>
        <v>Indonesia</v>
      </c>
      <c r="E3651" s="135"/>
      <c r="F3651" s="31"/>
    </row>
    <row r="3652">
      <c r="A3652" s="134" t="str">
        <f>IFERROR(__xludf.DUMMYFUNCTION("""COMPUTED_VALUE"""),"Jalalabad")</f>
        <v>Jalalabad</v>
      </c>
      <c r="B3652" s="120" t="str">
        <f>IFERROR(__xludf.DUMMYFUNCTION("""COMPUTED_VALUE"""),"JAA")</f>
        <v>JAA</v>
      </c>
      <c r="C3652" s="120" t="str">
        <f>IFERROR(__xludf.DUMMYFUNCTION("""COMPUTED_VALUE"""),"Jalalabad")</f>
        <v>Jalalabad</v>
      </c>
      <c r="D3652" s="120" t="str">
        <f>IFERROR(__xludf.DUMMYFUNCTION("""COMPUTED_VALUE"""),"Afghanistan")</f>
        <v>Afghanistan</v>
      </c>
      <c r="E3652" s="135"/>
      <c r="F3652" s="31"/>
    </row>
    <row r="3653">
      <c r="A3653" s="134" t="str">
        <f>IFERROR(__xludf.DUMMYFUNCTION("""COMPUTED_VALUE"""),"Jalapa")</f>
        <v>Jalapa</v>
      </c>
      <c r="B3653" s="120" t="str">
        <f>IFERROR(__xludf.DUMMYFUNCTION("""COMPUTED_VALUE"""),"JAL")</f>
        <v>JAL</v>
      </c>
      <c r="C3653" s="120" t="str">
        <f>IFERROR(__xludf.DUMMYFUNCTION("""COMPUTED_VALUE"""),"Jalapa")</f>
        <v>Jalapa</v>
      </c>
      <c r="D3653" s="120" t="str">
        <f>IFERROR(__xludf.DUMMYFUNCTION("""COMPUTED_VALUE"""),"Mexico")</f>
        <v>Mexico</v>
      </c>
      <c r="E3653" s="135"/>
      <c r="F3653" s="31"/>
    </row>
    <row r="3654">
      <c r="A3654" s="134" t="str">
        <f>IFERROR(__xludf.DUMMYFUNCTION("""COMPUTED_VALUE"""),"Jales")</f>
        <v>Jales</v>
      </c>
      <c r="B3654" s="120" t="str">
        <f>IFERROR(__xludf.DUMMYFUNCTION("""COMPUTED_VALUE"""),"JLS")</f>
        <v>JLS</v>
      </c>
      <c r="C3654" s="120" t="str">
        <f>IFERROR(__xludf.DUMMYFUNCTION("""COMPUTED_VALUE"""),"Jales")</f>
        <v>Jales</v>
      </c>
      <c r="D3654" s="120" t="str">
        <f>IFERROR(__xludf.DUMMYFUNCTION("""COMPUTED_VALUE"""),"Brazil")</f>
        <v>Brazil</v>
      </c>
      <c r="E3654" s="135"/>
      <c r="F3654" s="31"/>
    </row>
    <row r="3655">
      <c r="A3655" s="134" t="str">
        <f>IFERROR(__xludf.DUMMYFUNCTION("""COMPUTED_VALUE"""),"Jaluit Island")</f>
        <v>Jaluit Island</v>
      </c>
      <c r="B3655" s="120" t="str">
        <f>IFERROR(__xludf.DUMMYFUNCTION("""COMPUTED_VALUE"""),"UIT")</f>
        <v>UIT</v>
      </c>
      <c r="C3655" s="120" t="str">
        <f>IFERROR(__xludf.DUMMYFUNCTION("""COMPUTED_VALUE"""),"Jaluit Island")</f>
        <v>Jaluit Island</v>
      </c>
      <c r="D3655" s="120" t="str">
        <f>IFERROR(__xludf.DUMMYFUNCTION("""COMPUTED_VALUE"""),"Marshall Islands")</f>
        <v>Marshall Islands</v>
      </c>
      <c r="E3655" s="135"/>
      <c r="F3655" s="31"/>
    </row>
    <row r="3656">
      <c r="A3656" s="134" t="str">
        <f>IFERROR(__xludf.DUMMYFUNCTION("""COMPUTED_VALUE"""),"Jamba")</f>
        <v>Jamba</v>
      </c>
      <c r="B3656" s="120" t="str">
        <f>IFERROR(__xludf.DUMMYFUNCTION("""COMPUTED_VALUE"""),"JMB")</f>
        <v>JMB</v>
      </c>
      <c r="C3656" s="120" t="str">
        <f>IFERROR(__xludf.DUMMYFUNCTION("""COMPUTED_VALUE"""),"Jamba")</f>
        <v>Jamba</v>
      </c>
      <c r="D3656" s="120" t="str">
        <f>IFERROR(__xludf.DUMMYFUNCTION("""COMPUTED_VALUE"""),"Angola")</f>
        <v>Angola</v>
      </c>
      <c r="E3656" s="135"/>
      <c r="F3656" s="31"/>
    </row>
    <row r="3657">
      <c r="A3657" s="134" t="str">
        <f>IFERROR(__xludf.DUMMYFUNCTION("""COMPUTED_VALUE"""),"Jambi")</f>
        <v>Jambi</v>
      </c>
      <c r="B3657" s="120" t="str">
        <f>IFERROR(__xludf.DUMMYFUNCTION("""COMPUTED_VALUE"""),"DJB")</f>
        <v>DJB</v>
      </c>
      <c r="C3657" s="120" t="str">
        <f>IFERROR(__xludf.DUMMYFUNCTION("""COMPUTED_VALUE"""),"Sultan Taha Syarifudn")</f>
        <v>Sultan Taha Syarifudn</v>
      </c>
      <c r="D3657" s="120" t="str">
        <f>IFERROR(__xludf.DUMMYFUNCTION("""COMPUTED_VALUE"""),"Indonesia")</f>
        <v>Indonesia</v>
      </c>
      <c r="E3657" s="135"/>
      <c r="F3657" s="31"/>
    </row>
    <row r="3658">
      <c r="A3658" s="134" t="str">
        <f>IFERROR(__xludf.DUMMYFUNCTION("""COMPUTED_VALUE"""),"Jambol")</f>
        <v>Jambol</v>
      </c>
      <c r="B3658" s="120" t="str">
        <f>IFERROR(__xludf.DUMMYFUNCTION("""COMPUTED_VALUE"""),"JAM")</f>
        <v>JAM</v>
      </c>
      <c r="C3658" s="120" t="str">
        <f>IFERROR(__xludf.DUMMYFUNCTION("""COMPUTED_VALUE"""),"Jambol")</f>
        <v>Jambol</v>
      </c>
      <c r="D3658" s="120" t="str">
        <f>IFERROR(__xludf.DUMMYFUNCTION("""COMPUTED_VALUE"""),"Bulgaria")</f>
        <v>Bulgaria</v>
      </c>
      <c r="E3658" s="135"/>
      <c r="F3658" s="31"/>
    </row>
    <row r="3659">
      <c r="A3659" s="134" t="str">
        <f>IFERROR(__xludf.DUMMYFUNCTION("""COMPUTED_VALUE"""),"Jamestown")</f>
        <v>Jamestown</v>
      </c>
      <c r="B3659" s="120" t="str">
        <f>IFERROR(__xludf.DUMMYFUNCTION("""COMPUTED_VALUE"""),"JMS")</f>
        <v>JMS</v>
      </c>
      <c r="C3659" s="120" t="str">
        <f>IFERROR(__xludf.DUMMYFUNCTION("""COMPUTED_VALUE"""),"Jamestown")</f>
        <v>Jamestown</v>
      </c>
      <c r="D3659" s="120" t="str">
        <f>IFERROR(__xludf.DUMMYFUNCTION("""COMPUTED_VALUE"""),"United States")</f>
        <v>United States</v>
      </c>
      <c r="E3659" s="135"/>
      <c r="F3659" s="31"/>
    </row>
    <row r="3660">
      <c r="A3660" s="134" t="str">
        <f>IFERROR(__xludf.DUMMYFUNCTION("""COMPUTED_VALUE"""),"Jamestown")</f>
        <v>Jamestown</v>
      </c>
      <c r="B3660" s="120" t="str">
        <f>IFERROR(__xludf.DUMMYFUNCTION("""COMPUTED_VALUE"""),"JHW")</f>
        <v>JHW</v>
      </c>
      <c r="C3660" s="120" t="str">
        <f>IFERROR(__xludf.DUMMYFUNCTION("""COMPUTED_VALUE"""),"Jamestown")</f>
        <v>Jamestown</v>
      </c>
      <c r="D3660" s="120" t="str">
        <f>IFERROR(__xludf.DUMMYFUNCTION("""COMPUTED_VALUE"""),"United States")</f>
        <v>United States</v>
      </c>
      <c r="E3660" s="135"/>
      <c r="F3660" s="31"/>
    </row>
    <row r="3661">
      <c r="A3661" s="134" t="str">
        <f>IFERROR(__xludf.DUMMYFUNCTION("""COMPUTED_VALUE"""),"Jammu")</f>
        <v>Jammu</v>
      </c>
      <c r="B3661" s="120" t="str">
        <f>IFERROR(__xludf.DUMMYFUNCTION("""COMPUTED_VALUE"""),"IXJ")</f>
        <v>IXJ</v>
      </c>
      <c r="C3661" s="120" t="str">
        <f>IFERROR(__xludf.DUMMYFUNCTION("""COMPUTED_VALUE"""),"Satwari")</f>
        <v>Satwari</v>
      </c>
      <c r="D3661" s="120" t="str">
        <f>IFERROR(__xludf.DUMMYFUNCTION("""COMPUTED_VALUE"""),"India")</f>
        <v>India</v>
      </c>
      <c r="E3661" s="135"/>
      <c r="F3661" s="31"/>
    </row>
    <row r="3662">
      <c r="A3662" s="134" t="str">
        <f>IFERROR(__xludf.DUMMYFUNCTION("""COMPUTED_VALUE"""),"Jamnagar")</f>
        <v>Jamnagar</v>
      </c>
      <c r="B3662" s="120" t="str">
        <f>IFERROR(__xludf.DUMMYFUNCTION("""COMPUTED_VALUE"""),"JGA")</f>
        <v>JGA</v>
      </c>
      <c r="C3662" s="120" t="str">
        <f>IFERROR(__xludf.DUMMYFUNCTION("""COMPUTED_VALUE"""),"Govardhanpur")</f>
        <v>Govardhanpur</v>
      </c>
      <c r="D3662" s="120" t="str">
        <f>IFERROR(__xludf.DUMMYFUNCTION("""COMPUTED_VALUE"""),"India")</f>
        <v>India</v>
      </c>
      <c r="E3662" s="135"/>
      <c r="F3662" s="31"/>
    </row>
    <row r="3663">
      <c r="A3663" s="134" t="str">
        <f>IFERROR(__xludf.DUMMYFUNCTION("""COMPUTED_VALUE"""),"Jamshedpur")</f>
        <v>Jamshedpur</v>
      </c>
      <c r="B3663" s="120" t="str">
        <f>IFERROR(__xludf.DUMMYFUNCTION("""COMPUTED_VALUE"""),"IXW")</f>
        <v>IXW</v>
      </c>
      <c r="C3663" s="120" t="str">
        <f>IFERROR(__xludf.DUMMYFUNCTION("""COMPUTED_VALUE"""),"Sonari")</f>
        <v>Sonari</v>
      </c>
      <c r="D3663" s="120" t="str">
        <f>IFERROR(__xludf.DUMMYFUNCTION("""COMPUTED_VALUE"""),"India")</f>
        <v>India</v>
      </c>
      <c r="E3663" s="135"/>
      <c r="F3663" s="31"/>
    </row>
    <row r="3664">
      <c r="A3664" s="134" t="str">
        <f>IFERROR(__xludf.DUMMYFUNCTION("""COMPUTED_VALUE"""),"Janakpur")</f>
        <v>Janakpur</v>
      </c>
      <c r="B3664" s="120" t="str">
        <f>IFERROR(__xludf.DUMMYFUNCTION("""COMPUTED_VALUE"""),"JKR")</f>
        <v>JKR</v>
      </c>
      <c r="C3664" s="120" t="str">
        <f>IFERROR(__xludf.DUMMYFUNCTION("""COMPUTED_VALUE"""),"Janakpur")</f>
        <v>Janakpur</v>
      </c>
      <c r="D3664" s="120" t="str">
        <f>IFERROR(__xludf.DUMMYFUNCTION("""COMPUTED_VALUE"""),"Nepal")</f>
        <v>Nepal</v>
      </c>
      <c r="E3664" s="135"/>
      <c r="F3664" s="31"/>
    </row>
    <row r="3665">
      <c r="A3665" s="134" t="str">
        <f>IFERROR(__xludf.DUMMYFUNCTION("""COMPUTED_VALUE"""),"Perth")</f>
        <v>Perth</v>
      </c>
      <c r="B3665" s="120" t="str">
        <f>IFERROR(__xludf.DUMMYFUNCTION("""COMPUTED_VALUE"""),"JAD")</f>
        <v>JAD</v>
      </c>
      <c r="C3665" s="120" t="str">
        <f>IFERROR(__xludf.DUMMYFUNCTION("""COMPUTED_VALUE"""),"Jandakot")</f>
        <v>Jandakot</v>
      </c>
      <c r="D3665" s="120" t="str">
        <f>IFERROR(__xludf.DUMMYFUNCTION("""COMPUTED_VALUE"""),"Australia")</f>
        <v>Australia</v>
      </c>
      <c r="E3665" s="135"/>
      <c r="F3665" s="31"/>
    </row>
    <row r="3666">
      <c r="A3666" s="134" t="str">
        <f>IFERROR(__xludf.DUMMYFUNCTION("""COMPUTED_VALUE"""),"Janesville")</f>
        <v>Janesville</v>
      </c>
      <c r="B3666" s="120" t="str">
        <f>IFERROR(__xludf.DUMMYFUNCTION("""COMPUTED_VALUE"""),"JVL")</f>
        <v>JVL</v>
      </c>
      <c r="C3666" s="120" t="str">
        <f>IFERROR(__xludf.DUMMYFUNCTION("""COMPUTED_VALUE"""),"Rock County")</f>
        <v>Rock County</v>
      </c>
      <c r="D3666" s="120" t="str">
        <f>IFERROR(__xludf.DUMMYFUNCTION("""COMPUTED_VALUE"""),"United States")</f>
        <v>United States</v>
      </c>
      <c r="E3666" s="135"/>
      <c r="F3666" s="31"/>
    </row>
    <row r="3667">
      <c r="A3667" s="134" t="str">
        <f>IFERROR(__xludf.DUMMYFUNCTION("""COMPUTED_VALUE"""),"Januaria")</f>
        <v>Januaria</v>
      </c>
      <c r="B3667" s="120" t="str">
        <f>IFERROR(__xludf.DUMMYFUNCTION("""COMPUTED_VALUE"""),"JNA")</f>
        <v>JNA</v>
      </c>
      <c r="C3667" s="120" t="str">
        <f>IFERROR(__xludf.DUMMYFUNCTION("""COMPUTED_VALUE"""),"Januaria")</f>
        <v>Januaria</v>
      </c>
      <c r="D3667" s="120" t="str">
        <f>IFERROR(__xludf.DUMMYFUNCTION("""COMPUTED_VALUE"""),"Brazil")</f>
        <v>Brazil</v>
      </c>
      <c r="E3667" s="135"/>
      <c r="F3667" s="31"/>
    </row>
    <row r="3668">
      <c r="A3668" s="134" t="str">
        <f>IFERROR(__xludf.DUMMYFUNCTION("""COMPUTED_VALUE"""),"Jaque")</f>
        <v>Jaque</v>
      </c>
      <c r="B3668" s="120" t="str">
        <f>IFERROR(__xludf.DUMMYFUNCTION("""COMPUTED_VALUE"""),"JQE")</f>
        <v>JQE</v>
      </c>
      <c r="C3668" s="120" t="str">
        <f>IFERROR(__xludf.DUMMYFUNCTION("""COMPUTED_VALUE"""),"Jaque")</f>
        <v>Jaque</v>
      </c>
      <c r="D3668" s="120" t="str">
        <f>IFERROR(__xludf.DUMMYFUNCTION("""COMPUTED_VALUE"""),"Panama")</f>
        <v>Panama</v>
      </c>
      <c r="E3668" s="135"/>
      <c r="F3668" s="31"/>
    </row>
    <row r="3669">
      <c r="A3669" s="134" t="str">
        <f>IFERROR(__xludf.DUMMYFUNCTION("""COMPUTED_VALUE"""),"Jasper")</f>
        <v>Jasper</v>
      </c>
      <c r="B3669" s="120" t="str">
        <f>IFERROR(__xludf.DUMMYFUNCTION("""COMPUTED_VALUE"""),"APT")</f>
        <v>APT</v>
      </c>
      <c r="C3669" s="120" t="str">
        <f>IFERROR(__xludf.DUMMYFUNCTION("""COMPUTED_VALUE"""),"Marion County")</f>
        <v>Marion County</v>
      </c>
      <c r="D3669" s="120" t="str">
        <f>IFERROR(__xludf.DUMMYFUNCTION("""COMPUTED_VALUE"""),"United States")</f>
        <v>United States</v>
      </c>
      <c r="E3669" s="135"/>
      <c r="F3669" s="31"/>
    </row>
    <row r="3670">
      <c r="A3670" s="134" t="str">
        <f>IFERROR(__xludf.DUMMYFUNCTION("""COMPUTED_VALUE"""),"Jasper")</f>
        <v>Jasper</v>
      </c>
      <c r="B3670" s="120" t="str">
        <f>IFERROR(__xludf.DUMMYFUNCTION("""COMPUTED_VALUE"""),"JAS")</f>
        <v>JAS</v>
      </c>
      <c r="C3670" s="120" t="str">
        <f>IFERROR(__xludf.DUMMYFUNCTION("""COMPUTED_VALUE"""),"County")</f>
        <v>County</v>
      </c>
      <c r="D3670" s="120" t="str">
        <f>IFERROR(__xludf.DUMMYFUNCTION("""COMPUTED_VALUE"""),"United States")</f>
        <v>United States</v>
      </c>
      <c r="E3670" s="135"/>
      <c r="F3670" s="31"/>
    </row>
    <row r="3671">
      <c r="A3671" s="134" t="str">
        <f>IFERROR(__xludf.DUMMYFUNCTION("""COMPUTED_VALUE"""),"Jasper-Hinton")</f>
        <v>Jasper-Hinton</v>
      </c>
      <c r="B3671" s="120" t="str">
        <f>IFERROR(__xludf.DUMMYFUNCTION("""COMPUTED_VALUE"""),"YJP")</f>
        <v>YJP</v>
      </c>
      <c r="C3671" s="120" t="str">
        <f>IFERROR(__xludf.DUMMYFUNCTION("""COMPUTED_VALUE"""),"Jasper-Hinton")</f>
        <v>Jasper-Hinton</v>
      </c>
      <c r="D3671" s="120" t="str">
        <f>IFERROR(__xludf.DUMMYFUNCTION("""COMPUTED_VALUE"""),"Canada")</f>
        <v>Canada</v>
      </c>
      <c r="E3671" s="135"/>
      <c r="F3671" s="31"/>
    </row>
    <row r="3672">
      <c r="A3672" s="134" t="str">
        <f>IFERROR(__xludf.DUMMYFUNCTION("""COMPUTED_VALUE"""),"Jatai")</f>
        <v>Jatai</v>
      </c>
      <c r="B3672" s="120" t="str">
        <f>IFERROR(__xludf.DUMMYFUNCTION("""COMPUTED_VALUE"""),"JTI")</f>
        <v>JTI</v>
      </c>
      <c r="C3672" s="120" t="str">
        <f>IFERROR(__xludf.DUMMYFUNCTION("""COMPUTED_VALUE"""),"Jatai")</f>
        <v>Jatai</v>
      </c>
      <c r="D3672" s="120" t="str">
        <f>IFERROR(__xludf.DUMMYFUNCTION("""COMPUTED_VALUE"""),"Brazil")</f>
        <v>Brazil</v>
      </c>
      <c r="E3672" s="135"/>
      <c r="F3672" s="31"/>
    </row>
    <row r="3673">
      <c r="A3673" s="134" t="str">
        <f>IFERROR(__xludf.DUMMYFUNCTION("""COMPUTED_VALUE"""),"Jauja")</f>
        <v>Jauja</v>
      </c>
      <c r="B3673" s="120" t="str">
        <f>IFERROR(__xludf.DUMMYFUNCTION("""COMPUTED_VALUE"""),"JAU")</f>
        <v>JAU</v>
      </c>
      <c r="C3673" s="120" t="str">
        <f>IFERROR(__xludf.DUMMYFUNCTION("""COMPUTED_VALUE"""),"Jauja")</f>
        <v>Jauja</v>
      </c>
      <c r="D3673" s="120" t="str">
        <f>IFERROR(__xludf.DUMMYFUNCTION("""COMPUTED_VALUE"""),"Peru")</f>
        <v>Peru</v>
      </c>
      <c r="E3673" s="135"/>
      <c r="F3673" s="31"/>
    </row>
    <row r="3674">
      <c r="A3674" s="134" t="str">
        <f>IFERROR(__xludf.DUMMYFUNCTION("""COMPUTED_VALUE"""),"Jayapura")</f>
        <v>Jayapura</v>
      </c>
      <c r="B3674" s="120" t="str">
        <f>IFERROR(__xludf.DUMMYFUNCTION("""COMPUTED_VALUE"""),"DJJ")</f>
        <v>DJJ</v>
      </c>
      <c r="C3674" s="120" t="str">
        <f>IFERROR(__xludf.DUMMYFUNCTION("""COMPUTED_VALUE"""),"Sentani")</f>
        <v>Sentani</v>
      </c>
      <c r="D3674" s="120" t="str">
        <f>IFERROR(__xludf.DUMMYFUNCTION("""COMPUTED_VALUE"""),"Indonesia")</f>
        <v>Indonesia</v>
      </c>
      <c r="E3674" s="135"/>
      <c r="F3674" s="31"/>
    </row>
    <row r="3675">
      <c r="A3675" s="134" t="str">
        <f>IFERROR(__xludf.DUMMYFUNCTION("""COMPUTED_VALUE"""),"Jazan")</f>
        <v>Jazan</v>
      </c>
      <c r="B3675" s="120" t="str">
        <f>IFERROR(__xludf.DUMMYFUNCTION("""COMPUTED_VALUE"""),"GIZ")</f>
        <v>GIZ</v>
      </c>
      <c r="C3675" s="120" t="str">
        <f>IFERROR(__xludf.DUMMYFUNCTION("""COMPUTED_VALUE"""),"Jazan")</f>
        <v>Jazan</v>
      </c>
      <c r="D3675" s="120" t="str">
        <f>IFERROR(__xludf.DUMMYFUNCTION("""COMPUTED_VALUE"""),"Saudi Arabia")</f>
        <v>Saudi Arabia</v>
      </c>
      <c r="E3675" s="135"/>
      <c r="F3675" s="31"/>
    </row>
    <row r="3676">
      <c r="A3676" s="134" t="str">
        <f>IFERROR(__xludf.DUMMYFUNCTION("""COMPUTED_VALUE"""),"Dammam")</f>
        <v>Dammam</v>
      </c>
      <c r="B3676" s="120" t="str">
        <f>IFERROR(__xludf.DUMMYFUNCTION("""COMPUTED_VALUE"""),"XZF")</f>
        <v>XZF</v>
      </c>
      <c r="C3676" s="120" t="str">
        <f>IFERROR(__xludf.DUMMYFUNCTION("""COMPUTED_VALUE"""),"Dammam Port")</f>
        <v>Dammam Port</v>
      </c>
      <c r="D3676" s="120" t="str">
        <f>IFERROR(__xludf.DUMMYFUNCTION("""COMPUTED_VALUE"""),"Saudi Arabia")</f>
        <v>Saudi Arabia</v>
      </c>
      <c r="E3676" s="135"/>
      <c r="F3676" s="31"/>
    </row>
    <row r="3677">
      <c r="A3677" s="134" t="str">
        <f>IFERROR(__xludf.DUMMYFUNCTION("""COMPUTED_VALUE"""),"Jeddah")</f>
        <v>Jeddah</v>
      </c>
      <c r="B3677" s="120" t="str">
        <f>IFERROR(__xludf.DUMMYFUNCTION("""COMPUTED_VALUE"""),"JED")</f>
        <v>JED</v>
      </c>
      <c r="C3677" s="120" t="str">
        <f>IFERROR(__xludf.DUMMYFUNCTION("""COMPUTED_VALUE"""),"King Abdulaziz International")</f>
        <v>King Abdulaziz International</v>
      </c>
      <c r="D3677" s="120" t="str">
        <f>IFERROR(__xludf.DUMMYFUNCTION("""COMPUTED_VALUE"""),"Saudi Arabia")</f>
        <v>Saudi Arabia</v>
      </c>
      <c r="E3677" s="135"/>
      <c r="F3677" s="31"/>
    </row>
    <row r="3678">
      <c r="A3678" s="134" t="str">
        <f>IFERROR(__xludf.DUMMYFUNCTION("""COMPUTED_VALUE"""),"Jefferson")</f>
        <v>Jefferson</v>
      </c>
      <c r="B3678" s="120" t="str">
        <f>IFERROR(__xludf.DUMMYFUNCTION("""COMPUTED_VALUE"""),"EFW")</f>
        <v>EFW</v>
      </c>
      <c r="C3678" s="120" t="str">
        <f>IFERROR(__xludf.DUMMYFUNCTION("""COMPUTED_VALUE"""),"Municipal")</f>
        <v>Municipal</v>
      </c>
      <c r="D3678" s="120" t="str">
        <f>IFERROR(__xludf.DUMMYFUNCTION("""COMPUTED_VALUE"""),"United States")</f>
        <v>United States</v>
      </c>
      <c r="E3678" s="135"/>
      <c r="F3678" s="31"/>
    </row>
    <row r="3679">
      <c r="A3679" s="134" t="str">
        <f>IFERROR(__xludf.DUMMYFUNCTION("""COMPUTED_VALUE"""),"Jefferson")</f>
        <v>Jefferson</v>
      </c>
      <c r="B3679" s="120" t="str">
        <f>IFERROR(__xludf.DUMMYFUNCTION("""COMPUTED_VALUE"""),"JFN")</f>
        <v>JFN</v>
      </c>
      <c r="C3679" s="120" t="str">
        <f>IFERROR(__xludf.DUMMYFUNCTION("""COMPUTED_VALUE"""),"Ashtabula")</f>
        <v>Ashtabula</v>
      </c>
      <c r="D3679" s="120" t="str">
        <f>IFERROR(__xludf.DUMMYFUNCTION("""COMPUTED_VALUE"""),"United States")</f>
        <v>United States</v>
      </c>
      <c r="E3679" s="135"/>
      <c r="F3679" s="31"/>
    </row>
    <row r="3680">
      <c r="A3680" s="134" t="str">
        <f>IFERROR(__xludf.DUMMYFUNCTION("""COMPUTED_VALUE"""),"Jefferson City")</f>
        <v>Jefferson City</v>
      </c>
      <c r="B3680" s="120" t="str">
        <f>IFERROR(__xludf.DUMMYFUNCTION("""COMPUTED_VALUE"""),"JEF")</f>
        <v>JEF</v>
      </c>
      <c r="C3680" s="120" t="str">
        <f>IFERROR(__xludf.DUMMYFUNCTION("""COMPUTED_VALUE"""),"Memorial")</f>
        <v>Memorial</v>
      </c>
      <c r="D3680" s="120" t="str">
        <f>IFERROR(__xludf.DUMMYFUNCTION("""COMPUTED_VALUE"""),"United States")</f>
        <v>United States</v>
      </c>
      <c r="E3680" s="135"/>
      <c r="F3680" s="31"/>
    </row>
    <row r="3681">
      <c r="A3681" s="134" t="str">
        <f>IFERROR(__xludf.DUMMYFUNCTION("""COMPUTED_VALUE"""),"Jeh")</f>
        <v>Jeh</v>
      </c>
      <c r="B3681" s="120" t="str">
        <f>IFERROR(__xludf.DUMMYFUNCTION("""COMPUTED_VALUE"""),"JEJ")</f>
        <v>JEJ</v>
      </c>
      <c r="C3681" s="120" t="str">
        <f>IFERROR(__xludf.DUMMYFUNCTION("""COMPUTED_VALUE"""),"Jeh")</f>
        <v>Jeh</v>
      </c>
      <c r="D3681" s="120" t="str">
        <f>IFERROR(__xludf.DUMMYFUNCTION("""COMPUTED_VALUE"""),"Marshall Islands")</f>
        <v>Marshall Islands</v>
      </c>
      <c r="E3681" s="135"/>
      <c r="F3681" s="31"/>
    </row>
    <row r="3682">
      <c r="A3682" s="134" t="str">
        <f>IFERROR(__xludf.DUMMYFUNCTION("""COMPUTED_VALUE"""),"Jeju")</f>
        <v>Jeju</v>
      </c>
      <c r="B3682" s="120" t="str">
        <f>IFERROR(__xludf.DUMMYFUNCTION("""COMPUTED_VALUE"""),"JCJ")</f>
        <v>JCJ</v>
      </c>
      <c r="C3682" s="120" t="str">
        <f>IFERROR(__xludf.DUMMYFUNCTION("""COMPUTED_VALUE"""),"Chuja Heliport")</f>
        <v>Chuja Heliport</v>
      </c>
      <c r="D3682" s="120" t="str">
        <f>IFERROR(__xludf.DUMMYFUNCTION("""COMPUTED_VALUE"""),"Korea (South)")</f>
        <v>Korea (South)</v>
      </c>
      <c r="E3682" s="135"/>
      <c r="F3682" s="31"/>
    </row>
    <row r="3683">
      <c r="A3683" s="134" t="str">
        <f>IFERROR(__xludf.DUMMYFUNCTION("""COMPUTED_VALUE"""),"Jeju")</f>
        <v>Jeju</v>
      </c>
      <c r="B3683" s="120" t="str">
        <f>IFERROR(__xludf.DUMMYFUNCTION("""COMPUTED_VALUE"""),"CJU")</f>
        <v>CJU</v>
      </c>
      <c r="C3683" s="120" t="str">
        <f>IFERROR(__xludf.DUMMYFUNCTION("""COMPUTED_VALUE"""),"Jeju Airport")</f>
        <v>Jeju Airport</v>
      </c>
      <c r="D3683" s="120" t="str">
        <f>IFERROR(__xludf.DUMMYFUNCTION("""COMPUTED_VALUE"""),"Korea (South)")</f>
        <v>Korea (South)</v>
      </c>
      <c r="E3683" s="135"/>
      <c r="F3683" s="31"/>
    </row>
    <row r="3684">
      <c r="A3684" s="134" t="str">
        <f>IFERROR(__xludf.DUMMYFUNCTION("""COMPUTED_VALUE"""),"Jeju")</f>
        <v>Jeju</v>
      </c>
      <c r="B3684" s="120" t="str">
        <f>IFERROR(__xludf.DUMMYFUNCTION("""COMPUTED_VALUE"""),"JSP")</f>
        <v>JSP</v>
      </c>
      <c r="C3684" s="120" t="str">
        <f>IFERROR(__xludf.DUMMYFUNCTION("""COMPUTED_VALUE"""),"Seogwipo Heliport")</f>
        <v>Seogwipo Heliport</v>
      </c>
      <c r="D3684" s="120" t="str">
        <f>IFERROR(__xludf.DUMMYFUNCTION("""COMPUTED_VALUE"""),"Korea (South)")</f>
        <v>Korea (South)</v>
      </c>
      <c r="E3684" s="135"/>
      <c r="F3684" s="31"/>
    </row>
    <row r="3685">
      <c r="A3685" s="134" t="str">
        <f>IFERROR(__xludf.DUMMYFUNCTION("""COMPUTED_VALUE"""),"Jena")</f>
        <v>Jena</v>
      </c>
      <c r="B3685" s="120" t="str">
        <f>IFERROR(__xludf.DUMMYFUNCTION("""COMPUTED_VALUE"""),"ZJS")</f>
        <v>ZJS</v>
      </c>
      <c r="C3685" s="120" t="str">
        <f>IFERROR(__xludf.DUMMYFUNCTION("""COMPUTED_VALUE"""),"Jena Railway")</f>
        <v>Jena Railway</v>
      </c>
      <c r="D3685" s="120" t="str">
        <f>IFERROR(__xludf.DUMMYFUNCTION("""COMPUTED_VALUE"""),"Germany")</f>
        <v>Germany</v>
      </c>
      <c r="E3685" s="135"/>
      <c r="F3685" s="31"/>
    </row>
    <row r="3686">
      <c r="A3686" s="134" t="str">
        <f>IFERROR(__xludf.DUMMYFUNCTION("""COMPUTED_VALUE"""),"Jenpeg")</f>
        <v>Jenpeg</v>
      </c>
      <c r="B3686" s="120" t="str">
        <f>IFERROR(__xludf.DUMMYFUNCTION("""COMPUTED_VALUE"""),"ZJG")</f>
        <v>ZJG</v>
      </c>
      <c r="C3686" s="120" t="str">
        <f>IFERROR(__xludf.DUMMYFUNCTION("""COMPUTED_VALUE"""),"Jenpeg")</f>
        <v>Jenpeg</v>
      </c>
      <c r="D3686" s="120" t="str">
        <f>IFERROR(__xludf.DUMMYFUNCTION("""COMPUTED_VALUE"""),"Canada")</f>
        <v>Canada</v>
      </c>
      <c r="E3686" s="135"/>
      <c r="F3686" s="31"/>
    </row>
    <row r="3687">
      <c r="A3687" s="134" t="str">
        <f>IFERROR(__xludf.DUMMYFUNCTION("""COMPUTED_VALUE"""),"Jeonju")</f>
        <v>Jeonju</v>
      </c>
      <c r="B3687" s="120" t="str">
        <f>IFERROR(__xludf.DUMMYFUNCTION("""COMPUTED_VALUE"""),"CHN")</f>
        <v>CHN</v>
      </c>
      <c r="C3687" s="120" t="str">
        <f>IFERROR(__xludf.DUMMYFUNCTION("""COMPUTED_VALUE"""),"Jeonju")</f>
        <v>Jeonju</v>
      </c>
      <c r="D3687" s="120" t="str">
        <f>IFERROR(__xludf.DUMMYFUNCTION("""COMPUTED_VALUE"""),"Korea (South)")</f>
        <v>Korea (South)</v>
      </c>
      <c r="E3687" s="135"/>
      <c r="F3687" s="31"/>
    </row>
    <row r="3688">
      <c r="A3688" s="134" t="str">
        <f>IFERROR(__xludf.DUMMYFUNCTION("""COMPUTED_VALUE"""),"Jequie")</f>
        <v>Jequie</v>
      </c>
      <c r="B3688" s="120" t="str">
        <f>IFERROR(__xludf.DUMMYFUNCTION("""COMPUTED_VALUE"""),"JEQ")</f>
        <v>JEQ</v>
      </c>
      <c r="C3688" s="120" t="str">
        <f>IFERROR(__xludf.DUMMYFUNCTION("""COMPUTED_VALUE"""),"Jequie")</f>
        <v>Jequie</v>
      </c>
      <c r="D3688" s="120" t="str">
        <f>IFERROR(__xludf.DUMMYFUNCTION("""COMPUTED_VALUE"""),"Brazil")</f>
        <v>Brazil</v>
      </c>
      <c r="E3688" s="135"/>
      <c r="F3688" s="31"/>
    </row>
    <row r="3689">
      <c r="A3689" s="134" t="str">
        <f>IFERROR(__xludf.DUMMYFUNCTION("""COMPUTED_VALUE"""),"Jeremie")</f>
        <v>Jeremie</v>
      </c>
      <c r="B3689" s="120" t="str">
        <f>IFERROR(__xludf.DUMMYFUNCTION("""COMPUTED_VALUE"""),"JEE")</f>
        <v>JEE</v>
      </c>
      <c r="C3689" s="120" t="str">
        <f>IFERROR(__xludf.DUMMYFUNCTION("""COMPUTED_VALUE"""),"Jeremie")</f>
        <v>Jeremie</v>
      </c>
      <c r="D3689" s="120" t="str">
        <f>IFERROR(__xludf.DUMMYFUNCTION("""COMPUTED_VALUE"""),"Haiti")</f>
        <v>Haiti</v>
      </c>
      <c r="E3689" s="135"/>
      <c r="F3689" s="31"/>
    </row>
    <row r="3690">
      <c r="A3690" s="134" t="str">
        <f>IFERROR(__xludf.DUMMYFUNCTION("""COMPUTED_VALUE"""),"Jerez De La Frontera")</f>
        <v>Jerez De La Frontera</v>
      </c>
      <c r="B3690" s="120" t="str">
        <f>IFERROR(__xludf.DUMMYFUNCTION("""COMPUTED_VALUE"""),"XRY")</f>
        <v>XRY</v>
      </c>
      <c r="C3690" s="120" t="str">
        <f>IFERROR(__xludf.DUMMYFUNCTION("""COMPUTED_VALUE"""),"Jerez De La Frontera")</f>
        <v>Jerez De La Frontera</v>
      </c>
      <c r="D3690" s="120" t="str">
        <f>IFERROR(__xludf.DUMMYFUNCTION("""COMPUTED_VALUE"""),"Spain")</f>
        <v>Spain</v>
      </c>
      <c r="E3690" s="135"/>
      <c r="F3690" s="31"/>
    </row>
    <row r="3691">
      <c r="A3691" s="134" t="str">
        <f>IFERROR(__xludf.DUMMYFUNCTION("""COMPUTED_VALUE"""),"Jersey")</f>
        <v>Jersey</v>
      </c>
      <c r="B3691" s="120" t="str">
        <f>IFERROR(__xludf.DUMMYFUNCTION("""COMPUTED_VALUE"""),"JER")</f>
        <v>JER</v>
      </c>
      <c r="C3691" s="120" t="str">
        <f>IFERROR(__xludf.DUMMYFUNCTION("""COMPUTED_VALUE"""),"States")</f>
        <v>States</v>
      </c>
      <c r="D3691" s="120" t="str">
        <f>IFERROR(__xludf.DUMMYFUNCTION("""COMPUTED_VALUE"""),"United Kingdom")</f>
        <v>United Kingdom</v>
      </c>
      <c r="E3691" s="135"/>
      <c r="F3691" s="31"/>
    </row>
    <row r="3692">
      <c r="A3692" s="134" t="str">
        <f>IFERROR(__xludf.DUMMYFUNCTION("""COMPUTED_VALUE"""),"Jerusalem")</f>
        <v>Jerusalem</v>
      </c>
      <c r="B3692" s="120" t="str">
        <f>IFERROR(__xludf.DUMMYFUNCTION("""COMPUTED_VALUE"""),"JRS")</f>
        <v>JRS</v>
      </c>
      <c r="C3692" s="120" t="str">
        <f>IFERROR(__xludf.DUMMYFUNCTION("""COMPUTED_VALUE"""),"Jerusalem")</f>
        <v>Jerusalem</v>
      </c>
      <c r="D3692" s="120" t="str">
        <f>IFERROR(__xludf.DUMMYFUNCTION("""COMPUTED_VALUE"""),"Israel")</f>
        <v>Israel</v>
      </c>
      <c r="E3692" s="135"/>
      <c r="F3692" s="31"/>
    </row>
    <row r="3693">
      <c r="A3693" s="134" t="str">
        <f>IFERROR(__xludf.DUMMYFUNCTION("""COMPUTED_VALUE"""),"Jesolo")</f>
        <v>Jesolo</v>
      </c>
      <c r="B3693" s="120" t="str">
        <f>IFERROR(__xludf.DUMMYFUNCTION("""COMPUTED_VALUE"""),"JLO")</f>
        <v>JLO</v>
      </c>
      <c r="C3693" s="120" t="str">
        <f>IFERROR(__xludf.DUMMYFUNCTION("""COMPUTED_VALUE"""),"Jesolo")</f>
        <v>Jesolo</v>
      </c>
      <c r="D3693" s="120" t="str">
        <f>IFERROR(__xludf.DUMMYFUNCTION("""COMPUTED_VALUE"""),"Italy")</f>
        <v>Italy</v>
      </c>
      <c r="E3693" s="135"/>
      <c r="F3693" s="31"/>
    </row>
    <row r="3694">
      <c r="A3694" s="134" t="str">
        <f>IFERROR(__xludf.DUMMYFUNCTION("""COMPUTED_VALUE"""),"Jessore")</f>
        <v>Jessore</v>
      </c>
      <c r="B3694" s="120" t="str">
        <f>IFERROR(__xludf.DUMMYFUNCTION("""COMPUTED_VALUE"""),"JSR")</f>
        <v>JSR</v>
      </c>
      <c r="C3694" s="120" t="str">
        <f>IFERROR(__xludf.DUMMYFUNCTION("""COMPUTED_VALUE"""),"Jessore")</f>
        <v>Jessore</v>
      </c>
      <c r="D3694" s="120" t="str">
        <f>IFERROR(__xludf.DUMMYFUNCTION("""COMPUTED_VALUE"""),"Bangladesh")</f>
        <v>Bangladesh</v>
      </c>
      <c r="E3694" s="135"/>
      <c r="F3694" s="31"/>
    </row>
    <row r="3695">
      <c r="A3695" s="134" t="str">
        <f>IFERROR(__xludf.DUMMYFUNCTION("""COMPUTED_VALUE"""),"Jeypore")</f>
        <v>Jeypore</v>
      </c>
      <c r="B3695" s="120" t="str">
        <f>IFERROR(__xludf.DUMMYFUNCTION("""COMPUTED_VALUE"""),"PYB")</f>
        <v>PYB</v>
      </c>
      <c r="C3695" s="120" t="str">
        <f>IFERROR(__xludf.DUMMYFUNCTION("""COMPUTED_VALUE"""),"Jeypore")</f>
        <v>Jeypore</v>
      </c>
      <c r="D3695" s="120" t="str">
        <f>IFERROR(__xludf.DUMMYFUNCTION("""COMPUTED_VALUE"""),"India")</f>
        <v>India</v>
      </c>
      <c r="E3695" s="135"/>
      <c r="F3695" s="31"/>
    </row>
    <row r="3696">
      <c r="A3696" s="134" t="str">
        <f>IFERROR(__xludf.DUMMYFUNCTION("""COMPUTED_VALUE"""),"Ji An")</f>
        <v>Ji An</v>
      </c>
      <c r="B3696" s="120" t="str">
        <f>IFERROR(__xludf.DUMMYFUNCTION("""COMPUTED_VALUE"""),"JGS")</f>
        <v>JGS</v>
      </c>
      <c r="C3696" s="120" t="str">
        <f>IFERROR(__xludf.DUMMYFUNCTION("""COMPUTED_VALUE"""),"Ji An/Jing Gang Shan")</f>
        <v>Ji An/Jing Gang Shan</v>
      </c>
      <c r="D3696" s="120" t="str">
        <f>IFERROR(__xludf.DUMMYFUNCTION("""COMPUTED_VALUE"""),"China")</f>
        <v>China</v>
      </c>
      <c r="E3696" s="135"/>
      <c r="F3696" s="31"/>
    </row>
    <row r="3697">
      <c r="A3697" s="134" t="str">
        <f>IFERROR(__xludf.DUMMYFUNCTION("""COMPUTED_VALUE"""),"Jiamusi")</f>
        <v>Jiamusi</v>
      </c>
      <c r="B3697" s="120" t="str">
        <f>IFERROR(__xludf.DUMMYFUNCTION("""COMPUTED_VALUE"""),"JMU")</f>
        <v>JMU</v>
      </c>
      <c r="C3697" s="120" t="str">
        <f>IFERROR(__xludf.DUMMYFUNCTION("""COMPUTED_VALUE"""),"Jiamusi")</f>
        <v>Jiamusi</v>
      </c>
      <c r="D3697" s="120" t="str">
        <f>IFERROR(__xludf.DUMMYFUNCTION("""COMPUTED_VALUE"""),"China")</f>
        <v>China</v>
      </c>
      <c r="E3697" s="135"/>
      <c r="F3697" s="31"/>
    </row>
    <row r="3698">
      <c r="A3698" s="134" t="str">
        <f>IFERROR(__xludf.DUMMYFUNCTION("""COMPUTED_VALUE"""),"Jiang Men")</f>
        <v>Jiang Men</v>
      </c>
      <c r="B3698" s="120" t="str">
        <f>IFERROR(__xludf.DUMMYFUNCTION("""COMPUTED_VALUE"""),"ZBD")</f>
        <v>ZBD</v>
      </c>
      <c r="C3698" s="120" t="str">
        <f>IFERROR(__xludf.DUMMYFUNCTION("""COMPUTED_VALUE"""),"Jiang Men Ferry")</f>
        <v>Jiang Men Ferry</v>
      </c>
      <c r="D3698" s="120" t="str">
        <f>IFERROR(__xludf.DUMMYFUNCTION("""COMPUTED_VALUE"""),"China")</f>
        <v>China</v>
      </c>
      <c r="E3698" s="135"/>
      <c r="F3698" s="31"/>
    </row>
    <row r="3699">
      <c r="A3699" s="134" t="str">
        <f>IFERROR(__xludf.DUMMYFUNCTION("""COMPUTED_VALUE"""),"Jiayuguan")</f>
        <v>Jiayuguan</v>
      </c>
      <c r="B3699" s="120" t="str">
        <f>IFERROR(__xludf.DUMMYFUNCTION("""COMPUTED_VALUE"""),"JGN")</f>
        <v>JGN</v>
      </c>
      <c r="C3699" s="120" t="str">
        <f>IFERROR(__xludf.DUMMYFUNCTION("""COMPUTED_VALUE"""),"Jiayuguan")</f>
        <v>Jiayuguan</v>
      </c>
      <c r="D3699" s="120" t="str">
        <f>IFERROR(__xludf.DUMMYFUNCTION("""COMPUTED_VALUE"""),"China")</f>
        <v>China</v>
      </c>
      <c r="E3699" s="135"/>
      <c r="F3699" s="31"/>
    </row>
    <row r="3700">
      <c r="A3700" s="134" t="str">
        <f>IFERROR(__xludf.DUMMYFUNCTION("""COMPUTED_VALUE"""),"Jijel")</f>
        <v>Jijel</v>
      </c>
      <c r="B3700" s="120" t="str">
        <f>IFERROR(__xludf.DUMMYFUNCTION("""COMPUTED_VALUE"""),"GJL")</f>
        <v>GJL</v>
      </c>
      <c r="C3700" s="120" t="str">
        <f>IFERROR(__xludf.DUMMYFUNCTION("""COMPUTED_VALUE"""),"Jijel")</f>
        <v>Jijel</v>
      </c>
      <c r="D3700" s="120" t="str">
        <f>IFERROR(__xludf.DUMMYFUNCTION("""COMPUTED_VALUE"""),"Algeria")</f>
        <v>Algeria</v>
      </c>
      <c r="E3700" s="135"/>
      <c r="F3700" s="31"/>
    </row>
    <row r="3701">
      <c r="A3701" s="134" t="str">
        <f>IFERROR(__xludf.DUMMYFUNCTION("""COMPUTED_VALUE"""),"Jijiga")</f>
        <v>Jijiga</v>
      </c>
      <c r="B3701" s="120" t="str">
        <f>IFERROR(__xludf.DUMMYFUNCTION("""COMPUTED_VALUE"""),"JIJ")</f>
        <v>JIJ</v>
      </c>
      <c r="C3701" s="120" t="str">
        <f>IFERROR(__xludf.DUMMYFUNCTION("""COMPUTED_VALUE"""),"Jigiga")</f>
        <v>Jigiga</v>
      </c>
      <c r="D3701" s="120" t="str">
        <f>IFERROR(__xludf.DUMMYFUNCTION("""COMPUTED_VALUE"""),"Ethiopia")</f>
        <v>Ethiopia</v>
      </c>
      <c r="E3701" s="135"/>
      <c r="F3701" s="31"/>
    </row>
    <row r="3702">
      <c r="A3702" s="134" t="str">
        <f>IFERROR(__xludf.DUMMYFUNCTION("""COMPUTED_VALUE"""),"Jilin")</f>
        <v>Jilin</v>
      </c>
      <c r="B3702" s="120" t="str">
        <f>IFERROR(__xludf.DUMMYFUNCTION("""COMPUTED_VALUE"""),"JIL")</f>
        <v>JIL</v>
      </c>
      <c r="C3702" s="120" t="str">
        <f>IFERROR(__xludf.DUMMYFUNCTION("""COMPUTED_VALUE"""),"Jilin")</f>
        <v>Jilin</v>
      </c>
      <c r="D3702" s="120" t="str">
        <f>IFERROR(__xludf.DUMMYFUNCTION("""COMPUTED_VALUE"""),"China")</f>
        <v>China</v>
      </c>
      <c r="E3702" s="135"/>
      <c r="F3702" s="31"/>
    </row>
    <row r="3703">
      <c r="A3703" s="134" t="str">
        <f>IFERROR(__xludf.DUMMYFUNCTION("""COMPUTED_VALUE"""),"Jimma")</f>
        <v>Jimma</v>
      </c>
      <c r="B3703" s="120" t="str">
        <f>IFERROR(__xludf.DUMMYFUNCTION("""COMPUTED_VALUE"""),"JIM")</f>
        <v>JIM</v>
      </c>
      <c r="C3703" s="120" t="str">
        <f>IFERROR(__xludf.DUMMYFUNCTION("""COMPUTED_VALUE"""),"Jimma")</f>
        <v>Jimma</v>
      </c>
      <c r="D3703" s="120" t="str">
        <f>IFERROR(__xludf.DUMMYFUNCTION("""COMPUTED_VALUE"""),"Ethiopia")</f>
        <v>Ethiopia</v>
      </c>
      <c r="E3703" s="135"/>
      <c r="F3703" s="31"/>
    </row>
    <row r="3704">
      <c r="A3704" s="134" t="str">
        <f>IFERROR(__xludf.DUMMYFUNCTION("""COMPUTED_VALUE"""),"Jinan")</f>
        <v>Jinan</v>
      </c>
      <c r="B3704" s="120" t="str">
        <f>IFERROR(__xludf.DUMMYFUNCTION("""COMPUTED_VALUE"""),"TNA")</f>
        <v>TNA</v>
      </c>
      <c r="C3704" s="120" t="str">
        <f>IFERROR(__xludf.DUMMYFUNCTION("""COMPUTED_VALUE"""),"Jinan")</f>
        <v>Jinan</v>
      </c>
      <c r="D3704" s="120" t="str">
        <f>IFERROR(__xludf.DUMMYFUNCTION("""COMPUTED_VALUE"""),"China")</f>
        <v>China</v>
      </c>
      <c r="E3704" s="135"/>
      <c r="F3704" s="31"/>
    </row>
    <row r="3705">
      <c r="A3705" s="134" t="str">
        <f>IFERROR(__xludf.DUMMYFUNCTION("""COMPUTED_VALUE"""),"Jingdezhen")</f>
        <v>Jingdezhen</v>
      </c>
      <c r="B3705" s="120" t="str">
        <f>IFERROR(__xludf.DUMMYFUNCTION("""COMPUTED_VALUE"""),"JDZ")</f>
        <v>JDZ</v>
      </c>
      <c r="C3705" s="120" t="str">
        <f>IFERROR(__xludf.DUMMYFUNCTION("""COMPUTED_VALUE"""),"Jingdezhen")</f>
        <v>Jingdezhen</v>
      </c>
      <c r="D3705" s="120" t="str">
        <f>IFERROR(__xludf.DUMMYFUNCTION("""COMPUTED_VALUE"""),"China")</f>
        <v>China</v>
      </c>
      <c r="E3705" s="135"/>
      <c r="F3705" s="31"/>
    </row>
    <row r="3706">
      <c r="A3706" s="134" t="str">
        <f>IFERROR(__xludf.DUMMYFUNCTION("""COMPUTED_VALUE"""),"Jinghong")</f>
        <v>Jinghong</v>
      </c>
      <c r="B3706" s="120" t="str">
        <f>IFERROR(__xludf.DUMMYFUNCTION("""COMPUTED_VALUE"""),"JHG")</f>
        <v>JHG</v>
      </c>
      <c r="C3706" s="120" t="str">
        <f>IFERROR(__xludf.DUMMYFUNCTION("""COMPUTED_VALUE"""),"Gasa")</f>
        <v>Gasa</v>
      </c>
      <c r="D3706" s="120" t="str">
        <f>IFERROR(__xludf.DUMMYFUNCTION("""COMPUTED_VALUE"""),"China")</f>
        <v>China</v>
      </c>
      <c r="E3706" s="135"/>
      <c r="F3706" s="31"/>
    </row>
    <row r="3707">
      <c r="A3707" s="134" t="str">
        <f>IFERROR(__xludf.DUMMYFUNCTION("""COMPUTED_VALUE"""),"Jinhae")</f>
        <v>Jinhae</v>
      </c>
      <c r="B3707" s="120" t="str">
        <f>IFERROR(__xludf.DUMMYFUNCTION("""COMPUTED_VALUE"""),"CHF")</f>
        <v>CHF</v>
      </c>
      <c r="C3707" s="120" t="str">
        <f>IFERROR(__xludf.DUMMYFUNCTION("""COMPUTED_VALUE"""),"Jinhae")</f>
        <v>Jinhae</v>
      </c>
      <c r="D3707" s="120" t="str">
        <f>IFERROR(__xludf.DUMMYFUNCTION("""COMPUTED_VALUE"""),"Korea (South)")</f>
        <v>Korea (South)</v>
      </c>
      <c r="E3707" s="135"/>
      <c r="F3707" s="31"/>
    </row>
    <row r="3708">
      <c r="A3708" s="134" t="str">
        <f>IFERROR(__xludf.DUMMYFUNCTION("""COMPUTED_VALUE"""),"Jining")</f>
        <v>Jining</v>
      </c>
      <c r="B3708" s="120" t="str">
        <f>IFERROR(__xludf.DUMMYFUNCTION("""COMPUTED_VALUE"""),"JNG")</f>
        <v>JNG</v>
      </c>
      <c r="C3708" s="120" t="str">
        <f>IFERROR(__xludf.DUMMYFUNCTION("""COMPUTED_VALUE"""),"Jining")</f>
        <v>Jining</v>
      </c>
      <c r="D3708" s="120" t="str">
        <f>IFERROR(__xludf.DUMMYFUNCTION("""COMPUTED_VALUE"""),"China")</f>
        <v>China</v>
      </c>
      <c r="E3708" s="135"/>
      <c r="F3708" s="31"/>
    </row>
    <row r="3709">
      <c r="A3709" s="134" t="str">
        <f>IFERROR(__xludf.DUMMYFUNCTION("""COMPUTED_VALUE"""),"Jinja")</f>
        <v>Jinja</v>
      </c>
      <c r="B3709" s="120" t="str">
        <f>IFERROR(__xludf.DUMMYFUNCTION("""COMPUTED_VALUE"""),"JIN")</f>
        <v>JIN</v>
      </c>
      <c r="C3709" s="120" t="str">
        <f>IFERROR(__xludf.DUMMYFUNCTION("""COMPUTED_VALUE"""),"Jinja")</f>
        <v>Jinja</v>
      </c>
      <c r="D3709" s="120" t="str">
        <f>IFERROR(__xludf.DUMMYFUNCTION("""COMPUTED_VALUE"""),"Uganda")</f>
        <v>Uganda</v>
      </c>
      <c r="E3709" s="135"/>
      <c r="F3709" s="31"/>
    </row>
    <row r="3710">
      <c r="A3710" s="134" t="str">
        <f>IFERROR(__xludf.DUMMYFUNCTION("""COMPUTED_VALUE"""),"Jinjiang")</f>
        <v>Jinjiang</v>
      </c>
      <c r="B3710" s="120" t="str">
        <f>IFERROR(__xludf.DUMMYFUNCTION("""COMPUTED_VALUE"""),"JJN")</f>
        <v>JJN</v>
      </c>
      <c r="C3710" s="120" t="str">
        <f>IFERROR(__xludf.DUMMYFUNCTION("""COMPUTED_VALUE"""),"Jinjiang")</f>
        <v>Jinjiang</v>
      </c>
      <c r="D3710" s="120" t="str">
        <f>IFERROR(__xludf.DUMMYFUNCTION("""COMPUTED_VALUE"""),"China")</f>
        <v>China</v>
      </c>
      <c r="E3710" s="135"/>
      <c r="F3710" s="31"/>
    </row>
    <row r="3711">
      <c r="A3711" s="134" t="str">
        <f>IFERROR(__xludf.DUMMYFUNCTION("""COMPUTED_VALUE"""),"Jinju")</f>
        <v>Jinju</v>
      </c>
      <c r="B3711" s="120" t="str">
        <f>IFERROR(__xludf.DUMMYFUNCTION("""COMPUTED_VALUE"""),"HIN")</f>
        <v>HIN</v>
      </c>
      <c r="C3711" s="120" t="str">
        <f>IFERROR(__xludf.DUMMYFUNCTION("""COMPUTED_VALUE"""),"Sacheon")</f>
        <v>Sacheon</v>
      </c>
      <c r="D3711" s="120" t="str">
        <f>IFERROR(__xludf.DUMMYFUNCTION("""COMPUTED_VALUE"""),"Korea (South)")</f>
        <v>Korea (South)</v>
      </c>
      <c r="E3711" s="135"/>
      <c r="F3711" s="31"/>
    </row>
    <row r="3712">
      <c r="A3712" s="134" t="str">
        <f>IFERROR(__xludf.DUMMYFUNCTION("""COMPUTED_VALUE"""),"Jinka")</f>
        <v>Jinka</v>
      </c>
      <c r="B3712" s="120" t="str">
        <f>IFERROR(__xludf.DUMMYFUNCTION("""COMPUTED_VALUE"""),"BCO")</f>
        <v>BCO</v>
      </c>
      <c r="C3712" s="120" t="str">
        <f>IFERROR(__xludf.DUMMYFUNCTION("""COMPUTED_VALUE"""),"Jinka")</f>
        <v>Jinka</v>
      </c>
      <c r="D3712" s="120" t="str">
        <f>IFERROR(__xludf.DUMMYFUNCTION("""COMPUTED_VALUE"""),"Ethiopia")</f>
        <v>Ethiopia</v>
      </c>
      <c r="E3712" s="135"/>
      <c r="F3712" s="31"/>
    </row>
    <row r="3713">
      <c r="A3713" s="134" t="str">
        <f>IFERROR(__xludf.DUMMYFUNCTION("""COMPUTED_VALUE"""),"Jinzhou")</f>
        <v>Jinzhou</v>
      </c>
      <c r="B3713" s="120" t="str">
        <f>IFERROR(__xludf.DUMMYFUNCTION("""COMPUTED_VALUE"""),"JNZ")</f>
        <v>JNZ</v>
      </c>
      <c r="C3713" s="120" t="str">
        <f>IFERROR(__xludf.DUMMYFUNCTION("""COMPUTED_VALUE"""),"Jinzhou")</f>
        <v>Jinzhou</v>
      </c>
      <c r="D3713" s="120" t="str">
        <f>IFERROR(__xludf.DUMMYFUNCTION("""COMPUTED_VALUE"""),"China")</f>
        <v>China</v>
      </c>
      <c r="E3713" s="135"/>
      <c r="F3713" s="31"/>
    </row>
    <row r="3714">
      <c r="A3714" s="134" t="str">
        <f>IFERROR(__xludf.DUMMYFUNCTION("""COMPUTED_VALUE"""),"Ji-Parana")</f>
        <v>Ji-Parana</v>
      </c>
      <c r="B3714" s="120" t="str">
        <f>IFERROR(__xludf.DUMMYFUNCTION("""COMPUTED_VALUE"""),"JPR")</f>
        <v>JPR</v>
      </c>
      <c r="C3714" s="120" t="str">
        <f>IFERROR(__xludf.DUMMYFUNCTION("""COMPUTED_VALUE"""),"Ji-Parana")</f>
        <v>Ji-Parana</v>
      </c>
      <c r="D3714" s="120" t="str">
        <f>IFERROR(__xludf.DUMMYFUNCTION("""COMPUTED_VALUE"""),"Brazil")</f>
        <v>Brazil</v>
      </c>
      <c r="E3714" s="135"/>
      <c r="F3714" s="31"/>
    </row>
    <row r="3715">
      <c r="A3715" s="134" t="str">
        <f>IFERROR(__xludf.DUMMYFUNCTION("""COMPUTED_VALUE"""),"Jipijapa")</f>
        <v>Jipijapa</v>
      </c>
      <c r="B3715" s="120" t="str">
        <f>IFERROR(__xludf.DUMMYFUNCTION("""COMPUTED_VALUE"""),"JIP")</f>
        <v>JIP</v>
      </c>
      <c r="C3715" s="120" t="str">
        <f>IFERROR(__xludf.DUMMYFUNCTION("""COMPUTED_VALUE"""),"Jipijapa")</f>
        <v>Jipijapa</v>
      </c>
      <c r="D3715" s="120" t="str">
        <f>IFERROR(__xludf.DUMMYFUNCTION("""COMPUTED_VALUE"""),"Ecuador")</f>
        <v>Ecuador</v>
      </c>
      <c r="E3715" s="135"/>
      <c r="F3715" s="31"/>
    </row>
    <row r="3716">
      <c r="A3716" s="134" t="str">
        <f>IFERROR(__xludf.DUMMYFUNCTION("""COMPUTED_VALUE"""),"Jiri")</f>
        <v>Jiri</v>
      </c>
      <c r="B3716" s="120" t="str">
        <f>IFERROR(__xludf.DUMMYFUNCTION("""COMPUTED_VALUE"""),"JIR")</f>
        <v>JIR</v>
      </c>
      <c r="C3716" s="120" t="str">
        <f>IFERROR(__xludf.DUMMYFUNCTION("""COMPUTED_VALUE"""),"Jiri")</f>
        <v>Jiri</v>
      </c>
      <c r="D3716" s="120" t="str">
        <f>IFERROR(__xludf.DUMMYFUNCTION("""COMPUTED_VALUE"""),"Nepal")</f>
        <v>Nepal</v>
      </c>
      <c r="E3716" s="135"/>
      <c r="F3716" s="31"/>
    </row>
    <row r="3717">
      <c r="A3717" s="134" t="str">
        <f>IFERROR(__xludf.DUMMYFUNCTION("""COMPUTED_VALUE"""),"Jiroft")</f>
        <v>Jiroft</v>
      </c>
      <c r="B3717" s="120" t="str">
        <f>IFERROR(__xludf.DUMMYFUNCTION("""COMPUTED_VALUE"""),"JYR")</f>
        <v>JYR</v>
      </c>
      <c r="C3717" s="120" t="str">
        <f>IFERROR(__xludf.DUMMYFUNCTION("""COMPUTED_VALUE"""),"Jiroft")</f>
        <v>Jiroft</v>
      </c>
      <c r="D3717" s="120" t="str">
        <f>IFERROR(__xludf.DUMMYFUNCTION("""COMPUTED_VALUE"""),"Iran")</f>
        <v>Iran</v>
      </c>
      <c r="E3717" s="135"/>
      <c r="F3717" s="31"/>
    </row>
    <row r="3718">
      <c r="A3718" s="134" t="str">
        <f>IFERROR(__xludf.DUMMYFUNCTION("""COMPUTED_VALUE"""),"Jiujiang")</f>
        <v>Jiujiang</v>
      </c>
      <c r="B3718" s="120" t="str">
        <f>IFERROR(__xludf.DUMMYFUNCTION("""COMPUTED_VALUE"""),"JIU")</f>
        <v>JIU</v>
      </c>
      <c r="C3718" s="120" t="str">
        <f>IFERROR(__xludf.DUMMYFUNCTION("""COMPUTED_VALUE"""),"Jiujiang")</f>
        <v>Jiujiang</v>
      </c>
      <c r="D3718" s="120" t="str">
        <f>IFERROR(__xludf.DUMMYFUNCTION("""COMPUTED_VALUE"""),"China")</f>
        <v>China</v>
      </c>
      <c r="E3718" s="135"/>
      <c r="F3718" s="31"/>
    </row>
    <row r="3719">
      <c r="A3719" s="134" t="str">
        <f>IFERROR(__xludf.DUMMYFUNCTION("""COMPUTED_VALUE"""),"Jiuquan")</f>
        <v>Jiuquan</v>
      </c>
      <c r="B3719" s="120" t="str">
        <f>IFERROR(__xludf.DUMMYFUNCTION("""COMPUTED_VALUE"""),"CHW")</f>
        <v>CHW</v>
      </c>
      <c r="C3719" s="120" t="str">
        <f>IFERROR(__xludf.DUMMYFUNCTION("""COMPUTED_VALUE"""),"Jiuquan")</f>
        <v>Jiuquan</v>
      </c>
      <c r="D3719" s="120" t="str">
        <f>IFERROR(__xludf.DUMMYFUNCTION("""COMPUTED_VALUE"""),"China")</f>
        <v>China</v>
      </c>
      <c r="E3719" s="135"/>
      <c r="F3719" s="31"/>
    </row>
    <row r="3720">
      <c r="A3720" s="134" t="str">
        <f>IFERROR(__xludf.DUMMYFUNCTION("""COMPUTED_VALUE"""),"Jiwani")</f>
        <v>Jiwani</v>
      </c>
      <c r="B3720" s="120" t="str">
        <f>IFERROR(__xludf.DUMMYFUNCTION("""COMPUTED_VALUE"""),"JIW")</f>
        <v>JIW</v>
      </c>
      <c r="C3720" s="120" t="str">
        <f>IFERROR(__xludf.DUMMYFUNCTION("""COMPUTED_VALUE"""),"Jiwani")</f>
        <v>Jiwani</v>
      </c>
      <c r="D3720" s="120" t="str">
        <f>IFERROR(__xludf.DUMMYFUNCTION("""COMPUTED_VALUE"""),"Pakistan")</f>
        <v>Pakistan</v>
      </c>
      <c r="E3720" s="135"/>
      <c r="F3720" s="31"/>
    </row>
    <row r="3721">
      <c r="A3721" s="134" t="str">
        <f>IFERROR(__xludf.DUMMYFUNCTION("""COMPUTED_VALUE"""),"Joacaba")</f>
        <v>Joacaba</v>
      </c>
      <c r="B3721" s="120" t="str">
        <f>IFERROR(__xludf.DUMMYFUNCTION("""COMPUTED_VALUE"""),"JCB")</f>
        <v>JCB</v>
      </c>
      <c r="C3721" s="120" t="str">
        <f>IFERROR(__xludf.DUMMYFUNCTION("""COMPUTED_VALUE"""),"Joacaba")</f>
        <v>Joacaba</v>
      </c>
      <c r="D3721" s="120" t="str">
        <f>IFERROR(__xludf.DUMMYFUNCTION("""COMPUTED_VALUE"""),"Brazil")</f>
        <v>Brazil</v>
      </c>
      <c r="E3721" s="135"/>
      <c r="F3721" s="31"/>
    </row>
    <row r="3722">
      <c r="A3722" s="134" t="str">
        <f>IFERROR(__xludf.DUMMYFUNCTION("""COMPUTED_VALUE"""),"Joao Pessoa")</f>
        <v>Joao Pessoa</v>
      </c>
      <c r="B3722" s="120" t="str">
        <f>IFERROR(__xludf.DUMMYFUNCTION("""COMPUTED_VALUE"""),"JPA")</f>
        <v>JPA</v>
      </c>
      <c r="C3722" s="120" t="str">
        <f>IFERROR(__xludf.DUMMYFUNCTION("""COMPUTED_VALUE"""),"Castro Pinto")</f>
        <v>Castro Pinto</v>
      </c>
      <c r="D3722" s="120" t="str">
        <f>IFERROR(__xludf.DUMMYFUNCTION("""COMPUTED_VALUE"""),"Brazil")</f>
        <v>Brazil</v>
      </c>
      <c r="E3722" s="135"/>
      <c r="F3722" s="31"/>
    </row>
    <row r="3723">
      <c r="A3723" s="134" t="str">
        <f>IFERROR(__xludf.DUMMYFUNCTION("""COMPUTED_VALUE"""),"Jodhpur")</f>
        <v>Jodhpur</v>
      </c>
      <c r="B3723" s="120" t="str">
        <f>IFERROR(__xludf.DUMMYFUNCTION("""COMPUTED_VALUE"""),"JDH")</f>
        <v>JDH</v>
      </c>
      <c r="C3723" s="120" t="str">
        <f>IFERROR(__xludf.DUMMYFUNCTION("""COMPUTED_VALUE"""),"Jodhpur")</f>
        <v>Jodhpur</v>
      </c>
      <c r="D3723" s="120" t="str">
        <f>IFERROR(__xludf.DUMMYFUNCTION("""COMPUTED_VALUE"""),"India")</f>
        <v>India</v>
      </c>
      <c r="E3723" s="135"/>
      <c r="F3723" s="31"/>
    </row>
    <row r="3724">
      <c r="A3724" s="134" t="str">
        <f>IFERROR(__xludf.DUMMYFUNCTION("""COMPUTED_VALUE"""),"Joensuu")</f>
        <v>Joensuu</v>
      </c>
      <c r="B3724" s="120" t="str">
        <f>IFERROR(__xludf.DUMMYFUNCTION("""COMPUTED_VALUE"""),"JOE")</f>
        <v>JOE</v>
      </c>
      <c r="C3724" s="120" t="str">
        <f>IFERROR(__xludf.DUMMYFUNCTION("""COMPUTED_VALUE"""),"Joensuu")</f>
        <v>Joensuu</v>
      </c>
      <c r="D3724" s="120" t="str">
        <f>IFERROR(__xludf.DUMMYFUNCTION("""COMPUTED_VALUE"""),"Finland")</f>
        <v>Finland</v>
      </c>
      <c r="E3724" s="135"/>
      <c r="F3724" s="31"/>
    </row>
    <row r="3725">
      <c r="A3725" s="134" t="str">
        <f>IFERROR(__xludf.DUMMYFUNCTION("""COMPUTED_VALUE"""),"Johannesburg")</f>
        <v>Johannesburg</v>
      </c>
      <c r="B3725" s="120" t="str">
        <f>IFERROR(__xludf.DUMMYFUNCTION("""COMPUTED_VALUE"""),"GCJ")</f>
        <v>GCJ</v>
      </c>
      <c r="C3725" s="120" t="str">
        <f>IFERROR(__xludf.DUMMYFUNCTION("""COMPUTED_VALUE"""),"International")</f>
        <v>International</v>
      </c>
      <c r="D3725" s="120" t="str">
        <f>IFERROR(__xludf.DUMMYFUNCTION("""COMPUTED_VALUE"""),"South Africa")</f>
        <v>South Africa</v>
      </c>
      <c r="E3725" s="135"/>
      <c r="F3725" s="31"/>
    </row>
    <row r="3726">
      <c r="A3726" s="134" t="str">
        <f>IFERROR(__xludf.DUMMYFUNCTION("""COMPUTED_VALUE"""),"Johannesburg")</f>
        <v>Johannesburg</v>
      </c>
      <c r="B3726" s="120" t="str">
        <f>IFERROR(__xludf.DUMMYFUNCTION("""COMPUTED_VALUE"""),"HCS")</f>
        <v>HCS</v>
      </c>
      <c r="C3726" s="120" t="str">
        <f>IFERROR(__xludf.DUMMYFUNCTION("""COMPUTED_VALUE"""),"Randburg Heliport")</f>
        <v>Randburg Heliport</v>
      </c>
      <c r="D3726" s="120" t="str">
        <f>IFERROR(__xludf.DUMMYFUNCTION("""COMPUTED_VALUE"""),"South Africa")</f>
        <v>South Africa</v>
      </c>
      <c r="E3726" s="135"/>
      <c r="F3726" s="31"/>
    </row>
    <row r="3727">
      <c r="A3727" s="134" t="str">
        <f>IFERROR(__xludf.DUMMYFUNCTION("""COMPUTED_VALUE"""),"Johannesburg")</f>
        <v>Johannesburg</v>
      </c>
      <c r="B3727" s="120" t="str">
        <f>IFERROR(__xludf.DUMMYFUNCTION("""COMPUTED_VALUE"""),"QRA")</f>
        <v>QRA</v>
      </c>
      <c r="C3727" s="120" t="str">
        <f>IFERROR(__xludf.DUMMYFUNCTION("""COMPUTED_VALUE"""),"Randgermiston")</f>
        <v>Randgermiston</v>
      </c>
      <c r="D3727" s="120" t="str">
        <f>IFERROR(__xludf.DUMMYFUNCTION("""COMPUTED_VALUE"""),"South Africa")</f>
        <v>South Africa</v>
      </c>
      <c r="E3727" s="135"/>
      <c r="F3727" s="31"/>
    </row>
    <row r="3728">
      <c r="A3728" s="134" t="str">
        <f>IFERROR(__xludf.DUMMYFUNCTION("""COMPUTED_VALUE"""),"John Day")</f>
        <v>John Day</v>
      </c>
      <c r="B3728" s="120" t="str">
        <f>IFERROR(__xludf.DUMMYFUNCTION("""COMPUTED_VALUE"""),"JDA")</f>
        <v>JDA</v>
      </c>
      <c r="C3728" s="120" t="str">
        <f>IFERROR(__xludf.DUMMYFUNCTION("""COMPUTED_VALUE"""),"John Day")</f>
        <v>John Day</v>
      </c>
      <c r="D3728" s="120" t="str">
        <f>IFERROR(__xludf.DUMMYFUNCTION("""COMPUTED_VALUE"""),"United States")</f>
        <v>United States</v>
      </c>
      <c r="E3728" s="135"/>
      <c r="F3728" s="31"/>
    </row>
    <row r="3729">
      <c r="A3729" s="134" t="str">
        <f>IFERROR(__xludf.DUMMYFUNCTION("""COMPUTED_VALUE"""),"Johnny Mountain")</f>
        <v>Johnny Mountain</v>
      </c>
      <c r="B3729" s="120" t="str">
        <f>IFERROR(__xludf.DUMMYFUNCTION("""COMPUTED_VALUE"""),"YJO")</f>
        <v>YJO</v>
      </c>
      <c r="C3729" s="120" t="str">
        <f>IFERROR(__xludf.DUMMYFUNCTION("""COMPUTED_VALUE"""),"Johnny Mountain")</f>
        <v>Johnny Mountain</v>
      </c>
      <c r="D3729" s="120" t="str">
        <f>IFERROR(__xludf.DUMMYFUNCTION("""COMPUTED_VALUE"""),"Canada")</f>
        <v>Canada</v>
      </c>
      <c r="E3729" s="135"/>
      <c r="F3729" s="31"/>
    </row>
    <row r="3730">
      <c r="A3730" s="134" t="str">
        <f>IFERROR(__xludf.DUMMYFUNCTION("""COMPUTED_VALUE"""),"Johnson")</f>
        <v>Johnson</v>
      </c>
      <c r="B3730" s="120" t="str">
        <f>IFERROR(__xludf.DUMMYFUNCTION("""COMPUTED_VALUE"""),"JCY")</f>
        <v>JCY</v>
      </c>
      <c r="C3730" s="120" t="str">
        <f>IFERROR(__xludf.DUMMYFUNCTION("""COMPUTED_VALUE"""),"Johnson")</f>
        <v>Johnson</v>
      </c>
      <c r="D3730" s="120" t="str">
        <f>IFERROR(__xludf.DUMMYFUNCTION("""COMPUTED_VALUE"""),"United States")</f>
        <v>United States</v>
      </c>
      <c r="E3730" s="135"/>
      <c r="F3730" s="31"/>
    </row>
    <row r="3731">
      <c r="A3731" s="134" t="str">
        <f>IFERROR(__xludf.DUMMYFUNCTION("""COMPUTED_VALUE"""),"Johnson City")</f>
        <v>Johnson City</v>
      </c>
      <c r="B3731" s="120" t="str">
        <f>IFERROR(__xludf.DUMMYFUNCTION("""COMPUTED_VALUE"""),"TRI")</f>
        <v>TRI</v>
      </c>
      <c r="C3731" s="120" t="str">
        <f>IFERROR(__xludf.DUMMYFUNCTION("""COMPUTED_VALUE"""),"Tri-Cities Regional")</f>
        <v>Tri-Cities Regional</v>
      </c>
      <c r="D3731" s="120" t="str">
        <f>IFERROR(__xludf.DUMMYFUNCTION("""COMPUTED_VALUE"""),"United States")</f>
        <v>United States</v>
      </c>
      <c r="E3731" s="135"/>
      <c r="F3731" s="31"/>
    </row>
    <row r="3732">
      <c r="A3732" s="134" t="str">
        <f>IFERROR(__xludf.DUMMYFUNCTION("""COMPUTED_VALUE"""),"Johnston Island")</f>
        <v>Johnston Island</v>
      </c>
      <c r="B3732" s="120" t="str">
        <f>IFERROR(__xludf.DUMMYFUNCTION("""COMPUTED_VALUE"""),"JON")</f>
        <v>JON</v>
      </c>
      <c r="C3732" s="120" t="str">
        <f>IFERROR(__xludf.DUMMYFUNCTION("""COMPUTED_VALUE"""),"Johnston Island")</f>
        <v>Johnston Island</v>
      </c>
      <c r="D3732" s="120" t="str">
        <f>IFERROR(__xludf.DUMMYFUNCTION("""COMPUTED_VALUE"""),"Us Minor Outlying Islands")</f>
        <v>Us Minor Outlying Islands</v>
      </c>
      <c r="E3732" s="135"/>
      <c r="F3732" s="31"/>
    </row>
    <row r="3733">
      <c r="A3733" s="134" t="str">
        <f>IFERROR(__xludf.DUMMYFUNCTION("""COMPUTED_VALUE"""),"Johnstown")</f>
        <v>Johnstown</v>
      </c>
      <c r="B3733" s="120" t="str">
        <f>IFERROR(__xludf.DUMMYFUNCTION("""COMPUTED_VALUE"""),"JST")</f>
        <v>JST</v>
      </c>
      <c r="C3733" s="120" t="str">
        <f>IFERROR(__xludf.DUMMYFUNCTION("""COMPUTED_VALUE"""),"Cambria County")</f>
        <v>Cambria County</v>
      </c>
      <c r="D3733" s="120" t="str">
        <f>IFERROR(__xludf.DUMMYFUNCTION("""COMPUTED_VALUE"""),"United States")</f>
        <v>United States</v>
      </c>
      <c r="E3733" s="135"/>
      <c r="F3733" s="31"/>
    </row>
    <row r="3734">
      <c r="A3734" s="134" t="str">
        <f>IFERROR(__xludf.DUMMYFUNCTION("""COMPUTED_VALUE"""),"Johor Bahru")</f>
        <v>Johor Bahru</v>
      </c>
      <c r="B3734" s="120" t="str">
        <f>IFERROR(__xludf.DUMMYFUNCTION("""COMPUTED_VALUE"""),"JHB")</f>
        <v>JHB</v>
      </c>
      <c r="C3734" s="120" t="str">
        <f>IFERROR(__xludf.DUMMYFUNCTION("""COMPUTED_VALUE"""),"Sultan Ismail Intl")</f>
        <v>Sultan Ismail Intl</v>
      </c>
      <c r="D3734" s="120" t="str">
        <f>IFERROR(__xludf.DUMMYFUNCTION("""COMPUTED_VALUE"""),"Malaysia")</f>
        <v>Malaysia</v>
      </c>
      <c r="E3734" s="135"/>
      <c r="F3734" s="31"/>
    </row>
    <row r="3735">
      <c r="A3735" s="134" t="str">
        <f>IFERROR(__xludf.DUMMYFUNCTION("""COMPUTED_VALUE"""),"Joinville")</f>
        <v>Joinville</v>
      </c>
      <c r="B3735" s="120" t="str">
        <f>IFERROR(__xludf.DUMMYFUNCTION("""COMPUTED_VALUE"""),"JOI")</f>
        <v>JOI</v>
      </c>
      <c r="C3735" s="120" t="str">
        <f>IFERROR(__xludf.DUMMYFUNCTION("""COMPUTED_VALUE"""),"Cubatao")</f>
        <v>Cubatao</v>
      </c>
      <c r="D3735" s="120" t="str">
        <f>IFERROR(__xludf.DUMMYFUNCTION("""COMPUTED_VALUE"""),"Brazil")</f>
        <v>Brazil</v>
      </c>
      <c r="E3735" s="135"/>
      <c r="F3735" s="31"/>
    </row>
    <row r="3736">
      <c r="A3736" s="134" t="str">
        <f>IFERROR(__xludf.DUMMYFUNCTION("""COMPUTED_VALUE"""),"Joliet")</f>
        <v>Joliet</v>
      </c>
      <c r="B3736" s="120" t="str">
        <f>IFERROR(__xludf.DUMMYFUNCTION("""COMPUTED_VALUE"""),"JOT")</f>
        <v>JOT</v>
      </c>
      <c r="C3736" s="120" t="str">
        <f>IFERROR(__xludf.DUMMYFUNCTION("""COMPUTED_VALUE"""),"Municipal")</f>
        <v>Municipal</v>
      </c>
      <c r="D3736" s="120" t="str">
        <f>IFERROR(__xludf.DUMMYFUNCTION("""COMPUTED_VALUE"""),"United States")</f>
        <v>United States</v>
      </c>
      <c r="E3736" s="135"/>
      <c r="F3736" s="31"/>
    </row>
    <row r="3737">
      <c r="A3737" s="134" t="str">
        <f>IFERROR(__xludf.DUMMYFUNCTION("""COMPUTED_VALUE"""),"Jolo")</f>
        <v>Jolo</v>
      </c>
      <c r="B3737" s="120" t="str">
        <f>IFERROR(__xludf.DUMMYFUNCTION("""COMPUTED_VALUE"""),"JOL")</f>
        <v>JOL</v>
      </c>
      <c r="C3737" s="120" t="str">
        <f>IFERROR(__xludf.DUMMYFUNCTION("""COMPUTED_VALUE"""),"Jolo")</f>
        <v>Jolo</v>
      </c>
      <c r="D3737" s="120" t="str">
        <f>IFERROR(__xludf.DUMMYFUNCTION("""COMPUTED_VALUE"""),"Philippines")</f>
        <v>Philippines</v>
      </c>
      <c r="E3737" s="135"/>
      <c r="F3737" s="31"/>
    </row>
    <row r="3738">
      <c r="A3738" s="134" t="str">
        <f>IFERROR(__xludf.DUMMYFUNCTION("""COMPUTED_VALUE"""),"Jolon")</f>
        <v>Jolon</v>
      </c>
      <c r="B3738" s="120" t="str">
        <f>IFERROR(__xludf.DUMMYFUNCTION("""COMPUTED_VALUE"""),"HGT")</f>
        <v>HGT</v>
      </c>
      <c r="C3738" s="120" t="str">
        <f>IFERROR(__xludf.DUMMYFUNCTION("""COMPUTED_VALUE"""),"Hunter AAF")</f>
        <v>Hunter AAF</v>
      </c>
      <c r="D3738" s="120" t="str">
        <f>IFERROR(__xludf.DUMMYFUNCTION("""COMPUTED_VALUE"""),"United States")</f>
        <v>United States</v>
      </c>
      <c r="E3738" s="135"/>
      <c r="F3738" s="31"/>
    </row>
    <row r="3739">
      <c r="A3739" s="134" t="str">
        <f>IFERROR(__xludf.DUMMYFUNCTION("""COMPUTED_VALUE"""),"Jomsom")</f>
        <v>Jomsom</v>
      </c>
      <c r="B3739" s="120" t="str">
        <f>IFERROR(__xludf.DUMMYFUNCTION("""COMPUTED_VALUE"""),"JMO")</f>
        <v>JMO</v>
      </c>
      <c r="C3739" s="120" t="str">
        <f>IFERROR(__xludf.DUMMYFUNCTION("""COMPUTED_VALUE"""),"Jomsom")</f>
        <v>Jomsom</v>
      </c>
      <c r="D3739" s="120" t="str">
        <f>IFERROR(__xludf.DUMMYFUNCTION("""COMPUTED_VALUE"""),"Nepal")</f>
        <v>Nepal</v>
      </c>
      <c r="E3739" s="135"/>
      <c r="F3739" s="31"/>
    </row>
    <row r="3740">
      <c r="A3740" s="134" t="str">
        <f>IFERROR(__xludf.DUMMYFUNCTION("""COMPUTED_VALUE"""),"Jonesboro")</f>
        <v>Jonesboro</v>
      </c>
      <c r="B3740" s="120" t="str">
        <f>IFERROR(__xludf.DUMMYFUNCTION("""COMPUTED_VALUE"""),"JBR")</f>
        <v>JBR</v>
      </c>
      <c r="C3740" s="120" t="str">
        <f>IFERROR(__xludf.DUMMYFUNCTION("""COMPUTED_VALUE"""),"Jonesboro")</f>
        <v>Jonesboro</v>
      </c>
      <c r="D3740" s="120" t="str">
        <f>IFERROR(__xludf.DUMMYFUNCTION("""COMPUTED_VALUE"""),"United States")</f>
        <v>United States</v>
      </c>
      <c r="E3740" s="135"/>
      <c r="F3740" s="31"/>
    </row>
    <row r="3741">
      <c r="A3741" s="134" t="str">
        <f>IFERROR(__xludf.DUMMYFUNCTION("""COMPUTED_VALUE"""),"Jonkoping")</f>
        <v>Jonkoping</v>
      </c>
      <c r="B3741" s="120" t="str">
        <f>IFERROR(__xludf.DUMMYFUNCTION("""COMPUTED_VALUE"""),"JKG")</f>
        <v>JKG</v>
      </c>
      <c r="C3741" s="120" t="str">
        <f>IFERROR(__xludf.DUMMYFUNCTION("""COMPUTED_VALUE"""),"Axamo")</f>
        <v>Axamo</v>
      </c>
      <c r="D3741" s="120" t="str">
        <f>IFERROR(__xludf.DUMMYFUNCTION("""COMPUTED_VALUE"""),"Sweden")</f>
        <v>Sweden</v>
      </c>
      <c r="E3741" s="135"/>
      <c r="F3741" s="31"/>
    </row>
    <row r="3742">
      <c r="A3742" s="134" t="str">
        <f>IFERROR(__xludf.DUMMYFUNCTION("""COMPUTED_VALUE"""),"Joplin")</f>
        <v>Joplin</v>
      </c>
      <c r="B3742" s="120" t="str">
        <f>IFERROR(__xludf.DUMMYFUNCTION("""COMPUTED_VALUE"""),"JLN")</f>
        <v>JLN</v>
      </c>
      <c r="C3742" s="120" t="str">
        <f>IFERROR(__xludf.DUMMYFUNCTION("""COMPUTED_VALUE"""),"Joplin")</f>
        <v>Joplin</v>
      </c>
      <c r="D3742" s="120" t="str">
        <f>IFERROR(__xludf.DUMMYFUNCTION("""COMPUTED_VALUE"""),"United States")</f>
        <v>United States</v>
      </c>
      <c r="E3742" s="135"/>
      <c r="F3742" s="31"/>
    </row>
    <row r="3743">
      <c r="A3743" s="134" t="str">
        <f>IFERROR(__xludf.DUMMYFUNCTION("""COMPUTED_VALUE"""),"Jordan")</f>
        <v>Jordan</v>
      </c>
      <c r="B3743" s="120" t="str">
        <f>IFERROR(__xludf.DUMMYFUNCTION("""COMPUTED_VALUE"""),"JDN")</f>
        <v>JDN</v>
      </c>
      <c r="C3743" s="120" t="str">
        <f>IFERROR(__xludf.DUMMYFUNCTION("""COMPUTED_VALUE"""),"Jordan")</f>
        <v>Jordan</v>
      </c>
      <c r="D3743" s="120" t="str">
        <f>IFERROR(__xludf.DUMMYFUNCTION("""COMPUTED_VALUE"""),"United States")</f>
        <v>United States</v>
      </c>
      <c r="E3743" s="135"/>
      <c r="F3743" s="31"/>
    </row>
    <row r="3744">
      <c r="A3744" s="134" t="str">
        <f>IFERROR(__xludf.DUMMYFUNCTION("""COMPUTED_VALUE"""),"Jorhat")</f>
        <v>Jorhat</v>
      </c>
      <c r="B3744" s="120" t="str">
        <f>IFERROR(__xludf.DUMMYFUNCTION("""COMPUTED_VALUE"""),"JRH")</f>
        <v>JRH</v>
      </c>
      <c r="C3744" s="120" t="str">
        <f>IFERROR(__xludf.DUMMYFUNCTION("""COMPUTED_VALUE"""),"Rowriah")</f>
        <v>Rowriah</v>
      </c>
      <c r="D3744" s="120" t="str">
        <f>IFERROR(__xludf.DUMMYFUNCTION("""COMPUTED_VALUE"""),"India")</f>
        <v>India</v>
      </c>
      <c r="E3744" s="135"/>
      <c r="F3744" s="31"/>
    </row>
    <row r="3745">
      <c r="A3745" s="134" t="str">
        <f>IFERROR(__xludf.DUMMYFUNCTION("""COMPUTED_VALUE"""),"Jos")</f>
        <v>Jos</v>
      </c>
      <c r="B3745" s="120" t="str">
        <f>IFERROR(__xludf.DUMMYFUNCTION("""COMPUTED_VALUE"""),"JOS")</f>
        <v>JOS</v>
      </c>
      <c r="C3745" s="120" t="str">
        <f>IFERROR(__xludf.DUMMYFUNCTION("""COMPUTED_VALUE"""),"Jos")</f>
        <v>Jos</v>
      </c>
      <c r="D3745" s="120" t="str">
        <f>IFERROR(__xludf.DUMMYFUNCTION("""COMPUTED_VALUE"""),"Nigeria")</f>
        <v>Nigeria</v>
      </c>
      <c r="E3745" s="135"/>
      <c r="F3745" s="31"/>
    </row>
    <row r="3746">
      <c r="A3746" s="134" t="str">
        <f>IFERROR(__xludf.DUMMYFUNCTION("""COMPUTED_VALUE"""),"Jose De San Martin")</f>
        <v>Jose De San Martin</v>
      </c>
      <c r="B3746" s="120" t="str">
        <f>IFERROR(__xludf.DUMMYFUNCTION("""COMPUTED_VALUE"""),"JSM")</f>
        <v>JSM</v>
      </c>
      <c r="C3746" s="120" t="str">
        <f>IFERROR(__xludf.DUMMYFUNCTION("""COMPUTED_VALUE"""),"Jose De San Martin")</f>
        <v>Jose De San Martin</v>
      </c>
      <c r="D3746" s="120" t="str">
        <f>IFERROR(__xludf.DUMMYFUNCTION("""COMPUTED_VALUE"""),"Argentina")</f>
        <v>Argentina</v>
      </c>
      <c r="E3746" s="135"/>
      <c r="F3746" s="31"/>
    </row>
    <row r="3747">
      <c r="A3747" s="134" t="str">
        <f>IFERROR(__xludf.DUMMYFUNCTION("""COMPUTED_VALUE"""),"Josephstaal")</f>
        <v>Josephstaal</v>
      </c>
      <c r="B3747" s="120" t="str">
        <f>IFERROR(__xludf.DUMMYFUNCTION("""COMPUTED_VALUE"""),"JOP")</f>
        <v>JOP</v>
      </c>
      <c r="C3747" s="120" t="str">
        <f>IFERROR(__xludf.DUMMYFUNCTION("""COMPUTED_VALUE"""),"Josephstaal")</f>
        <v>Josephstaal</v>
      </c>
      <c r="D3747" s="120" t="str">
        <f>IFERROR(__xludf.DUMMYFUNCTION("""COMPUTED_VALUE"""),"Papua New Guinea")</f>
        <v>Papua New Guinea</v>
      </c>
      <c r="E3747" s="135"/>
      <c r="F3747" s="31"/>
    </row>
    <row r="3748">
      <c r="A3748" s="134" t="str">
        <f>IFERROR(__xludf.DUMMYFUNCTION("""COMPUTED_VALUE"""),"Joshkar-Ola")</f>
        <v>Joshkar-Ola</v>
      </c>
      <c r="B3748" s="120" t="str">
        <f>IFERROR(__xludf.DUMMYFUNCTION("""COMPUTED_VALUE"""),"JOK")</f>
        <v>JOK</v>
      </c>
      <c r="C3748" s="120" t="str">
        <f>IFERROR(__xludf.DUMMYFUNCTION("""COMPUTED_VALUE"""),"Joshkar-Ola")</f>
        <v>Joshkar-Ola</v>
      </c>
      <c r="D3748" s="120" t="str">
        <f>IFERROR(__xludf.DUMMYFUNCTION("""COMPUTED_VALUE"""),"Russia")</f>
        <v>Russia</v>
      </c>
      <c r="E3748" s="135"/>
      <c r="F3748" s="31"/>
    </row>
    <row r="3749">
      <c r="A3749" s="134" t="str">
        <f>IFERROR(__xludf.DUMMYFUNCTION("""COMPUTED_VALUE"""),"Sakaka Al Jouf")</f>
        <v>Sakaka Al Jouf</v>
      </c>
      <c r="B3749" s="120" t="str">
        <f>IFERROR(__xludf.DUMMYFUNCTION("""COMPUTED_VALUE"""),"AJF")</f>
        <v>AJF</v>
      </c>
      <c r="C3749" s="120" t="str">
        <f>IFERROR(__xludf.DUMMYFUNCTION("""COMPUTED_VALUE"""),"Jouf")</f>
        <v>Jouf</v>
      </c>
      <c r="D3749" s="120" t="str">
        <f>IFERROR(__xludf.DUMMYFUNCTION("""COMPUTED_VALUE"""),"Saudi Arabia")</f>
        <v>Saudi Arabia</v>
      </c>
      <c r="E3749" s="135"/>
      <c r="F3749" s="31"/>
    </row>
    <row r="3750">
      <c r="A3750" s="134" t="str">
        <f>IFERROR(__xludf.DUMMYFUNCTION("""COMPUTED_VALUE"""),"Juan Les Pins")</f>
        <v>Juan Les Pins</v>
      </c>
      <c r="B3750" s="120" t="str">
        <f>IFERROR(__xludf.DUMMYFUNCTION("""COMPUTED_VALUE"""),"JLP")</f>
        <v>JLP</v>
      </c>
      <c r="C3750" s="120" t="str">
        <f>IFERROR(__xludf.DUMMYFUNCTION("""COMPUTED_VALUE"""),"Juan Les Pins")</f>
        <v>Juan Les Pins</v>
      </c>
      <c r="D3750" s="120" t="str">
        <f>IFERROR(__xludf.DUMMYFUNCTION("""COMPUTED_VALUE"""),"France")</f>
        <v>France</v>
      </c>
      <c r="E3750" s="135"/>
      <c r="F3750" s="31"/>
    </row>
    <row r="3751">
      <c r="A3751" s="134" t="str">
        <f>IFERROR(__xludf.DUMMYFUNCTION("""COMPUTED_VALUE"""),"Juanjui")</f>
        <v>Juanjui</v>
      </c>
      <c r="B3751" s="120" t="str">
        <f>IFERROR(__xludf.DUMMYFUNCTION("""COMPUTED_VALUE"""),"JJI")</f>
        <v>JJI</v>
      </c>
      <c r="C3751" s="120" t="str">
        <f>IFERROR(__xludf.DUMMYFUNCTION("""COMPUTED_VALUE"""),"Juanjui")</f>
        <v>Juanjui</v>
      </c>
      <c r="D3751" s="120" t="str">
        <f>IFERROR(__xludf.DUMMYFUNCTION("""COMPUTED_VALUE"""),"Peru")</f>
        <v>Peru</v>
      </c>
      <c r="E3751" s="135"/>
      <c r="F3751" s="31"/>
    </row>
    <row r="3752">
      <c r="A3752" s="134" t="str">
        <f>IFERROR(__xludf.DUMMYFUNCTION("""COMPUTED_VALUE"""),"Juara")</f>
        <v>Juara</v>
      </c>
      <c r="B3752" s="120" t="str">
        <f>IFERROR(__xludf.DUMMYFUNCTION("""COMPUTED_VALUE"""),"JUA")</f>
        <v>JUA</v>
      </c>
      <c r="C3752" s="120" t="str">
        <f>IFERROR(__xludf.DUMMYFUNCTION("""COMPUTED_VALUE"""),"Juara")</f>
        <v>Juara</v>
      </c>
      <c r="D3752" s="120" t="str">
        <f>IFERROR(__xludf.DUMMYFUNCTION("""COMPUTED_VALUE"""),"Brazil")</f>
        <v>Brazil</v>
      </c>
      <c r="E3752" s="135"/>
      <c r="F3752" s="31"/>
    </row>
    <row r="3753">
      <c r="A3753" s="134" t="str">
        <f>IFERROR(__xludf.DUMMYFUNCTION("""COMPUTED_VALUE"""),"Juazeiro Do Norte")</f>
        <v>Juazeiro Do Norte</v>
      </c>
      <c r="B3753" s="120" t="str">
        <f>IFERROR(__xludf.DUMMYFUNCTION("""COMPUTED_VALUE"""),"JDO")</f>
        <v>JDO</v>
      </c>
      <c r="C3753" s="120" t="str">
        <f>IFERROR(__xludf.DUMMYFUNCTION("""COMPUTED_VALUE"""),"Regional Do Cariri")</f>
        <v>Regional Do Cariri</v>
      </c>
      <c r="D3753" s="120" t="str">
        <f>IFERROR(__xludf.DUMMYFUNCTION("""COMPUTED_VALUE"""),"Brazil")</f>
        <v>Brazil</v>
      </c>
      <c r="E3753" s="135"/>
      <c r="F3753" s="31"/>
    </row>
    <row r="3754">
      <c r="A3754" s="134" t="str">
        <f>IFERROR(__xludf.DUMMYFUNCTION("""COMPUTED_VALUE"""),"Juba")</f>
        <v>Juba</v>
      </c>
      <c r="B3754" s="120" t="str">
        <f>IFERROR(__xludf.DUMMYFUNCTION("""COMPUTED_VALUE"""),"JUB")</f>
        <v>JUB</v>
      </c>
      <c r="C3754" s="120" t="str">
        <f>IFERROR(__xludf.DUMMYFUNCTION("""COMPUTED_VALUE"""),"Juba")</f>
        <v>Juba</v>
      </c>
      <c r="D3754" s="120" t="str">
        <f>IFERROR(__xludf.DUMMYFUNCTION("""COMPUTED_VALUE"""),"Sudan")</f>
        <v>Sudan</v>
      </c>
      <c r="E3754" s="135"/>
      <c r="F3754" s="31"/>
    </row>
    <row r="3755">
      <c r="A3755" s="134" t="str">
        <f>IFERROR(__xludf.DUMMYFUNCTION("""COMPUTED_VALUE"""),"Juina")</f>
        <v>Juina</v>
      </c>
      <c r="B3755" s="120" t="str">
        <f>IFERROR(__xludf.DUMMYFUNCTION("""COMPUTED_VALUE"""),"JIA")</f>
        <v>JIA</v>
      </c>
      <c r="C3755" s="120" t="str">
        <f>IFERROR(__xludf.DUMMYFUNCTION("""COMPUTED_VALUE"""),"Juina")</f>
        <v>Juina</v>
      </c>
      <c r="D3755" s="120" t="str">
        <f>IFERROR(__xludf.DUMMYFUNCTION("""COMPUTED_VALUE"""),"Brazil")</f>
        <v>Brazil</v>
      </c>
      <c r="E3755" s="135"/>
      <c r="F3755" s="31"/>
    </row>
    <row r="3756">
      <c r="A3756" s="134" t="str">
        <f>IFERROR(__xludf.DUMMYFUNCTION("""COMPUTED_VALUE"""),"Juist")</f>
        <v>Juist</v>
      </c>
      <c r="B3756" s="120" t="str">
        <f>IFERROR(__xludf.DUMMYFUNCTION("""COMPUTED_VALUE"""),"JUI")</f>
        <v>JUI</v>
      </c>
      <c r="C3756" s="120" t="str">
        <f>IFERROR(__xludf.DUMMYFUNCTION("""COMPUTED_VALUE"""),"Juist")</f>
        <v>Juist</v>
      </c>
      <c r="D3756" s="120" t="str">
        <f>IFERROR(__xludf.DUMMYFUNCTION("""COMPUTED_VALUE"""),"Germany")</f>
        <v>Germany</v>
      </c>
      <c r="E3756" s="135"/>
      <c r="F3756" s="31"/>
    </row>
    <row r="3757">
      <c r="A3757" s="134" t="str">
        <f>IFERROR(__xludf.DUMMYFUNCTION("""COMPUTED_VALUE"""),"Juiz De Fora")</f>
        <v>Juiz De Fora</v>
      </c>
      <c r="B3757" s="120" t="str">
        <f>IFERROR(__xludf.DUMMYFUNCTION("""COMPUTED_VALUE"""),"JDF")</f>
        <v>JDF</v>
      </c>
      <c r="C3757" s="120" t="str">
        <f>IFERROR(__xludf.DUMMYFUNCTION("""COMPUTED_VALUE"""),"Francisco De Assis")</f>
        <v>Francisco De Assis</v>
      </c>
      <c r="D3757" s="120" t="str">
        <f>IFERROR(__xludf.DUMMYFUNCTION("""COMPUTED_VALUE"""),"Brazil")</f>
        <v>Brazil</v>
      </c>
      <c r="E3757" s="135"/>
      <c r="F3757" s="31"/>
    </row>
    <row r="3758">
      <c r="A3758" s="134" t="str">
        <f>IFERROR(__xludf.DUMMYFUNCTION("""COMPUTED_VALUE"""),"Jujuy")</f>
        <v>Jujuy</v>
      </c>
      <c r="B3758" s="120" t="str">
        <f>IFERROR(__xludf.DUMMYFUNCTION("""COMPUTED_VALUE"""),"JUJ")</f>
        <v>JUJ</v>
      </c>
      <c r="C3758" s="120" t="str">
        <f>IFERROR(__xludf.DUMMYFUNCTION("""COMPUTED_VALUE"""),"El Cadillal")</f>
        <v>El Cadillal</v>
      </c>
      <c r="D3758" s="120" t="str">
        <f>IFERROR(__xludf.DUMMYFUNCTION("""COMPUTED_VALUE"""),"Argentina")</f>
        <v>Argentina</v>
      </c>
      <c r="E3758" s="135"/>
      <c r="F3758" s="31"/>
    </row>
    <row r="3759">
      <c r="A3759" s="134" t="str">
        <f>IFERROR(__xludf.DUMMYFUNCTION("""COMPUTED_VALUE"""),"Julia Creek")</f>
        <v>Julia Creek</v>
      </c>
      <c r="B3759" s="120" t="str">
        <f>IFERROR(__xludf.DUMMYFUNCTION("""COMPUTED_VALUE"""),"JCK")</f>
        <v>JCK</v>
      </c>
      <c r="C3759" s="120" t="str">
        <f>IFERROR(__xludf.DUMMYFUNCTION("""COMPUTED_VALUE"""),"Julia Creek")</f>
        <v>Julia Creek</v>
      </c>
      <c r="D3759" s="120" t="str">
        <f>IFERROR(__xludf.DUMMYFUNCTION("""COMPUTED_VALUE"""),"Australia")</f>
        <v>Australia</v>
      </c>
      <c r="E3759" s="135"/>
      <c r="F3759" s="31"/>
    </row>
    <row r="3760">
      <c r="A3760" s="134" t="str">
        <f>IFERROR(__xludf.DUMMYFUNCTION("""COMPUTED_VALUE"""),"Juliaca")</f>
        <v>Juliaca</v>
      </c>
      <c r="B3760" s="120" t="str">
        <f>IFERROR(__xludf.DUMMYFUNCTION("""COMPUTED_VALUE"""),"JUL")</f>
        <v>JUL</v>
      </c>
      <c r="C3760" s="120" t="str">
        <f>IFERROR(__xludf.DUMMYFUNCTION("""COMPUTED_VALUE"""),"Juliaca")</f>
        <v>Juliaca</v>
      </c>
      <c r="D3760" s="120" t="str">
        <f>IFERROR(__xludf.DUMMYFUNCTION("""COMPUTED_VALUE"""),"Peru")</f>
        <v>Peru</v>
      </c>
      <c r="E3760" s="135"/>
      <c r="F3760" s="31"/>
    </row>
    <row r="3761">
      <c r="A3761" s="134" t="str">
        <f>IFERROR(__xludf.DUMMYFUNCTION("""COMPUTED_VALUE"""),"Jumla")</f>
        <v>Jumla</v>
      </c>
      <c r="B3761" s="120" t="str">
        <f>IFERROR(__xludf.DUMMYFUNCTION("""COMPUTED_VALUE"""),"JUM")</f>
        <v>JUM</v>
      </c>
      <c r="C3761" s="120" t="str">
        <f>IFERROR(__xludf.DUMMYFUNCTION("""COMPUTED_VALUE"""),"Jumla")</f>
        <v>Jumla</v>
      </c>
      <c r="D3761" s="120" t="str">
        <f>IFERROR(__xludf.DUMMYFUNCTION("""COMPUTED_VALUE"""),"Nepal")</f>
        <v>Nepal</v>
      </c>
      <c r="E3761" s="135"/>
      <c r="F3761" s="31"/>
    </row>
    <row r="3762">
      <c r="A3762" s="134" t="str">
        <f>IFERROR(__xludf.DUMMYFUNCTION("""COMPUTED_VALUE"""),"Junction")</f>
        <v>Junction</v>
      </c>
      <c r="B3762" s="120" t="str">
        <f>IFERROR(__xludf.DUMMYFUNCTION("""COMPUTED_VALUE"""),"JCT")</f>
        <v>JCT</v>
      </c>
      <c r="C3762" s="120" t="str">
        <f>IFERROR(__xludf.DUMMYFUNCTION("""COMPUTED_VALUE"""),"Kimble County")</f>
        <v>Kimble County</v>
      </c>
      <c r="D3762" s="120" t="str">
        <f>IFERROR(__xludf.DUMMYFUNCTION("""COMPUTED_VALUE"""),"United States")</f>
        <v>United States</v>
      </c>
      <c r="E3762" s="135"/>
      <c r="F3762" s="31"/>
    </row>
    <row r="3763">
      <c r="A3763" s="134" t="str">
        <f>IFERROR(__xludf.DUMMYFUNCTION("""COMPUTED_VALUE"""),"Jundah")</f>
        <v>Jundah</v>
      </c>
      <c r="B3763" s="120" t="str">
        <f>IFERROR(__xludf.DUMMYFUNCTION("""COMPUTED_VALUE"""),"JUN")</f>
        <v>JUN</v>
      </c>
      <c r="C3763" s="120" t="str">
        <f>IFERROR(__xludf.DUMMYFUNCTION("""COMPUTED_VALUE"""),"Jundah")</f>
        <v>Jundah</v>
      </c>
      <c r="D3763" s="120" t="str">
        <f>IFERROR(__xludf.DUMMYFUNCTION("""COMPUTED_VALUE"""),"Australia")</f>
        <v>Australia</v>
      </c>
      <c r="E3763" s="135"/>
      <c r="F3763" s="31"/>
    </row>
    <row r="3764">
      <c r="A3764" s="134" t="str">
        <f>IFERROR(__xludf.DUMMYFUNCTION("""COMPUTED_VALUE"""),"Juneau")</f>
        <v>Juneau</v>
      </c>
      <c r="B3764" s="120" t="str">
        <f>IFERROR(__xludf.DUMMYFUNCTION("""COMPUTED_VALUE"""),"JNU")</f>
        <v>JNU</v>
      </c>
      <c r="C3764" s="120" t="str">
        <f>IFERROR(__xludf.DUMMYFUNCTION("""COMPUTED_VALUE"""),"Boundary Bay")</f>
        <v>Boundary Bay</v>
      </c>
      <c r="D3764" s="120" t="str">
        <f>IFERROR(__xludf.DUMMYFUNCTION("""COMPUTED_VALUE"""),"United States")</f>
        <v>United States</v>
      </c>
      <c r="E3764" s="135"/>
      <c r="F3764" s="31"/>
    </row>
    <row r="3765">
      <c r="A3765" s="134" t="str">
        <f>IFERROR(__xludf.DUMMYFUNCTION("""COMPUTED_VALUE"""),"Juneau")</f>
        <v>Juneau</v>
      </c>
      <c r="B3765" s="120" t="str">
        <f>IFERROR(__xludf.DUMMYFUNCTION("""COMPUTED_VALUE"""),"UNU")</f>
        <v>UNU</v>
      </c>
      <c r="C3765" s="120" t="str">
        <f>IFERROR(__xludf.DUMMYFUNCTION("""COMPUTED_VALUE"""),"Dodge County")</f>
        <v>Dodge County</v>
      </c>
      <c r="D3765" s="120" t="str">
        <f>IFERROR(__xludf.DUMMYFUNCTION("""COMPUTED_VALUE"""),"United States")</f>
        <v>United States</v>
      </c>
      <c r="E3765" s="135"/>
      <c r="F3765" s="31"/>
    </row>
    <row r="3766">
      <c r="A3766" s="134" t="str">
        <f>IFERROR(__xludf.DUMMYFUNCTION("""COMPUTED_VALUE"""),"Junin")</f>
        <v>Junin</v>
      </c>
      <c r="B3766" s="120" t="str">
        <f>IFERROR(__xludf.DUMMYFUNCTION("""COMPUTED_VALUE"""),"JNI")</f>
        <v>JNI</v>
      </c>
      <c r="C3766" s="120" t="str">
        <f>IFERROR(__xludf.DUMMYFUNCTION("""COMPUTED_VALUE"""),"Junin")</f>
        <v>Junin</v>
      </c>
      <c r="D3766" s="120" t="str">
        <f>IFERROR(__xludf.DUMMYFUNCTION("""COMPUTED_VALUE"""),"Argentina")</f>
        <v>Argentina</v>
      </c>
      <c r="E3766" s="135"/>
      <c r="F3766" s="31"/>
    </row>
    <row r="3767">
      <c r="A3767" s="134" t="str">
        <f>IFERROR(__xludf.DUMMYFUNCTION("""COMPUTED_VALUE"""),"Jurado")</f>
        <v>Jurado</v>
      </c>
      <c r="B3767" s="120" t="str">
        <f>IFERROR(__xludf.DUMMYFUNCTION("""COMPUTED_VALUE"""),"JUO")</f>
        <v>JUO</v>
      </c>
      <c r="C3767" s="120" t="str">
        <f>IFERROR(__xludf.DUMMYFUNCTION("""COMPUTED_VALUE"""),"Jurado")</f>
        <v>Jurado</v>
      </c>
      <c r="D3767" s="120" t="str">
        <f>IFERROR(__xludf.DUMMYFUNCTION("""COMPUTED_VALUE"""),"Colombia")</f>
        <v>Colombia</v>
      </c>
      <c r="E3767" s="135"/>
      <c r="F3767" s="31"/>
    </row>
    <row r="3768">
      <c r="A3768" s="134" t="str">
        <f>IFERROR(__xludf.DUMMYFUNCTION("""COMPUTED_VALUE"""),"Jurien Bay")</f>
        <v>Jurien Bay</v>
      </c>
      <c r="B3768" s="120" t="str">
        <f>IFERROR(__xludf.DUMMYFUNCTION("""COMPUTED_VALUE"""),"JUR")</f>
        <v>JUR</v>
      </c>
      <c r="C3768" s="120" t="str">
        <f>IFERROR(__xludf.DUMMYFUNCTION("""COMPUTED_VALUE"""),"Jurien Bay")</f>
        <v>Jurien Bay</v>
      </c>
      <c r="D3768" s="120" t="str">
        <f>IFERROR(__xludf.DUMMYFUNCTION("""COMPUTED_VALUE"""),"Australia")</f>
        <v>Australia</v>
      </c>
      <c r="E3768" s="135"/>
      <c r="F3768" s="31"/>
    </row>
    <row r="3769">
      <c r="A3769" s="134" t="str">
        <f>IFERROR(__xludf.DUMMYFUNCTION("""COMPUTED_VALUE"""),"Juruena")</f>
        <v>Juruena</v>
      </c>
      <c r="B3769" s="120" t="str">
        <f>IFERROR(__xludf.DUMMYFUNCTION("""COMPUTED_VALUE"""),"JRN")</f>
        <v>JRN</v>
      </c>
      <c r="C3769" s="120" t="str">
        <f>IFERROR(__xludf.DUMMYFUNCTION("""COMPUTED_VALUE"""),"Juruena")</f>
        <v>Juruena</v>
      </c>
      <c r="D3769" s="120" t="str">
        <f>IFERROR(__xludf.DUMMYFUNCTION("""COMPUTED_VALUE"""),"Brazil")</f>
        <v>Brazil</v>
      </c>
      <c r="E3769" s="135"/>
      <c r="F3769" s="31"/>
    </row>
    <row r="3770">
      <c r="A3770" s="134" t="str">
        <f>IFERROR(__xludf.DUMMYFUNCTION("""COMPUTED_VALUE"""),"Juticalpa")</f>
        <v>Juticalpa</v>
      </c>
      <c r="B3770" s="120" t="str">
        <f>IFERROR(__xludf.DUMMYFUNCTION("""COMPUTED_VALUE"""),"JUT")</f>
        <v>JUT</v>
      </c>
      <c r="C3770" s="120" t="str">
        <f>IFERROR(__xludf.DUMMYFUNCTION("""COMPUTED_VALUE"""),"Juticalpa")</f>
        <v>Juticalpa</v>
      </c>
      <c r="D3770" s="120" t="str">
        <f>IFERROR(__xludf.DUMMYFUNCTION("""COMPUTED_VALUE"""),"Honduras")</f>
        <v>Honduras</v>
      </c>
      <c r="E3770" s="135"/>
      <c r="F3770" s="31"/>
    </row>
    <row r="3771">
      <c r="A3771" s="134" t="str">
        <f>IFERROR(__xludf.DUMMYFUNCTION("""COMPUTED_VALUE"""),"Juzhou")</f>
        <v>Juzhou</v>
      </c>
      <c r="B3771" s="120" t="str">
        <f>IFERROR(__xludf.DUMMYFUNCTION("""COMPUTED_VALUE"""),"JUZ")</f>
        <v>JUZ</v>
      </c>
      <c r="C3771" s="120" t="str">
        <f>IFERROR(__xludf.DUMMYFUNCTION("""COMPUTED_VALUE"""),"Juzhou")</f>
        <v>Juzhou</v>
      </c>
      <c r="D3771" s="120" t="str">
        <f>IFERROR(__xludf.DUMMYFUNCTION("""COMPUTED_VALUE"""),"China")</f>
        <v>China</v>
      </c>
      <c r="E3771" s="135"/>
      <c r="F3771" s="31"/>
    </row>
    <row r="3772">
      <c r="A3772" s="134" t="str">
        <f>IFERROR(__xludf.DUMMYFUNCTION("""COMPUTED_VALUE"""),"Jwaneng")</f>
        <v>Jwaneng</v>
      </c>
      <c r="B3772" s="120" t="str">
        <f>IFERROR(__xludf.DUMMYFUNCTION("""COMPUTED_VALUE"""),"JWA")</f>
        <v>JWA</v>
      </c>
      <c r="C3772" s="120" t="str">
        <f>IFERROR(__xludf.DUMMYFUNCTION("""COMPUTED_VALUE"""),"Jwaneng")</f>
        <v>Jwaneng</v>
      </c>
      <c r="D3772" s="120" t="str">
        <f>IFERROR(__xludf.DUMMYFUNCTION("""COMPUTED_VALUE"""),"Botswana")</f>
        <v>Botswana</v>
      </c>
      <c r="E3772" s="135"/>
      <c r="F3772" s="31"/>
    </row>
    <row r="3773">
      <c r="A3773" s="134" t="str">
        <f>IFERROR(__xludf.DUMMYFUNCTION("""COMPUTED_VALUE"""),"Jyvaskyla")</f>
        <v>Jyvaskyla</v>
      </c>
      <c r="B3773" s="120" t="str">
        <f>IFERROR(__xludf.DUMMYFUNCTION("""COMPUTED_VALUE"""),"JYV")</f>
        <v>JYV</v>
      </c>
      <c r="C3773" s="120" t="str">
        <f>IFERROR(__xludf.DUMMYFUNCTION("""COMPUTED_VALUE"""),"Jyvaskyla")</f>
        <v>Jyvaskyla</v>
      </c>
      <c r="D3773" s="120" t="str">
        <f>IFERROR(__xludf.DUMMYFUNCTION("""COMPUTED_VALUE"""),"Finland")</f>
        <v>Finland</v>
      </c>
      <c r="E3773" s="135"/>
      <c r="F3773" s="31"/>
    </row>
    <row r="3774">
      <c r="A3774" s="134" t="str">
        <f>IFERROR(__xludf.DUMMYFUNCTION("""COMPUTED_VALUE"""),"Kaadedhdhoo")</f>
        <v>Kaadedhdhoo</v>
      </c>
      <c r="B3774" s="120" t="str">
        <f>IFERROR(__xludf.DUMMYFUNCTION("""COMPUTED_VALUE"""),"KDM")</f>
        <v>KDM</v>
      </c>
      <c r="C3774" s="120" t="str">
        <f>IFERROR(__xludf.DUMMYFUNCTION("""COMPUTED_VALUE"""),"Kaadedhdhoo")</f>
        <v>Kaadedhdhoo</v>
      </c>
      <c r="D3774" s="120" t="str">
        <f>IFERROR(__xludf.DUMMYFUNCTION("""COMPUTED_VALUE"""),"Maldives")</f>
        <v>Maldives</v>
      </c>
      <c r="E3774" s="135"/>
      <c r="F3774" s="31"/>
    </row>
    <row r="3775">
      <c r="A3775" s="134" t="str">
        <f>IFERROR(__xludf.DUMMYFUNCTION("""COMPUTED_VALUE"""),"Kabala")</f>
        <v>Kabala</v>
      </c>
      <c r="B3775" s="120" t="str">
        <f>IFERROR(__xludf.DUMMYFUNCTION("""COMPUTED_VALUE"""),"KBA")</f>
        <v>KBA</v>
      </c>
      <c r="C3775" s="120" t="str">
        <f>IFERROR(__xludf.DUMMYFUNCTION("""COMPUTED_VALUE"""),"Kabala")</f>
        <v>Kabala</v>
      </c>
      <c r="D3775" s="120" t="str">
        <f>IFERROR(__xludf.DUMMYFUNCTION("""COMPUTED_VALUE"""),"Sierra Leone")</f>
        <v>Sierra Leone</v>
      </c>
      <c r="E3775" s="135"/>
      <c r="F3775" s="31"/>
    </row>
    <row r="3776">
      <c r="A3776" s="134" t="str">
        <f>IFERROR(__xludf.DUMMYFUNCTION("""COMPUTED_VALUE"""),"Kabalega Falls")</f>
        <v>Kabalega Falls</v>
      </c>
      <c r="B3776" s="120" t="str">
        <f>IFERROR(__xludf.DUMMYFUNCTION("""COMPUTED_VALUE"""),"KBG")</f>
        <v>KBG</v>
      </c>
      <c r="C3776" s="120" t="str">
        <f>IFERROR(__xludf.DUMMYFUNCTION("""COMPUTED_VALUE"""),"Kabalega Falls")</f>
        <v>Kabalega Falls</v>
      </c>
      <c r="D3776" s="120" t="str">
        <f>IFERROR(__xludf.DUMMYFUNCTION("""COMPUTED_VALUE"""),"Uganda")</f>
        <v>Uganda</v>
      </c>
      <c r="E3776" s="135"/>
      <c r="F3776" s="31"/>
    </row>
    <row r="3777">
      <c r="A3777" s="134" t="str">
        <f>IFERROR(__xludf.DUMMYFUNCTION("""COMPUTED_VALUE"""),"Kabalo")</f>
        <v>Kabalo</v>
      </c>
      <c r="B3777" s="120" t="str">
        <f>IFERROR(__xludf.DUMMYFUNCTION("""COMPUTED_VALUE"""),"KBO")</f>
        <v>KBO</v>
      </c>
      <c r="C3777" s="120" t="str">
        <f>IFERROR(__xludf.DUMMYFUNCTION("""COMPUTED_VALUE"""),"Kabalo")</f>
        <v>Kabalo</v>
      </c>
      <c r="D3777" s="120" t="str">
        <f>IFERROR(__xludf.DUMMYFUNCTION("""COMPUTED_VALUE"""),"Zaire")</f>
        <v>Zaire</v>
      </c>
      <c r="E3777" s="135"/>
      <c r="F3777" s="31"/>
    </row>
    <row r="3778">
      <c r="A3778" s="134" t="str">
        <f>IFERROR(__xludf.DUMMYFUNCTION("""COMPUTED_VALUE"""),"Kaben")</f>
        <v>Kaben</v>
      </c>
      <c r="B3778" s="120" t="str">
        <f>IFERROR(__xludf.DUMMYFUNCTION("""COMPUTED_VALUE"""),"KBT")</f>
        <v>KBT</v>
      </c>
      <c r="C3778" s="120" t="str">
        <f>IFERROR(__xludf.DUMMYFUNCTION("""COMPUTED_VALUE"""),"Kaben")</f>
        <v>Kaben</v>
      </c>
      <c r="D3778" s="120" t="str">
        <f>IFERROR(__xludf.DUMMYFUNCTION("""COMPUTED_VALUE"""),"Marshall Islands")</f>
        <v>Marshall Islands</v>
      </c>
      <c r="E3778" s="135"/>
      <c r="F3778" s="31"/>
    </row>
    <row r="3779">
      <c r="A3779" s="134" t="str">
        <f>IFERROR(__xludf.DUMMYFUNCTION("""COMPUTED_VALUE"""),"Kabinda")</f>
        <v>Kabinda</v>
      </c>
      <c r="B3779" s="120" t="str">
        <f>IFERROR(__xludf.DUMMYFUNCTION("""COMPUTED_VALUE"""),"KBN")</f>
        <v>KBN</v>
      </c>
      <c r="C3779" s="120" t="str">
        <f>IFERROR(__xludf.DUMMYFUNCTION("""COMPUTED_VALUE"""),"Kabinda")</f>
        <v>Kabinda</v>
      </c>
      <c r="D3779" s="120" t="str">
        <f>IFERROR(__xludf.DUMMYFUNCTION("""COMPUTED_VALUE"""),"Zaire")</f>
        <v>Zaire</v>
      </c>
      <c r="E3779" s="135"/>
      <c r="F3779" s="31"/>
    </row>
    <row r="3780">
      <c r="A3780" s="134" t="str">
        <f>IFERROR(__xludf.DUMMYFUNCTION("""COMPUTED_VALUE"""),"Kabri Dar")</f>
        <v>Kabri Dar</v>
      </c>
      <c r="B3780" s="120" t="str">
        <f>IFERROR(__xludf.DUMMYFUNCTION("""COMPUTED_VALUE"""),"ABK")</f>
        <v>ABK</v>
      </c>
      <c r="C3780" s="120" t="str">
        <f>IFERROR(__xludf.DUMMYFUNCTION("""COMPUTED_VALUE"""),"Kabri Dar")</f>
        <v>Kabri Dar</v>
      </c>
      <c r="D3780" s="120" t="str">
        <f>IFERROR(__xludf.DUMMYFUNCTION("""COMPUTED_VALUE"""),"Ethiopia")</f>
        <v>Ethiopia</v>
      </c>
      <c r="E3780" s="135"/>
      <c r="F3780" s="31"/>
    </row>
    <row r="3781">
      <c r="A3781" s="134" t="str">
        <f>IFERROR(__xludf.DUMMYFUNCTION("""COMPUTED_VALUE"""),"Kabul")</f>
        <v>Kabul</v>
      </c>
      <c r="B3781" s="120" t="str">
        <f>IFERROR(__xludf.DUMMYFUNCTION("""COMPUTED_VALUE"""),"KBL")</f>
        <v>KBL</v>
      </c>
      <c r="C3781" s="120" t="str">
        <f>IFERROR(__xludf.DUMMYFUNCTION("""COMPUTED_VALUE"""),"Khwaja Rawash")</f>
        <v>Khwaja Rawash</v>
      </c>
      <c r="D3781" s="120" t="str">
        <f>IFERROR(__xludf.DUMMYFUNCTION("""COMPUTED_VALUE"""),"Afghanistan")</f>
        <v>Afghanistan</v>
      </c>
      <c r="E3781" s="135"/>
      <c r="F3781" s="31"/>
    </row>
    <row r="3782">
      <c r="A3782" s="134" t="str">
        <f>IFERROR(__xludf.DUMMYFUNCTION("""COMPUTED_VALUE"""),"Kabwum")</f>
        <v>Kabwum</v>
      </c>
      <c r="B3782" s="120" t="str">
        <f>IFERROR(__xludf.DUMMYFUNCTION("""COMPUTED_VALUE"""),"KBM")</f>
        <v>KBM</v>
      </c>
      <c r="C3782" s="120" t="str">
        <f>IFERROR(__xludf.DUMMYFUNCTION("""COMPUTED_VALUE"""),"Kabwum")</f>
        <v>Kabwum</v>
      </c>
      <c r="D3782" s="120" t="str">
        <f>IFERROR(__xludf.DUMMYFUNCTION("""COMPUTED_VALUE"""),"Papua New Guinea")</f>
        <v>Papua New Guinea</v>
      </c>
      <c r="E3782" s="135"/>
      <c r="F3782" s="31"/>
    </row>
    <row r="3783">
      <c r="A3783" s="134" t="str">
        <f>IFERROR(__xludf.DUMMYFUNCTION("""COMPUTED_VALUE"""),"Kadanwari")</f>
        <v>Kadanwari</v>
      </c>
      <c r="B3783" s="120" t="str">
        <f>IFERROR(__xludf.DUMMYFUNCTION("""COMPUTED_VALUE"""),"KCF")</f>
        <v>KCF</v>
      </c>
      <c r="C3783" s="120" t="str">
        <f>IFERROR(__xludf.DUMMYFUNCTION("""COMPUTED_VALUE"""),"Kadanwari")</f>
        <v>Kadanwari</v>
      </c>
      <c r="D3783" s="120" t="str">
        <f>IFERROR(__xludf.DUMMYFUNCTION("""COMPUTED_VALUE"""),"Pakistan")</f>
        <v>Pakistan</v>
      </c>
      <c r="E3783" s="135"/>
      <c r="F3783" s="31"/>
    </row>
    <row r="3784">
      <c r="A3784" s="134" t="str">
        <f>IFERROR(__xludf.DUMMYFUNCTION("""COMPUTED_VALUE"""),"Kadhdhoo")</f>
        <v>Kadhdhoo</v>
      </c>
      <c r="B3784" s="120" t="str">
        <f>IFERROR(__xludf.DUMMYFUNCTION("""COMPUTED_VALUE"""),"KDO")</f>
        <v>KDO</v>
      </c>
      <c r="C3784" s="120" t="str">
        <f>IFERROR(__xludf.DUMMYFUNCTION("""COMPUTED_VALUE"""),"Kadhdhoo")</f>
        <v>Kadhdhoo</v>
      </c>
      <c r="D3784" s="120" t="str">
        <f>IFERROR(__xludf.DUMMYFUNCTION("""COMPUTED_VALUE"""),"Maldives")</f>
        <v>Maldives</v>
      </c>
      <c r="E3784" s="135"/>
      <c r="F3784" s="31"/>
    </row>
    <row r="3785">
      <c r="A3785" s="134" t="str">
        <f>IFERROR(__xludf.DUMMYFUNCTION("""COMPUTED_VALUE"""),"Kaduna")</f>
        <v>Kaduna</v>
      </c>
      <c r="B3785" s="120" t="str">
        <f>IFERROR(__xludf.DUMMYFUNCTION("""COMPUTED_VALUE"""),"KAD")</f>
        <v>KAD</v>
      </c>
      <c r="C3785" s="120" t="str">
        <f>IFERROR(__xludf.DUMMYFUNCTION("""COMPUTED_VALUE"""),"Kaduna")</f>
        <v>Kaduna</v>
      </c>
      <c r="D3785" s="120" t="str">
        <f>IFERROR(__xludf.DUMMYFUNCTION("""COMPUTED_VALUE"""),"Nigeria")</f>
        <v>Nigeria</v>
      </c>
      <c r="E3785" s="135"/>
      <c r="F3785" s="31"/>
    </row>
    <row r="3786">
      <c r="A3786" s="134" t="str">
        <f>IFERROR(__xludf.DUMMYFUNCTION("""COMPUTED_VALUE"""),"Kaedi")</f>
        <v>Kaedi</v>
      </c>
      <c r="B3786" s="120" t="str">
        <f>IFERROR(__xludf.DUMMYFUNCTION("""COMPUTED_VALUE"""),"KED")</f>
        <v>KED</v>
      </c>
      <c r="C3786" s="120" t="str">
        <f>IFERROR(__xludf.DUMMYFUNCTION("""COMPUTED_VALUE"""),"Kaedi")</f>
        <v>Kaedi</v>
      </c>
      <c r="D3786" s="120" t="str">
        <f>IFERROR(__xludf.DUMMYFUNCTION("""COMPUTED_VALUE"""),"Mauritania")</f>
        <v>Mauritania</v>
      </c>
      <c r="E3786" s="135"/>
      <c r="F3786" s="31"/>
    </row>
    <row r="3787">
      <c r="A3787" s="134" t="str">
        <f>IFERROR(__xludf.DUMMYFUNCTION("""COMPUTED_VALUE"""),"Kaele")</f>
        <v>Kaele</v>
      </c>
      <c r="B3787" s="120" t="str">
        <f>IFERROR(__xludf.DUMMYFUNCTION("""COMPUTED_VALUE"""),"KLE")</f>
        <v>KLE</v>
      </c>
      <c r="C3787" s="120" t="str">
        <f>IFERROR(__xludf.DUMMYFUNCTION("""COMPUTED_VALUE"""),"Kaele")</f>
        <v>Kaele</v>
      </c>
      <c r="D3787" s="120" t="str">
        <f>IFERROR(__xludf.DUMMYFUNCTION("""COMPUTED_VALUE"""),"Cameroon")</f>
        <v>Cameroon</v>
      </c>
      <c r="E3787" s="135"/>
      <c r="F3787" s="31"/>
    </row>
    <row r="3788">
      <c r="A3788" s="134" t="str">
        <f>IFERROR(__xludf.DUMMYFUNCTION("""COMPUTED_VALUE"""),"Kagau")</f>
        <v>Kagau</v>
      </c>
      <c r="B3788" s="120" t="str">
        <f>IFERROR(__xludf.DUMMYFUNCTION("""COMPUTED_VALUE"""),"KGE")</f>
        <v>KGE</v>
      </c>
      <c r="C3788" s="120" t="str">
        <f>IFERROR(__xludf.DUMMYFUNCTION("""COMPUTED_VALUE"""),"Kagau")</f>
        <v>Kagau</v>
      </c>
      <c r="D3788" s="120" t="str">
        <f>IFERROR(__xludf.DUMMYFUNCTION("""COMPUTED_VALUE"""),"Solomon Islands")</f>
        <v>Solomon Islands</v>
      </c>
      <c r="E3788" s="135"/>
      <c r="F3788" s="31"/>
    </row>
    <row r="3789">
      <c r="A3789" s="134" t="str">
        <f>IFERROR(__xludf.DUMMYFUNCTION("""COMPUTED_VALUE"""),"Kagi")</f>
        <v>Kagi</v>
      </c>
      <c r="B3789" s="120" t="str">
        <f>IFERROR(__xludf.DUMMYFUNCTION("""COMPUTED_VALUE"""),"KGW")</f>
        <v>KGW</v>
      </c>
      <c r="C3789" s="120" t="str">
        <f>IFERROR(__xludf.DUMMYFUNCTION("""COMPUTED_VALUE"""),"Kagi")</f>
        <v>Kagi</v>
      </c>
      <c r="D3789" s="120" t="str">
        <f>IFERROR(__xludf.DUMMYFUNCTION("""COMPUTED_VALUE"""),"Papua New Guinea")</f>
        <v>Papua New Guinea</v>
      </c>
      <c r="E3789" s="135"/>
      <c r="F3789" s="31"/>
    </row>
    <row r="3790">
      <c r="A3790" s="134" t="str">
        <f>IFERROR(__xludf.DUMMYFUNCTION("""COMPUTED_VALUE"""),"Kagoshima")</f>
        <v>Kagoshima</v>
      </c>
      <c r="B3790" s="120" t="str">
        <f>IFERROR(__xludf.DUMMYFUNCTION("""COMPUTED_VALUE"""),"KOJ")</f>
        <v>KOJ</v>
      </c>
      <c r="C3790" s="120" t="str">
        <f>IFERROR(__xludf.DUMMYFUNCTION("""COMPUTED_VALUE"""),"Kagoshima")</f>
        <v>Kagoshima</v>
      </c>
      <c r="D3790" s="120" t="str">
        <f>IFERROR(__xludf.DUMMYFUNCTION("""COMPUTED_VALUE"""),"Japan")</f>
        <v>Japan</v>
      </c>
      <c r="E3790" s="135"/>
      <c r="F3790" s="31"/>
    </row>
    <row r="3791">
      <c r="A3791" s="134" t="str">
        <f>IFERROR(__xludf.DUMMYFUNCTION("""COMPUTED_VALUE"""),"Kagua")</f>
        <v>Kagua</v>
      </c>
      <c r="B3791" s="120" t="str">
        <f>IFERROR(__xludf.DUMMYFUNCTION("""COMPUTED_VALUE"""),"AGK")</f>
        <v>AGK</v>
      </c>
      <c r="C3791" s="120" t="str">
        <f>IFERROR(__xludf.DUMMYFUNCTION("""COMPUTED_VALUE"""),"Kagua")</f>
        <v>Kagua</v>
      </c>
      <c r="D3791" s="120" t="str">
        <f>IFERROR(__xludf.DUMMYFUNCTION("""COMPUTED_VALUE"""),"Papua New Guinea")</f>
        <v>Papua New Guinea</v>
      </c>
      <c r="E3791" s="135"/>
      <c r="F3791" s="31"/>
    </row>
    <row r="3792">
      <c r="A3792" s="134" t="str">
        <f>IFERROR(__xludf.DUMMYFUNCTION("""COMPUTED_VALUE"""),"Kagvik Creek")</f>
        <v>Kagvik Creek</v>
      </c>
      <c r="B3792" s="120" t="str">
        <f>IFERROR(__xludf.DUMMYFUNCTION("""COMPUTED_VALUE"""),"KKF")</f>
        <v>KKF</v>
      </c>
      <c r="C3792" s="120" t="str">
        <f>IFERROR(__xludf.DUMMYFUNCTION("""COMPUTED_VALUE"""),"Kagvik Creek")</f>
        <v>Kagvik Creek</v>
      </c>
      <c r="D3792" s="120" t="str">
        <f>IFERROR(__xludf.DUMMYFUNCTION("""COMPUTED_VALUE"""),"United States")</f>
        <v>United States</v>
      </c>
      <c r="E3792" s="135"/>
      <c r="F3792" s="31"/>
    </row>
    <row r="3793">
      <c r="A3793" s="134" t="str">
        <f>IFERROR(__xludf.DUMMYFUNCTION("""COMPUTED_VALUE"""),"Kahramanmaras")</f>
        <v>Kahramanmaras</v>
      </c>
      <c r="B3793" s="120" t="str">
        <f>IFERROR(__xludf.DUMMYFUNCTION("""COMPUTED_VALUE"""),"KCM")</f>
        <v>KCM</v>
      </c>
      <c r="C3793" s="120" t="str">
        <f>IFERROR(__xludf.DUMMYFUNCTION("""COMPUTED_VALUE"""),"Kahramanmaras")</f>
        <v>Kahramanmaras</v>
      </c>
      <c r="D3793" s="120" t="str">
        <f>IFERROR(__xludf.DUMMYFUNCTION("""COMPUTED_VALUE"""),"Turkey")</f>
        <v>Turkey</v>
      </c>
      <c r="E3793" s="135"/>
      <c r="F3793" s="31"/>
    </row>
    <row r="3794">
      <c r="A3794" s="134" t="str">
        <f>IFERROR(__xludf.DUMMYFUNCTION("""COMPUTED_VALUE"""),"Kahului")</f>
        <v>Kahului</v>
      </c>
      <c r="B3794" s="120" t="str">
        <f>IFERROR(__xludf.DUMMYFUNCTION("""COMPUTED_VALUE"""),"OGG")</f>
        <v>OGG</v>
      </c>
      <c r="C3794" s="120" t="str">
        <f>IFERROR(__xludf.DUMMYFUNCTION("""COMPUTED_VALUE"""),"Kahului")</f>
        <v>Kahului</v>
      </c>
      <c r="D3794" s="120" t="str">
        <f>IFERROR(__xludf.DUMMYFUNCTION("""COMPUTED_VALUE"""),"United States")</f>
        <v>United States</v>
      </c>
      <c r="E3794" s="135"/>
      <c r="F3794" s="31"/>
    </row>
    <row r="3795">
      <c r="A3795" s="134" t="str">
        <f>IFERROR(__xludf.DUMMYFUNCTION("""COMPUTED_VALUE"""),"Kaiapit")</f>
        <v>Kaiapit</v>
      </c>
      <c r="B3795" s="120" t="str">
        <f>IFERROR(__xludf.DUMMYFUNCTION("""COMPUTED_VALUE"""),"KIA")</f>
        <v>KIA</v>
      </c>
      <c r="C3795" s="120" t="str">
        <f>IFERROR(__xludf.DUMMYFUNCTION("""COMPUTED_VALUE"""),"Kaiapit")</f>
        <v>Kaiapit</v>
      </c>
      <c r="D3795" s="120" t="str">
        <f>IFERROR(__xludf.DUMMYFUNCTION("""COMPUTED_VALUE"""),"Papua New Guinea")</f>
        <v>Papua New Guinea</v>
      </c>
      <c r="E3795" s="135"/>
      <c r="F3795" s="31"/>
    </row>
    <row r="3796">
      <c r="A3796" s="134" t="str">
        <f>IFERROR(__xludf.DUMMYFUNCTION("""COMPUTED_VALUE"""),"Kaieteur")</f>
        <v>Kaieteur</v>
      </c>
      <c r="B3796" s="120" t="str">
        <f>IFERROR(__xludf.DUMMYFUNCTION("""COMPUTED_VALUE"""),"KAI")</f>
        <v>KAI</v>
      </c>
      <c r="C3796" s="120" t="str">
        <f>IFERROR(__xludf.DUMMYFUNCTION("""COMPUTED_VALUE"""),"Kaieteur")</f>
        <v>Kaieteur</v>
      </c>
      <c r="D3796" s="120" t="str">
        <f>IFERROR(__xludf.DUMMYFUNCTION("""COMPUTED_VALUE"""),"Guyana")</f>
        <v>Guyana</v>
      </c>
      <c r="E3796" s="135"/>
      <c r="F3796" s="31"/>
    </row>
    <row r="3797">
      <c r="A3797" s="134" t="str">
        <f>IFERROR(__xludf.DUMMYFUNCTION("""COMPUTED_VALUE"""),"Kaikohe")</f>
        <v>Kaikohe</v>
      </c>
      <c r="B3797" s="120" t="str">
        <f>IFERROR(__xludf.DUMMYFUNCTION("""COMPUTED_VALUE"""),"KKO")</f>
        <v>KKO</v>
      </c>
      <c r="C3797" s="120" t="str">
        <f>IFERROR(__xludf.DUMMYFUNCTION("""COMPUTED_VALUE"""),"Kaikohe")</f>
        <v>Kaikohe</v>
      </c>
      <c r="D3797" s="120" t="str">
        <f>IFERROR(__xludf.DUMMYFUNCTION("""COMPUTED_VALUE"""),"New Zealand (Aotearoa)")</f>
        <v>New Zealand (Aotearoa)</v>
      </c>
      <c r="E3797" s="135"/>
      <c r="F3797" s="31"/>
    </row>
    <row r="3798">
      <c r="A3798" s="134" t="str">
        <f>IFERROR(__xludf.DUMMYFUNCTION("""COMPUTED_VALUE"""),"Kaikoura")</f>
        <v>Kaikoura</v>
      </c>
      <c r="B3798" s="120" t="str">
        <f>IFERROR(__xludf.DUMMYFUNCTION("""COMPUTED_VALUE"""),"KBZ")</f>
        <v>KBZ</v>
      </c>
      <c r="C3798" s="120" t="str">
        <f>IFERROR(__xludf.DUMMYFUNCTION("""COMPUTED_VALUE"""),"Kaikoura")</f>
        <v>Kaikoura</v>
      </c>
      <c r="D3798" s="120" t="str">
        <f>IFERROR(__xludf.DUMMYFUNCTION("""COMPUTED_VALUE"""),"New Zealand (Aotearoa)")</f>
        <v>New Zealand (Aotearoa)</v>
      </c>
      <c r="E3798" s="135"/>
      <c r="F3798" s="31"/>
    </row>
    <row r="3799">
      <c r="A3799" s="134" t="str">
        <f>IFERROR(__xludf.DUMMYFUNCTION("""COMPUTED_VALUE"""),"Kailashahar")</f>
        <v>Kailashahar</v>
      </c>
      <c r="B3799" s="120" t="str">
        <f>IFERROR(__xludf.DUMMYFUNCTION("""COMPUTED_VALUE"""),"IXH")</f>
        <v>IXH</v>
      </c>
      <c r="C3799" s="120" t="str">
        <f>IFERROR(__xludf.DUMMYFUNCTION("""COMPUTED_VALUE"""),"Kailashahar")</f>
        <v>Kailashahar</v>
      </c>
      <c r="D3799" s="120" t="str">
        <f>IFERROR(__xludf.DUMMYFUNCTION("""COMPUTED_VALUE"""),"India")</f>
        <v>India</v>
      </c>
      <c r="E3799" s="135"/>
      <c r="F3799" s="31"/>
    </row>
    <row r="3800">
      <c r="A3800" s="134" t="str">
        <f>IFERROR(__xludf.DUMMYFUNCTION("""COMPUTED_VALUE"""),"Kaimana")</f>
        <v>Kaimana</v>
      </c>
      <c r="B3800" s="120" t="str">
        <f>IFERROR(__xludf.DUMMYFUNCTION("""COMPUTED_VALUE"""),"KNG")</f>
        <v>KNG</v>
      </c>
      <c r="C3800" s="120" t="str">
        <f>IFERROR(__xludf.DUMMYFUNCTION("""COMPUTED_VALUE"""),"Kaimana")</f>
        <v>Kaimana</v>
      </c>
      <c r="D3800" s="120" t="str">
        <f>IFERROR(__xludf.DUMMYFUNCTION("""COMPUTED_VALUE"""),"Indonesia")</f>
        <v>Indonesia</v>
      </c>
      <c r="E3800" s="135"/>
      <c r="F3800" s="31"/>
    </row>
    <row r="3801">
      <c r="A3801" s="134" t="str">
        <f>IFERROR(__xludf.DUMMYFUNCTION("""COMPUTED_VALUE"""),"Kaintiba")</f>
        <v>Kaintiba</v>
      </c>
      <c r="B3801" s="120" t="str">
        <f>IFERROR(__xludf.DUMMYFUNCTION("""COMPUTED_VALUE"""),"KZF")</f>
        <v>KZF</v>
      </c>
      <c r="C3801" s="120" t="str">
        <f>IFERROR(__xludf.DUMMYFUNCTION("""COMPUTED_VALUE"""),"Kaintiba")</f>
        <v>Kaintiba</v>
      </c>
      <c r="D3801" s="120" t="str">
        <f>IFERROR(__xludf.DUMMYFUNCTION("""COMPUTED_VALUE"""),"Papua New Guinea")</f>
        <v>Papua New Guinea</v>
      </c>
      <c r="E3801" s="135"/>
      <c r="F3801" s="31"/>
    </row>
    <row r="3802">
      <c r="A3802" s="134" t="str">
        <f>IFERROR(__xludf.DUMMYFUNCTION("""COMPUTED_VALUE"""),"Kaiser/Lake Ozark")</f>
        <v>Kaiser/Lake Ozark</v>
      </c>
      <c r="B3802" s="120" t="str">
        <f>IFERROR(__xludf.DUMMYFUNCTION("""COMPUTED_VALUE"""),"AIZ")</f>
        <v>AIZ</v>
      </c>
      <c r="C3802" s="120" t="str">
        <f>IFERROR(__xludf.DUMMYFUNCTION("""COMPUTED_VALUE"""),"Lee C Fine Memorial")</f>
        <v>Lee C Fine Memorial</v>
      </c>
      <c r="D3802" s="120" t="str">
        <f>IFERROR(__xludf.DUMMYFUNCTION("""COMPUTED_VALUE"""),"United States")</f>
        <v>United States</v>
      </c>
      <c r="E3802" s="135"/>
      <c r="F3802" s="31"/>
    </row>
    <row r="3803">
      <c r="A3803" s="134" t="str">
        <f>IFERROR(__xludf.DUMMYFUNCTION("""COMPUTED_VALUE"""),"Kaiserslautern")</f>
        <v>Kaiserslautern</v>
      </c>
      <c r="B3803" s="120" t="str">
        <f>IFERROR(__xludf.DUMMYFUNCTION("""COMPUTED_VALUE"""),"KLT")</f>
        <v>KLT</v>
      </c>
      <c r="C3803" s="120" t="str">
        <f>IFERROR(__xludf.DUMMYFUNCTION("""COMPUTED_VALUE"""),"Kaiserslautern")</f>
        <v>Kaiserslautern</v>
      </c>
      <c r="D3803" s="120" t="str">
        <f>IFERROR(__xludf.DUMMYFUNCTION("""COMPUTED_VALUE"""),"Germany")</f>
        <v>Germany</v>
      </c>
      <c r="E3803" s="135"/>
      <c r="F3803" s="31"/>
    </row>
    <row r="3804">
      <c r="A3804" s="134" t="str">
        <f>IFERROR(__xludf.DUMMYFUNCTION("""COMPUTED_VALUE"""),"Kaitaia")</f>
        <v>Kaitaia</v>
      </c>
      <c r="B3804" s="120" t="str">
        <f>IFERROR(__xludf.DUMMYFUNCTION("""COMPUTED_VALUE"""),"KAT")</f>
        <v>KAT</v>
      </c>
      <c r="C3804" s="120" t="str">
        <f>IFERROR(__xludf.DUMMYFUNCTION("""COMPUTED_VALUE"""),"Kaitaia")</f>
        <v>Kaitaia</v>
      </c>
      <c r="D3804" s="120" t="str">
        <f>IFERROR(__xludf.DUMMYFUNCTION("""COMPUTED_VALUE"""),"New Zealand (Aotearoa)")</f>
        <v>New Zealand (Aotearoa)</v>
      </c>
      <c r="E3804" s="135"/>
      <c r="F3804" s="31"/>
    </row>
    <row r="3805">
      <c r="A3805" s="134" t="str">
        <f>IFERROR(__xludf.DUMMYFUNCTION("""COMPUTED_VALUE"""),"Kajaani")</f>
        <v>Kajaani</v>
      </c>
      <c r="B3805" s="120" t="str">
        <f>IFERROR(__xludf.DUMMYFUNCTION("""COMPUTED_VALUE"""),"KAJ")</f>
        <v>KAJ</v>
      </c>
      <c r="C3805" s="120" t="str">
        <f>IFERROR(__xludf.DUMMYFUNCTION("""COMPUTED_VALUE"""),"Kajaani")</f>
        <v>Kajaani</v>
      </c>
      <c r="D3805" s="120" t="str">
        <f>IFERROR(__xludf.DUMMYFUNCTION("""COMPUTED_VALUE"""),"Finland")</f>
        <v>Finland</v>
      </c>
      <c r="E3805" s="135"/>
      <c r="F3805" s="31"/>
    </row>
    <row r="3806">
      <c r="A3806" s="134" t="str">
        <f>IFERROR(__xludf.DUMMYFUNCTION("""COMPUTED_VALUE"""),"Kake")</f>
        <v>Kake</v>
      </c>
      <c r="B3806" s="120" t="str">
        <f>IFERROR(__xludf.DUMMYFUNCTION("""COMPUTED_VALUE"""),"KAE")</f>
        <v>KAE</v>
      </c>
      <c r="C3806" s="120" t="str">
        <f>IFERROR(__xludf.DUMMYFUNCTION("""COMPUTED_VALUE"""),"SPB")</f>
        <v>SPB</v>
      </c>
      <c r="D3806" s="120" t="str">
        <f>IFERROR(__xludf.DUMMYFUNCTION("""COMPUTED_VALUE"""),"United States")</f>
        <v>United States</v>
      </c>
      <c r="E3806" s="135"/>
      <c r="F3806" s="31"/>
    </row>
    <row r="3807">
      <c r="A3807" s="134" t="str">
        <f>IFERROR(__xludf.DUMMYFUNCTION("""COMPUTED_VALUE"""),"Kakhonak")</f>
        <v>Kakhonak</v>
      </c>
      <c r="B3807" s="120" t="str">
        <f>IFERROR(__xludf.DUMMYFUNCTION("""COMPUTED_VALUE"""),"KNK")</f>
        <v>KNK</v>
      </c>
      <c r="C3807" s="120" t="str">
        <f>IFERROR(__xludf.DUMMYFUNCTION("""COMPUTED_VALUE"""),"Kakhonak")</f>
        <v>Kakhonak</v>
      </c>
      <c r="D3807" s="120" t="str">
        <f>IFERROR(__xludf.DUMMYFUNCTION("""COMPUTED_VALUE"""),"United States")</f>
        <v>United States</v>
      </c>
      <c r="E3807" s="135"/>
      <c r="F3807" s="31"/>
    </row>
    <row r="3808">
      <c r="A3808" s="134" t="str">
        <f>IFERROR(__xludf.DUMMYFUNCTION("""COMPUTED_VALUE"""),"Kalabo")</f>
        <v>Kalabo</v>
      </c>
      <c r="B3808" s="120" t="str">
        <f>IFERROR(__xludf.DUMMYFUNCTION("""COMPUTED_VALUE"""),"KLB")</f>
        <v>KLB</v>
      </c>
      <c r="C3808" s="120" t="str">
        <f>IFERROR(__xludf.DUMMYFUNCTION("""COMPUTED_VALUE"""),"Kalabo")</f>
        <v>Kalabo</v>
      </c>
      <c r="D3808" s="120" t="str">
        <f>IFERROR(__xludf.DUMMYFUNCTION("""COMPUTED_VALUE"""),"Zambia")</f>
        <v>Zambia</v>
      </c>
      <c r="E3808" s="135"/>
      <c r="F3808" s="31"/>
    </row>
    <row r="3809">
      <c r="A3809" s="134" t="str">
        <f>IFERROR(__xludf.DUMMYFUNCTION("""COMPUTED_VALUE"""),"Kalakaket")</f>
        <v>Kalakaket</v>
      </c>
      <c r="B3809" s="120" t="str">
        <f>IFERROR(__xludf.DUMMYFUNCTION("""COMPUTED_VALUE"""),"KKK")</f>
        <v>KKK</v>
      </c>
      <c r="C3809" s="120" t="str">
        <f>IFERROR(__xludf.DUMMYFUNCTION("""COMPUTED_VALUE"""),"Kalakaket AFS")</f>
        <v>Kalakaket AFS</v>
      </c>
      <c r="D3809" s="120" t="str">
        <f>IFERROR(__xludf.DUMMYFUNCTION("""COMPUTED_VALUE"""),"United States")</f>
        <v>United States</v>
      </c>
      <c r="E3809" s="135"/>
      <c r="F3809" s="31"/>
    </row>
    <row r="3810">
      <c r="A3810" s="134" t="str">
        <f>IFERROR(__xludf.DUMMYFUNCTION("""COMPUTED_VALUE"""),"Kalaleh")</f>
        <v>Kalaleh</v>
      </c>
      <c r="B3810" s="120" t="str">
        <f>IFERROR(__xludf.DUMMYFUNCTION("""COMPUTED_VALUE"""),"KLM")</f>
        <v>KLM</v>
      </c>
      <c r="C3810" s="120" t="str">
        <f>IFERROR(__xludf.DUMMYFUNCTION("""COMPUTED_VALUE"""),"Kalaleh")</f>
        <v>Kalaleh</v>
      </c>
      <c r="D3810" s="120" t="str">
        <f>IFERROR(__xludf.DUMMYFUNCTION("""COMPUTED_VALUE"""),"Iran")</f>
        <v>Iran</v>
      </c>
      <c r="E3810" s="135"/>
      <c r="F3810" s="31"/>
    </row>
    <row r="3811">
      <c r="A3811" s="134" t="str">
        <f>IFERROR(__xludf.DUMMYFUNCTION("""COMPUTED_VALUE"""),"Kalamata")</f>
        <v>Kalamata</v>
      </c>
      <c r="B3811" s="120" t="str">
        <f>IFERROR(__xludf.DUMMYFUNCTION("""COMPUTED_VALUE"""),"KLX")</f>
        <v>KLX</v>
      </c>
      <c r="C3811" s="120" t="str">
        <f>IFERROR(__xludf.DUMMYFUNCTION("""COMPUTED_VALUE"""),"Kalamata")</f>
        <v>Kalamata</v>
      </c>
      <c r="D3811" s="120" t="str">
        <f>IFERROR(__xludf.DUMMYFUNCTION("""COMPUTED_VALUE"""),"Greece")</f>
        <v>Greece</v>
      </c>
      <c r="E3811" s="135"/>
      <c r="F3811" s="31"/>
    </row>
    <row r="3812">
      <c r="A3812" s="134" t="str">
        <f>IFERROR(__xludf.DUMMYFUNCTION("""COMPUTED_VALUE"""),"Kalamazoo")</f>
        <v>Kalamazoo</v>
      </c>
      <c r="B3812" s="120" t="str">
        <f>IFERROR(__xludf.DUMMYFUNCTION("""COMPUTED_VALUE"""),"AZO")</f>
        <v>AZO</v>
      </c>
      <c r="C3812" s="120" t="str">
        <f>IFERROR(__xludf.DUMMYFUNCTION("""COMPUTED_VALUE"""),"Battle Creek Intl")</f>
        <v>Battle Creek Intl</v>
      </c>
      <c r="D3812" s="120" t="str">
        <f>IFERROR(__xludf.DUMMYFUNCTION("""COMPUTED_VALUE"""),"United States")</f>
        <v>United States</v>
      </c>
      <c r="E3812" s="135"/>
      <c r="F3812" s="31"/>
    </row>
    <row r="3813">
      <c r="A3813" s="134" t="str">
        <f>IFERROR(__xludf.DUMMYFUNCTION("""COMPUTED_VALUE"""),"Kalat")</f>
        <v>Kalat</v>
      </c>
      <c r="B3813" s="120" t="str">
        <f>IFERROR(__xludf.DUMMYFUNCTION("""COMPUTED_VALUE"""),"KBH")</f>
        <v>KBH</v>
      </c>
      <c r="C3813" s="120" t="str">
        <f>IFERROR(__xludf.DUMMYFUNCTION("""COMPUTED_VALUE"""),"Kalat")</f>
        <v>Kalat</v>
      </c>
      <c r="D3813" s="120" t="str">
        <f>IFERROR(__xludf.DUMMYFUNCTION("""COMPUTED_VALUE"""),"Pakistan")</f>
        <v>Pakistan</v>
      </c>
      <c r="E3813" s="135"/>
      <c r="F3813" s="31"/>
    </row>
    <row r="3814">
      <c r="A3814" s="134" t="str">
        <f>IFERROR(__xludf.DUMMYFUNCTION("""COMPUTED_VALUE"""),"Kalaupapa")</f>
        <v>Kalaupapa</v>
      </c>
      <c r="B3814" s="120" t="str">
        <f>IFERROR(__xludf.DUMMYFUNCTION("""COMPUTED_VALUE"""),"LUP")</f>
        <v>LUP</v>
      </c>
      <c r="C3814" s="120" t="str">
        <f>IFERROR(__xludf.DUMMYFUNCTION("""COMPUTED_VALUE"""),"Kalaupapa")</f>
        <v>Kalaupapa</v>
      </c>
      <c r="D3814" s="120" t="str">
        <f>IFERROR(__xludf.DUMMYFUNCTION("""COMPUTED_VALUE"""),"United States")</f>
        <v>United States</v>
      </c>
      <c r="E3814" s="135"/>
      <c r="F3814" s="31"/>
    </row>
    <row r="3815">
      <c r="A3815" s="134" t="str">
        <f>IFERROR(__xludf.DUMMYFUNCTION("""COMPUTED_VALUE"""),"Kalbarri")</f>
        <v>Kalbarri</v>
      </c>
      <c r="B3815" s="120" t="str">
        <f>IFERROR(__xludf.DUMMYFUNCTION("""COMPUTED_VALUE"""),"KAX")</f>
        <v>KAX</v>
      </c>
      <c r="C3815" s="120" t="str">
        <f>IFERROR(__xludf.DUMMYFUNCTION("""COMPUTED_VALUE"""),"Kalbarri")</f>
        <v>Kalbarri</v>
      </c>
      <c r="D3815" s="120" t="str">
        <f>IFERROR(__xludf.DUMMYFUNCTION("""COMPUTED_VALUE"""),"Australia")</f>
        <v>Australia</v>
      </c>
      <c r="E3815" s="135"/>
      <c r="F3815" s="31"/>
    </row>
    <row r="3816">
      <c r="A3816" s="134" t="str">
        <f>IFERROR(__xludf.DUMMYFUNCTION("""COMPUTED_VALUE"""),"Kalemie")</f>
        <v>Kalemie</v>
      </c>
      <c r="B3816" s="120" t="str">
        <f>IFERROR(__xludf.DUMMYFUNCTION("""COMPUTED_VALUE"""),"FMI")</f>
        <v>FMI</v>
      </c>
      <c r="C3816" s="120" t="str">
        <f>IFERROR(__xludf.DUMMYFUNCTION("""COMPUTED_VALUE"""),"Kalemie")</f>
        <v>Kalemie</v>
      </c>
      <c r="D3816" s="120" t="str">
        <f>IFERROR(__xludf.DUMMYFUNCTION("""COMPUTED_VALUE"""),"Zaire")</f>
        <v>Zaire</v>
      </c>
      <c r="E3816" s="135"/>
      <c r="F3816" s="31"/>
    </row>
    <row r="3817">
      <c r="A3817" s="134" t="str">
        <f>IFERROR(__xludf.DUMMYFUNCTION("""COMPUTED_VALUE"""),"Kalemyo")</f>
        <v>Kalemyo</v>
      </c>
      <c r="B3817" s="120" t="str">
        <f>IFERROR(__xludf.DUMMYFUNCTION("""COMPUTED_VALUE"""),"KMV")</f>
        <v>KMV</v>
      </c>
      <c r="C3817" s="120" t="str">
        <f>IFERROR(__xludf.DUMMYFUNCTION("""COMPUTED_VALUE"""),"Kalemyo")</f>
        <v>Kalemyo</v>
      </c>
      <c r="D3817" s="120" t="str">
        <f>IFERROR(__xludf.DUMMYFUNCTION("""COMPUTED_VALUE"""),"Myanmar")</f>
        <v>Myanmar</v>
      </c>
      <c r="E3817" s="135"/>
      <c r="F3817" s="31"/>
    </row>
    <row r="3818">
      <c r="A3818" s="134" t="str">
        <f>IFERROR(__xludf.DUMMYFUNCTION("""COMPUTED_VALUE"""),"Kalgoorlie")</f>
        <v>Kalgoorlie</v>
      </c>
      <c r="B3818" s="120" t="str">
        <f>IFERROR(__xludf.DUMMYFUNCTION("""COMPUTED_VALUE"""),"KGI")</f>
        <v>KGI</v>
      </c>
      <c r="C3818" s="120" t="str">
        <f>IFERROR(__xludf.DUMMYFUNCTION("""COMPUTED_VALUE"""),"Kalgoorlie")</f>
        <v>Kalgoorlie</v>
      </c>
      <c r="D3818" s="120" t="str">
        <f>IFERROR(__xludf.DUMMYFUNCTION("""COMPUTED_VALUE"""),"Australia")</f>
        <v>Australia</v>
      </c>
      <c r="E3818" s="135"/>
      <c r="F3818" s="31"/>
    </row>
    <row r="3819">
      <c r="A3819" s="134" t="str">
        <f>IFERROR(__xludf.DUMMYFUNCTION("""COMPUTED_VALUE"""),"Kalibo")</f>
        <v>Kalibo</v>
      </c>
      <c r="B3819" s="120" t="str">
        <f>IFERROR(__xludf.DUMMYFUNCTION("""COMPUTED_VALUE"""),"KLO")</f>
        <v>KLO</v>
      </c>
      <c r="C3819" s="120" t="str">
        <f>IFERROR(__xludf.DUMMYFUNCTION("""COMPUTED_VALUE"""),"Kalibo")</f>
        <v>Kalibo</v>
      </c>
      <c r="D3819" s="120" t="str">
        <f>IFERROR(__xludf.DUMMYFUNCTION("""COMPUTED_VALUE"""),"Philippines")</f>
        <v>Philippines</v>
      </c>
      <c r="E3819" s="135"/>
      <c r="F3819" s="31"/>
    </row>
    <row r="3820">
      <c r="A3820" s="134" t="str">
        <f>IFERROR(__xludf.DUMMYFUNCTION("""COMPUTED_VALUE"""),"Kalima")</f>
        <v>Kalima</v>
      </c>
      <c r="B3820" s="120" t="str">
        <f>IFERROR(__xludf.DUMMYFUNCTION("""COMPUTED_VALUE"""),"KLY")</f>
        <v>KLY</v>
      </c>
      <c r="C3820" s="120" t="str">
        <f>IFERROR(__xludf.DUMMYFUNCTION("""COMPUTED_VALUE"""),"Kalima")</f>
        <v>Kalima</v>
      </c>
      <c r="D3820" s="120" t="str">
        <f>IFERROR(__xludf.DUMMYFUNCTION("""COMPUTED_VALUE"""),"Zaire")</f>
        <v>Zaire</v>
      </c>
      <c r="E3820" s="135"/>
      <c r="F3820" s="31"/>
    </row>
    <row r="3821">
      <c r="A3821" s="134" t="str">
        <f>IFERROR(__xludf.DUMMYFUNCTION("""COMPUTED_VALUE"""),"Kalinin")</f>
        <v>Kalinin</v>
      </c>
      <c r="B3821" s="120" t="str">
        <f>IFERROR(__xludf.DUMMYFUNCTION("""COMPUTED_VALUE"""),"KLD")</f>
        <v>KLD</v>
      </c>
      <c r="C3821" s="120" t="str">
        <f>IFERROR(__xludf.DUMMYFUNCTION("""COMPUTED_VALUE"""),"Migalovo")</f>
        <v>Migalovo</v>
      </c>
      <c r="D3821" s="120" t="str">
        <f>IFERROR(__xludf.DUMMYFUNCTION("""COMPUTED_VALUE"""),"Russia")</f>
        <v>Russia</v>
      </c>
      <c r="E3821" s="135"/>
      <c r="F3821" s="31"/>
    </row>
    <row r="3822">
      <c r="A3822" s="134" t="str">
        <f>IFERROR(__xludf.DUMMYFUNCTION("""COMPUTED_VALUE"""),"Kaliningrad")</f>
        <v>Kaliningrad</v>
      </c>
      <c r="B3822" s="120" t="str">
        <f>IFERROR(__xludf.DUMMYFUNCTION("""COMPUTED_VALUE"""),"KGD")</f>
        <v>KGD</v>
      </c>
      <c r="C3822" s="120" t="str">
        <f>IFERROR(__xludf.DUMMYFUNCTION("""COMPUTED_VALUE"""),"Kaliningrad")</f>
        <v>Kaliningrad</v>
      </c>
      <c r="D3822" s="120" t="str">
        <f>IFERROR(__xludf.DUMMYFUNCTION("""COMPUTED_VALUE"""),"Russia")</f>
        <v>Russia</v>
      </c>
      <c r="E3822" s="135"/>
      <c r="F3822" s="31"/>
    </row>
    <row r="3823">
      <c r="A3823" s="134" t="str">
        <f>IFERROR(__xludf.DUMMYFUNCTION("""COMPUTED_VALUE"""),"Kalispell")</f>
        <v>Kalispell</v>
      </c>
      <c r="B3823" s="120" t="str">
        <f>IFERROR(__xludf.DUMMYFUNCTION("""COMPUTED_VALUE"""),"FCA")</f>
        <v>FCA</v>
      </c>
      <c r="C3823" s="120" t="str">
        <f>IFERROR(__xludf.DUMMYFUNCTION("""COMPUTED_VALUE"""),"Glacier National Park")</f>
        <v>Glacier National Park</v>
      </c>
      <c r="D3823" s="120" t="str">
        <f>IFERROR(__xludf.DUMMYFUNCTION("""COMPUTED_VALUE"""),"United States")</f>
        <v>United States</v>
      </c>
      <c r="E3823" s="135"/>
      <c r="F3823" s="31"/>
    </row>
    <row r="3824">
      <c r="A3824" s="134" t="str">
        <f>IFERROR(__xludf.DUMMYFUNCTION("""COMPUTED_VALUE"""),"Kalkurung")</f>
        <v>Kalkurung</v>
      </c>
      <c r="B3824" s="120" t="str">
        <f>IFERROR(__xludf.DUMMYFUNCTION("""COMPUTED_VALUE"""),"KFG")</f>
        <v>KFG</v>
      </c>
      <c r="C3824" s="120" t="str">
        <f>IFERROR(__xludf.DUMMYFUNCTION("""COMPUTED_VALUE"""),"Kalkurung")</f>
        <v>Kalkurung</v>
      </c>
      <c r="D3824" s="120" t="str">
        <f>IFERROR(__xludf.DUMMYFUNCTION("""COMPUTED_VALUE"""),"Australia")</f>
        <v>Australia</v>
      </c>
      <c r="E3824" s="135"/>
      <c r="F3824" s="31"/>
    </row>
    <row r="3825">
      <c r="A3825" s="134" t="str">
        <f>IFERROR(__xludf.DUMMYFUNCTION("""COMPUTED_VALUE"""),"Kalmar")</f>
        <v>Kalmar</v>
      </c>
      <c r="B3825" s="120" t="str">
        <f>IFERROR(__xludf.DUMMYFUNCTION("""COMPUTED_VALUE"""),"KLR")</f>
        <v>KLR</v>
      </c>
      <c r="C3825" s="120" t="str">
        <f>IFERROR(__xludf.DUMMYFUNCTION("""COMPUTED_VALUE"""),"Kalmar")</f>
        <v>Kalmar</v>
      </c>
      <c r="D3825" s="120" t="str">
        <f>IFERROR(__xludf.DUMMYFUNCTION("""COMPUTED_VALUE"""),"Sweden")</f>
        <v>Sweden</v>
      </c>
      <c r="E3825" s="135"/>
      <c r="F3825" s="31"/>
    </row>
    <row r="3826">
      <c r="A3826" s="134" t="str">
        <f>IFERROR(__xludf.DUMMYFUNCTION("""COMPUTED_VALUE"""),"Kalokol")</f>
        <v>Kalokol</v>
      </c>
      <c r="B3826" s="120" t="str">
        <f>IFERROR(__xludf.DUMMYFUNCTION("""COMPUTED_VALUE"""),"KLK")</f>
        <v>KLK</v>
      </c>
      <c r="C3826" s="120" t="str">
        <f>IFERROR(__xludf.DUMMYFUNCTION("""COMPUTED_VALUE"""),"Kalokol")</f>
        <v>Kalokol</v>
      </c>
      <c r="D3826" s="120" t="str">
        <f>IFERROR(__xludf.DUMMYFUNCTION("""COMPUTED_VALUE"""),"Kenya")</f>
        <v>Kenya</v>
      </c>
      <c r="E3826" s="135"/>
      <c r="F3826" s="31"/>
    </row>
    <row r="3827">
      <c r="A3827" s="134" t="str">
        <f>IFERROR(__xludf.DUMMYFUNCTION("""COMPUTED_VALUE"""),"Kalpowar")</f>
        <v>Kalpowar</v>
      </c>
      <c r="B3827" s="120" t="str">
        <f>IFERROR(__xludf.DUMMYFUNCTION("""COMPUTED_VALUE"""),"KPP")</f>
        <v>KPP</v>
      </c>
      <c r="C3827" s="120" t="str">
        <f>IFERROR(__xludf.DUMMYFUNCTION("""COMPUTED_VALUE"""),"Kalpowar")</f>
        <v>Kalpowar</v>
      </c>
      <c r="D3827" s="120" t="str">
        <f>IFERROR(__xludf.DUMMYFUNCTION("""COMPUTED_VALUE"""),"Australia")</f>
        <v>Australia</v>
      </c>
      <c r="E3827" s="135"/>
      <c r="F3827" s="31"/>
    </row>
    <row r="3828">
      <c r="A3828" s="134" t="str">
        <f>IFERROR(__xludf.DUMMYFUNCTION("""COMPUTED_VALUE"""),"Kalskag")</f>
        <v>Kalskag</v>
      </c>
      <c r="B3828" s="120" t="str">
        <f>IFERROR(__xludf.DUMMYFUNCTION("""COMPUTED_VALUE"""),"KLG")</f>
        <v>KLG</v>
      </c>
      <c r="C3828" s="120" t="str">
        <f>IFERROR(__xludf.DUMMYFUNCTION("""COMPUTED_VALUE"""),"Municipal")</f>
        <v>Municipal</v>
      </c>
      <c r="D3828" s="120" t="str">
        <f>IFERROR(__xludf.DUMMYFUNCTION("""COMPUTED_VALUE"""),"United States")</f>
        <v>United States</v>
      </c>
      <c r="E3828" s="135"/>
      <c r="F3828" s="31"/>
    </row>
    <row r="3829">
      <c r="A3829" s="134" t="str">
        <f>IFERROR(__xludf.DUMMYFUNCTION("""COMPUTED_VALUE"""),"Kaltag")</f>
        <v>Kaltag</v>
      </c>
      <c r="B3829" s="120" t="str">
        <f>IFERROR(__xludf.DUMMYFUNCTION("""COMPUTED_VALUE"""),"KAL")</f>
        <v>KAL</v>
      </c>
      <c r="C3829" s="120" t="str">
        <f>IFERROR(__xludf.DUMMYFUNCTION("""COMPUTED_VALUE"""),"Kaltag")</f>
        <v>Kaltag</v>
      </c>
      <c r="D3829" s="120" t="str">
        <f>IFERROR(__xludf.DUMMYFUNCTION("""COMPUTED_VALUE"""),"United States")</f>
        <v>United States</v>
      </c>
      <c r="E3829" s="135"/>
      <c r="F3829" s="31"/>
    </row>
    <row r="3830">
      <c r="A3830" s="134" t="str">
        <f>IFERROR(__xludf.DUMMYFUNCTION("""COMPUTED_VALUE"""),"Kaluga")</f>
        <v>Kaluga</v>
      </c>
      <c r="B3830" s="120" t="str">
        <f>IFERROR(__xludf.DUMMYFUNCTION("""COMPUTED_VALUE"""),"KLF")</f>
        <v>KLF</v>
      </c>
      <c r="C3830" s="120" t="str">
        <f>IFERROR(__xludf.DUMMYFUNCTION("""COMPUTED_VALUE"""),"Kaluga")</f>
        <v>Kaluga</v>
      </c>
      <c r="D3830" s="120" t="str">
        <f>IFERROR(__xludf.DUMMYFUNCTION("""COMPUTED_VALUE"""),"Russia")</f>
        <v>Russia</v>
      </c>
      <c r="E3830" s="135"/>
      <c r="F3830" s="31"/>
    </row>
    <row r="3831">
      <c r="A3831" s="134" t="str">
        <f>IFERROR(__xludf.DUMMYFUNCTION("""COMPUTED_VALUE"""),"Kalumburu")</f>
        <v>Kalumburu</v>
      </c>
      <c r="B3831" s="120" t="str">
        <f>IFERROR(__xludf.DUMMYFUNCTION("""COMPUTED_VALUE"""),"UBU")</f>
        <v>UBU</v>
      </c>
      <c r="C3831" s="120" t="str">
        <f>IFERROR(__xludf.DUMMYFUNCTION("""COMPUTED_VALUE"""),"Kalumburu")</f>
        <v>Kalumburu</v>
      </c>
      <c r="D3831" s="120" t="str">
        <f>IFERROR(__xludf.DUMMYFUNCTION("""COMPUTED_VALUE"""),"Australia")</f>
        <v>Australia</v>
      </c>
      <c r="E3831" s="135"/>
      <c r="F3831" s="31"/>
    </row>
    <row r="3832">
      <c r="A3832" s="134" t="str">
        <f>IFERROR(__xludf.DUMMYFUNCTION("""COMPUTED_VALUE"""),"Kamalpur")</f>
        <v>Kamalpur</v>
      </c>
      <c r="B3832" s="120" t="str">
        <f>IFERROR(__xludf.DUMMYFUNCTION("""COMPUTED_VALUE"""),"IXQ")</f>
        <v>IXQ</v>
      </c>
      <c r="C3832" s="120" t="str">
        <f>IFERROR(__xludf.DUMMYFUNCTION("""COMPUTED_VALUE"""),"Kamalpur")</f>
        <v>Kamalpur</v>
      </c>
      <c r="D3832" s="120" t="str">
        <f>IFERROR(__xludf.DUMMYFUNCTION("""COMPUTED_VALUE"""),"India")</f>
        <v>India</v>
      </c>
      <c r="E3832" s="135"/>
      <c r="F3832" s="31"/>
    </row>
    <row r="3833">
      <c r="A3833" s="134" t="str">
        <f>IFERROR(__xludf.DUMMYFUNCTION("""COMPUTED_VALUE"""),"Kamaran Downs")</f>
        <v>Kamaran Downs</v>
      </c>
      <c r="B3833" s="120" t="str">
        <f>IFERROR(__xludf.DUMMYFUNCTION("""COMPUTED_VALUE"""),"KDS")</f>
        <v>KDS</v>
      </c>
      <c r="C3833" s="120" t="str">
        <f>IFERROR(__xludf.DUMMYFUNCTION("""COMPUTED_VALUE"""),"Kamaran Downs")</f>
        <v>Kamaran Downs</v>
      </c>
      <c r="D3833" s="120" t="str">
        <f>IFERROR(__xludf.DUMMYFUNCTION("""COMPUTED_VALUE"""),"Australia")</f>
        <v>Australia</v>
      </c>
      <c r="E3833" s="135"/>
      <c r="F3833" s="31"/>
    </row>
    <row r="3834">
      <c r="A3834" s="134" t="str">
        <f>IFERROR(__xludf.DUMMYFUNCTION("""COMPUTED_VALUE"""),"Kamaran Is")</f>
        <v>Kamaran Is</v>
      </c>
      <c r="B3834" s="120" t="str">
        <f>IFERROR(__xludf.DUMMYFUNCTION("""COMPUTED_VALUE"""),"KAM")</f>
        <v>KAM</v>
      </c>
      <c r="C3834" s="120" t="str">
        <f>IFERROR(__xludf.DUMMYFUNCTION("""COMPUTED_VALUE"""),"Kamaran Is")</f>
        <v>Kamaran Is</v>
      </c>
      <c r="D3834" s="120" t="str">
        <f>IFERROR(__xludf.DUMMYFUNCTION("""COMPUTED_VALUE"""),"Yemen")</f>
        <v>Yemen</v>
      </c>
      <c r="E3834" s="135"/>
      <c r="F3834" s="31"/>
    </row>
    <row r="3835">
      <c r="A3835" s="134" t="str">
        <f>IFERROR(__xludf.DUMMYFUNCTION("""COMPUTED_VALUE"""),"Kamarang")</f>
        <v>Kamarang</v>
      </c>
      <c r="B3835" s="120" t="str">
        <f>IFERROR(__xludf.DUMMYFUNCTION("""COMPUTED_VALUE"""),"KAR")</f>
        <v>KAR</v>
      </c>
      <c r="C3835" s="120" t="str">
        <f>IFERROR(__xludf.DUMMYFUNCTION("""COMPUTED_VALUE"""),"Kamarang")</f>
        <v>Kamarang</v>
      </c>
      <c r="D3835" s="120" t="str">
        <f>IFERROR(__xludf.DUMMYFUNCTION("""COMPUTED_VALUE"""),"Guyana")</f>
        <v>Guyana</v>
      </c>
      <c r="E3835" s="135"/>
      <c r="F3835" s="31"/>
    </row>
    <row r="3836">
      <c r="A3836" s="134" t="str">
        <f>IFERROR(__xludf.DUMMYFUNCTION("""COMPUTED_VALUE"""),"Kamarata")</f>
        <v>Kamarata</v>
      </c>
      <c r="B3836" s="120" t="str">
        <f>IFERROR(__xludf.DUMMYFUNCTION("""COMPUTED_VALUE"""),"KTV")</f>
        <v>KTV</v>
      </c>
      <c r="C3836" s="120" t="str">
        <f>IFERROR(__xludf.DUMMYFUNCTION("""COMPUTED_VALUE"""),"Kamarata")</f>
        <v>Kamarata</v>
      </c>
      <c r="D3836" s="120" t="str">
        <f>IFERROR(__xludf.DUMMYFUNCTION("""COMPUTED_VALUE"""),"Venezuela")</f>
        <v>Venezuela</v>
      </c>
      <c r="E3836" s="135"/>
      <c r="F3836" s="31"/>
    </row>
    <row r="3837">
      <c r="A3837" s="134" t="str">
        <f>IFERROR(__xludf.DUMMYFUNCTION("""COMPUTED_VALUE"""),"Kambalda")</f>
        <v>Kambalda</v>
      </c>
      <c r="B3837" s="120" t="str">
        <f>IFERROR(__xludf.DUMMYFUNCTION("""COMPUTED_VALUE"""),"KDB")</f>
        <v>KDB</v>
      </c>
      <c r="C3837" s="120" t="str">
        <f>IFERROR(__xludf.DUMMYFUNCTION("""COMPUTED_VALUE"""),"Kambalda")</f>
        <v>Kambalda</v>
      </c>
      <c r="D3837" s="120" t="str">
        <f>IFERROR(__xludf.DUMMYFUNCTION("""COMPUTED_VALUE"""),"Australia")</f>
        <v>Australia</v>
      </c>
      <c r="E3837" s="135"/>
      <c r="F3837" s="31"/>
    </row>
    <row r="3838">
      <c r="A3838" s="134" t="str">
        <f>IFERROR(__xludf.DUMMYFUNCTION("""COMPUTED_VALUE"""),"Kamberatoro")</f>
        <v>Kamberatoro</v>
      </c>
      <c r="B3838" s="120" t="str">
        <f>IFERROR(__xludf.DUMMYFUNCTION("""COMPUTED_VALUE"""),"KDQ")</f>
        <v>KDQ</v>
      </c>
      <c r="C3838" s="120" t="str">
        <f>IFERROR(__xludf.DUMMYFUNCTION("""COMPUTED_VALUE"""),"Kamberatoro")</f>
        <v>Kamberatoro</v>
      </c>
      <c r="D3838" s="120" t="str">
        <f>IFERROR(__xludf.DUMMYFUNCTION("""COMPUTED_VALUE"""),"Papua New Guinea")</f>
        <v>Papua New Guinea</v>
      </c>
      <c r="E3838" s="135"/>
      <c r="F3838" s="31"/>
    </row>
    <row r="3839">
      <c r="A3839" s="134" t="str">
        <f>IFERROR(__xludf.DUMMYFUNCTION("""COMPUTED_VALUE"""),"Kambuaya")</f>
        <v>Kambuaya</v>
      </c>
      <c r="B3839" s="120" t="str">
        <f>IFERROR(__xludf.DUMMYFUNCTION("""COMPUTED_VALUE"""),"KBX")</f>
        <v>KBX</v>
      </c>
      <c r="C3839" s="120" t="str">
        <f>IFERROR(__xludf.DUMMYFUNCTION("""COMPUTED_VALUE"""),"Kambuaya")</f>
        <v>Kambuaya</v>
      </c>
      <c r="D3839" s="120" t="str">
        <f>IFERROR(__xludf.DUMMYFUNCTION("""COMPUTED_VALUE"""),"Indonesia")</f>
        <v>Indonesia</v>
      </c>
      <c r="E3839" s="135"/>
      <c r="F3839" s="31"/>
    </row>
    <row r="3840">
      <c r="A3840" s="134" t="str">
        <f>IFERROR(__xludf.DUMMYFUNCTION("""COMPUTED_VALUE"""),"Kamembe")</f>
        <v>Kamembe</v>
      </c>
      <c r="B3840" s="120" t="str">
        <f>IFERROR(__xludf.DUMMYFUNCTION("""COMPUTED_VALUE"""),"KME")</f>
        <v>KME</v>
      </c>
      <c r="C3840" s="120" t="str">
        <f>IFERROR(__xludf.DUMMYFUNCTION("""COMPUTED_VALUE"""),"Kamembe")</f>
        <v>Kamembe</v>
      </c>
      <c r="D3840" s="120" t="str">
        <f>IFERROR(__xludf.DUMMYFUNCTION("""COMPUTED_VALUE"""),"Rwanda")</f>
        <v>Rwanda</v>
      </c>
      <c r="E3840" s="135"/>
      <c r="F3840" s="31"/>
    </row>
    <row r="3841">
      <c r="A3841" s="134" t="str">
        <f>IFERROR(__xludf.DUMMYFUNCTION("""COMPUTED_VALUE"""),"Kamenets-Podolskiy")</f>
        <v>Kamenets-Podolskiy</v>
      </c>
      <c r="B3841" s="120" t="str">
        <f>IFERROR(__xludf.DUMMYFUNCTION("""COMPUTED_VALUE"""),"KCP")</f>
        <v>KCP</v>
      </c>
      <c r="C3841" s="120" t="str">
        <f>IFERROR(__xludf.DUMMYFUNCTION("""COMPUTED_VALUE"""),"Kamenets-Podolskiy")</f>
        <v>Kamenets-Podolskiy</v>
      </c>
      <c r="D3841" s="120" t="str">
        <f>IFERROR(__xludf.DUMMYFUNCTION("""COMPUTED_VALUE"""),"Ukraine")</f>
        <v>Ukraine</v>
      </c>
      <c r="E3841" s="135"/>
      <c r="F3841" s="31"/>
    </row>
    <row r="3842">
      <c r="A3842" s="134" t="str">
        <f>IFERROR(__xludf.DUMMYFUNCTION("""COMPUTED_VALUE"""),"Kameshli")</f>
        <v>Kameshli</v>
      </c>
      <c r="B3842" s="120" t="str">
        <f>IFERROR(__xludf.DUMMYFUNCTION("""COMPUTED_VALUE"""),"KAC")</f>
        <v>KAC</v>
      </c>
      <c r="C3842" s="120" t="str">
        <f>IFERROR(__xludf.DUMMYFUNCTION("""COMPUTED_VALUE"""),"Kameshli")</f>
        <v>Kameshli</v>
      </c>
      <c r="D3842" s="120" t="str">
        <f>IFERROR(__xludf.DUMMYFUNCTION("""COMPUTED_VALUE"""),"Syria")</f>
        <v>Syria</v>
      </c>
      <c r="E3842" s="135"/>
      <c r="F3842" s="31"/>
    </row>
    <row r="3843">
      <c r="A3843" s="134" t="str">
        <f>IFERROR(__xludf.DUMMYFUNCTION("""COMPUTED_VALUE"""),"Kamileroi")</f>
        <v>Kamileroi</v>
      </c>
      <c r="B3843" s="120" t="str">
        <f>IFERROR(__xludf.DUMMYFUNCTION("""COMPUTED_VALUE"""),"KML")</f>
        <v>KML</v>
      </c>
      <c r="C3843" s="120" t="str">
        <f>IFERROR(__xludf.DUMMYFUNCTION("""COMPUTED_VALUE"""),"Kamileroi")</f>
        <v>Kamileroi</v>
      </c>
      <c r="D3843" s="120" t="str">
        <f>IFERROR(__xludf.DUMMYFUNCTION("""COMPUTED_VALUE"""),"Australia")</f>
        <v>Australia</v>
      </c>
      <c r="E3843" s="135"/>
      <c r="F3843" s="31"/>
    </row>
    <row r="3844">
      <c r="A3844" s="134" t="str">
        <f>IFERROR(__xludf.DUMMYFUNCTION("""COMPUTED_VALUE"""),"Kamina")</f>
        <v>Kamina</v>
      </c>
      <c r="B3844" s="120" t="str">
        <f>IFERROR(__xludf.DUMMYFUNCTION("""COMPUTED_VALUE"""),"KMN")</f>
        <v>KMN</v>
      </c>
      <c r="C3844" s="120" t="str">
        <f>IFERROR(__xludf.DUMMYFUNCTION("""COMPUTED_VALUE"""),"Kamina")</f>
        <v>Kamina</v>
      </c>
      <c r="D3844" s="120" t="str">
        <f>IFERROR(__xludf.DUMMYFUNCTION("""COMPUTED_VALUE"""),"Zaire")</f>
        <v>Zaire</v>
      </c>
      <c r="E3844" s="135"/>
      <c r="F3844" s="31"/>
    </row>
    <row r="3845">
      <c r="A3845" s="134" t="str">
        <f>IFERROR(__xludf.DUMMYFUNCTION("""COMPUTED_VALUE"""),"Kamina")</f>
        <v>Kamina</v>
      </c>
      <c r="B3845" s="120" t="str">
        <f>IFERROR(__xludf.DUMMYFUNCTION("""COMPUTED_VALUE"""),"KMF")</f>
        <v>KMF</v>
      </c>
      <c r="C3845" s="120" t="str">
        <f>IFERROR(__xludf.DUMMYFUNCTION("""COMPUTED_VALUE"""),"Kamina")</f>
        <v>Kamina</v>
      </c>
      <c r="D3845" s="120" t="str">
        <f>IFERROR(__xludf.DUMMYFUNCTION("""COMPUTED_VALUE"""),"Papua New Guinea")</f>
        <v>Papua New Guinea</v>
      </c>
      <c r="E3845" s="135"/>
      <c r="F3845" s="31"/>
    </row>
    <row r="3846">
      <c r="A3846" s="134" t="str">
        <f>IFERROR(__xludf.DUMMYFUNCTION("""COMPUTED_VALUE"""),"Kamiraba")</f>
        <v>Kamiraba</v>
      </c>
      <c r="B3846" s="120" t="str">
        <f>IFERROR(__xludf.DUMMYFUNCTION("""COMPUTED_VALUE"""),"KJU")</f>
        <v>KJU</v>
      </c>
      <c r="C3846" s="120" t="str">
        <f>IFERROR(__xludf.DUMMYFUNCTION("""COMPUTED_VALUE"""),"Kamiraba")</f>
        <v>Kamiraba</v>
      </c>
      <c r="D3846" s="120" t="str">
        <f>IFERROR(__xludf.DUMMYFUNCTION("""COMPUTED_VALUE"""),"Papua New Guinea")</f>
        <v>Papua New Guinea</v>
      </c>
      <c r="E3846" s="135"/>
      <c r="F3846" s="31"/>
    </row>
    <row r="3847">
      <c r="A3847" s="134" t="str">
        <f>IFERROR(__xludf.DUMMYFUNCTION("""COMPUTED_VALUE"""),"Kamloops")</f>
        <v>Kamloops</v>
      </c>
      <c r="B3847" s="120" t="str">
        <f>IFERROR(__xludf.DUMMYFUNCTION("""COMPUTED_VALUE"""),"YKA")</f>
        <v>YKA</v>
      </c>
      <c r="C3847" s="120" t="str">
        <f>IFERROR(__xludf.DUMMYFUNCTION("""COMPUTED_VALUE"""),"Kamloops")</f>
        <v>Kamloops</v>
      </c>
      <c r="D3847" s="120" t="str">
        <f>IFERROR(__xludf.DUMMYFUNCTION("""COMPUTED_VALUE"""),"Canada")</f>
        <v>Canada</v>
      </c>
      <c r="E3847" s="135"/>
      <c r="F3847" s="31"/>
    </row>
    <row r="3848">
      <c r="A3848" s="134" t="str">
        <f>IFERROR(__xludf.DUMMYFUNCTION("""COMPUTED_VALUE"""),"Kamphangsaen")</f>
        <v>Kamphangsaen</v>
      </c>
      <c r="B3848" s="120" t="str">
        <f>IFERROR(__xludf.DUMMYFUNCTION("""COMPUTED_VALUE"""),"KDT")</f>
        <v>KDT</v>
      </c>
      <c r="C3848" s="120" t="str">
        <f>IFERROR(__xludf.DUMMYFUNCTION("""COMPUTED_VALUE"""),"Kamphangsaen")</f>
        <v>Kamphangsaen</v>
      </c>
      <c r="D3848" s="120" t="str">
        <f>IFERROR(__xludf.DUMMYFUNCTION("""COMPUTED_VALUE"""),"Thailand")</f>
        <v>Thailand</v>
      </c>
      <c r="E3848" s="135"/>
      <c r="F3848" s="31"/>
    </row>
    <row r="3849">
      <c r="A3849" s="134" t="str">
        <f>IFERROR(__xludf.DUMMYFUNCTION("""COMPUTED_VALUE"""),"Kampot")</f>
        <v>Kampot</v>
      </c>
      <c r="B3849" s="120" t="str">
        <f>IFERROR(__xludf.DUMMYFUNCTION("""COMPUTED_VALUE"""),"KMT")</f>
        <v>KMT</v>
      </c>
      <c r="C3849" s="120" t="str">
        <f>IFERROR(__xludf.DUMMYFUNCTION("""COMPUTED_VALUE"""),"Kampot")</f>
        <v>Kampot</v>
      </c>
      <c r="D3849" s="120" t="str">
        <f>IFERROR(__xludf.DUMMYFUNCTION("""COMPUTED_VALUE"""),"Cambodia")</f>
        <v>Cambodia</v>
      </c>
      <c r="E3849" s="135"/>
      <c r="F3849" s="31"/>
    </row>
    <row r="3850">
      <c r="A3850" s="134" t="str">
        <f>IFERROR(__xludf.DUMMYFUNCTION("""COMPUTED_VALUE"""),"Kamuela")</f>
        <v>Kamuela</v>
      </c>
      <c r="B3850" s="120" t="str">
        <f>IFERROR(__xludf.DUMMYFUNCTION("""COMPUTED_VALUE"""),"MUE")</f>
        <v>MUE</v>
      </c>
      <c r="C3850" s="120" t="str">
        <f>IFERROR(__xludf.DUMMYFUNCTION("""COMPUTED_VALUE"""),"Kamuela")</f>
        <v>Kamuela</v>
      </c>
      <c r="D3850" s="120" t="str">
        <f>IFERROR(__xludf.DUMMYFUNCTION("""COMPUTED_VALUE"""),"United States")</f>
        <v>United States</v>
      </c>
      <c r="E3850" s="135"/>
      <c r="F3850" s="31"/>
    </row>
    <row r="3851">
      <c r="A3851" s="134" t="str">
        <f>IFERROR(__xludf.DUMMYFUNCTION("""COMPUTED_VALUE"""),"Kamulai")</f>
        <v>Kamulai</v>
      </c>
      <c r="B3851" s="120" t="str">
        <f>IFERROR(__xludf.DUMMYFUNCTION("""COMPUTED_VALUE"""),"KAQ")</f>
        <v>KAQ</v>
      </c>
      <c r="C3851" s="120" t="str">
        <f>IFERROR(__xludf.DUMMYFUNCTION("""COMPUTED_VALUE"""),"Kamulai")</f>
        <v>Kamulai</v>
      </c>
      <c r="D3851" s="120" t="str">
        <f>IFERROR(__xludf.DUMMYFUNCTION("""COMPUTED_VALUE"""),"Papua New Guinea")</f>
        <v>Papua New Guinea</v>
      </c>
      <c r="E3851" s="135"/>
      <c r="F3851" s="31"/>
    </row>
    <row r="3852">
      <c r="A3852" s="134" t="str">
        <f>IFERROR(__xludf.DUMMYFUNCTION("""COMPUTED_VALUE"""),"Kamur")</f>
        <v>Kamur</v>
      </c>
      <c r="B3852" s="120" t="str">
        <f>IFERROR(__xludf.DUMMYFUNCTION("""COMPUTED_VALUE"""),"KCD")</f>
        <v>KCD</v>
      </c>
      <c r="C3852" s="120" t="str">
        <f>IFERROR(__xludf.DUMMYFUNCTION("""COMPUTED_VALUE"""),"Kamur")</f>
        <v>Kamur</v>
      </c>
      <c r="D3852" s="120" t="str">
        <f>IFERROR(__xludf.DUMMYFUNCTION("""COMPUTED_VALUE"""),"Indonesia")</f>
        <v>Indonesia</v>
      </c>
      <c r="E3852" s="135"/>
      <c r="F3852" s="31"/>
    </row>
    <row r="3853">
      <c r="A3853" s="134" t="str">
        <f>IFERROR(__xludf.DUMMYFUNCTION("""COMPUTED_VALUE"""),"Kamusi")</f>
        <v>Kamusi</v>
      </c>
      <c r="B3853" s="120" t="str">
        <f>IFERROR(__xludf.DUMMYFUNCTION("""COMPUTED_VALUE"""),"KUY")</f>
        <v>KUY</v>
      </c>
      <c r="C3853" s="120" t="str">
        <f>IFERROR(__xludf.DUMMYFUNCTION("""COMPUTED_VALUE"""),"Kamusi Airport")</f>
        <v>Kamusi Airport</v>
      </c>
      <c r="D3853" s="120" t="str">
        <f>IFERROR(__xludf.DUMMYFUNCTION("""COMPUTED_VALUE"""),"United States")</f>
        <v>United States</v>
      </c>
      <c r="E3853" s="135"/>
      <c r="F3853" s="31"/>
    </row>
    <row r="3854">
      <c r="A3854" s="134" t="str">
        <f>IFERROR(__xludf.DUMMYFUNCTION("""COMPUTED_VALUE"""),"Kanab")</f>
        <v>Kanab</v>
      </c>
      <c r="B3854" s="120" t="str">
        <f>IFERROR(__xludf.DUMMYFUNCTION("""COMPUTED_VALUE"""),"KNB")</f>
        <v>KNB</v>
      </c>
      <c r="C3854" s="120" t="str">
        <f>IFERROR(__xludf.DUMMYFUNCTION("""COMPUTED_VALUE"""),"Kanab")</f>
        <v>Kanab</v>
      </c>
      <c r="D3854" s="120" t="str">
        <f>IFERROR(__xludf.DUMMYFUNCTION("""COMPUTED_VALUE"""),"United States")</f>
        <v>United States</v>
      </c>
      <c r="E3854" s="135"/>
      <c r="F3854" s="31"/>
    </row>
    <row r="3855">
      <c r="A3855" s="134" t="str">
        <f>IFERROR(__xludf.DUMMYFUNCTION("""COMPUTED_VALUE"""),"Kanabea")</f>
        <v>Kanabea</v>
      </c>
      <c r="B3855" s="120" t="str">
        <f>IFERROR(__xludf.DUMMYFUNCTION("""COMPUTED_VALUE"""),"KEX")</f>
        <v>KEX</v>
      </c>
      <c r="C3855" s="120" t="str">
        <f>IFERROR(__xludf.DUMMYFUNCTION("""COMPUTED_VALUE"""),"Kanabea")</f>
        <v>Kanabea</v>
      </c>
      <c r="D3855" s="120" t="str">
        <f>IFERROR(__xludf.DUMMYFUNCTION("""COMPUTED_VALUE"""),"Papua New Guinea")</f>
        <v>Papua New Guinea</v>
      </c>
      <c r="E3855" s="135"/>
      <c r="F3855" s="31"/>
    </row>
    <row r="3856">
      <c r="A3856" s="134" t="str">
        <f>IFERROR(__xludf.DUMMYFUNCTION("""COMPUTED_VALUE"""),"Kanainj")</f>
        <v>Kanainj</v>
      </c>
      <c r="B3856" s="120" t="str">
        <f>IFERROR(__xludf.DUMMYFUNCTION("""COMPUTED_VALUE"""),"KNE")</f>
        <v>KNE</v>
      </c>
      <c r="C3856" s="120" t="str">
        <f>IFERROR(__xludf.DUMMYFUNCTION("""COMPUTED_VALUE"""),"Kanainj")</f>
        <v>Kanainj</v>
      </c>
      <c r="D3856" s="120" t="str">
        <f>IFERROR(__xludf.DUMMYFUNCTION("""COMPUTED_VALUE"""),"Papua New Guinea")</f>
        <v>Papua New Guinea</v>
      </c>
      <c r="E3856" s="135"/>
      <c r="F3856" s="31"/>
    </row>
    <row r="3857">
      <c r="A3857" s="134" t="str">
        <f>IFERROR(__xludf.DUMMYFUNCTION("""COMPUTED_VALUE"""),"Kananga")</f>
        <v>Kananga</v>
      </c>
      <c r="B3857" s="120" t="str">
        <f>IFERROR(__xludf.DUMMYFUNCTION("""COMPUTED_VALUE"""),"KGA")</f>
        <v>KGA</v>
      </c>
      <c r="C3857" s="120" t="str">
        <f>IFERROR(__xludf.DUMMYFUNCTION("""COMPUTED_VALUE"""),"Kananga")</f>
        <v>Kananga</v>
      </c>
      <c r="D3857" s="120" t="str">
        <f>IFERROR(__xludf.DUMMYFUNCTION("""COMPUTED_VALUE"""),"Zaire")</f>
        <v>Zaire</v>
      </c>
      <c r="E3857" s="135"/>
      <c r="F3857" s="31"/>
    </row>
    <row r="3858">
      <c r="A3858" s="134" t="str">
        <f>IFERROR(__xludf.DUMMYFUNCTION("""COMPUTED_VALUE"""),"Kandahar")</f>
        <v>Kandahar</v>
      </c>
      <c r="B3858" s="120" t="str">
        <f>IFERROR(__xludf.DUMMYFUNCTION("""COMPUTED_VALUE"""),"KDH")</f>
        <v>KDH</v>
      </c>
      <c r="C3858" s="120" t="str">
        <f>IFERROR(__xludf.DUMMYFUNCTION("""COMPUTED_VALUE"""),"Kandahar")</f>
        <v>Kandahar</v>
      </c>
      <c r="D3858" s="120" t="str">
        <f>IFERROR(__xludf.DUMMYFUNCTION("""COMPUTED_VALUE"""),"Afghanistan")</f>
        <v>Afghanistan</v>
      </c>
      <c r="E3858" s="135"/>
      <c r="F3858" s="31"/>
    </row>
    <row r="3859">
      <c r="A3859" s="134" t="str">
        <f>IFERROR(__xludf.DUMMYFUNCTION("""COMPUTED_VALUE"""),"Kandavu")</f>
        <v>Kandavu</v>
      </c>
      <c r="B3859" s="120" t="str">
        <f>IFERROR(__xludf.DUMMYFUNCTION("""COMPUTED_VALUE"""),"KDV")</f>
        <v>KDV</v>
      </c>
      <c r="C3859" s="120" t="str">
        <f>IFERROR(__xludf.DUMMYFUNCTION("""COMPUTED_VALUE"""),"Kandavu")</f>
        <v>Kandavu</v>
      </c>
      <c r="D3859" s="120" t="str">
        <f>IFERROR(__xludf.DUMMYFUNCTION("""COMPUTED_VALUE"""),"Fiji")</f>
        <v>Fiji</v>
      </c>
      <c r="E3859" s="135"/>
      <c r="F3859" s="31"/>
    </row>
    <row r="3860">
      <c r="A3860" s="134" t="str">
        <f>IFERROR(__xludf.DUMMYFUNCTION("""COMPUTED_VALUE"""),"Kandep")</f>
        <v>Kandep</v>
      </c>
      <c r="B3860" s="120" t="str">
        <f>IFERROR(__xludf.DUMMYFUNCTION("""COMPUTED_VALUE"""),"KDP")</f>
        <v>KDP</v>
      </c>
      <c r="C3860" s="120" t="str">
        <f>IFERROR(__xludf.DUMMYFUNCTION("""COMPUTED_VALUE"""),"Kandep")</f>
        <v>Kandep</v>
      </c>
      <c r="D3860" s="120" t="str">
        <f>IFERROR(__xludf.DUMMYFUNCTION("""COMPUTED_VALUE"""),"Papua New Guinea")</f>
        <v>Papua New Guinea</v>
      </c>
      <c r="E3860" s="135"/>
      <c r="F3860" s="31"/>
    </row>
    <row r="3861">
      <c r="A3861" s="134" t="str">
        <f>IFERROR(__xludf.DUMMYFUNCTION("""COMPUTED_VALUE"""),"Kandi")</f>
        <v>Kandi</v>
      </c>
      <c r="B3861" s="120" t="str">
        <f>IFERROR(__xludf.DUMMYFUNCTION("""COMPUTED_VALUE"""),"KDC")</f>
        <v>KDC</v>
      </c>
      <c r="C3861" s="120" t="str">
        <f>IFERROR(__xludf.DUMMYFUNCTION("""COMPUTED_VALUE"""),"Kandi")</f>
        <v>Kandi</v>
      </c>
      <c r="D3861" s="120" t="str">
        <f>IFERROR(__xludf.DUMMYFUNCTION("""COMPUTED_VALUE"""),"Benin")</f>
        <v>Benin</v>
      </c>
      <c r="E3861" s="135"/>
      <c r="F3861" s="31"/>
    </row>
    <row r="3862">
      <c r="A3862" s="134" t="str">
        <f>IFERROR(__xludf.DUMMYFUNCTION("""COMPUTED_VALUE"""),"Kandla")</f>
        <v>Kandla</v>
      </c>
      <c r="B3862" s="120" t="str">
        <f>IFERROR(__xludf.DUMMYFUNCTION("""COMPUTED_VALUE"""),"IXY")</f>
        <v>IXY</v>
      </c>
      <c r="C3862" s="120" t="str">
        <f>IFERROR(__xludf.DUMMYFUNCTION("""COMPUTED_VALUE"""),"Kandla")</f>
        <v>Kandla</v>
      </c>
      <c r="D3862" s="120" t="str">
        <f>IFERROR(__xludf.DUMMYFUNCTION("""COMPUTED_VALUE"""),"India")</f>
        <v>India</v>
      </c>
      <c r="E3862" s="135"/>
      <c r="F3862" s="31"/>
    </row>
    <row r="3863">
      <c r="A3863" s="134" t="str">
        <f>IFERROR(__xludf.DUMMYFUNCTION("""COMPUTED_VALUE"""),"Kandrian")</f>
        <v>Kandrian</v>
      </c>
      <c r="B3863" s="120" t="str">
        <f>IFERROR(__xludf.DUMMYFUNCTION("""COMPUTED_VALUE"""),"KDR")</f>
        <v>KDR</v>
      </c>
      <c r="C3863" s="120" t="str">
        <f>IFERROR(__xludf.DUMMYFUNCTION("""COMPUTED_VALUE"""),"Kandrian")</f>
        <v>Kandrian</v>
      </c>
      <c r="D3863" s="120" t="str">
        <f>IFERROR(__xludf.DUMMYFUNCTION("""COMPUTED_VALUE"""),"Papua New Guinea")</f>
        <v>Papua New Guinea</v>
      </c>
      <c r="E3863" s="135"/>
      <c r="F3863" s="31"/>
    </row>
    <row r="3864">
      <c r="A3864" s="134" t="str">
        <f>IFERROR(__xludf.DUMMYFUNCTION("""COMPUTED_VALUE"""),"Kandy")</f>
        <v>Kandy</v>
      </c>
      <c r="B3864" s="120" t="str">
        <f>IFERROR(__xludf.DUMMYFUNCTION("""COMPUTED_VALUE"""),"KDW")</f>
        <v>KDW</v>
      </c>
      <c r="C3864" s="120" t="str">
        <f>IFERROR(__xludf.DUMMYFUNCTION("""COMPUTED_VALUE"""),"Vic. Resevour Kandy")</f>
        <v>Vic. Resevour Kandy</v>
      </c>
      <c r="D3864" s="120" t="str">
        <f>IFERROR(__xludf.DUMMYFUNCTION("""COMPUTED_VALUE"""),"Sri Lanka")</f>
        <v>Sri Lanka</v>
      </c>
      <c r="E3864" s="135"/>
      <c r="F3864" s="31"/>
    </row>
    <row r="3865">
      <c r="A3865" s="134" t="str">
        <f>IFERROR(__xludf.DUMMYFUNCTION("""COMPUTED_VALUE"""),"Kangaatsiaq")</f>
        <v>Kangaatsiaq</v>
      </c>
      <c r="B3865" s="120" t="str">
        <f>IFERROR(__xludf.DUMMYFUNCTION("""COMPUTED_VALUE"""),"QPW")</f>
        <v>QPW</v>
      </c>
      <c r="C3865" s="120" t="str">
        <f>IFERROR(__xludf.DUMMYFUNCTION("""COMPUTED_VALUE"""),"Heliport")</f>
        <v>Heliport</v>
      </c>
      <c r="D3865" s="120" t="str">
        <f>IFERROR(__xludf.DUMMYFUNCTION("""COMPUTED_VALUE"""),"Greenland")</f>
        <v>Greenland</v>
      </c>
      <c r="E3865" s="135"/>
      <c r="F3865" s="31"/>
    </row>
    <row r="3866">
      <c r="A3866" s="134" t="str">
        <f>IFERROR(__xludf.DUMMYFUNCTION("""COMPUTED_VALUE"""),"Kangan")</f>
        <v>Kangan</v>
      </c>
      <c r="B3866" s="120" t="str">
        <f>IFERROR(__xludf.DUMMYFUNCTION("""COMPUTED_VALUE"""),"KNR")</f>
        <v>KNR</v>
      </c>
      <c r="C3866" s="120" t="str">
        <f>IFERROR(__xludf.DUMMYFUNCTION("""COMPUTED_VALUE"""),"Jam")</f>
        <v>Jam</v>
      </c>
      <c r="D3866" s="120" t="str">
        <f>IFERROR(__xludf.DUMMYFUNCTION("""COMPUTED_VALUE"""),"Iran")</f>
        <v>Iran</v>
      </c>
      <c r="E3866" s="135"/>
      <c r="F3866" s="31"/>
    </row>
    <row r="3867">
      <c r="A3867" s="134" t="str">
        <f>IFERROR(__xludf.DUMMYFUNCTION("""COMPUTED_VALUE"""),"Kangerlussuaq")</f>
        <v>Kangerlussuaq</v>
      </c>
      <c r="B3867" s="120" t="str">
        <f>IFERROR(__xludf.DUMMYFUNCTION("""COMPUTED_VALUE"""),"SFJ")</f>
        <v>SFJ</v>
      </c>
      <c r="C3867" s="120" t="str">
        <f>IFERROR(__xludf.DUMMYFUNCTION("""COMPUTED_VALUE"""),"Kangerlussuaq")</f>
        <v>Kangerlussuaq</v>
      </c>
      <c r="D3867" s="120" t="str">
        <f>IFERROR(__xludf.DUMMYFUNCTION("""COMPUTED_VALUE"""),"Greenland")</f>
        <v>Greenland</v>
      </c>
      <c r="E3867" s="135"/>
      <c r="F3867" s="31"/>
    </row>
    <row r="3868">
      <c r="A3868" s="134" t="str">
        <f>IFERROR(__xludf.DUMMYFUNCTION("""COMPUTED_VALUE"""),"Kangiqsualujjuaq")</f>
        <v>Kangiqsualujjuaq</v>
      </c>
      <c r="B3868" s="120" t="str">
        <f>IFERROR(__xludf.DUMMYFUNCTION("""COMPUTED_VALUE"""),"XGR")</f>
        <v>XGR</v>
      </c>
      <c r="C3868" s="120" t="str">
        <f>IFERROR(__xludf.DUMMYFUNCTION("""COMPUTED_VALUE"""),"Kangiqsualujjuaq")</f>
        <v>Kangiqsualujjuaq</v>
      </c>
      <c r="D3868" s="120" t="str">
        <f>IFERROR(__xludf.DUMMYFUNCTION("""COMPUTED_VALUE"""),"Canada")</f>
        <v>Canada</v>
      </c>
      <c r="E3868" s="135"/>
      <c r="F3868" s="31"/>
    </row>
    <row r="3869">
      <c r="A3869" s="134" t="str">
        <f>IFERROR(__xludf.DUMMYFUNCTION("""COMPUTED_VALUE"""),"Kangiqsujuaq")</f>
        <v>Kangiqsujuaq</v>
      </c>
      <c r="B3869" s="120" t="str">
        <f>IFERROR(__xludf.DUMMYFUNCTION("""COMPUTED_VALUE"""),"YWB")</f>
        <v>YWB</v>
      </c>
      <c r="C3869" s="120" t="str">
        <f>IFERROR(__xludf.DUMMYFUNCTION("""COMPUTED_VALUE"""),"Kangiqsujuaq")</f>
        <v>Kangiqsujuaq</v>
      </c>
      <c r="D3869" s="120" t="str">
        <f>IFERROR(__xludf.DUMMYFUNCTION("""COMPUTED_VALUE"""),"Canada")</f>
        <v>Canada</v>
      </c>
      <c r="E3869" s="135"/>
      <c r="F3869" s="31"/>
    </row>
    <row r="3870">
      <c r="A3870" s="134" t="str">
        <f>IFERROR(__xludf.DUMMYFUNCTION("""COMPUTED_VALUE"""),"Kangirsuk")</f>
        <v>Kangirsuk</v>
      </c>
      <c r="B3870" s="120" t="str">
        <f>IFERROR(__xludf.DUMMYFUNCTION("""COMPUTED_VALUE"""),"YKG")</f>
        <v>YKG</v>
      </c>
      <c r="C3870" s="120" t="str">
        <f>IFERROR(__xludf.DUMMYFUNCTION("""COMPUTED_VALUE"""),"Kangirsuk")</f>
        <v>Kangirsuk</v>
      </c>
      <c r="D3870" s="120" t="str">
        <f>IFERROR(__xludf.DUMMYFUNCTION("""COMPUTED_VALUE"""),"Canada")</f>
        <v>Canada</v>
      </c>
      <c r="E3870" s="135"/>
      <c r="F3870" s="31"/>
    </row>
    <row r="3871">
      <c r="A3871" s="134" t="str">
        <f>IFERROR(__xludf.DUMMYFUNCTION("""COMPUTED_VALUE"""),"Kaniama")</f>
        <v>Kaniama</v>
      </c>
      <c r="B3871" s="120" t="str">
        <f>IFERROR(__xludf.DUMMYFUNCTION("""COMPUTED_VALUE"""),"KNM")</f>
        <v>KNM</v>
      </c>
      <c r="C3871" s="120" t="str">
        <f>IFERROR(__xludf.DUMMYFUNCTION("""COMPUTED_VALUE"""),"Kaniama")</f>
        <v>Kaniama</v>
      </c>
      <c r="D3871" s="120" t="str">
        <f>IFERROR(__xludf.DUMMYFUNCTION("""COMPUTED_VALUE"""),"Zaire")</f>
        <v>Zaire</v>
      </c>
      <c r="E3871" s="135"/>
      <c r="F3871" s="31"/>
    </row>
    <row r="3872">
      <c r="A3872" s="134" t="str">
        <f>IFERROR(__xludf.DUMMYFUNCTION("""COMPUTED_VALUE"""),"Kankakee")</f>
        <v>Kankakee</v>
      </c>
      <c r="B3872" s="120" t="str">
        <f>IFERROR(__xludf.DUMMYFUNCTION("""COMPUTED_VALUE"""),"IKK")</f>
        <v>IKK</v>
      </c>
      <c r="C3872" s="120" t="str">
        <f>IFERROR(__xludf.DUMMYFUNCTION("""COMPUTED_VALUE"""),"Greater Kankakee")</f>
        <v>Greater Kankakee</v>
      </c>
      <c r="D3872" s="120" t="str">
        <f>IFERROR(__xludf.DUMMYFUNCTION("""COMPUTED_VALUE"""),"United States")</f>
        <v>United States</v>
      </c>
      <c r="E3872" s="135"/>
      <c r="F3872" s="31"/>
    </row>
    <row r="3873">
      <c r="A3873" s="134" t="str">
        <f>IFERROR(__xludf.DUMMYFUNCTION("""COMPUTED_VALUE"""),"Kankan")</f>
        <v>Kankan</v>
      </c>
      <c r="B3873" s="120" t="str">
        <f>IFERROR(__xludf.DUMMYFUNCTION("""COMPUTED_VALUE"""),"KNN")</f>
        <v>KNN</v>
      </c>
      <c r="C3873" s="120" t="str">
        <f>IFERROR(__xludf.DUMMYFUNCTION("""COMPUTED_VALUE"""),"Kankan")</f>
        <v>Kankan</v>
      </c>
      <c r="D3873" s="120" t="str">
        <f>IFERROR(__xludf.DUMMYFUNCTION("""COMPUTED_VALUE"""),"Guinea")</f>
        <v>Guinea</v>
      </c>
      <c r="E3873" s="135"/>
      <c r="F3873" s="31"/>
    </row>
    <row r="3874">
      <c r="A3874" s="134" t="str">
        <f>IFERROR(__xludf.DUMMYFUNCTION("""COMPUTED_VALUE"""),"Kano")</f>
        <v>Kano</v>
      </c>
      <c r="B3874" s="120" t="str">
        <f>IFERROR(__xludf.DUMMYFUNCTION("""COMPUTED_VALUE"""),"KAN")</f>
        <v>KAN</v>
      </c>
      <c r="C3874" s="120" t="str">
        <f>IFERROR(__xludf.DUMMYFUNCTION("""COMPUTED_VALUE"""),"Aminu Kano Intl Apt")</f>
        <v>Aminu Kano Intl Apt</v>
      </c>
      <c r="D3874" s="120" t="str">
        <f>IFERROR(__xludf.DUMMYFUNCTION("""COMPUTED_VALUE"""),"Nigeria")</f>
        <v>Nigeria</v>
      </c>
      <c r="E3874" s="135"/>
      <c r="F3874" s="31"/>
    </row>
    <row r="3875">
      <c r="A3875" s="134" t="str">
        <f>IFERROR(__xludf.DUMMYFUNCTION("""COMPUTED_VALUE"""),"Kanpur")</f>
        <v>Kanpur</v>
      </c>
      <c r="B3875" s="120" t="str">
        <f>IFERROR(__xludf.DUMMYFUNCTION("""COMPUTED_VALUE"""),"KNU")</f>
        <v>KNU</v>
      </c>
      <c r="C3875" s="120" t="str">
        <f>IFERROR(__xludf.DUMMYFUNCTION("""COMPUTED_VALUE"""),"Kanpur")</f>
        <v>Kanpur</v>
      </c>
      <c r="D3875" s="120" t="str">
        <f>IFERROR(__xludf.DUMMYFUNCTION("""COMPUTED_VALUE"""),"India")</f>
        <v>India</v>
      </c>
      <c r="E3875" s="135"/>
      <c r="F3875" s="31"/>
    </row>
    <row r="3876">
      <c r="A3876" s="134" t="str">
        <f>IFERROR(__xludf.DUMMYFUNCTION("""COMPUTED_VALUE"""),"Kansas City")</f>
        <v>Kansas City</v>
      </c>
      <c r="B3876" s="120" t="str">
        <f>IFERROR(__xludf.DUMMYFUNCTION("""COMPUTED_VALUE"""),"KCK")</f>
        <v>KCK</v>
      </c>
      <c r="C3876" s="120" t="str">
        <f>IFERROR(__xludf.DUMMYFUNCTION("""COMPUTED_VALUE"""),"Fairfax Municipal")</f>
        <v>Fairfax Municipal</v>
      </c>
      <c r="D3876" s="120" t="str">
        <f>IFERROR(__xludf.DUMMYFUNCTION("""COMPUTED_VALUE"""),"United States")</f>
        <v>United States</v>
      </c>
      <c r="E3876" s="135"/>
      <c r="F3876" s="31"/>
    </row>
    <row r="3877">
      <c r="A3877" s="134" t="str">
        <f>IFERROR(__xludf.DUMMYFUNCTION("""COMPUTED_VALUE"""),"Kansas City")</f>
        <v>Kansas City</v>
      </c>
      <c r="B3877" s="120" t="str">
        <f>IFERROR(__xludf.DUMMYFUNCTION("""COMPUTED_VALUE"""),"MKC")</f>
        <v>MKC</v>
      </c>
      <c r="C3877" s="120" t="str">
        <f>IFERROR(__xludf.DUMMYFUNCTION("""COMPUTED_VALUE"""),"Downtown")</f>
        <v>Downtown</v>
      </c>
      <c r="D3877" s="120" t="str">
        <f>IFERROR(__xludf.DUMMYFUNCTION("""COMPUTED_VALUE"""),"United States")</f>
        <v>United States</v>
      </c>
      <c r="E3877" s="135"/>
      <c r="F3877" s="31"/>
    </row>
    <row r="3878">
      <c r="A3878" s="134" t="str">
        <f>IFERROR(__xludf.DUMMYFUNCTION("""COMPUTED_VALUE"""),"Kansas City")</f>
        <v>Kansas City</v>
      </c>
      <c r="B3878" s="120" t="str">
        <f>IFERROR(__xludf.DUMMYFUNCTION("""COMPUTED_VALUE"""),"MCI")</f>
        <v>MCI</v>
      </c>
      <c r="C3878" s="120" t="str">
        <f>IFERROR(__xludf.DUMMYFUNCTION("""COMPUTED_VALUE"""),"Kansas City International Airport")</f>
        <v>Kansas City International Airport</v>
      </c>
      <c r="D3878" s="120" t="str">
        <f>IFERROR(__xludf.DUMMYFUNCTION("""COMPUTED_VALUE"""),"United States")</f>
        <v>United States</v>
      </c>
      <c r="E3878" s="135"/>
      <c r="F3878" s="31"/>
    </row>
    <row r="3879">
      <c r="A3879" s="134" t="str">
        <f>IFERROR(__xludf.DUMMYFUNCTION("""COMPUTED_VALUE"""),"Kansas City")</f>
        <v>Kansas City</v>
      </c>
      <c r="B3879" s="120" t="str">
        <f>IFERROR(__xludf.DUMMYFUNCTION("""COMPUTED_VALUE"""),"OJC")</f>
        <v>OJC</v>
      </c>
      <c r="C3879" s="120" t="str">
        <f>IFERROR(__xludf.DUMMYFUNCTION("""COMPUTED_VALUE"""),"Johnson Executive")</f>
        <v>Johnson Executive</v>
      </c>
      <c r="D3879" s="120" t="str">
        <f>IFERROR(__xludf.DUMMYFUNCTION("""COMPUTED_VALUE"""),"United States")</f>
        <v>United States</v>
      </c>
      <c r="E3879" s="135"/>
      <c r="F3879" s="31"/>
    </row>
    <row r="3880">
      <c r="A3880" s="134" t="str">
        <f>IFERROR(__xludf.DUMMYFUNCTION("""COMPUTED_VALUE"""),"Kansas City")</f>
        <v>Kansas City</v>
      </c>
      <c r="B3880" s="120" t="str">
        <f>IFERROR(__xludf.DUMMYFUNCTION("""COMPUTED_VALUE"""),"JCI")</f>
        <v>JCI</v>
      </c>
      <c r="C3880" s="120" t="str">
        <f>IFERROR(__xludf.DUMMYFUNCTION("""COMPUTED_VALUE"""),"Johnson Industrial")</f>
        <v>Johnson Industrial</v>
      </c>
      <c r="D3880" s="120" t="str">
        <f>IFERROR(__xludf.DUMMYFUNCTION("""COMPUTED_VALUE"""),"United States")</f>
        <v>United States</v>
      </c>
      <c r="E3880" s="135"/>
      <c r="F3880" s="31"/>
    </row>
    <row r="3881">
      <c r="A3881" s="134" t="str">
        <f>IFERROR(__xludf.DUMMYFUNCTION("""COMPUTED_VALUE"""),"Kantchari")</f>
        <v>Kantchari</v>
      </c>
      <c r="B3881" s="120" t="str">
        <f>IFERROR(__xludf.DUMMYFUNCTION("""COMPUTED_VALUE"""),"XKA")</f>
        <v>XKA</v>
      </c>
      <c r="C3881" s="120" t="str">
        <f>IFERROR(__xludf.DUMMYFUNCTION("""COMPUTED_VALUE"""),"Kantchari")</f>
        <v>Kantchari</v>
      </c>
      <c r="D3881" s="120" t="str">
        <f>IFERROR(__xludf.DUMMYFUNCTION("""COMPUTED_VALUE"""),"Burkina Faso")</f>
        <v>Burkina Faso</v>
      </c>
      <c r="E3881" s="135"/>
      <c r="F3881" s="31"/>
    </row>
    <row r="3882">
      <c r="A3882" s="134" t="str">
        <f>IFERROR(__xludf.DUMMYFUNCTION("""COMPUTED_VALUE"""),"Kanua")</f>
        <v>Kanua</v>
      </c>
      <c r="B3882" s="120" t="str">
        <f>IFERROR(__xludf.DUMMYFUNCTION("""COMPUTED_VALUE"""),"KTK")</f>
        <v>KTK</v>
      </c>
      <c r="C3882" s="120" t="str">
        <f>IFERROR(__xludf.DUMMYFUNCTION("""COMPUTED_VALUE"""),"Kanua")</f>
        <v>Kanua</v>
      </c>
      <c r="D3882" s="120" t="str">
        <f>IFERROR(__xludf.DUMMYFUNCTION("""COMPUTED_VALUE"""),"Papua New Guinea")</f>
        <v>Papua New Guinea</v>
      </c>
      <c r="E3882" s="135"/>
      <c r="F3882" s="31"/>
    </row>
    <row r="3883">
      <c r="A3883" s="134" t="str">
        <f>IFERROR(__xludf.DUMMYFUNCTION("""COMPUTED_VALUE"""),"Kaohsiung")</f>
        <v>Kaohsiung</v>
      </c>
      <c r="B3883" s="120" t="str">
        <f>IFERROR(__xludf.DUMMYFUNCTION("""COMPUTED_VALUE"""),"KHH")</f>
        <v>KHH</v>
      </c>
      <c r="C3883" s="120" t="str">
        <f>IFERROR(__xludf.DUMMYFUNCTION("""COMPUTED_VALUE"""),"International")</f>
        <v>International</v>
      </c>
      <c r="D3883" s="120" t="str">
        <f>IFERROR(__xludf.DUMMYFUNCTION("""COMPUTED_VALUE"""),"Taiwan")</f>
        <v>Taiwan</v>
      </c>
      <c r="E3883" s="135"/>
      <c r="F3883" s="31"/>
    </row>
    <row r="3884">
      <c r="A3884" s="134" t="str">
        <f>IFERROR(__xludf.DUMMYFUNCTION("""COMPUTED_VALUE"""),"Kaolack")</f>
        <v>Kaolack</v>
      </c>
      <c r="B3884" s="120" t="str">
        <f>IFERROR(__xludf.DUMMYFUNCTION("""COMPUTED_VALUE"""),"KLC")</f>
        <v>KLC</v>
      </c>
      <c r="C3884" s="120" t="str">
        <f>IFERROR(__xludf.DUMMYFUNCTION("""COMPUTED_VALUE"""),"Kaolack")</f>
        <v>Kaolack</v>
      </c>
      <c r="D3884" s="120" t="str">
        <f>IFERROR(__xludf.DUMMYFUNCTION("""COMPUTED_VALUE"""),"Senegal")</f>
        <v>Senegal</v>
      </c>
      <c r="E3884" s="135"/>
      <c r="F3884" s="31"/>
    </row>
    <row r="3885">
      <c r="A3885" s="134" t="str">
        <f>IFERROR(__xludf.DUMMYFUNCTION("""COMPUTED_VALUE"""),"Kaoma")</f>
        <v>Kaoma</v>
      </c>
      <c r="B3885" s="120" t="str">
        <f>IFERROR(__xludf.DUMMYFUNCTION("""COMPUTED_VALUE"""),"KMZ")</f>
        <v>KMZ</v>
      </c>
      <c r="C3885" s="120" t="str">
        <f>IFERROR(__xludf.DUMMYFUNCTION("""COMPUTED_VALUE"""),"Kaoma")</f>
        <v>Kaoma</v>
      </c>
      <c r="D3885" s="120" t="str">
        <f>IFERROR(__xludf.DUMMYFUNCTION("""COMPUTED_VALUE"""),"Zambia")</f>
        <v>Zambia</v>
      </c>
      <c r="E3885" s="135"/>
      <c r="F3885" s="31"/>
    </row>
    <row r="3886">
      <c r="A3886" s="134" t="str">
        <f>IFERROR(__xludf.DUMMYFUNCTION("""COMPUTED_VALUE"""),"Kapal")</f>
        <v>Kapal</v>
      </c>
      <c r="B3886" s="120" t="str">
        <f>IFERROR(__xludf.DUMMYFUNCTION("""COMPUTED_VALUE"""),"KPL")</f>
        <v>KPL</v>
      </c>
      <c r="C3886" s="120" t="str">
        <f>IFERROR(__xludf.DUMMYFUNCTION("""COMPUTED_VALUE"""),"Kapal")</f>
        <v>Kapal</v>
      </c>
      <c r="D3886" s="120" t="str">
        <f>IFERROR(__xludf.DUMMYFUNCTION("""COMPUTED_VALUE"""),"Papua New Guinea")</f>
        <v>Papua New Guinea</v>
      </c>
      <c r="E3886" s="135"/>
      <c r="F3886" s="31"/>
    </row>
    <row r="3887">
      <c r="A3887" s="134" t="str">
        <f>IFERROR(__xludf.DUMMYFUNCTION("""COMPUTED_VALUE"""),"Lahaina")</f>
        <v>Lahaina</v>
      </c>
      <c r="B3887" s="120" t="str">
        <f>IFERROR(__xludf.DUMMYFUNCTION("""COMPUTED_VALUE"""),"JHM")</f>
        <v>JHM</v>
      </c>
      <c r="C3887" s="120" t="str">
        <f>IFERROR(__xludf.DUMMYFUNCTION("""COMPUTED_VALUE"""),"Kapalua")</f>
        <v>Kapalua</v>
      </c>
      <c r="D3887" s="120" t="str">
        <f>IFERROR(__xludf.DUMMYFUNCTION("""COMPUTED_VALUE"""),"United States")</f>
        <v>United States</v>
      </c>
      <c r="E3887" s="135"/>
      <c r="F3887" s="31"/>
    </row>
    <row r="3888">
      <c r="A3888" s="134" t="str">
        <f>IFERROR(__xludf.DUMMYFUNCTION("""COMPUTED_VALUE"""),"Kapanga")</f>
        <v>Kapanga</v>
      </c>
      <c r="B3888" s="120" t="str">
        <f>IFERROR(__xludf.DUMMYFUNCTION("""COMPUTED_VALUE"""),"KAP")</f>
        <v>KAP</v>
      </c>
      <c r="C3888" s="120" t="str">
        <f>IFERROR(__xludf.DUMMYFUNCTION("""COMPUTED_VALUE"""),"Kapanga")</f>
        <v>Kapanga</v>
      </c>
      <c r="D3888" s="120" t="str">
        <f>IFERROR(__xludf.DUMMYFUNCTION("""COMPUTED_VALUE"""),"Zaire")</f>
        <v>Zaire</v>
      </c>
      <c r="E3888" s="135"/>
      <c r="F3888" s="31"/>
    </row>
    <row r="3889">
      <c r="A3889" s="134" t="str">
        <f>IFERROR(__xludf.DUMMYFUNCTION("""COMPUTED_VALUE"""),"Kapit")</f>
        <v>Kapit</v>
      </c>
      <c r="B3889" s="120" t="str">
        <f>IFERROR(__xludf.DUMMYFUNCTION("""COMPUTED_VALUE"""),"KPI")</f>
        <v>KPI</v>
      </c>
      <c r="C3889" s="120" t="str">
        <f>IFERROR(__xludf.DUMMYFUNCTION("""COMPUTED_VALUE"""),"Kapit")</f>
        <v>Kapit</v>
      </c>
      <c r="D3889" s="120" t="str">
        <f>IFERROR(__xludf.DUMMYFUNCTION("""COMPUTED_VALUE"""),"Malaysia")</f>
        <v>Malaysia</v>
      </c>
      <c r="E3889" s="135"/>
      <c r="F3889" s="31"/>
    </row>
    <row r="3890">
      <c r="A3890" s="134" t="str">
        <f>IFERROR(__xludf.DUMMYFUNCTION("""COMPUTED_VALUE"""),"Kapuskasing")</f>
        <v>Kapuskasing</v>
      </c>
      <c r="B3890" s="120" t="str">
        <f>IFERROR(__xludf.DUMMYFUNCTION("""COMPUTED_VALUE"""),"YYU")</f>
        <v>YYU</v>
      </c>
      <c r="C3890" s="120" t="str">
        <f>IFERROR(__xludf.DUMMYFUNCTION("""COMPUTED_VALUE"""),"Kapuskasing")</f>
        <v>Kapuskasing</v>
      </c>
      <c r="D3890" s="120" t="str">
        <f>IFERROR(__xludf.DUMMYFUNCTION("""COMPUTED_VALUE"""),"Canada")</f>
        <v>Canada</v>
      </c>
      <c r="E3890" s="135"/>
      <c r="F3890" s="31"/>
    </row>
    <row r="3891">
      <c r="A3891" s="134" t="str">
        <f>IFERROR(__xludf.DUMMYFUNCTION("""COMPUTED_VALUE"""),"Kar")</f>
        <v>Kar</v>
      </c>
      <c r="B3891" s="120" t="str">
        <f>IFERROR(__xludf.DUMMYFUNCTION("""COMPUTED_VALUE"""),"KAK")</f>
        <v>KAK</v>
      </c>
      <c r="C3891" s="120" t="str">
        <f>IFERROR(__xludf.DUMMYFUNCTION("""COMPUTED_VALUE"""),"Kar")</f>
        <v>Kar</v>
      </c>
      <c r="D3891" s="120" t="str">
        <f>IFERROR(__xludf.DUMMYFUNCTION("""COMPUTED_VALUE"""),"Papua New Guinea")</f>
        <v>Papua New Guinea</v>
      </c>
      <c r="E3891" s="135"/>
      <c r="F3891" s="31"/>
    </row>
    <row r="3892">
      <c r="A3892" s="134" t="str">
        <f>IFERROR(__xludf.DUMMYFUNCTION("""COMPUTED_VALUE"""),"Kar Kar")</f>
        <v>Kar Kar</v>
      </c>
      <c r="B3892" s="120" t="str">
        <f>IFERROR(__xludf.DUMMYFUNCTION("""COMPUTED_VALUE"""),"KRX")</f>
        <v>KRX</v>
      </c>
      <c r="C3892" s="120" t="str">
        <f>IFERROR(__xludf.DUMMYFUNCTION("""COMPUTED_VALUE"""),"Kar Kar")</f>
        <v>Kar Kar</v>
      </c>
      <c r="D3892" s="120" t="str">
        <f>IFERROR(__xludf.DUMMYFUNCTION("""COMPUTED_VALUE"""),"Papua New Guinea")</f>
        <v>Papua New Guinea</v>
      </c>
      <c r="E3892" s="135"/>
      <c r="F3892" s="31"/>
    </row>
    <row r="3893">
      <c r="A3893" s="134" t="str">
        <f>IFERROR(__xludf.DUMMYFUNCTION("""COMPUTED_VALUE"""),"Karachi")</f>
        <v>Karachi</v>
      </c>
      <c r="B3893" s="120" t="str">
        <f>IFERROR(__xludf.DUMMYFUNCTION("""COMPUTED_VALUE"""),"KHI")</f>
        <v>KHI</v>
      </c>
      <c r="C3893" s="120" t="str">
        <f>IFERROR(__xludf.DUMMYFUNCTION("""COMPUTED_VALUE"""),"Quaid-E-Azam Intl")</f>
        <v>Quaid-E-Azam Intl</v>
      </c>
      <c r="D3893" s="120" t="str">
        <f>IFERROR(__xludf.DUMMYFUNCTION("""COMPUTED_VALUE"""),"Pakistan")</f>
        <v>Pakistan</v>
      </c>
      <c r="E3893" s="135"/>
      <c r="F3893" s="31"/>
    </row>
    <row r="3894">
      <c r="A3894" s="134" t="str">
        <f>IFERROR(__xludf.DUMMYFUNCTION("""COMPUTED_VALUE"""),"Karaganda")</f>
        <v>Karaganda</v>
      </c>
      <c r="B3894" s="120" t="str">
        <f>IFERROR(__xludf.DUMMYFUNCTION("""COMPUTED_VALUE"""),"KGF")</f>
        <v>KGF</v>
      </c>
      <c r="C3894" s="120" t="str">
        <f>IFERROR(__xludf.DUMMYFUNCTION("""COMPUTED_VALUE"""),"Karaganda")</f>
        <v>Karaganda</v>
      </c>
      <c r="D3894" s="120" t="str">
        <f>IFERROR(__xludf.DUMMYFUNCTION("""COMPUTED_VALUE"""),"Kazakhstan")</f>
        <v>Kazakhstan</v>
      </c>
      <c r="E3894" s="135"/>
      <c r="F3894" s="31"/>
    </row>
    <row r="3895">
      <c r="A3895" s="134" t="str">
        <f>IFERROR(__xludf.DUMMYFUNCTION("""COMPUTED_VALUE"""),"Karamay")</f>
        <v>Karamay</v>
      </c>
      <c r="B3895" s="120" t="str">
        <f>IFERROR(__xludf.DUMMYFUNCTION("""COMPUTED_VALUE"""),"KRY")</f>
        <v>KRY</v>
      </c>
      <c r="C3895" s="120" t="str">
        <f>IFERROR(__xludf.DUMMYFUNCTION("""COMPUTED_VALUE"""),"Karamay")</f>
        <v>Karamay</v>
      </c>
      <c r="D3895" s="120" t="str">
        <f>IFERROR(__xludf.DUMMYFUNCTION("""COMPUTED_VALUE"""),"China")</f>
        <v>China</v>
      </c>
      <c r="E3895" s="135"/>
      <c r="F3895" s="31"/>
    </row>
    <row r="3896">
      <c r="A3896" s="134" t="str">
        <f>IFERROR(__xludf.DUMMYFUNCTION("""COMPUTED_VALUE"""),"Karanambo")</f>
        <v>Karanambo</v>
      </c>
      <c r="B3896" s="120" t="str">
        <f>IFERROR(__xludf.DUMMYFUNCTION("""COMPUTED_VALUE"""),"KRM")</f>
        <v>KRM</v>
      </c>
      <c r="C3896" s="120" t="str">
        <f>IFERROR(__xludf.DUMMYFUNCTION("""COMPUTED_VALUE"""),"Karanambo")</f>
        <v>Karanambo</v>
      </c>
      <c r="D3896" s="120" t="str">
        <f>IFERROR(__xludf.DUMMYFUNCTION("""COMPUTED_VALUE"""),"Guyana")</f>
        <v>Guyana</v>
      </c>
      <c r="E3896" s="135"/>
      <c r="F3896" s="31"/>
    </row>
    <row r="3897">
      <c r="A3897" s="134" t="str">
        <f>IFERROR(__xludf.DUMMYFUNCTION("""COMPUTED_VALUE"""),"Karasabai")</f>
        <v>Karasabai</v>
      </c>
      <c r="B3897" s="120" t="str">
        <f>IFERROR(__xludf.DUMMYFUNCTION("""COMPUTED_VALUE"""),"KRG")</f>
        <v>KRG</v>
      </c>
      <c r="C3897" s="120" t="str">
        <f>IFERROR(__xludf.DUMMYFUNCTION("""COMPUTED_VALUE"""),"Karasabai")</f>
        <v>Karasabai</v>
      </c>
      <c r="D3897" s="120" t="str">
        <f>IFERROR(__xludf.DUMMYFUNCTION("""COMPUTED_VALUE"""),"Guyana")</f>
        <v>Guyana</v>
      </c>
      <c r="E3897" s="135"/>
      <c r="F3897" s="31"/>
    </row>
    <row r="3898">
      <c r="A3898" s="134" t="str">
        <f>IFERROR(__xludf.DUMMYFUNCTION("""COMPUTED_VALUE"""),"Karasburg")</f>
        <v>Karasburg</v>
      </c>
      <c r="B3898" s="120" t="str">
        <f>IFERROR(__xludf.DUMMYFUNCTION("""COMPUTED_VALUE"""),"KAS")</f>
        <v>KAS</v>
      </c>
      <c r="C3898" s="120" t="str">
        <f>IFERROR(__xludf.DUMMYFUNCTION("""COMPUTED_VALUE"""),"Karasburg")</f>
        <v>Karasburg</v>
      </c>
      <c r="D3898" s="120" t="str">
        <f>IFERROR(__xludf.DUMMYFUNCTION("""COMPUTED_VALUE"""),"Namibia")</f>
        <v>Namibia</v>
      </c>
      <c r="E3898" s="135"/>
      <c r="F3898" s="31"/>
    </row>
    <row r="3899">
      <c r="A3899" s="134" t="str">
        <f>IFERROR(__xludf.DUMMYFUNCTION("""COMPUTED_VALUE"""),"Karato")</f>
        <v>Karato</v>
      </c>
      <c r="B3899" s="120" t="str">
        <f>IFERROR(__xludf.DUMMYFUNCTION("""COMPUTED_VALUE"""),"KAF")</f>
        <v>KAF</v>
      </c>
      <c r="C3899" s="120" t="str">
        <f>IFERROR(__xludf.DUMMYFUNCTION("""COMPUTED_VALUE"""),"Karato")</f>
        <v>Karato</v>
      </c>
      <c r="D3899" s="120" t="str">
        <f>IFERROR(__xludf.DUMMYFUNCTION("""COMPUTED_VALUE"""),"Papua New Guinea")</f>
        <v>Papua New Guinea</v>
      </c>
      <c r="E3899" s="135"/>
      <c r="F3899" s="31"/>
    </row>
    <row r="3900">
      <c r="A3900" s="134" t="str">
        <f>IFERROR(__xludf.DUMMYFUNCTION("""COMPUTED_VALUE"""),"Karawari")</f>
        <v>Karawari</v>
      </c>
      <c r="B3900" s="120" t="str">
        <f>IFERROR(__xludf.DUMMYFUNCTION("""COMPUTED_VALUE"""),"KRJ")</f>
        <v>KRJ</v>
      </c>
      <c r="C3900" s="120" t="str">
        <f>IFERROR(__xludf.DUMMYFUNCTION("""COMPUTED_VALUE"""),"Karawari")</f>
        <v>Karawari</v>
      </c>
      <c r="D3900" s="120" t="str">
        <f>IFERROR(__xludf.DUMMYFUNCTION("""COMPUTED_VALUE"""),"Papua New Guinea")</f>
        <v>Papua New Guinea</v>
      </c>
      <c r="E3900" s="135"/>
      <c r="F3900" s="31"/>
    </row>
    <row r="3901">
      <c r="A3901" s="134" t="str">
        <f>IFERROR(__xludf.DUMMYFUNCTION("""COMPUTED_VALUE"""),"Kardjali")</f>
        <v>Kardjali</v>
      </c>
      <c r="B3901" s="120" t="str">
        <f>IFERROR(__xludf.DUMMYFUNCTION("""COMPUTED_VALUE"""),"KDG")</f>
        <v>KDG</v>
      </c>
      <c r="C3901" s="120" t="str">
        <f>IFERROR(__xludf.DUMMYFUNCTION("""COMPUTED_VALUE"""),"Kardjali")</f>
        <v>Kardjali</v>
      </c>
      <c r="D3901" s="120" t="str">
        <f>IFERROR(__xludf.DUMMYFUNCTION("""COMPUTED_VALUE"""),"Bulgaria")</f>
        <v>Bulgaria</v>
      </c>
      <c r="E3901" s="135"/>
      <c r="F3901" s="31"/>
    </row>
    <row r="3902">
      <c r="A3902" s="134" t="str">
        <f>IFERROR(__xludf.DUMMYFUNCTION("""COMPUTED_VALUE"""),"Kardla")</f>
        <v>Kardla</v>
      </c>
      <c r="B3902" s="120" t="str">
        <f>IFERROR(__xludf.DUMMYFUNCTION("""COMPUTED_VALUE"""),"KDL")</f>
        <v>KDL</v>
      </c>
      <c r="C3902" s="120" t="str">
        <f>IFERROR(__xludf.DUMMYFUNCTION("""COMPUTED_VALUE"""),"Kardla")</f>
        <v>Kardla</v>
      </c>
      <c r="D3902" s="120" t="str">
        <f>IFERROR(__xludf.DUMMYFUNCTION("""COMPUTED_VALUE"""),"Estonia")</f>
        <v>Estonia</v>
      </c>
      <c r="E3902" s="135"/>
      <c r="F3902" s="31"/>
    </row>
    <row r="3903">
      <c r="A3903" s="134" t="str">
        <f>IFERROR(__xludf.DUMMYFUNCTION("""COMPUTED_VALUE"""),"Kariba")</f>
        <v>Kariba</v>
      </c>
      <c r="B3903" s="120" t="str">
        <f>IFERROR(__xludf.DUMMYFUNCTION("""COMPUTED_VALUE"""),"KAB")</f>
        <v>KAB</v>
      </c>
      <c r="C3903" s="120" t="str">
        <f>IFERROR(__xludf.DUMMYFUNCTION("""COMPUTED_VALUE"""),"Kariba")</f>
        <v>Kariba</v>
      </c>
      <c r="D3903" s="120" t="str">
        <f>IFERROR(__xludf.DUMMYFUNCTION("""COMPUTED_VALUE"""),"Zimbabwe")</f>
        <v>Zimbabwe</v>
      </c>
      <c r="E3903" s="135"/>
      <c r="F3903" s="31"/>
    </row>
    <row r="3904">
      <c r="A3904" s="134" t="str">
        <f>IFERROR(__xludf.DUMMYFUNCTION("""COMPUTED_VALUE"""),"Karimui")</f>
        <v>Karimui</v>
      </c>
      <c r="B3904" s="120" t="str">
        <f>IFERROR(__xludf.DUMMYFUNCTION("""COMPUTED_VALUE"""),"KMR")</f>
        <v>KMR</v>
      </c>
      <c r="C3904" s="120" t="str">
        <f>IFERROR(__xludf.DUMMYFUNCTION("""COMPUTED_VALUE"""),"Karimui")</f>
        <v>Karimui</v>
      </c>
      <c r="D3904" s="120" t="str">
        <f>IFERROR(__xludf.DUMMYFUNCTION("""COMPUTED_VALUE"""),"Papua New Guinea")</f>
        <v>Papua New Guinea</v>
      </c>
      <c r="E3904" s="135"/>
      <c r="F3904" s="31"/>
    </row>
    <row r="3905">
      <c r="A3905" s="134" t="str">
        <f>IFERROR(__xludf.DUMMYFUNCTION("""COMPUTED_VALUE"""),"Karimunjawa")</f>
        <v>Karimunjawa</v>
      </c>
      <c r="B3905" s="120" t="str">
        <f>IFERROR(__xludf.DUMMYFUNCTION("""COMPUTED_VALUE"""),"KWB")</f>
        <v>KWB</v>
      </c>
      <c r="C3905" s="120" t="str">
        <f>IFERROR(__xludf.DUMMYFUNCTION("""COMPUTED_VALUE"""),"Karimunjawa")</f>
        <v>Karimunjawa</v>
      </c>
      <c r="D3905" s="120" t="str">
        <f>IFERROR(__xludf.DUMMYFUNCTION("""COMPUTED_VALUE"""),"Indonesia")</f>
        <v>Indonesia</v>
      </c>
      <c r="E3905" s="135"/>
      <c r="F3905" s="31"/>
    </row>
    <row r="3906">
      <c r="A3906" s="134" t="str">
        <f>IFERROR(__xludf.DUMMYFUNCTION("""COMPUTED_VALUE"""),"Karlovy Vary")</f>
        <v>Karlovy Vary</v>
      </c>
      <c r="B3906" s="120" t="str">
        <f>IFERROR(__xludf.DUMMYFUNCTION("""COMPUTED_VALUE"""),"KLV")</f>
        <v>KLV</v>
      </c>
      <c r="C3906" s="120" t="str">
        <f>IFERROR(__xludf.DUMMYFUNCTION("""COMPUTED_VALUE"""),"Karlovy Vary")</f>
        <v>Karlovy Vary</v>
      </c>
      <c r="D3906" s="120" t="str">
        <f>IFERROR(__xludf.DUMMYFUNCTION("""COMPUTED_VALUE"""),"Czech")</f>
        <v>Czech</v>
      </c>
      <c r="E3906" s="135"/>
      <c r="F3906" s="31"/>
    </row>
    <row r="3907">
      <c r="A3907" s="134" t="str">
        <f>IFERROR(__xludf.DUMMYFUNCTION("""COMPUTED_VALUE"""),"Karlshamn")</f>
        <v>Karlshamn</v>
      </c>
      <c r="B3907" s="120" t="str">
        <f>IFERROR(__xludf.DUMMYFUNCTION("""COMPUTED_VALUE"""),"XYO")</f>
        <v>XYO</v>
      </c>
      <c r="C3907" s="120" t="str">
        <f>IFERROR(__xludf.DUMMYFUNCTION("""COMPUTED_VALUE"""),"Karlshamn")</f>
        <v>Karlshamn</v>
      </c>
      <c r="D3907" s="120" t="str">
        <f>IFERROR(__xludf.DUMMYFUNCTION("""COMPUTED_VALUE"""),"Sweden")</f>
        <v>Sweden</v>
      </c>
      <c r="E3907" s="135"/>
      <c r="F3907" s="31"/>
    </row>
    <row r="3908">
      <c r="A3908" s="134" t="str">
        <f>IFERROR(__xludf.DUMMYFUNCTION("""COMPUTED_VALUE"""),"Karlskoga")</f>
        <v>Karlskoga</v>
      </c>
      <c r="B3908" s="120" t="str">
        <f>IFERROR(__xludf.DUMMYFUNCTION("""COMPUTED_VALUE"""),"KSK")</f>
        <v>KSK</v>
      </c>
      <c r="C3908" s="120" t="str">
        <f>IFERROR(__xludf.DUMMYFUNCTION("""COMPUTED_VALUE"""),"Karlskoga")</f>
        <v>Karlskoga</v>
      </c>
      <c r="D3908" s="120" t="str">
        <f>IFERROR(__xludf.DUMMYFUNCTION("""COMPUTED_VALUE"""),"Sweden")</f>
        <v>Sweden</v>
      </c>
      <c r="E3908" s="135"/>
      <c r="F3908" s="31"/>
    </row>
    <row r="3909">
      <c r="A3909" s="134" t="str">
        <f>IFERROR(__xludf.DUMMYFUNCTION("""COMPUTED_VALUE"""),"Karlsruhe/Baden Baden")</f>
        <v>Karlsruhe/Baden Baden</v>
      </c>
      <c r="B3909" s="120" t="str">
        <f>IFERROR(__xludf.DUMMYFUNCTION("""COMPUTED_VALUE"""),"FKB")</f>
        <v>FKB</v>
      </c>
      <c r="C3909" s="120" t="str">
        <f>IFERROR(__xludf.DUMMYFUNCTION("""COMPUTED_VALUE"""),"Soellingen")</f>
        <v>Soellingen</v>
      </c>
      <c r="D3909" s="120" t="str">
        <f>IFERROR(__xludf.DUMMYFUNCTION("""COMPUTED_VALUE"""),"Germany")</f>
        <v>Germany</v>
      </c>
      <c r="E3909" s="135"/>
      <c r="F3909" s="31"/>
    </row>
    <row r="3910">
      <c r="A3910" s="134" t="str">
        <f>IFERROR(__xludf.DUMMYFUNCTION("""COMPUTED_VALUE"""),"Karlstad")</f>
        <v>Karlstad</v>
      </c>
      <c r="B3910" s="120" t="str">
        <f>IFERROR(__xludf.DUMMYFUNCTION("""COMPUTED_VALUE"""),"KSD")</f>
        <v>KSD</v>
      </c>
      <c r="C3910" s="120" t="str">
        <f>IFERROR(__xludf.DUMMYFUNCTION("""COMPUTED_VALUE"""),"Karlstad")</f>
        <v>Karlstad</v>
      </c>
      <c r="D3910" s="120" t="str">
        <f>IFERROR(__xludf.DUMMYFUNCTION("""COMPUTED_VALUE"""),"Sweden")</f>
        <v>Sweden</v>
      </c>
      <c r="E3910" s="135"/>
      <c r="F3910" s="31"/>
    </row>
    <row r="3911">
      <c r="A3911" s="134" t="str">
        <f>IFERROR(__xludf.DUMMYFUNCTION("""COMPUTED_VALUE"""),"Karluk")</f>
        <v>Karluk</v>
      </c>
      <c r="B3911" s="120" t="str">
        <f>IFERROR(__xludf.DUMMYFUNCTION("""COMPUTED_VALUE"""),"KYK")</f>
        <v>KYK</v>
      </c>
      <c r="C3911" s="120" t="str">
        <f>IFERROR(__xludf.DUMMYFUNCTION("""COMPUTED_VALUE"""),"Karluk")</f>
        <v>Karluk</v>
      </c>
      <c r="D3911" s="120" t="str">
        <f>IFERROR(__xludf.DUMMYFUNCTION("""COMPUTED_VALUE"""),"United States")</f>
        <v>United States</v>
      </c>
      <c r="E3911" s="135"/>
      <c r="F3911" s="31"/>
    </row>
    <row r="3912">
      <c r="A3912" s="134" t="str">
        <f>IFERROR(__xludf.DUMMYFUNCTION("""COMPUTED_VALUE"""),"Karluk Lake")</f>
        <v>Karluk Lake</v>
      </c>
      <c r="B3912" s="120" t="str">
        <f>IFERROR(__xludf.DUMMYFUNCTION("""COMPUTED_VALUE"""),"KKL")</f>
        <v>KKL</v>
      </c>
      <c r="C3912" s="120" t="str">
        <f>IFERROR(__xludf.DUMMYFUNCTION("""COMPUTED_VALUE"""),"Karluk Lake SPB")</f>
        <v>Karluk Lake SPB</v>
      </c>
      <c r="D3912" s="120" t="str">
        <f>IFERROR(__xludf.DUMMYFUNCTION("""COMPUTED_VALUE"""),"United States")</f>
        <v>United States</v>
      </c>
      <c r="E3912" s="135"/>
      <c r="F3912" s="31"/>
    </row>
    <row r="3913">
      <c r="A3913" s="134" t="str">
        <f>IFERROR(__xludf.DUMMYFUNCTION("""COMPUTED_VALUE"""),"Karonga")</f>
        <v>Karonga</v>
      </c>
      <c r="B3913" s="120" t="str">
        <f>IFERROR(__xludf.DUMMYFUNCTION("""COMPUTED_VALUE"""),"KGJ")</f>
        <v>KGJ</v>
      </c>
      <c r="C3913" s="120" t="str">
        <f>IFERROR(__xludf.DUMMYFUNCTION("""COMPUTED_VALUE"""),"Karonga")</f>
        <v>Karonga</v>
      </c>
      <c r="D3913" s="120" t="str">
        <f>IFERROR(__xludf.DUMMYFUNCTION("""COMPUTED_VALUE"""),"Malawi")</f>
        <v>Malawi</v>
      </c>
      <c r="E3913" s="135"/>
      <c r="F3913" s="31"/>
    </row>
    <row r="3914">
      <c r="A3914" s="134" t="str">
        <f>IFERROR(__xludf.DUMMYFUNCTION("""COMPUTED_VALUE"""),"Karoola")</f>
        <v>Karoola</v>
      </c>
      <c r="B3914" s="120" t="str">
        <f>IFERROR(__xludf.DUMMYFUNCTION("""COMPUTED_VALUE"""),"KXR")</f>
        <v>KXR</v>
      </c>
      <c r="C3914" s="120" t="str">
        <f>IFERROR(__xludf.DUMMYFUNCTION("""COMPUTED_VALUE"""),"Karoola")</f>
        <v>Karoola</v>
      </c>
      <c r="D3914" s="120" t="str">
        <f>IFERROR(__xludf.DUMMYFUNCTION("""COMPUTED_VALUE"""),"Papua New Guinea")</f>
        <v>Papua New Guinea</v>
      </c>
      <c r="E3914" s="135"/>
      <c r="F3914" s="31"/>
    </row>
    <row r="3915">
      <c r="A3915" s="134" t="str">
        <f>IFERROR(__xludf.DUMMYFUNCTION("""COMPUTED_VALUE"""),"Karpathos")</f>
        <v>Karpathos</v>
      </c>
      <c r="B3915" s="120" t="str">
        <f>IFERROR(__xludf.DUMMYFUNCTION("""COMPUTED_VALUE"""),"AOK")</f>
        <v>AOK</v>
      </c>
      <c r="C3915" s="120" t="str">
        <f>IFERROR(__xludf.DUMMYFUNCTION("""COMPUTED_VALUE"""),"Karpathos")</f>
        <v>Karpathos</v>
      </c>
      <c r="D3915" s="120" t="str">
        <f>IFERROR(__xludf.DUMMYFUNCTION("""COMPUTED_VALUE"""),"Greece")</f>
        <v>Greece</v>
      </c>
      <c r="E3915" s="135"/>
      <c r="F3915" s="31"/>
    </row>
    <row r="3916">
      <c r="A3916" s="134" t="str">
        <f>IFERROR(__xludf.DUMMYFUNCTION("""COMPUTED_VALUE"""),"Karratha")</f>
        <v>Karratha</v>
      </c>
      <c r="B3916" s="120" t="str">
        <f>IFERROR(__xludf.DUMMYFUNCTION("""COMPUTED_VALUE"""),"KTA")</f>
        <v>KTA</v>
      </c>
      <c r="C3916" s="120" t="str">
        <f>IFERROR(__xludf.DUMMYFUNCTION("""COMPUTED_VALUE"""),"Karratha")</f>
        <v>Karratha</v>
      </c>
      <c r="D3916" s="120" t="str">
        <f>IFERROR(__xludf.DUMMYFUNCTION("""COMPUTED_VALUE"""),"Australia")</f>
        <v>Australia</v>
      </c>
      <c r="E3916" s="135"/>
      <c r="F3916" s="31"/>
    </row>
    <row r="3917">
      <c r="A3917" s="134" t="str">
        <f>IFERROR(__xludf.DUMMYFUNCTION("""COMPUTED_VALUE"""),"Kars")</f>
        <v>Kars</v>
      </c>
      <c r="B3917" s="120" t="str">
        <f>IFERROR(__xludf.DUMMYFUNCTION("""COMPUTED_VALUE"""),"KSY")</f>
        <v>KSY</v>
      </c>
      <c r="C3917" s="120" t="str">
        <f>IFERROR(__xludf.DUMMYFUNCTION("""COMPUTED_VALUE"""),"Kars")</f>
        <v>Kars</v>
      </c>
      <c r="D3917" s="120" t="str">
        <f>IFERROR(__xludf.DUMMYFUNCTION("""COMPUTED_VALUE"""),"Turkey")</f>
        <v>Turkey</v>
      </c>
      <c r="E3917" s="135"/>
      <c r="F3917" s="31"/>
    </row>
    <row r="3918">
      <c r="A3918" s="134" t="str">
        <f>IFERROR(__xludf.DUMMYFUNCTION("""COMPUTED_VALUE"""),"Karshi")</f>
        <v>Karshi</v>
      </c>
      <c r="B3918" s="120" t="str">
        <f>IFERROR(__xludf.DUMMYFUNCTION("""COMPUTED_VALUE"""),"KSQ")</f>
        <v>KSQ</v>
      </c>
      <c r="C3918" s="120" t="str">
        <f>IFERROR(__xludf.DUMMYFUNCTION("""COMPUTED_VALUE"""),"Karshi")</f>
        <v>Karshi</v>
      </c>
      <c r="D3918" s="120" t="str">
        <f>IFERROR(__xludf.DUMMYFUNCTION("""COMPUTED_VALUE"""),"Uzbekistan")</f>
        <v>Uzbekistan</v>
      </c>
      <c r="E3918" s="135"/>
      <c r="F3918" s="31"/>
    </row>
    <row r="3919">
      <c r="A3919" s="134" t="str">
        <f>IFERROR(__xludf.DUMMYFUNCTION("""COMPUTED_VALUE"""),"Karubaga")</f>
        <v>Karubaga</v>
      </c>
      <c r="B3919" s="120" t="str">
        <f>IFERROR(__xludf.DUMMYFUNCTION("""COMPUTED_VALUE"""),"KBF")</f>
        <v>KBF</v>
      </c>
      <c r="C3919" s="120" t="str">
        <f>IFERROR(__xludf.DUMMYFUNCTION("""COMPUTED_VALUE"""),"Karubaga")</f>
        <v>Karubaga</v>
      </c>
      <c r="D3919" s="120" t="str">
        <f>IFERROR(__xludf.DUMMYFUNCTION("""COMPUTED_VALUE"""),"Indonesia")</f>
        <v>Indonesia</v>
      </c>
      <c r="E3919" s="135"/>
      <c r="F3919" s="31"/>
    </row>
    <row r="3920">
      <c r="A3920" s="134" t="str">
        <f>IFERROR(__xludf.DUMMYFUNCTION("""COMPUTED_VALUE"""),"Karumba")</f>
        <v>Karumba</v>
      </c>
      <c r="B3920" s="120" t="str">
        <f>IFERROR(__xludf.DUMMYFUNCTION("""COMPUTED_VALUE"""),"KRB")</f>
        <v>KRB</v>
      </c>
      <c r="C3920" s="120" t="str">
        <f>IFERROR(__xludf.DUMMYFUNCTION("""COMPUTED_VALUE"""),"Karumba")</f>
        <v>Karumba</v>
      </c>
      <c r="D3920" s="120" t="str">
        <f>IFERROR(__xludf.DUMMYFUNCTION("""COMPUTED_VALUE"""),"Australia")</f>
        <v>Australia</v>
      </c>
      <c r="E3920" s="135"/>
      <c r="F3920" s="31"/>
    </row>
    <row r="3921">
      <c r="A3921" s="134" t="str">
        <f>IFERROR(__xludf.DUMMYFUNCTION("""COMPUTED_VALUE"""),"Karup")</f>
        <v>Karup</v>
      </c>
      <c r="B3921" s="120" t="str">
        <f>IFERROR(__xludf.DUMMYFUNCTION("""COMPUTED_VALUE"""),"KRP")</f>
        <v>KRP</v>
      </c>
      <c r="C3921" s="120" t="str">
        <f>IFERROR(__xludf.DUMMYFUNCTION("""COMPUTED_VALUE"""),"Karup")</f>
        <v>Karup</v>
      </c>
      <c r="D3921" s="120" t="str">
        <f>IFERROR(__xludf.DUMMYFUNCTION("""COMPUTED_VALUE"""),"Denmark")</f>
        <v>Denmark</v>
      </c>
      <c r="E3921" s="135"/>
      <c r="F3921" s="31"/>
    </row>
    <row r="3922">
      <c r="A3922" s="134" t="str">
        <f>IFERROR(__xludf.DUMMYFUNCTION("""COMPUTED_VALUE"""),"Kasaan")</f>
        <v>Kasaan</v>
      </c>
      <c r="B3922" s="120" t="str">
        <f>IFERROR(__xludf.DUMMYFUNCTION("""COMPUTED_VALUE"""),"KXA")</f>
        <v>KXA</v>
      </c>
      <c r="C3922" s="120" t="str">
        <f>IFERROR(__xludf.DUMMYFUNCTION("""COMPUTED_VALUE"""),"Kasaan SPB")</f>
        <v>Kasaan SPB</v>
      </c>
      <c r="D3922" s="120" t="str">
        <f>IFERROR(__xludf.DUMMYFUNCTION("""COMPUTED_VALUE"""),"United States")</f>
        <v>United States</v>
      </c>
      <c r="E3922" s="135"/>
      <c r="F3922" s="31"/>
    </row>
    <row r="3923">
      <c r="A3923" s="134" t="str">
        <f>IFERROR(__xludf.DUMMYFUNCTION("""COMPUTED_VALUE"""),"Kasaba Bay")</f>
        <v>Kasaba Bay</v>
      </c>
      <c r="B3923" s="120" t="str">
        <f>IFERROR(__xludf.DUMMYFUNCTION("""COMPUTED_VALUE"""),"ZKB")</f>
        <v>ZKB</v>
      </c>
      <c r="C3923" s="120" t="str">
        <f>IFERROR(__xludf.DUMMYFUNCTION("""COMPUTED_VALUE"""),"Kasaba Bay")</f>
        <v>Kasaba Bay</v>
      </c>
      <c r="D3923" s="120" t="str">
        <f>IFERROR(__xludf.DUMMYFUNCTION("""COMPUTED_VALUE"""),"Zambia")</f>
        <v>Zambia</v>
      </c>
      <c r="E3923" s="135"/>
      <c r="F3923" s="31"/>
    </row>
    <row r="3924">
      <c r="A3924" s="134" t="str">
        <f>IFERROR(__xludf.DUMMYFUNCTION("""COMPUTED_VALUE"""),"Kasabonika")</f>
        <v>Kasabonika</v>
      </c>
      <c r="B3924" s="120" t="str">
        <f>IFERROR(__xludf.DUMMYFUNCTION("""COMPUTED_VALUE"""),"XKS")</f>
        <v>XKS</v>
      </c>
      <c r="C3924" s="120" t="str">
        <f>IFERROR(__xludf.DUMMYFUNCTION("""COMPUTED_VALUE"""),"Kasabonika")</f>
        <v>Kasabonika</v>
      </c>
      <c r="D3924" s="120" t="str">
        <f>IFERROR(__xludf.DUMMYFUNCTION("""COMPUTED_VALUE"""),"Canada")</f>
        <v>Canada</v>
      </c>
      <c r="E3924" s="135"/>
      <c r="F3924" s="31"/>
    </row>
    <row r="3925">
      <c r="A3925" s="134" t="str">
        <f>IFERROR(__xludf.DUMMYFUNCTION("""COMPUTED_VALUE"""),"Kasama")</f>
        <v>Kasama</v>
      </c>
      <c r="B3925" s="120" t="str">
        <f>IFERROR(__xludf.DUMMYFUNCTION("""COMPUTED_VALUE"""),"KAA")</f>
        <v>KAA</v>
      </c>
      <c r="C3925" s="120" t="str">
        <f>IFERROR(__xludf.DUMMYFUNCTION("""COMPUTED_VALUE"""),"Kasama")</f>
        <v>Kasama</v>
      </c>
      <c r="D3925" s="120" t="str">
        <f>IFERROR(__xludf.DUMMYFUNCTION("""COMPUTED_VALUE"""),"Zambia")</f>
        <v>Zambia</v>
      </c>
      <c r="E3925" s="135"/>
      <c r="F3925" s="31"/>
    </row>
    <row r="3926">
      <c r="A3926" s="134" t="str">
        <f>IFERROR(__xludf.DUMMYFUNCTION("""COMPUTED_VALUE"""),"Kasane")</f>
        <v>Kasane</v>
      </c>
      <c r="B3926" s="120" t="str">
        <f>IFERROR(__xludf.DUMMYFUNCTION("""COMPUTED_VALUE"""),"BBK")</f>
        <v>BBK</v>
      </c>
      <c r="C3926" s="120" t="str">
        <f>IFERROR(__xludf.DUMMYFUNCTION("""COMPUTED_VALUE"""),"Kasane")</f>
        <v>Kasane</v>
      </c>
      <c r="D3926" s="120" t="str">
        <f>IFERROR(__xludf.DUMMYFUNCTION("""COMPUTED_VALUE"""),"Botswana")</f>
        <v>Botswana</v>
      </c>
      <c r="E3926" s="135"/>
      <c r="F3926" s="31"/>
    </row>
    <row r="3927">
      <c r="A3927" s="134" t="str">
        <f>IFERROR(__xludf.DUMMYFUNCTION("""COMPUTED_VALUE"""),"Kasanombe")</f>
        <v>Kasanombe</v>
      </c>
      <c r="B3927" s="120" t="str">
        <f>IFERROR(__xludf.DUMMYFUNCTION("""COMPUTED_VALUE"""),"KSB")</f>
        <v>KSB</v>
      </c>
      <c r="C3927" s="120" t="str">
        <f>IFERROR(__xludf.DUMMYFUNCTION("""COMPUTED_VALUE"""),"Kasanombe")</f>
        <v>Kasanombe</v>
      </c>
      <c r="D3927" s="120" t="str">
        <f>IFERROR(__xludf.DUMMYFUNCTION("""COMPUTED_VALUE"""),"Papua New Guinea")</f>
        <v>Papua New Guinea</v>
      </c>
      <c r="E3927" s="135"/>
      <c r="F3927" s="31"/>
    </row>
    <row r="3928">
      <c r="A3928" s="134" t="str">
        <f>IFERROR(__xludf.DUMMYFUNCTION("""COMPUTED_VALUE"""),"Kasba Lake")</f>
        <v>Kasba Lake</v>
      </c>
      <c r="B3928" s="120" t="str">
        <f>IFERROR(__xludf.DUMMYFUNCTION("""COMPUTED_VALUE"""),"YDU")</f>
        <v>YDU</v>
      </c>
      <c r="C3928" s="120" t="str">
        <f>IFERROR(__xludf.DUMMYFUNCTION("""COMPUTED_VALUE"""),"Kasba Lake")</f>
        <v>Kasba Lake</v>
      </c>
      <c r="D3928" s="120" t="str">
        <f>IFERROR(__xludf.DUMMYFUNCTION("""COMPUTED_VALUE"""),"Canada")</f>
        <v>Canada</v>
      </c>
      <c r="E3928" s="135"/>
      <c r="F3928" s="31"/>
    </row>
    <row r="3929">
      <c r="A3929" s="134" t="str">
        <f>IFERROR(__xludf.DUMMYFUNCTION("""COMPUTED_VALUE"""),"Kaschechewan")</f>
        <v>Kaschechewan</v>
      </c>
      <c r="B3929" s="120" t="str">
        <f>IFERROR(__xludf.DUMMYFUNCTION("""COMPUTED_VALUE"""),"ZKE")</f>
        <v>ZKE</v>
      </c>
      <c r="C3929" s="120" t="str">
        <f>IFERROR(__xludf.DUMMYFUNCTION("""COMPUTED_VALUE"""),"Kaschechewan")</f>
        <v>Kaschechewan</v>
      </c>
      <c r="D3929" s="120" t="str">
        <f>IFERROR(__xludf.DUMMYFUNCTION("""COMPUTED_VALUE"""),"Canada")</f>
        <v>Canada</v>
      </c>
      <c r="E3929" s="135"/>
      <c r="F3929" s="31"/>
    </row>
    <row r="3930">
      <c r="A3930" s="134" t="str">
        <f>IFERROR(__xludf.DUMMYFUNCTION("""COMPUTED_VALUE"""),"Kasenga")</f>
        <v>Kasenga</v>
      </c>
      <c r="B3930" s="120" t="str">
        <f>IFERROR(__xludf.DUMMYFUNCTION("""COMPUTED_VALUE"""),"KEC")</f>
        <v>KEC</v>
      </c>
      <c r="C3930" s="120" t="str">
        <f>IFERROR(__xludf.DUMMYFUNCTION("""COMPUTED_VALUE"""),"Kasenga")</f>
        <v>Kasenga</v>
      </c>
      <c r="D3930" s="120" t="str">
        <f>IFERROR(__xludf.DUMMYFUNCTION("""COMPUTED_VALUE"""),"Zaire")</f>
        <v>Zaire</v>
      </c>
      <c r="E3930" s="135"/>
      <c r="F3930" s="31"/>
    </row>
    <row r="3931">
      <c r="A3931" s="134" t="str">
        <f>IFERROR(__xludf.DUMMYFUNCTION("""COMPUTED_VALUE"""),"Kasese")</f>
        <v>Kasese</v>
      </c>
      <c r="B3931" s="120" t="str">
        <f>IFERROR(__xludf.DUMMYFUNCTION("""COMPUTED_VALUE"""),"KSE")</f>
        <v>KSE</v>
      </c>
      <c r="C3931" s="120" t="str">
        <f>IFERROR(__xludf.DUMMYFUNCTION("""COMPUTED_VALUE"""),"Kasese")</f>
        <v>Kasese</v>
      </c>
      <c r="D3931" s="120" t="str">
        <f>IFERROR(__xludf.DUMMYFUNCTION("""COMPUTED_VALUE"""),"Uganda")</f>
        <v>Uganda</v>
      </c>
      <c r="E3931" s="135"/>
      <c r="F3931" s="31"/>
    </row>
    <row r="3932">
      <c r="A3932" s="134" t="str">
        <f>IFERROR(__xludf.DUMMYFUNCTION("""COMPUTED_VALUE"""),"Kashi")</f>
        <v>Kashi</v>
      </c>
      <c r="B3932" s="120" t="str">
        <f>IFERROR(__xludf.DUMMYFUNCTION("""COMPUTED_VALUE"""),"KHG")</f>
        <v>KHG</v>
      </c>
      <c r="C3932" s="120" t="str">
        <f>IFERROR(__xludf.DUMMYFUNCTION("""COMPUTED_VALUE"""),"Kashi")</f>
        <v>Kashi</v>
      </c>
      <c r="D3932" s="120" t="str">
        <f>IFERROR(__xludf.DUMMYFUNCTION("""COMPUTED_VALUE"""),"China")</f>
        <v>China</v>
      </c>
      <c r="E3932" s="135"/>
      <c r="F3932" s="31"/>
    </row>
    <row r="3933">
      <c r="A3933" s="134" t="str">
        <f>IFERROR(__xludf.DUMMYFUNCTION("""COMPUTED_VALUE"""),"Kasigluk")</f>
        <v>Kasigluk</v>
      </c>
      <c r="B3933" s="120" t="str">
        <f>IFERROR(__xludf.DUMMYFUNCTION("""COMPUTED_VALUE"""),"KUK")</f>
        <v>KUK</v>
      </c>
      <c r="C3933" s="120" t="str">
        <f>IFERROR(__xludf.DUMMYFUNCTION("""COMPUTED_VALUE"""),"Kasigluk")</f>
        <v>Kasigluk</v>
      </c>
      <c r="D3933" s="120" t="str">
        <f>IFERROR(__xludf.DUMMYFUNCTION("""COMPUTED_VALUE"""),"United States")</f>
        <v>United States</v>
      </c>
      <c r="E3933" s="135"/>
      <c r="F3933" s="31"/>
    </row>
    <row r="3934">
      <c r="A3934" s="134" t="str">
        <f>IFERROR(__xludf.DUMMYFUNCTION("""COMPUTED_VALUE"""),"Kasikasima")</f>
        <v>Kasikasima</v>
      </c>
      <c r="B3934" s="120" t="str">
        <f>IFERROR(__xludf.DUMMYFUNCTION("""COMPUTED_VALUE"""),"KCB")</f>
        <v>KCB</v>
      </c>
      <c r="C3934" s="120" t="str">
        <f>IFERROR(__xludf.DUMMYFUNCTION("""COMPUTED_VALUE"""),"Tepoe Airstrip")</f>
        <v>Tepoe Airstrip</v>
      </c>
      <c r="D3934" s="120" t="str">
        <f>IFERROR(__xludf.DUMMYFUNCTION("""COMPUTED_VALUE"""),"Suriname")</f>
        <v>Suriname</v>
      </c>
      <c r="E3934" s="135"/>
      <c r="F3934" s="31"/>
    </row>
    <row r="3935">
      <c r="A3935" s="134" t="str">
        <f>IFERROR(__xludf.DUMMYFUNCTION("""COMPUTED_VALUE"""),"Kasompe")</f>
        <v>Kasompe</v>
      </c>
      <c r="B3935" s="120" t="str">
        <f>IFERROR(__xludf.DUMMYFUNCTION("""COMPUTED_VALUE"""),"ZKP")</f>
        <v>ZKP</v>
      </c>
      <c r="C3935" s="120" t="str">
        <f>IFERROR(__xludf.DUMMYFUNCTION("""COMPUTED_VALUE"""),"Kasompe")</f>
        <v>Kasompe</v>
      </c>
      <c r="D3935" s="120" t="str">
        <f>IFERROR(__xludf.DUMMYFUNCTION("""COMPUTED_VALUE"""),"Zambia")</f>
        <v>Zambia</v>
      </c>
      <c r="E3935" s="135"/>
      <c r="F3935" s="31"/>
    </row>
    <row r="3936">
      <c r="A3936" s="134" t="str">
        <f>IFERROR(__xludf.DUMMYFUNCTION("""COMPUTED_VALUE"""),"Kasongo Lunda")</f>
        <v>Kasongo Lunda</v>
      </c>
      <c r="B3936" s="120" t="str">
        <f>IFERROR(__xludf.DUMMYFUNCTION("""COMPUTED_VALUE"""),"KGN")</f>
        <v>KGN</v>
      </c>
      <c r="C3936" s="120" t="str">
        <f>IFERROR(__xludf.DUMMYFUNCTION("""COMPUTED_VALUE"""),"Kasongo Lunda")</f>
        <v>Kasongo Lunda</v>
      </c>
      <c r="D3936" s="120" t="str">
        <f>IFERROR(__xludf.DUMMYFUNCTION("""COMPUTED_VALUE"""),"Zaire")</f>
        <v>Zaire</v>
      </c>
      <c r="E3936" s="135"/>
      <c r="F3936" s="31"/>
    </row>
    <row r="3937">
      <c r="A3937" s="134" t="str">
        <f>IFERROR(__xludf.DUMMYFUNCTION("""COMPUTED_VALUE"""),"Kasos Island")</f>
        <v>Kasos Island</v>
      </c>
      <c r="B3937" s="120" t="str">
        <f>IFERROR(__xludf.DUMMYFUNCTION("""COMPUTED_VALUE"""),"KSJ")</f>
        <v>KSJ</v>
      </c>
      <c r="C3937" s="120" t="str">
        <f>IFERROR(__xludf.DUMMYFUNCTION("""COMPUTED_VALUE"""),"Kasos Island")</f>
        <v>Kasos Island</v>
      </c>
      <c r="D3937" s="120" t="str">
        <f>IFERROR(__xludf.DUMMYFUNCTION("""COMPUTED_VALUE"""),"Greece")</f>
        <v>Greece</v>
      </c>
      <c r="E3937" s="135"/>
      <c r="F3937" s="31"/>
    </row>
    <row r="3938">
      <c r="A3938" s="134" t="str">
        <f>IFERROR(__xludf.DUMMYFUNCTION("""COMPUTED_VALUE"""),"Kassala")</f>
        <v>Kassala</v>
      </c>
      <c r="B3938" s="120" t="str">
        <f>IFERROR(__xludf.DUMMYFUNCTION("""COMPUTED_VALUE"""),"KSL")</f>
        <v>KSL</v>
      </c>
      <c r="C3938" s="120" t="str">
        <f>IFERROR(__xludf.DUMMYFUNCTION("""COMPUTED_VALUE"""),"Kassala")</f>
        <v>Kassala</v>
      </c>
      <c r="D3938" s="120" t="str">
        <f>IFERROR(__xludf.DUMMYFUNCTION("""COMPUTED_VALUE"""),"Sudan")</f>
        <v>Sudan</v>
      </c>
      <c r="E3938" s="135"/>
      <c r="F3938" s="31"/>
    </row>
    <row r="3939">
      <c r="A3939" s="134" t="str">
        <f>IFERROR(__xludf.DUMMYFUNCTION("""COMPUTED_VALUE"""),"Kassel")</f>
        <v>Kassel</v>
      </c>
      <c r="B3939" s="120" t="str">
        <f>IFERROR(__xludf.DUMMYFUNCTION("""COMPUTED_VALUE"""),"KSF")</f>
        <v>KSF</v>
      </c>
      <c r="C3939" s="120" t="str">
        <f>IFERROR(__xludf.DUMMYFUNCTION("""COMPUTED_VALUE"""),"Kassel-Calden")</f>
        <v>Kassel-Calden</v>
      </c>
      <c r="D3939" s="120" t="str">
        <f>IFERROR(__xludf.DUMMYFUNCTION("""COMPUTED_VALUE"""),"Germany")</f>
        <v>Germany</v>
      </c>
      <c r="E3939" s="135"/>
      <c r="F3939" s="31"/>
    </row>
    <row r="3940">
      <c r="A3940" s="134" t="str">
        <f>IFERROR(__xludf.DUMMYFUNCTION("""COMPUTED_VALUE"""),"Kastamonu")</f>
        <v>Kastamonu</v>
      </c>
      <c r="B3940" s="120" t="str">
        <f>IFERROR(__xludf.DUMMYFUNCTION("""COMPUTED_VALUE"""),"KFS")</f>
        <v>KFS</v>
      </c>
      <c r="C3940" s="120" t="str">
        <f>IFERROR(__xludf.DUMMYFUNCTION("""COMPUTED_VALUE"""),"Kastamonu")</f>
        <v>Kastamonu</v>
      </c>
      <c r="D3940" s="120" t="str">
        <f>IFERROR(__xludf.DUMMYFUNCTION("""COMPUTED_VALUE"""),"Turkey")</f>
        <v>Turkey</v>
      </c>
      <c r="E3940" s="135"/>
      <c r="F3940" s="31"/>
    </row>
    <row r="3941">
      <c r="A3941" s="134" t="str">
        <f>IFERROR(__xludf.DUMMYFUNCTION("""COMPUTED_VALUE"""),"Kastelorizo")</f>
        <v>Kastelorizo</v>
      </c>
      <c r="B3941" s="120" t="str">
        <f>IFERROR(__xludf.DUMMYFUNCTION("""COMPUTED_VALUE"""),"KZS")</f>
        <v>KZS</v>
      </c>
      <c r="C3941" s="120" t="str">
        <f>IFERROR(__xludf.DUMMYFUNCTION("""COMPUTED_VALUE"""),"Kastelorizo")</f>
        <v>Kastelorizo</v>
      </c>
      <c r="D3941" s="120" t="str">
        <f>IFERROR(__xludf.DUMMYFUNCTION("""COMPUTED_VALUE"""),"Greece")</f>
        <v>Greece</v>
      </c>
      <c r="E3941" s="135"/>
      <c r="F3941" s="31"/>
    </row>
    <row r="3942">
      <c r="A3942" s="134" t="str">
        <f>IFERROR(__xludf.DUMMYFUNCTION("""COMPUTED_VALUE"""),"Kastoria")</f>
        <v>Kastoria</v>
      </c>
      <c r="B3942" s="120" t="str">
        <f>IFERROR(__xludf.DUMMYFUNCTION("""COMPUTED_VALUE"""),"KSO")</f>
        <v>KSO</v>
      </c>
      <c r="C3942" s="120" t="str">
        <f>IFERROR(__xludf.DUMMYFUNCTION("""COMPUTED_VALUE"""),"Aristoteles Airport")</f>
        <v>Aristoteles Airport</v>
      </c>
      <c r="D3942" s="120" t="str">
        <f>IFERROR(__xludf.DUMMYFUNCTION("""COMPUTED_VALUE"""),"Greece")</f>
        <v>Greece</v>
      </c>
      <c r="E3942" s="135"/>
      <c r="F3942" s="31"/>
    </row>
    <row r="3943">
      <c r="A3943" s="134" t="str">
        <f>IFERROR(__xludf.DUMMYFUNCTION("""COMPUTED_VALUE"""),"Kasungu")</f>
        <v>Kasungu</v>
      </c>
      <c r="B3943" s="120" t="str">
        <f>IFERROR(__xludf.DUMMYFUNCTION("""COMPUTED_VALUE"""),"KBQ")</f>
        <v>KBQ</v>
      </c>
      <c r="C3943" s="120" t="str">
        <f>IFERROR(__xludf.DUMMYFUNCTION("""COMPUTED_VALUE"""),"Kasungu")</f>
        <v>Kasungu</v>
      </c>
      <c r="D3943" s="120" t="str">
        <f>IFERROR(__xludf.DUMMYFUNCTION("""COMPUTED_VALUE"""),"Malawi")</f>
        <v>Malawi</v>
      </c>
      <c r="E3943" s="135"/>
      <c r="F3943" s="31"/>
    </row>
    <row r="3944">
      <c r="A3944" s="134" t="str">
        <f>IFERROR(__xludf.DUMMYFUNCTION("""COMPUTED_VALUE"""),"Katanning")</f>
        <v>Katanning</v>
      </c>
      <c r="B3944" s="120" t="str">
        <f>IFERROR(__xludf.DUMMYFUNCTION("""COMPUTED_VALUE"""),"KNI")</f>
        <v>KNI</v>
      </c>
      <c r="C3944" s="120" t="str">
        <f>IFERROR(__xludf.DUMMYFUNCTION("""COMPUTED_VALUE"""),"Katanning")</f>
        <v>Katanning</v>
      </c>
      <c r="D3944" s="120" t="str">
        <f>IFERROR(__xludf.DUMMYFUNCTION("""COMPUTED_VALUE"""),"Australia")</f>
        <v>Australia</v>
      </c>
      <c r="E3944" s="135"/>
      <c r="F3944" s="31"/>
    </row>
    <row r="3945">
      <c r="A3945" s="134" t="str">
        <f>IFERROR(__xludf.DUMMYFUNCTION("""COMPUTED_VALUE"""),"Katherine")</f>
        <v>Katherine</v>
      </c>
      <c r="B3945" s="120" t="str">
        <f>IFERROR(__xludf.DUMMYFUNCTION("""COMPUTED_VALUE"""),"KTR")</f>
        <v>KTR</v>
      </c>
      <c r="C3945" s="120" t="str">
        <f>IFERROR(__xludf.DUMMYFUNCTION("""COMPUTED_VALUE"""),"Tindal")</f>
        <v>Tindal</v>
      </c>
      <c r="D3945" s="120" t="str">
        <f>IFERROR(__xludf.DUMMYFUNCTION("""COMPUTED_VALUE"""),"Australia")</f>
        <v>Australia</v>
      </c>
      <c r="E3945" s="135"/>
      <c r="F3945" s="31"/>
    </row>
    <row r="3946">
      <c r="A3946" s="134" t="str">
        <f>IFERROR(__xludf.DUMMYFUNCTION("""COMPUTED_VALUE"""),"Kathmandu")</f>
        <v>Kathmandu</v>
      </c>
      <c r="B3946" s="120" t="str">
        <f>IFERROR(__xludf.DUMMYFUNCTION("""COMPUTED_VALUE"""),"KTM")</f>
        <v>KTM</v>
      </c>
      <c r="C3946" s="120" t="str">
        <f>IFERROR(__xludf.DUMMYFUNCTION("""COMPUTED_VALUE"""),"Tribhuvan")</f>
        <v>Tribhuvan</v>
      </c>
      <c r="D3946" s="120" t="str">
        <f>IFERROR(__xludf.DUMMYFUNCTION("""COMPUTED_VALUE"""),"Nepal")</f>
        <v>Nepal</v>
      </c>
      <c r="E3946" s="135"/>
      <c r="F3946" s="31"/>
    </row>
    <row r="3947">
      <c r="A3947" s="134" t="str">
        <f>IFERROR(__xludf.DUMMYFUNCTION("""COMPUTED_VALUE"""),"Katiola")</f>
        <v>Katiola</v>
      </c>
      <c r="B3947" s="120" t="str">
        <f>IFERROR(__xludf.DUMMYFUNCTION("""COMPUTED_VALUE"""),"KTC")</f>
        <v>KTC</v>
      </c>
      <c r="C3947" s="120" t="str">
        <f>IFERROR(__xludf.DUMMYFUNCTION("""COMPUTED_VALUE"""),"Katiola")</f>
        <v>Katiola</v>
      </c>
      <c r="D3947" s="120" t="str">
        <f>IFERROR(__xludf.DUMMYFUNCTION("""COMPUTED_VALUE"""),"Cote D'Ivoire (Ivory Coast)")</f>
        <v>Cote D'Ivoire (Ivory Coast)</v>
      </c>
      <c r="E3947" s="135"/>
      <c r="F3947" s="31"/>
    </row>
    <row r="3948">
      <c r="A3948" s="134" t="str">
        <f>IFERROR(__xludf.DUMMYFUNCTION("""COMPUTED_VALUE"""),"Katiu")</f>
        <v>Katiu</v>
      </c>
      <c r="B3948" s="120" t="str">
        <f>IFERROR(__xludf.DUMMYFUNCTION("""COMPUTED_VALUE"""),"KXU")</f>
        <v>KXU</v>
      </c>
      <c r="C3948" s="120" t="str">
        <f>IFERROR(__xludf.DUMMYFUNCTION("""COMPUTED_VALUE"""),"Katiu")</f>
        <v>Katiu</v>
      </c>
      <c r="D3948" s="120" t="str">
        <f>IFERROR(__xludf.DUMMYFUNCTION("""COMPUTED_VALUE"""),"French Polynesia")</f>
        <v>French Polynesia</v>
      </c>
      <c r="E3948" s="135"/>
      <c r="F3948" s="31"/>
    </row>
    <row r="3949">
      <c r="A3949" s="134" t="str">
        <f>IFERROR(__xludf.DUMMYFUNCTION("""COMPUTED_VALUE"""),"Kato")</f>
        <v>Kato</v>
      </c>
      <c r="B3949" s="120" t="str">
        <f>IFERROR(__xludf.DUMMYFUNCTION("""COMPUTED_VALUE"""),"KTO")</f>
        <v>KTO</v>
      </c>
      <c r="C3949" s="120" t="str">
        <f>IFERROR(__xludf.DUMMYFUNCTION("""COMPUTED_VALUE"""),"Kato")</f>
        <v>Kato</v>
      </c>
      <c r="D3949" s="120" t="str">
        <f>IFERROR(__xludf.DUMMYFUNCTION("""COMPUTED_VALUE"""),"Guyana")</f>
        <v>Guyana</v>
      </c>
      <c r="E3949" s="135"/>
      <c r="F3949" s="31"/>
    </row>
    <row r="3950">
      <c r="A3950" s="134" t="str">
        <f>IFERROR(__xludf.DUMMYFUNCTION("""COMPUTED_VALUE"""),"Ozarowice")</f>
        <v>Ozarowice</v>
      </c>
      <c r="B3950" s="120" t="str">
        <f>IFERROR(__xludf.DUMMYFUNCTION("""COMPUTED_VALUE"""),"KTW")</f>
        <v>KTW</v>
      </c>
      <c r="C3950" s="120" t="str">
        <f>IFERROR(__xludf.DUMMYFUNCTION("""COMPUTED_VALUE"""),"Pyrzowice")</f>
        <v>Pyrzowice</v>
      </c>
      <c r="D3950" s="120" t="str">
        <f>IFERROR(__xludf.DUMMYFUNCTION("""COMPUTED_VALUE"""),"Poland")</f>
        <v>Poland</v>
      </c>
      <c r="E3950" s="135"/>
      <c r="F3950" s="31"/>
    </row>
    <row r="3951">
      <c r="A3951" s="134" t="str">
        <f>IFERROR(__xludf.DUMMYFUNCTION("""COMPUTED_VALUE"""),"Katrineholm")</f>
        <v>Katrineholm</v>
      </c>
      <c r="B3951" s="120" t="str">
        <f>IFERROR(__xludf.DUMMYFUNCTION("""COMPUTED_VALUE"""),"XXK")</f>
        <v>XXK</v>
      </c>
      <c r="C3951" s="120" t="str">
        <f>IFERROR(__xludf.DUMMYFUNCTION("""COMPUTED_VALUE"""),"Katrineholm")</f>
        <v>Katrineholm</v>
      </c>
      <c r="D3951" s="120" t="str">
        <f>IFERROR(__xludf.DUMMYFUNCTION("""COMPUTED_VALUE"""),"Sweden")</f>
        <v>Sweden</v>
      </c>
      <c r="E3951" s="135"/>
      <c r="F3951" s="31"/>
    </row>
    <row r="3952">
      <c r="A3952" s="134" t="str">
        <f>IFERROR(__xludf.DUMMYFUNCTION("""COMPUTED_VALUE"""),"Kattiniq")</f>
        <v>Kattiniq</v>
      </c>
      <c r="B3952" s="120" t="str">
        <f>IFERROR(__xludf.DUMMYFUNCTION("""COMPUTED_VALUE"""),"YAU")</f>
        <v>YAU</v>
      </c>
      <c r="C3952" s="120" t="str">
        <f>IFERROR(__xludf.DUMMYFUNCTION("""COMPUTED_VALUE"""),"Kattiniq/Donaldson")</f>
        <v>Kattiniq/Donaldson</v>
      </c>
      <c r="D3952" s="120" t="str">
        <f>IFERROR(__xludf.DUMMYFUNCTION("""COMPUTED_VALUE"""),"Canada")</f>
        <v>Canada</v>
      </c>
      <c r="E3952" s="135"/>
      <c r="F3952" s="31"/>
    </row>
    <row r="3953">
      <c r="A3953" s="134" t="str">
        <f>IFERROR(__xludf.DUMMYFUNCTION("""COMPUTED_VALUE"""),"Katugastota")</f>
        <v>Katugastota</v>
      </c>
      <c r="B3953" s="120" t="str">
        <f>IFERROR(__xludf.DUMMYFUNCTION("""COMPUTED_VALUE"""),"KDZ")</f>
        <v>KDZ</v>
      </c>
      <c r="C3953" s="120" t="str">
        <f>IFERROR(__xludf.DUMMYFUNCTION("""COMPUTED_VALUE"""),"Polgolla Reservoir")</f>
        <v>Polgolla Reservoir</v>
      </c>
      <c r="D3953" s="120" t="str">
        <f>IFERROR(__xludf.DUMMYFUNCTION("""COMPUTED_VALUE"""),"Sri Lanka")</f>
        <v>Sri Lanka</v>
      </c>
      <c r="E3953" s="135"/>
      <c r="F3953" s="31"/>
    </row>
    <row r="3954">
      <c r="A3954" s="134" t="str">
        <f>IFERROR(__xludf.DUMMYFUNCTION("""COMPUTED_VALUE"""),"Katukurunda")</f>
        <v>Katukurunda</v>
      </c>
      <c r="B3954" s="120" t="str">
        <f>IFERROR(__xludf.DUMMYFUNCTION("""COMPUTED_VALUE"""),"KTY")</f>
        <v>KTY</v>
      </c>
      <c r="C3954" s="120" t="str">
        <f>IFERROR(__xludf.DUMMYFUNCTION("""COMPUTED_VALUE"""),"Katukurunda Slaf Base")</f>
        <v>Katukurunda Slaf Base</v>
      </c>
      <c r="D3954" s="120" t="str">
        <f>IFERROR(__xludf.DUMMYFUNCTION("""COMPUTED_VALUE"""),"Sri Lanka")</f>
        <v>Sri Lanka</v>
      </c>
      <c r="E3954" s="135"/>
      <c r="F3954" s="31"/>
    </row>
    <row r="3955">
      <c r="A3955" s="134" t="str">
        <f>IFERROR(__xludf.DUMMYFUNCTION("""COMPUTED_VALUE"""),"Kau")</f>
        <v>Kau</v>
      </c>
      <c r="B3955" s="120" t="str">
        <f>IFERROR(__xludf.DUMMYFUNCTION("""COMPUTED_VALUE"""),"KAZ")</f>
        <v>KAZ</v>
      </c>
      <c r="C3955" s="120" t="str">
        <f>IFERROR(__xludf.DUMMYFUNCTION("""COMPUTED_VALUE"""),"Kau")</f>
        <v>Kau</v>
      </c>
      <c r="D3955" s="120" t="str">
        <f>IFERROR(__xludf.DUMMYFUNCTION("""COMPUTED_VALUE"""),"Indonesia")</f>
        <v>Indonesia</v>
      </c>
      <c r="E3955" s="135"/>
      <c r="F3955" s="31"/>
    </row>
    <row r="3956">
      <c r="A3956" s="134" t="str">
        <f>IFERROR(__xludf.DUMMYFUNCTION("""COMPUTED_VALUE"""),"Kauai Island")</f>
        <v>Kauai Island</v>
      </c>
      <c r="B3956" s="120" t="str">
        <f>IFERROR(__xludf.DUMMYFUNCTION("""COMPUTED_VALUE"""),"LIH")</f>
        <v>LIH</v>
      </c>
      <c r="C3956" s="120" t="str">
        <f>IFERROR(__xludf.DUMMYFUNCTION("""COMPUTED_VALUE"""),"Lihue")</f>
        <v>Lihue</v>
      </c>
      <c r="D3956" s="120" t="str">
        <f>IFERROR(__xludf.DUMMYFUNCTION("""COMPUTED_VALUE"""),"United States")</f>
        <v>United States</v>
      </c>
      <c r="E3956" s="135"/>
      <c r="F3956" s="31"/>
    </row>
    <row r="3957">
      <c r="A3957" s="134" t="str">
        <f>IFERROR(__xludf.DUMMYFUNCTION("""COMPUTED_VALUE"""),"Kauai Island")</f>
        <v>Kauai Island</v>
      </c>
      <c r="B3957" s="120" t="str">
        <f>IFERROR(__xludf.DUMMYFUNCTION("""COMPUTED_VALUE"""),"HPV")</f>
        <v>HPV</v>
      </c>
      <c r="C3957" s="120" t="str">
        <f>IFERROR(__xludf.DUMMYFUNCTION("""COMPUTED_VALUE"""),"Princeville")</f>
        <v>Princeville</v>
      </c>
      <c r="D3957" s="120" t="str">
        <f>IFERROR(__xludf.DUMMYFUNCTION("""COMPUTED_VALUE"""),"United States")</f>
        <v>United States</v>
      </c>
      <c r="E3957" s="135"/>
      <c r="F3957" s="31"/>
    </row>
    <row r="3958">
      <c r="A3958" s="134" t="str">
        <f>IFERROR(__xludf.DUMMYFUNCTION("""COMPUTED_VALUE"""),"Kauehi")</f>
        <v>Kauehi</v>
      </c>
      <c r="B3958" s="120" t="str">
        <f>IFERROR(__xludf.DUMMYFUNCTION("""COMPUTED_VALUE"""),"KHZ")</f>
        <v>KHZ</v>
      </c>
      <c r="C3958" s="120" t="str">
        <f>IFERROR(__xludf.DUMMYFUNCTION("""COMPUTED_VALUE"""),"Kauehi")</f>
        <v>Kauehi</v>
      </c>
      <c r="D3958" s="120" t="str">
        <f>IFERROR(__xludf.DUMMYFUNCTION("""COMPUTED_VALUE"""),"French Polynesia")</f>
        <v>French Polynesia</v>
      </c>
      <c r="E3958" s="135"/>
      <c r="F3958" s="31"/>
    </row>
    <row r="3959">
      <c r="A3959" s="134" t="str">
        <f>IFERROR(__xludf.DUMMYFUNCTION("""COMPUTED_VALUE"""),"Kauhajoki")</f>
        <v>Kauhajoki</v>
      </c>
      <c r="B3959" s="120" t="str">
        <f>IFERROR(__xludf.DUMMYFUNCTION("""COMPUTED_VALUE"""),"KHJ")</f>
        <v>KHJ</v>
      </c>
      <c r="C3959" s="120" t="str">
        <f>IFERROR(__xludf.DUMMYFUNCTION("""COMPUTED_VALUE"""),"Kauhajoki")</f>
        <v>Kauhajoki</v>
      </c>
      <c r="D3959" s="120" t="str">
        <f>IFERROR(__xludf.DUMMYFUNCTION("""COMPUTED_VALUE"""),"Finland")</f>
        <v>Finland</v>
      </c>
      <c r="E3959" s="135"/>
      <c r="F3959" s="31"/>
    </row>
    <row r="3960">
      <c r="A3960" s="134" t="str">
        <f>IFERROR(__xludf.DUMMYFUNCTION("""COMPUTED_VALUE"""),"Kauhava")</f>
        <v>Kauhava</v>
      </c>
      <c r="B3960" s="120" t="str">
        <f>IFERROR(__xludf.DUMMYFUNCTION("""COMPUTED_VALUE"""),"KAU")</f>
        <v>KAU</v>
      </c>
      <c r="C3960" s="120" t="str">
        <f>IFERROR(__xludf.DUMMYFUNCTION("""COMPUTED_VALUE"""),"Kauhava")</f>
        <v>Kauhava</v>
      </c>
      <c r="D3960" s="120" t="str">
        <f>IFERROR(__xludf.DUMMYFUNCTION("""COMPUTED_VALUE"""),"Finland")</f>
        <v>Finland</v>
      </c>
      <c r="E3960" s="135"/>
      <c r="F3960" s="31"/>
    </row>
    <row r="3961">
      <c r="A3961" s="134" t="str">
        <f>IFERROR(__xludf.DUMMYFUNCTION("""COMPUTED_VALUE"""),"Kaukura Atoll")</f>
        <v>Kaukura Atoll</v>
      </c>
      <c r="B3961" s="120" t="str">
        <f>IFERROR(__xludf.DUMMYFUNCTION("""COMPUTED_VALUE"""),"KKR")</f>
        <v>KKR</v>
      </c>
      <c r="C3961" s="120" t="str">
        <f>IFERROR(__xludf.DUMMYFUNCTION("""COMPUTED_VALUE"""),"Kaukura Atoll")</f>
        <v>Kaukura Atoll</v>
      </c>
      <c r="D3961" s="120" t="str">
        <f>IFERROR(__xludf.DUMMYFUNCTION("""COMPUTED_VALUE"""),"French Polynesia")</f>
        <v>French Polynesia</v>
      </c>
      <c r="E3961" s="135"/>
      <c r="F3961" s="31"/>
    </row>
    <row r="3962">
      <c r="A3962" s="134" t="str">
        <f>IFERROR(__xludf.DUMMYFUNCTION("""COMPUTED_VALUE"""),"Kaunas")</f>
        <v>Kaunas</v>
      </c>
      <c r="B3962" s="120" t="str">
        <f>IFERROR(__xludf.DUMMYFUNCTION("""COMPUTED_VALUE"""),"KUN")</f>
        <v>KUN</v>
      </c>
      <c r="C3962" s="120" t="str">
        <f>IFERROR(__xludf.DUMMYFUNCTION("""COMPUTED_VALUE"""),"Kaunas")</f>
        <v>Kaunas</v>
      </c>
      <c r="D3962" s="120" t="str">
        <f>IFERROR(__xludf.DUMMYFUNCTION("""COMPUTED_VALUE"""),"Lithuania")</f>
        <v>Lithuania</v>
      </c>
      <c r="E3962" s="135"/>
      <c r="F3962" s="31"/>
    </row>
    <row r="3963">
      <c r="A3963" s="134" t="str">
        <f>IFERROR(__xludf.DUMMYFUNCTION("""COMPUTED_VALUE"""),"Kavala")</f>
        <v>Kavala</v>
      </c>
      <c r="B3963" s="120" t="str">
        <f>IFERROR(__xludf.DUMMYFUNCTION("""COMPUTED_VALUE"""),"KVA")</f>
        <v>KVA</v>
      </c>
      <c r="C3963" s="120" t="str">
        <f>IFERROR(__xludf.DUMMYFUNCTION("""COMPUTED_VALUE"""),"Megas Alexandros Apt.")</f>
        <v>Megas Alexandros Apt.</v>
      </c>
      <c r="D3963" s="120" t="str">
        <f>IFERROR(__xludf.DUMMYFUNCTION("""COMPUTED_VALUE"""),"Greece")</f>
        <v>Greece</v>
      </c>
      <c r="E3963" s="135"/>
      <c r="F3963" s="31"/>
    </row>
    <row r="3964">
      <c r="A3964" s="134" t="str">
        <f>IFERROR(__xludf.DUMMYFUNCTION("""COMPUTED_VALUE"""),"Kavanayen")</f>
        <v>Kavanayen</v>
      </c>
      <c r="B3964" s="120" t="str">
        <f>IFERROR(__xludf.DUMMYFUNCTION("""COMPUTED_VALUE"""),"KAV")</f>
        <v>KAV</v>
      </c>
      <c r="C3964" s="120" t="str">
        <f>IFERROR(__xludf.DUMMYFUNCTION("""COMPUTED_VALUE"""),"Kavanayen")</f>
        <v>Kavanayen</v>
      </c>
      <c r="D3964" s="120" t="str">
        <f>IFERROR(__xludf.DUMMYFUNCTION("""COMPUTED_VALUE"""),"Venezuela")</f>
        <v>Venezuela</v>
      </c>
      <c r="E3964" s="135"/>
      <c r="F3964" s="31"/>
    </row>
    <row r="3965">
      <c r="A3965" s="134" t="str">
        <f>IFERROR(__xludf.DUMMYFUNCTION("""COMPUTED_VALUE"""),"Kavieng")</f>
        <v>Kavieng</v>
      </c>
      <c r="B3965" s="120" t="str">
        <f>IFERROR(__xludf.DUMMYFUNCTION("""COMPUTED_VALUE"""),"KVG")</f>
        <v>KVG</v>
      </c>
      <c r="C3965" s="120" t="str">
        <f>IFERROR(__xludf.DUMMYFUNCTION("""COMPUTED_VALUE"""),"Kavieng")</f>
        <v>Kavieng</v>
      </c>
      <c r="D3965" s="120" t="str">
        <f>IFERROR(__xludf.DUMMYFUNCTION("""COMPUTED_VALUE"""),"Papua New Guinea")</f>
        <v>Papua New Guinea</v>
      </c>
      <c r="E3965" s="135"/>
      <c r="F3965" s="31"/>
    </row>
    <row r="3966">
      <c r="A3966" s="134" t="str">
        <f>IFERROR(__xludf.DUMMYFUNCTION("""COMPUTED_VALUE"""),"Kavik")</f>
        <v>Kavik</v>
      </c>
      <c r="B3966" s="120" t="str">
        <f>IFERROR(__xludf.DUMMYFUNCTION("""COMPUTED_VALUE"""),"VIK")</f>
        <v>VIK</v>
      </c>
      <c r="C3966" s="120" t="str">
        <f>IFERROR(__xludf.DUMMYFUNCTION("""COMPUTED_VALUE"""),"Airstrip")</f>
        <v>Airstrip</v>
      </c>
      <c r="D3966" s="120" t="str">
        <f>IFERROR(__xludf.DUMMYFUNCTION("""COMPUTED_VALUE"""),"United States")</f>
        <v>United States</v>
      </c>
      <c r="E3966" s="135"/>
      <c r="F3966" s="31"/>
    </row>
    <row r="3967">
      <c r="A3967" s="134" t="str">
        <f>IFERROR(__xludf.DUMMYFUNCTION("""COMPUTED_VALUE"""),"Kawadjia")</f>
        <v>Kawadjia</v>
      </c>
      <c r="B3967" s="120" t="str">
        <f>IFERROR(__xludf.DUMMYFUNCTION("""COMPUTED_VALUE"""),"KWD")</f>
        <v>KWD</v>
      </c>
      <c r="C3967" s="120" t="str">
        <f>IFERROR(__xludf.DUMMYFUNCTION("""COMPUTED_VALUE"""),"Kawadjia")</f>
        <v>Kawadjia</v>
      </c>
      <c r="D3967" s="120" t="str">
        <f>IFERROR(__xludf.DUMMYFUNCTION("""COMPUTED_VALUE"""),"Central African Republic")</f>
        <v>Central African Republic</v>
      </c>
      <c r="E3967" s="135"/>
      <c r="F3967" s="31"/>
    </row>
    <row r="3968">
      <c r="A3968" s="134" t="str">
        <f>IFERROR(__xludf.DUMMYFUNCTION("""COMPUTED_VALUE"""),"Kawau Island")</f>
        <v>Kawau Island</v>
      </c>
      <c r="B3968" s="120" t="str">
        <f>IFERROR(__xludf.DUMMYFUNCTION("""COMPUTED_VALUE"""),"KUI")</f>
        <v>KUI</v>
      </c>
      <c r="C3968" s="120" t="str">
        <f>IFERROR(__xludf.DUMMYFUNCTION("""COMPUTED_VALUE"""),"Kawau Island")</f>
        <v>Kawau Island</v>
      </c>
      <c r="D3968" s="120" t="str">
        <f>IFERROR(__xludf.DUMMYFUNCTION("""COMPUTED_VALUE"""),"New Zealand (Aotearoa)")</f>
        <v>New Zealand (Aotearoa)</v>
      </c>
      <c r="E3968" s="135"/>
      <c r="F3968" s="31"/>
    </row>
    <row r="3969">
      <c r="A3969" s="134" t="str">
        <f>IFERROR(__xludf.DUMMYFUNCTION("""COMPUTED_VALUE"""),"Kawito")</f>
        <v>Kawito</v>
      </c>
      <c r="B3969" s="120" t="str">
        <f>IFERROR(__xludf.DUMMYFUNCTION("""COMPUTED_VALUE"""),"KWO")</f>
        <v>KWO</v>
      </c>
      <c r="C3969" s="120" t="str">
        <f>IFERROR(__xludf.DUMMYFUNCTION("""COMPUTED_VALUE"""),"Kawito")</f>
        <v>Kawito</v>
      </c>
      <c r="D3969" s="120" t="str">
        <f>IFERROR(__xludf.DUMMYFUNCTION("""COMPUTED_VALUE"""),"Papua New Guinea")</f>
        <v>Papua New Guinea</v>
      </c>
      <c r="E3969" s="135"/>
      <c r="F3969" s="31"/>
    </row>
    <row r="3970">
      <c r="A3970" s="134" t="str">
        <f>IFERROR(__xludf.DUMMYFUNCTION("""COMPUTED_VALUE"""),"Kawthaung")</f>
        <v>Kawthaung</v>
      </c>
      <c r="B3970" s="120" t="str">
        <f>IFERROR(__xludf.DUMMYFUNCTION("""COMPUTED_VALUE"""),"KAW")</f>
        <v>KAW</v>
      </c>
      <c r="C3970" s="120" t="str">
        <f>IFERROR(__xludf.DUMMYFUNCTION("""COMPUTED_VALUE"""),"Kawthaung")</f>
        <v>Kawthaung</v>
      </c>
      <c r="D3970" s="120" t="str">
        <f>IFERROR(__xludf.DUMMYFUNCTION("""COMPUTED_VALUE"""),"Myanmar")</f>
        <v>Myanmar</v>
      </c>
      <c r="E3970" s="135"/>
      <c r="F3970" s="31"/>
    </row>
    <row r="3971">
      <c r="A3971" s="134" t="str">
        <f>IFERROR(__xludf.DUMMYFUNCTION("""COMPUTED_VALUE"""),"Kaya")</f>
        <v>Kaya</v>
      </c>
      <c r="B3971" s="120" t="str">
        <f>IFERROR(__xludf.DUMMYFUNCTION("""COMPUTED_VALUE"""),"XKY")</f>
        <v>XKY</v>
      </c>
      <c r="C3971" s="120" t="str">
        <f>IFERROR(__xludf.DUMMYFUNCTION("""COMPUTED_VALUE"""),"Kaya")</f>
        <v>Kaya</v>
      </c>
      <c r="D3971" s="120" t="str">
        <f>IFERROR(__xludf.DUMMYFUNCTION("""COMPUTED_VALUE"""),"Burkina Faso")</f>
        <v>Burkina Faso</v>
      </c>
      <c r="E3971" s="135"/>
      <c r="F3971" s="31"/>
    </row>
    <row r="3972">
      <c r="A3972" s="134" t="str">
        <f>IFERROR(__xludf.DUMMYFUNCTION("""COMPUTED_VALUE"""),"Kayenta")</f>
        <v>Kayenta</v>
      </c>
      <c r="B3972" s="120" t="str">
        <f>IFERROR(__xludf.DUMMYFUNCTION("""COMPUTED_VALUE"""),"MVM")</f>
        <v>MVM</v>
      </c>
      <c r="C3972" s="120" t="str">
        <f>IFERROR(__xludf.DUMMYFUNCTION("""COMPUTED_VALUE"""),"Monument Valley")</f>
        <v>Monument Valley</v>
      </c>
      <c r="D3972" s="120" t="str">
        <f>IFERROR(__xludf.DUMMYFUNCTION("""COMPUTED_VALUE"""),"United States")</f>
        <v>United States</v>
      </c>
      <c r="E3972" s="135"/>
      <c r="F3972" s="31"/>
    </row>
    <row r="3973">
      <c r="A3973" s="134" t="str">
        <f>IFERROR(__xludf.DUMMYFUNCTION("""COMPUTED_VALUE"""),"Kayes")</f>
        <v>Kayes</v>
      </c>
      <c r="B3973" s="120" t="str">
        <f>IFERROR(__xludf.DUMMYFUNCTION("""COMPUTED_VALUE"""),"KYS")</f>
        <v>KYS</v>
      </c>
      <c r="C3973" s="120" t="str">
        <f>IFERROR(__xludf.DUMMYFUNCTION("""COMPUTED_VALUE"""),"Kayes")</f>
        <v>Kayes</v>
      </c>
      <c r="D3973" s="120" t="str">
        <f>IFERROR(__xludf.DUMMYFUNCTION("""COMPUTED_VALUE"""),"Mali")</f>
        <v>Mali</v>
      </c>
      <c r="E3973" s="135"/>
      <c r="F3973" s="31"/>
    </row>
    <row r="3974">
      <c r="A3974" s="134" t="str">
        <f>IFERROR(__xludf.DUMMYFUNCTION("""COMPUTED_VALUE"""),"Kayseri")</f>
        <v>Kayseri</v>
      </c>
      <c r="B3974" s="120" t="str">
        <f>IFERROR(__xludf.DUMMYFUNCTION("""COMPUTED_VALUE"""),"ASR")</f>
        <v>ASR</v>
      </c>
      <c r="C3974" s="120" t="str">
        <f>IFERROR(__xludf.DUMMYFUNCTION("""COMPUTED_VALUE"""),"Erkilet International Airport")</f>
        <v>Erkilet International Airport</v>
      </c>
      <c r="D3974" s="120" t="str">
        <f>IFERROR(__xludf.DUMMYFUNCTION("""COMPUTED_VALUE"""),"Turkey")</f>
        <v>Turkey</v>
      </c>
      <c r="E3974" s="135"/>
      <c r="F3974" s="31"/>
    </row>
    <row r="3975">
      <c r="A3975" s="134" t="str">
        <f>IFERROR(__xludf.DUMMYFUNCTION("""COMPUTED_VALUE"""),"Kazan")</f>
        <v>Kazan</v>
      </c>
      <c r="B3975" s="120" t="str">
        <f>IFERROR(__xludf.DUMMYFUNCTION("""COMPUTED_VALUE"""),"KZN")</f>
        <v>KZN</v>
      </c>
      <c r="C3975" s="120" t="str">
        <f>IFERROR(__xludf.DUMMYFUNCTION("""COMPUTED_VALUE"""),"Kazan")</f>
        <v>Kazan</v>
      </c>
      <c r="D3975" s="120" t="str">
        <f>IFERROR(__xludf.DUMMYFUNCTION("""COMPUTED_VALUE"""),"Russia")</f>
        <v>Russia</v>
      </c>
      <c r="E3975" s="135"/>
      <c r="F3975" s="31"/>
    </row>
    <row r="3976">
      <c r="A3976" s="134" t="str">
        <f>IFERROR(__xludf.DUMMYFUNCTION("""COMPUTED_VALUE"""),"Kearney")</f>
        <v>Kearney</v>
      </c>
      <c r="B3976" s="120" t="str">
        <f>IFERROR(__xludf.DUMMYFUNCTION("""COMPUTED_VALUE"""),"EAR")</f>
        <v>EAR</v>
      </c>
      <c r="C3976" s="120" t="str">
        <f>IFERROR(__xludf.DUMMYFUNCTION("""COMPUTED_VALUE"""),"Kearney")</f>
        <v>Kearney</v>
      </c>
      <c r="D3976" s="120" t="str">
        <f>IFERROR(__xludf.DUMMYFUNCTION("""COMPUTED_VALUE"""),"United States")</f>
        <v>United States</v>
      </c>
      <c r="E3976" s="135"/>
      <c r="F3976" s="31"/>
    </row>
    <row r="3977">
      <c r="A3977" s="134" t="str">
        <f>IFERROR(__xludf.DUMMYFUNCTION("""COMPUTED_VALUE"""),"Kebar")</f>
        <v>Kebar</v>
      </c>
      <c r="B3977" s="120" t="str">
        <f>IFERROR(__xludf.DUMMYFUNCTION("""COMPUTED_VALUE"""),"KEQ")</f>
        <v>KEQ</v>
      </c>
      <c r="C3977" s="120" t="str">
        <f>IFERROR(__xludf.DUMMYFUNCTION("""COMPUTED_VALUE"""),"Kebar")</f>
        <v>Kebar</v>
      </c>
      <c r="D3977" s="120" t="str">
        <f>IFERROR(__xludf.DUMMYFUNCTION("""COMPUTED_VALUE"""),"Indonesia")</f>
        <v>Indonesia</v>
      </c>
      <c r="E3977" s="135"/>
      <c r="F3977" s="31"/>
    </row>
    <row r="3978">
      <c r="A3978" s="134" t="str">
        <f>IFERROR(__xludf.DUMMYFUNCTION("""COMPUTED_VALUE"""),"Kedougou")</f>
        <v>Kedougou</v>
      </c>
      <c r="B3978" s="120" t="str">
        <f>IFERROR(__xludf.DUMMYFUNCTION("""COMPUTED_VALUE"""),"KGG")</f>
        <v>KGG</v>
      </c>
      <c r="C3978" s="120" t="str">
        <f>IFERROR(__xludf.DUMMYFUNCTION("""COMPUTED_VALUE"""),"Kedougou")</f>
        <v>Kedougou</v>
      </c>
      <c r="D3978" s="120" t="str">
        <f>IFERROR(__xludf.DUMMYFUNCTION("""COMPUTED_VALUE"""),"Senegal")</f>
        <v>Senegal</v>
      </c>
      <c r="E3978" s="135"/>
      <c r="F3978" s="31"/>
    </row>
    <row r="3979">
      <c r="A3979" s="134" t="str">
        <f>IFERROR(__xludf.DUMMYFUNCTION("""COMPUTED_VALUE"""),"Keene")</f>
        <v>Keene</v>
      </c>
      <c r="B3979" s="120" t="str">
        <f>IFERROR(__xludf.DUMMYFUNCTION("""COMPUTED_VALUE"""),"EEN")</f>
        <v>EEN</v>
      </c>
      <c r="C3979" s="120" t="str">
        <f>IFERROR(__xludf.DUMMYFUNCTION("""COMPUTED_VALUE"""),"Dillant-Hopkins")</f>
        <v>Dillant-Hopkins</v>
      </c>
      <c r="D3979" s="120" t="str">
        <f>IFERROR(__xludf.DUMMYFUNCTION("""COMPUTED_VALUE"""),"United States")</f>
        <v>United States</v>
      </c>
      <c r="E3979" s="135"/>
      <c r="F3979" s="31"/>
    </row>
    <row r="3980">
      <c r="A3980" s="134" t="str">
        <f>IFERROR(__xludf.DUMMYFUNCTION("""COMPUTED_VALUE"""),"Keetmanshoop")</f>
        <v>Keetmanshoop</v>
      </c>
      <c r="B3980" s="120" t="str">
        <f>IFERROR(__xludf.DUMMYFUNCTION("""COMPUTED_VALUE"""),"KMP")</f>
        <v>KMP</v>
      </c>
      <c r="C3980" s="120" t="str">
        <f>IFERROR(__xludf.DUMMYFUNCTION("""COMPUTED_VALUE"""),"J.G.H. Van Der Wath")</f>
        <v>J.G.H. Van Der Wath</v>
      </c>
      <c r="D3980" s="120" t="str">
        <f>IFERROR(__xludf.DUMMYFUNCTION("""COMPUTED_VALUE"""),"Namibia")</f>
        <v>Namibia</v>
      </c>
      <c r="E3980" s="135"/>
      <c r="F3980" s="31"/>
    </row>
    <row r="3981">
      <c r="A3981" s="134" t="str">
        <f>IFERROR(__xludf.DUMMYFUNCTION("""COMPUTED_VALUE"""),"Keewaywin")</f>
        <v>Keewaywin</v>
      </c>
      <c r="B3981" s="120" t="str">
        <f>IFERROR(__xludf.DUMMYFUNCTION("""COMPUTED_VALUE"""),"KEW")</f>
        <v>KEW</v>
      </c>
      <c r="C3981" s="120" t="str">
        <f>IFERROR(__xludf.DUMMYFUNCTION("""COMPUTED_VALUE"""),"Keewaywin")</f>
        <v>Keewaywin</v>
      </c>
      <c r="D3981" s="120" t="str">
        <f>IFERROR(__xludf.DUMMYFUNCTION("""COMPUTED_VALUE"""),"Canada")</f>
        <v>Canada</v>
      </c>
      <c r="E3981" s="135"/>
      <c r="F3981" s="31"/>
    </row>
    <row r="3982">
      <c r="A3982" s="134" t="str">
        <f>IFERROR(__xludf.DUMMYFUNCTION("""COMPUTED_VALUE"""),"Kefallinia")</f>
        <v>Kefallinia</v>
      </c>
      <c r="B3982" s="120" t="str">
        <f>IFERROR(__xludf.DUMMYFUNCTION("""COMPUTED_VALUE"""),"EFL")</f>
        <v>EFL</v>
      </c>
      <c r="C3982" s="120" t="str">
        <f>IFERROR(__xludf.DUMMYFUNCTION("""COMPUTED_VALUE"""),"Argostolion")</f>
        <v>Argostolion</v>
      </c>
      <c r="D3982" s="120" t="str">
        <f>IFERROR(__xludf.DUMMYFUNCTION("""COMPUTED_VALUE"""),"Greece")</f>
        <v>Greece</v>
      </c>
      <c r="E3982" s="135"/>
      <c r="F3982" s="31"/>
    </row>
    <row r="3983">
      <c r="A3983" s="134" t="str">
        <f>IFERROR(__xludf.DUMMYFUNCTION("""COMPUTED_VALUE"""),"Kegaska")</f>
        <v>Kegaska</v>
      </c>
      <c r="B3983" s="120" t="str">
        <f>IFERROR(__xludf.DUMMYFUNCTION("""COMPUTED_VALUE"""),"ZKG")</f>
        <v>ZKG</v>
      </c>
      <c r="C3983" s="120" t="str">
        <f>IFERROR(__xludf.DUMMYFUNCTION("""COMPUTED_VALUE"""),"Kegaska")</f>
        <v>Kegaska</v>
      </c>
      <c r="D3983" s="120" t="str">
        <f>IFERROR(__xludf.DUMMYFUNCTION("""COMPUTED_VALUE"""),"Canada")</f>
        <v>Canada</v>
      </c>
      <c r="E3983" s="135"/>
      <c r="F3983" s="31"/>
    </row>
    <row r="3984">
      <c r="A3984" s="134" t="str">
        <f>IFERROR(__xludf.DUMMYFUNCTION("""COMPUTED_VALUE"""),"Keglsugl")</f>
        <v>Keglsugl</v>
      </c>
      <c r="B3984" s="120" t="str">
        <f>IFERROR(__xludf.DUMMYFUNCTION("""COMPUTED_VALUE"""),"KEG")</f>
        <v>KEG</v>
      </c>
      <c r="C3984" s="120" t="str">
        <f>IFERROR(__xludf.DUMMYFUNCTION("""COMPUTED_VALUE"""),"Keglsugl")</f>
        <v>Keglsugl</v>
      </c>
      <c r="D3984" s="120" t="str">
        <f>IFERROR(__xludf.DUMMYFUNCTION("""COMPUTED_VALUE"""),"Papua New Guinea")</f>
        <v>Papua New Guinea</v>
      </c>
      <c r="E3984" s="135"/>
      <c r="F3984" s="31"/>
    </row>
    <row r="3985">
      <c r="A3985" s="134" t="str">
        <f>IFERROR(__xludf.DUMMYFUNCTION("""COMPUTED_VALUE"""),"Keisah")</f>
        <v>Keisah</v>
      </c>
      <c r="B3985" s="120" t="str">
        <f>IFERROR(__xludf.DUMMYFUNCTION("""COMPUTED_VALUE"""),"KEA")</f>
        <v>KEA</v>
      </c>
      <c r="C3985" s="120" t="str">
        <f>IFERROR(__xludf.DUMMYFUNCTION("""COMPUTED_VALUE"""),"Keisah")</f>
        <v>Keisah</v>
      </c>
      <c r="D3985" s="120" t="str">
        <f>IFERROR(__xludf.DUMMYFUNCTION("""COMPUTED_VALUE"""),"Indonesia")</f>
        <v>Indonesia</v>
      </c>
      <c r="E3985" s="135"/>
      <c r="F3985" s="31"/>
    </row>
    <row r="3986">
      <c r="A3986" s="134" t="str">
        <f>IFERROR(__xludf.DUMMYFUNCTION("""COMPUTED_VALUE"""),"Kekaha")</f>
        <v>Kekaha</v>
      </c>
      <c r="B3986" s="120" t="str">
        <f>IFERROR(__xludf.DUMMYFUNCTION("""COMPUTED_VALUE"""),"BKH")</f>
        <v>BKH</v>
      </c>
      <c r="C3986" s="120" t="str">
        <f>IFERROR(__xludf.DUMMYFUNCTION("""COMPUTED_VALUE"""),"Barking Sands")</f>
        <v>Barking Sands</v>
      </c>
      <c r="D3986" s="120" t="str">
        <f>IFERROR(__xludf.DUMMYFUNCTION("""COMPUTED_VALUE"""),"United States")</f>
        <v>United States</v>
      </c>
      <c r="E3986" s="135"/>
      <c r="F3986" s="31"/>
    </row>
    <row r="3987">
      <c r="A3987" s="134" t="str">
        <f>IFERROR(__xludf.DUMMYFUNCTION("""COMPUTED_VALUE"""),"Kelafo/Callaf")</f>
        <v>Kelafo/Callaf</v>
      </c>
      <c r="B3987" s="120" t="str">
        <f>IFERROR(__xludf.DUMMYFUNCTION("""COMPUTED_VALUE"""),"LFO")</f>
        <v>LFO</v>
      </c>
      <c r="C3987" s="120" t="str">
        <f>IFERROR(__xludf.DUMMYFUNCTION("""COMPUTED_VALUE"""),"Kelafo")</f>
        <v>Kelafo</v>
      </c>
      <c r="D3987" s="120" t="str">
        <f>IFERROR(__xludf.DUMMYFUNCTION("""COMPUTED_VALUE"""),"Ethiopia")</f>
        <v>Ethiopia</v>
      </c>
      <c r="E3987" s="135"/>
      <c r="F3987" s="31"/>
    </row>
    <row r="3988">
      <c r="A3988" s="134" t="str">
        <f>IFERROR(__xludf.DUMMYFUNCTION("""COMPUTED_VALUE"""),"Kelaniya")</f>
        <v>Kelaniya</v>
      </c>
      <c r="B3988" s="120" t="str">
        <f>IFERROR(__xludf.DUMMYFUNCTION("""COMPUTED_VALUE"""),"KEZ")</f>
        <v>KEZ</v>
      </c>
      <c r="C3988" s="120" t="str">
        <f>IFERROR(__xludf.DUMMYFUNCTION("""COMPUTED_VALUE"""),"Kelaniya River")</f>
        <v>Kelaniya River</v>
      </c>
      <c r="D3988" s="120" t="str">
        <f>IFERROR(__xludf.DUMMYFUNCTION("""COMPUTED_VALUE"""),"Sri Lanka")</f>
        <v>Sri Lanka</v>
      </c>
      <c r="E3988" s="135"/>
      <c r="F3988" s="31"/>
    </row>
    <row r="3989">
      <c r="A3989" s="134" t="str">
        <f>IFERROR(__xludf.DUMMYFUNCTION("""COMPUTED_VALUE"""),"Kelanoa")</f>
        <v>Kelanoa</v>
      </c>
      <c r="B3989" s="120" t="str">
        <f>IFERROR(__xludf.DUMMYFUNCTION("""COMPUTED_VALUE"""),"KNL")</f>
        <v>KNL</v>
      </c>
      <c r="C3989" s="120" t="str">
        <f>IFERROR(__xludf.DUMMYFUNCTION("""COMPUTED_VALUE"""),"Kelanoa")</f>
        <v>Kelanoa</v>
      </c>
      <c r="D3989" s="120" t="str">
        <f>IFERROR(__xludf.DUMMYFUNCTION("""COMPUTED_VALUE"""),"Papua New Guinea")</f>
        <v>Papua New Guinea</v>
      </c>
      <c r="E3989" s="135"/>
      <c r="F3989" s="31"/>
    </row>
    <row r="3990">
      <c r="A3990" s="134" t="str">
        <f>IFERROR(__xludf.DUMMYFUNCTION("""COMPUTED_VALUE"""),"Kelila")</f>
        <v>Kelila</v>
      </c>
      <c r="B3990" s="120" t="str">
        <f>IFERROR(__xludf.DUMMYFUNCTION("""COMPUTED_VALUE"""),"LLN")</f>
        <v>LLN</v>
      </c>
      <c r="C3990" s="120" t="str">
        <f>IFERROR(__xludf.DUMMYFUNCTION("""COMPUTED_VALUE"""),"Kelila")</f>
        <v>Kelila</v>
      </c>
      <c r="D3990" s="120" t="str">
        <f>IFERROR(__xludf.DUMMYFUNCTION("""COMPUTED_VALUE"""),"Indonesia")</f>
        <v>Indonesia</v>
      </c>
      <c r="E3990" s="135"/>
      <c r="F3990" s="31"/>
    </row>
    <row r="3991">
      <c r="A3991" s="134" t="str">
        <f>IFERROR(__xludf.DUMMYFUNCTION("""COMPUTED_VALUE"""),"Kelle")</f>
        <v>Kelle</v>
      </c>
      <c r="B3991" s="120" t="str">
        <f>IFERROR(__xludf.DUMMYFUNCTION("""COMPUTED_VALUE"""),"KEE")</f>
        <v>KEE</v>
      </c>
      <c r="C3991" s="120" t="str">
        <f>IFERROR(__xludf.DUMMYFUNCTION("""COMPUTED_VALUE"""),"Kelle")</f>
        <v>Kelle</v>
      </c>
      <c r="D3991" s="120" t="str">
        <f>IFERROR(__xludf.DUMMYFUNCTION("""COMPUTED_VALUE"""),"Congo")</f>
        <v>Congo</v>
      </c>
      <c r="E3991" s="135"/>
      <c r="F3991" s="31"/>
    </row>
    <row r="3992">
      <c r="A3992" s="134" t="str">
        <f>IFERROR(__xludf.DUMMYFUNCTION("""COMPUTED_VALUE"""),"Kelly Bar")</f>
        <v>Kelly Bar</v>
      </c>
      <c r="B3992" s="120" t="str">
        <f>IFERROR(__xludf.DUMMYFUNCTION("""COMPUTED_VALUE"""),"KEU")</f>
        <v>KEU</v>
      </c>
      <c r="C3992" s="120" t="str">
        <f>IFERROR(__xludf.DUMMYFUNCTION("""COMPUTED_VALUE"""),"Kelly Bar")</f>
        <v>Kelly Bar</v>
      </c>
      <c r="D3992" s="120" t="str">
        <f>IFERROR(__xludf.DUMMYFUNCTION("""COMPUTED_VALUE"""),"United States")</f>
        <v>United States</v>
      </c>
      <c r="E3992" s="135"/>
      <c r="F3992" s="31"/>
    </row>
    <row r="3993">
      <c r="A3993" s="134" t="str">
        <f>IFERROR(__xludf.DUMMYFUNCTION("""COMPUTED_VALUE"""),"Kelowna")</f>
        <v>Kelowna</v>
      </c>
      <c r="B3993" s="120" t="str">
        <f>IFERROR(__xludf.DUMMYFUNCTION("""COMPUTED_VALUE"""),"YLW")</f>
        <v>YLW</v>
      </c>
      <c r="C3993" s="120" t="str">
        <f>IFERROR(__xludf.DUMMYFUNCTION("""COMPUTED_VALUE"""),"Kelowna Airport")</f>
        <v>Kelowna Airport</v>
      </c>
      <c r="D3993" s="120" t="str">
        <f>IFERROR(__xludf.DUMMYFUNCTION("""COMPUTED_VALUE"""),"Canada")</f>
        <v>Canada</v>
      </c>
      <c r="E3993" s="135"/>
      <c r="F3993" s="31"/>
    </row>
    <row r="3994">
      <c r="A3994" s="134" t="str">
        <f>IFERROR(__xludf.DUMMYFUNCTION("""COMPUTED_VALUE"""),"Kelp Bay")</f>
        <v>Kelp Bay</v>
      </c>
      <c r="B3994" s="120" t="str">
        <f>IFERROR(__xludf.DUMMYFUNCTION("""COMPUTED_VALUE"""),"KLP")</f>
        <v>KLP</v>
      </c>
      <c r="C3994" s="120" t="str">
        <f>IFERROR(__xludf.DUMMYFUNCTION("""COMPUTED_VALUE"""),"Kelp Bay")</f>
        <v>Kelp Bay</v>
      </c>
      <c r="D3994" s="120" t="str">
        <f>IFERROR(__xludf.DUMMYFUNCTION("""COMPUTED_VALUE"""),"United States")</f>
        <v>United States</v>
      </c>
      <c r="E3994" s="135"/>
      <c r="F3994" s="31"/>
    </row>
    <row r="3995">
      <c r="A3995" s="134" t="str">
        <f>IFERROR(__xludf.DUMMYFUNCTION("""COMPUTED_VALUE"""),"Kelsey")</f>
        <v>Kelsey</v>
      </c>
      <c r="B3995" s="120" t="str">
        <f>IFERROR(__xludf.DUMMYFUNCTION("""COMPUTED_VALUE"""),"KES")</f>
        <v>KES</v>
      </c>
      <c r="C3995" s="120" t="str">
        <f>IFERROR(__xludf.DUMMYFUNCTION("""COMPUTED_VALUE"""),"Kelsey")</f>
        <v>Kelsey</v>
      </c>
      <c r="D3995" s="120" t="str">
        <f>IFERROR(__xludf.DUMMYFUNCTION("""COMPUTED_VALUE"""),"Canada")</f>
        <v>Canada</v>
      </c>
      <c r="E3995" s="135"/>
      <c r="F3995" s="31"/>
    </row>
    <row r="3996">
      <c r="A3996" s="134" t="str">
        <f>IFERROR(__xludf.DUMMYFUNCTION("""COMPUTED_VALUE"""),"Kelso")</f>
        <v>Kelso</v>
      </c>
      <c r="B3996" s="120" t="str">
        <f>IFERROR(__xludf.DUMMYFUNCTION("""COMPUTED_VALUE"""),"KLS")</f>
        <v>KLS</v>
      </c>
      <c r="C3996" s="120" t="str">
        <f>IFERROR(__xludf.DUMMYFUNCTION("""COMPUTED_VALUE"""),"Longview")</f>
        <v>Longview</v>
      </c>
      <c r="D3996" s="120" t="str">
        <f>IFERROR(__xludf.DUMMYFUNCTION("""COMPUTED_VALUE"""),"United States")</f>
        <v>United States</v>
      </c>
      <c r="E3996" s="135"/>
      <c r="F3996" s="31"/>
    </row>
    <row r="3997">
      <c r="A3997" s="134" t="str">
        <f>IFERROR(__xludf.DUMMYFUNCTION("""COMPUTED_VALUE"""),"Keluang")</f>
        <v>Keluang</v>
      </c>
      <c r="B3997" s="120" t="str">
        <f>IFERROR(__xludf.DUMMYFUNCTION("""COMPUTED_VALUE"""),"KLQ")</f>
        <v>KLQ</v>
      </c>
      <c r="C3997" s="120" t="str">
        <f>IFERROR(__xludf.DUMMYFUNCTION("""COMPUTED_VALUE"""),"Keluang")</f>
        <v>Keluang</v>
      </c>
      <c r="D3997" s="120" t="str">
        <f>IFERROR(__xludf.DUMMYFUNCTION("""COMPUTED_VALUE"""),"Indonesia")</f>
        <v>Indonesia</v>
      </c>
      <c r="E3997" s="135"/>
      <c r="F3997" s="31"/>
    </row>
    <row r="3998">
      <c r="A3998" s="134" t="str">
        <f>IFERROR(__xludf.DUMMYFUNCTION("""COMPUTED_VALUE"""),"Kemano")</f>
        <v>Kemano</v>
      </c>
      <c r="B3998" s="120" t="str">
        <f>IFERROR(__xludf.DUMMYFUNCTION("""COMPUTED_VALUE"""),"XKO")</f>
        <v>XKO</v>
      </c>
      <c r="C3998" s="120" t="str">
        <f>IFERROR(__xludf.DUMMYFUNCTION("""COMPUTED_VALUE"""),"Kemano")</f>
        <v>Kemano</v>
      </c>
      <c r="D3998" s="120" t="str">
        <f>IFERROR(__xludf.DUMMYFUNCTION("""COMPUTED_VALUE"""),"Canada")</f>
        <v>Canada</v>
      </c>
      <c r="E3998" s="135"/>
      <c r="F3998" s="31"/>
    </row>
    <row r="3999">
      <c r="A3999" s="134" t="str">
        <f>IFERROR(__xludf.DUMMYFUNCTION("""COMPUTED_VALUE"""),"Kemerer")</f>
        <v>Kemerer</v>
      </c>
      <c r="B3999" s="120" t="str">
        <f>IFERROR(__xludf.DUMMYFUNCTION("""COMPUTED_VALUE"""),"EMM")</f>
        <v>EMM</v>
      </c>
      <c r="C3999" s="120" t="str">
        <f>IFERROR(__xludf.DUMMYFUNCTION("""COMPUTED_VALUE"""),"Kemerer")</f>
        <v>Kemerer</v>
      </c>
      <c r="D3999" s="120" t="str">
        <f>IFERROR(__xludf.DUMMYFUNCTION("""COMPUTED_VALUE"""),"United States")</f>
        <v>United States</v>
      </c>
      <c r="E3999" s="135"/>
      <c r="F3999" s="31"/>
    </row>
    <row r="4000">
      <c r="A4000" s="134" t="str">
        <f>IFERROR(__xludf.DUMMYFUNCTION("""COMPUTED_VALUE"""),"Kemerovo")</f>
        <v>Kemerovo</v>
      </c>
      <c r="B4000" s="120" t="str">
        <f>IFERROR(__xludf.DUMMYFUNCTION("""COMPUTED_VALUE"""),"KEJ")</f>
        <v>KEJ</v>
      </c>
      <c r="C4000" s="120" t="str">
        <f>IFERROR(__xludf.DUMMYFUNCTION("""COMPUTED_VALUE"""),"Kemerovo")</f>
        <v>Kemerovo</v>
      </c>
      <c r="D4000" s="120" t="str">
        <f>IFERROR(__xludf.DUMMYFUNCTION("""COMPUTED_VALUE"""),"Russia")</f>
        <v>Russia</v>
      </c>
      <c r="E4000" s="135"/>
      <c r="F4000" s="31"/>
    </row>
    <row r="4001">
      <c r="A4001" s="134" t="str">
        <f>IFERROR(__xludf.DUMMYFUNCTION("""COMPUTED_VALUE"""),"Kemi/Tornio")</f>
        <v>Kemi/Tornio</v>
      </c>
      <c r="B4001" s="120" t="str">
        <f>IFERROR(__xludf.DUMMYFUNCTION("""COMPUTED_VALUE"""),"KEM")</f>
        <v>KEM</v>
      </c>
      <c r="C4001" s="120" t="str">
        <f>IFERROR(__xludf.DUMMYFUNCTION("""COMPUTED_VALUE"""),"Kemi/Tornio")</f>
        <v>Kemi/Tornio</v>
      </c>
      <c r="D4001" s="120" t="str">
        <f>IFERROR(__xludf.DUMMYFUNCTION("""COMPUTED_VALUE"""),"Finland")</f>
        <v>Finland</v>
      </c>
      <c r="E4001" s="135"/>
      <c r="F4001" s="31"/>
    </row>
    <row r="4002">
      <c r="A4002" s="134" t="str">
        <f>IFERROR(__xludf.DUMMYFUNCTION("""COMPUTED_VALUE"""),"Kempsey")</f>
        <v>Kempsey</v>
      </c>
      <c r="B4002" s="120" t="str">
        <f>IFERROR(__xludf.DUMMYFUNCTION("""COMPUTED_VALUE"""),"KPS")</f>
        <v>KPS</v>
      </c>
      <c r="C4002" s="120" t="str">
        <f>IFERROR(__xludf.DUMMYFUNCTION("""COMPUTED_VALUE"""),"Kempsey")</f>
        <v>Kempsey</v>
      </c>
      <c r="D4002" s="120" t="str">
        <f>IFERROR(__xludf.DUMMYFUNCTION("""COMPUTED_VALUE"""),"Australia")</f>
        <v>Australia</v>
      </c>
      <c r="E4002" s="135"/>
      <c r="F4002" s="31"/>
    </row>
    <row r="4003">
      <c r="A4003" s="134" t="str">
        <f>IFERROR(__xludf.DUMMYFUNCTION("""COMPUTED_VALUE"""),"Kenai")</f>
        <v>Kenai</v>
      </c>
      <c r="B4003" s="120" t="str">
        <f>IFERROR(__xludf.DUMMYFUNCTION("""COMPUTED_VALUE"""),"ENA")</f>
        <v>ENA</v>
      </c>
      <c r="C4003" s="120" t="str">
        <f>IFERROR(__xludf.DUMMYFUNCTION("""COMPUTED_VALUE"""),"Kenai")</f>
        <v>Kenai</v>
      </c>
      <c r="D4003" s="120" t="str">
        <f>IFERROR(__xludf.DUMMYFUNCTION("""COMPUTED_VALUE"""),"United States")</f>
        <v>United States</v>
      </c>
      <c r="E4003" s="135"/>
      <c r="F4003" s="31"/>
    </row>
    <row r="4004">
      <c r="A4004" s="134" t="str">
        <f>IFERROR(__xludf.DUMMYFUNCTION("""COMPUTED_VALUE"""),"Kendari")</f>
        <v>Kendari</v>
      </c>
      <c r="B4004" s="120" t="str">
        <f>IFERROR(__xludf.DUMMYFUNCTION("""COMPUTED_VALUE"""),"KDI")</f>
        <v>KDI</v>
      </c>
      <c r="C4004" s="120" t="str">
        <f>IFERROR(__xludf.DUMMYFUNCTION("""COMPUTED_VALUE"""),"Wolter Monginsidi")</f>
        <v>Wolter Monginsidi</v>
      </c>
      <c r="D4004" s="120" t="str">
        <f>IFERROR(__xludf.DUMMYFUNCTION("""COMPUTED_VALUE"""),"Indonesia")</f>
        <v>Indonesia</v>
      </c>
      <c r="E4004" s="135"/>
      <c r="F4004" s="31"/>
    </row>
    <row r="4005">
      <c r="A4005" s="134" t="str">
        <f>IFERROR(__xludf.DUMMYFUNCTION("""COMPUTED_VALUE"""),"Kenema")</f>
        <v>Kenema</v>
      </c>
      <c r="B4005" s="120" t="str">
        <f>IFERROR(__xludf.DUMMYFUNCTION("""COMPUTED_VALUE"""),"KEN")</f>
        <v>KEN</v>
      </c>
      <c r="C4005" s="120" t="str">
        <f>IFERROR(__xludf.DUMMYFUNCTION("""COMPUTED_VALUE"""),"Kenema")</f>
        <v>Kenema</v>
      </c>
      <c r="D4005" s="120" t="str">
        <f>IFERROR(__xludf.DUMMYFUNCTION("""COMPUTED_VALUE"""),"Sierra Leone")</f>
        <v>Sierra Leone</v>
      </c>
      <c r="E4005" s="135"/>
      <c r="F4005" s="31"/>
    </row>
    <row r="4006">
      <c r="A4006" s="134" t="str">
        <f>IFERROR(__xludf.DUMMYFUNCTION("""COMPUTED_VALUE"""),"Keng Tung")</f>
        <v>Keng Tung</v>
      </c>
      <c r="B4006" s="120" t="str">
        <f>IFERROR(__xludf.DUMMYFUNCTION("""COMPUTED_VALUE"""),"KET")</f>
        <v>KET</v>
      </c>
      <c r="C4006" s="120" t="str">
        <f>IFERROR(__xludf.DUMMYFUNCTION("""COMPUTED_VALUE"""),"Keng Tung")</f>
        <v>Keng Tung</v>
      </c>
      <c r="D4006" s="120" t="str">
        <f>IFERROR(__xludf.DUMMYFUNCTION("""COMPUTED_VALUE"""),"Myanmar")</f>
        <v>Myanmar</v>
      </c>
      <c r="E4006" s="135"/>
      <c r="F4006" s="31"/>
    </row>
    <row r="4007">
      <c r="A4007" s="134" t="str">
        <f>IFERROR(__xludf.DUMMYFUNCTION("""COMPUTED_VALUE"""),"Kenieba")</f>
        <v>Kenieba</v>
      </c>
      <c r="B4007" s="120" t="str">
        <f>IFERROR(__xludf.DUMMYFUNCTION("""COMPUTED_VALUE"""),"KNZ")</f>
        <v>KNZ</v>
      </c>
      <c r="C4007" s="120" t="str">
        <f>IFERROR(__xludf.DUMMYFUNCTION("""COMPUTED_VALUE"""),"Kenieba")</f>
        <v>Kenieba</v>
      </c>
      <c r="D4007" s="120" t="str">
        <f>IFERROR(__xludf.DUMMYFUNCTION("""COMPUTED_VALUE"""),"Mali")</f>
        <v>Mali</v>
      </c>
      <c r="E4007" s="135"/>
      <c r="F4007" s="31"/>
    </row>
    <row r="4008">
      <c r="A4008" s="134" t="str">
        <f>IFERROR(__xludf.DUMMYFUNCTION("""COMPUTED_VALUE"""),"Keningau")</f>
        <v>Keningau</v>
      </c>
      <c r="B4008" s="120" t="str">
        <f>IFERROR(__xludf.DUMMYFUNCTION("""COMPUTED_VALUE"""),"KGU")</f>
        <v>KGU</v>
      </c>
      <c r="C4008" s="120" t="str">
        <f>IFERROR(__xludf.DUMMYFUNCTION("""COMPUTED_VALUE"""),"Keningau")</f>
        <v>Keningau</v>
      </c>
      <c r="D4008" s="120" t="str">
        <f>IFERROR(__xludf.DUMMYFUNCTION("""COMPUTED_VALUE"""),"Malaysia")</f>
        <v>Malaysia</v>
      </c>
      <c r="E4008" s="135"/>
      <c r="F4008" s="31"/>
    </row>
    <row r="4009">
      <c r="A4009" s="134" t="str">
        <f>IFERROR(__xludf.DUMMYFUNCTION("""COMPUTED_VALUE"""),"Kenitra")</f>
        <v>Kenitra</v>
      </c>
      <c r="B4009" s="120" t="str">
        <f>IFERROR(__xludf.DUMMYFUNCTION("""COMPUTED_VALUE"""),"NNA")</f>
        <v>NNA</v>
      </c>
      <c r="C4009" s="120" t="str">
        <f>IFERROR(__xludf.DUMMYFUNCTION("""COMPUTED_VALUE"""),"NAF")</f>
        <v>NAF</v>
      </c>
      <c r="D4009" s="120" t="str">
        <f>IFERROR(__xludf.DUMMYFUNCTION("""COMPUTED_VALUE"""),"Morocco")</f>
        <v>Morocco</v>
      </c>
      <c r="E4009" s="135"/>
      <c r="F4009" s="31"/>
    </row>
    <row r="4010">
      <c r="A4010" s="134" t="str">
        <f>IFERROR(__xludf.DUMMYFUNCTION("""COMPUTED_VALUE"""),"Kenmore Air Harbor")</f>
        <v>Kenmore Air Harbor</v>
      </c>
      <c r="B4010" s="120" t="str">
        <f>IFERROR(__xludf.DUMMYFUNCTION("""COMPUTED_VALUE"""),"KEH")</f>
        <v>KEH</v>
      </c>
      <c r="C4010" s="120" t="str">
        <f>IFERROR(__xludf.DUMMYFUNCTION("""COMPUTED_VALUE"""),"Kenmore Air Harbor")</f>
        <v>Kenmore Air Harbor</v>
      </c>
      <c r="D4010" s="120" t="str">
        <f>IFERROR(__xludf.DUMMYFUNCTION("""COMPUTED_VALUE"""),"United States")</f>
        <v>United States</v>
      </c>
      <c r="E4010" s="135"/>
      <c r="F4010" s="31"/>
    </row>
    <row r="4011">
      <c r="A4011" s="134" t="str">
        <f>IFERROR(__xludf.DUMMYFUNCTION("""COMPUTED_VALUE"""),"Kennett")</f>
        <v>Kennett</v>
      </c>
      <c r="B4011" s="120" t="str">
        <f>IFERROR(__xludf.DUMMYFUNCTION("""COMPUTED_VALUE"""),"KNT")</f>
        <v>KNT</v>
      </c>
      <c r="C4011" s="120" t="str">
        <f>IFERROR(__xludf.DUMMYFUNCTION("""COMPUTED_VALUE"""),"Municipal")</f>
        <v>Municipal</v>
      </c>
      <c r="D4011" s="120" t="str">
        <f>IFERROR(__xludf.DUMMYFUNCTION("""COMPUTED_VALUE"""),"United States")</f>
        <v>United States</v>
      </c>
      <c r="E4011" s="135"/>
      <c r="F4011" s="31"/>
    </row>
    <row r="4012">
      <c r="A4012" s="134" t="str">
        <f>IFERROR(__xludf.DUMMYFUNCTION("""COMPUTED_VALUE"""),"Kennosao Lake")</f>
        <v>Kennosao Lake</v>
      </c>
      <c r="B4012" s="120" t="str">
        <f>IFERROR(__xludf.DUMMYFUNCTION("""COMPUTED_VALUE"""),"YKI")</f>
        <v>YKI</v>
      </c>
      <c r="C4012" s="120" t="str">
        <f>IFERROR(__xludf.DUMMYFUNCTION("""COMPUTED_VALUE"""),"Kennosao Lake")</f>
        <v>Kennosao Lake</v>
      </c>
      <c r="D4012" s="120" t="str">
        <f>IFERROR(__xludf.DUMMYFUNCTION("""COMPUTED_VALUE"""),"Canada")</f>
        <v>Canada</v>
      </c>
      <c r="E4012" s="135"/>
      <c r="F4012" s="31"/>
    </row>
    <row r="4013">
      <c r="A4013" s="134" t="str">
        <f>IFERROR(__xludf.DUMMYFUNCTION("""COMPUTED_VALUE"""),"Kenora")</f>
        <v>Kenora</v>
      </c>
      <c r="B4013" s="120" t="str">
        <f>IFERROR(__xludf.DUMMYFUNCTION("""COMPUTED_VALUE"""),"YQK")</f>
        <v>YQK</v>
      </c>
      <c r="C4013" s="120" t="str">
        <f>IFERROR(__xludf.DUMMYFUNCTION("""COMPUTED_VALUE"""),"Kenora")</f>
        <v>Kenora</v>
      </c>
      <c r="D4013" s="120" t="str">
        <f>IFERROR(__xludf.DUMMYFUNCTION("""COMPUTED_VALUE"""),"Canada")</f>
        <v>Canada</v>
      </c>
      <c r="E4013" s="135"/>
      <c r="F4013" s="31"/>
    </row>
    <row r="4014">
      <c r="A4014" s="134" t="str">
        <f>IFERROR(__xludf.DUMMYFUNCTION("""COMPUTED_VALUE"""),"Kenosha")</f>
        <v>Kenosha</v>
      </c>
      <c r="B4014" s="120" t="str">
        <f>IFERROR(__xludf.DUMMYFUNCTION("""COMPUTED_VALUE"""),"ENW")</f>
        <v>ENW</v>
      </c>
      <c r="C4014" s="120" t="str">
        <f>IFERROR(__xludf.DUMMYFUNCTION("""COMPUTED_VALUE"""),"Kenosha Regional Airport")</f>
        <v>Kenosha Regional Airport</v>
      </c>
      <c r="D4014" s="120" t="str">
        <f>IFERROR(__xludf.DUMMYFUNCTION("""COMPUTED_VALUE"""),"United States")</f>
        <v>United States</v>
      </c>
      <c r="E4014" s="135"/>
      <c r="F4014" s="31"/>
    </row>
    <row r="4015">
      <c r="A4015" s="134" t="str">
        <f>IFERROR(__xludf.DUMMYFUNCTION("""COMPUTED_VALUE"""),"Kentland")</f>
        <v>Kentland</v>
      </c>
      <c r="B4015" s="120" t="str">
        <f>IFERROR(__xludf.DUMMYFUNCTION("""COMPUTED_VALUE"""),"KKT")</f>
        <v>KKT</v>
      </c>
      <c r="C4015" s="120" t="str">
        <f>IFERROR(__xludf.DUMMYFUNCTION("""COMPUTED_VALUE"""),"Kentland")</f>
        <v>Kentland</v>
      </c>
      <c r="D4015" s="120" t="str">
        <f>IFERROR(__xludf.DUMMYFUNCTION("""COMPUTED_VALUE"""),"United States")</f>
        <v>United States</v>
      </c>
      <c r="E4015" s="135"/>
      <c r="F4015" s="31"/>
    </row>
    <row r="4016">
      <c r="A4016" s="134" t="str">
        <f>IFERROR(__xludf.DUMMYFUNCTION("""COMPUTED_VALUE"""),"Keokuk")</f>
        <v>Keokuk</v>
      </c>
      <c r="B4016" s="120" t="str">
        <f>IFERROR(__xludf.DUMMYFUNCTION("""COMPUTED_VALUE"""),"EOK")</f>
        <v>EOK</v>
      </c>
      <c r="C4016" s="120" t="str">
        <f>IFERROR(__xludf.DUMMYFUNCTION("""COMPUTED_VALUE"""),"Keokuk")</f>
        <v>Keokuk</v>
      </c>
      <c r="D4016" s="120" t="str">
        <f>IFERROR(__xludf.DUMMYFUNCTION("""COMPUTED_VALUE"""),"United States")</f>
        <v>United States</v>
      </c>
      <c r="E4016" s="135"/>
      <c r="F4016" s="31"/>
    </row>
    <row r="4017">
      <c r="A4017" s="134" t="str">
        <f>IFERROR(__xludf.DUMMYFUNCTION("""COMPUTED_VALUE"""),"Kepi")</f>
        <v>Kepi</v>
      </c>
      <c r="B4017" s="120" t="str">
        <f>IFERROR(__xludf.DUMMYFUNCTION("""COMPUTED_VALUE"""),"KEI")</f>
        <v>KEI</v>
      </c>
      <c r="C4017" s="120" t="str">
        <f>IFERROR(__xludf.DUMMYFUNCTION("""COMPUTED_VALUE"""),"Kepi")</f>
        <v>Kepi</v>
      </c>
      <c r="D4017" s="120" t="str">
        <f>IFERROR(__xludf.DUMMYFUNCTION("""COMPUTED_VALUE"""),"Indonesia")</f>
        <v>Indonesia</v>
      </c>
      <c r="E4017" s="135"/>
      <c r="F4017" s="31"/>
    </row>
    <row r="4018">
      <c r="A4018" s="134" t="str">
        <f>IFERROR(__xludf.DUMMYFUNCTION("""COMPUTED_VALUE"""),"Kerama")</f>
        <v>Kerama</v>
      </c>
      <c r="B4018" s="120" t="str">
        <f>IFERROR(__xludf.DUMMYFUNCTION("""COMPUTED_VALUE"""),"KJP")</f>
        <v>KJP</v>
      </c>
      <c r="C4018" s="120" t="str">
        <f>IFERROR(__xludf.DUMMYFUNCTION("""COMPUTED_VALUE"""),"Kerama")</f>
        <v>Kerama</v>
      </c>
      <c r="D4018" s="120" t="str">
        <f>IFERROR(__xludf.DUMMYFUNCTION("""COMPUTED_VALUE"""),"Japan")</f>
        <v>Japan</v>
      </c>
      <c r="E4018" s="135"/>
      <c r="F4018" s="31"/>
    </row>
    <row r="4019">
      <c r="A4019" s="134" t="str">
        <f>IFERROR(__xludf.DUMMYFUNCTION("""COMPUTED_VALUE"""),"Kerang")</f>
        <v>Kerang</v>
      </c>
      <c r="B4019" s="120" t="str">
        <f>IFERROR(__xludf.DUMMYFUNCTION("""COMPUTED_VALUE"""),"KRA")</f>
        <v>KRA</v>
      </c>
      <c r="C4019" s="120" t="str">
        <f>IFERROR(__xludf.DUMMYFUNCTION("""COMPUTED_VALUE"""),"Kerang")</f>
        <v>Kerang</v>
      </c>
      <c r="D4019" s="120" t="str">
        <f>IFERROR(__xludf.DUMMYFUNCTION("""COMPUTED_VALUE"""),"Australia")</f>
        <v>Australia</v>
      </c>
      <c r="E4019" s="135"/>
      <c r="F4019" s="31"/>
    </row>
    <row r="4020">
      <c r="A4020" s="134" t="str">
        <f>IFERROR(__xludf.DUMMYFUNCTION("""COMPUTED_VALUE"""),"Kerau")</f>
        <v>Kerau</v>
      </c>
      <c r="B4020" s="120" t="str">
        <f>IFERROR(__xludf.DUMMYFUNCTION("""COMPUTED_VALUE"""),"KRU")</f>
        <v>KRU</v>
      </c>
      <c r="C4020" s="120" t="str">
        <f>IFERROR(__xludf.DUMMYFUNCTION("""COMPUTED_VALUE"""),"Kerau")</f>
        <v>Kerau</v>
      </c>
      <c r="D4020" s="120" t="str">
        <f>IFERROR(__xludf.DUMMYFUNCTION("""COMPUTED_VALUE"""),"Papua New Guinea")</f>
        <v>Papua New Guinea</v>
      </c>
      <c r="E4020" s="135"/>
      <c r="F4020" s="31"/>
    </row>
    <row r="4021">
      <c r="A4021" s="134" t="str">
        <f>IFERROR(__xludf.DUMMYFUNCTION("""COMPUTED_VALUE"""),"Kerch")</f>
        <v>Kerch</v>
      </c>
      <c r="B4021" s="120" t="str">
        <f>IFERROR(__xludf.DUMMYFUNCTION("""COMPUTED_VALUE"""),"KHC")</f>
        <v>KHC</v>
      </c>
      <c r="C4021" s="120" t="str">
        <f>IFERROR(__xludf.DUMMYFUNCTION("""COMPUTED_VALUE"""),"Kerch")</f>
        <v>Kerch</v>
      </c>
      <c r="D4021" s="120" t="str">
        <f>IFERROR(__xludf.DUMMYFUNCTION("""COMPUTED_VALUE"""),"Ukraine")</f>
        <v>Ukraine</v>
      </c>
      <c r="E4021" s="135"/>
      <c r="F4021" s="31"/>
    </row>
    <row r="4022">
      <c r="A4022" s="134" t="str">
        <f>IFERROR(__xludf.DUMMYFUNCTION("""COMPUTED_VALUE"""),"Kerema")</f>
        <v>Kerema</v>
      </c>
      <c r="B4022" s="120" t="str">
        <f>IFERROR(__xludf.DUMMYFUNCTION("""COMPUTED_VALUE"""),"KMA")</f>
        <v>KMA</v>
      </c>
      <c r="C4022" s="120" t="str">
        <f>IFERROR(__xludf.DUMMYFUNCTION("""COMPUTED_VALUE"""),"Kerema")</f>
        <v>Kerema</v>
      </c>
      <c r="D4022" s="120" t="str">
        <f>IFERROR(__xludf.DUMMYFUNCTION("""COMPUTED_VALUE"""),"Papua New Guinea")</f>
        <v>Papua New Guinea</v>
      </c>
      <c r="E4022" s="135"/>
      <c r="F4022" s="31"/>
    </row>
    <row r="4023">
      <c r="A4023" s="134" t="str">
        <f>IFERROR(__xludf.DUMMYFUNCTION("""COMPUTED_VALUE"""),"Kericho")</f>
        <v>Kericho</v>
      </c>
      <c r="B4023" s="120" t="str">
        <f>IFERROR(__xludf.DUMMYFUNCTION("""COMPUTED_VALUE"""),"KEY")</f>
        <v>KEY</v>
      </c>
      <c r="C4023" s="120" t="str">
        <f>IFERROR(__xludf.DUMMYFUNCTION("""COMPUTED_VALUE"""),"Kericho")</f>
        <v>Kericho</v>
      </c>
      <c r="D4023" s="120" t="str">
        <f>IFERROR(__xludf.DUMMYFUNCTION("""COMPUTED_VALUE"""),"Kenya")</f>
        <v>Kenya</v>
      </c>
      <c r="E4023" s="135"/>
      <c r="F4023" s="31"/>
    </row>
    <row r="4024">
      <c r="A4024" s="134" t="str">
        <f>IFERROR(__xludf.DUMMYFUNCTION("""COMPUTED_VALUE"""),"Kerikeri")</f>
        <v>Kerikeri</v>
      </c>
      <c r="B4024" s="120" t="str">
        <f>IFERROR(__xludf.DUMMYFUNCTION("""COMPUTED_VALUE"""),"KKE")</f>
        <v>KKE</v>
      </c>
      <c r="C4024" s="120" t="str">
        <f>IFERROR(__xludf.DUMMYFUNCTION("""COMPUTED_VALUE"""),"Kerikeri")</f>
        <v>Kerikeri</v>
      </c>
      <c r="D4024" s="120" t="str">
        <f>IFERROR(__xludf.DUMMYFUNCTION("""COMPUTED_VALUE"""),"New Zealand (Aotearoa)")</f>
        <v>New Zealand (Aotearoa)</v>
      </c>
      <c r="E4024" s="135"/>
      <c r="F4024" s="31"/>
    </row>
    <row r="4025">
      <c r="A4025" s="134" t="str">
        <f>IFERROR(__xludf.DUMMYFUNCTION("""COMPUTED_VALUE"""),"Kerinci")</f>
        <v>Kerinci</v>
      </c>
      <c r="B4025" s="120" t="str">
        <f>IFERROR(__xludf.DUMMYFUNCTION("""COMPUTED_VALUE"""),"KRC")</f>
        <v>KRC</v>
      </c>
      <c r="C4025" s="120" t="str">
        <f>IFERROR(__xludf.DUMMYFUNCTION("""COMPUTED_VALUE"""),"Kerinci")</f>
        <v>Kerinci</v>
      </c>
      <c r="D4025" s="120" t="str">
        <f>IFERROR(__xludf.DUMMYFUNCTION("""COMPUTED_VALUE"""),"Indonesia")</f>
        <v>Indonesia</v>
      </c>
      <c r="E4025" s="135"/>
      <c r="F4025" s="31"/>
    </row>
    <row r="4026">
      <c r="A4026" s="134" t="str">
        <f>IFERROR(__xludf.DUMMYFUNCTION("""COMPUTED_VALUE"""),"Kerio Valley")</f>
        <v>Kerio Valley</v>
      </c>
      <c r="B4026" s="120" t="str">
        <f>IFERROR(__xludf.DUMMYFUNCTION("""COMPUTED_VALUE"""),"KRV")</f>
        <v>KRV</v>
      </c>
      <c r="C4026" s="120" t="str">
        <f>IFERROR(__xludf.DUMMYFUNCTION("""COMPUTED_VALUE"""),"Kerio Valley")</f>
        <v>Kerio Valley</v>
      </c>
      <c r="D4026" s="120" t="str">
        <f>IFERROR(__xludf.DUMMYFUNCTION("""COMPUTED_VALUE"""),"Kenya")</f>
        <v>Kenya</v>
      </c>
      <c r="E4026" s="135"/>
      <c r="F4026" s="31"/>
    </row>
    <row r="4027">
      <c r="A4027" s="134" t="str">
        <f>IFERROR(__xludf.DUMMYFUNCTION("""COMPUTED_VALUE"""),"Kerkyra")</f>
        <v>Kerkyra</v>
      </c>
      <c r="B4027" s="120" t="str">
        <f>IFERROR(__xludf.DUMMYFUNCTION("""COMPUTED_VALUE"""),"CFU")</f>
        <v>CFU</v>
      </c>
      <c r="C4027" s="120" t="str">
        <f>IFERROR(__xludf.DUMMYFUNCTION("""COMPUTED_VALUE"""),"I. Kapodistrias")</f>
        <v>I. Kapodistrias</v>
      </c>
      <c r="D4027" s="120" t="str">
        <f>IFERROR(__xludf.DUMMYFUNCTION("""COMPUTED_VALUE"""),"Greece")</f>
        <v>Greece</v>
      </c>
      <c r="E4027" s="135"/>
      <c r="F4027" s="31"/>
    </row>
    <row r="4028">
      <c r="A4028" s="134" t="str">
        <f>IFERROR(__xludf.DUMMYFUNCTION("""COMPUTED_VALUE"""),"Kerman")</f>
        <v>Kerman</v>
      </c>
      <c r="B4028" s="120" t="str">
        <f>IFERROR(__xludf.DUMMYFUNCTION("""COMPUTED_VALUE"""),"KER")</f>
        <v>KER</v>
      </c>
      <c r="C4028" s="120" t="str">
        <f>IFERROR(__xludf.DUMMYFUNCTION("""COMPUTED_VALUE"""),"Kerman")</f>
        <v>Kerman</v>
      </c>
      <c r="D4028" s="120" t="str">
        <f>IFERROR(__xludf.DUMMYFUNCTION("""COMPUTED_VALUE"""),"Iran")</f>
        <v>Iran</v>
      </c>
      <c r="E4028" s="135"/>
      <c r="F4028" s="31"/>
    </row>
    <row r="4029">
      <c r="A4029" s="134" t="str">
        <f>IFERROR(__xludf.DUMMYFUNCTION("""COMPUTED_VALUE"""),"Kermanshah")</f>
        <v>Kermanshah</v>
      </c>
      <c r="B4029" s="120" t="str">
        <f>IFERROR(__xludf.DUMMYFUNCTION("""COMPUTED_VALUE"""),"KSH")</f>
        <v>KSH</v>
      </c>
      <c r="C4029" s="120" t="str">
        <f>IFERROR(__xludf.DUMMYFUNCTION("""COMPUTED_VALUE"""),"Kermanshah")</f>
        <v>Kermanshah</v>
      </c>
      <c r="D4029" s="120" t="str">
        <f>IFERROR(__xludf.DUMMYFUNCTION("""COMPUTED_VALUE"""),"Iran")</f>
        <v>Iran</v>
      </c>
      <c r="E4029" s="135"/>
      <c r="F4029" s="31"/>
    </row>
    <row r="4030">
      <c r="A4030" s="134" t="str">
        <f>IFERROR(__xludf.DUMMYFUNCTION("""COMPUTED_VALUE"""),"Kerrville")</f>
        <v>Kerrville</v>
      </c>
      <c r="B4030" s="120" t="str">
        <f>IFERROR(__xludf.DUMMYFUNCTION("""COMPUTED_VALUE"""),"ERV")</f>
        <v>ERV</v>
      </c>
      <c r="C4030" s="120" t="str">
        <f>IFERROR(__xludf.DUMMYFUNCTION("""COMPUTED_VALUE"""),"Kerrville")</f>
        <v>Kerrville</v>
      </c>
      <c r="D4030" s="120" t="str">
        <f>IFERROR(__xludf.DUMMYFUNCTION("""COMPUTED_VALUE"""),"United States")</f>
        <v>United States</v>
      </c>
      <c r="E4030" s="135"/>
      <c r="F4030" s="31"/>
    </row>
    <row r="4031">
      <c r="A4031" s="134" t="str">
        <f>IFERROR(__xludf.DUMMYFUNCTION("""COMPUTED_VALUE"""),"Killarney/Kerry")</f>
        <v>Killarney/Kerry</v>
      </c>
      <c r="B4031" s="120" t="str">
        <f>IFERROR(__xludf.DUMMYFUNCTION("""COMPUTED_VALUE"""),"KIR")</f>
        <v>KIR</v>
      </c>
      <c r="C4031" s="120" t="str">
        <f>IFERROR(__xludf.DUMMYFUNCTION("""COMPUTED_VALUE"""),"Kerry Airport (Farranfore)")</f>
        <v>Kerry Airport (Farranfore)</v>
      </c>
      <c r="D4031" s="120" t="str">
        <f>IFERROR(__xludf.DUMMYFUNCTION("""COMPUTED_VALUE"""),"Ireland")</f>
        <v>Ireland</v>
      </c>
      <c r="E4031" s="135"/>
      <c r="F4031" s="31"/>
    </row>
    <row r="4032">
      <c r="A4032" s="134" t="str">
        <f>IFERROR(__xludf.DUMMYFUNCTION("""COMPUTED_VALUE"""),"Kerteh")</f>
        <v>Kerteh</v>
      </c>
      <c r="B4032" s="120" t="str">
        <f>IFERROR(__xludf.DUMMYFUNCTION("""COMPUTED_VALUE"""),"KTE")</f>
        <v>KTE</v>
      </c>
      <c r="C4032" s="120" t="str">
        <f>IFERROR(__xludf.DUMMYFUNCTION("""COMPUTED_VALUE"""),"Kerteh")</f>
        <v>Kerteh</v>
      </c>
      <c r="D4032" s="120" t="str">
        <f>IFERROR(__xludf.DUMMYFUNCTION("""COMPUTED_VALUE"""),"Malaysia")</f>
        <v>Malaysia</v>
      </c>
      <c r="E4032" s="135"/>
      <c r="F4032" s="31"/>
    </row>
    <row r="4033">
      <c r="A4033" s="134" t="str">
        <f>IFERROR(__xludf.DUMMYFUNCTION("""COMPUTED_VALUE"""),"Keshod")</f>
        <v>Keshod</v>
      </c>
      <c r="B4033" s="120" t="str">
        <f>IFERROR(__xludf.DUMMYFUNCTION("""COMPUTED_VALUE"""),"IXK")</f>
        <v>IXK</v>
      </c>
      <c r="C4033" s="120" t="str">
        <f>IFERROR(__xludf.DUMMYFUNCTION("""COMPUTED_VALUE"""),"Keshod")</f>
        <v>Keshod</v>
      </c>
      <c r="D4033" s="120" t="str">
        <f>IFERROR(__xludf.DUMMYFUNCTION("""COMPUTED_VALUE"""),"India")</f>
        <v>India</v>
      </c>
      <c r="E4033" s="135"/>
      <c r="F4033" s="31"/>
    </row>
    <row r="4034">
      <c r="A4034" s="134" t="str">
        <f>IFERROR(__xludf.DUMMYFUNCTION("""COMPUTED_VALUE"""),"Ketapang")</f>
        <v>Ketapang</v>
      </c>
      <c r="B4034" s="120" t="str">
        <f>IFERROR(__xludf.DUMMYFUNCTION("""COMPUTED_VALUE"""),"KTG")</f>
        <v>KTG</v>
      </c>
      <c r="C4034" s="120" t="str">
        <f>IFERROR(__xludf.DUMMYFUNCTION("""COMPUTED_VALUE"""),"Ketapang")</f>
        <v>Ketapang</v>
      </c>
      <c r="D4034" s="120" t="str">
        <f>IFERROR(__xludf.DUMMYFUNCTION("""COMPUTED_VALUE"""),"Indonesia")</f>
        <v>Indonesia</v>
      </c>
      <c r="E4034" s="135"/>
      <c r="F4034" s="31"/>
    </row>
    <row r="4035">
      <c r="A4035" s="134" t="str">
        <f>IFERROR(__xludf.DUMMYFUNCTION("""COMPUTED_VALUE"""),"Ketchikan")</f>
        <v>Ketchikan</v>
      </c>
      <c r="B4035" s="120" t="str">
        <f>IFERROR(__xludf.DUMMYFUNCTION("""COMPUTED_VALUE"""),"KTN")</f>
        <v>KTN</v>
      </c>
      <c r="C4035" s="120" t="str">
        <f>IFERROR(__xludf.DUMMYFUNCTION("""COMPUTED_VALUE"""),"International")</f>
        <v>International</v>
      </c>
      <c r="D4035" s="120" t="str">
        <f>IFERROR(__xludf.DUMMYFUNCTION("""COMPUTED_VALUE"""),"United States")</f>
        <v>United States</v>
      </c>
      <c r="E4035" s="135"/>
      <c r="F4035" s="31"/>
    </row>
    <row r="4036">
      <c r="A4036" s="134" t="str">
        <f>IFERROR(__xludf.DUMMYFUNCTION("""COMPUTED_VALUE"""),"Ketchikan")</f>
        <v>Ketchikan</v>
      </c>
      <c r="B4036" s="120" t="str">
        <f>IFERROR(__xludf.DUMMYFUNCTION("""COMPUTED_VALUE"""),"WFB")</f>
        <v>WFB</v>
      </c>
      <c r="C4036" s="120" t="str">
        <f>IFERROR(__xludf.DUMMYFUNCTION("""COMPUTED_VALUE"""),"Waterfront SPB")</f>
        <v>Waterfront SPB</v>
      </c>
      <c r="D4036" s="120" t="str">
        <f>IFERROR(__xludf.DUMMYFUNCTION("""COMPUTED_VALUE"""),"United States")</f>
        <v>United States</v>
      </c>
      <c r="E4036" s="135"/>
      <c r="F4036" s="31"/>
    </row>
    <row r="4037">
      <c r="A4037" s="134" t="str">
        <f>IFERROR(__xludf.DUMMYFUNCTION("""COMPUTED_VALUE"""),"Key Lake")</f>
        <v>Key Lake</v>
      </c>
      <c r="B4037" s="120" t="str">
        <f>IFERROR(__xludf.DUMMYFUNCTION("""COMPUTED_VALUE"""),"YKJ")</f>
        <v>YKJ</v>
      </c>
      <c r="C4037" s="120" t="str">
        <f>IFERROR(__xludf.DUMMYFUNCTION("""COMPUTED_VALUE"""),"Key Lake")</f>
        <v>Key Lake</v>
      </c>
      <c r="D4037" s="120" t="str">
        <f>IFERROR(__xludf.DUMMYFUNCTION("""COMPUTED_VALUE"""),"Canada")</f>
        <v>Canada</v>
      </c>
      <c r="E4037" s="135"/>
      <c r="F4037" s="31"/>
    </row>
    <row r="4038">
      <c r="A4038" s="134" t="str">
        <f>IFERROR(__xludf.DUMMYFUNCTION("""COMPUTED_VALUE"""),"Key Largo")</f>
        <v>Key Largo</v>
      </c>
      <c r="B4038" s="120" t="str">
        <f>IFERROR(__xludf.DUMMYFUNCTION("""COMPUTED_VALUE"""),"KYL")</f>
        <v>KYL</v>
      </c>
      <c r="C4038" s="120" t="str">
        <f>IFERROR(__xludf.DUMMYFUNCTION("""COMPUTED_VALUE"""),"Port Largo")</f>
        <v>Port Largo</v>
      </c>
      <c r="D4038" s="120" t="str">
        <f>IFERROR(__xludf.DUMMYFUNCTION("""COMPUTED_VALUE"""),"United States")</f>
        <v>United States</v>
      </c>
      <c r="E4038" s="135"/>
      <c r="F4038" s="31"/>
    </row>
    <row r="4039">
      <c r="A4039" s="134" t="str">
        <f>IFERROR(__xludf.DUMMYFUNCTION("""COMPUTED_VALUE"""),"Key West")</f>
        <v>Key West</v>
      </c>
      <c r="B4039" s="120" t="str">
        <f>IFERROR(__xludf.DUMMYFUNCTION("""COMPUTED_VALUE"""),"EYW")</f>
        <v>EYW</v>
      </c>
      <c r="C4039" s="120" t="str">
        <f>IFERROR(__xludf.DUMMYFUNCTION("""COMPUTED_VALUE"""),"International")</f>
        <v>International</v>
      </c>
      <c r="D4039" s="120" t="str">
        <f>IFERROR(__xludf.DUMMYFUNCTION("""COMPUTED_VALUE"""),"United States")</f>
        <v>United States</v>
      </c>
      <c r="E4039" s="135"/>
      <c r="F4039" s="31"/>
    </row>
    <row r="4040">
      <c r="A4040" s="134" t="str">
        <f>IFERROR(__xludf.DUMMYFUNCTION("""COMPUTED_VALUE"""),"Key West")</f>
        <v>Key West</v>
      </c>
      <c r="B4040" s="120" t="str">
        <f>IFERROR(__xludf.DUMMYFUNCTION("""COMPUTED_VALUE"""),"NQX")</f>
        <v>NQX</v>
      </c>
      <c r="C4040" s="120" t="str">
        <f>IFERROR(__xludf.DUMMYFUNCTION("""COMPUTED_VALUE"""),"NAS")</f>
        <v>NAS</v>
      </c>
      <c r="D4040" s="120" t="str">
        <f>IFERROR(__xludf.DUMMYFUNCTION("""COMPUTED_VALUE"""),"United States")</f>
        <v>United States</v>
      </c>
      <c r="E4040" s="135"/>
      <c r="F4040" s="31"/>
    </row>
    <row r="4041">
      <c r="A4041" s="134" t="str">
        <f>IFERROR(__xludf.DUMMYFUNCTION("""COMPUTED_VALUE"""),"Keystone")</f>
        <v>Keystone</v>
      </c>
      <c r="B4041" s="120" t="str">
        <f>IFERROR(__xludf.DUMMYFUNCTION("""COMPUTED_VALUE"""),"QKS")</f>
        <v>QKS</v>
      </c>
      <c r="C4041" s="120" t="str">
        <f>IFERROR(__xludf.DUMMYFUNCTION("""COMPUTED_VALUE"""),"Van Service")</f>
        <v>Van Service</v>
      </c>
      <c r="D4041" s="120" t="str">
        <f>IFERROR(__xludf.DUMMYFUNCTION("""COMPUTED_VALUE"""),"United States")</f>
        <v>United States</v>
      </c>
      <c r="E4041" s="135"/>
      <c r="F4041" s="31"/>
    </row>
    <row r="4042">
      <c r="A4042" s="134" t="str">
        <f>IFERROR(__xludf.DUMMYFUNCTION("""COMPUTED_VALUE"""),"Khabarovsk")</f>
        <v>Khabarovsk</v>
      </c>
      <c r="B4042" s="120" t="str">
        <f>IFERROR(__xludf.DUMMYFUNCTION("""COMPUTED_VALUE"""),"KHV")</f>
        <v>KHV</v>
      </c>
      <c r="C4042" s="120" t="str">
        <f>IFERROR(__xludf.DUMMYFUNCTION("""COMPUTED_VALUE"""),"Novyy")</f>
        <v>Novyy</v>
      </c>
      <c r="D4042" s="120" t="str">
        <f>IFERROR(__xludf.DUMMYFUNCTION("""COMPUTED_VALUE"""),"Russia")</f>
        <v>Russia</v>
      </c>
      <c r="E4042" s="135"/>
      <c r="F4042" s="31"/>
    </row>
    <row r="4043">
      <c r="A4043" s="134" t="str">
        <f>IFERROR(__xludf.DUMMYFUNCTION("""COMPUTED_VALUE"""),"Khajuraho")</f>
        <v>Khajuraho</v>
      </c>
      <c r="B4043" s="120" t="str">
        <f>IFERROR(__xludf.DUMMYFUNCTION("""COMPUTED_VALUE"""),"HJR")</f>
        <v>HJR</v>
      </c>
      <c r="C4043" s="120" t="str">
        <f>IFERROR(__xludf.DUMMYFUNCTION("""COMPUTED_VALUE"""),"Khajuraho")</f>
        <v>Khajuraho</v>
      </c>
      <c r="D4043" s="120" t="str">
        <f>IFERROR(__xludf.DUMMYFUNCTION("""COMPUTED_VALUE"""),"India")</f>
        <v>India</v>
      </c>
      <c r="E4043" s="135"/>
      <c r="F4043" s="31"/>
    </row>
    <row r="4044">
      <c r="A4044" s="134" t="str">
        <f>IFERROR(__xludf.DUMMYFUNCTION("""COMPUTED_VALUE"""),"Khamis Mushait")</f>
        <v>Khamis Mushait</v>
      </c>
      <c r="B4044" s="120" t="str">
        <f>IFERROR(__xludf.DUMMYFUNCTION("""COMPUTED_VALUE"""),"KMX")</f>
        <v>KMX</v>
      </c>
      <c r="C4044" s="120" t="str">
        <f>IFERROR(__xludf.DUMMYFUNCTION("""COMPUTED_VALUE"""),"Khamis Mushait")</f>
        <v>Khamis Mushait</v>
      </c>
      <c r="D4044" s="120" t="str">
        <f>IFERROR(__xludf.DUMMYFUNCTION("""COMPUTED_VALUE"""),"Saudi Arabia")</f>
        <v>Saudi Arabia</v>
      </c>
      <c r="E4044" s="135"/>
      <c r="F4044" s="31"/>
    </row>
    <row r="4045">
      <c r="A4045" s="134" t="str">
        <f>IFERROR(__xludf.DUMMYFUNCTION("""COMPUTED_VALUE"""),"Khamti")</f>
        <v>Khamti</v>
      </c>
      <c r="B4045" s="120" t="str">
        <f>IFERROR(__xludf.DUMMYFUNCTION("""COMPUTED_VALUE"""),"KHM")</f>
        <v>KHM</v>
      </c>
      <c r="C4045" s="120" t="str">
        <f>IFERROR(__xludf.DUMMYFUNCTION("""COMPUTED_VALUE"""),"Khamti")</f>
        <v>Khamti</v>
      </c>
      <c r="D4045" s="120" t="str">
        <f>IFERROR(__xludf.DUMMYFUNCTION("""COMPUTED_VALUE"""),"Myanmar")</f>
        <v>Myanmar</v>
      </c>
      <c r="E4045" s="135"/>
      <c r="F4045" s="31"/>
    </row>
    <row r="4046">
      <c r="A4046" s="134" t="str">
        <f>IFERROR(__xludf.DUMMYFUNCTION("""COMPUTED_VALUE"""),"Khan Al Baghdadi")</f>
        <v>Khan Al Baghdadi</v>
      </c>
      <c r="B4046" s="120" t="str">
        <f>IFERROR(__xludf.DUMMYFUNCTION("""COMPUTED_VALUE"""),"XIH")</f>
        <v>XIH</v>
      </c>
      <c r="C4046" s="120" t="str">
        <f>IFERROR(__xludf.DUMMYFUNCTION("""COMPUTED_VALUE"""),"Khan Al Baghdadi")</f>
        <v>Khan Al Baghdadi</v>
      </c>
      <c r="D4046" s="120" t="str">
        <f>IFERROR(__xludf.DUMMYFUNCTION("""COMPUTED_VALUE"""),"Iraq")</f>
        <v>Iraq</v>
      </c>
      <c r="E4046" s="135"/>
      <c r="F4046" s="31"/>
    </row>
    <row r="4047">
      <c r="A4047" s="134" t="str">
        <f>IFERROR(__xludf.DUMMYFUNCTION("""COMPUTED_VALUE"""),"Khaneh")</f>
        <v>Khaneh</v>
      </c>
      <c r="B4047" s="120" t="str">
        <f>IFERROR(__xludf.DUMMYFUNCTION("""COMPUTED_VALUE"""),"KHA")</f>
        <v>KHA</v>
      </c>
      <c r="C4047" s="120" t="str">
        <f>IFERROR(__xludf.DUMMYFUNCTION("""COMPUTED_VALUE"""),"Khaneh")</f>
        <v>Khaneh</v>
      </c>
      <c r="D4047" s="120" t="str">
        <f>IFERROR(__xludf.DUMMYFUNCTION("""COMPUTED_VALUE"""),"Iran")</f>
        <v>Iran</v>
      </c>
      <c r="E4047" s="135"/>
      <c r="F4047" s="31"/>
    </row>
    <row r="4048">
      <c r="A4048" s="134" t="str">
        <f>IFERROR(__xludf.DUMMYFUNCTION("""COMPUTED_VALUE"""),"Khanty-Mansiysk")</f>
        <v>Khanty-Mansiysk</v>
      </c>
      <c r="B4048" s="120" t="str">
        <f>IFERROR(__xludf.DUMMYFUNCTION("""COMPUTED_VALUE"""),"HMA")</f>
        <v>HMA</v>
      </c>
      <c r="C4048" s="120" t="str">
        <f>IFERROR(__xludf.DUMMYFUNCTION("""COMPUTED_VALUE"""),"Khanty-Mansiysk")</f>
        <v>Khanty-Mansiysk</v>
      </c>
      <c r="D4048" s="120" t="str">
        <f>IFERROR(__xludf.DUMMYFUNCTION("""COMPUTED_VALUE"""),"Russia")</f>
        <v>Russia</v>
      </c>
      <c r="E4048" s="135"/>
      <c r="F4048" s="31"/>
    </row>
    <row r="4049">
      <c r="A4049" s="134" t="str">
        <f>IFERROR(__xludf.DUMMYFUNCTION("""COMPUTED_VALUE"""),"Kharga")</f>
        <v>Kharga</v>
      </c>
      <c r="B4049" s="120" t="str">
        <f>IFERROR(__xludf.DUMMYFUNCTION("""COMPUTED_VALUE"""),"UVL")</f>
        <v>UVL</v>
      </c>
      <c r="C4049" s="120" t="str">
        <f>IFERROR(__xludf.DUMMYFUNCTION("""COMPUTED_VALUE"""),"Kharga")</f>
        <v>Kharga</v>
      </c>
      <c r="D4049" s="120" t="str">
        <f>IFERROR(__xludf.DUMMYFUNCTION("""COMPUTED_VALUE"""),"Egypt")</f>
        <v>Egypt</v>
      </c>
      <c r="E4049" s="135"/>
      <c r="F4049" s="31"/>
    </row>
    <row r="4050">
      <c r="A4050" s="134" t="str">
        <f>IFERROR(__xludf.DUMMYFUNCTION("""COMPUTED_VALUE"""),"Khark Island")</f>
        <v>Khark Island</v>
      </c>
      <c r="B4050" s="120" t="str">
        <f>IFERROR(__xludf.DUMMYFUNCTION("""COMPUTED_VALUE"""),"KHK")</f>
        <v>KHK</v>
      </c>
      <c r="C4050" s="120" t="str">
        <f>IFERROR(__xludf.DUMMYFUNCTION("""COMPUTED_VALUE"""),"Khark Island")</f>
        <v>Khark Island</v>
      </c>
      <c r="D4050" s="120" t="str">
        <f>IFERROR(__xludf.DUMMYFUNCTION("""COMPUTED_VALUE"""),"Iran")</f>
        <v>Iran</v>
      </c>
      <c r="E4050" s="135"/>
      <c r="F4050" s="31"/>
    </row>
    <row r="4051">
      <c r="A4051" s="134" t="str">
        <f>IFERROR(__xludf.DUMMYFUNCTION("""COMPUTED_VALUE"""),"Kharkhorin")</f>
        <v>Kharkhorin</v>
      </c>
      <c r="B4051" s="120" t="str">
        <f>IFERROR(__xludf.DUMMYFUNCTION("""COMPUTED_VALUE"""),"KHR")</f>
        <v>KHR</v>
      </c>
      <c r="C4051" s="120" t="str">
        <f>IFERROR(__xludf.DUMMYFUNCTION("""COMPUTED_VALUE"""),"Kharkhorin")</f>
        <v>Kharkhorin</v>
      </c>
      <c r="D4051" s="120" t="str">
        <f>IFERROR(__xludf.DUMMYFUNCTION("""COMPUTED_VALUE"""),"Mongolia")</f>
        <v>Mongolia</v>
      </c>
      <c r="E4051" s="135"/>
      <c r="F4051" s="31"/>
    </row>
    <row r="4052">
      <c r="A4052" s="134" t="str">
        <f>IFERROR(__xludf.DUMMYFUNCTION("""COMPUTED_VALUE"""),"Kharkov")</f>
        <v>Kharkov</v>
      </c>
      <c r="B4052" s="120" t="str">
        <f>IFERROR(__xludf.DUMMYFUNCTION("""COMPUTED_VALUE"""),"HRK")</f>
        <v>HRK</v>
      </c>
      <c r="C4052" s="120" t="str">
        <f>IFERROR(__xludf.DUMMYFUNCTION("""COMPUTED_VALUE"""),"Kharkov")</f>
        <v>Kharkov</v>
      </c>
      <c r="D4052" s="120" t="str">
        <f>IFERROR(__xludf.DUMMYFUNCTION("""COMPUTED_VALUE"""),"Ukraine")</f>
        <v>Ukraine</v>
      </c>
      <c r="E4052" s="135"/>
      <c r="F4052" s="31"/>
    </row>
    <row r="4053">
      <c r="A4053" s="134" t="str">
        <f>IFERROR(__xludf.DUMMYFUNCTION("""COMPUTED_VALUE"""),"Khartoum")</f>
        <v>Khartoum</v>
      </c>
      <c r="B4053" s="120" t="str">
        <f>IFERROR(__xludf.DUMMYFUNCTION("""COMPUTED_VALUE"""),"KRT")</f>
        <v>KRT</v>
      </c>
      <c r="C4053" s="120" t="str">
        <f>IFERROR(__xludf.DUMMYFUNCTION("""COMPUTED_VALUE"""),"Civil")</f>
        <v>Civil</v>
      </c>
      <c r="D4053" s="120" t="str">
        <f>IFERROR(__xludf.DUMMYFUNCTION("""COMPUTED_VALUE"""),"Sudan")</f>
        <v>Sudan</v>
      </c>
      <c r="E4053" s="135"/>
      <c r="F4053" s="31"/>
    </row>
    <row r="4054">
      <c r="A4054" s="134" t="str">
        <f>IFERROR(__xludf.DUMMYFUNCTION("""COMPUTED_VALUE"""),"Khasab")</f>
        <v>Khasab</v>
      </c>
      <c r="B4054" s="120" t="str">
        <f>IFERROR(__xludf.DUMMYFUNCTION("""COMPUTED_VALUE"""),"KHS")</f>
        <v>KHS</v>
      </c>
      <c r="C4054" s="120" t="str">
        <f>IFERROR(__xludf.DUMMYFUNCTION("""COMPUTED_VALUE"""),"Khasab")</f>
        <v>Khasab</v>
      </c>
      <c r="D4054" s="120" t="str">
        <f>IFERROR(__xludf.DUMMYFUNCTION("""COMPUTED_VALUE"""),"Oman")</f>
        <v>Oman</v>
      </c>
      <c r="E4054" s="135"/>
      <c r="F4054" s="31"/>
    </row>
    <row r="4055">
      <c r="A4055" s="134" t="str">
        <f>IFERROR(__xludf.DUMMYFUNCTION("""COMPUTED_VALUE"""),"Khashm El Girba")</f>
        <v>Khashm El Girba</v>
      </c>
      <c r="B4055" s="120" t="str">
        <f>IFERROR(__xludf.DUMMYFUNCTION("""COMPUTED_VALUE"""),"GBU")</f>
        <v>GBU</v>
      </c>
      <c r="C4055" s="120" t="str">
        <f>IFERROR(__xludf.DUMMYFUNCTION("""COMPUTED_VALUE"""),"Khashm El Girba")</f>
        <v>Khashm El Girba</v>
      </c>
      <c r="D4055" s="120" t="str">
        <f>IFERROR(__xludf.DUMMYFUNCTION("""COMPUTED_VALUE"""),"Sudan")</f>
        <v>Sudan</v>
      </c>
      <c r="E4055" s="135"/>
      <c r="F4055" s="31"/>
    </row>
    <row r="4056">
      <c r="A4056" s="134" t="str">
        <f>IFERROR(__xludf.DUMMYFUNCTION("""COMPUTED_VALUE"""),"Khatgal")</f>
        <v>Khatgal</v>
      </c>
      <c r="B4056" s="120" t="str">
        <f>IFERROR(__xludf.DUMMYFUNCTION("""COMPUTED_VALUE"""),"HTM")</f>
        <v>HTM</v>
      </c>
      <c r="C4056" s="120" t="str">
        <f>IFERROR(__xludf.DUMMYFUNCTION("""COMPUTED_VALUE"""),"Khatgal")</f>
        <v>Khatgal</v>
      </c>
      <c r="D4056" s="120" t="str">
        <f>IFERROR(__xludf.DUMMYFUNCTION("""COMPUTED_VALUE"""),"Mongolia")</f>
        <v>Mongolia</v>
      </c>
      <c r="E4056" s="135"/>
      <c r="F4056" s="31"/>
    </row>
    <row r="4057">
      <c r="A4057" s="134" t="str">
        <f>IFERROR(__xludf.DUMMYFUNCTION("""COMPUTED_VALUE"""),"Kherson")</f>
        <v>Kherson</v>
      </c>
      <c r="B4057" s="120" t="str">
        <f>IFERROR(__xludf.DUMMYFUNCTION("""COMPUTED_VALUE"""),"KHE")</f>
        <v>KHE</v>
      </c>
      <c r="C4057" s="120" t="str">
        <f>IFERROR(__xludf.DUMMYFUNCTION("""COMPUTED_VALUE"""),"Kherson")</f>
        <v>Kherson</v>
      </c>
      <c r="D4057" s="120" t="str">
        <f>IFERROR(__xludf.DUMMYFUNCTION("""COMPUTED_VALUE"""),"Ukraine")</f>
        <v>Ukraine</v>
      </c>
      <c r="E4057" s="135"/>
      <c r="F4057" s="31"/>
    </row>
    <row r="4058">
      <c r="A4058" s="134" t="str">
        <f>IFERROR(__xludf.DUMMYFUNCTION("""COMPUTED_VALUE"""),"Khmelnitskiy")</f>
        <v>Khmelnitskiy</v>
      </c>
      <c r="B4058" s="120" t="str">
        <f>IFERROR(__xludf.DUMMYFUNCTION("""COMPUTED_VALUE"""),"HMJ")</f>
        <v>HMJ</v>
      </c>
      <c r="C4058" s="120" t="str">
        <f>IFERROR(__xludf.DUMMYFUNCTION("""COMPUTED_VALUE"""),"Khmelnitskiy")</f>
        <v>Khmelnitskiy</v>
      </c>
      <c r="D4058" s="120" t="str">
        <f>IFERROR(__xludf.DUMMYFUNCTION("""COMPUTED_VALUE"""),"Ukraine")</f>
        <v>Ukraine</v>
      </c>
      <c r="E4058" s="135"/>
      <c r="F4058" s="31"/>
    </row>
    <row r="4059">
      <c r="A4059" s="134" t="str">
        <f>IFERROR(__xludf.DUMMYFUNCTION("""COMPUTED_VALUE"""),"Khoka Moya")</f>
        <v>Khoka Moya</v>
      </c>
      <c r="B4059" s="120" t="str">
        <f>IFERROR(__xludf.DUMMYFUNCTION("""COMPUTED_VALUE"""),"KHO")</f>
        <v>KHO</v>
      </c>
      <c r="C4059" s="120" t="str">
        <f>IFERROR(__xludf.DUMMYFUNCTION("""COMPUTED_VALUE"""),"Khoka Moya")</f>
        <v>Khoka Moya</v>
      </c>
      <c r="D4059" s="120" t="str">
        <f>IFERROR(__xludf.DUMMYFUNCTION("""COMPUTED_VALUE"""),"South Africa")</f>
        <v>South Africa</v>
      </c>
      <c r="E4059" s="135"/>
      <c r="F4059" s="31"/>
    </row>
    <row r="4060">
      <c r="A4060" s="134" t="str">
        <f>IFERROR(__xludf.DUMMYFUNCTION("""COMPUTED_VALUE"""),"Khon Kaen")</f>
        <v>Khon Kaen</v>
      </c>
      <c r="B4060" s="120" t="str">
        <f>IFERROR(__xludf.DUMMYFUNCTION("""COMPUTED_VALUE"""),"KKC")</f>
        <v>KKC</v>
      </c>
      <c r="C4060" s="120" t="str">
        <f>IFERROR(__xludf.DUMMYFUNCTION("""COMPUTED_VALUE"""),"Khon Kaen")</f>
        <v>Khon Kaen</v>
      </c>
      <c r="D4060" s="120" t="str">
        <f>IFERROR(__xludf.DUMMYFUNCTION("""COMPUTED_VALUE"""),"Thailand")</f>
        <v>Thailand</v>
      </c>
      <c r="E4060" s="135"/>
      <c r="F4060" s="31"/>
    </row>
    <row r="4061">
      <c r="A4061" s="134" t="str">
        <f>IFERROR(__xludf.DUMMYFUNCTION("""COMPUTED_VALUE"""),"Khong")</f>
        <v>Khong</v>
      </c>
      <c r="B4061" s="120" t="str">
        <f>IFERROR(__xludf.DUMMYFUNCTION("""COMPUTED_VALUE"""),"KOG")</f>
        <v>KOG</v>
      </c>
      <c r="C4061" s="120" t="str">
        <f>IFERROR(__xludf.DUMMYFUNCTION("""COMPUTED_VALUE"""),"Khong")</f>
        <v>Khong</v>
      </c>
      <c r="D4061" s="120" t="str">
        <f>IFERROR(__xludf.DUMMYFUNCTION("""COMPUTED_VALUE"""),"Laos")</f>
        <v>Laos</v>
      </c>
      <c r="E4061" s="135"/>
      <c r="F4061" s="31"/>
    </row>
    <row r="4062">
      <c r="A4062" s="134" t="str">
        <f>IFERROR(__xludf.DUMMYFUNCTION("""COMPUTED_VALUE"""),"Khorramabad")</f>
        <v>Khorramabad</v>
      </c>
      <c r="B4062" s="120" t="str">
        <f>IFERROR(__xludf.DUMMYFUNCTION("""COMPUTED_VALUE"""),"KHD")</f>
        <v>KHD</v>
      </c>
      <c r="C4062" s="120" t="str">
        <f>IFERROR(__xludf.DUMMYFUNCTION("""COMPUTED_VALUE"""),"Khorramabad")</f>
        <v>Khorramabad</v>
      </c>
      <c r="D4062" s="120" t="str">
        <f>IFERROR(__xludf.DUMMYFUNCTION("""COMPUTED_VALUE"""),"Iran")</f>
        <v>Iran</v>
      </c>
      <c r="E4062" s="135"/>
      <c r="F4062" s="31"/>
    </row>
    <row r="4063">
      <c r="A4063" s="134" t="str">
        <f>IFERROR(__xludf.DUMMYFUNCTION("""COMPUTED_VALUE"""),"Khost")</f>
        <v>Khost</v>
      </c>
      <c r="B4063" s="120" t="str">
        <f>IFERROR(__xludf.DUMMYFUNCTION("""COMPUTED_VALUE"""),"KHT")</f>
        <v>KHT</v>
      </c>
      <c r="C4063" s="120" t="str">
        <f>IFERROR(__xludf.DUMMYFUNCTION("""COMPUTED_VALUE"""),"Khost")</f>
        <v>Khost</v>
      </c>
      <c r="D4063" s="120" t="str">
        <f>IFERROR(__xludf.DUMMYFUNCTION("""COMPUTED_VALUE"""),"Afghanistan")</f>
        <v>Afghanistan</v>
      </c>
      <c r="E4063" s="135"/>
      <c r="F4063" s="31"/>
    </row>
    <row r="4064">
      <c r="A4064" s="134" t="str">
        <f>IFERROR(__xludf.DUMMYFUNCTION("""COMPUTED_VALUE"""),"Khovd")</f>
        <v>Khovd</v>
      </c>
      <c r="B4064" s="120" t="str">
        <f>IFERROR(__xludf.DUMMYFUNCTION("""COMPUTED_VALUE"""),"HVD")</f>
        <v>HVD</v>
      </c>
      <c r="C4064" s="120" t="str">
        <f>IFERROR(__xludf.DUMMYFUNCTION("""COMPUTED_VALUE"""),"Khovd")</f>
        <v>Khovd</v>
      </c>
      <c r="D4064" s="120" t="str">
        <f>IFERROR(__xludf.DUMMYFUNCTION("""COMPUTED_VALUE"""),"Mongolia")</f>
        <v>Mongolia</v>
      </c>
      <c r="E4064" s="135"/>
      <c r="F4064" s="31"/>
    </row>
    <row r="4065">
      <c r="A4065" s="134" t="str">
        <f>IFERROR(__xludf.DUMMYFUNCTION("""COMPUTED_VALUE"""),"Khowai")</f>
        <v>Khowai</v>
      </c>
      <c r="B4065" s="120" t="str">
        <f>IFERROR(__xludf.DUMMYFUNCTION("""COMPUTED_VALUE"""),"IXN")</f>
        <v>IXN</v>
      </c>
      <c r="C4065" s="120" t="str">
        <f>IFERROR(__xludf.DUMMYFUNCTION("""COMPUTED_VALUE"""),"Khowai")</f>
        <v>Khowai</v>
      </c>
      <c r="D4065" s="120" t="str">
        <f>IFERROR(__xludf.DUMMYFUNCTION("""COMPUTED_VALUE"""),"India")</f>
        <v>India</v>
      </c>
      <c r="E4065" s="135"/>
      <c r="F4065" s="31"/>
    </row>
    <row r="4066">
      <c r="A4066" s="134" t="str">
        <f>IFERROR(__xludf.DUMMYFUNCTION("""COMPUTED_VALUE"""),"Khoy")</f>
        <v>Khoy</v>
      </c>
      <c r="B4066" s="120" t="str">
        <f>IFERROR(__xludf.DUMMYFUNCTION("""COMPUTED_VALUE"""),"KHY")</f>
        <v>KHY</v>
      </c>
      <c r="C4066" s="120" t="str">
        <f>IFERROR(__xludf.DUMMYFUNCTION("""COMPUTED_VALUE"""),"Khoy")</f>
        <v>Khoy</v>
      </c>
      <c r="D4066" s="120" t="str">
        <f>IFERROR(__xludf.DUMMYFUNCTION("""COMPUTED_VALUE"""),"Iran")</f>
        <v>Iran</v>
      </c>
      <c r="E4066" s="135"/>
      <c r="F4066" s="31"/>
    </row>
    <row r="4067">
      <c r="A4067" s="134" t="str">
        <f>IFERROR(__xludf.DUMMYFUNCTION("""COMPUTED_VALUE"""),"Khudzhand")</f>
        <v>Khudzhand</v>
      </c>
      <c r="B4067" s="120" t="str">
        <f>IFERROR(__xludf.DUMMYFUNCTION("""COMPUTED_VALUE"""),"LBD")</f>
        <v>LBD</v>
      </c>
      <c r="C4067" s="120" t="str">
        <f>IFERROR(__xludf.DUMMYFUNCTION("""COMPUTED_VALUE"""),"Khudzhand")</f>
        <v>Khudzhand</v>
      </c>
      <c r="D4067" s="120" t="str">
        <f>IFERROR(__xludf.DUMMYFUNCTION("""COMPUTED_VALUE"""),"Tajikistan")</f>
        <v>Tajikistan</v>
      </c>
      <c r="E4067" s="135"/>
      <c r="F4067" s="31"/>
    </row>
    <row r="4068">
      <c r="A4068" s="134" t="str">
        <f>IFERROR(__xludf.DUMMYFUNCTION("""COMPUTED_VALUE"""),"Khujirt")</f>
        <v>Khujirt</v>
      </c>
      <c r="B4068" s="120" t="str">
        <f>IFERROR(__xludf.DUMMYFUNCTION("""COMPUTED_VALUE"""),"HJT")</f>
        <v>HJT</v>
      </c>
      <c r="C4068" s="120" t="str">
        <f>IFERROR(__xludf.DUMMYFUNCTION("""COMPUTED_VALUE"""),"Khujirt")</f>
        <v>Khujirt</v>
      </c>
      <c r="D4068" s="120" t="str">
        <f>IFERROR(__xludf.DUMMYFUNCTION("""COMPUTED_VALUE"""),"Mongolia")</f>
        <v>Mongolia</v>
      </c>
      <c r="E4068" s="135"/>
      <c r="F4068" s="31"/>
    </row>
    <row r="4069">
      <c r="A4069" s="134" t="str">
        <f>IFERROR(__xludf.DUMMYFUNCTION("""COMPUTED_VALUE"""),"Khulna")</f>
        <v>Khulna</v>
      </c>
      <c r="B4069" s="120" t="str">
        <f>IFERROR(__xludf.DUMMYFUNCTION("""COMPUTED_VALUE"""),"KHL")</f>
        <v>KHL</v>
      </c>
      <c r="C4069" s="120" t="str">
        <f>IFERROR(__xludf.DUMMYFUNCTION("""COMPUTED_VALUE"""),"Khulna")</f>
        <v>Khulna</v>
      </c>
      <c r="D4069" s="120" t="str">
        <f>IFERROR(__xludf.DUMMYFUNCTION("""COMPUTED_VALUE"""),"Bangladesh")</f>
        <v>Bangladesh</v>
      </c>
      <c r="E4069" s="135"/>
      <c r="F4069" s="31"/>
    </row>
    <row r="4070">
      <c r="A4070" s="134" t="str">
        <f>IFERROR(__xludf.DUMMYFUNCTION("""COMPUTED_VALUE"""),"Khuzdar")</f>
        <v>Khuzdar</v>
      </c>
      <c r="B4070" s="120" t="str">
        <f>IFERROR(__xludf.DUMMYFUNCTION("""COMPUTED_VALUE"""),"KDD")</f>
        <v>KDD</v>
      </c>
      <c r="C4070" s="120" t="str">
        <f>IFERROR(__xludf.DUMMYFUNCTION("""COMPUTED_VALUE"""),"Khuzdar")</f>
        <v>Khuzdar</v>
      </c>
      <c r="D4070" s="120" t="str">
        <f>IFERROR(__xludf.DUMMYFUNCTION("""COMPUTED_VALUE"""),"Pakistan")</f>
        <v>Pakistan</v>
      </c>
      <c r="E4070" s="135"/>
      <c r="F4070" s="31"/>
    </row>
    <row r="4071">
      <c r="A4071" s="134" t="str">
        <f>IFERROR(__xludf.DUMMYFUNCTION("""COMPUTED_VALUE"""),"Khwahan")</f>
        <v>Khwahan</v>
      </c>
      <c r="B4071" s="120" t="str">
        <f>IFERROR(__xludf.DUMMYFUNCTION("""COMPUTED_VALUE"""),"KWH")</f>
        <v>KWH</v>
      </c>
      <c r="C4071" s="120" t="str">
        <f>IFERROR(__xludf.DUMMYFUNCTION("""COMPUTED_VALUE"""),"Khwahan")</f>
        <v>Khwahan</v>
      </c>
      <c r="D4071" s="120" t="str">
        <f>IFERROR(__xludf.DUMMYFUNCTION("""COMPUTED_VALUE"""),"Afghanistan")</f>
        <v>Afghanistan</v>
      </c>
      <c r="E4071" s="135"/>
      <c r="F4071" s="31"/>
    </row>
    <row r="4072">
      <c r="A4072" s="134" t="str">
        <f>IFERROR(__xludf.DUMMYFUNCTION("""COMPUTED_VALUE"""),"Khwai River Lodge")</f>
        <v>Khwai River Lodge</v>
      </c>
      <c r="B4072" s="120" t="str">
        <f>IFERROR(__xludf.DUMMYFUNCTION("""COMPUTED_VALUE"""),"KHW")</f>
        <v>KHW</v>
      </c>
      <c r="C4072" s="120" t="str">
        <f>IFERROR(__xludf.DUMMYFUNCTION("""COMPUTED_VALUE"""),"Khwai River Lodge")</f>
        <v>Khwai River Lodge</v>
      </c>
      <c r="D4072" s="120" t="str">
        <f>IFERROR(__xludf.DUMMYFUNCTION("""COMPUTED_VALUE"""),"Botswana")</f>
        <v>Botswana</v>
      </c>
      <c r="E4072" s="135"/>
      <c r="F4072" s="31"/>
    </row>
    <row r="4073">
      <c r="A4073" s="134" t="str">
        <f>IFERROR(__xludf.DUMMYFUNCTION("""COMPUTED_VALUE"""),"Kiana")</f>
        <v>Kiana</v>
      </c>
      <c r="B4073" s="120" t="str">
        <f>IFERROR(__xludf.DUMMYFUNCTION("""COMPUTED_VALUE"""),"IAN")</f>
        <v>IAN</v>
      </c>
      <c r="C4073" s="120" t="str">
        <f>IFERROR(__xludf.DUMMYFUNCTION("""COMPUTED_VALUE"""),"Bob Barker Memorial")</f>
        <v>Bob Barker Memorial</v>
      </c>
      <c r="D4073" s="120" t="str">
        <f>IFERROR(__xludf.DUMMYFUNCTION("""COMPUTED_VALUE"""),"United States")</f>
        <v>United States</v>
      </c>
      <c r="E4073" s="135"/>
      <c r="F4073" s="31"/>
    </row>
    <row r="4074">
      <c r="A4074" s="134" t="str">
        <f>IFERROR(__xludf.DUMMYFUNCTION("""COMPUTED_VALUE"""),"Kibuli")</f>
        <v>Kibuli</v>
      </c>
      <c r="B4074" s="120" t="str">
        <f>IFERROR(__xludf.DUMMYFUNCTION("""COMPUTED_VALUE"""),"KII")</f>
        <v>KII</v>
      </c>
      <c r="C4074" s="120" t="str">
        <f>IFERROR(__xludf.DUMMYFUNCTION("""COMPUTED_VALUE"""),"Kibuli")</f>
        <v>Kibuli</v>
      </c>
      <c r="D4074" s="120" t="str">
        <f>IFERROR(__xludf.DUMMYFUNCTION("""COMPUTED_VALUE"""),"Papua New Guinea")</f>
        <v>Papua New Guinea</v>
      </c>
      <c r="E4074" s="135"/>
      <c r="F4074" s="31"/>
    </row>
    <row r="4075">
      <c r="A4075" s="134" t="str">
        <f>IFERROR(__xludf.DUMMYFUNCTION("""COMPUTED_VALUE"""),"Kiel")</f>
        <v>Kiel</v>
      </c>
      <c r="B4075" s="120" t="str">
        <f>IFERROR(__xludf.DUMMYFUNCTION("""COMPUTED_VALUE"""),"KEL")</f>
        <v>KEL</v>
      </c>
      <c r="C4075" s="120" t="str">
        <f>IFERROR(__xludf.DUMMYFUNCTION("""COMPUTED_VALUE"""),"Holtenau")</f>
        <v>Holtenau</v>
      </c>
      <c r="D4075" s="120" t="str">
        <f>IFERROR(__xludf.DUMMYFUNCTION("""COMPUTED_VALUE"""),"Germany")</f>
        <v>Germany</v>
      </c>
      <c r="E4075" s="135"/>
      <c r="F4075" s="31"/>
    </row>
    <row r="4076">
      <c r="A4076" s="134" t="str">
        <f>IFERROR(__xludf.DUMMYFUNCTION("""COMPUTED_VALUE"""),"Kieta")</f>
        <v>Kieta</v>
      </c>
      <c r="B4076" s="120" t="str">
        <f>IFERROR(__xludf.DUMMYFUNCTION("""COMPUTED_VALUE"""),"KIE")</f>
        <v>KIE</v>
      </c>
      <c r="C4076" s="120" t="str">
        <f>IFERROR(__xludf.DUMMYFUNCTION("""COMPUTED_VALUE"""),"Aropa")</f>
        <v>Aropa</v>
      </c>
      <c r="D4076" s="120" t="str">
        <f>IFERROR(__xludf.DUMMYFUNCTION("""COMPUTED_VALUE"""),"Papua New Guinea")</f>
        <v>Papua New Guinea</v>
      </c>
      <c r="E4076" s="135"/>
      <c r="F4076" s="31"/>
    </row>
    <row r="4077">
      <c r="A4077" s="134" t="str">
        <f>IFERROR(__xludf.DUMMYFUNCTION("""COMPUTED_VALUE"""),"Kiev")</f>
        <v>Kiev</v>
      </c>
      <c r="B4077" s="120" t="str">
        <f>IFERROR(__xludf.DUMMYFUNCTION("""COMPUTED_VALUE"""),"KBP")</f>
        <v>KBP</v>
      </c>
      <c r="C4077" s="120" t="str">
        <f>IFERROR(__xludf.DUMMYFUNCTION("""COMPUTED_VALUE"""),"Borispol")</f>
        <v>Borispol</v>
      </c>
      <c r="D4077" s="120" t="str">
        <f>IFERROR(__xludf.DUMMYFUNCTION("""COMPUTED_VALUE"""),"Ukraine")</f>
        <v>Ukraine</v>
      </c>
      <c r="E4077" s="135"/>
      <c r="F4077" s="31"/>
    </row>
    <row r="4078">
      <c r="A4078" s="134" t="str">
        <f>IFERROR(__xludf.DUMMYFUNCTION("""COMPUTED_VALUE"""),"Kiev")</f>
        <v>Kiev</v>
      </c>
      <c r="B4078" s="120" t="str">
        <f>IFERROR(__xludf.DUMMYFUNCTION("""COMPUTED_VALUE"""),"QOF")</f>
        <v>QOF</v>
      </c>
      <c r="C4078" s="120" t="str">
        <f>IFERROR(__xludf.DUMMYFUNCTION("""COMPUTED_VALUE"""),"Darnitsa Bus Station")</f>
        <v>Darnitsa Bus Station</v>
      </c>
      <c r="D4078" s="120" t="str">
        <f>IFERROR(__xludf.DUMMYFUNCTION("""COMPUTED_VALUE"""),"Ukraine")</f>
        <v>Ukraine</v>
      </c>
      <c r="E4078" s="135"/>
      <c r="F4078" s="31"/>
    </row>
    <row r="4079">
      <c r="A4079" s="134" t="str">
        <f>IFERROR(__xludf.DUMMYFUNCTION("""COMPUTED_VALUE"""),"Kiev")</f>
        <v>Kiev</v>
      </c>
      <c r="B4079" s="120" t="str">
        <f>IFERROR(__xludf.DUMMYFUNCTION("""COMPUTED_VALUE"""),"QOH")</f>
        <v>QOH</v>
      </c>
      <c r="C4079" s="120" t="str">
        <f>IFERROR(__xludf.DUMMYFUNCTION("""COMPUTED_VALUE"""),"Hotel Rus Bus Station")</f>
        <v>Hotel Rus Bus Station</v>
      </c>
      <c r="D4079" s="120" t="str">
        <f>IFERROR(__xludf.DUMMYFUNCTION("""COMPUTED_VALUE"""),"Ukraine")</f>
        <v>Ukraine</v>
      </c>
      <c r="E4079" s="135"/>
      <c r="F4079" s="31"/>
    </row>
    <row r="4080">
      <c r="A4080" s="134" t="str">
        <f>IFERROR(__xludf.DUMMYFUNCTION("""COMPUTED_VALUE"""),"Kiev")</f>
        <v>Kiev</v>
      </c>
      <c r="B4080" s="120" t="str">
        <f>IFERROR(__xludf.DUMMYFUNCTION("""COMPUTED_VALUE"""),"IEV")</f>
        <v>IEV</v>
      </c>
      <c r="C4080" s="120" t="str">
        <f>IFERROR(__xludf.DUMMYFUNCTION("""COMPUTED_VALUE"""),"Zhulhany")</f>
        <v>Zhulhany</v>
      </c>
      <c r="D4080" s="120" t="str">
        <f>IFERROR(__xludf.DUMMYFUNCTION("""COMPUTED_VALUE"""),"Ukraine")</f>
        <v>Ukraine</v>
      </c>
      <c r="E4080" s="135"/>
      <c r="F4080" s="31"/>
    </row>
    <row r="4081">
      <c r="A4081" s="134" t="str">
        <f>IFERROR(__xludf.DUMMYFUNCTION("""COMPUTED_VALUE"""),"Kiffa")</f>
        <v>Kiffa</v>
      </c>
      <c r="B4081" s="120" t="str">
        <f>IFERROR(__xludf.DUMMYFUNCTION("""COMPUTED_VALUE"""),"KFA")</f>
        <v>KFA</v>
      </c>
      <c r="C4081" s="120" t="str">
        <f>IFERROR(__xludf.DUMMYFUNCTION("""COMPUTED_VALUE"""),"Kiffa")</f>
        <v>Kiffa</v>
      </c>
      <c r="D4081" s="120" t="str">
        <f>IFERROR(__xludf.DUMMYFUNCTION("""COMPUTED_VALUE"""),"Mauritania")</f>
        <v>Mauritania</v>
      </c>
      <c r="E4081" s="135"/>
      <c r="F4081" s="31"/>
    </row>
    <row r="4082">
      <c r="A4082" s="134" t="str">
        <f>IFERROR(__xludf.DUMMYFUNCTION("""COMPUTED_VALUE"""),"Kigali")</f>
        <v>Kigali</v>
      </c>
      <c r="B4082" s="120" t="str">
        <f>IFERROR(__xludf.DUMMYFUNCTION("""COMPUTED_VALUE"""),"KGL")</f>
        <v>KGL</v>
      </c>
      <c r="C4082" s="120" t="str">
        <f>IFERROR(__xludf.DUMMYFUNCTION("""COMPUTED_VALUE"""),"Gregoire Kayibanda")</f>
        <v>Gregoire Kayibanda</v>
      </c>
      <c r="D4082" s="120" t="str">
        <f>IFERROR(__xludf.DUMMYFUNCTION("""COMPUTED_VALUE"""),"Rwanda")</f>
        <v>Rwanda</v>
      </c>
      <c r="E4082" s="135"/>
      <c r="F4082" s="31"/>
    </row>
    <row r="4083">
      <c r="A4083" s="134" t="str">
        <f>IFERROR(__xludf.DUMMYFUNCTION("""COMPUTED_VALUE"""),"Kigoma")</f>
        <v>Kigoma</v>
      </c>
      <c r="B4083" s="120" t="str">
        <f>IFERROR(__xludf.DUMMYFUNCTION("""COMPUTED_VALUE"""),"TKQ")</f>
        <v>TKQ</v>
      </c>
      <c r="C4083" s="120" t="str">
        <f>IFERROR(__xludf.DUMMYFUNCTION("""COMPUTED_VALUE"""),"Kigoma")</f>
        <v>Kigoma</v>
      </c>
      <c r="D4083" s="120" t="str">
        <f>IFERROR(__xludf.DUMMYFUNCTION("""COMPUTED_VALUE"""),"Tanzania")</f>
        <v>Tanzania</v>
      </c>
      <c r="E4083" s="135"/>
      <c r="F4083" s="31"/>
    </row>
    <row r="4084">
      <c r="A4084" s="134" t="str">
        <f>IFERROR(__xludf.DUMMYFUNCTION("""COMPUTED_VALUE"""),"Kikaiga Shima")</f>
        <v>Kikaiga Shima</v>
      </c>
      <c r="B4084" s="120" t="str">
        <f>IFERROR(__xludf.DUMMYFUNCTION("""COMPUTED_VALUE"""),"KKX")</f>
        <v>KKX</v>
      </c>
      <c r="C4084" s="120" t="str">
        <f>IFERROR(__xludf.DUMMYFUNCTION("""COMPUTED_VALUE"""),"Kikaiga Shima")</f>
        <v>Kikaiga Shima</v>
      </c>
      <c r="D4084" s="120" t="str">
        <f>IFERROR(__xludf.DUMMYFUNCTION("""COMPUTED_VALUE"""),"Japan")</f>
        <v>Japan</v>
      </c>
      <c r="E4084" s="135"/>
      <c r="F4084" s="31"/>
    </row>
    <row r="4085">
      <c r="A4085" s="134" t="str">
        <f>IFERROR(__xludf.DUMMYFUNCTION("""COMPUTED_VALUE"""),"Kikinonda")</f>
        <v>Kikinonda</v>
      </c>
      <c r="B4085" s="120" t="str">
        <f>IFERROR(__xludf.DUMMYFUNCTION("""COMPUTED_VALUE"""),"KIZ")</f>
        <v>KIZ</v>
      </c>
      <c r="C4085" s="120" t="str">
        <f>IFERROR(__xludf.DUMMYFUNCTION("""COMPUTED_VALUE"""),"Kikinonda")</f>
        <v>Kikinonda</v>
      </c>
      <c r="D4085" s="120" t="str">
        <f>IFERROR(__xludf.DUMMYFUNCTION("""COMPUTED_VALUE"""),"Papua New Guinea")</f>
        <v>Papua New Guinea</v>
      </c>
      <c r="E4085" s="135"/>
      <c r="F4085" s="31"/>
    </row>
    <row r="4086">
      <c r="A4086" s="134" t="str">
        <f>IFERROR(__xludf.DUMMYFUNCTION("""COMPUTED_VALUE"""),"Kikori")</f>
        <v>Kikori</v>
      </c>
      <c r="B4086" s="120" t="str">
        <f>IFERROR(__xludf.DUMMYFUNCTION("""COMPUTED_VALUE"""),"KRI")</f>
        <v>KRI</v>
      </c>
      <c r="C4086" s="120" t="str">
        <f>IFERROR(__xludf.DUMMYFUNCTION("""COMPUTED_VALUE"""),"Kikori")</f>
        <v>Kikori</v>
      </c>
      <c r="D4086" s="120" t="str">
        <f>IFERROR(__xludf.DUMMYFUNCTION("""COMPUTED_VALUE"""),"Papua New Guinea")</f>
        <v>Papua New Guinea</v>
      </c>
      <c r="E4086" s="135"/>
      <c r="F4086" s="31"/>
    </row>
    <row r="4087">
      <c r="A4087" s="134" t="str">
        <f>IFERROR(__xludf.DUMMYFUNCTION("""COMPUTED_VALUE"""),"Kikwit")</f>
        <v>Kikwit</v>
      </c>
      <c r="B4087" s="120" t="str">
        <f>IFERROR(__xludf.DUMMYFUNCTION("""COMPUTED_VALUE"""),"KKW")</f>
        <v>KKW</v>
      </c>
      <c r="C4087" s="120" t="str">
        <f>IFERROR(__xludf.DUMMYFUNCTION("""COMPUTED_VALUE"""),"Kikwit")</f>
        <v>Kikwit</v>
      </c>
      <c r="D4087" s="120" t="str">
        <f>IFERROR(__xludf.DUMMYFUNCTION("""COMPUTED_VALUE"""),"Zaire")</f>
        <v>Zaire</v>
      </c>
      <c r="E4087" s="135"/>
      <c r="F4087" s="31"/>
    </row>
    <row r="4088">
      <c r="A4088" s="134" t="str">
        <f>IFERROR(__xludf.DUMMYFUNCTION("""COMPUTED_VALUE"""),"Kilaguni")</f>
        <v>Kilaguni</v>
      </c>
      <c r="B4088" s="120" t="str">
        <f>IFERROR(__xludf.DUMMYFUNCTION("""COMPUTED_VALUE"""),"ILU")</f>
        <v>ILU</v>
      </c>
      <c r="C4088" s="120" t="str">
        <f>IFERROR(__xludf.DUMMYFUNCTION("""COMPUTED_VALUE"""),"Kilaguni")</f>
        <v>Kilaguni</v>
      </c>
      <c r="D4088" s="120" t="str">
        <f>IFERROR(__xludf.DUMMYFUNCTION("""COMPUTED_VALUE"""),"Kenya")</f>
        <v>Kenya</v>
      </c>
      <c r="E4088" s="135"/>
      <c r="F4088" s="31"/>
    </row>
    <row r="4089">
      <c r="A4089" s="134" t="str">
        <f>IFERROR(__xludf.DUMMYFUNCTION("""COMPUTED_VALUE"""),"Kilgore")</f>
        <v>Kilgore</v>
      </c>
      <c r="B4089" s="120" t="str">
        <f>IFERROR(__xludf.DUMMYFUNCTION("""COMPUTED_VALUE"""),"GGG")</f>
        <v>GGG</v>
      </c>
      <c r="C4089" s="120" t="str">
        <f>IFERROR(__xludf.DUMMYFUNCTION("""COMPUTED_VALUE"""),"Kilgore")</f>
        <v>Kilgore</v>
      </c>
      <c r="D4089" s="120" t="str">
        <f>IFERROR(__xludf.DUMMYFUNCTION("""COMPUTED_VALUE"""),"United States")</f>
        <v>United States</v>
      </c>
      <c r="E4089" s="135"/>
      <c r="F4089" s="31"/>
    </row>
    <row r="4090">
      <c r="A4090" s="134" t="str">
        <f>IFERROR(__xludf.DUMMYFUNCTION("""COMPUTED_VALUE"""),"Kili Island")</f>
        <v>Kili Island</v>
      </c>
      <c r="B4090" s="120" t="str">
        <f>IFERROR(__xludf.DUMMYFUNCTION("""COMPUTED_VALUE"""),"KIO")</f>
        <v>KIO</v>
      </c>
      <c r="C4090" s="120" t="str">
        <f>IFERROR(__xludf.DUMMYFUNCTION("""COMPUTED_VALUE"""),"Kili Island")</f>
        <v>Kili Island</v>
      </c>
      <c r="D4090" s="120" t="str">
        <f>IFERROR(__xludf.DUMMYFUNCTION("""COMPUTED_VALUE"""),"Marshall Islands")</f>
        <v>Marshall Islands</v>
      </c>
      <c r="E4090" s="135"/>
      <c r="F4090" s="31"/>
    </row>
    <row r="4091">
      <c r="A4091" s="134" t="str">
        <f>IFERROR(__xludf.DUMMYFUNCTION("""COMPUTED_VALUE"""),"Kilimanjaro")</f>
        <v>Kilimanjaro</v>
      </c>
      <c r="B4091" s="120" t="str">
        <f>IFERROR(__xludf.DUMMYFUNCTION("""COMPUTED_VALUE"""),"JRO")</f>
        <v>JRO</v>
      </c>
      <c r="C4091" s="120" t="str">
        <f>IFERROR(__xludf.DUMMYFUNCTION("""COMPUTED_VALUE"""),"Kilimanjaro")</f>
        <v>Kilimanjaro</v>
      </c>
      <c r="D4091" s="120" t="str">
        <f>IFERROR(__xludf.DUMMYFUNCTION("""COMPUTED_VALUE"""),"Tanzania")</f>
        <v>Tanzania</v>
      </c>
      <c r="E4091" s="135"/>
      <c r="F4091" s="31"/>
    </row>
    <row r="4092">
      <c r="A4092" s="134" t="str">
        <f>IFERROR(__xludf.DUMMYFUNCTION("""COMPUTED_VALUE"""),"Kilkenny")</f>
        <v>Kilkenny</v>
      </c>
      <c r="B4092" s="120" t="str">
        <f>IFERROR(__xludf.DUMMYFUNCTION("""COMPUTED_VALUE"""),"KKY")</f>
        <v>KKY</v>
      </c>
      <c r="C4092" s="120" t="str">
        <f>IFERROR(__xludf.DUMMYFUNCTION("""COMPUTED_VALUE"""),"Kilkenny")</f>
        <v>Kilkenny</v>
      </c>
      <c r="D4092" s="120" t="str">
        <f>IFERROR(__xludf.DUMMYFUNCTION("""COMPUTED_VALUE"""),"Ireland")</f>
        <v>Ireland</v>
      </c>
      <c r="E4092" s="135"/>
      <c r="F4092" s="31"/>
    </row>
    <row r="4093">
      <c r="A4093" s="134" t="str">
        <f>IFERROR(__xludf.DUMMYFUNCTION("""COMPUTED_VALUE"""),"Kill Devil Hills")</f>
        <v>Kill Devil Hills</v>
      </c>
      <c r="B4093" s="120" t="str">
        <f>IFERROR(__xludf.DUMMYFUNCTION("""COMPUTED_VALUE"""),"FFA")</f>
        <v>FFA</v>
      </c>
      <c r="C4093" s="120" t="str">
        <f>IFERROR(__xludf.DUMMYFUNCTION("""COMPUTED_VALUE"""),"First Flight")</f>
        <v>First Flight</v>
      </c>
      <c r="D4093" s="120" t="str">
        <f>IFERROR(__xludf.DUMMYFUNCTION("""COMPUTED_VALUE"""),"United States")</f>
        <v>United States</v>
      </c>
      <c r="E4093" s="135"/>
      <c r="F4093" s="31"/>
    </row>
    <row r="4094">
      <c r="A4094" s="134" t="str">
        <f>IFERROR(__xludf.DUMMYFUNCTION("""COMPUTED_VALUE"""),"Killaloe")</f>
        <v>Killaloe</v>
      </c>
      <c r="B4094" s="120" t="str">
        <f>IFERROR(__xludf.DUMMYFUNCTION("""COMPUTED_VALUE"""),"YXI")</f>
        <v>YXI</v>
      </c>
      <c r="C4094" s="120" t="str">
        <f>IFERROR(__xludf.DUMMYFUNCTION("""COMPUTED_VALUE"""),"Killaloe")</f>
        <v>Killaloe</v>
      </c>
      <c r="D4094" s="120" t="str">
        <f>IFERROR(__xludf.DUMMYFUNCTION("""COMPUTED_VALUE"""),"Canada")</f>
        <v>Canada</v>
      </c>
      <c r="E4094" s="135"/>
      <c r="F4094" s="31"/>
    </row>
    <row r="4095">
      <c r="A4095" s="134" t="str">
        <f>IFERROR(__xludf.DUMMYFUNCTION("""COMPUTED_VALUE"""),"Killeen")</f>
        <v>Killeen</v>
      </c>
      <c r="B4095" s="120" t="str">
        <f>IFERROR(__xludf.DUMMYFUNCTION("""COMPUTED_VALUE"""),"HLR")</f>
        <v>HLR</v>
      </c>
      <c r="C4095" s="120" t="str">
        <f>IFERROR(__xludf.DUMMYFUNCTION("""COMPUTED_VALUE"""),"Fort Hood AAF")</f>
        <v>Fort Hood AAF</v>
      </c>
      <c r="D4095" s="120" t="str">
        <f>IFERROR(__xludf.DUMMYFUNCTION("""COMPUTED_VALUE"""),"United States")</f>
        <v>United States</v>
      </c>
      <c r="E4095" s="135"/>
      <c r="F4095" s="31"/>
    </row>
    <row r="4096">
      <c r="A4096" s="134" t="str">
        <f>IFERROR(__xludf.DUMMYFUNCTION("""COMPUTED_VALUE"""),"Killeen")</f>
        <v>Killeen</v>
      </c>
      <c r="B4096" s="120" t="str">
        <f>IFERROR(__xludf.DUMMYFUNCTION("""COMPUTED_VALUE"""),"GRK")</f>
        <v>GRK</v>
      </c>
      <c r="C4096" s="120" t="str">
        <f>IFERROR(__xludf.DUMMYFUNCTION("""COMPUTED_VALUE"""),"Gray AAF")</f>
        <v>Gray AAF</v>
      </c>
      <c r="D4096" s="120" t="str">
        <f>IFERROR(__xludf.DUMMYFUNCTION("""COMPUTED_VALUE"""),"United States")</f>
        <v>United States</v>
      </c>
      <c r="E4096" s="135"/>
      <c r="F4096" s="31"/>
    </row>
    <row r="4097">
      <c r="A4097" s="134" t="str">
        <f>IFERROR(__xludf.DUMMYFUNCTION("""COMPUTED_VALUE"""),"Killeen")</f>
        <v>Killeen</v>
      </c>
      <c r="B4097" s="120" t="str">
        <f>IFERROR(__xludf.DUMMYFUNCTION("""COMPUTED_VALUE"""),"ILE")</f>
        <v>ILE</v>
      </c>
      <c r="C4097" s="120" t="str">
        <f>IFERROR(__xludf.DUMMYFUNCTION("""COMPUTED_VALUE"""),"Municipal")</f>
        <v>Municipal</v>
      </c>
      <c r="D4097" s="120" t="str">
        <f>IFERROR(__xludf.DUMMYFUNCTION("""COMPUTED_VALUE"""),"United States")</f>
        <v>United States</v>
      </c>
      <c r="E4097" s="135"/>
      <c r="F4097" s="31"/>
    </row>
    <row r="4098">
      <c r="A4098" s="134" t="str">
        <f>IFERROR(__xludf.DUMMYFUNCTION("""COMPUTED_VALUE"""),"Killineq")</f>
        <v>Killineq</v>
      </c>
      <c r="B4098" s="120" t="str">
        <f>IFERROR(__xludf.DUMMYFUNCTION("""COMPUTED_VALUE"""),"XBW")</f>
        <v>XBW</v>
      </c>
      <c r="C4098" s="120" t="str">
        <f>IFERROR(__xludf.DUMMYFUNCTION("""COMPUTED_VALUE"""),"Killineq")</f>
        <v>Killineq</v>
      </c>
      <c r="D4098" s="120" t="str">
        <f>IFERROR(__xludf.DUMMYFUNCTION("""COMPUTED_VALUE"""),"Canada")</f>
        <v>Canada</v>
      </c>
      <c r="E4098" s="135"/>
      <c r="F4098" s="31"/>
    </row>
    <row r="4099">
      <c r="A4099" s="134" t="str">
        <f>IFERROR(__xludf.DUMMYFUNCTION("""COMPUTED_VALUE"""),"Kilwa")</f>
        <v>Kilwa</v>
      </c>
      <c r="B4099" s="120" t="str">
        <f>IFERROR(__xludf.DUMMYFUNCTION("""COMPUTED_VALUE"""),"KIL")</f>
        <v>KIL</v>
      </c>
      <c r="C4099" s="120" t="str">
        <f>IFERROR(__xludf.DUMMYFUNCTION("""COMPUTED_VALUE"""),"Kilwa")</f>
        <v>Kilwa</v>
      </c>
      <c r="D4099" s="120" t="str">
        <f>IFERROR(__xludf.DUMMYFUNCTION("""COMPUTED_VALUE"""),"Zaire")</f>
        <v>Zaire</v>
      </c>
      <c r="E4099" s="135"/>
      <c r="F4099" s="31"/>
    </row>
    <row r="4100">
      <c r="A4100" s="134" t="str">
        <f>IFERROR(__xludf.DUMMYFUNCTION("""COMPUTED_VALUE"""),"Kilwa")</f>
        <v>Kilwa</v>
      </c>
      <c r="B4100" s="120" t="str">
        <f>IFERROR(__xludf.DUMMYFUNCTION("""COMPUTED_VALUE"""),"KIY")</f>
        <v>KIY</v>
      </c>
      <c r="C4100" s="120" t="str">
        <f>IFERROR(__xludf.DUMMYFUNCTION("""COMPUTED_VALUE"""),"Kilwa")</f>
        <v>Kilwa</v>
      </c>
      <c r="D4100" s="120" t="str">
        <f>IFERROR(__xludf.DUMMYFUNCTION("""COMPUTED_VALUE"""),"Tanzania")</f>
        <v>Tanzania</v>
      </c>
      <c r="E4100" s="135"/>
      <c r="F4100" s="31"/>
    </row>
    <row r="4101">
      <c r="A4101" s="134" t="str">
        <f>IFERROR(__xludf.DUMMYFUNCTION("""COMPUTED_VALUE"""),"Kimam")</f>
        <v>Kimam</v>
      </c>
      <c r="B4101" s="120" t="str">
        <f>IFERROR(__xludf.DUMMYFUNCTION("""COMPUTED_VALUE"""),"KMM")</f>
        <v>KMM</v>
      </c>
      <c r="C4101" s="120" t="str">
        <f>IFERROR(__xludf.DUMMYFUNCTION("""COMPUTED_VALUE"""),"Kimam")</f>
        <v>Kimam</v>
      </c>
      <c r="D4101" s="120" t="str">
        <f>IFERROR(__xludf.DUMMYFUNCTION("""COMPUTED_VALUE"""),"Indonesia")</f>
        <v>Indonesia</v>
      </c>
      <c r="E4101" s="135"/>
      <c r="F4101" s="31"/>
    </row>
    <row r="4102">
      <c r="A4102" s="134" t="str">
        <f>IFERROR(__xludf.DUMMYFUNCTION("""COMPUTED_VALUE"""),"Kimberley")</f>
        <v>Kimberley</v>
      </c>
      <c r="B4102" s="120" t="str">
        <f>IFERROR(__xludf.DUMMYFUNCTION("""COMPUTED_VALUE"""),"YQE")</f>
        <v>YQE</v>
      </c>
      <c r="C4102" s="120" t="str">
        <f>IFERROR(__xludf.DUMMYFUNCTION("""COMPUTED_VALUE"""),"Kimberley")</f>
        <v>Kimberley</v>
      </c>
      <c r="D4102" s="120" t="str">
        <f>IFERROR(__xludf.DUMMYFUNCTION("""COMPUTED_VALUE"""),"Canada")</f>
        <v>Canada</v>
      </c>
      <c r="E4102" s="135"/>
      <c r="F4102" s="31"/>
    </row>
    <row r="4103">
      <c r="A4103" s="134" t="str">
        <f>IFERROR(__xludf.DUMMYFUNCTION("""COMPUTED_VALUE"""),"Kimberley")</f>
        <v>Kimberley</v>
      </c>
      <c r="B4103" s="120" t="str">
        <f>IFERROR(__xludf.DUMMYFUNCTION("""COMPUTED_VALUE"""),"KIM")</f>
        <v>KIM</v>
      </c>
      <c r="C4103" s="120" t="str">
        <f>IFERROR(__xludf.DUMMYFUNCTION("""COMPUTED_VALUE"""),"Kimberley")</f>
        <v>Kimberley</v>
      </c>
      <c r="D4103" s="120" t="str">
        <f>IFERROR(__xludf.DUMMYFUNCTION("""COMPUTED_VALUE"""),"South Africa")</f>
        <v>South Africa</v>
      </c>
      <c r="E4103" s="135"/>
      <c r="F4103" s="31"/>
    </row>
    <row r="4104">
      <c r="A4104" s="134" t="str">
        <f>IFERROR(__xludf.DUMMYFUNCTION("""COMPUTED_VALUE"""),"Kimberley Downs")</f>
        <v>Kimberley Downs</v>
      </c>
      <c r="B4104" s="120" t="str">
        <f>IFERROR(__xludf.DUMMYFUNCTION("""COMPUTED_VALUE"""),"KBD")</f>
        <v>KBD</v>
      </c>
      <c r="C4104" s="120" t="str">
        <f>IFERROR(__xludf.DUMMYFUNCTION("""COMPUTED_VALUE"""),"Kimberley Downs")</f>
        <v>Kimberley Downs</v>
      </c>
      <c r="D4104" s="120" t="str">
        <f>IFERROR(__xludf.DUMMYFUNCTION("""COMPUTED_VALUE"""),"Australia")</f>
        <v>Australia</v>
      </c>
      <c r="E4104" s="135"/>
      <c r="F4104" s="31"/>
    </row>
    <row r="4105">
      <c r="A4105" s="134" t="str">
        <f>IFERROR(__xludf.DUMMYFUNCTION("""COMPUTED_VALUE"""),"Kimmirut/Lake Harbour")</f>
        <v>Kimmirut/Lake Harbour</v>
      </c>
      <c r="B4105" s="120" t="str">
        <f>IFERROR(__xludf.DUMMYFUNCTION("""COMPUTED_VALUE"""),"YLC")</f>
        <v>YLC</v>
      </c>
      <c r="C4105" s="120" t="str">
        <f>IFERROR(__xludf.DUMMYFUNCTION("""COMPUTED_VALUE"""),"Kimmirut")</f>
        <v>Kimmirut</v>
      </c>
      <c r="D4105" s="120" t="str">
        <f>IFERROR(__xludf.DUMMYFUNCTION("""COMPUTED_VALUE"""),"Canada")</f>
        <v>Canada</v>
      </c>
      <c r="E4105" s="135"/>
      <c r="F4105" s="31"/>
    </row>
    <row r="4106">
      <c r="A4106" s="134" t="str">
        <f>IFERROR(__xludf.DUMMYFUNCTION("""COMPUTED_VALUE"""),"Kincardine")</f>
        <v>Kincardine</v>
      </c>
      <c r="B4106" s="120" t="str">
        <f>IFERROR(__xludf.DUMMYFUNCTION("""COMPUTED_VALUE"""),"YKD")</f>
        <v>YKD</v>
      </c>
      <c r="C4106" s="120" t="str">
        <f>IFERROR(__xludf.DUMMYFUNCTION("""COMPUTED_VALUE"""),"Township Airport")</f>
        <v>Township Airport</v>
      </c>
      <c r="D4106" s="120" t="str">
        <f>IFERROR(__xludf.DUMMYFUNCTION("""COMPUTED_VALUE"""),"Canada")</f>
        <v>Canada</v>
      </c>
      <c r="E4106" s="135"/>
      <c r="F4106" s="31"/>
    </row>
    <row r="4107">
      <c r="A4107" s="134" t="str">
        <f>IFERROR(__xludf.DUMMYFUNCTION("""COMPUTED_VALUE"""),"Kindamba")</f>
        <v>Kindamba</v>
      </c>
      <c r="B4107" s="120" t="str">
        <f>IFERROR(__xludf.DUMMYFUNCTION("""COMPUTED_VALUE"""),"KNJ")</f>
        <v>KNJ</v>
      </c>
      <c r="C4107" s="120" t="str">
        <f>IFERROR(__xludf.DUMMYFUNCTION("""COMPUTED_VALUE"""),"Kindamba")</f>
        <v>Kindamba</v>
      </c>
      <c r="D4107" s="120" t="str">
        <f>IFERROR(__xludf.DUMMYFUNCTION("""COMPUTED_VALUE"""),"Congo")</f>
        <v>Congo</v>
      </c>
      <c r="E4107" s="135"/>
      <c r="F4107" s="31"/>
    </row>
    <row r="4108">
      <c r="A4108" s="134" t="str">
        <f>IFERROR(__xludf.DUMMYFUNCTION("""COMPUTED_VALUE"""),"Kindersley")</f>
        <v>Kindersley</v>
      </c>
      <c r="B4108" s="120" t="str">
        <f>IFERROR(__xludf.DUMMYFUNCTION("""COMPUTED_VALUE"""),"YKY")</f>
        <v>YKY</v>
      </c>
      <c r="C4108" s="120" t="str">
        <f>IFERROR(__xludf.DUMMYFUNCTION("""COMPUTED_VALUE"""),"Kindersley")</f>
        <v>Kindersley</v>
      </c>
      <c r="D4108" s="120" t="str">
        <f>IFERROR(__xludf.DUMMYFUNCTION("""COMPUTED_VALUE"""),"Canada")</f>
        <v>Canada</v>
      </c>
      <c r="E4108" s="135"/>
      <c r="F4108" s="31"/>
    </row>
    <row r="4109">
      <c r="A4109" s="134" t="str">
        <f>IFERROR(__xludf.DUMMYFUNCTION("""COMPUTED_VALUE"""),"Kindu")</f>
        <v>Kindu</v>
      </c>
      <c r="B4109" s="120" t="str">
        <f>IFERROR(__xludf.DUMMYFUNCTION("""COMPUTED_VALUE"""),"KND")</f>
        <v>KND</v>
      </c>
      <c r="C4109" s="120" t="str">
        <f>IFERROR(__xludf.DUMMYFUNCTION("""COMPUTED_VALUE"""),"Kindu")</f>
        <v>Kindu</v>
      </c>
      <c r="D4109" s="120" t="str">
        <f>IFERROR(__xludf.DUMMYFUNCTION("""COMPUTED_VALUE"""),"Zaire")</f>
        <v>Zaire</v>
      </c>
      <c r="E4109" s="135"/>
      <c r="F4109" s="31"/>
    </row>
    <row r="4110">
      <c r="A4110" s="134" t="str">
        <f>IFERROR(__xludf.DUMMYFUNCTION("""COMPUTED_VALUE"""),"King City")</f>
        <v>King City</v>
      </c>
      <c r="B4110" s="120" t="str">
        <f>IFERROR(__xludf.DUMMYFUNCTION("""COMPUTED_VALUE"""),"KIC")</f>
        <v>KIC</v>
      </c>
      <c r="C4110" s="120" t="str">
        <f>IFERROR(__xludf.DUMMYFUNCTION("""COMPUTED_VALUE"""),"Mesa Del Rey")</f>
        <v>Mesa Del Rey</v>
      </c>
      <c r="D4110" s="120" t="str">
        <f>IFERROR(__xludf.DUMMYFUNCTION("""COMPUTED_VALUE"""),"United States")</f>
        <v>United States</v>
      </c>
      <c r="E4110" s="135"/>
      <c r="F4110" s="31"/>
    </row>
    <row r="4111">
      <c r="A4111" s="134" t="str">
        <f>IFERROR(__xludf.DUMMYFUNCTION("""COMPUTED_VALUE"""),"King Cove")</f>
        <v>King Cove</v>
      </c>
      <c r="B4111" s="120" t="str">
        <f>IFERROR(__xludf.DUMMYFUNCTION("""COMPUTED_VALUE"""),"KVC")</f>
        <v>KVC</v>
      </c>
      <c r="C4111" s="120" t="str">
        <f>IFERROR(__xludf.DUMMYFUNCTION("""COMPUTED_VALUE"""),"King Cove")</f>
        <v>King Cove</v>
      </c>
      <c r="D4111" s="120" t="str">
        <f>IFERROR(__xludf.DUMMYFUNCTION("""COMPUTED_VALUE"""),"United States")</f>
        <v>United States</v>
      </c>
      <c r="E4111" s="135"/>
      <c r="F4111" s="31"/>
    </row>
    <row r="4112">
      <c r="A4112" s="134" t="str">
        <f>IFERROR(__xludf.DUMMYFUNCTION("""COMPUTED_VALUE"""),"King Island")</f>
        <v>King Island</v>
      </c>
      <c r="B4112" s="120" t="str">
        <f>IFERROR(__xludf.DUMMYFUNCTION("""COMPUTED_VALUE"""),"KNS")</f>
        <v>KNS</v>
      </c>
      <c r="C4112" s="120" t="str">
        <f>IFERROR(__xludf.DUMMYFUNCTION("""COMPUTED_VALUE"""),"King Island")</f>
        <v>King Island</v>
      </c>
      <c r="D4112" s="120" t="str">
        <f>IFERROR(__xludf.DUMMYFUNCTION("""COMPUTED_VALUE"""),"TASMANIA""")</f>
        <v>TASMANIA"</v>
      </c>
      <c r="E4112" s="135"/>
      <c r="F4112" s="31"/>
    </row>
    <row r="4113">
      <c r="A4113" s="134" t="str">
        <f>IFERROR(__xludf.DUMMYFUNCTION("""COMPUTED_VALUE"""),"King Khalid Mil. City")</f>
        <v>King Khalid Mil. City</v>
      </c>
      <c r="B4113" s="120" t="str">
        <f>IFERROR(__xludf.DUMMYFUNCTION("""COMPUTED_VALUE"""),"KMC")</f>
        <v>KMC</v>
      </c>
      <c r="C4113" s="120" t="str">
        <f>IFERROR(__xludf.DUMMYFUNCTION("""COMPUTED_VALUE"""),"King Khalid Military")</f>
        <v>King Khalid Military</v>
      </c>
      <c r="D4113" s="120" t="str">
        <f>IFERROR(__xludf.DUMMYFUNCTION("""COMPUTED_VALUE"""),"United States")</f>
        <v>United States</v>
      </c>
      <c r="E4113" s="135"/>
      <c r="F4113" s="31"/>
    </row>
    <row r="4114">
      <c r="A4114" s="134" t="str">
        <f>IFERROR(__xludf.DUMMYFUNCTION("""COMPUTED_VALUE"""),"King Of Prussia")</f>
        <v>King Of Prussia</v>
      </c>
      <c r="B4114" s="120" t="str">
        <f>IFERROR(__xludf.DUMMYFUNCTION("""COMPUTED_VALUE"""),"KPD")</f>
        <v>KPD</v>
      </c>
      <c r="C4114" s="120" t="str">
        <f>IFERROR(__xludf.DUMMYFUNCTION("""COMPUTED_VALUE"""),"King Of Prussia")</f>
        <v>King Of Prussia</v>
      </c>
      <c r="D4114" s="120" t="str">
        <f>IFERROR(__xludf.DUMMYFUNCTION("""COMPUTED_VALUE"""),"United States")</f>
        <v>United States</v>
      </c>
      <c r="E4114" s="135"/>
      <c r="F4114" s="31"/>
    </row>
    <row r="4115">
      <c r="A4115" s="134" t="str">
        <f>IFERROR(__xludf.DUMMYFUNCTION("""COMPUTED_VALUE"""),"King Salmon")</f>
        <v>King Salmon</v>
      </c>
      <c r="B4115" s="120" t="str">
        <f>IFERROR(__xludf.DUMMYFUNCTION("""COMPUTED_VALUE"""),"AKN")</f>
        <v>AKN</v>
      </c>
      <c r="C4115" s="120" t="str">
        <f>IFERROR(__xludf.DUMMYFUNCTION("""COMPUTED_VALUE"""),"King Salmon")</f>
        <v>King Salmon</v>
      </c>
      <c r="D4115" s="120" t="str">
        <f>IFERROR(__xludf.DUMMYFUNCTION("""COMPUTED_VALUE"""),"United States")</f>
        <v>United States</v>
      </c>
      <c r="E4115" s="135"/>
      <c r="F4115" s="31"/>
    </row>
    <row r="4116">
      <c r="A4116" s="134" t="str">
        <f>IFERROR(__xludf.DUMMYFUNCTION("""COMPUTED_VALUE"""),"Kingaroy")</f>
        <v>Kingaroy</v>
      </c>
      <c r="B4116" s="120" t="str">
        <f>IFERROR(__xludf.DUMMYFUNCTION("""COMPUTED_VALUE"""),"KGY")</f>
        <v>KGY</v>
      </c>
      <c r="C4116" s="120" t="str">
        <f>IFERROR(__xludf.DUMMYFUNCTION("""COMPUTED_VALUE"""),"Kingaroy")</f>
        <v>Kingaroy</v>
      </c>
      <c r="D4116" s="120" t="str">
        <f>IFERROR(__xludf.DUMMYFUNCTION("""COMPUTED_VALUE"""),"Australia")</f>
        <v>Australia</v>
      </c>
      <c r="E4116" s="135"/>
      <c r="F4116" s="31"/>
    </row>
    <row r="4117">
      <c r="A4117" s="134" t="str">
        <f>IFERROR(__xludf.DUMMYFUNCTION("""COMPUTED_VALUE"""),"Kingfisher Lake")</f>
        <v>Kingfisher Lake</v>
      </c>
      <c r="B4117" s="120" t="str">
        <f>IFERROR(__xludf.DUMMYFUNCTION("""COMPUTED_VALUE"""),"KIF")</f>
        <v>KIF</v>
      </c>
      <c r="C4117" s="120" t="str">
        <f>IFERROR(__xludf.DUMMYFUNCTION("""COMPUTED_VALUE"""),"Kingfisher Lake")</f>
        <v>Kingfisher Lake</v>
      </c>
      <c r="D4117" s="120" t="str">
        <f>IFERROR(__xludf.DUMMYFUNCTION("""COMPUTED_VALUE"""),"Canada")</f>
        <v>Canada</v>
      </c>
      <c r="E4117" s="135"/>
      <c r="F4117" s="31"/>
    </row>
    <row r="4118">
      <c r="A4118" s="134" t="str">
        <f>IFERROR(__xludf.DUMMYFUNCTION("""COMPUTED_VALUE"""),"Kingman")</f>
        <v>Kingman</v>
      </c>
      <c r="B4118" s="120" t="str">
        <f>IFERROR(__xludf.DUMMYFUNCTION("""COMPUTED_VALUE"""),"IGM")</f>
        <v>IGM</v>
      </c>
      <c r="C4118" s="120" t="str">
        <f>IFERROR(__xludf.DUMMYFUNCTION("""COMPUTED_VALUE"""),"Kingman")</f>
        <v>Kingman</v>
      </c>
      <c r="D4118" s="120" t="str">
        <f>IFERROR(__xludf.DUMMYFUNCTION("""COMPUTED_VALUE"""),"United States")</f>
        <v>United States</v>
      </c>
      <c r="E4118" s="135"/>
      <c r="F4118" s="31"/>
    </row>
    <row r="4119">
      <c r="A4119" s="134" t="str">
        <f>IFERROR(__xludf.DUMMYFUNCTION("""COMPUTED_VALUE"""),"Kings Canyon")</f>
        <v>Kings Canyon</v>
      </c>
      <c r="B4119" s="120" t="str">
        <f>IFERROR(__xludf.DUMMYFUNCTION("""COMPUTED_VALUE"""),"KBJ")</f>
        <v>KBJ</v>
      </c>
      <c r="C4119" s="120" t="str">
        <f>IFERROR(__xludf.DUMMYFUNCTION("""COMPUTED_VALUE"""),"King Canyon")</f>
        <v>King Canyon</v>
      </c>
      <c r="D4119" s="120" t="str">
        <f>IFERROR(__xludf.DUMMYFUNCTION("""COMPUTED_VALUE"""),"Australia")</f>
        <v>Australia</v>
      </c>
      <c r="E4119" s="135"/>
      <c r="F4119" s="31"/>
    </row>
    <row r="4120">
      <c r="A4120" s="134" t="str">
        <f>IFERROR(__xludf.DUMMYFUNCTION("""COMPUTED_VALUE"""),"Kings Creek Station")</f>
        <v>Kings Creek Station</v>
      </c>
      <c r="B4120" s="120" t="str">
        <f>IFERROR(__xludf.DUMMYFUNCTION("""COMPUTED_VALUE"""),"KCS")</f>
        <v>KCS</v>
      </c>
      <c r="C4120" s="120" t="str">
        <f>IFERROR(__xludf.DUMMYFUNCTION("""COMPUTED_VALUE"""),"Kings Creek Station")</f>
        <v>Kings Creek Station</v>
      </c>
      <c r="D4120" s="120" t="str">
        <f>IFERROR(__xludf.DUMMYFUNCTION("""COMPUTED_VALUE"""),"Australia")</f>
        <v>Australia</v>
      </c>
      <c r="E4120" s="135"/>
      <c r="F4120" s="31"/>
    </row>
    <row r="4121">
      <c r="A4121" s="134" t="str">
        <f>IFERROR(__xludf.DUMMYFUNCTION("""COMPUTED_VALUE"""),"Kings Lynn")</f>
        <v>Kings Lynn</v>
      </c>
      <c r="B4121" s="120" t="str">
        <f>IFERROR(__xludf.DUMMYFUNCTION("""COMPUTED_VALUE"""),"KNF")</f>
        <v>KNF</v>
      </c>
      <c r="C4121" s="120" t="str">
        <f>IFERROR(__xludf.DUMMYFUNCTION("""COMPUTED_VALUE"""),"Marham RAF")</f>
        <v>Marham RAF</v>
      </c>
      <c r="D4121" s="120" t="str">
        <f>IFERROR(__xludf.DUMMYFUNCTION("""COMPUTED_VALUE"""),"United Kingdom")</f>
        <v>United Kingdom</v>
      </c>
      <c r="E4121" s="135"/>
      <c r="F4121" s="31"/>
    </row>
    <row r="4122">
      <c r="A4122" s="134" t="str">
        <f>IFERROR(__xludf.DUMMYFUNCTION("""COMPUTED_VALUE"""),"Kingscote")</f>
        <v>Kingscote</v>
      </c>
      <c r="B4122" s="120" t="str">
        <f>IFERROR(__xludf.DUMMYFUNCTION("""COMPUTED_VALUE"""),"KGC")</f>
        <v>KGC</v>
      </c>
      <c r="C4122" s="120" t="str">
        <f>IFERROR(__xludf.DUMMYFUNCTION("""COMPUTED_VALUE"""),"Kingscote")</f>
        <v>Kingscote</v>
      </c>
      <c r="D4122" s="120" t="str">
        <f>IFERROR(__xludf.DUMMYFUNCTION("""COMPUTED_VALUE"""),"Australia")</f>
        <v>Australia</v>
      </c>
      <c r="E4122" s="135"/>
      <c r="F4122" s="31"/>
    </row>
    <row r="4123">
      <c r="A4123" s="134" t="str">
        <f>IFERROR(__xludf.DUMMYFUNCTION("""COMPUTED_VALUE"""),"Kingston")</f>
        <v>Kingston</v>
      </c>
      <c r="B4123" s="120" t="str">
        <f>IFERROR(__xludf.DUMMYFUNCTION("""COMPUTED_VALUE"""),"KIN")</f>
        <v>KIN</v>
      </c>
      <c r="C4123" s="120" t="str">
        <f>IFERROR(__xludf.DUMMYFUNCTION("""COMPUTED_VALUE"""),"Norman Manley")</f>
        <v>Norman Manley</v>
      </c>
      <c r="D4123" s="120" t="str">
        <f>IFERROR(__xludf.DUMMYFUNCTION("""COMPUTED_VALUE"""),"Jamaica")</f>
        <v>Jamaica</v>
      </c>
      <c r="E4123" s="135"/>
      <c r="F4123" s="31"/>
    </row>
    <row r="4124">
      <c r="A4124" s="134" t="str">
        <f>IFERROR(__xludf.DUMMYFUNCTION("""COMPUTED_VALUE"""),"Kingston")</f>
        <v>Kingston</v>
      </c>
      <c r="B4124" s="120" t="str">
        <f>IFERROR(__xludf.DUMMYFUNCTION("""COMPUTED_VALUE"""),"KTP")</f>
        <v>KTP</v>
      </c>
      <c r="C4124" s="120" t="str">
        <f>IFERROR(__xludf.DUMMYFUNCTION("""COMPUTED_VALUE"""),"Tinson")</f>
        <v>Tinson</v>
      </c>
      <c r="D4124" s="120" t="str">
        <f>IFERROR(__xludf.DUMMYFUNCTION("""COMPUTED_VALUE"""),"Jamaica")</f>
        <v>Jamaica</v>
      </c>
      <c r="E4124" s="135"/>
      <c r="F4124" s="31"/>
    </row>
    <row r="4125">
      <c r="A4125" s="134" t="str">
        <f>IFERROR(__xludf.DUMMYFUNCTION("""COMPUTED_VALUE"""),"Kingston")</f>
        <v>Kingston</v>
      </c>
      <c r="B4125" s="120" t="str">
        <f>IFERROR(__xludf.DUMMYFUNCTION("""COMPUTED_VALUE"""),"YGK")</f>
        <v>YGK</v>
      </c>
      <c r="C4125" s="120" t="str">
        <f>IFERROR(__xludf.DUMMYFUNCTION("""COMPUTED_VALUE"""),"Kingston")</f>
        <v>Kingston</v>
      </c>
      <c r="D4125" s="120" t="str">
        <f>IFERROR(__xludf.DUMMYFUNCTION("""COMPUTED_VALUE"""),"Canada")</f>
        <v>Canada</v>
      </c>
      <c r="E4125" s="135"/>
      <c r="F4125" s="31"/>
    </row>
    <row r="4126">
      <c r="A4126" s="134" t="str">
        <f>IFERROR(__xludf.DUMMYFUNCTION("""COMPUTED_VALUE"""),"Kingsville")</f>
        <v>Kingsville</v>
      </c>
      <c r="B4126" s="120" t="str">
        <f>IFERROR(__xludf.DUMMYFUNCTION("""COMPUTED_VALUE"""),"NQI")</f>
        <v>NQI</v>
      </c>
      <c r="C4126" s="120" t="str">
        <f>IFERROR(__xludf.DUMMYFUNCTION("""COMPUTED_VALUE"""),"NAS")</f>
        <v>NAS</v>
      </c>
      <c r="D4126" s="120" t="str">
        <f>IFERROR(__xludf.DUMMYFUNCTION("""COMPUTED_VALUE"""),"United States")</f>
        <v>United States</v>
      </c>
      <c r="E4126" s="135"/>
      <c r="F4126" s="31"/>
    </row>
    <row r="4127">
      <c r="A4127" s="134" t="str">
        <f>IFERROR(__xludf.DUMMYFUNCTION("""COMPUTED_VALUE"""),"Kinmen")</f>
        <v>Kinmen</v>
      </c>
      <c r="B4127" s="120" t="str">
        <f>IFERROR(__xludf.DUMMYFUNCTION("""COMPUTED_VALUE"""),"KNH")</f>
        <v>KNH</v>
      </c>
      <c r="C4127" s="120" t="str">
        <f>IFERROR(__xludf.DUMMYFUNCTION("""COMPUTED_VALUE"""),"Shang-Yi")</f>
        <v>Shang-Yi</v>
      </c>
      <c r="D4127" s="120" t="str">
        <f>IFERROR(__xludf.DUMMYFUNCTION("""COMPUTED_VALUE"""),"Taiwan")</f>
        <v>Taiwan</v>
      </c>
      <c r="E4127" s="135"/>
      <c r="F4127" s="31"/>
    </row>
    <row r="4128">
      <c r="A4128" s="134" t="str">
        <f>IFERROR(__xludf.DUMMYFUNCTION("""COMPUTED_VALUE"""),"Kinoosao")</f>
        <v>Kinoosao</v>
      </c>
      <c r="B4128" s="120" t="str">
        <f>IFERROR(__xludf.DUMMYFUNCTION("""COMPUTED_VALUE"""),"KNY")</f>
        <v>KNY</v>
      </c>
      <c r="C4128" s="120" t="str">
        <f>IFERROR(__xludf.DUMMYFUNCTION("""COMPUTED_VALUE"""),"Kinoosao")</f>
        <v>Kinoosao</v>
      </c>
      <c r="D4128" s="120" t="str">
        <f>IFERROR(__xludf.DUMMYFUNCTION("""COMPUTED_VALUE"""),"Canada")</f>
        <v>Canada</v>
      </c>
      <c r="E4128" s="135"/>
      <c r="F4128" s="31"/>
    </row>
    <row r="4129">
      <c r="A4129" s="134" t="str">
        <f>IFERROR(__xludf.DUMMYFUNCTION("""COMPUTED_VALUE"""),"Kinston")</f>
        <v>Kinston</v>
      </c>
      <c r="B4129" s="120" t="str">
        <f>IFERROR(__xludf.DUMMYFUNCTION("""COMPUTED_VALUE"""),"ISO")</f>
        <v>ISO</v>
      </c>
      <c r="C4129" s="120" t="str">
        <f>IFERROR(__xludf.DUMMYFUNCTION("""COMPUTED_VALUE"""),"Stallings Field")</f>
        <v>Stallings Field</v>
      </c>
      <c r="D4129" s="120" t="str">
        <f>IFERROR(__xludf.DUMMYFUNCTION("""COMPUTED_VALUE"""),"United States")</f>
        <v>United States</v>
      </c>
      <c r="E4129" s="135"/>
      <c r="F4129" s="31"/>
    </row>
    <row r="4130">
      <c r="A4130" s="134" t="str">
        <f>IFERROR(__xludf.DUMMYFUNCTION("""COMPUTED_VALUE"""),"Kipnuk")</f>
        <v>Kipnuk</v>
      </c>
      <c r="B4130" s="120" t="str">
        <f>IFERROR(__xludf.DUMMYFUNCTION("""COMPUTED_VALUE"""),"KPN")</f>
        <v>KPN</v>
      </c>
      <c r="C4130" s="120" t="str">
        <f>IFERROR(__xludf.DUMMYFUNCTION("""COMPUTED_VALUE"""),"Kipnuk SPB")</f>
        <v>Kipnuk SPB</v>
      </c>
      <c r="D4130" s="120" t="str">
        <f>IFERROR(__xludf.DUMMYFUNCTION("""COMPUTED_VALUE"""),"United States")</f>
        <v>United States</v>
      </c>
      <c r="E4130" s="135"/>
      <c r="F4130" s="31"/>
    </row>
    <row r="4131">
      <c r="A4131" s="134" t="str">
        <f>IFERROR(__xludf.DUMMYFUNCTION("""COMPUTED_VALUE"""),"Kira")</f>
        <v>Kira</v>
      </c>
      <c r="B4131" s="120" t="str">
        <f>IFERROR(__xludf.DUMMYFUNCTION("""COMPUTED_VALUE"""),"KIQ")</f>
        <v>KIQ</v>
      </c>
      <c r="C4131" s="120" t="str">
        <f>IFERROR(__xludf.DUMMYFUNCTION("""COMPUTED_VALUE"""),"Kira")</f>
        <v>Kira</v>
      </c>
      <c r="D4131" s="120" t="str">
        <f>IFERROR(__xludf.DUMMYFUNCTION("""COMPUTED_VALUE"""),"Papua New Guinea")</f>
        <v>Papua New Guinea</v>
      </c>
      <c r="E4131" s="135"/>
      <c r="F4131" s="31"/>
    </row>
    <row r="4132">
      <c r="A4132" s="134" t="str">
        <f>IFERROR(__xludf.DUMMYFUNCTION("""COMPUTED_VALUE"""),"Kirakira")</f>
        <v>Kirakira</v>
      </c>
      <c r="B4132" s="120" t="str">
        <f>IFERROR(__xludf.DUMMYFUNCTION("""COMPUTED_VALUE"""),"IRA")</f>
        <v>IRA</v>
      </c>
      <c r="C4132" s="120" t="str">
        <f>IFERROR(__xludf.DUMMYFUNCTION("""COMPUTED_VALUE"""),"Kirakira")</f>
        <v>Kirakira</v>
      </c>
      <c r="D4132" s="120" t="str">
        <f>IFERROR(__xludf.DUMMYFUNCTION("""COMPUTED_VALUE"""),"Solomon Islands")</f>
        <v>Solomon Islands</v>
      </c>
      <c r="E4132" s="135"/>
      <c r="F4132" s="31"/>
    </row>
    <row r="4133">
      <c r="A4133" s="134" t="str">
        <f>IFERROR(__xludf.DUMMYFUNCTION("""COMPUTED_VALUE"""),"Kiri")</f>
        <v>Kiri</v>
      </c>
      <c r="B4133" s="120" t="str">
        <f>IFERROR(__xludf.DUMMYFUNCTION("""COMPUTED_VALUE"""),"KRZ")</f>
        <v>KRZ</v>
      </c>
      <c r="C4133" s="120" t="str">
        <f>IFERROR(__xludf.DUMMYFUNCTION("""COMPUTED_VALUE"""),"Kiri")</f>
        <v>Kiri</v>
      </c>
      <c r="D4133" s="120" t="str">
        <f>IFERROR(__xludf.DUMMYFUNCTION("""COMPUTED_VALUE"""),"Zaire")</f>
        <v>Zaire</v>
      </c>
      <c r="E4133" s="135"/>
      <c r="F4133" s="31"/>
    </row>
    <row r="4134">
      <c r="A4134" s="134" t="str">
        <f>IFERROR(__xludf.DUMMYFUNCTION("""COMPUTED_VALUE"""),"Kirkenes")</f>
        <v>Kirkenes</v>
      </c>
      <c r="B4134" s="120" t="str">
        <f>IFERROR(__xludf.DUMMYFUNCTION("""COMPUTED_VALUE"""),"KKN")</f>
        <v>KKN</v>
      </c>
      <c r="C4134" s="120" t="str">
        <f>IFERROR(__xludf.DUMMYFUNCTION("""COMPUTED_VALUE"""),"Hoeybuktmoen")</f>
        <v>Hoeybuktmoen</v>
      </c>
      <c r="D4134" s="120" t="str">
        <f>IFERROR(__xludf.DUMMYFUNCTION("""COMPUTED_VALUE"""),"Norway")</f>
        <v>Norway</v>
      </c>
      <c r="E4134" s="135"/>
      <c r="F4134" s="31"/>
    </row>
    <row r="4135">
      <c r="A4135" s="134" t="str">
        <f>IFERROR(__xludf.DUMMYFUNCTION("""COMPUTED_VALUE"""),"Kirkimbie")</f>
        <v>Kirkimbie</v>
      </c>
      <c r="B4135" s="120" t="str">
        <f>IFERROR(__xludf.DUMMYFUNCTION("""COMPUTED_VALUE"""),"KBB")</f>
        <v>KBB</v>
      </c>
      <c r="C4135" s="120" t="str">
        <f>IFERROR(__xludf.DUMMYFUNCTION("""COMPUTED_VALUE"""),"Kirkimbie")</f>
        <v>Kirkimbie</v>
      </c>
      <c r="D4135" s="120" t="str">
        <f>IFERROR(__xludf.DUMMYFUNCTION("""COMPUTED_VALUE"""),"Australia")</f>
        <v>Australia</v>
      </c>
      <c r="E4135" s="135"/>
      <c r="F4135" s="31"/>
    </row>
    <row r="4136">
      <c r="A4136" s="134" t="str">
        <f>IFERROR(__xludf.DUMMYFUNCTION("""COMPUTED_VALUE"""),"Kirkland Lake")</f>
        <v>Kirkland Lake</v>
      </c>
      <c r="B4136" s="120" t="str">
        <f>IFERROR(__xludf.DUMMYFUNCTION("""COMPUTED_VALUE"""),"YKX")</f>
        <v>YKX</v>
      </c>
      <c r="C4136" s="120" t="str">
        <f>IFERROR(__xludf.DUMMYFUNCTION("""COMPUTED_VALUE"""),"Kirkland Lake")</f>
        <v>Kirkland Lake</v>
      </c>
      <c r="D4136" s="120" t="str">
        <f>IFERROR(__xludf.DUMMYFUNCTION("""COMPUTED_VALUE"""),"Canada")</f>
        <v>Canada</v>
      </c>
      <c r="E4136" s="135"/>
      <c r="F4136" s="31"/>
    </row>
    <row r="4137">
      <c r="A4137" s="134" t="str">
        <f>IFERROR(__xludf.DUMMYFUNCTION("""COMPUTED_VALUE"""),"Kirksville")</f>
        <v>Kirksville</v>
      </c>
      <c r="B4137" s="120" t="str">
        <f>IFERROR(__xludf.DUMMYFUNCTION("""COMPUTED_VALUE"""),"IRK")</f>
        <v>IRK</v>
      </c>
      <c r="C4137" s="120" t="str">
        <f>IFERROR(__xludf.DUMMYFUNCTION("""COMPUTED_VALUE"""),"Municipal")</f>
        <v>Municipal</v>
      </c>
      <c r="D4137" s="120" t="str">
        <f>IFERROR(__xludf.DUMMYFUNCTION("""COMPUTED_VALUE"""),"United States")</f>
        <v>United States</v>
      </c>
      <c r="E4137" s="135"/>
      <c r="F4137" s="31"/>
    </row>
    <row r="4138">
      <c r="A4138" s="134" t="str">
        <f>IFERROR(__xludf.DUMMYFUNCTION("""COMPUTED_VALUE"""),"Kirkuk")</f>
        <v>Kirkuk</v>
      </c>
      <c r="B4138" s="120" t="str">
        <f>IFERROR(__xludf.DUMMYFUNCTION("""COMPUTED_VALUE"""),"KIK")</f>
        <v>KIK</v>
      </c>
      <c r="C4138" s="120" t="str">
        <f>IFERROR(__xludf.DUMMYFUNCTION("""COMPUTED_VALUE"""),"Kirkuk")</f>
        <v>Kirkuk</v>
      </c>
      <c r="D4138" s="120" t="str">
        <f>IFERROR(__xludf.DUMMYFUNCTION("""COMPUTED_VALUE"""),"Iraq")</f>
        <v>Iraq</v>
      </c>
      <c r="E4138" s="135"/>
      <c r="F4138" s="31"/>
    </row>
    <row r="4139">
      <c r="A4139" s="134" t="str">
        <f>IFERROR(__xludf.DUMMYFUNCTION("""COMPUTED_VALUE"""),"Kirov")</f>
        <v>Kirov</v>
      </c>
      <c r="B4139" s="120" t="str">
        <f>IFERROR(__xludf.DUMMYFUNCTION("""COMPUTED_VALUE"""),"KVX")</f>
        <v>KVX</v>
      </c>
      <c r="C4139" s="120" t="str">
        <f>IFERROR(__xludf.DUMMYFUNCTION("""COMPUTED_VALUE"""),"Kirov")</f>
        <v>Kirov</v>
      </c>
      <c r="D4139" s="120" t="str">
        <f>IFERROR(__xludf.DUMMYFUNCTION("""COMPUTED_VALUE"""),"Russia")</f>
        <v>Russia</v>
      </c>
      <c r="E4139" s="135"/>
      <c r="F4139" s="31"/>
    </row>
    <row r="4140">
      <c r="A4140" s="134" t="str">
        <f>IFERROR(__xludf.DUMMYFUNCTION("""COMPUTED_VALUE"""),"Kirovograd")</f>
        <v>Kirovograd</v>
      </c>
      <c r="B4140" s="120" t="str">
        <f>IFERROR(__xludf.DUMMYFUNCTION("""COMPUTED_VALUE"""),"KGO")</f>
        <v>KGO</v>
      </c>
      <c r="C4140" s="120" t="str">
        <f>IFERROR(__xludf.DUMMYFUNCTION("""COMPUTED_VALUE"""),"Kirovograd")</f>
        <v>Kirovograd</v>
      </c>
      <c r="D4140" s="120" t="str">
        <f>IFERROR(__xludf.DUMMYFUNCTION("""COMPUTED_VALUE"""),"Ukraine")</f>
        <v>Ukraine</v>
      </c>
      <c r="E4140" s="135"/>
      <c r="F4140" s="31"/>
    </row>
    <row r="4141">
      <c r="A4141" s="134" t="str">
        <f>IFERROR(__xludf.DUMMYFUNCTION("""COMPUTED_VALUE"""),"Kirovsk")</f>
        <v>Kirovsk</v>
      </c>
      <c r="B4141" s="120" t="str">
        <f>IFERROR(__xludf.DUMMYFUNCTION("""COMPUTED_VALUE"""),"KVK")</f>
        <v>KVK</v>
      </c>
      <c r="C4141" s="120" t="str">
        <f>IFERROR(__xludf.DUMMYFUNCTION("""COMPUTED_VALUE"""),"Kirovsk")</f>
        <v>Kirovsk</v>
      </c>
      <c r="D4141" s="120" t="str">
        <f>IFERROR(__xludf.DUMMYFUNCTION("""COMPUTED_VALUE"""),"Russia")</f>
        <v>Russia</v>
      </c>
      <c r="E4141" s="135"/>
      <c r="F4141" s="31"/>
    </row>
    <row r="4142">
      <c r="A4142" s="134" t="str">
        <f>IFERROR(__xludf.DUMMYFUNCTION("""COMPUTED_VALUE"""),"Kiruna")</f>
        <v>Kiruna</v>
      </c>
      <c r="B4142" s="120" t="str">
        <f>IFERROR(__xludf.DUMMYFUNCTION("""COMPUTED_VALUE"""),"KRN")</f>
        <v>KRN</v>
      </c>
      <c r="C4142" s="120" t="str">
        <f>IFERROR(__xludf.DUMMYFUNCTION("""COMPUTED_VALUE"""),"Kiruna")</f>
        <v>Kiruna</v>
      </c>
      <c r="D4142" s="120" t="str">
        <f>IFERROR(__xludf.DUMMYFUNCTION("""COMPUTED_VALUE"""),"Sweden")</f>
        <v>Sweden</v>
      </c>
      <c r="E4142" s="135"/>
      <c r="F4142" s="31"/>
    </row>
    <row r="4143">
      <c r="A4143" s="134" t="str">
        <f>IFERROR(__xludf.DUMMYFUNCTION("""COMPUTED_VALUE"""),"Kirundo")</f>
        <v>Kirundo</v>
      </c>
      <c r="B4143" s="120" t="str">
        <f>IFERROR(__xludf.DUMMYFUNCTION("""COMPUTED_VALUE"""),"KRE")</f>
        <v>KRE</v>
      </c>
      <c r="C4143" s="120" t="str">
        <f>IFERROR(__xludf.DUMMYFUNCTION("""COMPUTED_VALUE"""),"Kirundo")</f>
        <v>Kirundo</v>
      </c>
      <c r="D4143" s="120" t="str">
        <f>IFERROR(__xludf.DUMMYFUNCTION("""COMPUTED_VALUE"""),"Burundi")</f>
        <v>Burundi</v>
      </c>
      <c r="E4143" s="135"/>
      <c r="F4143" s="31"/>
    </row>
    <row r="4144">
      <c r="A4144" s="134" t="str">
        <f>IFERROR(__xludf.DUMMYFUNCTION("""COMPUTED_VALUE"""),"Kiryat Shmona")</f>
        <v>Kiryat Shmona</v>
      </c>
      <c r="B4144" s="120" t="str">
        <f>IFERROR(__xludf.DUMMYFUNCTION("""COMPUTED_VALUE"""),"KSW")</f>
        <v>KSW</v>
      </c>
      <c r="C4144" s="120" t="str">
        <f>IFERROR(__xludf.DUMMYFUNCTION("""COMPUTED_VALUE"""),"Kiryat Shmona")</f>
        <v>Kiryat Shmona</v>
      </c>
      <c r="D4144" s="120" t="str">
        <f>IFERROR(__xludf.DUMMYFUNCTION("""COMPUTED_VALUE"""),"Israel")</f>
        <v>Israel</v>
      </c>
      <c r="E4144" s="135"/>
      <c r="F4144" s="31"/>
    </row>
    <row r="4145">
      <c r="A4145" s="134" t="str">
        <f>IFERROR(__xludf.DUMMYFUNCTION("""COMPUTED_VALUE"""),"Kisangani")</f>
        <v>Kisangani</v>
      </c>
      <c r="B4145" s="120" t="str">
        <f>IFERROR(__xludf.DUMMYFUNCTION("""COMPUTED_VALUE"""),"FKI")</f>
        <v>FKI</v>
      </c>
      <c r="C4145" s="120" t="str">
        <f>IFERROR(__xludf.DUMMYFUNCTION("""COMPUTED_VALUE"""),"Kisangani")</f>
        <v>Kisangani</v>
      </c>
      <c r="D4145" s="120" t="str">
        <f>IFERROR(__xludf.DUMMYFUNCTION("""COMPUTED_VALUE"""),"D. R. Congo")</f>
        <v>D. R. Congo</v>
      </c>
      <c r="E4145" s="135"/>
      <c r="F4145" s="31"/>
    </row>
    <row r="4146">
      <c r="A4146" s="134" t="str">
        <f>IFERROR(__xludf.DUMMYFUNCTION("""COMPUTED_VALUE"""),"Kisengan")</f>
        <v>Kisengan</v>
      </c>
      <c r="B4146" s="120" t="str">
        <f>IFERROR(__xludf.DUMMYFUNCTION("""COMPUTED_VALUE"""),"KSG")</f>
        <v>KSG</v>
      </c>
      <c r="C4146" s="120" t="str">
        <f>IFERROR(__xludf.DUMMYFUNCTION("""COMPUTED_VALUE"""),"Kisengan")</f>
        <v>Kisengan</v>
      </c>
      <c r="D4146" s="120" t="str">
        <f>IFERROR(__xludf.DUMMYFUNCTION("""COMPUTED_VALUE"""),"Papua New Guinea")</f>
        <v>Papua New Guinea</v>
      </c>
      <c r="E4146" s="135"/>
      <c r="F4146" s="31"/>
    </row>
    <row r="4147">
      <c r="A4147" s="134" t="str">
        <f>IFERROR(__xludf.DUMMYFUNCTION("""COMPUTED_VALUE"""),"Kish Island")</f>
        <v>Kish Island</v>
      </c>
      <c r="B4147" s="120" t="str">
        <f>IFERROR(__xludf.DUMMYFUNCTION("""COMPUTED_VALUE"""),"KIH")</f>
        <v>KIH</v>
      </c>
      <c r="C4147" s="120" t="str">
        <f>IFERROR(__xludf.DUMMYFUNCTION("""COMPUTED_VALUE"""),"Kish Island")</f>
        <v>Kish Island</v>
      </c>
      <c r="D4147" s="120" t="str">
        <f>IFERROR(__xludf.DUMMYFUNCTION("""COMPUTED_VALUE"""),"Iran")</f>
        <v>Iran</v>
      </c>
      <c r="E4147" s="135"/>
      <c r="F4147" s="31"/>
    </row>
    <row r="4148">
      <c r="A4148" s="134" t="str">
        <f>IFERROR(__xludf.DUMMYFUNCTION("""COMPUTED_VALUE"""),"Kismayu")</f>
        <v>Kismayu</v>
      </c>
      <c r="B4148" s="120" t="str">
        <f>IFERROR(__xludf.DUMMYFUNCTION("""COMPUTED_VALUE"""),"KMU")</f>
        <v>KMU</v>
      </c>
      <c r="C4148" s="120" t="str">
        <f>IFERROR(__xludf.DUMMYFUNCTION("""COMPUTED_VALUE"""),"Kismayu")</f>
        <v>Kismayu</v>
      </c>
      <c r="D4148" s="120" t="str">
        <f>IFERROR(__xludf.DUMMYFUNCTION("""COMPUTED_VALUE"""),"Somalia")</f>
        <v>Somalia</v>
      </c>
      <c r="E4148" s="135"/>
      <c r="F4148" s="31"/>
    </row>
    <row r="4149">
      <c r="A4149" s="134" t="str">
        <f>IFERROR(__xludf.DUMMYFUNCTION("""COMPUTED_VALUE"""),"Kissidougou")</f>
        <v>Kissidougou</v>
      </c>
      <c r="B4149" s="120" t="str">
        <f>IFERROR(__xludf.DUMMYFUNCTION("""COMPUTED_VALUE"""),"KSI")</f>
        <v>KSI</v>
      </c>
      <c r="C4149" s="120" t="str">
        <f>IFERROR(__xludf.DUMMYFUNCTION("""COMPUTED_VALUE"""),"Kissidougou")</f>
        <v>Kissidougou</v>
      </c>
      <c r="D4149" s="120" t="str">
        <f>IFERROR(__xludf.DUMMYFUNCTION("""COMPUTED_VALUE"""),"Guinea")</f>
        <v>Guinea</v>
      </c>
      <c r="E4149" s="135"/>
      <c r="F4149" s="31"/>
    </row>
    <row r="4150">
      <c r="A4150" s="134" t="str">
        <f>IFERROR(__xludf.DUMMYFUNCTION("""COMPUTED_VALUE"""),"Kissimmee")</f>
        <v>Kissimmee</v>
      </c>
      <c r="B4150" s="120" t="str">
        <f>IFERROR(__xludf.DUMMYFUNCTION("""COMPUTED_VALUE"""),"ISM")</f>
        <v>ISM</v>
      </c>
      <c r="C4150" s="120" t="str">
        <f>IFERROR(__xludf.DUMMYFUNCTION("""COMPUTED_VALUE"""),"Kissimmee Gateway")</f>
        <v>Kissimmee Gateway</v>
      </c>
      <c r="D4150" s="120" t="str">
        <f>IFERROR(__xludf.DUMMYFUNCTION("""COMPUTED_VALUE"""),"United States")</f>
        <v>United States</v>
      </c>
      <c r="E4150" s="135"/>
      <c r="F4150" s="31"/>
    </row>
    <row r="4151">
      <c r="A4151" s="134" t="str">
        <f>IFERROR(__xludf.DUMMYFUNCTION("""COMPUTED_VALUE"""),"Kisumu")</f>
        <v>Kisumu</v>
      </c>
      <c r="B4151" s="120" t="str">
        <f>IFERROR(__xludf.DUMMYFUNCTION("""COMPUTED_VALUE"""),"KIS")</f>
        <v>KIS</v>
      </c>
      <c r="C4151" s="120" t="str">
        <f>IFERROR(__xludf.DUMMYFUNCTION("""COMPUTED_VALUE"""),"Kisumu")</f>
        <v>Kisumu</v>
      </c>
      <c r="D4151" s="120" t="str">
        <f>IFERROR(__xludf.DUMMYFUNCTION("""COMPUTED_VALUE"""),"Kenya")</f>
        <v>Kenya</v>
      </c>
      <c r="E4151" s="135"/>
      <c r="F4151" s="31"/>
    </row>
    <row r="4152">
      <c r="A4152" s="134" t="str">
        <f>IFERROR(__xludf.DUMMYFUNCTION("""COMPUTED_VALUE"""),"Kita Kyushu")</f>
        <v>Kita Kyushu</v>
      </c>
      <c r="B4152" s="120" t="str">
        <f>IFERROR(__xludf.DUMMYFUNCTION("""COMPUTED_VALUE"""),"KKJ")</f>
        <v>KKJ</v>
      </c>
      <c r="C4152" s="120" t="str">
        <f>IFERROR(__xludf.DUMMYFUNCTION("""COMPUTED_VALUE"""),"Kita Kyushu")</f>
        <v>Kita Kyushu</v>
      </c>
      <c r="D4152" s="120" t="str">
        <f>IFERROR(__xludf.DUMMYFUNCTION("""COMPUTED_VALUE"""),"Japan")</f>
        <v>Japan</v>
      </c>
      <c r="E4152" s="135"/>
      <c r="F4152" s="31"/>
    </row>
    <row r="4153">
      <c r="A4153" s="134" t="str">
        <f>IFERROR(__xludf.DUMMYFUNCTION("""COMPUTED_VALUE"""),"Kitadaito")</f>
        <v>Kitadaito</v>
      </c>
      <c r="B4153" s="120" t="str">
        <f>IFERROR(__xludf.DUMMYFUNCTION("""COMPUTED_VALUE"""),"KTD")</f>
        <v>KTD</v>
      </c>
      <c r="C4153" s="120" t="str">
        <f>IFERROR(__xludf.DUMMYFUNCTION("""COMPUTED_VALUE"""),"Kitadaito")</f>
        <v>Kitadaito</v>
      </c>
      <c r="D4153" s="120" t="str">
        <f>IFERROR(__xludf.DUMMYFUNCTION("""COMPUTED_VALUE"""),"Japan")</f>
        <v>Japan</v>
      </c>
      <c r="E4153" s="135"/>
      <c r="F4153" s="31"/>
    </row>
    <row r="4154">
      <c r="A4154" s="134" t="str">
        <f>IFERROR(__xludf.DUMMYFUNCTION("""COMPUTED_VALUE"""),"Kitale")</f>
        <v>Kitale</v>
      </c>
      <c r="B4154" s="120" t="str">
        <f>IFERROR(__xludf.DUMMYFUNCTION("""COMPUTED_VALUE"""),"KTL")</f>
        <v>KTL</v>
      </c>
      <c r="C4154" s="120" t="str">
        <f>IFERROR(__xludf.DUMMYFUNCTION("""COMPUTED_VALUE"""),"Kitale")</f>
        <v>Kitale</v>
      </c>
      <c r="D4154" s="120" t="str">
        <f>IFERROR(__xludf.DUMMYFUNCTION("""COMPUTED_VALUE"""),"Kenya")</f>
        <v>Kenya</v>
      </c>
      <c r="E4154" s="135"/>
      <c r="F4154" s="31"/>
    </row>
    <row r="4155">
      <c r="A4155" s="134" t="str">
        <f>IFERROR(__xludf.DUMMYFUNCTION("""COMPUTED_VALUE"""),"Kitava")</f>
        <v>Kitava</v>
      </c>
      <c r="B4155" s="120" t="str">
        <f>IFERROR(__xludf.DUMMYFUNCTION("""COMPUTED_VALUE"""),"KVE")</f>
        <v>KVE</v>
      </c>
      <c r="C4155" s="120" t="str">
        <f>IFERROR(__xludf.DUMMYFUNCTION("""COMPUTED_VALUE"""),"Kitava")</f>
        <v>Kitava</v>
      </c>
      <c r="D4155" s="120" t="str">
        <f>IFERROR(__xludf.DUMMYFUNCTION("""COMPUTED_VALUE"""),"Papua New Guinea")</f>
        <v>Papua New Guinea</v>
      </c>
      <c r="E4155" s="135"/>
      <c r="F4155" s="31"/>
    </row>
    <row r="4156">
      <c r="A4156" s="134" t="str">
        <f>IFERROR(__xludf.DUMMYFUNCTION("""COMPUTED_VALUE"""),"Kitchener/Waterloo")</f>
        <v>Kitchener/Waterloo</v>
      </c>
      <c r="B4156" s="120" t="str">
        <f>IFERROR(__xludf.DUMMYFUNCTION("""COMPUTED_VALUE"""),"YKF")</f>
        <v>YKF</v>
      </c>
      <c r="C4156" s="120" t="str">
        <f>IFERROR(__xludf.DUMMYFUNCTION("""COMPUTED_VALUE"""),"Kitchener-Waterloo Reg")</f>
        <v>Kitchener-Waterloo Reg</v>
      </c>
      <c r="D4156" s="120" t="str">
        <f>IFERROR(__xludf.DUMMYFUNCTION("""COMPUTED_VALUE"""),"Canada")</f>
        <v>Canada</v>
      </c>
      <c r="E4156" s="135"/>
      <c r="F4156" s="31"/>
    </row>
    <row r="4157">
      <c r="A4157" s="134" t="str">
        <f>IFERROR(__xludf.DUMMYFUNCTION("""COMPUTED_VALUE"""),"Kitee")</f>
        <v>Kitee</v>
      </c>
      <c r="B4157" s="120" t="str">
        <f>IFERROR(__xludf.DUMMYFUNCTION("""COMPUTED_VALUE"""),"KTQ")</f>
        <v>KTQ</v>
      </c>
      <c r="C4157" s="120" t="str">
        <f>IFERROR(__xludf.DUMMYFUNCTION("""COMPUTED_VALUE"""),"Kitee")</f>
        <v>Kitee</v>
      </c>
      <c r="D4157" s="120" t="str">
        <f>IFERROR(__xludf.DUMMYFUNCTION("""COMPUTED_VALUE"""),"Finland")</f>
        <v>Finland</v>
      </c>
      <c r="E4157" s="135"/>
      <c r="F4157" s="31"/>
    </row>
    <row r="4158">
      <c r="A4158" s="134" t="str">
        <f>IFERROR(__xludf.DUMMYFUNCTION("""COMPUTED_VALUE"""),"Kithira")</f>
        <v>Kithira</v>
      </c>
      <c r="B4158" s="120" t="str">
        <f>IFERROR(__xludf.DUMMYFUNCTION("""COMPUTED_VALUE"""),"KIT")</f>
        <v>KIT</v>
      </c>
      <c r="C4158" s="120" t="str">
        <f>IFERROR(__xludf.DUMMYFUNCTION("""COMPUTED_VALUE"""),"Kithira")</f>
        <v>Kithira</v>
      </c>
      <c r="D4158" s="120" t="str">
        <f>IFERROR(__xludf.DUMMYFUNCTION("""COMPUTED_VALUE"""),"Greece")</f>
        <v>Greece</v>
      </c>
      <c r="E4158" s="135"/>
      <c r="F4158" s="31"/>
    </row>
    <row r="4159">
      <c r="A4159" s="134" t="str">
        <f>IFERROR(__xludf.DUMMYFUNCTION("""COMPUTED_VALUE"""),"Kitkatla")</f>
        <v>Kitkatla</v>
      </c>
      <c r="B4159" s="120" t="str">
        <f>IFERROR(__xludf.DUMMYFUNCTION("""COMPUTED_VALUE"""),"YKK")</f>
        <v>YKK</v>
      </c>
      <c r="C4159" s="120" t="str">
        <f>IFERROR(__xludf.DUMMYFUNCTION("""COMPUTED_VALUE"""),"Kitkatla")</f>
        <v>Kitkatla</v>
      </c>
      <c r="D4159" s="120" t="str">
        <f>IFERROR(__xludf.DUMMYFUNCTION("""COMPUTED_VALUE"""),"Canada")</f>
        <v>Canada</v>
      </c>
      <c r="E4159" s="135"/>
      <c r="F4159" s="31"/>
    </row>
    <row r="4160">
      <c r="A4160" s="134" t="str">
        <f>IFERROR(__xludf.DUMMYFUNCTION("""COMPUTED_VALUE"""),"Kitoi Bay")</f>
        <v>Kitoi Bay</v>
      </c>
      <c r="B4160" s="120" t="str">
        <f>IFERROR(__xludf.DUMMYFUNCTION("""COMPUTED_VALUE"""),"KKB")</f>
        <v>KKB</v>
      </c>
      <c r="C4160" s="120" t="str">
        <f>IFERROR(__xludf.DUMMYFUNCTION("""COMPUTED_VALUE"""),"SPB")</f>
        <v>SPB</v>
      </c>
      <c r="D4160" s="120" t="str">
        <f>IFERROR(__xludf.DUMMYFUNCTION("""COMPUTED_VALUE"""),"United States")</f>
        <v>United States</v>
      </c>
      <c r="E4160" s="135"/>
      <c r="F4160" s="31"/>
    </row>
    <row r="4161">
      <c r="A4161" s="134" t="str">
        <f>IFERROR(__xludf.DUMMYFUNCTION("""COMPUTED_VALUE"""),"Kitsissuarsuit")</f>
        <v>Kitsissuarsuit</v>
      </c>
      <c r="B4161" s="120" t="str">
        <f>IFERROR(__xludf.DUMMYFUNCTION("""COMPUTED_VALUE"""),"QJE")</f>
        <v>QJE</v>
      </c>
      <c r="C4161" s="120" t="str">
        <f>IFERROR(__xludf.DUMMYFUNCTION("""COMPUTED_VALUE"""),"Heliport")</f>
        <v>Heliport</v>
      </c>
      <c r="D4161" s="120" t="str">
        <f>IFERROR(__xludf.DUMMYFUNCTION("""COMPUTED_VALUE"""),"Greenland")</f>
        <v>Greenland</v>
      </c>
      <c r="E4161" s="135"/>
      <c r="F4161" s="31"/>
    </row>
    <row r="4162">
      <c r="A4162" s="134" t="str">
        <f>IFERROR(__xludf.DUMMYFUNCTION("""COMPUTED_VALUE"""),"Kittila")</f>
        <v>Kittila</v>
      </c>
      <c r="B4162" s="120" t="str">
        <f>IFERROR(__xludf.DUMMYFUNCTION("""COMPUTED_VALUE"""),"KTT")</f>
        <v>KTT</v>
      </c>
      <c r="C4162" s="120" t="str">
        <f>IFERROR(__xludf.DUMMYFUNCTION("""COMPUTED_VALUE"""),"Kittila")</f>
        <v>Kittila</v>
      </c>
      <c r="D4162" s="120" t="str">
        <f>IFERROR(__xludf.DUMMYFUNCTION("""COMPUTED_VALUE"""),"Finland")</f>
        <v>Finland</v>
      </c>
      <c r="E4162" s="135"/>
      <c r="F4162" s="31"/>
    </row>
    <row r="4163">
      <c r="A4163" s="134" t="str">
        <f>IFERROR(__xludf.DUMMYFUNCTION("""COMPUTED_VALUE"""),"Kitwe")</f>
        <v>Kitwe</v>
      </c>
      <c r="B4163" s="120" t="str">
        <f>IFERROR(__xludf.DUMMYFUNCTION("""COMPUTED_VALUE"""),"KIW")</f>
        <v>KIW</v>
      </c>
      <c r="C4163" s="120" t="str">
        <f>IFERROR(__xludf.DUMMYFUNCTION("""COMPUTED_VALUE"""),"Southdowns")</f>
        <v>Southdowns</v>
      </c>
      <c r="D4163" s="120" t="str">
        <f>IFERROR(__xludf.DUMMYFUNCTION("""COMPUTED_VALUE"""),"Zambia")</f>
        <v>Zambia</v>
      </c>
      <c r="E4163" s="135"/>
      <c r="F4163" s="31"/>
    </row>
    <row r="4164">
      <c r="A4164" s="134" t="str">
        <f>IFERROR(__xludf.DUMMYFUNCTION("""COMPUTED_VALUE"""),"Kitzbuehl")</f>
        <v>Kitzbuehl</v>
      </c>
      <c r="B4164" s="120" t="str">
        <f>IFERROR(__xludf.DUMMYFUNCTION("""COMPUTED_VALUE"""),"XJS")</f>
        <v>XJS</v>
      </c>
      <c r="C4164" s="120" t="str">
        <f>IFERROR(__xludf.DUMMYFUNCTION("""COMPUTED_VALUE"""),"Kitzbuehl Railway")</f>
        <v>Kitzbuehl Railway</v>
      </c>
      <c r="D4164" s="120" t="str">
        <f>IFERROR(__xludf.DUMMYFUNCTION("""COMPUTED_VALUE"""),"Austria")</f>
        <v>Austria</v>
      </c>
      <c r="E4164" s="135"/>
      <c r="F4164" s="31"/>
    </row>
    <row r="4165">
      <c r="A4165" s="134" t="str">
        <f>IFERROR(__xludf.DUMMYFUNCTION("""COMPUTED_VALUE"""),"Kitzingen")</f>
        <v>Kitzingen</v>
      </c>
      <c r="B4165" s="120" t="str">
        <f>IFERROR(__xludf.DUMMYFUNCTION("""COMPUTED_VALUE"""),"KZG")</f>
        <v>KZG</v>
      </c>
      <c r="C4165" s="120" t="str">
        <f>IFERROR(__xludf.DUMMYFUNCTION("""COMPUTED_VALUE"""),"Kitzingen")</f>
        <v>Kitzingen</v>
      </c>
      <c r="D4165" s="120" t="str">
        <f>IFERROR(__xludf.DUMMYFUNCTION("""COMPUTED_VALUE"""),"Germany")</f>
        <v>Germany</v>
      </c>
      <c r="E4165" s="135"/>
      <c r="F4165" s="31"/>
    </row>
    <row r="4166">
      <c r="A4166" s="134" t="str">
        <f>IFERROR(__xludf.DUMMYFUNCTION("""COMPUTED_VALUE"""),"Kiunga")</f>
        <v>Kiunga</v>
      </c>
      <c r="B4166" s="120" t="str">
        <f>IFERROR(__xludf.DUMMYFUNCTION("""COMPUTED_VALUE"""),"KIU")</f>
        <v>KIU</v>
      </c>
      <c r="C4166" s="120" t="str">
        <f>IFERROR(__xludf.DUMMYFUNCTION("""COMPUTED_VALUE"""),"Kiunga")</f>
        <v>Kiunga</v>
      </c>
      <c r="D4166" s="120" t="str">
        <f>IFERROR(__xludf.DUMMYFUNCTION("""COMPUTED_VALUE"""),"Kenya")</f>
        <v>Kenya</v>
      </c>
      <c r="E4166" s="135"/>
      <c r="F4166" s="31"/>
    </row>
    <row r="4167">
      <c r="A4167" s="134" t="str">
        <f>IFERROR(__xludf.DUMMYFUNCTION("""COMPUTED_VALUE"""),"Kiunga")</f>
        <v>Kiunga</v>
      </c>
      <c r="B4167" s="120" t="str">
        <f>IFERROR(__xludf.DUMMYFUNCTION("""COMPUTED_VALUE"""),"UNG")</f>
        <v>UNG</v>
      </c>
      <c r="C4167" s="120" t="str">
        <f>IFERROR(__xludf.DUMMYFUNCTION("""COMPUTED_VALUE"""),"Kiunga")</f>
        <v>Kiunga</v>
      </c>
      <c r="D4167" s="120" t="str">
        <f>IFERROR(__xludf.DUMMYFUNCTION("""COMPUTED_VALUE"""),"Papua New Guinea")</f>
        <v>Papua New Guinea</v>
      </c>
      <c r="E4167" s="135"/>
      <c r="F4167" s="31"/>
    </row>
    <row r="4168">
      <c r="A4168" s="134" t="str">
        <f>IFERROR(__xludf.DUMMYFUNCTION("""COMPUTED_VALUE"""),"Kivalina")</f>
        <v>Kivalina</v>
      </c>
      <c r="B4168" s="120" t="str">
        <f>IFERROR(__xludf.DUMMYFUNCTION("""COMPUTED_VALUE"""),"KVL")</f>
        <v>KVL</v>
      </c>
      <c r="C4168" s="120" t="str">
        <f>IFERROR(__xludf.DUMMYFUNCTION("""COMPUTED_VALUE"""),"Kivalina")</f>
        <v>Kivalina</v>
      </c>
      <c r="D4168" s="120" t="str">
        <f>IFERROR(__xludf.DUMMYFUNCTION("""COMPUTED_VALUE"""),"United States")</f>
        <v>United States</v>
      </c>
      <c r="E4168" s="135"/>
      <c r="F4168" s="31"/>
    </row>
    <row r="4169">
      <c r="A4169" s="134" t="str">
        <f>IFERROR(__xludf.DUMMYFUNCTION("""COMPUTED_VALUE"""),"Kiwai Island")</f>
        <v>Kiwai Island</v>
      </c>
      <c r="B4169" s="120" t="str">
        <f>IFERROR(__xludf.DUMMYFUNCTION("""COMPUTED_VALUE"""),"KWX")</f>
        <v>KWX</v>
      </c>
      <c r="C4169" s="120" t="str">
        <f>IFERROR(__xludf.DUMMYFUNCTION("""COMPUTED_VALUE"""),"Kiwai Island")</f>
        <v>Kiwai Island</v>
      </c>
      <c r="D4169" s="120" t="str">
        <f>IFERROR(__xludf.DUMMYFUNCTION("""COMPUTED_VALUE"""),"Papua New Guinea")</f>
        <v>Papua New Guinea</v>
      </c>
      <c r="E4169" s="135"/>
      <c r="F4169" s="31"/>
    </row>
    <row r="4170">
      <c r="A4170" s="134" t="str">
        <f>IFERROR(__xludf.DUMMYFUNCTION("""COMPUTED_VALUE"""),"Kiwayu")</f>
        <v>Kiwayu</v>
      </c>
      <c r="B4170" s="120" t="str">
        <f>IFERROR(__xludf.DUMMYFUNCTION("""COMPUTED_VALUE"""),"KWY")</f>
        <v>KWY</v>
      </c>
      <c r="C4170" s="120" t="str">
        <f>IFERROR(__xludf.DUMMYFUNCTION("""COMPUTED_VALUE"""),"Kiwayu")</f>
        <v>Kiwayu</v>
      </c>
      <c r="D4170" s="120" t="str">
        <f>IFERROR(__xludf.DUMMYFUNCTION("""COMPUTED_VALUE"""),"Kenya")</f>
        <v>Kenya</v>
      </c>
      <c r="E4170" s="135"/>
      <c r="F4170" s="31"/>
    </row>
    <row r="4171">
      <c r="A4171" s="134" t="str">
        <f>IFERROR(__xludf.DUMMYFUNCTION("""COMPUTED_VALUE"""),"Kizhuyak")</f>
        <v>Kizhuyak</v>
      </c>
      <c r="B4171" s="120" t="str">
        <f>IFERROR(__xludf.DUMMYFUNCTION("""COMPUTED_VALUE"""),"KZH")</f>
        <v>KZH</v>
      </c>
      <c r="C4171" s="120" t="str">
        <f>IFERROR(__xludf.DUMMYFUNCTION("""COMPUTED_VALUE"""),"Kizhuyak")</f>
        <v>Kizhuyak</v>
      </c>
      <c r="D4171" s="120" t="str">
        <f>IFERROR(__xludf.DUMMYFUNCTION("""COMPUTED_VALUE"""),"United States")</f>
        <v>United States</v>
      </c>
      <c r="E4171" s="135"/>
      <c r="F4171" s="31"/>
    </row>
    <row r="4172">
      <c r="A4172" s="134" t="str">
        <f>IFERROR(__xludf.DUMMYFUNCTION("""COMPUTED_VALUE"""),"Klag Bay")</f>
        <v>Klag Bay</v>
      </c>
      <c r="B4172" s="120" t="str">
        <f>IFERROR(__xludf.DUMMYFUNCTION("""COMPUTED_VALUE"""),"KBK")</f>
        <v>KBK</v>
      </c>
      <c r="C4172" s="120" t="str">
        <f>IFERROR(__xludf.DUMMYFUNCTION("""COMPUTED_VALUE"""),"Klag Bay")</f>
        <v>Klag Bay</v>
      </c>
      <c r="D4172" s="120" t="str">
        <f>IFERROR(__xludf.DUMMYFUNCTION("""COMPUTED_VALUE"""),"United States")</f>
        <v>United States</v>
      </c>
      <c r="E4172" s="135"/>
      <c r="F4172" s="31"/>
    </row>
    <row r="4173">
      <c r="A4173" s="134" t="str">
        <f>IFERROR(__xludf.DUMMYFUNCTION("""COMPUTED_VALUE"""),"Klagenfurt")</f>
        <v>Klagenfurt</v>
      </c>
      <c r="B4173" s="120" t="str">
        <f>IFERROR(__xludf.DUMMYFUNCTION("""COMPUTED_VALUE"""),"KLU")</f>
        <v>KLU</v>
      </c>
      <c r="C4173" s="120" t="str">
        <f>IFERROR(__xludf.DUMMYFUNCTION("""COMPUTED_VALUE"""),"Alpe Adria")</f>
        <v>Alpe Adria</v>
      </c>
      <c r="D4173" s="120" t="str">
        <f>IFERROR(__xludf.DUMMYFUNCTION("""COMPUTED_VALUE"""),"Austria")</f>
        <v>Austria</v>
      </c>
      <c r="E4173" s="135"/>
      <c r="F4173" s="31"/>
    </row>
    <row r="4174">
      <c r="A4174" s="134" t="str">
        <f>IFERROR(__xludf.DUMMYFUNCTION("""COMPUTED_VALUE"""),"Klaipeda/Palanga")</f>
        <v>Klaipeda/Palanga</v>
      </c>
      <c r="B4174" s="120" t="str">
        <f>IFERROR(__xludf.DUMMYFUNCTION("""COMPUTED_VALUE"""),"PLQ")</f>
        <v>PLQ</v>
      </c>
      <c r="C4174" s="120" t="str">
        <f>IFERROR(__xludf.DUMMYFUNCTION("""COMPUTED_VALUE"""),"Palanga International")</f>
        <v>Palanga International</v>
      </c>
      <c r="D4174" s="120" t="str">
        <f>IFERROR(__xludf.DUMMYFUNCTION("""COMPUTED_VALUE"""),"Lithuania")</f>
        <v>Lithuania</v>
      </c>
      <c r="E4174" s="135"/>
      <c r="F4174" s="31"/>
    </row>
    <row r="4175">
      <c r="A4175" s="134" t="str">
        <f>IFERROR(__xludf.DUMMYFUNCTION("""COMPUTED_VALUE"""),"Klamath Falls")</f>
        <v>Klamath Falls</v>
      </c>
      <c r="B4175" s="120" t="str">
        <f>IFERROR(__xludf.DUMMYFUNCTION("""COMPUTED_VALUE"""),"LMT")</f>
        <v>LMT</v>
      </c>
      <c r="C4175" s="120" t="str">
        <f>IFERROR(__xludf.DUMMYFUNCTION("""COMPUTED_VALUE"""),"Kingsley Field")</f>
        <v>Kingsley Field</v>
      </c>
      <c r="D4175" s="120" t="str">
        <f>IFERROR(__xludf.DUMMYFUNCTION("""COMPUTED_VALUE"""),"United States")</f>
        <v>United States</v>
      </c>
      <c r="E4175" s="135"/>
      <c r="F4175" s="31"/>
    </row>
    <row r="4176">
      <c r="A4176" s="134" t="str">
        <f>IFERROR(__xludf.DUMMYFUNCTION("""COMPUTED_VALUE"""),"Klawock")</f>
        <v>Klawock</v>
      </c>
      <c r="B4176" s="120" t="str">
        <f>IFERROR(__xludf.DUMMYFUNCTION("""COMPUTED_VALUE"""),"KLW")</f>
        <v>KLW</v>
      </c>
      <c r="C4176" s="120" t="str">
        <f>IFERROR(__xludf.DUMMYFUNCTION("""COMPUTED_VALUE"""),"Klawock")</f>
        <v>Klawock</v>
      </c>
      <c r="D4176" s="120" t="str">
        <f>IFERROR(__xludf.DUMMYFUNCTION("""COMPUTED_VALUE"""),"United States")</f>
        <v>United States</v>
      </c>
      <c r="E4176" s="135"/>
      <c r="F4176" s="31"/>
    </row>
    <row r="4177">
      <c r="A4177" s="134" t="str">
        <f>IFERROR(__xludf.DUMMYFUNCTION("""COMPUTED_VALUE"""),"Kleinzee")</f>
        <v>Kleinzee</v>
      </c>
      <c r="B4177" s="120" t="str">
        <f>IFERROR(__xludf.DUMMYFUNCTION("""COMPUTED_VALUE"""),"KLZ")</f>
        <v>KLZ</v>
      </c>
      <c r="C4177" s="120" t="str">
        <f>IFERROR(__xludf.DUMMYFUNCTION("""COMPUTED_VALUE"""),"Kleinzee")</f>
        <v>Kleinzee</v>
      </c>
      <c r="D4177" s="120" t="str">
        <f>IFERROR(__xludf.DUMMYFUNCTION("""COMPUTED_VALUE"""),"South Africa")</f>
        <v>South Africa</v>
      </c>
      <c r="E4177" s="135"/>
      <c r="F4177" s="31"/>
    </row>
    <row r="4178">
      <c r="A4178" s="134" t="str">
        <f>IFERROR(__xludf.DUMMYFUNCTION("""COMPUTED_VALUE"""),"Klemtu")</f>
        <v>Klemtu</v>
      </c>
      <c r="B4178" s="120" t="str">
        <f>IFERROR(__xludf.DUMMYFUNCTION("""COMPUTED_VALUE"""),"YKT")</f>
        <v>YKT</v>
      </c>
      <c r="C4178" s="120" t="str">
        <f>IFERROR(__xludf.DUMMYFUNCTION("""COMPUTED_VALUE"""),"Klemtu")</f>
        <v>Klemtu</v>
      </c>
      <c r="D4178" s="120" t="str">
        <f>IFERROR(__xludf.DUMMYFUNCTION("""COMPUTED_VALUE"""),"Canada")</f>
        <v>Canada</v>
      </c>
      <c r="E4178" s="135"/>
      <c r="F4178" s="31"/>
    </row>
    <row r="4179">
      <c r="A4179" s="134" t="str">
        <f>IFERROR(__xludf.DUMMYFUNCTION("""COMPUTED_VALUE"""),"Klerksdorp")</f>
        <v>Klerksdorp</v>
      </c>
      <c r="B4179" s="120" t="str">
        <f>IFERROR(__xludf.DUMMYFUNCTION("""COMPUTED_VALUE"""),"KXE")</f>
        <v>KXE</v>
      </c>
      <c r="C4179" s="120" t="str">
        <f>IFERROR(__xludf.DUMMYFUNCTION("""COMPUTED_VALUE"""),"Klerksdorp")</f>
        <v>Klerksdorp</v>
      </c>
      <c r="D4179" s="120" t="str">
        <f>IFERROR(__xludf.DUMMYFUNCTION("""COMPUTED_VALUE"""),"South Africa")</f>
        <v>South Africa</v>
      </c>
      <c r="E4179" s="135"/>
      <c r="F4179" s="31"/>
    </row>
    <row r="4180">
      <c r="A4180" s="134" t="str">
        <f>IFERROR(__xludf.DUMMYFUNCTION("""COMPUTED_VALUE"""),"Knee Lake")</f>
        <v>Knee Lake</v>
      </c>
      <c r="B4180" s="120" t="str">
        <f>IFERROR(__xludf.DUMMYFUNCTION("""COMPUTED_VALUE"""),"YKE")</f>
        <v>YKE</v>
      </c>
      <c r="C4180" s="120" t="str">
        <f>IFERROR(__xludf.DUMMYFUNCTION("""COMPUTED_VALUE"""),"Knee Lake")</f>
        <v>Knee Lake</v>
      </c>
      <c r="D4180" s="120" t="str">
        <f>IFERROR(__xludf.DUMMYFUNCTION("""COMPUTED_VALUE"""),"Canada")</f>
        <v>Canada</v>
      </c>
      <c r="E4180" s="135"/>
      <c r="F4180" s="31"/>
    </row>
    <row r="4181">
      <c r="A4181" s="134" t="str">
        <f>IFERROR(__xludf.DUMMYFUNCTION("""COMPUTED_VALUE"""),"Knights Inlet")</f>
        <v>Knights Inlet</v>
      </c>
      <c r="B4181" s="120" t="str">
        <f>IFERROR(__xludf.DUMMYFUNCTION("""COMPUTED_VALUE"""),"KNV")</f>
        <v>KNV</v>
      </c>
      <c r="C4181" s="120" t="str">
        <f>IFERROR(__xludf.DUMMYFUNCTION("""COMPUTED_VALUE"""),"Knights Inlet")</f>
        <v>Knights Inlet</v>
      </c>
      <c r="D4181" s="120" t="str">
        <f>IFERROR(__xludf.DUMMYFUNCTION("""COMPUTED_VALUE"""),"Canada")</f>
        <v>Canada</v>
      </c>
      <c r="E4181" s="135"/>
      <c r="F4181" s="31"/>
    </row>
    <row r="4182">
      <c r="A4182" s="134" t="str">
        <f>IFERROR(__xludf.DUMMYFUNCTION("""COMPUTED_VALUE"""),"Knock")</f>
        <v>Knock</v>
      </c>
      <c r="B4182" s="120" t="str">
        <f>IFERROR(__xludf.DUMMYFUNCTION("""COMPUTED_VALUE"""),"NOC")</f>
        <v>NOC</v>
      </c>
      <c r="C4182" s="120" t="str">
        <f>IFERROR(__xludf.DUMMYFUNCTION("""COMPUTED_VALUE"""),"Ireland West Airport Knock")</f>
        <v>Ireland West Airport Knock</v>
      </c>
      <c r="D4182" s="120" t="str">
        <f>IFERROR(__xludf.DUMMYFUNCTION("""COMPUTED_VALUE"""),"Ireland")</f>
        <v>Ireland</v>
      </c>
      <c r="E4182" s="135"/>
      <c r="F4182" s="31"/>
    </row>
    <row r="4183">
      <c r="A4183" s="134" t="str">
        <f>IFERROR(__xludf.DUMMYFUNCTION("""COMPUTED_VALUE"""),"Knokke/Het Zoute")</f>
        <v>Knokke/Het Zoute</v>
      </c>
      <c r="B4183" s="120" t="str">
        <f>IFERROR(__xludf.DUMMYFUNCTION("""COMPUTED_VALUE"""),"KNO")</f>
        <v>KNO</v>
      </c>
      <c r="C4183" s="120" t="str">
        <f>IFERROR(__xludf.DUMMYFUNCTION("""COMPUTED_VALUE"""),"Medan Kuala Namu International Airport")</f>
        <v>Medan Kuala Namu International Airport</v>
      </c>
      <c r="D4183" s="120" t="str">
        <f>IFERROR(__xludf.DUMMYFUNCTION("""COMPUTED_VALUE"""),"Indonesia")</f>
        <v>Indonesia</v>
      </c>
      <c r="E4183" s="135"/>
      <c r="F4183" s="31"/>
    </row>
    <row r="4184">
      <c r="A4184" s="134" t="str">
        <f>IFERROR(__xludf.DUMMYFUNCTION("""COMPUTED_VALUE"""),"Knoxville")</f>
        <v>Knoxville</v>
      </c>
      <c r="B4184" s="120" t="str">
        <f>IFERROR(__xludf.DUMMYFUNCTION("""COMPUTED_VALUE"""),"TYS")</f>
        <v>TYS</v>
      </c>
      <c r="C4184" s="120" t="str">
        <f>IFERROR(__xludf.DUMMYFUNCTION("""COMPUTED_VALUE"""),"Mc Ghee Tyson")</f>
        <v>Mc Ghee Tyson</v>
      </c>
      <c r="D4184" s="120" t="str">
        <f>IFERROR(__xludf.DUMMYFUNCTION("""COMPUTED_VALUE"""),"United States")</f>
        <v>United States</v>
      </c>
      <c r="E4184" s="135"/>
      <c r="F4184" s="31"/>
    </row>
    <row r="4185">
      <c r="A4185" s="134" t="str">
        <f>IFERROR(__xludf.DUMMYFUNCTION("""COMPUTED_VALUE"""),"Kobe")</f>
        <v>Kobe</v>
      </c>
      <c r="B4185" s="120" t="str">
        <f>IFERROR(__xludf.DUMMYFUNCTION("""COMPUTED_VALUE"""),"UKB")</f>
        <v>UKB</v>
      </c>
      <c r="C4185" s="120" t="str">
        <f>IFERROR(__xludf.DUMMYFUNCTION("""COMPUTED_VALUE"""),"Kobe")</f>
        <v>Kobe</v>
      </c>
      <c r="D4185" s="120" t="str">
        <f>IFERROR(__xludf.DUMMYFUNCTION("""COMPUTED_VALUE"""),"Japan")</f>
        <v>Japan</v>
      </c>
      <c r="E4185" s="135"/>
      <c r="F4185" s="31"/>
    </row>
    <row r="4186">
      <c r="A4186" s="134" t="str">
        <f>IFERROR(__xludf.DUMMYFUNCTION("""COMPUTED_VALUE"""),"Kobuk")</f>
        <v>Kobuk</v>
      </c>
      <c r="B4186" s="120" t="str">
        <f>IFERROR(__xludf.DUMMYFUNCTION("""COMPUTED_VALUE"""),"OBU")</f>
        <v>OBU</v>
      </c>
      <c r="C4186" s="120" t="str">
        <f>IFERROR(__xludf.DUMMYFUNCTION("""COMPUTED_VALUE"""),"Kobuk/Wien")</f>
        <v>Kobuk/Wien</v>
      </c>
      <c r="D4186" s="120" t="str">
        <f>IFERROR(__xludf.DUMMYFUNCTION("""COMPUTED_VALUE"""),"United States")</f>
        <v>United States</v>
      </c>
      <c r="E4186" s="135"/>
      <c r="F4186" s="31"/>
    </row>
    <row r="4187">
      <c r="A4187" s="134" t="str">
        <f>IFERROR(__xludf.DUMMYFUNCTION("""COMPUTED_VALUE"""),"Kocaeli")</f>
        <v>Kocaeli</v>
      </c>
      <c r="B4187" s="120" t="str">
        <f>IFERROR(__xludf.DUMMYFUNCTION("""COMPUTED_VALUE"""),"KCO")</f>
        <v>KCO</v>
      </c>
      <c r="C4187" s="120" t="str">
        <f>IFERROR(__xludf.DUMMYFUNCTION("""COMPUTED_VALUE"""),"Cengiz Topel")</f>
        <v>Cengiz Topel</v>
      </c>
      <c r="D4187" s="120" t="str">
        <f>IFERROR(__xludf.DUMMYFUNCTION("""COMPUTED_VALUE"""),"Turkey")</f>
        <v>Turkey</v>
      </c>
      <c r="E4187" s="135"/>
      <c r="F4187" s="31"/>
    </row>
    <row r="4188">
      <c r="A4188" s="134" t="str">
        <f>IFERROR(__xludf.DUMMYFUNCTION("""COMPUTED_VALUE"""),"Kochi")</f>
        <v>Kochi</v>
      </c>
      <c r="B4188" s="120" t="str">
        <f>IFERROR(__xludf.DUMMYFUNCTION("""COMPUTED_VALUE"""),"COK")</f>
        <v>COK</v>
      </c>
      <c r="C4188" s="120" t="str">
        <f>IFERROR(__xludf.DUMMYFUNCTION("""COMPUTED_VALUE"""),"Kochi")</f>
        <v>Kochi</v>
      </c>
      <c r="D4188" s="120" t="str">
        <f>IFERROR(__xludf.DUMMYFUNCTION("""COMPUTED_VALUE"""),"India")</f>
        <v>India</v>
      </c>
      <c r="E4188" s="135"/>
      <c r="F4188" s="31"/>
    </row>
    <row r="4189">
      <c r="A4189" s="134" t="str">
        <f>IFERROR(__xludf.DUMMYFUNCTION("""COMPUTED_VALUE"""),"Kochi")</f>
        <v>Kochi</v>
      </c>
      <c r="B4189" s="120" t="str">
        <f>IFERROR(__xludf.DUMMYFUNCTION("""COMPUTED_VALUE"""),"KCZ")</f>
        <v>KCZ</v>
      </c>
      <c r="C4189" s="120" t="str">
        <f>IFERROR(__xludf.DUMMYFUNCTION("""COMPUTED_VALUE"""),"Kochi")</f>
        <v>Kochi</v>
      </c>
      <c r="D4189" s="120" t="str">
        <f>IFERROR(__xludf.DUMMYFUNCTION("""COMPUTED_VALUE"""),"Japan")</f>
        <v>Japan</v>
      </c>
      <c r="E4189" s="135"/>
      <c r="F4189" s="31"/>
    </row>
    <row r="4190">
      <c r="A4190" s="134" t="str">
        <f>IFERROR(__xludf.DUMMYFUNCTION("""COMPUTED_VALUE"""),"Kodiak")</f>
        <v>Kodiak</v>
      </c>
      <c r="B4190" s="120" t="str">
        <f>IFERROR(__xludf.DUMMYFUNCTION("""COMPUTED_VALUE"""),"ADQ")</f>
        <v>ADQ</v>
      </c>
      <c r="C4190" s="120" t="str">
        <f>IFERROR(__xludf.DUMMYFUNCTION("""COMPUTED_VALUE"""),"Kodiak Airport")</f>
        <v>Kodiak Airport</v>
      </c>
      <c r="D4190" s="120" t="str">
        <f>IFERROR(__xludf.DUMMYFUNCTION("""COMPUTED_VALUE"""),"United States")</f>
        <v>United States</v>
      </c>
      <c r="E4190" s="135"/>
      <c r="F4190" s="31"/>
    </row>
    <row r="4191">
      <c r="A4191" s="134" t="str">
        <f>IFERROR(__xludf.DUMMYFUNCTION("""COMPUTED_VALUE"""),"Kodiak")</f>
        <v>Kodiak</v>
      </c>
      <c r="B4191" s="120" t="str">
        <f>IFERROR(__xludf.DUMMYFUNCTION("""COMPUTED_VALUE"""),"WDY")</f>
        <v>WDY</v>
      </c>
      <c r="C4191" s="120" t="str">
        <f>IFERROR(__xludf.DUMMYFUNCTION("""COMPUTED_VALUE"""),"Kodiak Fss")</f>
        <v>Kodiak Fss</v>
      </c>
      <c r="D4191" s="120" t="str">
        <f>IFERROR(__xludf.DUMMYFUNCTION("""COMPUTED_VALUE"""),"United States")</f>
        <v>United States</v>
      </c>
      <c r="E4191" s="135"/>
      <c r="F4191" s="31"/>
    </row>
    <row r="4192">
      <c r="A4192" s="134" t="str">
        <f>IFERROR(__xludf.DUMMYFUNCTION("""COMPUTED_VALUE"""),"Kodiak")</f>
        <v>Kodiak</v>
      </c>
      <c r="B4192" s="120" t="str">
        <f>IFERROR(__xludf.DUMMYFUNCTION("""COMPUTED_VALUE"""),"KDK")</f>
        <v>KDK</v>
      </c>
      <c r="C4192" s="120" t="str">
        <f>IFERROR(__xludf.DUMMYFUNCTION("""COMPUTED_VALUE"""),"Municipal")</f>
        <v>Municipal</v>
      </c>
      <c r="D4192" s="120" t="str">
        <f>IFERROR(__xludf.DUMMYFUNCTION("""COMPUTED_VALUE"""),"United States")</f>
        <v>United States</v>
      </c>
      <c r="E4192" s="135"/>
      <c r="F4192" s="31"/>
    </row>
    <row r="4193">
      <c r="A4193" s="134" t="str">
        <f>IFERROR(__xludf.DUMMYFUNCTION("""COMPUTED_VALUE"""),"Koethen")</f>
        <v>Koethen</v>
      </c>
      <c r="B4193" s="120" t="str">
        <f>IFERROR(__xludf.DUMMYFUNCTION("""COMPUTED_VALUE"""),"KOQ")</f>
        <v>KOQ</v>
      </c>
      <c r="C4193" s="120" t="str">
        <f>IFERROR(__xludf.DUMMYFUNCTION("""COMPUTED_VALUE"""),"Koethen")</f>
        <v>Koethen</v>
      </c>
      <c r="D4193" s="120" t="str">
        <f>IFERROR(__xludf.DUMMYFUNCTION("""COMPUTED_VALUE"""),"Germany")</f>
        <v>Germany</v>
      </c>
      <c r="E4193" s="135"/>
      <c r="F4193" s="31"/>
    </row>
    <row r="4194">
      <c r="A4194" s="134" t="str">
        <f>IFERROR(__xludf.DUMMYFUNCTION("""COMPUTED_VALUE"""),"Kogalym")</f>
        <v>Kogalym</v>
      </c>
      <c r="B4194" s="120" t="str">
        <f>IFERROR(__xludf.DUMMYFUNCTION("""COMPUTED_VALUE"""),"KGP")</f>
        <v>KGP</v>
      </c>
      <c r="C4194" s="120" t="str">
        <f>IFERROR(__xludf.DUMMYFUNCTION("""COMPUTED_VALUE"""),"Kogalym International")</f>
        <v>Kogalym International</v>
      </c>
      <c r="D4194" s="120" t="str">
        <f>IFERROR(__xludf.DUMMYFUNCTION("""COMPUTED_VALUE"""),"Russia")</f>
        <v>Russia</v>
      </c>
      <c r="E4194" s="135"/>
      <c r="F4194" s="31"/>
    </row>
    <row r="4195">
      <c r="A4195" s="134" t="str">
        <f>IFERROR(__xludf.DUMMYFUNCTION("""COMPUTED_VALUE"""),"Koggala")</f>
        <v>Koggala</v>
      </c>
      <c r="B4195" s="120" t="str">
        <f>IFERROR(__xludf.DUMMYFUNCTION("""COMPUTED_VALUE"""),"KCT")</f>
        <v>KCT</v>
      </c>
      <c r="C4195" s="120" t="str">
        <f>IFERROR(__xludf.DUMMYFUNCTION("""COMPUTED_VALUE"""),"Koggala")</f>
        <v>Koggala</v>
      </c>
      <c r="D4195" s="120" t="str">
        <f>IFERROR(__xludf.DUMMYFUNCTION("""COMPUTED_VALUE"""),"Sri Lanka")</f>
        <v>Sri Lanka</v>
      </c>
      <c r="E4195" s="135"/>
      <c r="F4195" s="31"/>
    </row>
    <row r="4196">
      <c r="A4196" s="134" t="str">
        <f>IFERROR(__xludf.DUMMYFUNCTION("""COMPUTED_VALUE"""),"Koh Kong")</f>
        <v>Koh Kong</v>
      </c>
      <c r="B4196" s="120" t="str">
        <f>IFERROR(__xludf.DUMMYFUNCTION("""COMPUTED_VALUE"""),"KKZ")</f>
        <v>KKZ</v>
      </c>
      <c r="C4196" s="120" t="str">
        <f>IFERROR(__xludf.DUMMYFUNCTION("""COMPUTED_VALUE"""),"Koh Kong")</f>
        <v>Koh Kong</v>
      </c>
      <c r="D4196" s="120" t="str">
        <f>IFERROR(__xludf.DUMMYFUNCTION("""COMPUTED_VALUE"""),"Cambodia")</f>
        <v>Cambodia</v>
      </c>
      <c r="E4196" s="135"/>
      <c r="F4196" s="31"/>
    </row>
    <row r="4197">
      <c r="A4197" s="134" t="str">
        <f>IFERROR(__xludf.DUMMYFUNCTION("""COMPUTED_VALUE"""),"Koh Samui")</f>
        <v>Koh Samui</v>
      </c>
      <c r="B4197" s="120" t="str">
        <f>IFERROR(__xludf.DUMMYFUNCTION("""COMPUTED_VALUE"""),"USM")</f>
        <v>USM</v>
      </c>
      <c r="C4197" s="120" t="str">
        <f>IFERROR(__xludf.DUMMYFUNCTION("""COMPUTED_VALUE"""),"Koh Samui")</f>
        <v>Koh Samui</v>
      </c>
      <c r="D4197" s="120" t="str">
        <f>IFERROR(__xludf.DUMMYFUNCTION("""COMPUTED_VALUE"""),"Thailand")</f>
        <v>Thailand</v>
      </c>
      <c r="E4197" s="135"/>
      <c r="F4197" s="31"/>
    </row>
    <row r="4198">
      <c r="A4198" s="134" t="str">
        <f>IFERROR(__xludf.DUMMYFUNCTION("""COMPUTED_VALUE"""),"Kohat")</f>
        <v>Kohat</v>
      </c>
      <c r="B4198" s="120" t="str">
        <f>IFERROR(__xludf.DUMMYFUNCTION("""COMPUTED_VALUE"""),"OHT")</f>
        <v>OHT</v>
      </c>
      <c r="C4198" s="120" t="str">
        <f>IFERROR(__xludf.DUMMYFUNCTION("""COMPUTED_VALUE"""),"Kohat")</f>
        <v>Kohat</v>
      </c>
      <c r="D4198" s="120" t="str">
        <f>IFERROR(__xludf.DUMMYFUNCTION("""COMPUTED_VALUE"""),"Pakistan")</f>
        <v>Pakistan</v>
      </c>
      <c r="E4198" s="135"/>
      <c r="F4198" s="31"/>
    </row>
    <row r="4199">
      <c r="A4199" s="134" t="str">
        <f>IFERROR(__xludf.DUMMYFUNCTION("""COMPUTED_VALUE"""),"Koinambe")</f>
        <v>Koinambe</v>
      </c>
      <c r="B4199" s="120" t="str">
        <f>IFERROR(__xludf.DUMMYFUNCTION("""COMPUTED_VALUE"""),"KMB")</f>
        <v>KMB</v>
      </c>
      <c r="C4199" s="120" t="str">
        <f>IFERROR(__xludf.DUMMYFUNCTION("""COMPUTED_VALUE"""),"Koinambe")</f>
        <v>Koinambe</v>
      </c>
      <c r="D4199" s="120" t="str">
        <f>IFERROR(__xludf.DUMMYFUNCTION("""COMPUTED_VALUE"""),"Papua New Guinea")</f>
        <v>Papua New Guinea</v>
      </c>
      <c r="E4199" s="135"/>
      <c r="F4199" s="31"/>
    </row>
    <row r="4200">
      <c r="A4200" s="134" t="str">
        <f>IFERROR(__xludf.DUMMYFUNCTION("""COMPUTED_VALUE"""),"Koinghaas")</f>
        <v>Koinghaas</v>
      </c>
      <c r="B4200" s="120" t="str">
        <f>IFERROR(__xludf.DUMMYFUNCTION("""COMPUTED_VALUE"""),"KIG")</f>
        <v>KIG</v>
      </c>
      <c r="C4200" s="120" t="str">
        <f>IFERROR(__xludf.DUMMYFUNCTION("""COMPUTED_VALUE"""),"Koinghaas")</f>
        <v>Koinghaas</v>
      </c>
      <c r="D4200" s="120" t="str">
        <f>IFERROR(__xludf.DUMMYFUNCTION("""COMPUTED_VALUE"""),"South Africa")</f>
        <v>South Africa</v>
      </c>
      <c r="E4200" s="135"/>
      <c r="F4200" s="31"/>
    </row>
    <row r="4201">
      <c r="A4201" s="134" t="str">
        <f>IFERROR(__xludf.DUMMYFUNCTION("""COMPUTED_VALUE"""),"Kokkola/Pietarsaari")</f>
        <v>Kokkola/Pietarsaari</v>
      </c>
      <c r="B4201" s="120" t="str">
        <f>IFERROR(__xludf.DUMMYFUNCTION("""COMPUTED_VALUE"""),"KOK")</f>
        <v>KOK</v>
      </c>
      <c r="C4201" s="120" t="str">
        <f>IFERROR(__xludf.DUMMYFUNCTION("""COMPUTED_VALUE"""),"Kruunupyy")</f>
        <v>Kruunupyy</v>
      </c>
      <c r="D4201" s="120" t="str">
        <f>IFERROR(__xludf.DUMMYFUNCTION("""COMPUTED_VALUE"""),"Finland")</f>
        <v>Finland</v>
      </c>
      <c r="E4201" s="135"/>
      <c r="F4201" s="31"/>
    </row>
    <row r="4202">
      <c r="A4202" s="134" t="str">
        <f>IFERROR(__xludf.DUMMYFUNCTION("""COMPUTED_VALUE"""),"Kokoda")</f>
        <v>Kokoda</v>
      </c>
      <c r="B4202" s="120" t="str">
        <f>IFERROR(__xludf.DUMMYFUNCTION("""COMPUTED_VALUE"""),"KKD")</f>
        <v>KKD</v>
      </c>
      <c r="C4202" s="120" t="str">
        <f>IFERROR(__xludf.DUMMYFUNCTION("""COMPUTED_VALUE"""),"Kokoda")</f>
        <v>Kokoda</v>
      </c>
      <c r="D4202" s="120" t="str">
        <f>IFERROR(__xludf.DUMMYFUNCTION("""COMPUTED_VALUE"""),"Papua New Guinea")</f>
        <v>Papua New Guinea</v>
      </c>
      <c r="E4202" s="135"/>
      <c r="F4202" s="31"/>
    </row>
    <row r="4203">
      <c r="A4203" s="134" t="str">
        <f>IFERROR(__xludf.DUMMYFUNCTION("""COMPUTED_VALUE"""),"Kokomo")</f>
        <v>Kokomo</v>
      </c>
      <c r="B4203" s="120" t="str">
        <f>IFERROR(__xludf.DUMMYFUNCTION("""COMPUTED_VALUE"""),"OKK")</f>
        <v>OKK</v>
      </c>
      <c r="C4203" s="120" t="str">
        <f>IFERROR(__xludf.DUMMYFUNCTION("""COMPUTED_VALUE"""),"Kokomo")</f>
        <v>Kokomo</v>
      </c>
      <c r="D4203" s="120" t="str">
        <f>IFERROR(__xludf.DUMMYFUNCTION("""COMPUTED_VALUE"""),"United States")</f>
        <v>United States</v>
      </c>
      <c r="E4203" s="135"/>
      <c r="F4203" s="31"/>
    </row>
    <row r="4204">
      <c r="A4204" s="134" t="str">
        <f>IFERROR(__xludf.DUMMYFUNCTION("""COMPUTED_VALUE"""),"Kokoro")</f>
        <v>Kokoro</v>
      </c>
      <c r="B4204" s="120" t="str">
        <f>IFERROR(__xludf.DUMMYFUNCTION("""COMPUTED_VALUE"""),"KOR")</f>
        <v>KOR</v>
      </c>
      <c r="C4204" s="120" t="str">
        <f>IFERROR(__xludf.DUMMYFUNCTION("""COMPUTED_VALUE"""),"Kokoro")</f>
        <v>Kokoro</v>
      </c>
      <c r="D4204" s="120" t="str">
        <f>IFERROR(__xludf.DUMMYFUNCTION("""COMPUTED_VALUE"""),"Papua New Guinea")</f>
        <v>Papua New Guinea</v>
      </c>
      <c r="E4204" s="135"/>
      <c r="F4204" s="31"/>
    </row>
    <row r="4205">
      <c r="A4205" s="134" t="str">
        <f>IFERROR(__xludf.DUMMYFUNCTION("""COMPUTED_VALUE"""),"Kokshetau")</f>
        <v>Kokshetau</v>
      </c>
      <c r="B4205" s="120" t="str">
        <f>IFERROR(__xludf.DUMMYFUNCTION("""COMPUTED_VALUE"""),"KOV")</f>
        <v>KOV</v>
      </c>
      <c r="C4205" s="120" t="str">
        <f>IFERROR(__xludf.DUMMYFUNCTION("""COMPUTED_VALUE"""),"Kokshetau")</f>
        <v>Kokshetau</v>
      </c>
      <c r="D4205" s="120" t="str">
        <f>IFERROR(__xludf.DUMMYFUNCTION("""COMPUTED_VALUE"""),"Kazakhstan")</f>
        <v>Kazakhstan</v>
      </c>
      <c r="E4205" s="135"/>
      <c r="F4205" s="31"/>
    </row>
    <row r="4206">
      <c r="A4206" s="134" t="str">
        <f>IFERROR(__xludf.DUMMYFUNCTION("""COMPUTED_VALUE"""),"Kol")</f>
        <v>Kol</v>
      </c>
      <c r="B4206" s="120" t="str">
        <f>IFERROR(__xludf.DUMMYFUNCTION("""COMPUTED_VALUE"""),"KQL")</f>
        <v>KQL</v>
      </c>
      <c r="C4206" s="120" t="str">
        <f>IFERROR(__xludf.DUMMYFUNCTION("""COMPUTED_VALUE"""),"Kol")</f>
        <v>Kol</v>
      </c>
      <c r="D4206" s="120" t="str">
        <f>IFERROR(__xludf.DUMMYFUNCTION("""COMPUTED_VALUE"""),"Papua New Guinea")</f>
        <v>Papua New Guinea</v>
      </c>
      <c r="E4206" s="135"/>
      <c r="F4206" s="31"/>
    </row>
    <row r="4207">
      <c r="A4207" s="134" t="str">
        <f>IFERROR(__xludf.DUMMYFUNCTION("""COMPUTED_VALUE"""),"Kolda")</f>
        <v>Kolda</v>
      </c>
      <c r="B4207" s="120" t="str">
        <f>IFERROR(__xludf.DUMMYFUNCTION("""COMPUTED_VALUE"""),"KDA")</f>
        <v>KDA</v>
      </c>
      <c r="C4207" s="120" t="str">
        <f>IFERROR(__xludf.DUMMYFUNCTION("""COMPUTED_VALUE"""),"Kolda")</f>
        <v>Kolda</v>
      </c>
      <c r="D4207" s="120" t="str">
        <f>IFERROR(__xludf.DUMMYFUNCTION("""COMPUTED_VALUE"""),"Senegal")</f>
        <v>Senegal</v>
      </c>
      <c r="E4207" s="135"/>
      <c r="F4207" s="31"/>
    </row>
    <row r="4208">
      <c r="A4208" s="134" t="str">
        <f>IFERROR(__xludf.DUMMYFUNCTION("""COMPUTED_VALUE"""),"Kolhapur")</f>
        <v>Kolhapur</v>
      </c>
      <c r="B4208" s="120" t="str">
        <f>IFERROR(__xludf.DUMMYFUNCTION("""COMPUTED_VALUE"""),"KLH")</f>
        <v>KLH</v>
      </c>
      <c r="C4208" s="120" t="str">
        <f>IFERROR(__xludf.DUMMYFUNCTION("""COMPUTED_VALUE"""),"Kolhapur")</f>
        <v>Kolhapur</v>
      </c>
      <c r="D4208" s="120" t="str">
        <f>IFERROR(__xludf.DUMMYFUNCTION("""COMPUTED_VALUE"""),"India")</f>
        <v>India</v>
      </c>
      <c r="E4208" s="135"/>
      <c r="F4208" s="31"/>
    </row>
    <row r="4209">
      <c r="A4209" s="134" t="str">
        <f>IFERROR(__xludf.DUMMYFUNCTION("""COMPUTED_VALUE"""),"Kolkata")</f>
        <v>Kolkata</v>
      </c>
      <c r="B4209" s="120" t="str">
        <f>IFERROR(__xludf.DUMMYFUNCTION("""COMPUTED_VALUE"""),"CCU")</f>
        <v>CCU</v>
      </c>
      <c r="C4209" s="120" t="str">
        <f>IFERROR(__xludf.DUMMYFUNCTION("""COMPUTED_VALUE"""),"Netaji Subhas Chandra")</f>
        <v>Netaji Subhas Chandra</v>
      </c>
      <c r="D4209" s="120" t="str">
        <f>IFERROR(__xludf.DUMMYFUNCTION("""COMPUTED_VALUE"""),"India")</f>
        <v>India</v>
      </c>
      <c r="E4209" s="135"/>
      <c r="F4209" s="31"/>
    </row>
    <row r="4210">
      <c r="A4210" s="134" t="str">
        <f>IFERROR(__xludf.DUMMYFUNCTION("""COMPUTED_VALUE"""),"Kolwezi")</f>
        <v>Kolwezi</v>
      </c>
      <c r="B4210" s="120" t="str">
        <f>IFERROR(__xludf.DUMMYFUNCTION("""COMPUTED_VALUE"""),"KWZ")</f>
        <v>KWZ</v>
      </c>
      <c r="C4210" s="120" t="str">
        <f>IFERROR(__xludf.DUMMYFUNCTION("""COMPUTED_VALUE"""),"Kolwezi")</f>
        <v>Kolwezi</v>
      </c>
      <c r="D4210" s="120" t="str">
        <f>IFERROR(__xludf.DUMMYFUNCTION("""COMPUTED_VALUE"""),"Zaire")</f>
        <v>Zaire</v>
      </c>
      <c r="E4210" s="135"/>
      <c r="F4210" s="31"/>
    </row>
    <row r="4211">
      <c r="A4211" s="134" t="str">
        <f>IFERROR(__xludf.DUMMYFUNCTION("""COMPUTED_VALUE"""),"Komaio")</f>
        <v>Komaio</v>
      </c>
      <c r="B4211" s="120" t="str">
        <f>IFERROR(__xludf.DUMMYFUNCTION("""COMPUTED_VALUE"""),"KCJ")</f>
        <v>KCJ</v>
      </c>
      <c r="C4211" s="120" t="str">
        <f>IFERROR(__xludf.DUMMYFUNCTION("""COMPUTED_VALUE"""),"Komaio")</f>
        <v>Komaio</v>
      </c>
      <c r="D4211" s="120" t="str">
        <f>IFERROR(__xludf.DUMMYFUNCTION("""COMPUTED_VALUE"""),"Papua New Guinea")</f>
        <v>Papua New Guinea</v>
      </c>
      <c r="E4211" s="135"/>
      <c r="F4211" s="31"/>
    </row>
    <row r="4212">
      <c r="A4212" s="134" t="str">
        <f>IFERROR(__xludf.DUMMYFUNCTION("""COMPUTED_VALUE"""),"Komako")</f>
        <v>Komako</v>
      </c>
      <c r="B4212" s="120" t="str">
        <f>IFERROR(__xludf.DUMMYFUNCTION("""COMPUTED_VALUE"""),"HOC")</f>
        <v>HOC</v>
      </c>
      <c r="C4212" s="120" t="str">
        <f>IFERROR(__xludf.DUMMYFUNCTION("""COMPUTED_VALUE"""),"Komako")</f>
        <v>Komako</v>
      </c>
      <c r="D4212" s="120" t="str">
        <f>IFERROR(__xludf.DUMMYFUNCTION("""COMPUTED_VALUE"""),"Papua New Guinea")</f>
        <v>Papua New Guinea</v>
      </c>
      <c r="E4212" s="135"/>
      <c r="F4212" s="31"/>
    </row>
    <row r="4213">
      <c r="A4213" s="134" t="str">
        <f>IFERROR(__xludf.DUMMYFUNCTION("""COMPUTED_VALUE"""),"Komatipoort")</f>
        <v>Komatipoort</v>
      </c>
      <c r="B4213" s="120" t="str">
        <f>IFERROR(__xludf.DUMMYFUNCTION("""COMPUTED_VALUE"""),"KOF")</f>
        <v>KOF</v>
      </c>
      <c r="C4213" s="120" t="str">
        <f>IFERROR(__xludf.DUMMYFUNCTION("""COMPUTED_VALUE"""),"Komatipoort")</f>
        <v>Komatipoort</v>
      </c>
      <c r="D4213" s="120" t="str">
        <f>IFERROR(__xludf.DUMMYFUNCTION("""COMPUTED_VALUE"""),"South Africa")</f>
        <v>South Africa</v>
      </c>
      <c r="E4213" s="135"/>
      <c r="F4213" s="31"/>
    </row>
    <row r="4214">
      <c r="A4214" s="134" t="str">
        <f>IFERROR(__xludf.DUMMYFUNCTION("""COMPUTED_VALUE"""),"Komatsu")</f>
        <v>Komatsu</v>
      </c>
      <c r="B4214" s="120" t="str">
        <f>IFERROR(__xludf.DUMMYFUNCTION("""COMPUTED_VALUE"""),"KMQ")</f>
        <v>KMQ</v>
      </c>
      <c r="C4214" s="120" t="str">
        <f>IFERROR(__xludf.DUMMYFUNCTION("""COMPUTED_VALUE"""),"Komatsu")</f>
        <v>Komatsu</v>
      </c>
      <c r="D4214" s="120" t="str">
        <f>IFERROR(__xludf.DUMMYFUNCTION("""COMPUTED_VALUE"""),"Japan")</f>
        <v>Japan</v>
      </c>
      <c r="E4214" s="135"/>
      <c r="F4214" s="31"/>
    </row>
    <row r="4215">
      <c r="A4215" s="134" t="str">
        <f>IFERROR(__xludf.DUMMYFUNCTION("""COMPUTED_VALUE"""),"Komo-Manda")</f>
        <v>Komo-Manda</v>
      </c>
      <c r="B4215" s="120" t="str">
        <f>IFERROR(__xludf.DUMMYFUNCTION("""COMPUTED_VALUE"""),"KOM")</f>
        <v>KOM</v>
      </c>
      <c r="C4215" s="120" t="str">
        <f>IFERROR(__xludf.DUMMYFUNCTION("""COMPUTED_VALUE"""),"Komo-Manda")</f>
        <v>Komo-Manda</v>
      </c>
      <c r="D4215" s="120" t="str">
        <f>IFERROR(__xludf.DUMMYFUNCTION("""COMPUTED_VALUE"""),"Papua New Guinea")</f>
        <v>Papua New Guinea</v>
      </c>
      <c r="E4215" s="135"/>
      <c r="F4215" s="31"/>
    </row>
    <row r="4216">
      <c r="A4216" s="134" t="str">
        <f>IFERROR(__xludf.DUMMYFUNCTION("""COMPUTED_VALUE"""),"Kompiam")</f>
        <v>Kompiam</v>
      </c>
      <c r="B4216" s="120" t="str">
        <f>IFERROR(__xludf.DUMMYFUNCTION("""COMPUTED_VALUE"""),"KPM")</f>
        <v>KPM</v>
      </c>
      <c r="C4216" s="120" t="str">
        <f>IFERROR(__xludf.DUMMYFUNCTION("""COMPUTED_VALUE"""),"Kompiam")</f>
        <v>Kompiam</v>
      </c>
      <c r="D4216" s="120" t="str">
        <f>IFERROR(__xludf.DUMMYFUNCTION("""COMPUTED_VALUE"""),"Papua New Guinea")</f>
        <v>Papua New Guinea</v>
      </c>
      <c r="E4216" s="135"/>
      <c r="F4216" s="31"/>
    </row>
    <row r="4217">
      <c r="A4217" s="134" t="str">
        <f>IFERROR(__xludf.DUMMYFUNCTION("""COMPUTED_VALUE"""),"Kompong Thom")</f>
        <v>Kompong Thom</v>
      </c>
      <c r="B4217" s="120" t="str">
        <f>IFERROR(__xludf.DUMMYFUNCTION("""COMPUTED_VALUE"""),"KZK")</f>
        <v>KZK</v>
      </c>
      <c r="C4217" s="120" t="str">
        <f>IFERROR(__xludf.DUMMYFUNCTION("""COMPUTED_VALUE"""),"Kompong Thom")</f>
        <v>Kompong Thom</v>
      </c>
      <c r="D4217" s="120" t="str">
        <f>IFERROR(__xludf.DUMMYFUNCTION("""COMPUTED_VALUE"""),"Cambodia")</f>
        <v>Cambodia</v>
      </c>
      <c r="E4217" s="135"/>
      <c r="F4217" s="31"/>
    </row>
    <row r="4218">
      <c r="A4218" s="134" t="str">
        <f>IFERROR(__xludf.DUMMYFUNCTION("""COMPUTED_VALUE"""),"Kompong-Chhna")</f>
        <v>Kompong-Chhna</v>
      </c>
      <c r="B4218" s="120" t="str">
        <f>IFERROR(__xludf.DUMMYFUNCTION("""COMPUTED_VALUE"""),"KZC")</f>
        <v>KZC</v>
      </c>
      <c r="C4218" s="120" t="str">
        <f>IFERROR(__xludf.DUMMYFUNCTION("""COMPUTED_VALUE"""),"Kompong-Chhna")</f>
        <v>Kompong-Chhna</v>
      </c>
      <c r="D4218" s="120" t="str">
        <f>IFERROR(__xludf.DUMMYFUNCTION("""COMPUTED_VALUE"""),"Cambodia")</f>
        <v>Cambodia</v>
      </c>
      <c r="E4218" s="135"/>
      <c r="F4218" s="31"/>
    </row>
    <row r="4219">
      <c r="A4219" s="134" t="str">
        <f>IFERROR(__xludf.DUMMYFUNCTION("""COMPUTED_VALUE"""),"Komsomolsk Na Amure")</f>
        <v>Komsomolsk Na Amure</v>
      </c>
      <c r="B4219" s="120" t="str">
        <f>IFERROR(__xludf.DUMMYFUNCTION("""COMPUTED_VALUE"""),"KXK")</f>
        <v>KXK</v>
      </c>
      <c r="C4219" s="120" t="str">
        <f>IFERROR(__xludf.DUMMYFUNCTION("""COMPUTED_VALUE"""),"Komsomolsk Na Amure")</f>
        <v>Komsomolsk Na Amure</v>
      </c>
      <c r="D4219" s="120" t="str">
        <f>IFERROR(__xludf.DUMMYFUNCTION("""COMPUTED_VALUE"""),"Russia")</f>
        <v>Russia</v>
      </c>
      <c r="E4219" s="135"/>
      <c r="F4219" s="31"/>
    </row>
    <row r="4220">
      <c r="A4220" s="134" t="str">
        <f>IFERROR(__xludf.DUMMYFUNCTION("""COMPUTED_VALUE"""),"Kon")</f>
        <v>Kon</v>
      </c>
      <c r="B4220" s="120" t="str">
        <f>IFERROR(__xludf.DUMMYFUNCTION("""COMPUTED_VALUE"""),"KCI")</f>
        <v>KCI</v>
      </c>
      <c r="C4220" s="120" t="str">
        <f>IFERROR(__xludf.DUMMYFUNCTION("""COMPUTED_VALUE"""),"Kon")</f>
        <v>Kon</v>
      </c>
      <c r="D4220" s="120" t="str">
        <f>IFERROR(__xludf.DUMMYFUNCTION("""COMPUTED_VALUE"""),"Indonesia")</f>
        <v>Indonesia</v>
      </c>
      <c r="E4220" s="135"/>
      <c r="F4220" s="31"/>
    </row>
    <row r="4221">
      <c r="A4221" s="134" t="str">
        <f>IFERROR(__xludf.DUMMYFUNCTION("""COMPUTED_VALUE"""),"Kona")</f>
        <v>Kona</v>
      </c>
      <c r="B4221" s="120" t="str">
        <f>IFERROR(__xludf.DUMMYFUNCTION("""COMPUTED_VALUE"""),"KOA")</f>
        <v>KOA</v>
      </c>
      <c r="C4221" s="120" t="str">
        <f>IFERROR(__xludf.DUMMYFUNCTION("""COMPUTED_VALUE"""),"Keahole")</f>
        <v>Keahole</v>
      </c>
      <c r="D4221" s="120" t="str">
        <f>IFERROR(__xludf.DUMMYFUNCTION("""COMPUTED_VALUE"""),"United States")</f>
        <v>United States</v>
      </c>
      <c r="E4221" s="135"/>
      <c r="F4221" s="31"/>
    </row>
    <row r="4222">
      <c r="A4222" s="134" t="str">
        <f>IFERROR(__xludf.DUMMYFUNCTION("""COMPUTED_VALUE"""),"Konawaruk")</f>
        <v>Konawaruk</v>
      </c>
      <c r="B4222" s="120" t="str">
        <f>IFERROR(__xludf.DUMMYFUNCTION("""COMPUTED_VALUE"""),"KKG")</f>
        <v>KKG</v>
      </c>
      <c r="C4222" s="120" t="str">
        <f>IFERROR(__xludf.DUMMYFUNCTION("""COMPUTED_VALUE"""),"Konawaruk")</f>
        <v>Konawaruk</v>
      </c>
      <c r="D4222" s="120" t="str">
        <f>IFERROR(__xludf.DUMMYFUNCTION("""COMPUTED_VALUE"""),"Guyana")</f>
        <v>Guyana</v>
      </c>
      <c r="E4222" s="135"/>
      <c r="F4222" s="31"/>
    </row>
    <row r="4223">
      <c r="A4223" s="134" t="str">
        <f>IFERROR(__xludf.DUMMYFUNCTION("""COMPUTED_VALUE"""),"Kondubol")</f>
        <v>Kondubol</v>
      </c>
      <c r="B4223" s="120" t="str">
        <f>IFERROR(__xludf.DUMMYFUNCTION("""COMPUTED_VALUE"""),"KPF")</f>
        <v>KPF</v>
      </c>
      <c r="C4223" s="120" t="str">
        <f>IFERROR(__xludf.DUMMYFUNCTION("""COMPUTED_VALUE"""),"Kondubol")</f>
        <v>Kondubol</v>
      </c>
      <c r="D4223" s="120" t="str">
        <f>IFERROR(__xludf.DUMMYFUNCTION("""COMPUTED_VALUE"""),"Papua New Guinea")</f>
        <v>Papua New Guinea</v>
      </c>
      <c r="E4223" s="135"/>
      <c r="F4223" s="31"/>
    </row>
    <row r="4224">
      <c r="A4224" s="134" t="str">
        <f>IFERROR(__xludf.DUMMYFUNCTION("""COMPUTED_VALUE"""),"Kone")</f>
        <v>Kone</v>
      </c>
      <c r="B4224" s="120" t="str">
        <f>IFERROR(__xludf.DUMMYFUNCTION("""COMPUTED_VALUE"""),"KNQ")</f>
        <v>KNQ</v>
      </c>
      <c r="C4224" s="120" t="str">
        <f>IFERROR(__xludf.DUMMYFUNCTION("""COMPUTED_VALUE"""),"Kone")</f>
        <v>Kone</v>
      </c>
      <c r="D4224" s="120" t="str">
        <f>IFERROR(__xludf.DUMMYFUNCTION("""COMPUTED_VALUE"""),"New Caledonia")</f>
        <v>New Caledonia</v>
      </c>
      <c r="E4224" s="135"/>
      <c r="F4224" s="31"/>
    </row>
    <row r="4225">
      <c r="A4225" s="134" t="str">
        <f>IFERROR(__xludf.DUMMYFUNCTION("""COMPUTED_VALUE"""),"Konge")</f>
        <v>Konge</v>
      </c>
      <c r="B4225" s="120" t="str">
        <f>IFERROR(__xludf.DUMMYFUNCTION("""COMPUTED_VALUE"""),"KGB")</f>
        <v>KGB</v>
      </c>
      <c r="C4225" s="120" t="str">
        <f>IFERROR(__xludf.DUMMYFUNCTION("""COMPUTED_VALUE"""),"Konge")</f>
        <v>Konge</v>
      </c>
      <c r="D4225" s="120" t="str">
        <f>IFERROR(__xludf.DUMMYFUNCTION("""COMPUTED_VALUE"""),"Papua New Guinea")</f>
        <v>Papua New Guinea</v>
      </c>
      <c r="E4225" s="135"/>
      <c r="F4225" s="31"/>
    </row>
    <row r="4226">
      <c r="A4226" s="134" t="str">
        <f>IFERROR(__xludf.DUMMYFUNCTION("""COMPUTED_VALUE"""),"Kongiganak")</f>
        <v>Kongiganak</v>
      </c>
      <c r="B4226" s="120" t="str">
        <f>IFERROR(__xludf.DUMMYFUNCTION("""COMPUTED_VALUE"""),"KKH")</f>
        <v>KKH</v>
      </c>
      <c r="C4226" s="120" t="str">
        <f>IFERROR(__xludf.DUMMYFUNCTION("""COMPUTED_VALUE"""),"Kongiganak")</f>
        <v>Kongiganak</v>
      </c>
      <c r="D4226" s="120" t="str">
        <f>IFERROR(__xludf.DUMMYFUNCTION("""COMPUTED_VALUE"""),"United States")</f>
        <v>United States</v>
      </c>
      <c r="E4226" s="135"/>
      <c r="F4226" s="31"/>
    </row>
    <row r="4227">
      <c r="A4227" s="134" t="str">
        <f>IFERROR(__xludf.DUMMYFUNCTION("""COMPUTED_VALUE"""),"Kongoboumba")</f>
        <v>Kongoboumba</v>
      </c>
      <c r="B4227" s="120" t="str">
        <f>IFERROR(__xludf.DUMMYFUNCTION("""COMPUTED_VALUE"""),"GKO")</f>
        <v>GKO</v>
      </c>
      <c r="C4227" s="120" t="str">
        <f>IFERROR(__xludf.DUMMYFUNCTION("""COMPUTED_VALUE"""),"Kongoboumba")</f>
        <v>Kongoboumba</v>
      </c>
      <c r="D4227" s="120" t="str">
        <f>IFERROR(__xludf.DUMMYFUNCTION("""COMPUTED_VALUE"""),"Gabon")</f>
        <v>Gabon</v>
      </c>
      <c r="E4227" s="135"/>
      <c r="F4227" s="31"/>
    </row>
    <row r="4228">
      <c r="A4228" s="134" t="str">
        <f>IFERROR(__xludf.DUMMYFUNCTION("""COMPUTED_VALUE"""),"Kongolo")</f>
        <v>Kongolo</v>
      </c>
      <c r="B4228" s="120" t="str">
        <f>IFERROR(__xludf.DUMMYFUNCTION("""COMPUTED_VALUE"""),"KOO")</f>
        <v>KOO</v>
      </c>
      <c r="C4228" s="120" t="str">
        <f>IFERROR(__xludf.DUMMYFUNCTION("""COMPUTED_VALUE"""),"Kongolo")</f>
        <v>Kongolo</v>
      </c>
      <c r="D4228" s="120" t="str">
        <f>IFERROR(__xludf.DUMMYFUNCTION("""COMPUTED_VALUE"""),"Zaire")</f>
        <v>Zaire</v>
      </c>
      <c r="E4228" s="135"/>
      <c r="F4228" s="31"/>
    </row>
    <row r="4229">
      <c r="A4229" s="134" t="str">
        <f>IFERROR(__xludf.DUMMYFUNCTION("""COMPUTED_VALUE"""),"Kontum")</f>
        <v>Kontum</v>
      </c>
      <c r="B4229" s="120" t="str">
        <f>IFERROR(__xludf.DUMMYFUNCTION("""COMPUTED_VALUE"""),"KON")</f>
        <v>KON</v>
      </c>
      <c r="C4229" s="120" t="str">
        <f>IFERROR(__xludf.DUMMYFUNCTION("""COMPUTED_VALUE"""),"Kontum")</f>
        <v>Kontum</v>
      </c>
      <c r="D4229" s="120" t="str">
        <f>IFERROR(__xludf.DUMMYFUNCTION("""COMPUTED_VALUE"""),"Vietnam")</f>
        <v>Vietnam</v>
      </c>
      <c r="E4229" s="135"/>
      <c r="F4229" s="31"/>
    </row>
    <row r="4230">
      <c r="A4230" s="134" t="str">
        <f>IFERROR(__xludf.DUMMYFUNCTION("""COMPUTED_VALUE"""),"Konya")</f>
        <v>Konya</v>
      </c>
      <c r="B4230" s="120" t="str">
        <f>IFERROR(__xludf.DUMMYFUNCTION("""COMPUTED_VALUE"""),"KYA")</f>
        <v>KYA</v>
      </c>
      <c r="C4230" s="120" t="str">
        <f>IFERROR(__xludf.DUMMYFUNCTION("""COMPUTED_VALUE"""),"Konya")</f>
        <v>Konya</v>
      </c>
      <c r="D4230" s="120" t="str">
        <f>IFERROR(__xludf.DUMMYFUNCTION("""COMPUTED_VALUE"""),"Turkey")</f>
        <v>Turkey</v>
      </c>
      <c r="E4230" s="135"/>
      <c r="F4230" s="31"/>
    </row>
    <row r="4231">
      <c r="A4231" s="134" t="str">
        <f>IFERROR(__xludf.DUMMYFUNCTION("""COMPUTED_VALUE"""),"Koolatah")</f>
        <v>Koolatah</v>
      </c>
      <c r="B4231" s="120" t="str">
        <f>IFERROR(__xludf.DUMMYFUNCTION("""COMPUTED_VALUE"""),"KOH")</f>
        <v>KOH</v>
      </c>
      <c r="C4231" s="120" t="str">
        <f>IFERROR(__xludf.DUMMYFUNCTION("""COMPUTED_VALUE"""),"Koolatah")</f>
        <v>Koolatah</v>
      </c>
      <c r="D4231" s="120" t="str">
        <f>IFERROR(__xludf.DUMMYFUNCTION("""COMPUTED_VALUE"""),"Australia")</f>
        <v>Australia</v>
      </c>
      <c r="E4231" s="135"/>
      <c r="F4231" s="31"/>
    </row>
    <row r="4232">
      <c r="A4232" s="134" t="str">
        <f>IFERROR(__xludf.DUMMYFUNCTION("""COMPUTED_VALUE"""),"Koolburra")</f>
        <v>Koolburra</v>
      </c>
      <c r="B4232" s="120" t="str">
        <f>IFERROR(__xludf.DUMMYFUNCTION("""COMPUTED_VALUE"""),"KKP")</f>
        <v>KKP</v>
      </c>
      <c r="C4232" s="120" t="str">
        <f>IFERROR(__xludf.DUMMYFUNCTION("""COMPUTED_VALUE"""),"Koolburra")</f>
        <v>Koolburra</v>
      </c>
      <c r="D4232" s="120" t="str">
        <f>IFERROR(__xludf.DUMMYFUNCTION("""COMPUTED_VALUE"""),"Australia")</f>
        <v>Australia</v>
      </c>
      <c r="E4232" s="135"/>
      <c r="F4232" s="31"/>
    </row>
    <row r="4233">
      <c r="A4233" s="134" t="str">
        <f>IFERROR(__xludf.DUMMYFUNCTION("""COMPUTED_VALUE"""),"Koonibba")</f>
        <v>Koonibba</v>
      </c>
      <c r="B4233" s="120" t="str">
        <f>IFERROR(__xludf.DUMMYFUNCTION("""COMPUTED_VALUE"""),"KQB")</f>
        <v>KQB</v>
      </c>
      <c r="C4233" s="120" t="str">
        <f>IFERROR(__xludf.DUMMYFUNCTION("""COMPUTED_VALUE"""),"Koonibba")</f>
        <v>Koonibba</v>
      </c>
      <c r="D4233" s="120" t="str">
        <f>IFERROR(__xludf.DUMMYFUNCTION("""COMPUTED_VALUE"""),"Australia")</f>
        <v>Australia</v>
      </c>
      <c r="E4233" s="135"/>
      <c r="F4233" s="31"/>
    </row>
    <row r="4234">
      <c r="A4234" s="134" t="str">
        <f>IFERROR(__xludf.DUMMYFUNCTION("""COMPUTED_VALUE"""),"Kopasker")</f>
        <v>Kopasker</v>
      </c>
      <c r="B4234" s="120" t="str">
        <f>IFERROR(__xludf.DUMMYFUNCTION("""COMPUTED_VALUE"""),"OPA")</f>
        <v>OPA</v>
      </c>
      <c r="C4234" s="120" t="str">
        <f>IFERROR(__xludf.DUMMYFUNCTION("""COMPUTED_VALUE"""),"Kopasker")</f>
        <v>Kopasker</v>
      </c>
      <c r="D4234" s="120" t="str">
        <f>IFERROR(__xludf.DUMMYFUNCTION("""COMPUTED_VALUE"""),"Iceland")</f>
        <v>Iceland</v>
      </c>
      <c r="E4234" s="135"/>
      <c r="F4234" s="31"/>
    </row>
    <row r="4235">
      <c r="A4235" s="134" t="str">
        <f>IFERROR(__xludf.DUMMYFUNCTION("""COMPUTED_VALUE"""),"Kopiago")</f>
        <v>Kopiago</v>
      </c>
      <c r="B4235" s="120" t="str">
        <f>IFERROR(__xludf.DUMMYFUNCTION("""COMPUTED_VALUE"""),"KPA")</f>
        <v>KPA</v>
      </c>
      <c r="C4235" s="120" t="str">
        <f>IFERROR(__xludf.DUMMYFUNCTION("""COMPUTED_VALUE"""),"Kopiago")</f>
        <v>Kopiago</v>
      </c>
      <c r="D4235" s="120" t="str">
        <f>IFERROR(__xludf.DUMMYFUNCTION("""COMPUTED_VALUE"""),"Papua New Guinea")</f>
        <v>Papua New Guinea</v>
      </c>
      <c r="E4235" s="135"/>
      <c r="F4235" s="31"/>
    </row>
    <row r="4236">
      <c r="A4236" s="134" t="str">
        <f>IFERROR(__xludf.DUMMYFUNCTION("""COMPUTED_VALUE"""),"Koppang")</f>
        <v>Koppang</v>
      </c>
      <c r="B4236" s="120" t="str">
        <f>IFERROR(__xludf.DUMMYFUNCTION("""COMPUTED_VALUE"""),"YVK")</f>
        <v>YVK</v>
      </c>
      <c r="C4236" s="120" t="str">
        <f>IFERROR(__xludf.DUMMYFUNCTION("""COMPUTED_VALUE"""),"Railway")</f>
        <v>Railway</v>
      </c>
      <c r="D4236" s="120" t="str">
        <f>IFERROR(__xludf.DUMMYFUNCTION("""COMPUTED_VALUE"""),"Norway")</f>
        <v>Norway</v>
      </c>
      <c r="E4236" s="135"/>
      <c r="F4236" s="31"/>
    </row>
    <row r="4237">
      <c r="A4237" s="134" t="str">
        <f>IFERROR(__xludf.DUMMYFUNCTION("""COMPUTED_VALUE"""),"Korhogo")</f>
        <v>Korhogo</v>
      </c>
      <c r="B4237" s="120" t="str">
        <f>IFERROR(__xludf.DUMMYFUNCTION("""COMPUTED_VALUE"""),"HGO")</f>
        <v>HGO</v>
      </c>
      <c r="C4237" s="120" t="str">
        <f>IFERROR(__xludf.DUMMYFUNCTION("""COMPUTED_VALUE"""),"Korhogo")</f>
        <v>Korhogo</v>
      </c>
      <c r="D4237" s="120" t="str">
        <f>IFERROR(__xludf.DUMMYFUNCTION("""COMPUTED_VALUE"""),"Cote D'Ivoire (Ivory Coast)")</f>
        <v>Cote D'Ivoire (Ivory Coast)</v>
      </c>
      <c r="E4237" s="135"/>
      <c r="F4237" s="31"/>
    </row>
    <row r="4238">
      <c r="A4238" s="134" t="str">
        <f>IFERROR(__xludf.DUMMYFUNCTION("""COMPUTED_VALUE"""),"Korla")</f>
        <v>Korla</v>
      </c>
      <c r="B4238" s="120" t="str">
        <f>IFERROR(__xludf.DUMMYFUNCTION("""COMPUTED_VALUE"""),"KRL")</f>
        <v>KRL</v>
      </c>
      <c r="C4238" s="120" t="str">
        <f>IFERROR(__xludf.DUMMYFUNCTION("""COMPUTED_VALUE"""),"Korla")</f>
        <v>Korla</v>
      </c>
      <c r="D4238" s="120" t="str">
        <f>IFERROR(__xludf.DUMMYFUNCTION("""COMPUTED_VALUE"""),"China")</f>
        <v>China</v>
      </c>
      <c r="E4238" s="135"/>
      <c r="F4238" s="31"/>
    </row>
    <row r="4239">
      <c r="A4239" s="134" t="str">
        <f>IFERROR(__xludf.DUMMYFUNCTION("""COMPUTED_VALUE"""),"Koro Island")</f>
        <v>Koro Island</v>
      </c>
      <c r="B4239" s="120" t="str">
        <f>IFERROR(__xludf.DUMMYFUNCTION("""COMPUTED_VALUE"""),"KXF")</f>
        <v>KXF</v>
      </c>
      <c r="C4239" s="120" t="str">
        <f>IFERROR(__xludf.DUMMYFUNCTION("""COMPUTED_VALUE"""),"Koro Island")</f>
        <v>Koro Island</v>
      </c>
      <c r="D4239" s="120" t="str">
        <f>IFERROR(__xludf.DUMMYFUNCTION("""COMPUTED_VALUE"""),"Fiji")</f>
        <v>Fiji</v>
      </c>
      <c r="E4239" s="135"/>
      <c r="F4239" s="31"/>
    </row>
    <row r="4240">
      <c r="A4240" s="134" t="str">
        <f>IFERROR(__xludf.DUMMYFUNCTION("""COMPUTED_VALUE"""),"Koroba")</f>
        <v>Koroba</v>
      </c>
      <c r="B4240" s="120" t="str">
        <f>IFERROR(__xludf.DUMMYFUNCTION("""COMPUTED_VALUE"""),"KDE")</f>
        <v>KDE</v>
      </c>
      <c r="C4240" s="120" t="str">
        <f>IFERROR(__xludf.DUMMYFUNCTION("""COMPUTED_VALUE"""),"Koroba")</f>
        <v>Koroba</v>
      </c>
      <c r="D4240" s="120" t="str">
        <f>IFERROR(__xludf.DUMMYFUNCTION("""COMPUTED_VALUE"""),"Papua New Guinea")</f>
        <v>Papua New Guinea</v>
      </c>
      <c r="E4240" s="135"/>
      <c r="F4240" s="31"/>
    </row>
    <row r="4241">
      <c r="A4241" s="134" t="str">
        <f>IFERROR(__xludf.DUMMYFUNCTION("""COMPUTED_VALUE"""),"Korolevu")</f>
        <v>Korolevu</v>
      </c>
      <c r="B4241" s="120" t="str">
        <f>IFERROR(__xludf.DUMMYFUNCTION("""COMPUTED_VALUE"""),"KVU")</f>
        <v>KVU</v>
      </c>
      <c r="C4241" s="120" t="str">
        <f>IFERROR(__xludf.DUMMYFUNCTION("""COMPUTED_VALUE"""),"Korolevu")</f>
        <v>Korolevu</v>
      </c>
      <c r="D4241" s="120" t="str">
        <f>IFERROR(__xludf.DUMMYFUNCTION("""COMPUTED_VALUE"""),"Fiji")</f>
        <v>Fiji</v>
      </c>
      <c r="E4241" s="135"/>
      <c r="F4241" s="31"/>
    </row>
    <row r="4242">
      <c r="A4242" s="134" t="str">
        <f>IFERROR(__xludf.DUMMYFUNCTION("""COMPUTED_VALUE"""),"Koror")</f>
        <v>Koror</v>
      </c>
      <c r="B4242" s="120" t="str">
        <f>IFERROR(__xludf.DUMMYFUNCTION("""COMPUTED_VALUE"""),"ROR")</f>
        <v>ROR</v>
      </c>
      <c r="C4242" s="120" t="str">
        <f>IFERROR(__xludf.DUMMYFUNCTION("""COMPUTED_VALUE"""),"Airai")</f>
        <v>Airai</v>
      </c>
      <c r="D4242" s="120" t="str">
        <f>IFERROR(__xludf.DUMMYFUNCTION("""COMPUTED_VALUE"""),"Palau")</f>
        <v>Palau</v>
      </c>
      <c r="E4242" s="135"/>
      <c r="F4242" s="31"/>
    </row>
    <row r="4243">
      <c r="A4243" s="134" t="str">
        <f>IFERROR(__xludf.DUMMYFUNCTION("""COMPUTED_VALUE"""),"Kortrijk")</f>
        <v>Kortrijk</v>
      </c>
      <c r="B4243" s="120" t="str">
        <f>IFERROR(__xludf.DUMMYFUNCTION("""COMPUTED_VALUE"""),"KJK")</f>
        <v>KJK</v>
      </c>
      <c r="C4243" s="120" t="str">
        <f>IFERROR(__xludf.DUMMYFUNCTION("""COMPUTED_VALUE"""),"Kortrijk")</f>
        <v>Kortrijk</v>
      </c>
      <c r="D4243" s="120" t="str">
        <f>IFERROR(__xludf.DUMMYFUNCTION("""COMPUTED_VALUE"""),"Belgium")</f>
        <v>Belgium</v>
      </c>
      <c r="E4243" s="135"/>
      <c r="F4243" s="31"/>
    </row>
    <row r="4244">
      <c r="A4244" s="134" t="str">
        <f>IFERROR(__xludf.DUMMYFUNCTION("""COMPUTED_VALUE"""),"Kos")</f>
        <v>Kos</v>
      </c>
      <c r="B4244" s="120" t="str">
        <f>IFERROR(__xludf.DUMMYFUNCTION("""COMPUTED_VALUE"""),"KGS")</f>
        <v>KGS</v>
      </c>
      <c r="C4244" s="120" t="str">
        <f>IFERROR(__xludf.DUMMYFUNCTION("""COMPUTED_VALUE"""),"Kos")</f>
        <v>Kos</v>
      </c>
      <c r="D4244" s="120" t="str">
        <f>IFERROR(__xludf.DUMMYFUNCTION("""COMPUTED_VALUE"""),"Greece")</f>
        <v>Greece</v>
      </c>
      <c r="E4244" s="135"/>
      <c r="F4244" s="31"/>
    </row>
    <row r="4245">
      <c r="A4245" s="134" t="str">
        <f>IFERROR(__xludf.DUMMYFUNCTION("""COMPUTED_VALUE"""),"Kosciusko")</f>
        <v>Kosciusko</v>
      </c>
      <c r="B4245" s="120" t="str">
        <f>IFERROR(__xludf.DUMMYFUNCTION("""COMPUTED_VALUE"""),"OSX")</f>
        <v>OSX</v>
      </c>
      <c r="C4245" s="120" t="str">
        <f>IFERROR(__xludf.DUMMYFUNCTION("""COMPUTED_VALUE"""),"Attala County")</f>
        <v>Attala County</v>
      </c>
      <c r="D4245" s="120" t="str">
        <f>IFERROR(__xludf.DUMMYFUNCTION("""COMPUTED_VALUE"""),"United States")</f>
        <v>United States</v>
      </c>
      <c r="E4245" s="135"/>
      <c r="F4245" s="31"/>
    </row>
    <row r="4246">
      <c r="A4246" s="134" t="str">
        <f>IFERROR(__xludf.DUMMYFUNCTION("""COMPUTED_VALUE"""),"Kosice")</f>
        <v>Kosice</v>
      </c>
      <c r="B4246" s="120" t="str">
        <f>IFERROR(__xludf.DUMMYFUNCTION("""COMPUTED_VALUE"""),"KSC")</f>
        <v>KSC</v>
      </c>
      <c r="C4246" s="120" t="str">
        <f>IFERROR(__xludf.DUMMYFUNCTION("""COMPUTED_VALUE"""),"Barca")</f>
        <v>Barca</v>
      </c>
      <c r="D4246" s="120" t="str">
        <f>IFERROR(__xludf.DUMMYFUNCTION("""COMPUTED_VALUE"""),"Slovakia")</f>
        <v>Slovakia</v>
      </c>
      <c r="E4246" s="135"/>
      <c r="F4246" s="31"/>
    </row>
    <row r="4247">
      <c r="A4247" s="134" t="str">
        <f>IFERROR(__xludf.DUMMYFUNCTION("""COMPUTED_VALUE"""),"Kosipe")</f>
        <v>Kosipe</v>
      </c>
      <c r="B4247" s="120" t="str">
        <f>IFERROR(__xludf.DUMMYFUNCTION("""COMPUTED_VALUE"""),"KSP")</f>
        <v>KSP</v>
      </c>
      <c r="C4247" s="120" t="str">
        <f>IFERROR(__xludf.DUMMYFUNCTION("""COMPUTED_VALUE"""),"Kosipe")</f>
        <v>Kosipe</v>
      </c>
      <c r="D4247" s="120" t="str">
        <f>IFERROR(__xludf.DUMMYFUNCTION("""COMPUTED_VALUE"""),"Papua New Guinea")</f>
        <v>Papua New Guinea</v>
      </c>
      <c r="E4247" s="135"/>
      <c r="F4247" s="31"/>
    </row>
    <row r="4248">
      <c r="A4248" s="134" t="str">
        <f>IFERROR(__xludf.DUMMYFUNCTION("""COMPUTED_VALUE"""),"Kosrae")</f>
        <v>Kosrae</v>
      </c>
      <c r="B4248" s="120" t="str">
        <f>IFERROR(__xludf.DUMMYFUNCTION("""COMPUTED_VALUE"""),"KSA")</f>
        <v>KSA</v>
      </c>
      <c r="C4248" s="120" t="str">
        <f>IFERROR(__xludf.DUMMYFUNCTION("""COMPUTED_VALUE"""),"Kosrae")</f>
        <v>Kosrae</v>
      </c>
      <c r="D4248" s="120" t="str">
        <f>IFERROR(__xludf.DUMMYFUNCTION("""COMPUTED_VALUE"""),"Micronesia")</f>
        <v>Micronesia</v>
      </c>
      <c r="E4248" s="135"/>
      <c r="F4248" s="31"/>
    </row>
    <row r="4249">
      <c r="A4249" s="134" t="str">
        <f>IFERROR(__xludf.DUMMYFUNCTION("""COMPUTED_VALUE"""),"Kostanay")</f>
        <v>Kostanay</v>
      </c>
      <c r="B4249" s="120" t="str">
        <f>IFERROR(__xludf.DUMMYFUNCTION("""COMPUTED_VALUE"""),"KSN")</f>
        <v>KSN</v>
      </c>
      <c r="C4249" s="120" t="str">
        <f>IFERROR(__xludf.DUMMYFUNCTION("""COMPUTED_VALUE"""),"Kostanay")</f>
        <v>Kostanay</v>
      </c>
      <c r="D4249" s="120" t="str">
        <f>IFERROR(__xludf.DUMMYFUNCTION("""COMPUTED_VALUE"""),"Kazakhstan")</f>
        <v>Kazakhstan</v>
      </c>
      <c r="E4249" s="135"/>
      <c r="F4249" s="31"/>
    </row>
    <row r="4250">
      <c r="A4250" s="134" t="str">
        <f>IFERROR(__xludf.DUMMYFUNCTION("""COMPUTED_VALUE"""),"Kosti")</f>
        <v>Kosti</v>
      </c>
      <c r="B4250" s="120" t="str">
        <f>IFERROR(__xludf.DUMMYFUNCTION("""COMPUTED_VALUE"""),"KST")</f>
        <v>KST</v>
      </c>
      <c r="C4250" s="120" t="str">
        <f>IFERROR(__xludf.DUMMYFUNCTION("""COMPUTED_VALUE"""),"Kosti")</f>
        <v>Kosti</v>
      </c>
      <c r="D4250" s="120" t="str">
        <f>IFERROR(__xludf.DUMMYFUNCTION("""COMPUTED_VALUE"""),"Sudan")</f>
        <v>Sudan</v>
      </c>
      <c r="E4250" s="135"/>
      <c r="F4250" s="31"/>
    </row>
    <row r="4251">
      <c r="A4251" s="134" t="str">
        <f>IFERROR(__xludf.DUMMYFUNCTION("""COMPUTED_VALUE"""),"Kostroma")</f>
        <v>Kostroma</v>
      </c>
      <c r="B4251" s="120" t="str">
        <f>IFERROR(__xludf.DUMMYFUNCTION("""COMPUTED_VALUE"""),"KMW")</f>
        <v>KMW</v>
      </c>
      <c r="C4251" s="120" t="str">
        <f>IFERROR(__xludf.DUMMYFUNCTION("""COMPUTED_VALUE"""),"Kostroma")</f>
        <v>Kostroma</v>
      </c>
      <c r="D4251" s="120" t="str">
        <f>IFERROR(__xludf.DUMMYFUNCTION("""COMPUTED_VALUE"""),"Russia")</f>
        <v>Russia</v>
      </c>
      <c r="E4251" s="135"/>
      <c r="F4251" s="31"/>
    </row>
    <row r="4252">
      <c r="A4252" s="134" t="str">
        <f>IFERROR(__xludf.DUMMYFUNCTION("""COMPUTED_VALUE"""),"Koszalin")</f>
        <v>Koszalin</v>
      </c>
      <c r="B4252" s="120" t="str">
        <f>IFERROR(__xludf.DUMMYFUNCTION("""COMPUTED_VALUE"""),"OSZ")</f>
        <v>OSZ</v>
      </c>
      <c r="C4252" s="120" t="str">
        <f>IFERROR(__xludf.DUMMYFUNCTION("""COMPUTED_VALUE"""),"Koszalin")</f>
        <v>Koszalin</v>
      </c>
      <c r="D4252" s="120" t="str">
        <f>IFERROR(__xludf.DUMMYFUNCTION("""COMPUTED_VALUE"""),"Poland")</f>
        <v>Poland</v>
      </c>
      <c r="E4252" s="135"/>
      <c r="F4252" s="31"/>
    </row>
    <row r="4253">
      <c r="A4253" s="134" t="str">
        <f>IFERROR(__xludf.DUMMYFUNCTION("""COMPUTED_VALUE"""),"Kota")</f>
        <v>Kota</v>
      </c>
      <c r="B4253" s="120" t="str">
        <f>IFERROR(__xludf.DUMMYFUNCTION("""COMPUTED_VALUE"""),"KTU")</f>
        <v>KTU</v>
      </c>
      <c r="C4253" s="120" t="str">
        <f>IFERROR(__xludf.DUMMYFUNCTION("""COMPUTED_VALUE"""),"Kota")</f>
        <v>Kota</v>
      </c>
      <c r="D4253" s="120" t="str">
        <f>IFERROR(__xludf.DUMMYFUNCTION("""COMPUTED_VALUE"""),"India")</f>
        <v>India</v>
      </c>
      <c r="E4253" s="135"/>
      <c r="F4253" s="31"/>
    </row>
    <row r="4254">
      <c r="A4254" s="134" t="str">
        <f>IFERROR(__xludf.DUMMYFUNCTION("""COMPUTED_VALUE"""),"Kota Bharu")</f>
        <v>Kota Bharu</v>
      </c>
      <c r="B4254" s="120" t="str">
        <f>IFERROR(__xludf.DUMMYFUNCTION("""COMPUTED_VALUE"""),"KBR")</f>
        <v>KBR</v>
      </c>
      <c r="C4254" s="120" t="str">
        <f>IFERROR(__xludf.DUMMYFUNCTION("""COMPUTED_VALUE"""),"Pengkalan Chepa")</f>
        <v>Pengkalan Chepa</v>
      </c>
      <c r="D4254" s="120" t="str">
        <f>IFERROR(__xludf.DUMMYFUNCTION("""COMPUTED_VALUE"""),"Malaysia")</f>
        <v>Malaysia</v>
      </c>
      <c r="E4254" s="135"/>
      <c r="F4254" s="31"/>
    </row>
    <row r="4255">
      <c r="A4255" s="134" t="str">
        <f>IFERROR(__xludf.DUMMYFUNCTION("""COMPUTED_VALUE"""),"Kota Kinabalu")</f>
        <v>Kota Kinabalu</v>
      </c>
      <c r="B4255" s="120" t="str">
        <f>IFERROR(__xludf.DUMMYFUNCTION("""COMPUTED_VALUE"""),"BKI")</f>
        <v>BKI</v>
      </c>
      <c r="C4255" s="120" t="str">
        <f>IFERROR(__xludf.DUMMYFUNCTION("""COMPUTED_VALUE"""),"Kota Kinabalu")</f>
        <v>Kota Kinabalu</v>
      </c>
      <c r="D4255" s="120" t="str">
        <f>IFERROR(__xludf.DUMMYFUNCTION("""COMPUTED_VALUE"""),"Malaysia")</f>
        <v>Malaysia</v>
      </c>
      <c r="E4255" s="135"/>
      <c r="F4255" s="31"/>
    </row>
    <row r="4256">
      <c r="A4256" s="134" t="str">
        <f>IFERROR(__xludf.DUMMYFUNCTION("""COMPUTED_VALUE"""),"Kota Kinabalu")</f>
        <v>Kota Kinabalu</v>
      </c>
      <c r="B4256" s="120" t="str">
        <f>IFERROR(__xludf.DUMMYFUNCTION("""COMPUTED_VALUE"""),"ZWR")</f>
        <v>ZWR</v>
      </c>
      <c r="C4256" s="120" t="str">
        <f>IFERROR(__xludf.DUMMYFUNCTION("""COMPUTED_VALUE"""),"Kota Kinabalu Port")</f>
        <v>Kota Kinabalu Port</v>
      </c>
      <c r="D4256" s="120" t="str">
        <f>IFERROR(__xludf.DUMMYFUNCTION("""COMPUTED_VALUE"""),"Malaysia")</f>
        <v>Malaysia</v>
      </c>
      <c r="E4256" s="135"/>
      <c r="F4256" s="31"/>
    </row>
    <row r="4257">
      <c r="A4257" s="134" t="str">
        <f>IFERROR(__xludf.DUMMYFUNCTION("""COMPUTED_VALUE"""),"Kota Koli")</f>
        <v>Kota Koli</v>
      </c>
      <c r="B4257" s="120" t="str">
        <f>IFERROR(__xludf.DUMMYFUNCTION("""COMPUTED_VALUE"""),"KLI")</f>
        <v>KLI</v>
      </c>
      <c r="C4257" s="120" t="str">
        <f>IFERROR(__xludf.DUMMYFUNCTION("""COMPUTED_VALUE"""),"Kota Koli")</f>
        <v>Kota Koli</v>
      </c>
      <c r="D4257" s="120" t="str">
        <f>IFERROR(__xludf.DUMMYFUNCTION("""COMPUTED_VALUE"""),"Zaire")</f>
        <v>Zaire</v>
      </c>
      <c r="E4257" s="135"/>
      <c r="F4257" s="31"/>
    </row>
    <row r="4258">
      <c r="A4258" s="134" t="str">
        <f>IFERROR(__xludf.DUMMYFUNCTION("""COMPUTED_VALUE"""),"Kotabangun")</f>
        <v>Kotabangun</v>
      </c>
      <c r="B4258" s="120" t="str">
        <f>IFERROR(__xludf.DUMMYFUNCTION("""COMPUTED_VALUE"""),"KOD")</f>
        <v>KOD</v>
      </c>
      <c r="C4258" s="120" t="str">
        <f>IFERROR(__xludf.DUMMYFUNCTION("""COMPUTED_VALUE"""),"Kotabangun")</f>
        <v>Kotabangun</v>
      </c>
      <c r="D4258" s="120" t="str">
        <f>IFERROR(__xludf.DUMMYFUNCTION("""COMPUTED_VALUE"""),"Indonesia")</f>
        <v>Indonesia</v>
      </c>
      <c r="E4258" s="135"/>
      <c r="F4258" s="31"/>
    </row>
    <row r="4259">
      <c r="A4259" s="134" t="str">
        <f>IFERROR(__xludf.DUMMYFUNCTION("""COMPUTED_VALUE"""),"Kotabaru")</f>
        <v>Kotabaru</v>
      </c>
      <c r="B4259" s="120" t="str">
        <f>IFERROR(__xludf.DUMMYFUNCTION("""COMPUTED_VALUE"""),"KBU")</f>
        <v>KBU</v>
      </c>
      <c r="C4259" s="120" t="str">
        <f>IFERROR(__xludf.DUMMYFUNCTION("""COMPUTED_VALUE"""),"Kotabaru")</f>
        <v>Kotabaru</v>
      </c>
      <c r="D4259" s="120" t="str">
        <f>IFERROR(__xludf.DUMMYFUNCTION("""COMPUTED_VALUE"""),"Indonesia")</f>
        <v>Indonesia</v>
      </c>
      <c r="E4259" s="135"/>
      <c r="F4259" s="31"/>
    </row>
    <row r="4260">
      <c r="A4260" s="134" t="str">
        <f>IFERROR(__xludf.DUMMYFUNCTION("""COMPUTED_VALUE"""),"Kotlas")</f>
        <v>Kotlas</v>
      </c>
      <c r="B4260" s="120" t="str">
        <f>IFERROR(__xludf.DUMMYFUNCTION("""COMPUTED_VALUE"""),"KSZ")</f>
        <v>KSZ</v>
      </c>
      <c r="C4260" s="120" t="str">
        <f>IFERROR(__xludf.DUMMYFUNCTION("""COMPUTED_VALUE"""),"Kotlas")</f>
        <v>Kotlas</v>
      </c>
      <c r="D4260" s="120" t="str">
        <f>IFERROR(__xludf.DUMMYFUNCTION("""COMPUTED_VALUE"""),"Russia")</f>
        <v>Russia</v>
      </c>
      <c r="E4260" s="135"/>
      <c r="F4260" s="31"/>
    </row>
    <row r="4261">
      <c r="A4261" s="134" t="str">
        <f>IFERROR(__xludf.DUMMYFUNCTION("""COMPUTED_VALUE"""),"Kotlik")</f>
        <v>Kotlik</v>
      </c>
      <c r="B4261" s="120" t="str">
        <f>IFERROR(__xludf.DUMMYFUNCTION("""COMPUTED_VALUE"""),"KOT")</f>
        <v>KOT</v>
      </c>
      <c r="C4261" s="120" t="str">
        <f>IFERROR(__xludf.DUMMYFUNCTION("""COMPUTED_VALUE"""),"Kotlik")</f>
        <v>Kotlik</v>
      </c>
      <c r="D4261" s="120" t="str">
        <f>IFERROR(__xludf.DUMMYFUNCTION("""COMPUTED_VALUE"""),"United States")</f>
        <v>United States</v>
      </c>
      <c r="E4261" s="135"/>
      <c r="F4261" s="31"/>
    </row>
    <row r="4262">
      <c r="A4262" s="134" t="str">
        <f>IFERROR(__xludf.DUMMYFUNCTION("""COMPUTED_VALUE"""),"Kotzebue")</f>
        <v>Kotzebue</v>
      </c>
      <c r="B4262" s="120" t="str">
        <f>IFERROR(__xludf.DUMMYFUNCTION("""COMPUTED_VALUE"""),"OTZ")</f>
        <v>OTZ</v>
      </c>
      <c r="C4262" s="120" t="str">
        <f>IFERROR(__xludf.DUMMYFUNCTION("""COMPUTED_VALUE"""),"Kotzebue")</f>
        <v>Kotzebue</v>
      </c>
      <c r="D4262" s="120" t="str">
        <f>IFERROR(__xludf.DUMMYFUNCTION("""COMPUTED_VALUE"""),"United States")</f>
        <v>United States</v>
      </c>
      <c r="E4262" s="135"/>
      <c r="F4262" s="31"/>
    </row>
    <row r="4263">
      <c r="A4263" s="134" t="str">
        <f>IFERROR(__xludf.DUMMYFUNCTION("""COMPUTED_VALUE"""),"Kouba")</f>
        <v>Kouba</v>
      </c>
      <c r="B4263" s="120" t="str">
        <f>IFERROR(__xludf.DUMMYFUNCTION("""COMPUTED_VALUE"""),"KDF")</f>
        <v>KDF</v>
      </c>
      <c r="C4263" s="120" t="str">
        <f>IFERROR(__xludf.DUMMYFUNCTION("""COMPUTED_VALUE"""),"Kouba")</f>
        <v>Kouba</v>
      </c>
      <c r="D4263" s="120" t="str">
        <f>IFERROR(__xludf.DUMMYFUNCTION("""COMPUTED_VALUE"""),"Algeria")</f>
        <v>Algeria</v>
      </c>
      <c r="E4263" s="135"/>
      <c r="F4263" s="31"/>
    </row>
    <row r="4264">
      <c r="A4264" s="134" t="str">
        <f>IFERROR(__xludf.DUMMYFUNCTION("""COMPUTED_VALUE"""),"Koulamoutou")</f>
        <v>Koulamoutou</v>
      </c>
      <c r="B4264" s="120" t="str">
        <f>IFERROR(__xludf.DUMMYFUNCTION("""COMPUTED_VALUE"""),"KOU")</f>
        <v>KOU</v>
      </c>
      <c r="C4264" s="120" t="str">
        <f>IFERROR(__xludf.DUMMYFUNCTION("""COMPUTED_VALUE"""),"Koulamoutou")</f>
        <v>Koulamoutou</v>
      </c>
      <c r="D4264" s="120" t="str">
        <f>IFERROR(__xludf.DUMMYFUNCTION("""COMPUTED_VALUE"""),"Gabon")</f>
        <v>Gabon</v>
      </c>
      <c r="E4264" s="135"/>
      <c r="F4264" s="31"/>
    </row>
    <row r="4265">
      <c r="A4265" s="134" t="str">
        <f>IFERROR(__xludf.DUMMYFUNCTION("""COMPUTED_VALUE"""),"Koumac")</f>
        <v>Koumac</v>
      </c>
      <c r="B4265" s="120" t="str">
        <f>IFERROR(__xludf.DUMMYFUNCTION("""COMPUTED_VALUE"""),"KOC")</f>
        <v>KOC</v>
      </c>
      <c r="C4265" s="120" t="str">
        <f>IFERROR(__xludf.DUMMYFUNCTION("""COMPUTED_VALUE"""),"Koumac")</f>
        <v>Koumac</v>
      </c>
      <c r="D4265" s="120" t="str">
        <f>IFERROR(__xludf.DUMMYFUNCTION("""COMPUTED_VALUE"""),"New Caledonia")</f>
        <v>New Caledonia</v>
      </c>
      <c r="E4265" s="135"/>
      <c r="F4265" s="31"/>
    </row>
    <row r="4266">
      <c r="A4266" s="134" t="str">
        <f>IFERROR(__xludf.DUMMYFUNCTION("""COMPUTED_VALUE"""),"Koumala")</f>
        <v>Koumala</v>
      </c>
      <c r="B4266" s="120" t="str">
        <f>IFERROR(__xludf.DUMMYFUNCTION("""COMPUTED_VALUE"""),"KOL")</f>
        <v>KOL</v>
      </c>
      <c r="C4266" s="120" t="str">
        <f>IFERROR(__xludf.DUMMYFUNCTION("""COMPUTED_VALUE"""),"Koumala")</f>
        <v>Koumala</v>
      </c>
      <c r="D4266" s="120" t="str">
        <f>IFERROR(__xludf.DUMMYFUNCTION("""COMPUTED_VALUE"""),"Central African Republic")</f>
        <v>Central African Republic</v>
      </c>
      <c r="E4266" s="135"/>
      <c r="F4266" s="31"/>
    </row>
    <row r="4267">
      <c r="A4267" s="134" t="str">
        <f>IFERROR(__xludf.DUMMYFUNCTION("""COMPUTED_VALUE"""),"Koundara")</f>
        <v>Koundara</v>
      </c>
      <c r="B4267" s="120" t="str">
        <f>IFERROR(__xludf.DUMMYFUNCTION("""COMPUTED_VALUE"""),"SBI")</f>
        <v>SBI</v>
      </c>
      <c r="C4267" s="120" t="str">
        <f>IFERROR(__xludf.DUMMYFUNCTION("""COMPUTED_VALUE"""),"Sambailo")</f>
        <v>Sambailo</v>
      </c>
      <c r="D4267" s="120" t="str">
        <f>IFERROR(__xludf.DUMMYFUNCTION("""COMPUTED_VALUE"""),"Guinea")</f>
        <v>Guinea</v>
      </c>
      <c r="E4267" s="135"/>
      <c r="F4267" s="31"/>
    </row>
    <row r="4268">
      <c r="A4268" s="134" t="str">
        <f>IFERROR(__xludf.DUMMYFUNCTION("""COMPUTED_VALUE"""),"Koutaba")</f>
        <v>Koutaba</v>
      </c>
      <c r="B4268" s="120" t="str">
        <f>IFERROR(__xludf.DUMMYFUNCTION("""COMPUTED_VALUE"""),"KOB")</f>
        <v>KOB</v>
      </c>
      <c r="C4268" s="120" t="str">
        <f>IFERROR(__xludf.DUMMYFUNCTION("""COMPUTED_VALUE"""),"Koutaba")</f>
        <v>Koutaba</v>
      </c>
      <c r="D4268" s="120" t="str">
        <f>IFERROR(__xludf.DUMMYFUNCTION("""COMPUTED_VALUE"""),"Cameroon")</f>
        <v>Cameroon</v>
      </c>
      <c r="E4268" s="135"/>
      <c r="F4268" s="31"/>
    </row>
    <row r="4269">
      <c r="A4269" s="134" t="str">
        <f>IFERROR(__xludf.DUMMYFUNCTION("""COMPUTED_VALUE"""),"Koutiala")</f>
        <v>Koutiala</v>
      </c>
      <c r="B4269" s="120" t="str">
        <f>IFERROR(__xludf.DUMMYFUNCTION("""COMPUTED_VALUE"""),"KTX")</f>
        <v>KTX</v>
      </c>
      <c r="C4269" s="120" t="str">
        <f>IFERROR(__xludf.DUMMYFUNCTION("""COMPUTED_VALUE"""),"Koutiala")</f>
        <v>Koutiala</v>
      </c>
      <c r="D4269" s="120" t="str">
        <f>IFERROR(__xludf.DUMMYFUNCTION("""COMPUTED_VALUE"""),"Mali")</f>
        <v>Mali</v>
      </c>
      <c r="E4269" s="135"/>
      <c r="F4269" s="31"/>
    </row>
    <row r="4270">
      <c r="A4270" s="134" t="str">
        <f>IFERROR(__xludf.DUMMYFUNCTION("""COMPUTED_VALUE"""),"Kouvola")</f>
        <v>Kouvola</v>
      </c>
      <c r="B4270" s="120" t="str">
        <f>IFERROR(__xludf.DUMMYFUNCTION("""COMPUTED_VALUE"""),"QVY")</f>
        <v>QVY</v>
      </c>
      <c r="C4270" s="120" t="str">
        <f>IFERROR(__xludf.DUMMYFUNCTION("""COMPUTED_VALUE"""),"Bus Station")</f>
        <v>Bus Station</v>
      </c>
      <c r="D4270" s="120" t="str">
        <f>IFERROR(__xludf.DUMMYFUNCTION("""COMPUTED_VALUE"""),"Finland")</f>
        <v>Finland</v>
      </c>
      <c r="E4270" s="135"/>
      <c r="F4270" s="31"/>
    </row>
    <row r="4271">
      <c r="A4271" s="134" t="str">
        <f>IFERROR(__xludf.DUMMYFUNCTION("""COMPUTED_VALUE"""),"Kouvola")</f>
        <v>Kouvola</v>
      </c>
      <c r="B4271" s="120" t="str">
        <f>IFERROR(__xludf.DUMMYFUNCTION("""COMPUTED_VALUE"""),"UTI")</f>
        <v>UTI</v>
      </c>
      <c r="C4271" s="120" t="str">
        <f>IFERROR(__xludf.DUMMYFUNCTION("""COMPUTED_VALUE"""),"Utti")</f>
        <v>Utti</v>
      </c>
      <c r="D4271" s="120" t="str">
        <f>IFERROR(__xludf.DUMMYFUNCTION("""COMPUTED_VALUE"""),"Finland")</f>
        <v>Finland</v>
      </c>
      <c r="E4271" s="135"/>
      <c r="F4271" s="31"/>
    </row>
    <row r="4272">
      <c r="A4272" s="134" t="str">
        <f>IFERROR(__xludf.DUMMYFUNCTION("""COMPUTED_VALUE"""),"Kowanyama")</f>
        <v>Kowanyama</v>
      </c>
      <c r="B4272" s="120" t="str">
        <f>IFERROR(__xludf.DUMMYFUNCTION("""COMPUTED_VALUE"""),"KWM")</f>
        <v>KWM</v>
      </c>
      <c r="C4272" s="120" t="str">
        <f>IFERROR(__xludf.DUMMYFUNCTION("""COMPUTED_VALUE"""),"Kowanyama")</f>
        <v>Kowanyama</v>
      </c>
      <c r="D4272" s="120" t="str">
        <f>IFERROR(__xludf.DUMMYFUNCTION("""COMPUTED_VALUE"""),"Australia")</f>
        <v>Australia</v>
      </c>
      <c r="E4272" s="135"/>
      <c r="F4272" s="31"/>
    </row>
    <row r="4273">
      <c r="A4273" s="134" t="str">
        <f>IFERROR(__xludf.DUMMYFUNCTION("""COMPUTED_VALUE"""),"Koyuk")</f>
        <v>Koyuk</v>
      </c>
      <c r="B4273" s="120" t="str">
        <f>IFERROR(__xludf.DUMMYFUNCTION("""COMPUTED_VALUE"""),"KKA")</f>
        <v>KKA</v>
      </c>
      <c r="C4273" s="120" t="str">
        <f>IFERROR(__xludf.DUMMYFUNCTION("""COMPUTED_VALUE"""),"Koyuk")</f>
        <v>Koyuk</v>
      </c>
      <c r="D4273" s="120" t="str">
        <f>IFERROR(__xludf.DUMMYFUNCTION("""COMPUTED_VALUE"""),"United States")</f>
        <v>United States</v>
      </c>
      <c r="E4273" s="135"/>
      <c r="F4273" s="31"/>
    </row>
    <row r="4274">
      <c r="A4274" s="134" t="str">
        <f>IFERROR(__xludf.DUMMYFUNCTION("""COMPUTED_VALUE"""),"Koyukuk")</f>
        <v>Koyukuk</v>
      </c>
      <c r="B4274" s="120" t="str">
        <f>IFERROR(__xludf.DUMMYFUNCTION("""COMPUTED_VALUE"""),"KYU")</f>
        <v>KYU</v>
      </c>
      <c r="C4274" s="120" t="str">
        <f>IFERROR(__xludf.DUMMYFUNCTION("""COMPUTED_VALUE"""),"Koyukuk")</f>
        <v>Koyukuk</v>
      </c>
      <c r="D4274" s="120" t="str">
        <f>IFERROR(__xludf.DUMMYFUNCTION("""COMPUTED_VALUE"""),"United States")</f>
        <v>United States</v>
      </c>
      <c r="E4274" s="135"/>
      <c r="F4274" s="31"/>
    </row>
    <row r="4275">
      <c r="A4275" s="134" t="str">
        <f>IFERROR(__xludf.DUMMYFUNCTION("""COMPUTED_VALUE"""),"Kozani")</f>
        <v>Kozani</v>
      </c>
      <c r="B4275" s="120" t="str">
        <f>IFERROR(__xludf.DUMMYFUNCTION("""COMPUTED_VALUE"""),"KZI")</f>
        <v>KZI</v>
      </c>
      <c r="C4275" s="120" t="str">
        <f>IFERROR(__xludf.DUMMYFUNCTION("""COMPUTED_VALUE"""),"Philippos Airport")</f>
        <v>Philippos Airport</v>
      </c>
      <c r="D4275" s="120" t="str">
        <f>IFERROR(__xludf.DUMMYFUNCTION("""COMPUTED_VALUE"""),"Greece")</f>
        <v>Greece</v>
      </c>
      <c r="E4275" s="135"/>
      <c r="F4275" s="31"/>
    </row>
    <row r="4276">
      <c r="A4276" s="134" t="str">
        <f>IFERROR(__xludf.DUMMYFUNCTION("""COMPUTED_VALUE"""),"Kozhikode")</f>
        <v>Kozhikode</v>
      </c>
      <c r="B4276" s="120" t="str">
        <f>IFERROR(__xludf.DUMMYFUNCTION("""COMPUTED_VALUE"""),"CCJ")</f>
        <v>CCJ</v>
      </c>
      <c r="C4276" s="120" t="str">
        <f>IFERROR(__xludf.DUMMYFUNCTION("""COMPUTED_VALUE"""),"Kozhikode Airport")</f>
        <v>Kozhikode Airport</v>
      </c>
      <c r="D4276" s="120" t="str">
        <f>IFERROR(__xludf.DUMMYFUNCTION("""COMPUTED_VALUE"""),"India")</f>
        <v>India</v>
      </c>
      <c r="E4276" s="135"/>
      <c r="F4276" s="31"/>
    </row>
    <row r="4277">
      <c r="A4277" s="134" t="str">
        <f>IFERROR(__xludf.DUMMYFUNCTION("""COMPUTED_VALUE"""),"Krabi")</f>
        <v>Krabi</v>
      </c>
      <c r="B4277" s="120" t="str">
        <f>IFERROR(__xludf.DUMMYFUNCTION("""COMPUTED_VALUE"""),"KBV")</f>
        <v>KBV</v>
      </c>
      <c r="C4277" s="120" t="str">
        <f>IFERROR(__xludf.DUMMYFUNCTION("""COMPUTED_VALUE"""),"Krabi")</f>
        <v>Krabi</v>
      </c>
      <c r="D4277" s="120" t="str">
        <f>IFERROR(__xludf.DUMMYFUNCTION("""COMPUTED_VALUE"""),"Thailand")</f>
        <v>Thailand</v>
      </c>
      <c r="E4277" s="135"/>
      <c r="F4277" s="31"/>
    </row>
    <row r="4278">
      <c r="A4278" s="134" t="str">
        <f>IFERROR(__xludf.DUMMYFUNCTION("""COMPUTED_VALUE"""),"Krakor")</f>
        <v>Krakor</v>
      </c>
      <c r="B4278" s="120" t="str">
        <f>IFERROR(__xludf.DUMMYFUNCTION("""COMPUTED_VALUE"""),"KZD")</f>
        <v>KZD</v>
      </c>
      <c r="C4278" s="120" t="str">
        <f>IFERROR(__xludf.DUMMYFUNCTION("""COMPUTED_VALUE"""),"Krakor")</f>
        <v>Krakor</v>
      </c>
      <c r="D4278" s="120" t="str">
        <f>IFERROR(__xludf.DUMMYFUNCTION("""COMPUTED_VALUE"""),"Cambodia")</f>
        <v>Cambodia</v>
      </c>
      <c r="E4278" s="135"/>
      <c r="F4278" s="31"/>
    </row>
    <row r="4279">
      <c r="A4279" s="134" t="str">
        <f>IFERROR(__xludf.DUMMYFUNCTION("""COMPUTED_VALUE"""),"Krakow")</f>
        <v>Krakow</v>
      </c>
      <c r="B4279" s="120" t="str">
        <f>IFERROR(__xludf.DUMMYFUNCTION("""COMPUTED_VALUE"""),"KRK")</f>
        <v>KRK</v>
      </c>
      <c r="C4279" s="120" t="str">
        <f>IFERROR(__xludf.DUMMYFUNCTION("""COMPUTED_VALUE"""),"J. Paul Ii Balice Intl")</f>
        <v>J. Paul Ii Balice Intl</v>
      </c>
      <c r="D4279" s="120" t="str">
        <f>IFERROR(__xludf.DUMMYFUNCTION("""COMPUTED_VALUE"""),"Poland")</f>
        <v>Poland</v>
      </c>
      <c r="E4279" s="135"/>
      <c r="F4279" s="31"/>
    </row>
    <row r="4280">
      <c r="A4280" s="134" t="str">
        <f>IFERROR(__xludf.DUMMYFUNCTION("""COMPUTED_VALUE"""),"Kramatorsk")</f>
        <v>Kramatorsk</v>
      </c>
      <c r="B4280" s="120" t="str">
        <f>IFERROR(__xludf.DUMMYFUNCTION("""COMPUTED_VALUE"""),"KRQ")</f>
        <v>KRQ</v>
      </c>
      <c r="C4280" s="120" t="str">
        <f>IFERROR(__xludf.DUMMYFUNCTION("""COMPUTED_VALUE"""),"Kramatorsk")</f>
        <v>Kramatorsk</v>
      </c>
      <c r="D4280" s="120" t="str">
        <f>IFERROR(__xludf.DUMMYFUNCTION("""COMPUTED_VALUE"""),"Ukraine")</f>
        <v>Ukraine</v>
      </c>
      <c r="E4280" s="135"/>
      <c r="F4280" s="31"/>
    </row>
    <row r="4281">
      <c r="A4281" s="134" t="str">
        <f>IFERROR(__xludf.DUMMYFUNCTION("""COMPUTED_VALUE"""),"Kramfors")</f>
        <v>Kramfors</v>
      </c>
      <c r="B4281" s="120" t="str">
        <f>IFERROR(__xludf.DUMMYFUNCTION("""COMPUTED_VALUE"""),"KRF")</f>
        <v>KRF</v>
      </c>
      <c r="C4281" s="120" t="str">
        <f>IFERROR(__xludf.DUMMYFUNCTION("""COMPUTED_VALUE"""),"Kramfors")</f>
        <v>Kramfors</v>
      </c>
      <c r="D4281" s="120" t="str">
        <f>IFERROR(__xludf.DUMMYFUNCTION("""COMPUTED_VALUE"""),"Sweden")</f>
        <v>Sweden</v>
      </c>
      <c r="E4281" s="135"/>
      <c r="F4281" s="31"/>
    </row>
    <row r="4282">
      <c r="A4282" s="134" t="str">
        <f>IFERROR(__xludf.DUMMYFUNCTION("""COMPUTED_VALUE"""),"Krasnodar")</f>
        <v>Krasnodar</v>
      </c>
      <c r="B4282" s="120" t="str">
        <f>IFERROR(__xludf.DUMMYFUNCTION("""COMPUTED_VALUE"""),"KRR")</f>
        <v>KRR</v>
      </c>
      <c r="C4282" s="120" t="str">
        <f>IFERROR(__xludf.DUMMYFUNCTION("""COMPUTED_VALUE"""),"Rostov")</f>
        <v>Rostov</v>
      </c>
      <c r="D4282" s="120" t="str">
        <f>IFERROR(__xludf.DUMMYFUNCTION("""COMPUTED_VALUE"""),"Russia")</f>
        <v>Russia</v>
      </c>
      <c r="E4282" s="135"/>
      <c r="F4282" s="31"/>
    </row>
    <row r="4283">
      <c r="A4283" s="134" t="str">
        <f>IFERROR(__xludf.DUMMYFUNCTION("""COMPUTED_VALUE"""),"Krasnojarsk")</f>
        <v>Krasnojarsk</v>
      </c>
      <c r="B4283" s="120" t="str">
        <f>IFERROR(__xludf.DUMMYFUNCTION("""COMPUTED_VALUE"""),"KJA")</f>
        <v>KJA</v>
      </c>
      <c r="C4283" s="120" t="str">
        <f>IFERROR(__xludf.DUMMYFUNCTION("""COMPUTED_VALUE"""),"Krasnojarsk")</f>
        <v>Krasnojarsk</v>
      </c>
      <c r="D4283" s="120" t="str">
        <f>IFERROR(__xludf.DUMMYFUNCTION("""COMPUTED_VALUE"""),"Russia")</f>
        <v>Russia</v>
      </c>
      <c r="E4283" s="135"/>
      <c r="F4283" s="31"/>
    </row>
    <row r="4284">
      <c r="A4284" s="134" t="str">
        <f>IFERROR(__xludf.DUMMYFUNCTION("""COMPUTED_VALUE"""),"Kratie")</f>
        <v>Kratie</v>
      </c>
      <c r="B4284" s="120" t="str">
        <f>IFERROR(__xludf.DUMMYFUNCTION("""COMPUTED_VALUE"""),"KTI")</f>
        <v>KTI</v>
      </c>
      <c r="C4284" s="120" t="str">
        <f>IFERROR(__xludf.DUMMYFUNCTION("""COMPUTED_VALUE"""),"Kratie")</f>
        <v>Kratie</v>
      </c>
      <c r="D4284" s="120" t="str">
        <f>IFERROR(__xludf.DUMMYFUNCTION("""COMPUTED_VALUE"""),"Cambodia")</f>
        <v>Cambodia</v>
      </c>
      <c r="E4284" s="135"/>
      <c r="F4284" s="31"/>
    </row>
    <row r="4285">
      <c r="A4285" s="134" t="str">
        <f>IFERROR(__xludf.DUMMYFUNCTION("""COMPUTED_VALUE"""),"Kremenchug")</f>
        <v>Kremenchug</v>
      </c>
      <c r="B4285" s="120" t="str">
        <f>IFERROR(__xludf.DUMMYFUNCTION("""COMPUTED_VALUE"""),"KHU")</f>
        <v>KHU</v>
      </c>
      <c r="C4285" s="120" t="str">
        <f>IFERROR(__xludf.DUMMYFUNCTION("""COMPUTED_VALUE"""),"Kremenchug")</f>
        <v>Kremenchug</v>
      </c>
      <c r="D4285" s="120" t="str">
        <f>IFERROR(__xludf.DUMMYFUNCTION("""COMPUTED_VALUE"""),"Ukraine")</f>
        <v>Ukraine</v>
      </c>
      <c r="E4285" s="135"/>
      <c r="F4285" s="31"/>
    </row>
    <row r="4286">
      <c r="A4286" s="134" t="str">
        <f>IFERROR(__xludf.DUMMYFUNCTION("""COMPUTED_VALUE"""),"Kribi")</f>
        <v>Kribi</v>
      </c>
      <c r="B4286" s="120" t="str">
        <f>IFERROR(__xludf.DUMMYFUNCTION("""COMPUTED_VALUE"""),"KBI")</f>
        <v>KBI</v>
      </c>
      <c r="C4286" s="120" t="str">
        <f>IFERROR(__xludf.DUMMYFUNCTION("""COMPUTED_VALUE"""),"Kribi")</f>
        <v>Kribi</v>
      </c>
      <c r="D4286" s="120" t="str">
        <f>IFERROR(__xludf.DUMMYFUNCTION("""COMPUTED_VALUE"""),"Cameroon")</f>
        <v>Cameroon</v>
      </c>
      <c r="E4286" s="135"/>
      <c r="F4286" s="31"/>
    </row>
    <row r="4287">
      <c r="A4287" s="134" t="str">
        <f>IFERROR(__xludf.DUMMYFUNCTION("""COMPUTED_VALUE"""),"Kristiansand")</f>
        <v>Kristiansand</v>
      </c>
      <c r="B4287" s="120" t="str">
        <f>IFERROR(__xludf.DUMMYFUNCTION("""COMPUTED_VALUE"""),"KRS")</f>
        <v>KRS</v>
      </c>
      <c r="C4287" s="120" t="str">
        <f>IFERROR(__xludf.DUMMYFUNCTION("""COMPUTED_VALUE"""),"Kjevik")</f>
        <v>Kjevik</v>
      </c>
      <c r="D4287" s="120" t="str">
        <f>IFERROR(__xludf.DUMMYFUNCTION("""COMPUTED_VALUE"""),"Norway")</f>
        <v>Norway</v>
      </c>
      <c r="E4287" s="135"/>
      <c r="F4287" s="31"/>
    </row>
    <row r="4288">
      <c r="A4288" s="134" t="str">
        <f>IFERROR(__xludf.DUMMYFUNCTION("""COMPUTED_VALUE"""),"Kristiansand")</f>
        <v>Kristiansand</v>
      </c>
      <c r="B4288" s="120" t="str">
        <f>IFERROR(__xludf.DUMMYFUNCTION("""COMPUTED_VALUE"""),"XKR")</f>
        <v>XKR</v>
      </c>
      <c r="C4288" s="120" t="str">
        <f>IFERROR(__xludf.DUMMYFUNCTION("""COMPUTED_VALUE"""),"Kristiansand Rail")</f>
        <v>Kristiansand Rail</v>
      </c>
      <c r="D4288" s="120" t="str">
        <f>IFERROR(__xludf.DUMMYFUNCTION("""COMPUTED_VALUE"""),"Norway")</f>
        <v>Norway</v>
      </c>
      <c r="E4288" s="135"/>
      <c r="F4288" s="31"/>
    </row>
    <row r="4289">
      <c r="A4289" s="134" t="str">
        <f>IFERROR(__xludf.DUMMYFUNCTION("""COMPUTED_VALUE"""),"Kristianstad")</f>
        <v>Kristianstad</v>
      </c>
      <c r="B4289" s="120" t="str">
        <f>IFERROR(__xludf.DUMMYFUNCTION("""COMPUTED_VALUE"""),"KID")</f>
        <v>KID</v>
      </c>
      <c r="C4289" s="120" t="str">
        <f>IFERROR(__xludf.DUMMYFUNCTION("""COMPUTED_VALUE"""),"Kristianstad")</f>
        <v>Kristianstad</v>
      </c>
      <c r="D4289" s="120" t="str">
        <f>IFERROR(__xludf.DUMMYFUNCTION("""COMPUTED_VALUE"""),"Sweden")</f>
        <v>Sweden</v>
      </c>
      <c r="E4289" s="135"/>
      <c r="F4289" s="31"/>
    </row>
    <row r="4290">
      <c r="A4290" s="134" t="str">
        <f>IFERROR(__xludf.DUMMYFUNCTION("""COMPUTED_VALUE"""),"Kristiansund")</f>
        <v>Kristiansund</v>
      </c>
      <c r="B4290" s="120" t="str">
        <f>IFERROR(__xludf.DUMMYFUNCTION("""COMPUTED_VALUE"""),"KSU")</f>
        <v>KSU</v>
      </c>
      <c r="C4290" s="120" t="str">
        <f>IFERROR(__xludf.DUMMYFUNCTION("""COMPUTED_VALUE"""),"Kvernberget")</f>
        <v>Kvernberget</v>
      </c>
      <c r="D4290" s="120" t="str">
        <f>IFERROR(__xludf.DUMMYFUNCTION("""COMPUTED_VALUE"""),"Norway")</f>
        <v>Norway</v>
      </c>
      <c r="E4290" s="135"/>
      <c r="F4290" s="31"/>
    </row>
    <row r="4291">
      <c r="A4291" s="134" t="str">
        <f>IFERROR(__xludf.DUMMYFUNCTION("""COMPUTED_VALUE"""),"Kristinehamn")</f>
        <v>Kristinehamn</v>
      </c>
      <c r="B4291" s="120" t="str">
        <f>IFERROR(__xludf.DUMMYFUNCTION("""COMPUTED_VALUE"""),"XYN")</f>
        <v>XYN</v>
      </c>
      <c r="C4291" s="120" t="str">
        <f>IFERROR(__xludf.DUMMYFUNCTION("""COMPUTED_VALUE"""),"Kristinehamn Rail")</f>
        <v>Kristinehamn Rail</v>
      </c>
      <c r="D4291" s="120" t="str">
        <f>IFERROR(__xludf.DUMMYFUNCTION("""COMPUTED_VALUE"""),"Sweden")</f>
        <v>Sweden</v>
      </c>
      <c r="E4291" s="135"/>
      <c r="F4291" s="31"/>
    </row>
    <row r="4292">
      <c r="A4292" s="134" t="str">
        <f>IFERROR(__xludf.DUMMYFUNCTION("""COMPUTED_VALUE"""),"Krivoy Rog")</f>
        <v>Krivoy Rog</v>
      </c>
      <c r="B4292" s="120" t="str">
        <f>IFERROR(__xludf.DUMMYFUNCTION("""COMPUTED_VALUE"""),"KWG")</f>
        <v>KWG</v>
      </c>
      <c r="C4292" s="120" t="str">
        <f>IFERROR(__xludf.DUMMYFUNCTION("""COMPUTED_VALUE"""),"Krivoy Rog")</f>
        <v>Krivoy Rog</v>
      </c>
      <c r="D4292" s="120" t="str">
        <f>IFERROR(__xludf.DUMMYFUNCTION("""COMPUTED_VALUE"""),"Ukraine")</f>
        <v>Ukraine</v>
      </c>
      <c r="E4292" s="135"/>
      <c r="F4292" s="31"/>
    </row>
    <row r="4293">
      <c r="A4293" s="134" t="str">
        <f>IFERROR(__xludf.DUMMYFUNCTION("""COMPUTED_VALUE"""),"Ksar Es Souk")</f>
        <v>Ksar Es Souk</v>
      </c>
      <c r="B4293" s="120" t="str">
        <f>IFERROR(__xludf.DUMMYFUNCTION("""COMPUTED_VALUE"""),"SEK")</f>
        <v>SEK</v>
      </c>
      <c r="C4293" s="120" t="str">
        <f>IFERROR(__xludf.DUMMYFUNCTION("""COMPUTED_VALUE"""),"Ksar Es Souk")</f>
        <v>Ksar Es Souk</v>
      </c>
      <c r="D4293" s="120" t="str">
        <f>IFERROR(__xludf.DUMMYFUNCTION("""COMPUTED_VALUE"""),"Morocco")</f>
        <v>Morocco</v>
      </c>
      <c r="E4293" s="135"/>
      <c r="F4293" s="31"/>
    </row>
    <row r="4294">
      <c r="A4294" s="134" t="str">
        <f>IFERROR(__xludf.DUMMYFUNCTION("""COMPUTED_VALUE"""),"Kuala Lumpur")</f>
        <v>Kuala Lumpur</v>
      </c>
      <c r="B4294" s="120" t="str">
        <f>IFERROR(__xludf.DUMMYFUNCTION("""COMPUTED_VALUE"""),"KUL")</f>
        <v>KUL</v>
      </c>
      <c r="C4294" s="120" t="str">
        <f>IFERROR(__xludf.DUMMYFUNCTION("""COMPUTED_VALUE"""),"Kuala Lumpur International Airport (klia)")</f>
        <v>Kuala Lumpur International Airport (klia)</v>
      </c>
      <c r="D4294" s="120" t="str">
        <f>IFERROR(__xludf.DUMMYFUNCTION("""COMPUTED_VALUE"""),"Malaysia")</f>
        <v>Malaysia</v>
      </c>
      <c r="E4294" s="135"/>
      <c r="F4294" s="31"/>
    </row>
    <row r="4295">
      <c r="A4295" s="134" t="str">
        <f>IFERROR(__xludf.DUMMYFUNCTION("""COMPUTED_VALUE"""),"Kuala Lumpur")</f>
        <v>Kuala Lumpur</v>
      </c>
      <c r="B4295" s="120" t="str">
        <f>IFERROR(__xludf.DUMMYFUNCTION("""COMPUTED_VALUE"""),"SZB")</f>
        <v>SZB</v>
      </c>
      <c r="C4295" s="120" t="str">
        <f>IFERROR(__xludf.DUMMYFUNCTION("""COMPUTED_VALUE"""),"Sultan Abdul Aziz Shah")</f>
        <v>Sultan Abdul Aziz Shah</v>
      </c>
      <c r="D4295" s="120" t="str">
        <f>IFERROR(__xludf.DUMMYFUNCTION("""COMPUTED_VALUE"""),"Malaysia")</f>
        <v>Malaysia</v>
      </c>
      <c r="E4295" s="135"/>
      <c r="F4295" s="31"/>
    </row>
    <row r="4296">
      <c r="A4296" s="134" t="str">
        <f>IFERROR(__xludf.DUMMYFUNCTION("""COMPUTED_VALUE"""),"Kuala Terengganu")</f>
        <v>Kuala Terengganu</v>
      </c>
      <c r="B4296" s="120" t="str">
        <f>IFERROR(__xludf.DUMMYFUNCTION("""COMPUTED_VALUE"""),"TGG")</f>
        <v>TGG</v>
      </c>
      <c r="C4296" s="120" t="str">
        <f>IFERROR(__xludf.DUMMYFUNCTION("""COMPUTED_VALUE"""),"Sultan Mahmood")</f>
        <v>Sultan Mahmood</v>
      </c>
      <c r="D4296" s="120" t="str">
        <f>IFERROR(__xludf.DUMMYFUNCTION("""COMPUTED_VALUE"""),"Malaysia")</f>
        <v>Malaysia</v>
      </c>
      <c r="E4296" s="135"/>
      <c r="F4296" s="31"/>
    </row>
    <row r="4297">
      <c r="A4297" s="134" t="str">
        <f>IFERROR(__xludf.DUMMYFUNCTION("""COMPUTED_VALUE"""),"Kuantan")</f>
        <v>Kuantan</v>
      </c>
      <c r="B4297" s="120" t="str">
        <f>IFERROR(__xludf.DUMMYFUNCTION("""COMPUTED_VALUE"""),"KUA")</f>
        <v>KUA</v>
      </c>
      <c r="C4297" s="120" t="str">
        <f>IFERROR(__xludf.DUMMYFUNCTION("""COMPUTED_VALUE"""),"Kuantan")</f>
        <v>Kuantan</v>
      </c>
      <c r="D4297" s="120" t="str">
        <f>IFERROR(__xludf.DUMMYFUNCTION("""COMPUTED_VALUE"""),"Malaysia")</f>
        <v>Malaysia</v>
      </c>
      <c r="E4297" s="135"/>
      <c r="F4297" s="31"/>
    </row>
    <row r="4298">
      <c r="A4298" s="134" t="str">
        <f>IFERROR(__xludf.DUMMYFUNCTION("""COMPUTED_VALUE"""),"Kuantan")</f>
        <v>Kuantan</v>
      </c>
      <c r="B4298" s="120" t="str">
        <f>IFERROR(__xludf.DUMMYFUNCTION("""COMPUTED_VALUE"""),"ZJB")</f>
        <v>ZJB</v>
      </c>
      <c r="C4298" s="120" t="str">
        <f>IFERROR(__xludf.DUMMYFUNCTION("""COMPUTED_VALUE"""),"Kuantan Port")</f>
        <v>Kuantan Port</v>
      </c>
      <c r="D4298" s="120" t="str">
        <f>IFERROR(__xludf.DUMMYFUNCTION("""COMPUTED_VALUE"""),"Malaysia")</f>
        <v>Malaysia</v>
      </c>
      <c r="E4298" s="135"/>
      <c r="F4298" s="31"/>
    </row>
    <row r="4299">
      <c r="A4299" s="134" t="str">
        <f>IFERROR(__xludf.DUMMYFUNCTION("""COMPUTED_VALUE"""),"Kubin Island")</f>
        <v>Kubin Island</v>
      </c>
      <c r="B4299" s="120" t="str">
        <f>IFERROR(__xludf.DUMMYFUNCTION("""COMPUTED_VALUE"""),"KUG")</f>
        <v>KUG</v>
      </c>
      <c r="C4299" s="120" t="str">
        <f>IFERROR(__xludf.DUMMYFUNCTION("""COMPUTED_VALUE"""),"Kubin Island")</f>
        <v>Kubin Island</v>
      </c>
      <c r="D4299" s="120" t="str">
        <f>IFERROR(__xludf.DUMMYFUNCTION("""COMPUTED_VALUE"""),"Australia")</f>
        <v>Australia</v>
      </c>
      <c r="E4299" s="135"/>
      <c r="F4299" s="31"/>
    </row>
    <row r="4300">
      <c r="A4300" s="134" t="str">
        <f>IFERROR(__xludf.DUMMYFUNCTION("""COMPUTED_VALUE"""),"Kuching")</f>
        <v>Kuching</v>
      </c>
      <c r="B4300" s="120" t="str">
        <f>IFERROR(__xludf.DUMMYFUNCTION("""COMPUTED_VALUE"""),"KCH")</f>
        <v>KCH</v>
      </c>
      <c r="C4300" s="120" t="str">
        <f>IFERROR(__xludf.DUMMYFUNCTION("""COMPUTED_VALUE"""),"Kuching")</f>
        <v>Kuching</v>
      </c>
      <c r="D4300" s="120" t="str">
        <f>IFERROR(__xludf.DUMMYFUNCTION("""COMPUTED_VALUE"""),"Malaysia")</f>
        <v>Malaysia</v>
      </c>
      <c r="E4300" s="135"/>
      <c r="F4300" s="31"/>
    </row>
    <row r="4301">
      <c r="A4301" s="134" t="str">
        <f>IFERROR(__xludf.DUMMYFUNCTION("""COMPUTED_VALUE"""),"Kuching")</f>
        <v>Kuching</v>
      </c>
      <c r="B4301" s="120" t="str">
        <f>IFERROR(__xludf.DUMMYFUNCTION("""COMPUTED_VALUE"""),"ZGY")</f>
        <v>ZGY</v>
      </c>
      <c r="C4301" s="120" t="str">
        <f>IFERROR(__xludf.DUMMYFUNCTION("""COMPUTED_VALUE"""),"Kuching Port")</f>
        <v>Kuching Port</v>
      </c>
      <c r="D4301" s="120" t="str">
        <f>IFERROR(__xludf.DUMMYFUNCTION("""COMPUTED_VALUE"""),"Malaysia")</f>
        <v>Malaysia</v>
      </c>
      <c r="E4301" s="135"/>
      <c r="F4301" s="31"/>
    </row>
    <row r="4302">
      <c r="A4302" s="134" t="str">
        <f>IFERROR(__xludf.DUMMYFUNCTION("""COMPUTED_VALUE"""),"Kudat")</f>
        <v>Kudat</v>
      </c>
      <c r="B4302" s="120" t="str">
        <f>IFERROR(__xludf.DUMMYFUNCTION("""COMPUTED_VALUE"""),"KUD")</f>
        <v>KUD</v>
      </c>
      <c r="C4302" s="120" t="str">
        <f>IFERROR(__xludf.DUMMYFUNCTION("""COMPUTED_VALUE"""),"Kudat")</f>
        <v>Kudat</v>
      </c>
      <c r="D4302" s="120" t="str">
        <f>IFERROR(__xludf.DUMMYFUNCTION("""COMPUTED_VALUE"""),"Malaysia")</f>
        <v>Malaysia</v>
      </c>
      <c r="E4302" s="135"/>
      <c r="F4302" s="31"/>
    </row>
    <row r="4303">
      <c r="A4303" s="134" t="str">
        <f>IFERROR(__xludf.DUMMYFUNCTION("""COMPUTED_VALUE"""),"Kufrah")</f>
        <v>Kufrah</v>
      </c>
      <c r="B4303" s="120" t="str">
        <f>IFERROR(__xludf.DUMMYFUNCTION("""COMPUTED_VALUE"""),"AKF")</f>
        <v>AKF</v>
      </c>
      <c r="C4303" s="120" t="str">
        <f>IFERROR(__xludf.DUMMYFUNCTION("""COMPUTED_VALUE"""),"Kufrah")</f>
        <v>Kufrah</v>
      </c>
      <c r="D4303" s="120" t="str">
        <f>IFERROR(__xludf.DUMMYFUNCTION("""COMPUTED_VALUE"""),"Libya")</f>
        <v>Libya</v>
      </c>
      <c r="E4303" s="135"/>
      <c r="F4303" s="31"/>
    </row>
    <row r="4304">
      <c r="A4304" s="134" t="str">
        <f>IFERROR(__xludf.DUMMYFUNCTION("""COMPUTED_VALUE"""),"Kugaaruk")</f>
        <v>Kugaaruk</v>
      </c>
      <c r="B4304" s="120" t="str">
        <f>IFERROR(__xludf.DUMMYFUNCTION("""COMPUTED_VALUE"""),"YBB")</f>
        <v>YBB</v>
      </c>
      <c r="C4304" s="120" t="str">
        <f>IFERROR(__xludf.DUMMYFUNCTION("""COMPUTED_VALUE"""),"Kugaaruk")</f>
        <v>Kugaaruk</v>
      </c>
      <c r="D4304" s="120" t="str">
        <f>IFERROR(__xludf.DUMMYFUNCTION("""COMPUTED_VALUE"""),"Canada")</f>
        <v>Canada</v>
      </c>
      <c r="E4304" s="135"/>
      <c r="F4304" s="31"/>
    </row>
    <row r="4305">
      <c r="A4305" s="134" t="str">
        <f>IFERROR(__xludf.DUMMYFUNCTION("""COMPUTED_VALUE"""),"Kugluktuk/Coppermine")</f>
        <v>Kugluktuk/Coppermine</v>
      </c>
      <c r="B4305" s="120" t="str">
        <f>IFERROR(__xludf.DUMMYFUNCTION("""COMPUTED_VALUE"""),"YCO")</f>
        <v>YCO</v>
      </c>
      <c r="C4305" s="120" t="str">
        <f>IFERROR(__xludf.DUMMYFUNCTION("""COMPUTED_VALUE"""),"Kugluktuk")</f>
        <v>Kugluktuk</v>
      </c>
      <c r="D4305" s="120" t="str">
        <f>IFERROR(__xludf.DUMMYFUNCTION("""COMPUTED_VALUE"""),"Canada")</f>
        <v>Canada</v>
      </c>
      <c r="E4305" s="135"/>
      <c r="F4305" s="31"/>
    </row>
    <row r="4306">
      <c r="A4306" s="134" t="str">
        <f>IFERROR(__xludf.DUMMYFUNCTION("""COMPUTED_VALUE"""),"Kugururok River")</f>
        <v>Kugururok River</v>
      </c>
      <c r="B4306" s="120" t="str">
        <f>IFERROR(__xludf.DUMMYFUNCTION("""COMPUTED_VALUE"""),"KUW")</f>
        <v>KUW</v>
      </c>
      <c r="C4306" s="120" t="str">
        <f>IFERROR(__xludf.DUMMYFUNCTION("""COMPUTED_VALUE"""),"Kugururok River")</f>
        <v>Kugururok River</v>
      </c>
      <c r="D4306" s="120" t="str">
        <f>IFERROR(__xludf.DUMMYFUNCTION("""COMPUTED_VALUE"""),"Papua New Guinea")</f>
        <v>Papua New Guinea</v>
      </c>
      <c r="E4306" s="135"/>
      <c r="F4306" s="31"/>
    </row>
    <row r="4307">
      <c r="A4307" s="134" t="str">
        <f>IFERROR(__xludf.DUMMYFUNCTION("""COMPUTED_VALUE"""),"Kuito")</f>
        <v>Kuito</v>
      </c>
      <c r="B4307" s="120" t="str">
        <f>IFERROR(__xludf.DUMMYFUNCTION("""COMPUTED_VALUE"""),"SVP")</f>
        <v>SVP</v>
      </c>
      <c r="C4307" s="120" t="str">
        <f>IFERROR(__xludf.DUMMYFUNCTION("""COMPUTED_VALUE"""),"Kuito (Silva Porto)")</f>
        <v>Kuito (Silva Porto)</v>
      </c>
      <c r="D4307" s="120" t="str">
        <f>IFERROR(__xludf.DUMMYFUNCTION("""COMPUTED_VALUE"""),"Angola")</f>
        <v>Angola</v>
      </c>
      <c r="E4307" s="135"/>
      <c r="F4307" s="31"/>
    </row>
    <row r="4308">
      <c r="A4308" s="134" t="str">
        <f>IFERROR(__xludf.DUMMYFUNCTION("""COMPUTED_VALUE"""),"Kukundu")</f>
        <v>Kukundu</v>
      </c>
      <c r="B4308" s="120" t="str">
        <f>IFERROR(__xludf.DUMMYFUNCTION("""COMPUTED_VALUE"""),"KUE")</f>
        <v>KUE</v>
      </c>
      <c r="C4308" s="120" t="str">
        <f>IFERROR(__xludf.DUMMYFUNCTION("""COMPUTED_VALUE"""),"Kukundu")</f>
        <v>Kukundu</v>
      </c>
      <c r="D4308" s="120" t="str">
        <f>IFERROR(__xludf.DUMMYFUNCTION("""COMPUTED_VALUE"""),"Solomon Islands")</f>
        <v>Solomon Islands</v>
      </c>
      <c r="E4308" s="135"/>
      <c r="F4308" s="31"/>
    </row>
    <row r="4309">
      <c r="A4309" s="134" t="str">
        <f>IFERROR(__xludf.DUMMYFUNCTION("""COMPUTED_VALUE"""),"Kulgera")</f>
        <v>Kulgera</v>
      </c>
      <c r="B4309" s="120" t="str">
        <f>IFERROR(__xludf.DUMMYFUNCTION("""COMPUTED_VALUE"""),"KGR")</f>
        <v>KGR</v>
      </c>
      <c r="C4309" s="120" t="str">
        <f>IFERROR(__xludf.DUMMYFUNCTION("""COMPUTED_VALUE"""),"Kulgera")</f>
        <v>Kulgera</v>
      </c>
      <c r="D4309" s="120" t="str">
        <f>IFERROR(__xludf.DUMMYFUNCTION("""COMPUTED_VALUE"""),"Australia")</f>
        <v>Australia</v>
      </c>
      <c r="E4309" s="135"/>
      <c r="F4309" s="31"/>
    </row>
    <row r="4310">
      <c r="A4310" s="134" t="str">
        <f>IFERROR(__xludf.DUMMYFUNCTION("""COMPUTED_VALUE"""),"Kulik Lake")</f>
        <v>Kulik Lake</v>
      </c>
      <c r="B4310" s="120" t="str">
        <f>IFERROR(__xludf.DUMMYFUNCTION("""COMPUTED_VALUE"""),"LKK")</f>
        <v>LKK</v>
      </c>
      <c r="C4310" s="120" t="str">
        <f>IFERROR(__xludf.DUMMYFUNCTION("""COMPUTED_VALUE"""),"Kulik Lake")</f>
        <v>Kulik Lake</v>
      </c>
      <c r="D4310" s="120" t="str">
        <f>IFERROR(__xludf.DUMMYFUNCTION("""COMPUTED_VALUE"""),"United States")</f>
        <v>United States</v>
      </c>
      <c r="E4310" s="135"/>
      <c r="F4310" s="31"/>
    </row>
    <row r="4311">
      <c r="A4311" s="134" t="str">
        <f>IFERROR(__xludf.DUMMYFUNCTION("""COMPUTED_VALUE"""),"Bhuntar")</f>
        <v>Bhuntar</v>
      </c>
      <c r="B4311" s="120" t="str">
        <f>IFERROR(__xludf.DUMMYFUNCTION("""COMPUTED_VALUE"""),"KUU")</f>
        <v>KUU</v>
      </c>
      <c r="C4311" s="120" t="str">
        <f>IFERROR(__xludf.DUMMYFUNCTION("""COMPUTED_VALUE"""),"Kullu Manali")</f>
        <v>Kullu Manali</v>
      </c>
      <c r="D4311" s="120" t="str">
        <f>IFERROR(__xludf.DUMMYFUNCTION("""COMPUTED_VALUE"""),"India")</f>
        <v>India</v>
      </c>
      <c r="E4311" s="135"/>
      <c r="F4311" s="31"/>
    </row>
    <row r="4312">
      <c r="A4312" s="134" t="str">
        <f>IFERROR(__xludf.DUMMYFUNCTION("""COMPUTED_VALUE"""),"Kulusuk")</f>
        <v>Kulusuk</v>
      </c>
      <c r="B4312" s="120" t="str">
        <f>IFERROR(__xludf.DUMMYFUNCTION("""COMPUTED_VALUE"""),"KUS")</f>
        <v>KUS</v>
      </c>
      <c r="C4312" s="120" t="str">
        <f>IFERROR(__xludf.DUMMYFUNCTION("""COMPUTED_VALUE"""),"Kulusuk")</f>
        <v>Kulusuk</v>
      </c>
      <c r="D4312" s="120" t="str">
        <f>IFERROR(__xludf.DUMMYFUNCTION("""COMPUTED_VALUE"""),"Greenland")</f>
        <v>Greenland</v>
      </c>
      <c r="E4312" s="135"/>
      <c r="F4312" s="31"/>
    </row>
    <row r="4313">
      <c r="A4313" s="134" t="str">
        <f>IFERROR(__xludf.DUMMYFUNCTION("""COMPUTED_VALUE"""),"Kumamoto")</f>
        <v>Kumamoto</v>
      </c>
      <c r="B4313" s="120" t="str">
        <f>IFERROR(__xludf.DUMMYFUNCTION("""COMPUTED_VALUE"""),"KMJ")</f>
        <v>KMJ</v>
      </c>
      <c r="C4313" s="120" t="str">
        <f>IFERROR(__xludf.DUMMYFUNCTION("""COMPUTED_VALUE"""),"Kumamoto")</f>
        <v>Kumamoto</v>
      </c>
      <c r="D4313" s="120" t="str">
        <f>IFERROR(__xludf.DUMMYFUNCTION("""COMPUTED_VALUE"""),"Japan")</f>
        <v>Japan</v>
      </c>
      <c r="E4313" s="135"/>
      <c r="F4313" s="31"/>
    </row>
    <row r="4314">
      <c r="A4314" s="134" t="str">
        <f>IFERROR(__xludf.DUMMYFUNCTION("""COMPUTED_VALUE"""),"Kumasi")</f>
        <v>Kumasi</v>
      </c>
      <c r="B4314" s="120" t="str">
        <f>IFERROR(__xludf.DUMMYFUNCTION("""COMPUTED_VALUE"""),"KMS")</f>
        <v>KMS</v>
      </c>
      <c r="C4314" s="120" t="str">
        <f>IFERROR(__xludf.DUMMYFUNCTION("""COMPUTED_VALUE"""),"Kumasi")</f>
        <v>Kumasi</v>
      </c>
      <c r="D4314" s="120" t="str">
        <f>IFERROR(__xludf.DUMMYFUNCTION("""COMPUTED_VALUE"""),"Ghana")</f>
        <v>Ghana</v>
      </c>
      <c r="E4314" s="135"/>
      <c r="F4314" s="31"/>
    </row>
    <row r="4315">
      <c r="A4315" s="134" t="str">
        <f>IFERROR(__xludf.DUMMYFUNCTION("""COMPUTED_VALUE"""),"Kumejima")</f>
        <v>Kumejima</v>
      </c>
      <c r="B4315" s="120" t="str">
        <f>IFERROR(__xludf.DUMMYFUNCTION("""COMPUTED_VALUE"""),"UEO")</f>
        <v>UEO</v>
      </c>
      <c r="C4315" s="120" t="str">
        <f>IFERROR(__xludf.DUMMYFUNCTION("""COMPUTED_VALUE"""),"Kumejima")</f>
        <v>Kumejima</v>
      </c>
      <c r="D4315" s="120" t="str">
        <f>IFERROR(__xludf.DUMMYFUNCTION("""COMPUTED_VALUE"""),"Japan")</f>
        <v>Japan</v>
      </c>
      <c r="E4315" s="135"/>
      <c r="F4315" s="31"/>
    </row>
    <row r="4316">
      <c r="A4316" s="134" t="str">
        <f>IFERROR(__xludf.DUMMYFUNCTION("""COMPUTED_VALUE"""),"Kundiawa")</f>
        <v>Kundiawa</v>
      </c>
      <c r="B4316" s="120" t="str">
        <f>IFERROR(__xludf.DUMMYFUNCTION("""COMPUTED_VALUE"""),"CMU")</f>
        <v>CMU</v>
      </c>
      <c r="C4316" s="120" t="str">
        <f>IFERROR(__xludf.DUMMYFUNCTION("""COMPUTED_VALUE"""),"Chimbu")</f>
        <v>Chimbu</v>
      </c>
      <c r="D4316" s="120" t="str">
        <f>IFERROR(__xludf.DUMMYFUNCTION("""COMPUTED_VALUE"""),"Papua New Guinea")</f>
        <v>Papua New Guinea</v>
      </c>
      <c r="E4316" s="135"/>
      <c r="F4316" s="31"/>
    </row>
    <row r="4317">
      <c r="A4317" s="134" t="str">
        <f>IFERROR(__xludf.DUMMYFUNCTION("""COMPUTED_VALUE"""),"Kunduz")</f>
        <v>Kunduz</v>
      </c>
      <c r="B4317" s="120" t="str">
        <f>IFERROR(__xludf.DUMMYFUNCTION("""COMPUTED_VALUE"""),"UND")</f>
        <v>UND</v>
      </c>
      <c r="C4317" s="120" t="str">
        <f>IFERROR(__xludf.DUMMYFUNCTION("""COMPUTED_VALUE"""),"Kunduz")</f>
        <v>Kunduz</v>
      </c>
      <c r="D4317" s="120" t="str">
        <f>IFERROR(__xludf.DUMMYFUNCTION("""COMPUTED_VALUE"""),"Afghanistan")</f>
        <v>Afghanistan</v>
      </c>
      <c r="E4317" s="135"/>
      <c r="F4317" s="31"/>
    </row>
    <row r="4318">
      <c r="A4318" s="134" t="str">
        <f>IFERROR(__xludf.DUMMYFUNCTION("""COMPUTED_VALUE"""),"Kungum")</f>
        <v>Kungum</v>
      </c>
      <c r="B4318" s="120" t="str">
        <f>IFERROR(__xludf.DUMMYFUNCTION("""COMPUTED_VALUE"""),"KGM")</f>
        <v>KGM</v>
      </c>
      <c r="C4318" s="120" t="str">
        <f>IFERROR(__xludf.DUMMYFUNCTION("""COMPUTED_VALUE"""),"Kungum")</f>
        <v>Kungum</v>
      </c>
      <c r="D4318" s="120" t="str">
        <f>IFERROR(__xludf.DUMMYFUNCTION("""COMPUTED_VALUE"""),"Papua New Guinea")</f>
        <v>Papua New Guinea</v>
      </c>
      <c r="E4318" s="135"/>
      <c r="F4318" s="31"/>
    </row>
    <row r="4319">
      <c r="A4319" s="134" t="str">
        <f>IFERROR(__xludf.DUMMYFUNCTION("""COMPUTED_VALUE"""),"Kunming")</f>
        <v>Kunming</v>
      </c>
      <c r="B4319" s="120" t="str">
        <f>IFERROR(__xludf.DUMMYFUNCTION("""COMPUTED_VALUE"""),"KMG")</f>
        <v>KMG</v>
      </c>
      <c r="C4319" s="120" t="str">
        <f>IFERROR(__xludf.DUMMYFUNCTION("""COMPUTED_VALUE"""),"Kunming")</f>
        <v>Kunming</v>
      </c>
      <c r="D4319" s="120" t="str">
        <f>IFERROR(__xludf.DUMMYFUNCTION("""COMPUTED_VALUE"""),"China")</f>
        <v>China</v>
      </c>
      <c r="E4319" s="135"/>
      <c r="F4319" s="31"/>
    </row>
    <row r="4320">
      <c r="A4320" s="134" t="str">
        <f>IFERROR(__xludf.DUMMYFUNCTION("""COMPUTED_VALUE"""),"Kununurra")</f>
        <v>Kununurra</v>
      </c>
      <c r="B4320" s="120" t="str">
        <f>IFERROR(__xludf.DUMMYFUNCTION("""COMPUTED_VALUE"""),"KNX")</f>
        <v>KNX</v>
      </c>
      <c r="C4320" s="120" t="str">
        <f>IFERROR(__xludf.DUMMYFUNCTION("""COMPUTED_VALUE"""),"Kununurra")</f>
        <v>Kununurra</v>
      </c>
      <c r="D4320" s="120" t="str">
        <f>IFERROR(__xludf.DUMMYFUNCTION("""COMPUTED_VALUE"""),"Australia")</f>
        <v>Australia</v>
      </c>
      <c r="E4320" s="135"/>
      <c r="F4320" s="31"/>
    </row>
    <row r="4321">
      <c r="A4321" s="134" t="str">
        <f>IFERROR(__xludf.DUMMYFUNCTION("""COMPUTED_VALUE"""),"Kuopio")</f>
        <v>Kuopio</v>
      </c>
      <c r="B4321" s="120" t="str">
        <f>IFERROR(__xludf.DUMMYFUNCTION("""COMPUTED_VALUE"""),"KUO")</f>
        <v>KUO</v>
      </c>
      <c r="C4321" s="120" t="str">
        <f>IFERROR(__xludf.DUMMYFUNCTION("""COMPUTED_VALUE"""),"Kuopio")</f>
        <v>Kuopio</v>
      </c>
      <c r="D4321" s="120" t="str">
        <f>IFERROR(__xludf.DUMMYFUNCTION("""COMPUTED_VALUE"""),"Finland")</f>
        <v>Finland</v>
      </c>
      <c r="E4321" s="135"/>
      <c r="F4321" s="31"/>
    </row>
    <row r="4322">
      <c r="A4322" s="134" t="str">
        <f>IFERROR(__xludf.DUMMYFUNCTION("""COMPUTED_VALUE"""),"Kuorevesi")</f>
        <v>Kuorevesi</v>
      </c>
      <c r="B4322" s="120" t="str">
        <f>IFERROR(__xludf.DUMMYFUNCTION("""COMPUTED_VALUE"""),"KEV")</f>
        <v>KEV</v>
      </c>
      <c r="C4322" s="120" t="str">
        <f>IFERROR(__xludf.DUMMYFUNCTION("""COMPUTED_VALUE"""),"Halli")</f>
        <v>Halli</v>
      </c>
      <c r="D4322" s="120" t="str">
        <f>IFERROR(__xludf.DUMMYFUNCTION("""COMPUTED_VALUE"""),"Finland")</f>
        <v>Finland</v>
      </c>
      <c r="E4322" s="135"/>
      <c r="F4322" s="31"/>
    </row>
    <row r="4323">
      <c r="A4323" s="134" t="str">
        <f>IFERROR(__xludf.DUMMYFUNCTION("""COMPUTED_VALUE"""),"Kupang")</f>
        <v>Kupang</v>
      </c>
      <c r="B4323" s="120" t="str">
        <f>IFERROR(__xludf.DUMMYFUNCTION("""COMPUTED_VALUE"""),"KOE")</f>
        <v>KOE</v>
      </c>
      <c r="C4323" s="120" t="str">
        <f>IFERROR(__xludf.DUMMYFUNCTION("""COMPUTED_VALUE"""),"Eltari")</f>
        <v>Eltari</v>
      </c>
      <c r="D4323" s="120" t="str">
        <f>IFERROR(__xludf.DUMMYFUNCTION("""COMPUTED_VALUE"""),"Indonesia")</f>
        <v>Indonesia</v>
      </c>
      <c r="E4323" s="135"/>
      <c r="F4323" s="31"/>
    </row>
    <row r="4324">
      <c r="A4324" s="134" t="str">
        <f>IFERROR(__xludf.DUMMYFUNCTION("""COMPUTED_VALUE"""),"Kuparuk")</f>
        <v>Kuparuk</v>
      </c>
      <c r="B4324" s="120" t="str">
        <f>IFERROR(__xludf.DUMMYFUNCTION("""COMPUTED_VALUE"""),"UUK")</f>
        <v>UUK</v>
      </c>
      <c r="C4324" s="120" t="str">
        <f>IFERROR(__xludf.DUMMYFUNCTION("""COMPUTED_VALUE"""),"Kuparuk")</f>
        <v>Kuparuk</v>
      </c>
      <c r="D4324" s="120" t="str">
        <f>IFERROR(__xludf.DUMMYFUNCTION("""COMPUTED_VALUE"""),"United States")</f>
        <v>United States</v>
      </c>
      <c r="E4324" s="135"/>
      <c r="F4324" s="31"/>
    </row>
    <row r="4325">
      <c r="A4325" s="134" t="str">
        <f>IFERROR(__xludf.DUMMYFUNCTION("""COMPUTED_VALUE"""),"Kupiano")</f>
        <v>Kupiano</v>
      </c>
      <c r="B4325" s="120" t="str">
        <f>IFERROR(__xludf.DUMMYFUNCTION("""COMPUTED_VALUE"""),"KUP")</f>
        <v>KUP</v>
      </c>
      <c r="C4325" s="120" t="str">
        <f>IFERROR(__xludf.DUMMYFUNCTION("""COMPUTED_VALUE"""),"Kupiano")</f>
        <v>Kupiano</v>
      </c>
      <c r="D4325" s="120" t="str">
        <f>IFERROR(__xludf.DUMMYFUNCTION("""COMPUTED_VALUE"""),"Papua New Guinea")</f>
        <v>Papua New Guinea</v>
      </c>
      <c r="E4325" s="135"/>
      <c r="F4325" s="31"/>
    </row>
    <row r="4326">
      <c r="A4326" s="134" t="str">
        <f>IFERROR(__xludf.DUMMYFUNCTION("""COMPUTED_VALUE"""),"Kuqa")</f>
        <v>Kuqa</v>
      </c>
      <c r="B4326" s="120" t="str">
        <f>IFERROR(__xludf.DUMMYFUNCTION("""COMPUTED_VALUE"""),"KCA")</f>
        <v>KCA</v>
      </c>
      <c r="C4326" s="120" t="str">
        <f>IFERROR(__xludf.DUMMYFUNCTION("""COMPUTED_VALUE"""),"Kuqa")</f>
        <v>Kuqa</v>
      </c>
      <c r="D4326" s="120" t="str">
        <f>IFERROR(__xludf.DUMMYFUNCTION("""COMPUTED_VALUE"""),"China")</f>
        <v>China</v>
      </c>
      <c r="E4326" s="135"/>
      <c r="F4326" s="31"/>
    </row>
    <row r="4327">
      <c r="A4327" s="134" t="str">
        <f>IFERROR(__xludf.DUMMYFUNCTION("""COMPUTED_VALUE"""),"Kuran-O-Munjan")</f>
        <v>Kuran-O-Munjan</v>
      </c>
      <c r="B4327" s="120" t="str">
        <f>IFERROR(__xludf.DUMMYFUNCTION("""COMPUTED_VALUE"""),"KUR")</f>
        <v>KUR</v>
      </c>
      <c r="C4327" s="120" t="str">
        <f>IFERROR(__xludf.DUMMYFUNCTION("""COMPUTED_VALUE"""),"Kuran-O-Munjan")</f>
        <v>Kuran-O-Munjan</v>
      </c>
      <c r="D4327" s="120" t="str">
        <f>IFERROR(__xludf.DUMMYFUNCTION("""COMPUTED_VALUE"""),"Afghanistan")</f>
        <v>Afghanistan</v>
      </c>
      <c r="E4327" s="135"/>
      <c r="F4327" s="31"/>
    </row>
    <row r="4328">
      <c r="A4328" s="134" t="str">
        <f>IFERROR(__xludf.DUMMYFUNCTION("""COMPUTED_VALUE"""),"Kuressaare")</f>
        <v>Kuressaare</v>
      </c>
      <c r="B4328" s="120" t="str">
        <f>IFERROR(__xludf.DUMMYFUNCTION("""COMPUTED_VALUE"""),"URE")</f>
        <v>URE</v>
      </c>
      <c r="C4328" s="120" t="str">
        <f>IFERROR(__xludf.DUMMYFUNCTION("""COMPUTED_VALUE"""),"Kuressaare")</f>
        <v>Kuressaare</v>
      </c>
      <c r="D4328" s="120" t="str">
        <f>IFERROR(__xludf.DUMMYFUNCTION("""COMPUTED_VALUE"""),"Estonia")</f>
        <v>Estonia</v>
      </c>
      <c r="E4328" s="135"/>
      <c r="F4328" s="31"/>
    </row>
    <row r="4329">
      <c r="A4329" s="134" t="str">
        <f>IFERROR(__xludf.DUMMYFUNCTION("""COMPUTED_VALUE"""),"Kurgan")</f>
        <v>Kurgan</v>
      </c>
      <c r="B4329" s="120" t="str">
        <f>IFERROR(__xludf.DUMMYFUNCTION("""COMPUTED_VALUE"""),"KRO")</f>
        <v>KRO</v>
      </c>
      <c r="C4329" s="120" t="str">
        <f>IFERROR(__xludf.DUMMYFUNCTION("""COMPUTED_VALUE"""),"Kurgan")</f>
        <v>Kurgan</v>
      </c>
      <c r="D4329" s="120" t="str">
        <f>IFERROR(__xludf.DUMMYFUNCTION("""COMPUTED_VALUE"""),"Russia")</f>
        <v>Russia</v>
      </c>
      <c r="E4329" s="135"/>
      <c r="F4329" s="31"/>
    </row>
    <row r="4330">
      <c r="A4330" s="134" t="str">
        <f>IFERROR(__xludf.DUMMYFUNCTION("""COMPUTED_VALUE"""),"Kuri")</f>
        <v>Kuri</v>
      </c>
      <c r="B4330" s="120" t="str">
        <f>IFERROR(__xludf.DUMMYFUNCTION("""COMPUTED_VALUE"""),"KUQ")</f>
        <v>KUQ</v>
      </c>
      <c r="C4330" s="120" t="str">
        <f>IFERROR(__xludf.DUMMYFUNCTION("""COMPUTED_VALUE"""),"Kuri")</f>
        <v>Kuri</v>
      </c>
      <c r="D4330" s="120" t="str">
        <f>IFERROR(__xludf.DUMMYFUNCTION("""COMPUTED_VALUE"""),"Papua New Guinea")</f>
        <v>Papua New Guinea</v>
      </c>
      <c r="E4330" s="135"/>
      <c r="F4330" s="31"/>
    </row>
    <row r="4331">
      <c r="A4331" s="134" t="str">
        <f>IFERROR(__xludf.DUMMYFUNCTION("""COMPUTED_VALUE"""),"Kuria")</f>
        <v>Kuria</v>
      </c>
      <c r="B4331" s="120" t="str">
        <f>IFERROR(__xludf.DUMMYFUNCTION("""COMPUTED_VALUE"""),"KUC")</f>
        <v>KUC</v>
      </c>
      <c r="C4331" s="120" t="str">
        <f>IFERROR(__xludf.DUMMYFUNCTION("""COMPUTED_VALUE"""),"Kuria")</f>
        <v>Kuria</v>
      </c>
      <c r="D4331" s="120" t="str">
        <f>IFERROR(__xludf.DUMMYFUNCTION("""COMPUTED_VALUE"""),"Kiribati")</f>
        <v>Kiribati</v>
      </c>
      <c r="E4331" s="135"/>
      <c r="F4331" s="31"/>
    </row>
    <row r="4332">
      <c r="A4332" s="134" t="str">
        <f>IFERROR(__xludf.DUMMYFUNCTION("""COMPUTED_VALUE"""),"Kursk")</f>
        <v>Kursk</v>
      </c>
      <c r="B4332" s="120" t="str">
        <f>IFERROR(__xludf.DUMMYFUNCTION("""COMPUTED_VALUE"""),"URS")</f>
        <v>URS</v>
      </c>
      <c r="C4332" s="120" t="str">
        <f>IFERROR(__xludf.DUMMYFUNCTION("""COMPUTED_VALUE"""),"Kursk")</f>
        <v>Kursk</v>
      </c>
      <c r="D4332" s="120" t="str">
        <f>IFERROR(__xludf.DUMMYFUNCTION("""COMPUTED_VALUE"""),"Russia")</f>
        <v>Russia</v>
      </c>
      <c r="E4332" s="135"/>
      <c r="F4332" s="31"/>
    </row>
    <row r="4333">
      <c r="A4333" s="134" t="str">
        <f>IFERROR(__xludf.DUMMYFUNCTION("""COMPUTED_VALUE"""),"Kuruman")</f>
        <v>Kuruman</v>
      </c>
      <c r="B4333" s="120" t="str">
        <f>IFERROR(__xludf.DUMMYFUNCTION("""COMPUTED_VALUE"""),"KMH")</f>
        <v>KMH</v>
      </c>
      <c r="C4333" s="120" t="str">
        <f>IFERROR(__xludf.DUMMYFUNCTION("""COMPUTED_VALUE"""),"Kuruman")</f>
        <v>Kuruman</v>
      </c>
      <c r="D4333" s="120" t="str">
        <f>IFERROR(__xludf.DUMMYFUNCTION("""COMPUTED_VALUE"""),"South Africa")</f>
        <v>South Africa</v>
      </c>
      <c r="E4333" s="135"/>
      <c r="F4333" s="31"/>
    </row>
    <row r="4334">
      <c r="A4334" s="134" t="str">
        <f>IFERROR(__xludf.DUMMYFUNCTION("""COMPUTED_VALUE"""),"Kurundi")</f>
        <v>Kurundi</v>
      </c>
      <c r="B4334" s="120" t="str">
        <f>IFERROR(__xludf.DUMMYFUNCTION("""COMPUTED_VALUE"""),"KRD")</f>
        <v>KRD</v>
      </c>
      <c r="C4334" s="120" t="str">
        <f>IFERROR(__xludf.DUMMYFUNCTION("""COMPUTED_VALUE"""),"Kurundi")</f>
        <v>Kurundi</v>
      </c>
      <c r="D4334" s="120" t="str">
        <f>IFERROR(__xludf.DUMMYFUNCTION("""COMPUTED_VALUE"""),"Australia")</f>
        <v>Australia</v>
      </c>
      <c r="E4334" s="135"/>
      <c r="F4334" s="31"/>
    </row>
    <row r="4335">
      <c r="A4335" s="134" t="str">
        <f>IFERROR(__xludf.DUMMYFUNCTION("""COMPUTED_VALUE"""),"Kurupung")</f>
        <v>Kurupung</v>
      </c>
      <c r="B4335" s="120" t="str">
        <f>IFERROR(__xludf.DUMMYFUNCTION("""COMPUTED_VALUE"""),"KPG")</f>
        <v>KPG</v>
      </c>
      <c r="C4335" s="120" t="str">
        <f>IFERROR(__xludf.DUMMYFUNCTION("""COMPUTED_VALUE"""),"Kurupung")</f>
        <v>Kurupung</v>
      </c>
      <c r="D4335" s="120" t="str">
        <f>IFERROR(__xludf.DUMMYFUNCTION("""COMPUTED_VALUE"""),"Guyana")</f>
        <v>Guyana</v>
      </c>
      <c r="E4335" s="135"/>
      <c r="F4335" s="31"/>
    </row>
    <row r="4336">
      <c r="A4336" s="134" t="str">
        <f>IFERROR(__xludf.DUMMYFUNCTION("""COMPUTED_VALUE"""),"Kurwina")</f>
        <v>Kurwina</v>
      </c>
      <c r="B4336" s="120" t="str">
        <f>IFERROR(__xludf.DUMMYFUNCTION("""COMPUTED_VALUE"""),"KWV")</f>
        <v>KWV</v>
      </c>
      <c r="C4336" s="120" t="str">
        <f>IFERROR(__xludf.DUMMYFUNCTION("""COMPUTED_VALUE"""),"Kurwina")</f>
        <v>Kurwina</v>
      </c>
      <c r="D4336" s="120" t="str">
        <f>IFERROR(__xludf.DUMMYFUNCTION("""COMPUTED_VALUE"""),"Papua New Guinea")</f>
        <v>Papua New Guinea</v>
      </c>
      <c r="E4336" s="135"/>
      <c r="F4336" s="31"/>
    </row>
    <row r="4337">
      <c r="A4337" s="134" t="str">
        <f>IFERROR(__xludf.DUMMYFUNCTION("""COMPUTED_VALUE"""),"Kushimoto")</f>
        <v>Kushimoto</v>
      </c>
      <c r="B4337" s="120" t="str">
        <f>IFERROR(__xludf.DUMMYFUNCTION("""COMPUTED_VALUE"""),"KUJ")</f>
        <v>KUJ</v>
      </c>
      <c r="C4337" s="120" t="str">
        <f>IFERROR(__xludf.DUMMYFUNCTION("""COMPUTED_VALUE"""),"Kushimoto")</f>
        <v>Kushimoto</v>
      </c>
      <c r="D4337" s="120" t="str">
        <f>IFERROR(__xludf.DUMMYFUNCTION("""COMPUTED_VALUE"""),"Japan")</f>
        <v>Japan</v>
      </c>
      <c r="E4337" s="135"/>
      <c r="F4337" s="31"/>
    </row>
    <row r="4338">
      <c r="A4338" s="134" t="str">
        <f>IFERROR(__xludf.DUMMYFUNCTION("""COMPUTED_VALUE"""),"Kushiro")</f>
        <v>Kushiro</v>
      </c>
      <c r="B4338" s="120" t="str">
        <f>IFERROR(__xludf.DUMMYFUNCTION("""COMPUTED_VALUE"""),"KUH")</f>
        <v>KUH</v>
      </c>
      <c r="C4338" s="120" t="str">
        <f>IFERROR(__xludf.DUMMYFUNCTION("""COMPUTED_VALUE"""),"Kushiro")</f>
        <v>Kushiro</v>
      </c>
      <c r="D4338" s="120" t="str">
        <f>IFERROR(__xludf.DUMMYFUNCTION("""COMPUTED_VALUE"""),"Japan")</f>
        <v>Japan</v>
      </c>
      <c r="E4338" s="135"/>
      <c r="F4338" s="31"/>
    </row>
    <row r="4339">
      <c r="A4339" s="134" t="str">
        <f>IFERROR(__xludf.DUMMYFUNCTION("""COMPUTED_VALUE"""),"Kutaisi")</f>
        <v>Kutaisi</v>
      </c>
      <c r="B4339" s="120" t="str">
        <f>IFERROR(__xludf.DUMMYFUNCTION("""COMPUTED_VALUE"""),"KUT")</f>
        <v>KUT</v>
      </c>
      <c r="C4339" s="120" t="str">
        <f>IFERROR(__xludf.DUMMYFUNCTION("""COMPUTED_VALUE"""),"Kopitnari")</f>
        <v>Kopitnari</v>
      </c>
      <c r="D4339" s="120" t="str">
        <f>IFERROR(__xludf.DUMMYFUNCTION("""COMPUTED_VALUE"""),"Georgia")</f>
        <v>Georgia</v>
      </c>
      <c r="E4339" s="135"/>
      <c r="F4339" s="31"/>
    </row>
    <row r="4340">
      <c r="A4340" s="134" t="str">
        <f>IFERROR(__xludf.DUMMYFUNCTION("""COMPUTED_VALUE"""),"Kuujjuaq")</f>
        <v>Kuujjuaq</v>
      </c>
      <c r="B4340" s="120" t="str">
        <f>IFERROR(__xludf.DUMMYFUNCTION("""COMPUTED_VALUE"""),"YVP")</f>
        <v>YVP</v>
      </c>
      <c r="C4340" s="120" t="str">
        <f>IFERROR(__xludf.DUMMYFUNCTION("""COMPUTED_VALUE"""),"Kuujjuaq")</f>
        <v>Kuujjuaq</v>
      </c>
      <c r="D4340" s="120" t="str">
        <f>IFERROR(__xludf.DUMMYFUNCTION("""COMPUTED_VALUE"""),"Canada")</f>
        <v>Canada</v>
      </c>
      <c r="E4340" s="135"/>
      <c r="F4340" s="31"/>
    </row>
    <row r="4341">
      <c r="A4341" s="134" t="str">
        <f>IFERROR(__xludf.DUMMYFUNCTION("""COMPUTED_VALUE"""),"Kuujjuarapik")</f>
        <v>Kuujjuarapik</v>
      </c>
      <c r="B4341" s="120" t="str">
        <f>IFERROR(__xludf.DUMMYFUNCTION("""COMPUTED_VALUE"""),"YGW")</f>
        <v>YGW</v>
      </c>
      <c r="C4341" s="120" t="str">
        <f>IFERROR(__xludf.DUMMYFUNCTION("""COMPUTED_VALUE"""),"Kuujjuarapik")</f>
        <v>Kuujjuarapik</v>
      </c>
      <c r="D4341" s="120" t="str">
        <f>IFERROR(__xludf.DUMMYFUNCTION("""COMPUTED_VALUE"""),"Canada")</f>
        <v>Canada</v>
      </c>
      <c r="E4341" s="135"/>
      <c r="F4341" s="31"/>
    </row>
    <row r="4342">
      <c r="A4342" s="134" t="str">
        <f>IFERROR(__xludf.DUMMYFUNCTION("""COMPUTED_VALUE"""),"Kuusamo")</f>
        <v>Kuusamo</v>
      </c>
      <c r="B4342" s="120" t="str">
        <f>IFERROR(__xludf.DUMMYFUNCTION("""COMPUTED_VALUE"""),"KAO")</f>
        <v>KAO</v>
      </c>
      <c r="C4342" s="120" t="str">
        <f>IFERROR(__xludf.DUMMYFUNCTION("""COMPUTED_VALUE"""),"Kuusamo")</f>
        <v>Kuusamo</v>
      </c>
      <c r="D4342" s="120" t="str">
        <f>IFERROR(__xludf.DUMMYFUNCTION("""COMPUTED_VALUE"""),"Finland")</f>
        <v>Finland</v>
      </c>
      <c r="E4342" s="135"/>
      <c r="F4342" s="31"/>
    </row>
    <row r="4343">
      <c r="A4343" s="134" t="str">
        <f>IFERROR(__xludf.DUMMYFUNCTION("""COMPUTED_VALUE"""),"Kuwait City")</f>
        <v>Kuwait City</v>
      </c>
      <c r="B4343" s="120" t="str">
        <f>IFERROR(__xludf.DUMMYFUNCTION("""COMPUTED_VALUE"""),"KWI")</f>
        <v>KWI</v>
      </c>
      <c r="C4343" s="120" t="str">
        <f>IFERROR(__xludf.DUMMYFUNCTION("""COMPUTED_VALUE"""),"International")</f>
        <v>International</v>
      </c>
      <c r="D4343" s="120" t="str">
        <f>IFERROR(__xludf.DUMMYFUNCTION("""COMPUTED_VALUE"""),"Kuwait")</f>
        <v>Kuwait</v>
      </c>
      <c r="E4343" s="135"/>
      <c r="F4343" s="31"/>
    </row>
    <row r="4344">
      <c r="A4344" s="134" t="str">
        <f>IFERROR(__xludf.DUMMYFUNCTION("""COMPUTED_VALUE"""),"Kuyol")</f>
        <v>Kuyol</v>
      </c>
      <c r="B4344" s="120" t="str">
        <f>IFERROR(__xludf.DUMMYFUNCTION("""COMPUTED_VALUE"""),"KUX")</f>
        <v>KUX</v>
      </c>
      <c r="C4344" s="120" t="str">
        <f>IFERROR(__xludf.DUMMYFUNCTION("""COMPUTED_VALUE"""),"Kuyol")</f>
        <v>Kuyol</v>
      </c>
      <c r="D4344" s="120" t="str">
        <f>IFERROR(__xludf.DUMMYFUNCTION("""COMPUTED_VALUE"""),"Papua New Guinea")</f>
        <v>Papua New Guinea</v>
      </c>
      <c r="E4344" s="135"/>
      <c r="F4344" s="31"/>
    </row>
    <row r="4345">
      <c r="A4345" s="134" t="str">
        <f>IFERROR(__xludf.DUMMYFUNCTION("""COMPUTED_VALUE"""),"Kwai Harbour")</f>
        <v>Kwai Harbour</v>
      </c>
      <c r="B4345" s="120" t="str">
        <f>IFERROR(__xludf.DUMMYFUNCTION("""COMPUTED_VALUE"""),"KWR")</f>
        <v>KWR</v>
      </c>
      <c r="C4345" s="120" t="str">
        <f>IFERROR(__xludf.DUMMYFUNCTION("""COMPUTED_VALUE"""),"Kwai Harbour")</f>
        <v>Kwai Harbour</v>
      </c>
      <c r="D4345" s="120" t="str">
        <f>IFERROR(__xludf.DUMMYFUNCTION("""COMPUTED_VALUE"""),"Solomon Islands")</f>
        <v>Solomon Islands</v>
      </c>
      <c r="E4345" s="135"/>
      <c r="F4345" s="31"/>
    </row>
    <row r="4346">
      <c r="A4346" s="134" t="str">
        <f>IFERROR(__xludf.DUMMYFUNCTION("""COMPUTED_VALUE"""),"Kwailabesi")</f>
        <v>Kwailabesi</v>
      </c>
      <c r="B4346" s="120" t="str">
        <f>IFERROR(__xludf.DUMMYFUNCTION("""COMPUTED_VALUE"""),"KWS")</f>
        <v>KWS</v>
      </c>
      <c r="C4346" s="120" t="str">
        <f>IFERROR(__xludf.DUMMYFUNCTION("""COMPUTED_VALUE"""),"Kwailabesi Aerodrom")</f>
        <v>Kwailabesi Aerodrom</v>
      </c>
      <c r="D4346" s="120" t="str">
        <f>IFERROR(__xludf.DUMMYFUNCTION("""COMPUTED_VALUE"""),"Solomon Islands")</f>
        <v>Solomon Islands</v>
      </c>
      <c r="E4346" s="135"/>
      <c r="F4346" s="31"/>
    </row>
    <row r="4347">
      <c r="A4347" s="134" t="str">
        <f>IFERROR(__xludf.DUMMYFUNCTION("""COMPUTED_VALUE"""),"Kwajalein")</f>
        <v>Kwajalein</v>
      </c>
      <c r="B4347" s="120" t="str">
        <f>IFERROR(__xludf.DUMMYFUNCTION("""COMPUTED_VALUE"""),"KWA")</f>
        <v>KWA</v>
      </c>
      <c r="C4347" s="120" t="str">
        <f>IFERROR(__xludf.DUMMYFUNCTION("""COMPUTED_VALUE"""),"Kwajalein")</f>
        <v>Kwajalein</v>
      </c>
      <c r="D4347" s="120" t="str">
        <f>IFERROR(__xludf.DUMMYFUNCTION("""COMPUTED_VALUE"""),"Marshall Islands")</f>
        <v>Marshall Islands</v>
      </c>
      <c r="E4347" s="135"/>
      <c r="F4347" s="31"/>
    </row>
    <row r="4348">
      <c r="A4348" s="134" t="str">
        <f>IFERROR(__xludf.DUMMYFUNCTION("""COMPUTED_VALUE"""),"Kwajalein Atoll")</f>
        <v>Kwajalein Atoll</v>
      </c>
      <c r="B4348" s="120" t="str">
        <f>IFERROR(__xludf.DUMMYFUNCTION("""COMPUTED_VALUE"""),"EAL")</f>
        <v>EAL</v>
      </c>
      <c r="C4348" s="120" t="str">
        <f>IFERROR(__xludf.DUMMYFUNCTION("""COMPUTED_VALUE"""),"Elenak")</f>
        <v>Elenak</v>
      </c>
      <c r="D4348" s="120" t="str">
        <f>IFERROR(__xludf.DUMMYFUNCTION("""COMPUTED_VALUE"""),"Marshall Islands")</f>
        <v>Marshall Islands</v>
      </c>
      <c r="E4348" s="135"/>
      <c r="F4348" s="31"/>
    </row>
    <row r="4349">
      <c r="A4349" s="134" t="str">
        <f>IFERROR(__xludf.DUMMYFUNCTION("""COMPUTED_VALUE"""),"Kwethluk")</f>
        <v>Kwethluk</v>
      </c>
      <c r="B4349" s="120" t="str">
        <f>IFERROR(__xludf.DUMMYFUNCTION("""COMPUTED_VALUE"""),"KWT")</f>
        <v>KWT</v>
      </c>
      <c r="C4349" s="120" t="str">
        <f>IFERROR(__xludf.DUMMYFUNCTION("""COMPUTED_VALUE"""),"Kwethluk")</f>
        <v>Kwethluk</v>
      </c>
      <c r="D4349" s="120" t="str">
        <f>IFERROR(__xludf.DUMMYFUNCTION("""COMPUTED_VALUE"""),"United States")</f>
        <v>United States</v>
      </c>
      <c r="E4349" s="135"/>
      <c r="F4349" s="31"/>
    </row>
    <row r="4350">
      <c r="A4350" s="134" t="str">
        <f>IFERROR(__xludf.DUMMYFUNCTION("""COMPUTED_VALUE"""),"Kwigillingok")</f>
        <v>Kwigillingok</v>
      </c>
      <c r="B4350" s="120" t="str">
        <f>IFERROR(__xludf.DUMMYFUNCTION("""COMPUTED_VALUE"""),"KWK")</f>
        <v>KWK</v>
      </c>
      <c r="C4350" s="120" t="str">
        <f>IFERROR(__xludf.DUMMYFUNCTION("""COMPUTED_VALUE"""),"Kwigillingok")</f>
        <v>Kwigillingok</v>
      </c>
      <c r="D4350" s="120" t="str">
        <f>IFERROR(__xludf.DUMMYFUNCTION("""COMPUTED_VALUE"""),"United States")</f>
        <v>United States</v>
      </c>
      <c r="E4350" s="135"/>
      <c r="F4350" s="31"/>
    </row>
    <row r="4351">
      <c r="A4351" s="134" t="str">
        <f>IFERROR(__xludf.DUMMYFUNCTION("""COMPUTED_VALUE"""),"Kwun Tong")</f>
        <v>Kwun Tong</v>
      </c>
      <c r="B4351" s="120" t="str">
        <f>IFERROR(__xludf.DUMMYFUNCTION("""COMPUTED_VALUE"""),"KTZ")</f>
        <v>KTZ</v>
      </c>
      <c r="C4351" s="120" t="str">
        <f>IFERROR(__xludf.DUMMYFUNCTION("""COMPUTED_VALUE"""),"Kwun Tong")</f>
        <v>Kwun Tong</v>
      </c>
      <c r="D4351" s="120" t="str">
        <f>IFERROR(__xludf.DUMMYFUNCTION("""COMPUTED_VALUE"""),"Hong Kong")</f>
        <v>Hong Kong</v>
      </c>
      <c r="E4351" s="135"/>
      <c r="F4351" s="31"/>
    </row>
    <row r="4352">
      <c r="A4352" s="134" t="str">
        <f>IFERROR(__xludf.DUMMYFUNCTION("""COMPUTED_VALUE"""),"Kyaukpyu")</f>
        <v>Kyaukpyu</v>
      </c>
      <c r="B4352" s="120" t="str">
        <f>IFERROR(__xludf.DUMMYFUNCTION("""COMPUTED_VALUE"""),"KYP")</f>
        <v>KYP</v>
      </c>
      <c r="C4352" s="120" t="str">
        <f>IFERROR(__xludf.DUMMYFUNCTION("""COMPUTED_VALUE"""),"Kyaukpyu")</f>
        <v>Kyaukpyu</v>
      </c>
      <c r="D4352" s="120" t="str">
        <f>IFERROR(__xludf.DUMMYFUNCTION("""COMPUTED_VALUE"""),"Myanmar")</f>
        <v>Myanmar</v>
      </c>
      <c r="E4352" s="135"/>
      <c r="F4352" s="31"/>
    </row>
    <row r="4353">
      <c r="A4353" s="134" t="str">
        <f>IFERROR(__xludf.DUMMYFUNCTION("""COMPUTED_VALUE"""),"Kyauktaw")</f>
        <v>Kyauktaw</v>
      </c>
      <c r="B4353" s="120" t="str">
        <f>IFERROR(__xludf.DUMMYFUNCTION("""COMPUTED_VALUE"""),"KYT")</f>
        <v>KYT</v>
      </c>
      <c r="C4353" s="120" t="str">
        <f>IFERROR(__xludf.DUMMYFUNCTION("""COMPUTED_VALUE"""),"Kyauktaw")</f>
        <v>Kyauktaw</v>
      </c>
      <c r="D4353" s="120" t="str">
        <f>IFERROR(__xludf.DUMMYFUNCTION("""COMPUTED_VALUE"""),"Myanmar")</f>
        <v>Myanmar</v>
      </c>
      <c r="E4353" s="135"/>
      <c r="F4353" s="31"/>
    </row>
    <row r="4354">
      <c r="A4354" s="134" t="str">
        <f>IFERROR(__xludf.DUMMYFUNCTION("""COMPUTED_VALUE"""),"Kyoto")</f>
        <v>Kyoto</v>
      </c>
      <c r="B4354" s="120" t="str">
        <f>IFERROR(__xludf.DUMMYFUNCTION("""COMPUTED_VALUE"""),"UKY")</f>
        <v>UKY</v>
      </c>
      <c r="C4354" s="120" t="str">
        <f>IFERROR(__xludf.DUMMYFUNCTION("""COMPUTED_VALUE"""),"Kansai")</f>
        <v>Kansai</v>
      </c>
      <c r="D4354" s="120" t="str">
        <f>IFERROR(__xludf.DUMMYFUNCTION("""COMPUTED_VALUE"""),"Japan")</f>
        <v>Japan</v>
      </c>
      <c r="E4354" s="135"/>
      <c r="F4354" s="31"/>
    </row>
    <row r="4355">
      <c r="A4355" s="134" t="str">
        <f>IFERROR(__xludf.DUMMYFUNCTION("""COMPUTED_VALUE"""),"Kyzyl")</f>
        <v>Kyzyl</v>
      </c>
      <c r="B4355" s="120" t="str">
        <f>IFERROR(__xludf.DUMMYFUNCTION("""COMPUTED_VALUE"""),"KYZ")</f>
        <v>KYZ</v>
      </c>
      <c r="C4355" s="120" t="str">
        <f>IFERROR(__xludf.DUMMYFUNCTION("""COMPUTED_VALUE"""),"Kyzyl")</f>
        <v>Kyzyl</v>
      </c>
      <c r="D4355" s="120" t="str">
        <f>IFERROR(__xludf.DUMMYFUNCTION("""COMPUTED_VALUE"""),"Russia")</f>
        <v>Russia</v>
      </c>
      <c r="E4355" s="135"/>
      <c r="F4355" s="31"/>
    </row>
    <row r="4356">
      <c r="A4356" s="134" t="str">
        <f>IFERROR(__xludf.DUMMYFUNCTION("""COMPUTED_VALUE"""),"Kzyl-Orda")</f>
        <v>Kzyl-Orda</v>
      </c>
      <c r="B4356" s="120" t="str">
        <f>IFERROR(__xludf.DUMMYFUNCTION("""COMPUTED_VALUE"""),"KZO")</f>
        <v>KZO</v>
      </c>
      <c r="C4356" s="120" t="str">
        <f>IFERROR(__xludf.DUMMYFUNCTION("""COMPUTED_VALUE"""),"Kzyl-Orda")</f>
        <v>Kzyl-Orda</v>
      </c>
      <c r="D4356" s="120" t="str">
        <f>IFERROR(__xludf.DUMMYFUNCTION("""COMPUTED_VALUE"""),"Kazakhstan")</f>
        <v>Kazakhstan</v>
      </c>
      <c r="E4356" s="135"/>
      <c r="F4356" s="31"/>
    </row>
    <row r="4357">
      <c r="A4357" s="134" t="str">
        <f>IFERROR(__xludf.DUMMYFUNCTION("""COMPUTED_VALUE"""),"La Baule")</f>
        <v>La Baule</v>
      </c>
      <c r="B4357" s="120" t="str">
        <f>IFERROR(__xludf.DUMMYFUNCTION("""COMPUTED_VALUE"""),"LBY")</f>
        <v>LBY</v>
      </c>
      <c r="C4357" s="120" t="str">
        <f>IFERROR(__xludf.DUMMYFUNCTION("""COMPUTED_VALUE"""),"Montoir")</f>
        <v>Montoir</v>
      </c>
      <c r="D4357" s="120" t="str">
        <f>IFERROR(__xludf.DUMMYFUNCTION("""COMPUTED_VALUE"""),"France")</f>
        <v>France</v>
      </c>
      <c r="E4357" s="135"/>
      <c r="F4357" s="31"/>
    </row>
    <row r="4358">
      <c r="A4358" s="134" t="str">
        <f>IFERROR(__xludf.DUMMYFUNCTION("""COMPUTED_VALUE"""),"La Ceiba")</f>
        <v>La Ceiba</v>
      </c>
      <c r="B4358" s="120" t="str">
        <f>IFERROR(__xludf.DUMMYFUNCTION("""COMPUTED_VALUE"""),"LCE")</f>
        <v>LCE</v>
      </c>
      <c r="C4358" s="120" t="str">
        <f>IFERROR(__xludf.DUMMYFUNCTION("""COMPUTED_VALUE"""),"Goloson International")</f>
        <v>Goloson International</v>
      </c>
      <c r="D4358" s="120" t="str">
        <f>IFERROR(__xludf.DUMMYFUNCTION("""COMPUTED_VALUE"""),"Honduras")</f>
        <v>Honduras</v>
      </c>
      <c r="E4358" s="135"/>
      <c r="F4358" s="31"/>
    </row>
    <row r="4359">
      <c r="A4359" s="134" t="str">
        <f>IFERROR(__xludf.DUMMYFUNCTION("""COMPUTED_VALUE"""),"La Chorrera")</f>
        <v>La Chorrera</v>
      </c>
      <c r="B4359" s="120" t="str">
        <f>IFERROR(__xludf.DUMMYFUNCTION("""COMPUTED_VALUE"""),"LCR")</f>
        <v>LCR</v>
      </c>
      <c r="C4359" s="120" t="str">
        <f>IFERROR(__xludf.DUMMYFUNCTION("""COMPUTED_VALUE"""),"La Chorrera")</f>
        <v>La Chorrera</v>
      </c>
      <c r="D4359" s="120" t="str">
        <f>IFERROR(__xludf.DUMMYFUNCTION("""COMPUTED_VALUE"""),"Colombia")</f>
        <v>Colombia</v>
      </c>
      <c r="E4359" s="135"/>
      <c r="F4359" s="31"/>
    </row>
    <row r="4360">
      <c r="A4360" s="134" t="str">
        <f>IFERROR(__xludf.DUMMYFUNCTION("""COMPUTED_VALUE"""),"La Coloma")</f>
        <v>La Coloma</v>
      </c>
      <c r="B4360" s="120" t="str">
        <f>IFERROR(__xludf.DUMMYFUNCTION("""COMPUTED_VALUE"""),"LCL")</f>
        <v>LCL</v>
      </c>
      <c r="C4360" s="120" t="str">
        <f>IFERROR(__xludf.DUMMYFUNCTION("""COMPUTED_VALUE"""),"La Coloma")</f>
        <v>La Coloma</v>
      </c>
      <c r="D4360" s="120" t="str">
        <f>IFERROR(__xludf.DUMMYFUNCTION("""COMPUTED_VALUE"""),"Cuba")</f>
        <v>Cuba</v>
      </c>
      <c r="E4360" s="135"/>
      <c r="F4360" s="31"/>
    </row>
    <row r="4361">
      <c r="A4361" s="134" t="str">
        <f>IFERROR(__xludf.DUMMYFUNCTION("""COMPUTED_VALUE"""),"La Coruna")</f>
        <v>La Coruna</v>
      </c>
      <c r="B4361" s="120" t="str">
        <f>IFERROR(__xludf.DUMMYFUNCTION("""COMPUTED_VALUE"""),"LCG")</f>
        <v>LCG</v>
      </c>
      <c r="C4361" s="120" t="str">
        <f>IFERROR(__xludf.DUMMYFUNCTION("""COMPUTED_VALUE"""),"La Coruna")</f>
        <v>La Coruna</v>
      </c>
      <c r="D4361" s="120" t="str">
        <f>IFERROR(__xludf.DUMMYFUNCTION("""COMPUTED_VALUE"""),"Spain")</f>
        <v>Spain</v>
      </c>
      <c r="E4361" s="135"/>
      <c r="F4361" s="31"/>
    </row>
    <row r="4362">
      <c r="A4362" s="134" t="str">
        <f>IFERROR(__xludf.DUMMYFUNCTION("""COMPUTED_VALUE"""),"La Crosse")</f>
        <v>La Crosse</v>
      </c>
      <c r="B4362" s="120" t="str">
        <f>IFERROR(__xludf.DUMMYFUNCTION("""COMPUTED_VALUE"""),"LSE")</f>
        <v>LSE</v>
      </c>
      <c r="C4362" s="120" t="str">
        <f>IFERROR(__xludf.DUMMYFUNCTION("""COMPUTED_VALUE"""),"Municipal")</f>
        <v>Municipal</v>
      </c>
      <c r="D4362" s="120" t="str">
        <f>IFERROR(__xludf.DUMMYFUNCTION("""COMPUTED_VALUE"""),"United States")</f>
        <v>United States</v>
      </c>
      <c r="E4362" s="135"/>
      <c r="F4362" s="31"/>
    </row>
    <row r="4363">
      <c r="A4363" s="134" t="str">
        <f>IFERROR(__xludf.DUMMYFUNCTION("""COMPUTED_VALUE"""),"La Cumbre")</f>
        <v>La Cumbre</v>
      </c>
      <c r="B4363" s="120" t="str">
        <f>IFERROR(__xludf.DUMMYFUNCTION("""COMPUTED_VALUE"""),"LCM")</f>
        <v>LCM</v>
      </c>
      <c r="C4363" s="120" t="str">
        <f>IFERROR(__xludf.DUMMYFUNCTION("""COMPUTED_VALUE"""),"La Cumbre")</f>
        <v>La Cumbre</v>
      </c>
      <c r="D4363" s="120" t="str">
        <f>IFERROR(__xludf.DUMMYFUNCTION("""COMPUTED_VALUE"""),"Argentina")</f>
        <v>Argentina</v>
      </c>
      <c r="E4363" s="135"/>
      <c r="F4363" s="31"/>
    </row>
    <row r="4364">
      <c r="A4364" s="134" t="str">
        <f>IFERROR(__xludf.DUMMYFUNCTION("""COMPUTED_VALUE"""),"La Desirade")</f>
        <v>La Desirade</v>
      </c>
      <c r="B4364" s="120" t="str">
        <f>IFERROR(__xludf.DUMMYFUNCTION("""COMPUTED_VALUE"""),"DSD")</f>
        <v>DSD</v>
      </c>
      <c r="C4364" s="120" t="str">
        <f>IFERROR(__xludf.DUMMYFUNCTION("""COMPUTED_VALUE"""),"La Desirade")</f>
        <v>La Desirade</v>
      </c>
      <c r="D4364" s="120" t="str">
        <f>IFERROR(__xludf.DUMMYFUNCTION("""COMPUTED_VALUE"""),"Guadeloupe")</f>
        <v>Guadeloupe</v>
      </c>
      <c r="E4364" s="135"/>
      <c r="F4364" s="31"/>
    </row>
    <row r="4365">
      <c r="A4365" s="134" t="str">
        <f>IFERROR(__xludf.DUMMYFUNCTION("""COMPUTED_VALUE"""),"La Esperanza")</f>
        <v>La Esperanza</v>
      </c>
      <c r="B4365" s="120" t="str">
        <f>IFERROR(__xludf.DUMMYFUNCTION("""COMPUTED_VALUE"""),"LEZ")</f>
        <v>LEZ</v>
      </c>
      <c r="C4365" s="120" t="str">
        <f>IFERROR(__xludf.DUMMYFUNCTION("""COMPUTED_VALUE"""),"La Esperanza")</f>
        <v>La Esperanza</v>
      </c>
      <c r="D4365" s="120" t="str">
        <f>IFERROR(__xludf.DUMMYFUNCTION("""COMPUTED_VALUE"""),"Honduras")</f>
        <v>Honduras</v>
      </c>
      <c r="E4365" s="135"/>
      <c r="F4365" s="31"/>
    </row>
    <row r="4366">
      <c r="A4366" s="134" t="str">
        <f>IFERROR(__xludf.DUMMYFUNCTION("""COMPUTED_VALUE"""),"La Fria")</f>
        <v>La Fria</v>
      </c>
      <c r="B4366" s="120" t="str">
        <f>IFERROR(__xludf.DUMMYFUNCTION("""COMPUTED_VALUE"""),"LFR")</f>
        <v>LFR</v>
      </c>
      <c r="C4366" s="120" t="str">
        <f>IFERROR(__xludf.DUMMYFUNCTION("""COMPUTED_VALUE"""),"La Fria")</f>
        <v>La Fria</v>
      </c>
      <c r="D4366" s="120" t="str">
        <f>IFERROR(__xludf.DUMMYFUNCTION("""COMPUTED_VALUE"""),"Venezuela")</f>
        <v>Venezuela</v>
      </c>
      <c r="E4366" s="135"/>
      <c r="F4366" s="31"/>
    </row>
    <row r="4367">
      <c r="A4367" s="134" t="str">
        <f>IFERROR(__xludf.DUMMYFUNCTION("""COMPUTED_VALUE"""),"La Grande")</f>
        <v>La Grande</v>
      </c>
      <c r="B4367" s="120" t="str">
        <f>IFERROR(__xludf.DUMMYFUNCTION("""COMPUTED_VALUE"""),"LGD")</f>
        <v>LGD</v>
      </c>
      <c r="C4367" s="120" t="str">
        <f>IFERROR(__xludf.DUMMYFUNCTION("""COMPUTED_VALUE"""),"La Grande")</f>
        <v>La Grande</v>
      </c>
      <c r="D4367" s="120" t="str">
        <f>IFERROR(__xludf.DUMMYFUNCTION("""COMPUTED_VALUE"""),"United States")</f>
        <v>United States</v>
      </c>
      <c r="E4367" s="135"/>
      <c r="F4367" s="31"/>
    </row>
    <row r="4368">
      <c r="A4368" s="134" t="str">
        <f>IFERROR(__xludf.DUMMYFUNCTION("""COMPUTED_VALUE"""),"La Grande")</f>
        <v>La Grande</v>
      </c>
      <c r="B4368" s="120" t="str">
        <f>IFERROR(__xludf.DUMMYFUNCTION("""COMPUTED_VALUE"""),"YGL")</f>
        <v>YGL</v>
      </c>
      <c r="C4368" s="120" t="str">
        <f>IFERROR(__xludf.DUMMYFUNCTION("""COMPUTED_VALUE"""),"La Grande")</f>
        <v>La Grande</v>
      </c>
      <c r="D4368" s="120" t="str">
        <f>IFERROR(__xludf.DUMMYFUNCTION("""COMPUTED_VALUE"""),"Canada")</f>
        <v>Canada</v>
      </c>
      <c r="E4368" s="135"/>
      <c r="F4368" s="31"/>
    </row>
    <row r="4369">
      <c r="A4369" s="134" t="str">
        <f>IFERROR(__xludf.DUMMYFUNCTION("""COMPUTED_VALUE"""),"La Grange")</f>
        <v>La Grange</v>
      </c>
      <c r="B4369" s="120" t="str">
        <f>IFERROR(__xludf.DUMMYFUNCTION("""COMPUTED_VALUE"""),"LGC")</f>
        <v>LGC</v>
      </c>
      <c r="C4369" s="120" t="str">
        <f>IFERROR(__xludf.DUMMYFUNCTION("""COMPUTED_VALUE"""),"Calloway")</f>
        <v>Calloway</v>
      </c>
      <c r="D4369" s="120" t="str">
        <f>IFERROR(__xludf.DUMMYFUNCTION("""COMPUTED_VALUE"""),"United States")</f>
        <v>United States</v>
      </c>
      <c r="E4369" s="135"/>
      <c r="F4369" s="31"/>
    </row>
    <row r="4370">
      <c r="A4370" s="134" t="str">
        <f>IFERROR(__xludf.DUMMYFUNCTION("""COMPUTED_VALUE"""),"La Guaira")</f>
        <v>La Guaira</v>
      </c>
      <c r="B4370" s="120" t="str">
        <f>IFERROR(__xludf.DUMMYFUNCTION("""COMPUTED_VALUE"""),"LAG")</f>
        <v>LAG</v>
      </c>
      <c r="C4370" s="120" t="str">
        <f>IFERROR(__xludf.DUMMYFUNCTION("""COMPUTED_VALUE"""),"La Guaira")</f>
        <v>La Guaira</v>
      </c>
      <c r="D4370" s="120" t="str">
        <f>IFERROR(__xludf.DUMMYFUNCTION("""COMPUTED_VALUE"""),"Venezuela")</f>
        <v>Venezuela</v>
      </c>
      <c r="E4370" s="135"/>
      <c r="F4370" s="31"/>
    </row>
    <row r="4371">
      <c r="A4371" s="134" t="str">
        <f>IFERROR(__xludf.DUMMYFUNCTION("""COMPUTED_VALUE"""),"La Palma")</f>
        <v>La Palma</v>
      </c>
      <c r="B4371" s="120" t="str">
        <f>IFERROR(__xludf.DUMMYFUNCTION("""COMPUTED_VALUE"""),"PLP")</f>
        <v>PLP</v>
      </c>
      <c r="C4371" s="120" t="str">
        <f>IFERROR(__xludf.DUMMYFUNCTION("""COMPUTED_VALUE"""),"La Palma")</f>
        <v>La Palma</v>
      </c>
      <c r="D4371" s="120" t="str">
        <f>IFERROR(__xludf.DUMMYFUNCTION("""COMPUTED_VALUE"""),"Panama")</f>
        <v>Panama</v>
      </c>
      <c r="E4371" s="135"/>
      <c r="F4371" s="31"/>
    </row>
    <row r="4372">
      <c r="A4372" s="134" t="str">
        <f>IFERROR(__xludf.DUMMYFUNCTION("""COMPUTED_VALUE"""),"La Palma Del Condado")</f>
        <v>La Palma Del Condado</v>
      </c>
      <c r="B4372" s="120" t="str">
        <f>IFERROR(__xludf.DUMMYFUNCTION("""COMPUTED_VALUE"""),"NDO")</f>
        <v>NDO</v>
      </c>
      <c r="C4372" s="120" t="str">
        <f>IFERROR(__xludf.DUMMYFUNCTION("""COMPUTED_VALUE"""),"La Palma Del Condado")</f>
        <v>La Palma Del Condado</v>
      </c>
      <c r="D4372" s="120" t="str">
        <f>IFERROR(__xludf.DUMMYFUNCTION("""COMPUTED_VALUE"""),"Spain")</f>
        <v>Spain</v>
      </c>
      <c r="E4372" s="135"/>
      <c r="F4372" s="31"/>
    </row>
    <row r="4373">
      <c r="A4373" s="134" t="str">
        <f>IFERROR(__xludf.DUMMYFUNCTION("""COMPUTED_VALUE"""),"La Paz")</f>
        <v>La Paz</v>
      </c>
      <c r="B4373" s="120" t="str">
        <f>IFERROR(__xludf.DUMMYFUNCTION("""COMPUTED_VALUE"""),"LPB")</f>
        <v>LPB</v>
      </c>
      <c r="C4373" s="120" t="str">
        <f>IFERROR(__xludf.DUMMYFUNCTION("""COMPUTED_VALUE"""),"El Alto")</f>
        <v>El Alto</v>
      </c>
      <c r="D4373" s="120" t="str">
        <f>IFERROR(__xludf.DUMMYFUNCTION("""COMPUTED_VALUE"""),"Bolivia")</f>
        <v>Bolivia</v>
      </c>
      <c r="E4373" s="135"/>
      <c r="F4373" s="31"/>
    </row>
    <row r="4374">
      <c r="A4374" s="134" t="str">
        <f>IFERROR(__xludf.DUMMYFUNCTION("""COMPUTED_VALUE"""),"La Paz")</f>
        <v>La Paz</v>
      </c>
      <c r="B4374" s="120" t="str">
        <f>IFERROR(__xludf.DUMMYFUNCTION("""COMPUTED_VALUE"""),"LAP")</f>
        <v>LAP</v>
      </c>
      <c r="C4374" s="120" t="str">
        <f>IFERROR(__xludf.DUMMYFUNCTION("""COMPUTED_VALUE"""),"Leon")</f>
        <v>Leon</v>
      </c>
      <c r="D4374" s="120" t="str">
        <f>IFERROR(__xludf.DUMMYFUNCTION("""COMPUTED_VALUE"""),"Mexico")</f>
        <v>Mexico</v>
      </c>
      <c r="E4374" s="135"/>
      <c r="F4374" s="31"/>
    </row>
    <row r="4375">
      <c r="A4375" s="134" t="str">
        <f>IFERROR(__xludf.DUMMYFUNCTION("""COMPUTED_VALUE"""),"La Pedrera")</f>
        <v>La Pedrera</v>
      </c>
      <c r="B4375" s="120" t="str">
        <f>IFERROR(__xludf.DUMMYFUNCTION("""COMPUTED_VALUE"""),"LPD")</f>
        <v>LPD</v>
      </c>
      <c r="C4375" s="120" t="str">
        <f>IFERROR(__xludf.DUMMYFUNCTION("""COMPUTED_VALUE"""),"La Pedrera")</f>
        <v>La Pedrera</v>
      </c>
      <c r="D4375" s="120" t="str">
        <f>IFERROR(__xludf.DUMMYFUNCTION("""COMPUTED_VALUE"""),"Colombia")</f>
        <v>Colombia</v>
      </c>
      <c r="E4375" s="135"/>
      <c r="F4375" s="31"/>
    </row>
    <row r="4376">
      <c r="A4376" s="134" t="str">
        <f>IFERROR(__xludf.DUMMYFUNCTION("""COMPUTED_VALUE"""),"La Plagne")</f>
        <v>La Plagne</v>
      </c>
      <c r="B4376" s="120" t="str">
        <f>IFERROR(__xludf.DUMMYFUNCTION("""COMPUTED_VALUE"""),"PLG")</f>
        <v>PLG</v>
      </c>
      <c r="C4376" s="120" t="str">
        <f>IFERROR(__xludf.DUMMYFUNCTION("""COMPUTED_VALUE"""),"La Plagne")</f>
        <v>La Plagne</v>
      </c>
      <c r="D4376" s="120" t="str">
        <f>IFERROR(__xludf.DUMMYFUNCTION("""COMPUTED_VALUE"""),"France")</f>
        <v>France</v>
      </c>
      <c r="E4376" s="135"/>
      <c r="F4376" s="31"/>
    </row>
    <row r="4377">
      <c r="A4377" s="134" t="str">
        <f>IFERROR(__xludf.DUMMYFUNCTION("""COMPUTED_VALUE"""),"La Plata")</f>
        <v>La Plata</v>
      </c>
      <c r="B4377" s="120" t="str">
        <f>IFERROR(__xludf.DUMMYFUNCTION("""COMPUTED_VALUE"""),"LPG")</f>
        <v>LPG</v>
      </c>
      <c r="C4377" s="120" t="str">
        <f>IFERROR(__xludf.DUMMYFUNCTION("""COMPUTED_VALUE"""),"La Plata")</f>
        <v>La Plata</v>
      </c>
      <c r="D4377" s="120" t="str">
        <f>IFERROR(__xludf.DUMMYFUNCTION("""COMPUTED_VALUE"""),"Argentina")</f>
        <v>Argentina</v>
      </c>
      <c r="E4377" s="135"/>
      <c r="F4377" s="31"/>
    </row>
    <row r="4378">
      <c r="A4378" s="134" t="str">
        <f>IFERROR(__xludf.DUMMYFUNCTION("""COMPUTED_VALUE"""),"La Primavera")</f>
        <v>La Primavera</v>
      </c>
      <c r="B4378" s="120" t="str">
        <f>IFERROR(__xludf.DUMMYFUNCTION("""COMPUTED_VALUE"""),"LPE")</f>
        <v>LPE</v>
      </c>
      <c r="C4378" s="120" t="str">
        <f>IFERROR(__xludf.DUMMYFUNCTION("""COMPUTED_VALUE"""),"La Primavera")</f>
        <v>La Primavera</v>
      </c>
      <c r="D4378" s="120" t="str">
        <f>IFERROR(__xludf.DUMMYFUNCTION("""COMPUTED_VALUE"""),"Colombia")</f>
        <v>Colombia</v>
      </c>
      <c r="E4378" s="135"/>
      <c r="F4378" s="31"/>
    </row>
    <row r="4379">
      <c r="A4379" s="134" t="str">
        <f>IFERROR(__xludf.DUMMYFUNCTION("""COMPUTED_VALUE"""),"La Rioja")</f>
        <v>La Rioja</v>
      </c>
      <c r="B4379" s="120" t="str">
        <f>IFERROR(__xludf.DUMMYFUNCTION("""COMPUTED_VALUE"""),"IRJ")</f>
        <v>IRJ</v>
      </c>
      <c r="C4379" s="120" t="str">
        <f>IFERROR(__xludf.DUMMYFUNCTION("""COMPUTED_VALUE"""),"La Rioja")</f>
        <v>La Rioja</v>
      </c>
      <c r="D4379" s="120" t="str">
        <f>IFERROR(__xludf.DUMMYFUNCTION("""COMPUTED_VALUE"""),"Argentina")</f>
        <v>Argentina</v>
      </c>
      <c r="E4379" s="135"/>
      <c r="F4379" s="31"/>
    </row>
    <row r="4380">
      <c r="A4380" s="134" t="str">
        <f>IFERROR(__xludf.DUMMYFUNCTION("""COMPUTED_VALUE"""),"La Roche")</f>
        <v>La Roche</v>
      </c>
      <c r="B4380" s="120" t="str">
        <f>IFERROR(__xludf.DUMMYFUNCTION("""COMPUTED_VALUE"""),"EDM")</f>
        <v>EDM</v>
      </c>
      <c r="C4380" s="120" t="str">
        <f>IFERROR(__xludf.DUMMYFUNCTION("""COMPUTED_VALUE"""),"Les Ajoncs")</f>
        <v>Les Ajoncs</v>
      </c>
      <c r="D4380" s="120" t="str">
        <f>IFERROR(__xludf.DUMMYFUNCTION("""COMPUTED_VALUE"""),"France")</f>
        <v>France</v>
      </c>
      <c r="E4380" s="135"/>
      <c r="F4380" s="31"/>
    </row>
    <row r="4381">
      <c r="A4381" s="134" t="str">
        <f>IFERROR(__xludf.DUMMYFUNCTION("""COMPUTED_VALUE"""),"La Rochelle")</f>
        <v>La Rochelle</v>
      </c>
      <c r="B4381" s="120" t="str">
        <f>IFERROR(__xludf.DUMMYFUNCTION("""COMPUTED_VALUE"""),"LRH")</f>
        <v>LRH</v>
      </c>
      <c r="C4381" s="120" t="str">
        <f>IFERROR(__xludf.DUMMYFUNCTION("""COMPUTED_VALUE"""),"Laleu")</f>
        <v>Laleu</v>
      </c>
      <c r="D4381" s="120" t="str">
        <f>IFERROR(__xludf.DUMMYFUNCTION("""COMPUTED_VALUE"""),"France")</f>
        <v>France</v>
      </c>
      <c r="E4381" s="135"/>
      <c r="F4381" s="31"/>
    </row>
    <row r="4382">
      <c r="A4382" s="134" t="str">
        <f>IFERROR(__xludf.DUMMYFUNCTION("""COMPUTED_VALUE"""),"Punta Cana")</f>
        <v>Punta Cana</v>
      </c>
      <c r="B4382" s="120" t="str">
        <f>IFERROR(__xludf.DUMMYFUNCTION("""COMPUTED_VALUE"""),"LRM")</f>
        <v>LRM</v>
      </c>
      <c r="C4382" s="120" t="str">
        <f>IFERROR(__xludf.DUMMYFUNCTION("""COMPUTED_VALUE"""),"La Romana")</f>
        <v>La Romana</v>
      </c>
      <c r="D4382" s="120" t="str">
        <f>IFERROR(__xludf.DUMMYFUNCTION("""COMPUTED_VALUE"""),"Dominican Republic")</f>
        <v>Dominican Republic</v>
      </c>
      <c r="E4382" s="135"/>
      <c r="F4382" s="31"/>
    </row>
    <row r="4383">
      <c r="A4383" s="134" t="str">
        <f>IFERROR(__xludf.DUMMYFUNCTION("""COMPUTED_VALUE"""),"La Ronge")</f>
        <v>La Ronge</v>
      </c>
      <c r="B4383" s="120" t="str">
        <f>IFERROR(__xludf.DUMMYFUNCTION("""COMPUTED_VALUE"""),"YVC")</f>
        <v>YVC</v>
      </c>
      <c r="C4383" s="120" t="str">
        <f>IFERROR(__xludf.DUMMYFUNCTION("""COMPUTED_VALUE"""),"La Ronge")</f>
        <v>La Ronge</v>
      </c>
      <c r="D4383" s="120" t="str">
        <f>IFERROR(__xludf.DUMMYFUNCTION("""COMPUTED_VALUE"""),"Canada")</f>
        <v>Canada</v>
      </c>
      <c r="E4383" s="135"/>
      <c r="F4383" s="31"/>
    </row>
    <row r="4384">
      <c r="A4384" s="134" t="str">
        <f>IFERROR(__xludf.DUMMYFUNCTION("""COMPUTED_VALUE"""),"La Sarre")</f>
        <v>La Sarre</v>
      </c>
      <c r="B4384" s="120" t="str">
        <f>IFERROR(__xludf.DUMMYFUNCTION("""COMPUTED_VALUE"""),"SSQ")</f>
        <v>SSQ</v>
      </c>
      <c r="C4384" s="120" t="str">
        <f>IFERROR(__xludf.DUMMYFUNCTION("""COMPUTED_VALUE"""),"La Sarre")</f>
        <v>La Sarre</v>
      </c>
      <c r="D4384" s="120" t="str">
        <f>IFERROR(__xludf.DUMMYFUNCTION("""COMPUTED_VALUE"""),"Canada")</f>
        <v>Canada</v>
      </c>
      <c r="E4384" s="135"/>
      <c r="F4384" s="31"/>
    </row>
    <row r="4385">
      <c r="A4385" s="134" t="str">
        <f>IFERROR(__xludf.DUMMYFUNCTION("""COMPUTED_VALUE"""),"La Serena")</f>
        <v>La Serena</v>
      </c>
      <c r="B4385" s="120" t="str">
        <f>IFERROR(__xludf.DUMMYFUNCTION("""COMPUTED_VALUE"""),"LSC")</f>
        <v>LSC</v>
      </c>
      <c r="C4385" s="120" t="str">
        <f>IFERROR(__xludf.DUMMYFUNCTION("""COMPUTED_VALUE"""),"La Florida")</f>
        <v>La Florida</v>
      </c>
      <c r="D4385" s="120" t="str">
        <f>IFERROR(__xludf.DUMMYFUNCTION("""COMPUTED_VALUE"""),"Chile")</f>
        <v>Chile</v>
      </c>
      <c r="E4385" s="135"/>
      <c r="F4385" s="31"/>
    </row>
    <row r="4386">
      <c r="A4386" s="134" t="str">
        <f>IFERROR(__xludf.DUMMYFUNCTION("""COMPUTED_VALUE"""),"La Tabatiere")</f>
        <v>La Tabatiere</v>
      </c>
      <c r="B4386" s="120" t="str">
        <f>IFERROR(__xludf.DUMMYFUNCTION("""COMPUTED_VALUE"""),"ZLT")</f>
        <v>ZLT</v>
      </c>
      <c r="C4386" s="120" t="str">
        <f>IFERROR(__xludf.DUMMYFUNCTION("""COMPUTED_VALUE"""),"La Tabatiere")</f>
        <v>La Tabatiere</v>
      </c>
      <c r="D4386" s="120" t="str">
        <f>IFERROR(__xludf.DUMMYFUNCTION("""COMPUTED_VALUE"""),"Canada")</f>
        <v>Canada</v>
      </c>
      <c r="E4386" s="135"/>
      <c r="F4386" s="31"/>
    </row>
    <row r="4387">
      <c r="A4387" s="134" t="str">
        <f>IFERROR(__xludf.DUMMYFUNCTION("""COMPUTED_VALUE"""),"La Tuque")</f>
        <v>La Tuque</v>
      </c>
      <c r="B4387" s="120" t="str">
        <f>IFERROR(__xludf.DUMMYFUNCTION("""COMPUTED_VALUE"""),"YLQ")</f>
        <v>YLQ</v>
      </c>
      <c r="C4387" s="120" t="str">
        <f>IFERROR(__xludf.DUMMYFUNCTION("""COMPUTED_VALUE"""),"La Tuque")</f>
        <v>La Tuque</v>
      </c>
      <c r="D4387" s="120" t="str">
        <f>IFERROR(__xludf.DUMMYFUNCTION("""COMPUTED_VALUE"""),"Canada")</f>
        <v>Canada</v>
      </c>
      <c r="E4387" s="135"/>
      <c r="F4387" s="31"/>
    </row>
    <row r="4388">
      <c r="A4388" s="134" t="str">
        <f>IFERROR(__xludf.DUMMYFUNCTION("""COMPUTED_VALUE"""),"La Union")</f>
        <v>La Union</v>
      </c>
      <c r="B4388" s="120" t="str">
        <f>IFERROR(__xludf.DUMMYFUNCTION("""COMPUTED_VALUE"""),"LUI")</f>
        <v>LUI</v>
      </c>
      <c r="C4388" s="120" t="str">
        <f>IFERROR(__xludf.DUMMYFUNCTION("""COMPUTED_VALUE"""),"La Union")</f>
        <v>La Union</v>
      </c>
      <c r="D4388" s="120" t="str">
        <f>IFERROR(__xludf.DUMMYFUNCTION("""COMPUTED_VALUE"""),"Honduras")</f>
        <v>Honduras</v>
      </c>
      <c r="E4388" s="135"/>
      <c r="F4388" s="31"/>
    </row>
    <row r="4389">
      <c r="A4389" s="134" t="str">
        <f>IFERROR(__xludf.DUMMYFUNCTION("""COMPUTED_VALUE"""),"La Uribe")</f>
        <v>La Uribe</v>
      </c>
      <c r="B4389" s="120" t="str">
        <f>IFERROR(__xludf.DUMMYFUNCTION("""COMPUTED_VALUE"""),"LAT")</f>
        <v>LAT</v>
      </c>
      <c r="C4389" s="120" t="str">
        <f>IFERROR(__xludf.DUMMYFUNCTION("""COMPUTED_VALUE"""),"La Uribe")</f>
        <v>La Uribe</v>
      </c>
      <c r="D4389" s="120" t="str">
        <f>IFERROR(__xludf.DUMMYFUNCTION("""COMPUTED_VALUE"""),"Colombia")</f>
        <v>Colombia</v>
      </c>
      <c r="E4389" s="135"/>
      <c r="F4389" s="31"/>
    </row>
    <row r="4390">
      <c r="A4390" s="134" t="str">
        <f>IFERROR(__xludf.DUMMYFUNCTION("""COMPUTED_VALUE"""),"La Verne")</f>
        <v>La Verne</v>
      </c>
      <c r="B4390" s="120" t="str">
        <f>IFERROR(__xludf.DUMMYFUNCTION("""COMPUTED_VALUE"""),"POC")</f>
        <v>POC</v>
      </c>
      <c r="C4390" s="120" t="str">
        <f>IFERROR(__xludf.DUMMYFUNCTION("""COMPUTED_VALUE"""),"Brackett Field")</f>
        <v>Brackett Field</v>
      </c>
      <c r="D4390" s="120" t="str">
        <f>IFERROR(__xludf.DUMMYFUNCTION("""COMPUTED_VALUE"""),"United States")</f>
        <v>United States</v>
      </c>
      <c r="E4390" s="135"/>
      <c r="F4390" s="31"/>
    </row>
    <row r="4391">
      <c r="A4391" s="134" t="str">
        <f>IFERROR(__xludf.DUMMYFUNCTION("""COMPUTED_VALUE"""),"Laarbruch")</f>
        <v>Laarbruch</v>
      </c>
      <c r="B4391" s="120" t="str">
        <f>IFERROR(__xludf.DUMMYFUNCTION("""COMPUTED_VALUE"""),"LRC")</f>
        <v>LRC</v>
      </c>
      <c r="C4391" s="120" t="str">
        <f>IFERROR(__xludf.DUMMYFUNCTION("""COMPUTED_VALUE"""),"R.A.F.")</f>
        <v>R.A.F.</v>
      </c>
      <c r="D4391" s="120" t="str">
        <f>IFERROR(__xludf.DUMMYFUNCTION("""COMPUTED_VALUE"""),"Germany")</f>
        <v>Germany</v>
      </c>
      <c r="E4391" s="135"/>
      <c r="F4391" s="31"/>
    </row>
    <row r="4392">
      <c r="A4392" s="134" t="str">
        <f>IFERROR(__xludf.DUMMYFUNCTION("""COMPUTED_VALUE"""),"Laayoune")</f>
        <v>Laayoune</v>
      </c>
      <c r="B4392" s="120" t="str">
        <f>IFERROR(__xludf.DUMMYFUNCTION("""COMPUTED_VALUE"""),"EUN")</f>
        <v>EUN</v>
      </c>
      <c r="C4392" s="120" t="str">
        <f>IFERROR(__xludf.DUMMYFUNCTION("""COMPUTED_VALUE"""),"Hassan I")</f>
        <v>Hassan I</v>
      </c>
      <c r="D4392" s="120" t="str">
        <f>IFERROR(__xludf.DUMMYFUNCTION("""COMPUTED_VALUE"""),"Morocco")</f>
        <v>Morocco</v>
      </c>
      <c r="E4392" s="135"/>
      <c r="F4392" s="31"/>
    </row>
    <row r="4393">
      <c r="A4393" s="134" t="str">
        <f>IFERROR(__xludf.DUMMYFUNCTION("""COMPUTED_VALUE"""),"Labasa")</f>
        <v>Labasa</v>
      </c>
      <c r="B4393" s="120" t="str">
        <f>IFERROR(__xludf.DUMMYFUNCTION("""COMPUTED_VALUE"""),"LBS")</f>
        <v>LBS</v>
      </c>
      <c r="C4393" s="120" t="str">
        <f>IFERROR(__xludf.DUMMYFUNCTION("""COMPUTED_VALUE"""),"Labasa")</f>
        <v>Labasa</v>
      </c>
      <c r="D4393" s="120" t="str">
        <f>IFERROR(__xludf.DUMMYFUNCTION("""COMPUTED_VALUE"""),"Fiji")</f>
        <v>Fiji</v>
      </c>
      <c r="E4393" s="135"/>
      <c r="F4393" s="31"/>
    </row>
    <row r="4394">
      <c r="A4394" s="134" t="str">
        <f>IFERROR(__xludf.DUMMYFUNCTION("""COMPUTED_VALUE"""),"Labe")</f>
        <v>Labe</v>
      </c>
      <c r="B4394" s="120" t="str">
        <f>IFERROR(__xludf.DUMMYFUNCTION("""COMPUTED_VALUE"""),"LEK")</f>
        <v>LEK</v>
      </c>
      <c r="C4394" s="120" t="str">
        <f>IFERROR(__xludf.DUMMYFUNCTION("""COMPUTED_VALUE"""),"Labe")</f>
        <v>Labe</v>
      </c>
      <c r="D4394" s="120" t="str">
        <f>IFERROR(__xludf.DUMMYFUNCTION("""COMPUTED_VALUE"""),"Guinea")</f>
        <v>Guinea</v>
      </c>
      <c r="E4394" s="135"/>
      <c r="F4394" s="31"/>
    </row>
    <row r="4395">
      <c r="A4395" s="134" t="str">
        <f>IFERROR(__xludf.DUMMYFUNCTION("""COMPUTED_VALUE"""),"Lablab")</f>
        <v>Lablab</v>
      </c>
      <c r="B4395" s="120" t="str">
        <f>IFERROR(__xludf.DUMMYFUNCTION("""COMPUTED_VALUE"""),"LAB")</f>
        <v>LAB</v>
      </c>
      <c r="C4395" s="120" t="str">
        <f>IFERROR(__xludf.DUMMYFUNCTION("""COMPUTED_VALUE"""),"Lablab")</f>
        <v>Lablab</v>
      </c>
      <c r="D4395" s="120" t="str">
        <f>IFERROR(__xludf.DUMMYFUNCTION("""COMPUTED_VALUE"""),"Papua New Guinea")</f>
        <v>Papua New Guinea</v>
      </c>
      <c r="E4395" s="135"/>
      <c r="F4395" s="31"/>
    </row>
    <row r="4396">
      <c r="A4396" s="134" t="str">
        <f>IFERROR(__xludf.DUMMYFUNCTION("""COMPUTED_VALUE"""),"Labouchere Bay")</f>
        <v>Labouchere Bay</v>
      </c>
      <c r="B4396" s="120" t="str">
        <f>IFERROR(__xludf.DUMMYFUNCTION("""COMPUTED_VALUE"""),"WLB")</f>
        <v>WLB</v>
      </c>
      <c r="C4396" s="120" t="str">
        <f>IFERROR(__xludf.DUMMYFUNCTION("""COMPUTED_VALUE"""),"Labouchere Bay")</f>
        <v>Labouchere Bay</v>
      </c>
      <c r="D4396" s="120" t="str">
        <f>IFERROR(__xludf.DUMMYFUNCTION("""COMPUTED_VALUE"""),"United States")</f>
        <v>United States</v>
      </c>
      <c r="E4396" s="135"/>
      <c r="F4396" s="31"/>
    </row>
    <row r="4397">
      <c r="A4397" s="134" t="str">
        <f>IFERROR(__xludf.DUMMYFUNCTION("""COMPUTED_VALUE"""),"Labrea")</f>
        <v>Labrea</v>
      </c>
      <c r="B4397" s="120" t="str">
        <f>IFERROR(__xludf.DUMMYFUNCTION("""COMPUTED_VALUE"""),"LBR")</f>
        <v>LBR</v>
      </c>
      <c r="C4397" s="120" t="str">
        <f>IFERROR(__xludf.DUMMYFUNCTION("""COMPUTED_VALUE"""),"Labrea")</f>
        <v>Labrea</v>
      </c>
      <c r="D4397" s="120" t="str">
        <f>IFERROR(__xludf.DUMMYFUNCTION("""COMPUTED_VALUE"""),"Brazil")</f>
        <v>Brazil</v>
      </c>
      <c r="E4397" s="135"/>
      <c r="F4397" s="31"/>
    </row>
    <row r="4398">
      <c r="A4398" s="134" t="str">
        <f>IFERROR(__xludf.DUMMYFUNCTION("""COMPUTED_VALUE"""),"Labuan")</f>
        <v>Labuan</v>
      </c>
      <c r="B4398" s="120" t="str">
        <f>IFERROR(__xludf.DUMMYFUNCTION("""COMPUTED_VALUE"""),"LBU")</f>
        <v>LBU</v>
      </c>
      <c r="C4398" s="120" t="str">
        <f>IFERROR(__xludf.DUMMYFUNCTION("""COMPUTED_VALUE"""),"Labuan")</f>
        <v>Labuan</v>
      </c>
      <c r="D4398" s="120" t="str">
        <f>IFERROR(__xludf.DUMMYFUNCTION("""COMPUTED_VALUE"""),"Malaysia")</f>
        <v>Malaysia</v>
      </c>
      <c r="E4398" s="135"/>
      <c r="F4398" s="31"/>
    </row>
    <row r="4399">
      <c r="A4399" s="134" t="str">
        <f>IFERROR(__xludf.DUMMYFUNCTION("""COMPUTED_VALUE"""),"Labuan Bajo")</f>
        <v>Labuan Bajo</v>
      </c>
      <c r="B4399" s="120" t="str">
        <f>IFERROR(__xludf.DUMMYFUNCTION("""COMPUTED_VALUE"""),"LBJ")</f>
        <v>LBJ</v>
      </c>
      <c r="C4399" s="120" t="str">
        <f>IFERROR(__xludf.DUMMYFUNCTION("""COMPUTED_VALUE"""),"Mutiara")</f>
        <v>Mutiara</v>
      </c>
      <c r="D4399" s="120" t="str">
        <f>IFERROR(__xludf.DUMMYFUNCTION("""COMPUTED_VALUE"""),"Indonesia")</f>
        <v>Indonesia</v>
      </c>
      <c r="E4399" s="135"/>
      <c r="F4399" s="31"/>
    </row>
    <row r="4400">
      <c r="A4400" s="134" t="str">
        <f>IFERROR(__xludf.DUMMYFUNCTION("""COMPUTED_VALUE"""),"Labuha")</f>
        <v>Labuha</v>
      </c>
      <c r="B4400" s="120" t="str">
        <f>IFERROR(__xludf.DUMMYFUNCTION("""COMPUTED_VALUE"""),"LAH")</f>
        <v>LAH</v>
      </c>
      <c r="C4400" s="120" t="str">
        <f>IFERROR(__xludf.DUMMYFUNCTION("""COMPUTED_VALUE"""),"Labuha")</f>
        <v>Labuha</v>
      </c>
      <c r="D4400" s="120" t="str">
        <f>IFERROR(__xludf.DUMMYFUNCTION("""COMPUTED_VALUE"""),"Indonesia")</f>
        <v>Indonesia</v>
      </c>
      <c r="E4400" s="135"/>
      <c r="F4400" s="31"/>
    </row>
    <row r="4401">
      <c r="A4401" s="134" t="str">
        <f>IFERROR(__xludf.DUMMYFUNCTION("""COMPUTED_VALUE"""),"Lac Biche")</f>
        <v>Lac Biche</v>
      </c>
      <c r="B4401" s="120" t="str">
        <f>IFERROR(__xludf.DUMMYFUNCTION("""COMPUTED_VALUE"""),"YLB")</f>
        <v>YLB</v>
      </c>
      <c r="C4401" s="120" t="str">
        <f>IFERROR(__xludf.DUMMYFUNCTION("""COMPUTED_VALUE"""),"Lac Biche")</f>
        <v>Lac Biche</v>
      </c>
      <c r="D4401" s="120" t="str">
        <f>IFERROR(__xludf.DUMMYFUNCTION("""COMPUTED_VALUE"""),"Canada")</f>
        <v>Canada</v>
      </c>
      <c r="E4401" s="135"/>
      <c r="F4401" s="31"/>
    </row>
    <row r="4402">
      <c r="A4402" s="134" t="str">
        <f>IFERROR(__xludf.DUMMYFUNCTION("""COMPUTED_VALUE"""),"Lac Brochet")</f>
        <v>Lac Brochet</v>
      </c>
      <c r="B4402" s="120" t="str">
        <f>IFERROR(__xludf.DUMMYFUNCTION("""COMPUTED_VALUE"""),"XLB")</f>
        <v>XLB</v>
      </c>
      <c r="C4402" s="120" t="str">
        <f>IFERROR(__xludf.DUMMYFUNCTION("""COMPUTED_VALUE"""),"Lac Brochet")</f>
        <v>Lac Brochet</v>
      </c>
      <c r="D4402" s="120" t="str">
        <f>IFERROR(__xludf.DUMMYFUNCTION("""COMPUTED_VALUE"""),"Canada")</f>
        <v>Canada</v>
      </c>
      <c r="E4402" s="135"/>
      <c r="F4402" s="31"/>
    </row>
    <row r="4403">
      <c r="A4403" s="134" t="str">
        <f>IFERROR(__xludf.DUMMYFUNCTION("""COMPUTED_VALUE"""),"Laconia")</f>
        <v>Laconia</v>
      </c>
      <c r="B4403" s="120" t="str">
        <f>IFERROR(__xludf.DUMMYFUNCTION("""COMPUTED_VALUE"""),"LCI")</f>
        <v>LCI</v>
      </c>
      <c r="C4403" s="120" t="str">
        <f>IFERROR(__xludf.DUMMYFUNCTION("""COMPUTED_VALUE"""),"Municipal")</f>
        <v>Municipal</v>
      </c>
      <c r="D4403" s="120" t="str">
        <f>IFERROR(__xludf.DUMMYFUNCTION("""COMPUTED_VALUE"""),"United States")</f>
        <v>United States</v>
      </c>
      <c r="E4403" s="135"/>
      <c r="F4403" s="31"/>
    </row>
    <row r="4404">
      <c r="A4404" s="134" t="str">
        <f>IFERROR(__xludf.DUMMYFUNCTION("""COMPUTED_VALUE"""),"Ladouanie")</f>
        <v>Ladouanie</v>
      </c>
      <c r="B4404" s="120" t="str">
        <f>IFERROR(__xludf.DUMMYFUNCTION("""COMPUTED_VALUE"""),"LDO")</f>
        <v>LDO</v>
      </c>
      <c r="C4404" s="120" t="str">
        <f>IFERROR(__xludf.DUMMYFUNCTION("""COMPUTED_VALUE"""),"Ladouanie")</f>
        <v>Ladouanie</v>
      </c>
      <c r="D4404" s="120" t="str">
        <f>IFERROR(__xludf.DUMMYFUNCTION("""COMPUTED_VALUE"""),"Suriname")</f>
        <v>Suriname</v>
      </c>
      <c r="E4404" s="135"/>
      <c r="F4404" s="31"/>
    </row>
    <row r="4405">
      <c r="A4405" s="134" t="str">
        <f>IFERROR(__xludf.DUMMYFUNCTION("""COMPUTED_VALUE"""),"Lady Elliot Island")</f>
        <v>Lady Elliot Island</v>
      </c>
      <c r="B4405" s="120" t="str">
        <f>IFERROR(__xludf.DUMMYFUNCTION("""COMPUTED_VALUE"""),"LYT")</f>
        <v>LYT</v>
      </c>
      <c r="C4405" s="120" t="str">
        <f>IFERROR(__xludf.DUMMYFUNCTION("""COMPUTED_VALUE"""),"Lady Elliot Island")</f>
        <v>Lady Elliot Island</v>
      </c>
      <c r="D4405" s="120" t="str">
        <f>IFERROR(__xludf.DUMMYFUNCTION("""COMPUTED_VALUE"""),"Australia")</f>
        <v>Australia</v>
      </c>
      <c r="E4405" s="135"/>
      <c r="F4405" s="31"/>
    </row>
    <row r="4406">
      <c r="A4406" s="134" t="str">
        <f>IFERROR(__xludf.DUMMYFUNCTION("""COMPUTED_VALUE"""),"Ladysmith")</f>
        <v>Ladysmith</v>
      </c>
      <c r="B4406" s="120" t="str">
        <f>IFERROR(__xludf.DUMMYFUNCTION("""COMPUTED_VALUE"""),"LAY")</f>
        <v>LAY</v>
      </c>
      <c r="C4406" s="120" t="str">
        <f>IFERROR(__xludf.DUMMYFUNCTION("""COMPUTED_VALUE"""),"Ladysmith")</f>
        <v>Ladysmith</v>
      </c>
      <c r="D4406" s="120" t="str">
        <f>IFERROR(__xludf.DUMMYFUNCTION("""COMPUTED_VALUE"""),"South Africa")</f>
        <v>South Africa</v>
      </c>
      <c r="E4406" s="135"/>
      <c r="F4406" s="31"/>
    </row>
    <row r="4407">
      <c r="A4407" s="134" t="str">
        <f>IFERROR(__xludf.DUMMYFUNCTION("""COMPUTED_VALUE"""),"Lae")</f>
        <v>Lae</v>
      </c>
      <c r="B4407" s="120" t="str">
        <f>IFERROR(__xludf.DUMMYFUNCTION("""COMPUTED_VALUE"""),"LAE")</f>
        <v>LAE</v>
      </c>
      <c r="C4407" s="120" t="str">
        <f>IFERROR(__xludf.DUMMYFUNCTION("""COMPUTED_VALUE"""),"Nadzab")</f>
        <v>Nadzab</v>
      </c>
      <c r="D4407" s="120" t="str">
        <f>IFERROR(__xludf.DUMMYFUNCTION("""COMPUTED_VALUE"""),"Papua New Guinea")</f>
        <v>Papua New Guinea</v>
      </c>
      <c r="E4407" s="135"/>
      <c r="F4407" s="31"/>
    </row>
    <row r="4408">
      <c r="A4408" s="134" t="str">
        <f>IFERROR(__xludf.DUMMYFUNCTION("""COMPUTED_VALUE"""),"Lae Island")</f>
        <v>Lae Island</v>
      </c>
      <c r="B4408" s="120" t="str">
        <f>IFERROR(__xludf.DUMMYFUNCTION("""COMPUTED_VALUE"""),"LML")</f>
        <v>LML</v>
      </c>
      <c r="C4408" s="120" t="str">
        <f>IFERROR(__xludf.DUMMYFUNCTION("""COMPUTED_VALUE"""),"Lae Island")</f>
        <v>Lae Island</v>
      </c>
      <c r="D4408" s="120" t="str">
        <f>IFERROR(__xludf.DUMMYFUNCTION("""COMPUTED_VALUE"""),"Marshall Islands")</f>
        <v>Marshall Islands</v>
      </c>
      <c r="E4408" s="135"/>
      <c r="F4408" s="31"/>
    </row>
    <row r="4409">
      <c r="A4409" s="134" t="str">
        <f>IFERROR(__xludf.DUMMYFUNCTION("""COMPUTED_VALUE"""),"Laeso Island")</f>
        <v>Laeso Island</v>
      </c>
      <c r="B4409" s="120" t="str">
        <f>IFERROR(__xludf.DUMMYFUNCTION("""COMPUTED_VALUE"""),"BYR")</f>
        <v>BYR</v>
      </c>
      <c r="C4409" s="120" t="str">
        <f>IFERROR(__xludf.DUMMYFUNCTION("""COMPUTED_VALUE"""),"Laeso Airport")</f>
        <v>Laeso Airport</v>
      </c>
      <c r="D4409" s="120" t="str">
        <f>IFERROR(__xludf.DUMMYFUNCTION("""COMPUTED_VALUE"""),"Denmark")</f>
        <v>Denmark</v>
      </c>
      <c r="E4409" s="135"/>
      <c r="F4409" s="31"/>
    </row>
    <row r="4410">
      <c r="A4410" s="134" t="str">
        <f>IFERROR(__xludf.DUMMYFUNCTION("""COMPUTED_VALUE"""),"Lafayette")</f>
        <v>Lafayette</v>
      </c>
      <c r="B4410" s="120" t="str">
        <f>IFERROR(__xludf.DUMMYFUNCTION("""COMPUTED_VALUE"""),"LAF")</f>
        <v>LAF</v>
      </c>
      <c r="C4410" s="120" t="str">
        <f>IFERROR(__xludf.DUMMYFUNCTION("""COMPUTED_VALUE"""),"Purdue University")</f>
        <v>Purdue University</v>
      </c>
      <c r="D4410" s="120" t="str">
        <f>IFERROR(__xludf.DUMMYFUNCTION("""COMPUTED_VALUE"""),"United States")</f>
        <v>United States</v>
      </c>
      <c r="E4410" s="135"/>
      <c r="F4410" s="31"/>
    </row>
    <row r="4411">
      <c r="A4411" s="134" t="str">
        <f>IFERROR(__xludf.DUMMYFUNCTION("""COMPUTED_VALUE"""),"LaForges")</f>
        <v>LaForges</v>
      </c>
      <c r="B4411" s="120" t="str">
        <f>IFERROR(__xludf.DUMMYFUNCTION("""COMPUTED_VALUE"""),"YLF")</f>
        <v>YLF</v>
      </c>
      <c r="C4411" s="120" t="str">
        <f>IFERROR(__xludf.DUMMYFUNCTION("""COMPUTED_VALUE"""),"LaForges")</f>
        <v>LaForges</v>
      </c>
      <c r="D4411" s="120" t="str">
        <f>IFERROR(__xludf.DUMMYFUNCTION("""COMPUTED_VALUE"""),"Canada")</f>
        <v>Canada</v>
      </c>
      <c r="E4411" s="135"/>
      <c r="F4411" s="31"/>
    </row>
    <row r="4412">
      <c r="A4412" s="134" t="str">
        <f>IFERROR(__xludf.DUMMYFUNCTION("""COMPUTED_VALUE"""),"Lages")</f>
        <v>Lages</v>
      </c>
      <c r="B4412" s="120" t="str">
        <f>IFERROR(__xludf.DUMMYFUNCTION("""COMPUTED_VALUE"""),"LAJ")</f>
        <v>LAJ</v>
      </c>
      <c r="C4412" s="120" t="str">
        <f>IFERROR(__xludf.DUMMYFUNCTION("""COMPUTED_VALUE"""),"Lages")</f>
        <v>Lages</v>
      </c>
      <c r="D4412" s="120" t="str">
        <f>IFERROR(__xludf.DUMMYFUNCTION("""COMPUTED_VALUE"""),"Brazil")</f>
        <v>Brazil</v>
      </c>
      <c r="E4412" s="135"/>
      <c r="F4412" s="31"/>
    </row>
    <row r="4413">
      <c r="A4413" s="134" t="str">
        <f>IFERROR(__xludf.DUMMYFUNCTION("""COMPUTED_VALUE"""),"Lago Agrio")</f>
        <v>Lago Agrio</v>
      </c>
      <c r="B4413" s="120" t="str">
        <f>IFERROR(__xludf.DUMMYFUNCTION("""COMPUTED_VALUE"""),"LGQ")</f>
        <v>LGQ</v>
      </c>
      <c r="C4413" s="120" t="str">
        <f>IFERROR(__xludf.DUMMYFUNCTION("""COMPUTED_VALUE"""),"Lago Agrio")</f>
        <v>Lago Agrio</v>
      </c>
      <c r="D4413" s="120" t="str">
        <f>IFERROR(__xludf.DUMMYFUNCTION("""COMPUTED_VALUE"""),"Ecuador")</f>
        <v>Ecuador</v>
      </c>
      <c r="E4413" s="135"/>
      <c r="F4413" s="31"/>
    </row>
    <row r="4414">
      <c r="A4414" s="134" t="str">
        <f>IFERROR(__xludf.DUMMYFUNCTION("""COMPUTED_VALUE"""),"Lago Argentino")</f>
        <v>Lago Argentino</v>
      </c>
      <c r="B4414" s="120" t="str">
        <f>IFERROR(__xludf.DUMMYFUNCTION("""COMPUTED_VALUE"""),"ING")</f>
        <v>ING</v>
      </c>
      <c r="C4414" s="120" t="str">
        <f>IFERROR(__xludf.DUMMYFUNCTION("""COMPUTED_VALUE"""),"Lago Argentino")</f>
        <v>Lago Argentino</v>
      </c>
      <c r="D4414" s="120" t="str">
        <f>IFERROR(__xludf.DUMMYFUNCTION("""COMPUTED_VALUE"""),"Argentina")</f>
        <v>Argentina</v>
      </c>
      <c r="E4414" s="135"/>
      <c r="F4414" s="31"/>
    </row>
    <row r="4415">
      <c r="A4415" s="134" t="str">
        <f>IFERROR(__xludf.DUMMYFUNCTION("""COMPUTED_VALUE"""),"Lagos")</f>
        <v>Lagos</v>
      </c>
      <c r="B4415" s="120" t="str">
        <f>IFERROR(__xludf.DUMMYFUNCTION("""COMPUTED_VALUE"""),"LOS")</f>
        <v>LOS</v>
      </c>
      <c r="C4415" s="120" t="str">
        <f>IFERROR(__xludf.DUMMYFUNCTION("""COMPUTED_VALUE"""),"Murtala Muhammed")</f>
        <v>Murtala Muhammed</v>
      </c>
      <c r="D4415" s="120" t="str">
        <f>IFERROR(__xludf.DUMMYFUNCTION("""COMPUTED_VALUE"""),"Nigeria")</f>
        <v>Nigeria</v>
      </c>
      <c r="E4415" s="135"/>
      <c r="F4415" s="31"/>
    </row>
    <row r="4416">
      <c r="A4416" s="134" t="str">
        <f>IFERROR(__xludf.DUMMYFUNCTION("""COMPUTED_VALUE"""),"Lagos de Moreno")</f>
        <v>Lagos de Moreno</v>
      </c>
      <c r="B4416" s="120" t="str">
        <f>IFERROR(__xludf.DUMMYFUNCTION("""COMPUTED_VALUE"""),"LOM")</f>
        <v>LOM</v>
      </c>
      <c r="C4416" s="120" t="str">
        <f>IFERROR(__xludf.DUMMYFUNCTION("""COMPUTED_VALUE"""),"Francisco P. V. y R.")</f>
        <v>Francisco P. V. y R.</v>
      </c>
      <c r="D4416" s="120" t="str">
        <f>IFERROR(__xludf.DUMMYFUNCTION("""COMPUTED_VALUE"""),"Mexico")</f>
        <v>Mexico</v>
      </c>
      <c r="E4416" s="135"/>
      <c r="F4416" s="31"/>
    </row>
    <row r="4417">
      <c r="A4417" s="134" t="str">
        <f>IFERROR(__xludf.DUMMYFUNCTION("""COMPUTED_VALUE"""),"Lagrande 3")</f>
        <v>Lagrande 3</v>
      </c>
      <c r="B4417" s="120" t="str">
        <f>IFERROR(__xludf.DUMMYFUNCTION("""COMPUTED_VALUE"""),"YAR")</f>
        <v>YAR</v>
      </c>
      <c r="C4417" s="120" t="str">
        <f>IFERROR(__xludf.DUMMYFUNCTION("""COMPUTED_VALUE"""),"Lagrande 3")</f>
        <v>Lagrande 3</v>
      </c>
      <c r="D4417" s="120" t="str">
        <f>IFERROR(__xludf.DUMMYFUNCTION("""COMPUTED_VALUE"""),"Canada")</f>
        <v>Canada</v>
      </c>
      <c r="E4417" s="135"/>
      <c r="F4417" s="31"/>
    </row>
    <row r="4418">
      <c r="A4418" s="134" t="str">
        <f>IFERROR(__xludf.DUMMYFUNCTION("""COMPUTED_VALUE"""),"Lagrande 4")</f>
        <v>Lagrande 4</v>
      </c>
      <c r="B4418" s="120" t="str">
        <f>IFERROR(__xludf.DUMMYFUNCTION("""COMPUTED_VALUE"""),"YAH")</f>
        <v>YAH</v>
      </c>
      <c r="C4418" s="120" t="str">
        <f>IFERROR(__xludf.DUMMYFUNCTION("""COMPUTED_VALUE"""),"Lagrande 4")</f>
        <v>Lagrande 4</v>
      </c>
      <c r="D4418" s="120" t="str">
        <f>IFERROR(__xludf.DUMMYFUNCTION("""COMPUTED_VALUE"""),"Canada")</f>
        <v>Canada</v>
      </c>
      <c r="E4418" s="135"/>
      <c r="F4418" s="31"/>
    </row>
    <row r="4419">
      <c r="A4419" s="134" t="str">
        <f>IFERROR(__xludf.DUMMYFUNCTION("""COMPUTED_VALUE"""),"Lague")</f>
        <v>Lague</v>
      </c>
      <c r="B4419" s="120" t="str">
        <f>IFERROR(__xludf.DUMMYFUNCTION("""COMPUTED_VALUE"""),"LCO")</f>
        <v>LCO</v>
      </c>
      <c r="C4419" s="120" t="str">
        <f>IFERROR(__xludf.DUMMYFUNCTION("""COMPUTED_VALUE"""),"Lague")</f>
        <v>Lague</v>
      </c>
      <c r="D4419" s="120" t="str">
        <f>IFERROR(__xludf.DUMMYFUNCTION("""COMPUTED_VALUE"""),"Congo")</f>
        <v>Congo</v>
      </c>
      <c r="E4419" s="135"/>
      <c r="F4419" s="31"/>
    </row>
    <row r="4420">
      <c r="A4420" s="134" t="str">
        <f>IFERROR(__xludf.DUMMYFUNCTION("""COMPUTED_VALUE"""),"Lagunillas")</f>
        <v>Lagunillas</v>
      </c>
      <c r="B4420" s="120" t="str">
        <f>IFERROR(__xludf.DUMMYFUNCTION("""COMPUTED_VALUE"""),"LGY")</f>
        <v>LGY</v>
      </c>
      <c r="C4420" s="120" t="str">
        <f>IFERROR(__xludf.DUMMYFUNCTION("""COMPUTED_VALUE"""),"Lagunillas")</f>
        <v>Lagunillas</v>
      </c>
      <c r="D4420" s="120" t="str">
        <f>IFERROR(__xludf.DUMMYFUNCTION("""COMPUTED_VALUE"""),"Venezuela")</f>
        <v>Venezuela</v>
      </c>
      <c r="E4420" s="135"/>
      <c r="F4420" s="31"/>
    </row>
    <row r="4421">
      <c r="A4421" s="134" t="str">
        <f>IFERROR(__xludf.DUMMYFUNCTION("""COMPUTED_VALUE"""),"Lahad Datu")</f>
        <v>Lahad Datu</v>
      </c>
      <c r="B4421" s="120" t="str">
        <f>IFERROR(__xludf.DUMMYFUNCTION("""COMPUTED_VALUE"""),"LDU")</f>
        <v>LDU</v>
      </c>
      <c r="C4421" s="120" t="str">
        <f>IFERROR(__xludf.DUMMYFUNCTION("""COMPUTED_VALUE"""),"Lahad Datu")</f>
        <v>Lahad Datu</v>
      </c>
      <c r="D4421" s="120" t="str">
        <f>IFERROR(__xludf.DUMMYFUNCTION("""COMPUTED_VALUE"""),"Malaysia")</f>
        <v>Malaysia</v>
      </c>
      <c r="E4421" s="135"/>
      <c r="F4421" s="31"/>
    </row>
    <row r="4422">
      <c r="A4422" s="134" t="str">
        <f>IFERROR(__xludf.DUMMYFUNCTION("""COMPUTED_VALUE"""),"Lahore")</f>
        <v>Lahore</v>
      </c>
      <c r="B4422" s="120" t="str">
        <f>IFERROR(__xludf.DUMMYFUNCTION("""COMPUTED_VALUE"""),"LHE")</f>
        <v>LHE</v>
      </c>
      <c r="C4422" s="120" t="str">
        <f>IFERROR(__xludf.DUMMYFUNCTION("""COMPUTED_VALUE"""),"Alama Iqbal International")</f>
        <v>Alama Iqbal International</v>
      </c>
      <c r="D4422" s="120" t="str">
        <f>IFERROR(__xludf.DUMMYFUNCTION("""COMPUTED_VALUE"""),"Pakistan")</f>
        <v>Pakistan</v>
      </c>
      <c r="E4422" s="135"/>
      <c r="F4422" s="31"/>
    </row>
    <row r="4423">
      <c r="A4423" s="134" t="str">
        <f>IFERROR(__xludf.DUMMYFUNCTION("""COMPUTED_VALUE"""),"Lahr")</f>
        <v>Lahr</v>
      </c>
      <c r="B4423" s="120" t="str">
        <f>IFERROR(__xludf.DUMMYFUNCTION("""COMPUTED_VALUE"""),"LHA")</f>
        <v>LHA</v>
      </c>
      <c r="C4423" s="120" t="str">
        <f>IFERROR(__xludf.DUMMYFUNCTION("""COMPUTED_VALUE"""),"Lahr")</f>
        <v>Lahr</v>
      </c>
      <c r="D4423" s="120" t="str">
        <f>IFERROR(__xludf.DUMMYFUNCTION("""COMPUTED_VALUE"""),"Germany")</f>
        <v>Germany</v>
      </c>
      <c r="E4423" s="135"/>
      <c r="F4423" s="31"/>
    </row>
    <row r="4424">
      <c r="A4424" s="134" t="str">
        <f>IFERROR(__xludf.DUMMYFUNCTION("""COMPUTED_VALUE"""),"Lai")</f>
        <v>Lai</v>
      </c>
      <c r="B4424" s="120" t="str">
        <f>IFERROR(__xludf.DUMMYFUNCTION("""COMPUTED_VALUE"""),"LTC")</f>
        <v>LTC</v>
      </c>
      <c r="C4424" s="120" t="str">
        <f>IFERROR(__xludf.DUMMYFUNCTION("""COMPUTED_VALUE"""),"Lai")</f>
        <v>Lai</v>
      </c>
      <c r="D4424" s="120" t="str">
        <f>IFERROR(__xludf.DUMMYFUNCTION("""COMPUTED_VALUE"""),"Chad")</f>
        <v>Chad</v>
      </c>
      <c r="E4424" s="135"/>
      <c r="F4424" s="31"/>
    </row>
    <row r="4425">
      <c r="A4425" s="134" t="str">
        <f>IFERROR(__xludf.DUMMYFUNCTION("""COMPUTED_VALUE"""),"Laiagam")</f>
        <v>Laiagam</v>
      </c>
      <c r="B4425" s="120" t="str">
        <f>IFERROR(__xludf.DUMMYFUNCTION("""COMPUTED_VALUE"""),"LGM")</f>
        <v>LGM</v>
      </c>
      <c r="C4425" s="120" t="str">
        <f>IFERROR(__xludf.DUMMYFUNCTION("""COMPUTED_VALUE"""),"Laiagam")</f>
        <v>Laiagam</v>
      </c>
      <c r="D4425" s="120" t="str">
        <f>IFERROR(__xludf.DUMMYFUNCTION("""COMPUTED_VALUE"""),"Papua New Guinea")</f>
        <v>Papua New Guinea</v>
      </c>
      <c r="E4425" s="135"/>
      <c r="F4425" s="31"/>
    </row>
    <row r="4426">
      <c r="A4426" s="134" t="str">
        <f>IFERROR(__xludf.DUMMYFUNCTION("""COMPUTED_VALUE"""),"Lake Baringo")</f>
        <v>Lake Baringo</v>
      </c>
      <c r="B4426" s="120" t="str">
        <f>IFERROR(__xludf.DUMMYFUNCTION("""COMPUTED_VALUE"""),"LBN")</f>
        <v>LBN</v>
      </c>
      <c r="C4426" s="120" t="str">
        <f>IFERROR(__xludf.DUMMYFUNCTION("""COMPUTED_VALUE"""),"Lake Baringo")</f>
        <v>Lake Baringo</v>
      </c>
      <c r="D4426" s="120" t="str">
        <f>IFERROR(__xludf.DUMMYFUNCTION("""COMPUTED_VALUE"""),"Kenya")</f>
        <v>Kenya</v>
      </c>
      <c r="E4426" s="135"/>
      <c r="F4426" s="31"/>
    </row>
    <row r="4427">
      <c r="A4427" s="134" t="str">
        <f>IFERROR(__xludf.DUMMYFUNCTION("""COMPUTED_VALUE"""),"Lake Charles")</f>
        <v>Lake Charles</v>
      </c>
      <c r="B4427" s="120" t="str">
        <f>IFERROR(__xludf.DUMMYFUNCTION("""COMPUTED_VALUE"""),"LCH")</f>
        <v>LCH</v>
      </c>
      <c r="C4427" s="120" t="str">
        <f>IFERROR(__xludf.DUMMYFUNCTION("""COMPUTED_VALUE"""),"Municipal")</f>
        <v>Municipal</v>
      </c>
      <c r="D4427" s="120" t="str">
        <f>IFERROR(__xludf.DUMMYFUNCTION("""COMPUTED_VALUE"""),"United States")</f>
        <v>United States</v>
      </c>
      <c r="E4427" s="135"/>
      <c r="F4427" s="31"/>
    </row>
    <row r="4428">
      <c r="A4428" s="134" t="str">
        <f>IFERROR(__xludf.DUMMYFUNCTION("""COMPUTED_VALUE"""),"Lake Evella")</f>
        <v>Lake Evella</v>
      </c>
      <c r="B4428" s="120" t="str">
        <f>IFERROR(__xludf.DUMMYFUNCTION("""COMPUTED_VALUE"""),"LEL")</f>
        <v>LEL</v>
      </c>
      <c r="C4428" s="120" t="str">
        <f>IFERROR(__xludf.DUMMYFUNCTION("""COMPUTED_VALUE"""),"Lake Evella")</f>
        <v>Lake Evella</v>
      </c>
      <c r="D4428" s="120" t="str">
        <f>IFERROR(__xludf.DUMMYFUNCTION("""COMPUTED_VALUE"""),"Australia")</f>
        <v>Australia</v>
      </c>
      <c r="E4428" s="135"/>
      <c r="F4428" s="31"/>
    </row>
    <row r="4429">
      <c r="A4429" s="134" t="str">
        <f>IFERROR(__xludf.DUMMYFUNCTION("""COMPUTED_VALUE"""),"Lake Geneva")</f>
        <v>Lake Geneva</v>
      </c>
      <c r="B4429" s="120" t="str">
        <f>IFERROR(__xludf.DUMMYFUNCTION("""COMPUTED_VALUE"""),"XES")</f>
        <v>XES</v>
      </c>
      <c r="C4429" s="120" t="str">
        <f>IFERROR(__xludf.DUMMYFUNCTION("""COMPUTED_VALUE"""),"Municipal")</f>
        <v>Municipal</v>
      </c>
      <c r="D4429" s="120" t="str">
        <f>IFERROR(__xludf.DUMMYFUNCTION("""COMPUTED_VALUE"""),"United States")</f>
        <v>United States</v>
      </c>
      <c r="E4429" s="135"/>
      <c r="F4429" s="31"/>
    </row>
    <row r="4430">
      <c r="A4430" s="134" t="str">
        <f>IFERROR(__xludf.DUMMYFUNCTION("""COMPUTED_VALUE"""),"Lake Gregory")</f>
        <v>Lake Gregory</v>
      </c>
      <c r="B4430" s="120" t="str">
        <f>IFERROR(__xludf.DUMMYFUNCTION("""COMPUTED_VALUE"""),"LGE")</f>
        <v>LGE</v>
      </c>
      <c r="C4430" s="120" t="str">
        <f>IFERROR(__xludf.DUMMYFUNCTION("""COMPUTED_VALUE"""),"Lake Gregory")</f>
        <v>Lake Gregory</v>
      </c>
      <c r="D4430" s="120" t="str">
        <f>IFERROR(__xludf.DUMMYFUNCTION("""COMPUTED_VALUE"""),"Australia")</f>
        <v>Australia</v>
      </c>
      <c r="E4430" s="135"/>
      <c r="F4430" s="31"/>
    </row>
    <row r="4431">
      <c r="A4431" s="134" t="str">
        <f>IFERROR(__xludf.DUMMYFUNCTION("""COMPUTED_VALUE"""),"Lake Havasu City")</f>
        <v>Lake Havasu City</v>
      </c>
      <c r="B4431" s="120" t="str">
        <f>IFERROR(__xludf.DUMMYFUNCTION("""COMPUTED_VALUE"""),"HII")</f>
        <v>HII</v>
      </c>
      <c r="C4431" s="120" t="str">
        <f>IFERROR(__xludf.DUMMYFUNCTION("""COMPUTED_VALUE"""),"Municipal")</f>
        <v>Municipal</v>
      </c>
      <c r="D4431" s="120" t="str">
        <f>IFERROR(__xludf.DUMMYFUNCTION("""COMPUTED_VALUE"""),"United States")</f>
        <v>United States</v>
      </c>
      <c r="E4431" s="135"/>
      <c r="F4431" s="31"/>
    </row>
    <row r="4432">
      <c r="A4432" s="134" t="str">
        <f>IFERROR(__xludf.DUMMYFUNCTION("""COMPUTED_VALUE"""),"Lake Jackson")</f>
        <v>Lake Jackson</v>
      </c>
      <c r="B4432" s="120" t="str">
        <f>IFERROR(__xludf.DUMMYFUNCTION("""COMPUTED_VALUE"""),"LJN")</f>
        <v>LJN</v>
      </c>
      <c r="C4432" s="120" t="str">
        <f>IFERROR(__xludf.DUMMYFUNCTION("""COMPUTED_VALUE"""),"Brazoria County")</f>
        <v>Brazoria County</v>
      </c>
      <c r="D4432" s="120" t="str">
        <f>IFERROR(__xludf.DUMMYFUNCTION("""COMPUTED_VALUE"""),"United States")</f>
        <v>United States</v>
      </c>
      <c r="E4432" s="135"/>
      <c r="F4432" s="31"/>
    </row>
    <row r="4433">
      <c r="A4433" s="134" t="str">
        <f>IFERROR(__xludf.DUMMYFUNCTION("""COMPUTED_VALUE"""),"Lake Manyara")</f>
        <v>Lake Manyara</v>
      </c>
      <c r="B4433" s="120" t="str">
        <f>IFERROR(__xludf.DUMMYFUNCTION("""COMPUTED_VALUE"""),"LKY")</f>
        <v>LKY</v>
      </c>
      <c r="C4433" s="120" t="str">
        <f>IFERROR(__xludf.DUMMYFUNCTION("""COMPUTED_VALUE"""),"Lake Manyara")</f>
        <v>Lake Manyara</v>
      </c>
      <c r="D4433" s="120" t="str">
        <f>IFERROR(__xludf.DUMMYFUNCTION("""COMPUTED_VALUE"""),"Tanzania")</f>
        <v>Tanzania</v>
      </c>
      <c r="E4433" s="135"/>
      <c r="F4433" s="31"/>
    </row>
    <row r="4434">
      <c r="A4434" s="134" t="str">
        <f>IFERROR(__xludf.DUMMYFUNCTION("""COMPUTED_VALUE"""),"Lake Minchumina")</f>
        <v>Lake Minchumina</v>
      </c>
      <c r="B4434" s="120" t="str">
        <f>IFERROR(__xludf.DUMMYFUNCTION("""COMPUTED_VALUE"""),"LMA")</f>
        <v>LMA</v>
      </c>
      <c r="C4434" s="120" t="str">
        <f>IFERROR(__xludf.DUMMYFUNCTION("""COMPUTED_VALUE"""),"Lake Minchumina")</f>
        <v>Lake Minchumina</v>
      </c>
      <c r="D4434" s="120" t="str">
        <f>IFERROR(__xludf.DUMMYFUNCTION("""COMPUTED_VALUE"""),"United States")</f>
        <v>United States</v>
      </c>
      <c r="E4434" s="135"/>
      <c r="F4434" s="31"/>
    </row>
    <row r="4435">
      <c r="A4435" s="134" t="str">
        <f>IFERROR(__xludf.DUMMYFUNCTION("""COMPUTED_VALUE"""),"Lake Murray")</f>
        <v>Lake Murray</v>
      </c>
      <c r="B4435" s="120" t="str">
        <f>IFERROR(__xludf.DUMMYFUNCTION("""COMPUTED_VALUE"""),"LMY")</f>
        <v>LMY</v>
      </c>
      <c r="C4435" s="120" t="str">
        <f>IFERROR(__xludf.DUMMYFUNCTION("""COMPUTED_VALUE"""),"Lake Murray")</f>
        <v>Lake Murray</v>
      </c>
      <c r="D4435" s="120" t="str">
        <f>IFERROR(__xludf.DUMMYFUNCTION("""COMPUTED_VALUE"""),"Papua New Guinea")</f>
        <v>Papua New Guinea</v>
      </c>
      <c r="E4435" s="135"/>
      <c r="F4435" s="31"/>
    </row>
    <row r="4436">
      <c r="A4436" s="134" t="str">
        <f>IFERROR(__xludf.DUMMYFUNCTION("""COMPUTED_VALUE"""),"Lake Nash")</f>
        <v>Lake Nash</v>
      </c>
      <c r="B4436" s="120" t="str">
        <f>IFERROR(__xludf.DUMMYFUNCTION("""COMPUTED_VALUE"""),"LNH")</f>
        <v>LNH</v>
      </c>
      <c r="C4436" s="120" t="str">
        <f>IFERROR(__xludf.DUMMYFUNCTION("""COMPUTED_VALUE"""),"Lake Nash")</f>
        <v>Lake Nash</v>
      </c>
      <c r="D4436" s="120" t="str">
        <f>IFERROR(__xludf.DUMMYFUNCTION("""COMPUTED_VALUE"""),"Australia")</f>
        <v>Australia</v>
      </c>
      <c r="E4436" s="135"/>
      <c r="F4436" s="31"/>
    </row>
    <row r="4437">
      <c r="A4437" s="134" t="str">
        <f>IFERROR(__xludf.DUMMYFUNCTION("""COMPUTED_VALUE"""),"Lake Placid")</f>
        <v>Lake Placid</v>
      </c>
      <c r="B4437" s="120" t="str">
        <f>IFERROR(__xludf.DUMMYFUNCTION("""COMPUTED_VALUE"""),"LKP")</f>
        <v>LKP</v>
      </c>
      <c r="C4437" s="120" t="str">
        <f>IFERROR(__xludf.DUMMYFUNCTION("""COMPUTED_VALUE"""),"Lake Placid")</f>
        <v>Lake Placid</v>
      </c>
      <c r="D4437" s="120" t="str">
        <f>IFERROR(__xludf.DUMMYFUNCTION("""COMPUTED_VALUE"""),"United States")</f>
        <v>United States</v>
      </c>
      <c r="E4437" s="135"/>
      <c r="F4437" s="31"/>
    </row>
    <row r="4438">
      <c r="A4438" s="134" t="str">
        <f>IFERROR(__xludf.DUMMYFUNCTION("""COMPUTED_VALUE"""),"Lake Rudolf")</f>
        <v>Lake Rudolf</v>
      </c>
      <c r="B4438" s="120" t="str">
        <f>IFERROR(__xludf.DUMMYFUNCTION("""COMPUTED_VALUE"""),"LKU")</f>
        <v>LKU</v>
      </c>
      <c r="C4438" s="120" t="str">
        <f>IFERROR(__xludf.DUMMYFUNCTION("""COMPUTED_VALUE"""),"Lake Rudolf")</f>
        <v>Lake Rudolf</v>
      </c>
      <c r="D4438" s="120" t="str">
        <f>IFERROR(__xludf.DUMMYFUNCTION("""COMPUTED_VALUE"""),"Kenya")</f>
        <v>Kenya</v>
      </c>
      <c r="E4438" s="135"/>
      <c r="F4438" s="31"/>
    </row>
    <row r="4439">
      <c r="A4439" s="134" t="str">
        <f>IFERROR(__xludf.DUMMYFUNCTION("""COMPUTED_VALUE"""),"Lakeba")</f>
        <v>Lakeba</v>
      </c>
      <c r="B4439" s="120" t="str">
        <f>IFERROR(__xludf.DUMMYFUNCTION("""COMPUTED_VALUE"""),"LKB")</f>
        <v>LKB</v>
      </c>
      <c r="C4439" s="120" t="str">
        <f>IFERROR(__xludf.DUMMYFUNCTION("""COMPUTED_VALUE"""),"Lakeba")</f>
        <v>Lakeba</v>
      </c>
      <c r="D4439" s="120" t="str">
        <f>IFERROR(__xludf.DUMMYFUNCTION("""COMPUTED_VALUE"""),"Fiji")</f>
        <v>Fiji</v>
      </c>
      <c r="E4439" s="135"/>
      <c r="F4439" s="31"/>
    </row>
    <row r="4440">
      <c r="A4440" s="134" t="str">
        <f>IFERROR(__xludf.DUMMYFUNCTION("""COMPUTED_VALUE"""),"Lakefield")</f>
        <v>Lakefield</v>
      </c>
      <c r="B4440" s="120" t="str">
        <f>IFERROR(__xludf.DUMMYFUNCTION("""COMPUTED_VALUE"""),"LFP")</f>
        <v>LFP</v>
      </c>
      <c r="C4440" s="120" t="str">
        <f>IFERROR(__xludf.DUMMYFUNCTION("""COMPUTED_VALUE"""),"Lakefield")</f>
        <v>Lakefield</v>
      </c>
      <c r="D4440" s="120" t="str">
        <f>IFERROR(__xludf.DUMMYFUNCTION("""COMPUTED_VALUE"""),"Australia")</f>
        <v>Australia</v>
      </c>
      <c r="E4440" s="135"/>
      <c r="F4440" s="31"/>
    </row>
    <row r="4441">
      <c r="A4441" s="134" t="str">
        <f>IFERROR(__xludf.DUMMYFUNCTION("""COMPUTED_VALUE"""),"Lakehurst")</f>
        <v>Lakehurst</v>
      </c>
      <c r="B4441" s="120" t="str">
        <f>IFERROR(__xludf.DUMMYFUNCTION("""COMPUTED_VALUE"""),"NEL")</f>
        <v>NEL</v>
      </c>
      <c r="C4441" s="120" t="str">
        <f>IFERROR(__xludf.DUMMYFUNCTION("""COMPUTED_VALUE"""),"Naec")</f>
        <v>Naec</v>
      </c>
      <c r="D4441" s="120" t="str">
        <f>IFERROR(__xludf.DUMMYFUNCTION("""COMPUTED_VALUE"""),"United States")</f>
        <v>United States</v>
      </c>
      <c r="E4441" s="135"/>
      <c r="F4441" s="31"/>
    </row>
    <row r="4442">
      <c r="A4442" s="134" t="str">
        <f>IFERROR(__xludf.DUMMYFUNCTION("""COMPUTED_VALUE"""),"Lakeland")</f>
        <v>Lakeland</v>
      </c>
      <c r="B4442" s="120" t="str">
        <f>IFERROR(__xludf.DUMMYFUNCTION("""COMPUTED_VALUE"""),"LAL")</f>
        <v>LAL</v>
      </c>
      <c r="C4442" s="120" t="str">
        <f>IFERROR(__xludf.DUMMYFUNCTION("""COMPUTED_VALUE"""),"Municipal")</f>
        <v>Municipal</v>
      </c>
      <c r="D4442" s="120" t="str">
        <f>IFERROR(__xludf.DUMMYFUNCTION("""COMPUTED_VALUE"""),"United States")</f>
        <v>United States</v>
      </c>
      <c r="E4442" s="135"/>
      <c r="F4442" s="31"/>
    </row>
    <row r="4443">
      <c r="A4443" s="134" t="str">
        <f>IFERROR(__xludf.DUMMYFUNCTION("""COMPUTED_VALUE"""),"Lakeland Downs")</f>
        <v>Lakeland Downs</v>
      </c>
      <c r="B4443" s="120" t="str">
        <f>IFERROR(__xludf.DUMMYFUNCTION("""COMPUTED_VALUE"""),"LKD")</f>
        <v>LKD</v>
      </c>
      <c r="C4443" s="120" t="str">
        <f>IFERROR(__xludf.DUMMYFUNCTION("""COMPUTED_VALUE"""),"Lakeland Downs")</f>
        <v>Lakeland Downs</v>
      </c>
      <c r="D4443" s="120" t="str">
        <f>IFERROR(__xludf.DUMMYFUNCTION("""COMPUTED_VALUE"""),"Australia")</f>
        <v>Australia</v>
      </c>
      <c r="E4443" s="135"/>
      <c r="F4443" s="31"/>
    </row>
    <row r="4444">
      <c r="A4444" s="134" t="str">
        <f>IFERROR(__xludf.DUMMYFUNCTION("""COMPUTED_VALUE"""),"Lakeside")</f>
        <v>Lakeside</v>
      </c>
      <c r="B4444" s="120" t="str">
        <f>IFERROR(__xludf.DUMMYFUNCTION("""COMPUTED_VALUE"""),"LKS")</f>
        <v>LKS</v>
      </c>
      <c r="C4444" s="120" t="str">
        <f>IFERROR(__xludf.DUMMYFUNCTION("""COMPUTED_VALUE"""),"Lakeside")</f>
        <v>Lakeside</v>
      </c>
      <c r="D4444" s="120" t="str">
        <f>IFERROR(__xludf.DUMMYFUNCTION("""COMPUTED_VALUE"""),"United States")</f>
        <v>United States</v>
      </c>
      <c r="E4444" s="135"/>
      <c r="F4444" s="31"/>
    </row>
    <row r="4445">
      <c r="A4445" s="134" t="str">
        <f>IFERROR(__xludf.DUMMYFUNCTION("""COMPUTED_VALUE"""),"Lakeview")</f>
        <v>Lakeview</v>
      </c>
      <c r="B4445" s="120" t="str">
        <f>IFERROR(__xludf.DUMMYFUNCTION("""COMPUTED_VALUE"""),"LKV")</f>
        <v>LKV</v>
      </c>
      <c r="C4445" s="120" t="str">
        <f>IFERROR(__xludf.DUMMYFUNCTION("""COMPUTED_VALUE"""),"Lake County")</f>
        <v>Lake County</v>
      </c>
      <c r="D4445" s="120" t="str">
        <f>IFERROR(__xludf.DUMMYFUNCTION("""COMPUTED_VALUE"""),"United States")</f>
        <v>United States</v>
      </c>
      <c r="E4445" s="135"/>
      <c r="F4445" s="31"/>
    </row>
    <row r="4446">
      <c r="A4446" s="134" t="str">
        <f>IFERROR(__xludf.DUMMYFUNCTION("""COMPUTED_VALUE"""),"Lakota")</f>
        <v>Lakota</v>
      </c>
      <c r="B4446" s="120" t="str">
        <f>IFERROR(__xludf.DUMMYFUNCTION("""COMPUTED_VALUE"""),"LKT")</f>
        <v>LKT</v>
      </c>
      <c r="C4446" s="120" t="str">
        <f>IFERROR(__xludf.DUMMYFUNCTION("""COMPUTED_VALUE"""),"Lakota")</f>
        <v>Lakota</v>
      </c>
      <c r="D4446" s="120" t="str">
        <f>IFERROR(__xludf.DUMMYFUNCTION("""COMPUTED_VALUE"""),"Cote D'Ivoire (Ivory Coast)")</f>
        <v>Cote D'Ivoire (Ivory Coast)</v>
      </c>
      <c r="E4446" s="135"/>
      <c r="F4446" s="31"/>
    </row>
    <row r="4447">
      <c r="A4447" s="134" t="str">
        <f>IFERROR(__xludf.DUMMYFUNCTION("""COMPUTED_VALUE"""),"Lakselv")</f>
        <v>Lakselv</v>
      </c>
      <c r="B4447" s="120" t="str">
        <f>IFERROR(__xludf.DUMMYFUNCTION("""COMPUTED_VALUE"""),"LKL")</f>
        <v>LKL</v>
      </c>
      <c r="C4447" s="120" t="str">
        <f>IFERROR(__xludf.DUMMYFUNCTION("""COMPUTED_VALUE"""),"Banak")</f>
        <v>Banak</v>
      </c>
      <c r="D4447" s="120" t="str">
        <f>IFERROR(__xludf.DUMMYFUNCTION("""COMPUTED_VALUE"""),"Norway")</f>
        <v>Norway</v>
      </c>
      <c r="E4447" s="135"/>
      <c r="F4447" s="31"/>
    </row>
    <row r="4448">
      <c r="A4448" s="134" t="str">
        <f>IFERROR(__xludf.DUMMYFUNCTION("""COMPUTED_VALUE"""),"Lalibela")</f>
        <v>Lalibela</v>
      </c>
      <c r="B4448" s="120" t="str">
        <f>IFERROR(__xludf.DUMMYFUNCTION("""COMPUTED_VALUE"""),"LLI")</f>
        <v>LLI</v>
      </c>
      <c r="C4448" s="120" t="str">
        <f>IFERROR(__xludf.DUMMYFUNCTION("""COMPUTED_VALUE"""),"Lalibela")</f>
        <v>Lalibela</v>
      </c>
      <c r="D4448" s="120" t="str">
        <f>IFERROR(__xludf.DUMMYFUNCTION("""COMPUTED_VALUE"""),"Ethiopia")</f>
        <v>Ethiopia</v>
      </c>
      <c r="E4448" s="135"/>
      <c r="F4448" s="31"/>
    </row>
    <row r="4449">
      <c r="A4449" s="134" t="str">
        <f>IFERROR(__xludf.DUMMYFUNCTION("""COMPUTED_VALUE"""),"Lalomalava")</f>
        <v>Lalomalava</v>
      </c>
      <c r="B4449" s="120" t="str">
        <f>IFERROR(__xludf.DUMMYFUNCTION("""COMPUTED_VALUE"""),"LAV")</f>
        <v>LAV</v>
      </c>
      <c r="C4449" s="120" t="str">
        <f>IFERROR(__xludf.DUMMYFUNCTION("""COMPUTED_VALUE"""),"Lalomalava")</f>
        <v>Lalomalava</v>
      </c>
      <c r="D4449" s="120" t="str">
        <f>IFERROR(__xludf.DUMMYFUNCTION("""COMPUTED_VALUE"""),"Samoa")</f>
        <v>Samoa</v>
      </c>
      <c r="E4449" s="135"/>
      <c r="F4449" s="31"/>
    </row>
    <row r="4450">
      <c r="A4450" s="134" t="str">
        <f>IFERROR(__xludf.DUMMYFUNCTION("""COMPUTED_VALUE"""),"Lamacarena")</f>
        <v>Lamacarena</v>
      </c>
      <c r="B4450" s="120" t="str">
        <f>IFERROR(__xludf.DUMMYFUNCTION("""COMPUTED_VALUE"""),"LMC")</f>
        <v>LMC</v>
      </c>
      <c r="C4450" s="120" t="str">
        <f>IFERROR(__xludf.DUMMYFUNCTION("""COMPUTED_VALUE"""),"Lamacarena")</f>
        <v>Lamacarena</v>
      </c>
      <c r="D4450" s="120" t="str">
        <f>IFERROR(__xludf.DUMMYFUNCTION("""COMPUTED_VALUE"""),"Colombia")</f>
        <v>Colombia</v>
      </c>
      <c r="E4450" s="135"/>
      <c r="F4450" s="31"/>
    </row>
    <row r="4451">
      <c r="A4451" s="134" t="str">
        <f>IFERROR(__xludf.DUMMYFUNCTION("""COMPUTED_VALUE"""),"Lamap")</f>
        <v>Lamap</v>
      </c>
      <c r="B4451" s="120" t="str">
        <f>IFERROR(__xludf.DUMMYFUNCTION("""COMPUTED_VALUE"""),"LPM")</f>
        <v>LPM</v>
      </c>
      <c r="C4451" s="120" t="str">
        <f>IFERROR(__xludf.DUMMYFUNCTION("""COMPUTED_VALUE"""),"Lamap")</f>
        <v>Lamap</v>
      </c>
      <c r="D4451" s="120" t="str">
        <f>IFERROR(__xludf.DUMMYFUNCTION("""COMPUTED_VALUE"""),"Vanuatu")</f>
        <v>Vanuatu</v>
      </c>
      <c r="E4451" s="135"/>
      <c r="F4451" s="31"/>
    </row>
    <row r="4452">
      <c r="A4452" s="134" t="str">
        <f>IFERROR(__xludf.DUMMYFUNCTION("""COMPUTED_VALUE"""),"Lamar")</f>
        <v>Lamar</v>
      </c>
      <c r="B4452" s="120" t="str">
        <f>IFERROR(__xludf.DUMMYFUNCTION("""COMPUTED_VALUE"""),"LAA")</f>
        <v>LAA</v>
      </c>
      <c r="C4452" s="120" t="str">
        <f>IFERROR(__xludf.DUMMYFUNCTION("""COMPUTED_VALUE"""),"Lamar Field")</f>
        <v>Lamar Field</v>
      </c>
      <c r="D4452" s="120" t="str">
        <f>IFERROR(__xludf.DUMMYFUNCTION("""COMPUTED_VALUE"""),"United States")</f>
        <v>United States</v>
      </c>
      <c r="E4452" s="135"/>
      <c r="F4452" s="31"/>
    </row>
    <row r="4453">
      <c r="A4453" s="134" t="str">
        <f>IFERROR(__xludf.DUMMYFUNCTION("""COMPUTED_VALUE"""),"Lamassa")</f>
        <v>Lamassa</v>
      </c>
      <c r="B4453" s="120" t="str">
        <f>IFERROR(__xludf.DUMMYFUNCTION("""COMPUTED_VALUE"""),"LMG")</f>
        <v>LMG</v>
      </c>
      <c r="C4453" s="120" t="str">
        <f>IFERROR(__xludf.DUMMYFUNCTION("""COMPUTED_VALUE"""),"Lamassa")</f>
        <v>Lamassa</v>
      </c>
      <c r="D4453" s="120" t="str">
        <f>IFERROR(__xludf.DUMMYFUNCTION("""COMPUTED_VALUE"""),"Papua New Guinea")</f>
        <v>Papua New Guinea</v>
      </c>
      <c r="E4453" s="135"/>
      <c r="F4453" s="31"/>
    </row>
    <row r="4454">
      <c r="A4454" s="134" t="str">
        <f>IFERROR(__xludf.DUMMYFUNCTION("""COMPUTED_VALUE"""),"Lambarene")</f>
        <v>Lambarene</v>
      </c>
      <c r="B4454" s="120" t="str">
        <f>IFERROR(__xludf.DUMMYFUNCTION("""COMPUTED_VALUE"""),"LBQ")</f>
        <v>LBQ</v>
      </c>
      <c r="C4454" s="120" t="str">
        <f>IFERROR(__xludf.DUMMYFUNCTION("""COMPUTED_VALUE"""),"Lambarene")</f>
        <v>Lambarene</v>
      </c>
      <c r="D4454" s="120" t="str">
        <f>IFERROR(__xludf.DUMMYFUNCTION("""COMPUTED_VALUE"""),"Gabon")</f>
        <v>Gabon</v>
      </c>
      <c r="E4454" s="135"/>
      <c r="F4454" s="31"/>
    </row>
    <row r="4455">
      <c r="A4455" s="134" t="str">
        <f>IFERROR(__xludf.DUMMYFUNCTION("""COMPUTED_VALUE"""),"Lamen Bay")</f>
        <v>Lamen Bay</v>
      </c>
      <c r="B4455" s="120" t="str">
        <f>IFERROR(__xludf.DUMMYFUNCTION("""COMPUTED_VALUE"""),"LNB")</f>
        <v>LNB</v>
      </c>
      <c r="C4455" s="120" t="str">
        <f>IFERROR(__xludf.DUMMYFUNCTION("""COMPUTED_VALUE"""),"Lamen Bay")</f>
        <v>Lamen Bay</v>
      </c>
      <c r="D4455" s="120" t="str">
        <f>IFERROR(__xludf.DUMMYFUNCTION("""COMPUTED_VALUE"""),"Vanuatu")</f>
        <v>Vanuatu</v>
      </c>
      <c r="E4455" s="135"/>
      <c r="F4455" s="31"/>
    </row>
    <row r="4456">
      <c r="A4456" s="134" t="str">
        <f>IFERROR(__xludf.DUMMYFUNCTION("""COMPUTED_VALUE"""),"Lamerd")</f>
        <v>Lamerd</v>
      </c>
      <c r="B4456" s="120" t="str">
        <f>IFERROR(__xludf.DUMMYFUNCTION("""COMPUTED_VALUE"""),"LFM")</f>
        <v>LFM</v>
      </c>
      <c r="C4456" s="120" t="str">
        <f>IFERROR(__xludf.DUMMYFUNCTION("""COMPUTED_VALUE"""),"Lamerd")</f>
        <v>Lamerd</v>
      </c>
      <c r="D4456" s="120" t="str">
        <f>IFERROR(__xludf.DUMMYFUNCTION("""COMPUTED_VALUE"""),"Iran")</f>
        <v>Iran</v>
      </c>
      <c r="E4456" s="135"/>
      <c r="F4456" s="31"/>
    </row>
    <row r="4457">
      <c r="A4457" s="134" t="str">
        <f>IFERROR(__xludf.DUMMYFUNCTION("""COMPUTED_VALUE"""),"Lamezia-terme")</f>
        <v>Lamezia-terme</v>
      </c>
      <c r="B4457" s="120" t="str">
        <f>IFERROR(__xludf.DUMMYFUNCTION("""COMPUTED_VALUE"""),"SUF")</f>
        <v>SUF</v>
      </c>
      <c r="C4457" s="120" t="str">
        <f>IFERROR(__xludf.DUMMYFUNCTION("""COMPUTED_VALUE"""),"S Eufemia")</f>
        <v>S Eufemia</v>
      </c>
      <c r="D4457" s="120" t="str">
        <f>IFERROR(__xludf.DUMMYFUNCTION("""COMPUTED_VALUE"""),"Italy")</f>
        <v>Italy</v>
      </c>
      <c r="E4457" s="135"/>
      <c r="F4457" s="31"/>
    </row>
    <row r="4458">
      <c r="A4458" s="134" t="str">
        <f>IFERROR(__xludf.DUMMYFUNCTION("""COMPUTED_VALUE"""),"Lamidanda")</f>
        <v>Lamidanda</v>
      </c>
      <c r="B4458" s="120" t="str">
        <f>IFERROR(__xludf.DUMMYFUNCTION("""COMPUTED_VALUE"""),"LDN")</f>
        <v>LDN</v>
      </c>
      <c r="C4458" s="120" t="str">
        <f>IFERROR(__xludf.DUMMYFUNCTION("""COMPUTED_VALUE"""),"Lamidanda")</f>
        <v>Lamidanda</v>
      </c>
      <c r="D4458" s="120" t="str">
        <f>IFERROR(__xludf.DUMMYFUNCTION("""COMPUTED_VALUE"""),"Nepal")</f>
        <v>Nepal</v>
      </c>
      <c r="E4458" s="135"/>
      <c r="F4458" s="31"/>
    </row>
    <row r="4459">
      <c r="A4459" s="134" t="str">
        <f>IFERROR(__xludf.DUMMYFUNCTION("""COMPUTED_VALUE"""),"Lampang")</f>
        <v>Lampang</v>
      </c>
      <c r="B4459" s="120" t="str">
        <f>IFERROR(__xludf.DUMMYFUNCTION("""COMPUTED_VALUE"""),"LPT")</f>
        <v>LPT</v>
      </c>
      <c r="C4459" s="120" t="str">
        <f>IFERROR(__xludf.DUMMYFUNCTION("""COMPUTED_VALUE"""),"Lampang")</f>
        <v>Lampang</v>
      </c>
      <c r="D4459" s="120" t="str">
        <f>IFERROR(__xludf.DUMMYFUNCTION("""COMPUTED_VALUE"""),"Thailand")</f>
        <v>Thailand</v>
      </c>
      <c r="E4459" s="135"/>
      <c r="F4459" s="31"/>
    </row>
    <row r="4460">
      <c r="A4460" s="134" t="str">
        <f>IFERROR(__xludf.DUMMYFUNCTION("""COMPUTED_VALUE"""),"Lampedusa")</f>
        <v>Lampedusa</v>
      </c>
      <c r="B4460" s="120" t="str">
        <f>IFERROR(__xludf.DUMMYFUNCTION("""COMPUTED_VALUE"""),"LMP")</f>
        <v>LMP</v>
      </c>
      <c r="C4460" s="120" t="str">
        <f>IFERROR(__xludf.DUMMYFUNCTION("""COMPUTED_VALUE"""),"Lampedusa")</f>
        <v>Lampedusa</v>
      </c>
      <c r="D4460" s="120" t="str">
        <f>IFERROR(__xludf.DUMMYFUNCTION("""COMPUTED_VALUE"""),"Italy")</f>
        <v>Italy</v>
      </c>
      <c r="E4460" s="135"/>
      <c r="F4460" s="31"/>
    </row>
    <row r="4461">
      <c r="A4461" s="134" t="str">
        <f>IFERROR(__xludf.DUMMYFUNCTION("""COMPUTED_VALUE"""),"Lamu")</f>
        <v>Lamu</v>
      </c>
      <c r="B4461" s="120" t="str">
        <f>IFERROR(__xludf.DUMMYFUNCTION("""COMPUTED_VALUE"""),"LAU")</f>
        <v>LAU</v>
      </c>
      <c r="C4461" s="120" t="str">
        <f>IFERROR(__xludf.DUMMYFUNCTION("""COMPUTED_VALUE"""),"Lamu")</f>
        <v>Lamu</v>
      </c>
      <c r="D4461" s="120" t="str">
        <f>IFERROR(__xludf.DUMMYFUNCTION("""COMPUTED_VALUE"""),"Kenya")</f>
        <v>Kenya</v>
      </c>
      <c r="E4461" s="135"/>
      <c r="F4461" s="31"/>
    </row>
    <row r="4462">
      <c r="A4462" s="134" t="str">
        <f>IFERROR(__xludf.DUMMYFUNCTION("""COMPUTED_VALUE"""),"Lanai City")</f>
        <v>Lanai City</v>
      </c>
      <c r="B4462" s="120" t="str">
        <f>IFERROR(__xludf.DUMMYFUNCTION("""COMPUTED_VALUE"""),"LNY")</f>
        <v>LNY</v>
      </c>
      <c r="C4462" s="120" t="str">
        <f>IFERROR(__xludf.DUMMYFUNCTION("""COMPUTED_VALUE"""),"Lanai City")</f>
        <v>Lanai City</v>
      </c>
      <c r="D4462" s="120" t="str">
        <f>IFERROR(__xludf.DUMMYFUNCTION("""COMPUTED_VALUE"""),"United States")</f>
        <v>United States</v>
      </c>
      <c r="E4462" s="135"/>
      <c r="F4462" s="31"/>
    </row>
    <row r="4463">
      <c r="A4463" s="134" t="str">
        <f>IFERROR(__xludf.DUMMYFUNCTION("""COMPUTED_VALUE"""),"Lancaster")</f>
        <v>Lancaster</v>
      </c>
      <c r="B4463" s="120" t="str">
        <f>IFERROR(__xludf.DUMMYFUNCTION("""COMPUTED_VALUE"""),"RZH")</f>
        <v>RZH</v>
      </c>
      <c r="C4463" s="120" t="str">
        <f>IFERROR(__xludf.DUMMYFUNCTION("""COMPUTED_VALUE"""),"Quartz Hill")</f>
        <v>Quartz Hill</v>
      </c>
      <c r="D4463" s="120" t="str">
        <f>IFERROR(__xludf.DUMMYFUNCTION("""COMPUTED_VALUE"""),"United States")</f>
        <v>United States</v>
      </c>
      <c r="E4463" s="135"/>
      <c r="F4463" s="31"/>
    </row>
    <row r="4464">
      <c r="A4464" s="134" t="str">
        <f>IFERROR(__xludf.DUMMYFUNCTION("""COMPUTED_VALUE"""),"Lancaster")</f>
        <v>Lancaster</v>
      </c>
      <c r="B4464" s="120" t="str">
        <f>IFERROR(__xludf.DUMMYFUNCTION("""COMPUTED_VALUE"""),"WJF")</f>
        <v>WJF</v>
      </c>
      <c r="C4464" s="120" t="str">
        <f>IFERROR(__xludf.DUMMYFUNCTION("""COMPUTED_VALUE"""),"William J Fox")</f>
        <v>William J Fox</v>
      </c>
      <c r="D4464" s="120" t="str">
        <f>IFERROR(__xludf.DUMMYFUNCTION("""COMPUTED_VALUE"""),"United States")</f>
        <v>United States</v>
      </c>
      <c r="E4464" s="135"/>
      <c r="F4464" s="31"/>
    </row>
    <row r="4465">
      <c r="A4465" s="134" t="str">
        <f>IFERROR(__xludf.DUMMYFUNCTION("""COMPUTED_VALUE"""),"Lancaster")</f>
        <v>Lancaster</v>
      </c>
      <c r="B4465" s="120" t="str">
        <f>IFERROR(__xludf.DUMMYFUNCTION("""COMPUTED_VALUE"""),"LNS")</f>
        <v>LNS</v>
      </c>
      <c r="C4465" s="120" t="str">
        <f>IFERROR(__xludf.DUMMYFUNCTION("""COMPUTED_VALUE"""),"Lancaster")</f>
        <v>Lancaster</v>
      </c>
      <c r="D4465" s="120" t="str">
        <f>IFERROR(__xludf.DUMMYFUNCTION("""COMPUTED_VALUE"""),"United States")</f>
        <v>United States</v>
      </c>
      <c r="E4465" s="135"/>
      <c r="F4465" s="31"/>
    </row>
    <row r="4466">
      <c r="A4466" s="134" t="str">
        <f>IFERROR(__xludf.DUMMYFUNCTION("""COMPUTED_VALUE"""),"Lancaster")</f>
        <v>Lancaster</v>
      </c>
      <c r="B4466" s="120" t="str">
        <f>IFERROR(__xludf.DUMMYFUNCTION("""COMPUTED_VALUE"""),"ZRL")</f>
        <v>ZRL</v>
      </c>
      <c r="C4466" s="120" t="str">
        <f>IFERROR(__xludf.DUMMYFUNCTION("""COMPUTED_VALUE"""),"Lancaster PA Rail")</f>
        <v>Lancaster PA Rail</v>
      </c>
      <c r="D4466" s="120" t="str">
        <f>IFERROR(__xludf.DUMMYFUNCTION("""COMPUTED_VALUE"""),"United States")</f>
        <v>United States</v>
      </c>
      <c r="E4466" s="135"/>
      <c r="F4466" s="31"/>
    </row>
    <row r="4467">
      <c r="A4467" s="134" t="str">
        <f>IFERROR(__xludf.DUMMYFUNCTION("""COMPUTED_VALUE"""),"Lander")</f>
        <v>Lander</v>
      </c>
      <c r="B4467" s="120" t="str">
        <f>IFERROR(__xludf.DUMMYFUNCTION("""COMPUTED_VALUE"""),"LND")</f>
        <v>LND</v>
      </c>
      <c r="C4467" s="120" t="str">
        <f>IFERROR(__xludf.DUMMYFUNCTION("""COMPUTED_VALUE"""),"Hunt Field")</f>
        <v>Hunt Field</v>
      </c>
      <c r="D4467" s="120" t="str">
        <f>IFERROR(__xludf.DUMMYFUNCTION("""COMPUTED_VALUE"""),"United States")</f>
        <v>United States</v>
      </c>
      <c r="E4467" s="135"/>
      <c r="F4467" s="31"/>
    </row>
    <row r="4468">
      <c r="A4468" s="134" t="str">
        <f>IFERROR(__xludf.DUMMYFUNCTION("""COMPUTED_VALUE"""),"Landivisiau")</f>
        <v>Landivisiau</v>
      </c>
      <c r="B4468" s="120" t="str">
        <f>IFERROR(__xludf.DUMMYFUNCTION("""COMPUTED_VALUE"""),"LDV")</f>
        <v>LDV</v>
      </c>
      <c r="C4468" s="120" t="str">
        <f>IFERROR(__xludf.DUMMYFUNCTION("""COMPUTED_VALUE"""),"Landivisiau")</f>
        <v>Landivisiau</v>
      </c>
      <c r="D4468" s="120" t="str">
        <f>IFERROR(__xludf.DUMMYFUNCTION("""COMPUTED_VALUE"""),"France")</f>
        <v>France</v>
      </c>
      <c r="E4468" s="135"/>
      <c r="F4468" s="31"/>
    </row>
    <row r="4469">
      <c r="A4469" s="134" t="str">
        <f>IFERROR(__xludf.DUMMYFUNCTION("""COMPUTED_VALUE"""),"Lands End")</f>
        <v>Lands End</v>
      </c>
      <c r="B4469" s="120" t="str">
        <f>IFERROR(__xludf.DUMMYFUNCTION("""COMPUTED_VALUE"""),"LEQ")</f>
        <v>LEQ</v>
      </c>
      <c r="C4469" s="120" t="str">
        <f>IFERROR(__xludf.DUMMYFUNCTION("""COMPUTED_VALUE"""),"Lands End")</f>
        <v>Lands End</v>
      </c>
      <c r="D4469" s="120" t="str">
        <f>IFERROR(__xludf.DUMMYFUNCTION("""COMPUTED_VALUE"""),"United Kingdom")</f>
        <v>United Kingdom</v>
      </c>
      <c r="E4469" s="135"/>
      <c r="F4469" s="31"/>
    </row>
    <row r="4470">
      <c r="A4470" s="134" t="str">
        <f>IFERROR(__xludf.DUMMYFUNCTION("""COMPUTED_VALUE"""),"Landskrona")</f>
        <v>Landskrona</v>
      </c>
      <c r="B4470" s="120" t="str">
        <f>IFERROR(__xludf.DUMMYFUNCTION("""COMPUTED_VALUE"""),"JLD")</f>
        <v>JLD</v>
      </c>
      <c r="C4470" s="120" t="str">
        <f>IFERROR(__xludf.DUMMYFUNCTION("""COMPUTED_VALUE"""),"Heliport")</f>
        <v>Heliport</v>
      </c>
      <c r="D4470" s="120" t="str">
        <f>IFERROR(__xludf.DUMMYFUNCTION("""COMPUTED_VALUE"""),"Sweden")</f>
        <v>Sweden</v>
      </c>
      <c r="E4470" s="135"/>
      <c r="F4470" s="31"/>
    </row>
    <row r="4471">
      <c r="A4471" s="134" t="str">
        <f>IFERROR(__xludf.DUMMYFUNCTION("""COMPUTED_VALUE"""),"Langara")</f>
        <v>Langara</v>
      </c>
      <c r="B4471" s="120" t="str">
        <f>IFERROR(__xludf.DUMMYFUNCTION("""COMPUTED_VALUE"""),"YLA")</f>
        <v>YLA</v>
      </c>
      <c r="C4471" s="120" t="str">
        <f>IFERROR(__xludf.DUMMYFUNCTION("""COMPUTED_VALUE"""),"Langara")</f>
        <v>Langara</v>
      </c>
      <c r="D4471" s="120" t="str">
        <f>IFERROR(__xludf.DUMMYFUNCTION("""COMPUTED_VALUE"""),"Canada")</f>
        <v>Canada</v>
      </c>
      <c r="E4471" s="135"/>
      <c r="F4471" s="31"/>
    </row>
    <row r="4472">
      <c r="A4472" s="134" t="str">
        <f>IFERROR(__xludf.DUMMYFUNCTION("""COMPUTED_VALUE"""),"Langeoog")</f>
        <v>Langeoog</v>
      </c>
      <c r="B4472" s="120" t="str">
        <f>IFERROR(__xludf.DUMMYFUNCTION("""COMPUTED_VALUE"""),"LGO")</f>
        <v>LGO</v>
      </c>
      <c r="C4472" s="120" t="str">
        <f>IFERROR(__xludf.DUMMYFUNCTION("""COMPUTED_VALUE"""),"Langeoog")</f>
        <v>Langeoog</v>
      </c>
      <c r="D4472" s="120" t="str">
        <f>IFERROR(__xludf.DUMMYFUNCTION("""COMPUTED_VALUE"""),"Germany")</f>
        <v>Germany</v>
      </c>
      <c r="E4472" s="135"/>
      <c r="F4472" s="31"/>
    </row>
    <row r="4473">
      <c r="A4473" s="134" t="str">
        <f>IFERROR(__xludf.DUMMYFUNCTION("""COMPUTED_VALUE"""),"Langgur")</f>
        <v>Langgur</v>
      </c>
      <c r="B4473" s="120" t="str">
        <f>IFERROR(__xludf.DUMMYFUNCTION("""COMPUTED_VALUE"""),"LUV")</f>
        <v>LUV</v>
      </c>
      <c r="C4473" s="120" t="str">
        <f>IFERROR(__xludf.DUMMYFUNCTION("""COMPUTED_VALUE"""),"Langgur")</f>
        <v>Langgur</v>
      </c>
      <c r="D4473" s="120" t="str">
        <f>IFERROR(__xludf.DUMMYFUNCTION("""COMPUTED_VALUE"""),"Indonesia")</f>
        <v>Indonesia</v>
      </c>
      <c r="E4473" s="135"/>
      <c r="F4473" s="31"/>
    </row>
    <row r="4474">
      <c r="A4474" s="134" t="str">
        <f>IFERROR(__xludf.DUMMYFUNCTION("""COMPUTED_VALUE"""),"Langimar")</f>
        <v>Langimar</v>
      </c>
      <c r="B4474" s="120" t="str">
        <f>IFERROR(__xludf.DUMMYFUNCTION("""COMPUTED_VALUE"""),"LNM")</f>
        <v>LNM</v>
      </c>
      <c r="C4474" s="120" t="str">
        <f>IFERROR(__xludf.DUMMYFUNCTION("""COMPUTED_VALUE"""),"Langimar")</f>
        <v>Langimar</v>
      </c>
      <c r="D4474" s="120" t="str">
        <f>IFERROR(__xludf.DUMMYFUNCTION("""COMPUTED_VALUE"""),"Papua New Guinea")</f>
        <v>Papua New Guinea</v>
      </c>
      <c r="E4474" s="135"/>
      <c r="F4474" s="31"/>
    </row>
    <row r="4475">
      <c r="A4475" s="134" t="str">
        <f>IFERROR(__xludf.DUMMYFUNCTION("""COMPUTED_VALUE"""),"Langkawi")</f>
        <v>Langkawi</v>
      </c>
      <c r="B4475" s="120" t="str">
        <f>IFERROR(__xludf.DUMMYFUNCTION("""COMPUTED_VALUE"""),"LGK")</f>
        <v>LGK</v>
      </c>
      <c r="C4475" s="120" t="str">
        <f>IFERROR(__xludf.DUMMYFUNCTION("""COMPUTED_VALUE"""),"Langkawi International Airport")</f>
        <v>Langkawi International Airport</v>
      </c>
      <c r="D4475" s="120" t="str">
        <f>IFERROR(__xludf.DUMMYFUNCTION("""COMPUTED_VALUE"""),"Malaysia")</f>
        <v>Malaysia</v>
      </c>
      <c r="E4475" s="135"/>
      <c r="F4475" s="31"/>
    </row>
    <row r="4476">
      <c r="A4476" s="134" t="str">
        <f>IFERROR(__xludf.DUMMYFUNCTION("""COMPUTED_VALUE"""),"Langley")</f>
        <v>Langley</v>
      </c>
      <c r="B4476" s="120" t="str">
        <f>IFERROR(__xludf.DUMMYFUNCTION("""COMPUTED_VALUE"""),"YLY")</f>
        <v>YLY</v>
      </c>
      <c r="C4476" s="120" t="str">
        <f>IFERROR(__xludf.DUMMYFUNCTION("""COMPUTED_VALUE"""),"Langley Regional")</f>
        <v>Langley Regional</v>
      </c>
      <c r="D4476" s="120" t="str">
        <f>IFERROR(__xludf.DUMMYFUNCTION("""COMPUTED_VALUE"""),"Canada")</f>
        <v>Canada</v>
      </c>
      <c r="E4476" s="135"/>
      <c r="F4476" s="31"/>
    </row>
    <row r="4477">
      <c r="A4477" s="134" t="str">
        <f>IFERROR(__xludf.DUMMYFUNCTION("""COMPUTED_VALUE"""),"Langtang")</f>
        <v>Langtang</v>
      </c>
      <c r="B4477" s="120" t="str">
        <f>IFERROR(__xludf.DUMMYFUNCTION("""COMPUTED_VALUE"""),"LTG")</f>
        <v>LTG</v>
      </c>
      <c r="C4477" s="120" t="str">
        <f>IFERROR(__xludf.DUMMYFUNCTION("""COMPUTED_VALUE"""),"Langtang")</f>
        <v>Langtang</v>
      </c>
      <c r="D4477" s="120" t="str">
        <f>IFERROR(__xludf.DUMMYFUNCTION("""COMPUTED_VALUE"""),"Nepal")</f>
        <v>Nepal</v>
      </c>
      <c r="E4477" s="135"/>
      <c r="F4477" s="31"/>
    </row>
    <row r="4478">
      <c r="A4478" s="134" t="str">
        <f>IFERROR(__xludf.DUMMYFUNCTION("""COMPUTED_VALUE"""),"Lannion")</f>
        <v>Lannion</v>
      </c>
      <c r="B4478" s="120" t="str">
        <f>IFERROR(__xludf.DUMMYFUNCTION("""COMPUTED_VALUE"""),"LAI")</f>
        <v>LAI</v>
      </c>
      <c r="C4478" s="120" t="str">
        <f>IFERROR(__xludf.DUMMYFUNCTION("""COMPUTED_VALUE"""),"Servel")</f>
        <v>Servel</v>
      </c>
      <c r="D4478" s="120" t="str">
        <f>IFERROR(__xludf.DUMMYFUNCTION("""COMPUTED_VALUE"""),"France")</f>
        <v>France</v>
      </c>
      <c r="E4478" s="135"/>
      <c r="F4478" s="31"/>
    </row>
    <row r="4479">
      <c r="A4479" s="134" t="str">
        <f>IFERROR(__xludf.DUMMYFUNCTION("""COMPUTED_VALUE"""),"Lansdowne")</f>
        <v>Lansdowne</v>
      </c>
      <c r="B4479" s="120" t="str">
        <f>IFERROR(__xludf.DUMMYFUNCTION("""COMPUTED_VALUE"""),"LDW")</f>
        <v>LDW</v>
      </c>
      <c r="C4479" s="120" t="str">
        <f>IFERROR(__xludf.DUMMYFUNCTION("""COMPUTED_VALUE"""),"Lansdowne")</f>
        <v>Lansdowne</v>
      </c>
      <c r="D4479" s="120" t="str">
        <f>IFERROR(__xludf.DUMMYFUNCTION("""COMPUTED_VALUE"""),"Australia")</f>
        <v>Australia</v>
      </c>
      <c r="E4479" s="135"/>
      <c r="F4479" s="31"/>
    </row>
    <row r="4480">
      <c r="A4480" s="134" t="str">
        <f>IFERROR(__xludf.DUMMYFUNCTION("""COMPUTED_VALUE"""),"Lansdowne House")</f>
        <v>Lansdowne House</v>
      </c>
      <c r="B4480" s="120" t="str">
        <f>IFERROR(__xludf.DUMMYFUNCTION("""COMPUTED_VALUE"""),"YLH")</f>
        <v>YLH</v>
      </c>
      <c r="C4480" s="120" t="str">
        <f>IFERROR(__xludf.DUMMYFUNCTION("""COMPUTED_VALUE"""),"Lansdowne House")</f>
        <v>Lansdowne House</v>
      </c>
      <c r="D4480" s="120" t="str">
        <f>IFERROR(__xludf.DUMMYFUNCTION("""COMPUTED_VALUE"""),"Canada")</f>
        <v>Canada</v>
      </c>
      <c r="E4480" s="135"/>
      <c r="F4480" s="31"/>
    </row>
    <row r="4481">
      <c r="A4481" s="134" t="str">
        <f>IFERROR(__xludf.DUMMYFUNCTION("""COMPUTED_VALUE"""),"Lanseria")</f>
        <v>Lanseria</v>
      </c>
      <c r="B4481" s="120" t="str">
        <f>IFERROR(__xludf.DUMMYFUNCTION("""COMPUTED_VALUE"""),"HLA")</f>
        <v>HLA</v>
      </c>
      <c r="C4481" s="120" t="str">
        <f>IFERROR(__xludf.DUMMYFUNCTION("""COMPUTED_VALUE"""),"Lanseria")</f>
        <v>Lanseria</v>
      </c>
      <c r="D4481" s="120" t="str">
        <f>IFERROR(__xludf.DUMMYFUNCTION("""COMPUTED_VALUE"""),"South Africa")</f>
        <v>South Africa</v>
      </c>
      <c r="E4481" s="135"/>
      <c r="F4481" s="31"/>
    </row>
    <row r="4482">
      <c r="A4482" s="134" t="str">
        <f>IFERROR(__xludf.DUMMYFUNCTION("""COMPUTED_VALUE"""),"Lansing")</f>
        <v>Lansing</v>
      </c>
      <c r="B4482" s="120" t="str">
        <f>IFERROR(__xludf.DUMMYFUNCTION("""COMPUTED_VALUE"""),"LAN")</f>
        <v>LAN</v>
      </c>
      <c r="C4482" s="120" t="str">
        <f>IFERROR(__xludf.DUMMYFUNCTION("""COMPUTED_VALUE"""),"Capital City")</f>
        <v>Capital City</v>
      </c>
      <c r="D4482" s="120" t="str">
        <f>IFERROR(__xludf.DUMMYFUNCTION("""COMPUTED_VALUE"""),"United States")</f>
        <v>United States</v>
      </c>
      <c r="E4482" s="135"/>
      <c r="F4482" s="31"/>
    </row>
    <row r="4483">
      <c r="A4483" s="134" t="str">
        <f>IFERROR(__xludf.DUMMYFUNCTION("""COMPUTED_VALUE"""),"Lanzarote")</f>
        <v>Lanzarote</v>
      </c>
      <c r="B4483" s="120" t="str">
        <f>IFERROR(__xludf.DUMMYFUNCTION("""COMPUTED_VALUE"""),"ACE")</f>
        <v>ACE</v>
      </c>
      <c r="C4483" s="120" t="str">
        <f>IFERROR(__xludf.DUMMYFUNCTION("""COMPUTED_VALUE"""),"Lanzarote")</f>
        <v>Lanzarote</v>
      </c>
      <c r="D4483" s="120" t="str">
        <f>IFERROR(__xludf.DUMMYFUNCTION("""COMPUTED_VALUE"""),"Spain")</f>
        <v>Spain</v>
      </c>
      <c r="E4483" s="135"/>
      <c r="F4483" s="31"/>
    </row>
    <row r="4484">
      <c r="A4484" s="134" t="str">
        <f>IFERROR(__xludf.DUMMYFUNCTION("""COMPUTED_VALUE"""),"Lanzhou")</f>
        <v>Lanzhou</v>
      </c>
      <c r="B4484" s="120" t="str">
        <f>IFERROR(__xludf.DUMMYFUNCTION("""COMPUTED_VALUE"""),"LHW")</f>
        <v>LHW</v>
      </c>
      <c r="C4484" s="120" t="str">
        <f>IFERROR(__xludf.DUMMYFUNCTION("""COMPUTED_VALUE"""),"Lanzhou Airport")</f>
        <v>Lanzhou Airport</v>
      </c>
      <c r="D4484" s="120" t="str">
        <f>IFERROR(__xludf.DUMMYFUNCTION("""COMPUTED_VALUE"""),"China")</f>
        <v>China</v>
      </c>
      <c r="E4484" s="135"/>
      <c r="F4484" s="31"/>
    </row>
    <row r="4485">
      <c r="A4485" s="134" t="str">
        <f>IFERROR(__xludf.DUMMYFUNCTION("""COMPUTED_VALUE"""),"Lanzhou")</f>
        <v>Lanzhou</v>
      </c>
      <c r="B4485" s="120" t="str">
        <f>IFERROR(__xludf.DUMMYFUNCTION("""COMPUTED_VALUE"""),"LZD")</f>
        <v>LZD</v>
      </c>
      <c r="C4485" s="120" t="str">
        <f>IFERROR(__xludf.DUMMYFUNCTION("""COMPUTED_VALUE"""),"Lanzhoudong")</f>
        <v>Lanzhoudong</v>
      </c>
      <c r="D4485" s="120" t="str">
        <f>IFERROR(__xludf.DUMMYFUNCTION("""COMPUTED_VALUE"""),"China")</f>
        <v>China</v>
      </c>
      <c r="E4485" s="135"/>
      <c r="F4485" s="31"/>
    </row>
    <row r="4486">
      <c r="A4486" s="134" t="str">
        <f>IFERROR(__xludf.DUMMYFUNCTION("""COMPUTED_VALUE"""),"Lanzhou")</f>
        <v>Lanzhou</v>
      </c>
      <c r="B4486" s="120" t="str">
        <f>IFERROR(__xludf.DUMMYFUNCTION("""COMPUTED_VALUE"""),"ZGC")</f>
        <v>ZGC</v>
      </c>
      <c r="C4486" s="120" t="str">
        <f>IFERROR(__xludf.DUMMYFUNCTION("""COMPUTED_VALUE"""),"Zhongchuan")</f>
        <v>Zhongchuan</v>
      </c>
      <c r="D4486" s="120" t="str">
        <f>IFERROR(__xludf.DUMMYFUNCTION("""COMPUTED_VALUE"""),"China")</f>
        <v>China</v>
      </c>
      <c r="E4486" s="135"/>
      <c r="F4486" s="31"/>
    </row>
    <row r="4487">
      <c r="A4487" s="134" t="str">
        <f>IFERROR(__xludf.DUMMYFUNCTION("""COMPUTED_VALUE"""),"Laoag")</f>
        <v>Laoag</v>
      </c>
      <c r="B4487" s="120" t="str">
        <f>IFERROR(__xludf.DUMMYFUNCTION("""COMPUTED_VALUE"""),"LAO")</f>
        <v>LAO</v>
      </c>
      <c r="C4487" s="120" t="str">
        <f>IFERROR(__xludf.DUMMYFUNCTION("""COMPUTED_VALUE"""),"Laoag")</f>
        <v>Laoag</v>
      </c>
      <c r="D4487" s="120" t="str">
        <f>IFERROR(__xludf.DUMMYFUNCTION("""COMPUTED_VALUE"""),"Philippines")</f>
        <v>Philippines</v>
      </c>
      <c r="E4487" s="135"/>
      <c r="F4487" s="31"/>
    </row>
    <row r="4488">
      <c r="A4488" s="134" t="str">
        <f>IFERROR(__xludf.DUMMYFUNCTION("""COMPUTED_VALUE"""),"Laporte")</f>
        <v>Laporte</v>
      </c>
      <c r="B4488" s="120" t="str">
        <f>IFERROR(__xludf.DUMMYFUNCTION("""COMPUTED_VALUE"""),"LPO")</f>
        <v>LPO</v>
      </c>
      <c r="C4488" s="120" t="str">
        <f>IFERROR(__xludf.DUMMYFUNCTION("""COMPUTED_VALUE"""),"Municipal")</f>
        <v>Municipal</v>
      </c>
      <c r="D4488" s="120" t="str">
        <f>IFERROR(__xludf.DUMMYFUNCTION("""COMPUTED_VALUE"""),"United States")</f>
        <v>United States</v>
      </c>
      <c r="E4488" s="135"/>
      <c r="F4488" s="31"/>
    </row>
    <row r="4489">
      <c r="A4489" s="134" t="str">
        <f>IFERROR(__xludf.DUMMYFUNCTION("""COMPUTED_VALUE"""),"Lappeenranta")</f>
        <v>Lappeenranta</v>
      </c>
      <c r="B4489" s="120" t="str">
        <f>IFERROR(__xludf.DUMMYFUNCTION("""COMPUTED_VALUE"""),"LPP")</f>
        <v>LPP</v>
      </c>
      <c r="C4489" s="120" t="str">
        <f>IFERROR(__xludf.DUMMYFUNCTION("""COMPUTED_VALUE"""),"Lappeenranta")</f>
        <v>Lappeenranta</v>
      </c>
      <c r="D4489" s="120" t="str">
        <f>IFERROR(__xludf.DUMMYFUNCTION("""COMPUTED_VALUE"""),"Finland")</f>
        <v>Finland</v>
      </c>
      <c r="E4489" s="135"/>
      <c r="F4489" s="31"/>
    </row>
    <row r="4490">
      <c r="A4490" s="134" t="str">
        <f>IFERROR(__xludf.DUMMYFUNCTION("""COMPUTED_VALUE"""),"Lar")</f>
        <v>Lar</v>
      </c>
      <c r="B4490" s="120" t="str">
        <f>IFERROR(__xludf.DUMMYFUNCTION("""COMPUTED_VALUE"""),"LRR")</f>
        <v>LRR</v>
      </c>
      <c r="C4490" s="120" t="str">
        <f>IFERROR(__xludf.DUMMYFUNCTION("""COMPUTED_VALUE"""),"Lar A/P")</f>
        <v>Lar A/P</v>
      </c>
      <c r="D4490" s="120" t="str">
        <f>IFERROR(__xludf.DUMMYFUNCTION("""COMPUTED_VALUE"""),"Iran")</f>
        <v>Iran</v>
      </c>
      <c r="E4490" s="135"/>
      <c r="F4490" s="31"/>
    </row>
    <row r="4491">
      <c r="A4491" s="134" t="str">
        <f>IFERROR(__xludf.DUMMYFUNCTION("""COMPUTED_VALUE"""),"Laramie")</f>
        <v>Laramie</v>
      </c>
      <c r="B4491" s="120" t="str">
        <f>IFERROR(__xludf.DUMMYFUNCTION("""COMPUTED_VALUE"""),"LAR")</f>
        <v>LAR</v>
      </c>
      <c r="C4491" s="120" t="str">
        <f>IFERROR(__xludf.DUMMYFUNCTION("""COMPUTED_VALUE"""),"General Brees Field")</f>
        <v>General Brees Field</v>
      </c>
      <c r="D4491" s="120" t="str">
        <f>IFERROR(__xludf.DUMMYFUNCTION("""COMPUTED_VALUE"""),"United States")</f>
        <v>United States</v>
      </c>
      <c r="E4491" s="135"/>
      <c r="F4491" s="31"/>
    </row>
    <row r="4492">
      <c r="A4492" s="134" t="str">
        <f>IFERROR(__xludf.DUMMYFUNCTION("""COMPUTED_VALUE"""),"Larantuka")</f>
        <v>Larantuka</v>
      </c>
      <c r="B4492" s="120" t="str">
        <f>IFERROR(__xludf.DUMMYFUNCTION("""COMPUTED_VALUE"""),"LKA")</f>
        <v>LKA</v>
      </c>
      <c r="C4492" s="120" t="str">
        <f>IFERROR(__xludf.DUMMYFUNCTION("""COMPUTED_VALUE"""),"Larantuka")</f>
        <v>Larantuka</v>
      </c>
      <c r="D4492" s="120" t="str">
        <f>IFERROR(__xludf.DUMMYFUNCTION("""COMPUTED_VALUE"""),"Indonesia")</f>
        <v>Indonesia</v>
      </c>
      <c r="E4492" s="135"/>
      <c r="F4492" s="31"/>
    </row>
    <row r="4493">
      <c r="A4493" s="134" t="str">
        <f>IFERROR(__xludf.DUMMYFUNCTION("""COMPUTED_VALUE"""),"Laredo")</f>
        <v>Laredo</v>
      </c>
      <c r="B4493" s="120" t="str">
        <f>IFERROR(__xludf.DUMMYFUNCTION("""COMPUTED_VALUE"""),"LRD")</f>
        <v>LRD</v>
      </c>
      <c r="C4493" s="120" t="str">
        <f>IFERROR(__xludf.DUMMYFUNCTION("""COMPUTED_VALUE"""),"International")</f>
        <v>International</v>
      </c>
      <c r="D4493" s="120" t="str">
        <f>IFERROR(__xludf.DUMMYFUNCTION("""COMPUTED_VALUE"""),"United States")</f>
        <v>United States</v>
      </c>
      <c r="E4493" s="135"/>
      <c r="F4493" s="31"/>
    </row>
    <row r="4494">
      <c r="A4494" s="134" t="str">
        <f>IFERROR(__xludf.DUMMYFUNCTION("""COMPUTED_VALUE"""),"Larisa")</f>
        <v>Larisa</v>
      </c>
      <c r="B4494" s="120" t="str">
        <f>IFERROR(__xludf.DUMMYFUNCTION("""COMPUTED_VALUE"""),"LRA")</f>
        <v>LRA</v>
      </c>
      <c r="C4494" s="120" t="str">
        <f>IFERROR(__xludf.DUMMYFUNCTION("""COMPUTED_VALUE"""),"Larisa")</f>
        <v>Larisa</v>
      </c>
      <c r="D4494" s="120" t="str">
        <f>IFERROR(__xludf.DUMMYFUNCTION("""COMPUTED_VALUE"""),"Greece")</f>
        <v>Greece</v>
      </c>
      <c r="E4494" s="135"/>
      <c r="F4494" s="31"/>
    </row>
    <row r="4495">
      <c r="A4495" s="134" t="str">
        <f>IFERROR(__xludf.DUMMYFUNCTION("""COMPUTED_VALUE"""),"Larnaca")</f>
        <v>Larnaca</v>
      </c>
      <c r="B4495" s="120" t="str">
        <f>IFERROR(__xludf.DUMMYFUNCTION("""COMPUTED_VALUE"""),"LCA")</f>
        <v>LCA</v>
      </c>
      <c r="C4495" s="120" t="str">
        <f>IFERROR(__xludf.DUMMYFUNCTION("""COMPUTED_VALUE"""),"Larnaca")</f>
        <v>Larnaca</v>
      </c>
      <c r="D4495" s="120" t="str">
        <f>IFERROR(__xludf.DUMMYFUNCTION("""COMPUTED_VALUE"""),"Cyprus")</f>
        <v>Cyprus</v>
      </c>
      <c r="E4495" s="135"/>
      <c r="F4495" s="31"/>
    </row>
    <row r="4496">
      <c r="A4496" s="134" t="str">
        <f>IFERROR(__xludf.DUMMYFUNCTION("""COMPUTED_VALUE"""),"Larsen Bay")</f>
        <v>Larsen Bay</v>
      </c>
      <c r="B4496" s="120" t="str">
        <f>IFERROR(__xludf.DUMMYFUNCTION("""COMPUTED_VALUE"""),"KLN")</f>
        <v>KLN</v>
      </c>
      <c r="C4496" s="120" t="str">
        <f>IFERROR(__xludf.DUMMYFUNCTION("""COMPUTED_VALUE"""),"Larsen SPB")</f>
        <v>Larsen SPB</v>
      </c>
      <c r="D4496" s="120" t="str">
        <f>IFERROR(__xludf.DUMMYFUNCTION("""COMPUTED_VALUE"""),"United States")</f>
        <v>United States</v>
      </c>
      <c r="E4496" s="135"/>
      <c r="F4496" s="31"/>
    </row>
    <row r="4497">
      <c r="A4497" s="134" t="str">
        <f>IFERROR(__xludf.DUMMYFUNCTION("""COMPUTED_VALUE"""),"Las Canas")</f>
        <v>Las Canas</v>
      </c>
      <c r="B4497" s="120" t="str">
        <f>IFERROR(__xludf.DUMMYFUNCTION("""COMPUTED_VALUE"""),"LCS")</f>
        <v>LCS</v>
      </c>
      <c r="C4497" s="120" t="str">
        <f>IFERROR(__xludf.DUMMYFUNCTION("""COMPUTED_VALUE"""),"Las Canas")</f>
        <v>Las Canas</v>
      </c>
      <c r="D4497" s="120" t="str">
        <f>IFERROR(__xludf.DUMMYFUNCTION("""COMPUTED_VALUE"""),"Costa Rica")</f>
        <v>Costa Rica</v>
      </c>
      <c r="E4497" s="135"/>
      <c r="F4497" s="31"/>
    </row>
    <row r="4498">
      <c r="A4498" s="134" t="str">
        <f>IFERROR(__xludf.DUMMYFUNCTION("""COMPUTED_VALUE"""),"Las Cruces")</f>
        <v>Las Cruces</v>
      </c>
      <c r="B4498" s="120" t="str">
        <f>IFERROR(__xludf.DUMMYFUNCTION("""COMPUTED_VALUE"""),"LRU")</f>
        <v>LRU</v>
      </c>
      <c r="C4498" s="120" t="str">
        <f>IFERROR(__xludf.DUMMYFUNCTION("""COMPUTED_VALUE"""),"Municipal")</f>
        <v>Municipal</v>
      </c>
      <c r="D4498" s="120" t="str">
        <f>IFERROR(__xludf.DUMMYFUNCTION("""COMPUTED_VALUE"""),"United States")</f>
        <v>United States</v>
      </c>
      <c r="E4498" s="135"/>
      <c r="F4498" s="31"/>
    </row>
    <row r="4499">
      <c r="A4499" s="134" t="str">
        <f>IFERROR(__xludf.DUMMYFUNCTION("""COMPUTED_VALUE"""),"Las Gaviotas")</f>
        <v>Las Gaviotas</v>
      </c>
      <c r="B4499" s="120" t="str">
        <f>IFERROR(__xludf.DUMMYFUNCTION("""COMPUTED_VALUE"""),"LGT")</f>
        <v>LGT</v>
      </c>
      <c r="C4499" s="120" t="str">
        <f>IFERROR(__xludf.DUMMYFUNCTION("""COMPUTED_VALUE"""),"Las Gaviotas")</f>
        <v>Las Gaviotas</v>
      </c>
      <c r="D4499" s="120" t="str">
        <f>IFERROR(__xludf.DUMMYFUNCTION("""COMPUTED_VALUE"""),"Colombia")</f>
        <v>Colombia</v>
      </c>
      <c r="E4499" s="135"/>
      <c r="F4499" s="31"/>
    </row>
    <row r="4500">
      <c r="A4500" s="134" t="str">
        <f>IFERROR(__xludf.DUMMYFUNCTION("""COMPUTED_VALUE"""),"Las Heras")</f>
        <v>Las Heras</v>
      </c>
      <c r="B4500" s="120" t="str">
        <f>IFERROR(__xludf.DUMMYFUNCTION("""COMPUTED_VALUE"""),"LHS")</f>
        <v>LHS</v>
      </c>
      <c r="C4500" s="120" t="str">
        <f>IFERROR(__xludf.DUMMYFUNCTION("""COMPUTED_VALUE"""),"Las Heras")</f>
        <v>Las Heras</v>
      </c>
      <c r="D4500" s="120" t="str">
        <f>IFERROR(__xludf.DUMMYFUNCTION("""COMPUTED_VALUE"""),"Argentina")</f>
        <v>Argentina</v>
      </c>
      <c r="E4500" s="135"/>
      <c r="F4500" s="31"/>
    </row>
    <row r="4501">
      <c r="A4501" s="134" t="str">
        <f>IFERROR(__xludf.DUMMYFUNCTION("""COMPUTED_VALUE"""),"Las Khoreh")</f>
        <v>Las Khoreh</v>
      </c>
      <c r="B4501" s="120" t="str">
        <f>IFERROR(__xludf.DUMMYFUNCTION("""COMPUTED_VALUE"""),"LKR")</f>
        <v>LKR</v>
      </c>
      <c r="C4501" s="120" t="str">
        <f>IFERROR(__xludf.DUMMYFUNCTION("""COMPUTED_VALUE"""),"Las Khoreh")</f>
        <v>Las Khoreh</v>
      </c>
      <c r="D4501" s="120" t="str">
        <f>IFERROR(__xludf.DUMMYFUNCTION("""COMPUTED_VALUE"""),"Somalia")</f>
        <v>Somalia</v>
      </c>
      <c r="E4501" s="135"/>
      <c r="F4501" s="31"/>
    </row>
    <row r="4502">
      <c r="A4502" s="134" t="str">
        <f>IFERROR(__xludf.DUMMYFUNCTION("""COMPUTED_VALUE"""),"Las Limas")</f>
        <v>Las Limas</v>
      </c>
      <c r="B4502" s="120" t="str">
        <f>IFERROR(__xludf.DUMMYFUNCTION("""COMPUTED_VALUE"""),"LLH")</f>
        <v>LLH</v>
      </c>
      <c r="C4502" s="120" t="str">
        <f>IFERROR(__xludf.DUMMYFUNCTION("""COMPUTED_VALUE"""),"Las Limas")</f>
        <v>Las Limas</v>
      </c>
      <c r="D4502" s="120" t="str">
        <f>IFERROR(__xludf.DUMMYFUNCTION("""COMPUTED_VALUE"""),"Honduras")</f>
        <v>Honduras</v>
      </c>
      <c r="E4502" s="135"/>
      <c r="F4502" s="31"/>
    </row>
    <row r="4503">
      <c r="A4503" s="134" t="str">
        <f>IFERROR(__xludf.DUMMYFUNCTION("""COMPUTED_VALUE"""),"Las Lomitas")</f>
        <v>Las Lomitas</v>
      </c>
      <c r="B4503" s="120" t="str">
        <f>IFERROR(__xludf.DUMMYFUNCTION("""COMPUTED_VALUE"""),"LLS")</f>
        <v>LLS</v>
      </c>
      <c r="C4503" s="120" t="str">
        <f>IFERROR(__xludf.DUMMYFUNCTION("""COMPUTED_VALUE"""),"Las Lomitas")</f>
        <v>Las Lomitas</v>
      </c>
      <c r="D4503" s="120" t="str">
        <f>IFERROR(__xludf.DUMMYFUNCTION("""COMPUTED_VALUE"""),"Argentina")</f>
        <v>Argentina</v>
      </c>
      <c r="E4503" s="135"/>
      <c r="F4503" s="31"/>
    </row>
    <row r="4504">
      <c r="A4504" s="134" t="str">
        <f>IFERROR(__xludf.DUMMYFUNCTION("""COMPUTED_VALUE"""),"Las Palmas")</f>
        <v>Las Palmas</v>
      </c>
      <c r="B4504" s="120" t="str">
        <f>IFERROR(__xludf.DUMMYFUNCTION("""COMPUTED_VALUE"""),"LPA")</f>
        <v>LPA</v>
      </c>
      <c r="C4504" s="120" t="str">
        <f>IFERROR(__xludf.DUMMYFUNCTION("""COMPUTED_VALUE"""),"Arpt De Gran Canaria")</f>
        <v>Arpt De Gran Canaria</v>
      </c>
      <c r="D4504" s="120" t="str">
        <f>IFERROR(__xludf.DUMMYFUNCTION("""COMPUTED_VALUE"""),"Spain")</f>
        <v>Spain</v>
      </c>
      <c r="E4504" s="135"/>
      <c r="F4504" s="31"/>
    </row>
    <row r="4505">
      <c r="A4505" s="134" t="str">
        <f>IFERROR(__xludf.DUMMYFUNCTION("""COMPUTED_VALUE"""),"Las Piedras")</f>
        <v>Las Piedras</v>
      </c>
      <c r="B4505" s="120" t="str">
        <f>IFERROR(__xludf.DUMMYFUNCTION("""COMPUTED_VALUE"""),"LSP")</f>
        <v>LSP</v>
      </c>
      <c r="C4505" s="120" t="str">
        <f>IFERROR(__xludf.DUMMYFUNCTION("""COMPUTED_VALUE"""),"Josefa Camejo")</f>
        <v>Josefa Camejo</v>
      </c>
      <c r="D4505" s="120" t="str">
        <f>IFERROR(__xludf.DUMMYFUNCTION("""COMPUTED_VALUE"""),"Venezuela")</f>
        <v>Venezuela</v>
      </c>
      <c r="E4505" s="135"/>
      <c r="F4505" s="31"/>
    </row>
    <row r="4506">
      <c r="A4506" s="134" t="str">
        <f>IFERROR(__xludf.DUMMYFUNCTION("""COMPUTED_VALUE"""),"Las Tunas")</f>
        <v>Las Tunas</v>
      </c>
      <c r="B4506" s="120" t="str">
        <f>IFERROR(__xludf.DUMMYFUNCTION("""COMPUTED_VALUE"""),"VTU")</f>
        <v>VTU</v>
      </c>
      <c r="C4506" s="120" t="str">
        <f>IFERROR(__xludf.DUMMYFUNCTION("""COMPUTED_VALUE"""),"Las Tunas")</f>
        <v>Las Tunas</v>
      </c>
      <c r="D4506" s="120" t="str">
        <f>IFERROR(__xludf.DUMMYFUNCTION("""COMPUTED_VALUE"""),"Cuba")</f>
        <v>Cuba</v>
      </c>
      <c r="E4506" s="135"/>
      <c r="F4506" s="31"/>
    </row>
    <row r="4507">
      <c r="A4507" s="134" t="str">
        <f>IFERROR(__xludf.DUMMYFUNCTION("""COMPUTED_VALUE"""),"Las Vegas")</f>
        <v>Las Vegas</v>
      </c>
      <c r="B4507" s="120" t="str">
        <f>IFERROR(__xludf.DUMMYFUNCTION("""COMPUTED_VALUE"""),"LVS")</f>
        <v>LVS</v>
      </c>
      <c r="C4507" s="120" t="str">
        <f>IFERROR(__xludf.DUMMYFUNCTION("""COMPUTED_VALUE"""),"Las Vegas")</f>
        <v>Las Vegas</v>
      </c>
      <c r="D4507" s="120" t="str">
        <f>IFERROR(__xludf.DUMMYFUNCTION("""COMPUTED_VALUE"""),"United States")</f>
        <v>United States</v>
      </c>
      <c r="E4507" s="135"/>
      <c r="F4507" s="31"/>
    </row>
    <row r="4508">
      <c r="A4508" s="134" t="str">
        <f>IFERROR(__xludf.DUMMYFUNCTION("""COMPUTED_VALUE"""),"Las Vegas")</f>
        <v>Las Vegas</v>
      </c>
      <c r="B4508" s="120" t="str">
        <f>IFERROR(__xludf.DUMMYFUNCTION("""COMPUTED_VALUE"""),"HSH")</f>
        <v>HSH</v>
      </c>
      <c r="C4508" s="120" t="str">
        <f>IFERROR(__xludf.DUMMYFUNCTION("""COMPUTED_VALUE"""),"Henderson Sky Harbor")</f>
        <v>Henderson Sky Harbor</v>
      </c>
      <c r="D4508" s="120" t="str">
        <f>IFERROR(__xludf.DUMMYFUNCTION("""COMPUTED_VALUE"""),"United States")</f>
        <v>United States</v>
      </c>
      <c r="E4508" s="135"/>
      <c r="F4508" s="31"/>
    </row>
    <row r="4509">
      <c r="A4509" s="134" t="str">
        <f>IFERROR(__xludf.DUMMYFUNCTION("""COMPUTED_VALUE"""),"Las Vegas")</f>
        <v>Las Vegas</v>
      </c>
      <c r="B4509" s="120" t="str">
        <f>IFERROR(__xludf.DUMMYFUNCTION("""COMPUTED_VALUE"""),"LAS")</f>
        <v>LAS</v>
      </c>
      <c r="C4509" s="120" t="str">
        <f>IFERROR(__xludf.DUMMYFUNCTION("""COMPUTED_VALUE"""),"Mccarran Intl")</f>
        <v>Mccarran Intl</v>
      </c>
      <c r="D4509" s="120" t="str">
        <f>IFERROR(__xludf.DUMMYFUNCTION("""COMPUTED_VALUE"""),"United States")</f>
        <v>United States</v>
      </c>
      <c r="E4509" s="135"/>
      <c r="F4509" s="31"/>
    </row>
    <row r="4510">
      <c r="A4510" s="134" t="str">
        <f>IFERROR(__xludf.DUMMYFUNCTION("""COMPUTED_VALUE"""),"Las Vegas")</f>
        <v>Las Vegas</v>
      </c>
      <c r="B4510" s="120" t="str">
        <f>IFERROR(__xludf.DUMMYFUNCTION("""COMPUTED_VALUE"""),"LSV")</f>
        <v>LSV</v>
      </c>
      <c r="C4510" s="120" t="str">
        <f>IFERROR(__xludf.DUMMYFUNCTION("""COMPUTED_VALUE"""),"Nellis AFB")</f>
        <v>Nellis AFB</v>
      </c>
      <c r="D4510" s="120" t="str">
        <f>IFERROR(__xludf.DUMMYFUNCTION("""COMPUTED_VALUE"""),"United States")</f>
        <v>United States</v>
      </c>
      <c r="E4510" s="135"/>
      <c r="F4510" s="31"/>
    </row>
    <row r="4511">
      <c r="A4511" s="134" t="str">
        <f>IFERROR(__xludf.DUMMYFUNCTION("""COMPUTED_VALUE"""),"Las Vegas")</f>
        <v>Las Vegas</v>
      </c>
      <c r="B4511" s="120" t="str">
        <f>IFERROR(__xludf.DUMMYFUNCTION("""COMPUTED_VALUE"""),"VGT")</f>
        <v>VGT</v>
      </c>
      <c r="C4511" s="120" t="str">
        <f>IFERROR(__xludf.DUMMYFUNCTION("""COMPUTED_VALUE"""),"North Air Terminal")</f>
        <v>North Air Terminal</v>
      </c>
      <c r="D4511" s="120" t="str">
        <f>IFERROR(__xludf.DUMMYFUNCTION("""COMPUTED_VALUE"""),"United States")</f>
        <v>United States</v>
      </c>
      <c r="E4511" s="135"/>
      <c r="F4511" s="31"/>
    </row>
    <row r="4512">
      <c r="A4512" s="134" t="str">
        <f>IFERROR(__xludf.DUMMYFUNCTION("""COMPUTED_VALUE"""),"Lashio")</f>
        <v>Lashio</v>
      </c>
      <c r="B4512" s="120" t="str">
        <f>IFERROR(__xludf.DUMMYFUNCTION("""COMPUTED_VALUE"""),"LSH")</f>
        <v>LSH</v>
      </c>
      <c r="C4512" s="120" t="str">
        <f>IFERROR(__xludf.DUMMYFUNCTION("""COMPUTED_VALUE"""),"Lashio")</f>
        <v>Lashio</v>
      </c>
      <c r="D4512" s="120" t="str">
        <f>IFERROR(__xludf.DUMMYFUNCTION("""COMPUTED_VALUE"""),"Myanmar")</f>
        <v>Myanmar</v>
      </c>
      <c r="E4512" s="135"/>
      <c r="F4512" s="31"/>
    </row>
    <row r="4513">
      <c r="A4513" s="134" t="str">
        <f>IFERROR(__xludf.DUMMYFUNCTION("""COMPUTED_VALUE"""),"Lastourville")</f>
        <v>Lastourville</v>
      </c>
      <c r="B4513" s="120" t="str">
        <f>IFERROR(__xludf.DUMMYFUNCTION("""COMPUTED_VALUE"""),"LTL")</f>
        <v>LTL</v>
      </c>
      <c r="C4513" s="120" t="str">
        <f>IFERROR(__xludf.DUMMYFUNCTION("""COMPUTED_VALUE"""),"Lastourville")</f>
        <v>Lastourville</v>
      </c>
      <c r="D4513" s="120" t="str">
        <f>IFERROR(__xludf.DUMMYFUNCTION("""COMPUTED_VALUE"""),"Gabon")</f>
        <v>Gabon</v>
      </c>
      <c r="E4513" s="135"/>
      <c r="F4513" s="31"/>
    </row>
    <row r="4514">
      <c r="A4514" s="134" t="str">
        <f>IFERROR(__xludf.DUMMYFUNCTION("""COMPUTED_VALUE"""),"Latacunga")</f>
        <v>Latacunga</v>
      </c>
      <c r="B4514" s="120" t="str">
        <f>IFERROR(__xludf.DUMMYFUNCTION("""COMPUTED_VALUE"""),"LTX")</f>
        <v>LTX</v>
      </c>
      <c r="C4514" s="120" t="str">
        <f>IFERROR(__xludf.DUMMYFUNCTION("""COMPUTED_VALUE"""),"Cotopaxi International")</f>
        <v>Cotopaxi International</v>
      </c>
      <c r="D4514" s="120" t="str">
        <f>IFERROR(__xludf.DUMMYFUNCTION("""COMPUTED_VALUE"""),"Ecuador")</f>
        <v>Ecuador</v>
      </c>
      <c r="E4514" s="135"/>
      <c r="F4514" s="31"/>
    </row>
    <row r="4515">
      <c r="A4515" s="134" t="str">
        <f>IFERROR(__xludf.DUMMYFUNCTION("""COMPUTED_VALUE"""),"Latakia")</f>
        <v>Latakia</v>
      </c>
      <c r="B4515" s="120" t="str">
        <f>IFERROR(__xludf.DUMMYFUNCTION("""COMPUTED_VALUE"""),"LTK")</f>
        <v>LTK</v>
      </c>
      <c r="C4515" s="120" t="str">
        <f>IFERROR(__xludf.DUMMYFUNCTION("""COMPUTED_VALUE"""),"Latakia")</f>
        <v>Latakia</v>
      </c>
      <c r="D4515" s="120" t="str">
        <f>IFERROR(__xludf.DUMMYFUNCTION("""COMPUTED_VALUE"""),"Syria")</f>
        <v>Syria</v>
      </c>
      <c r="E4515" s="135"/>
      <c r="F4515" s="31"/>
    </row>
    <row r="4516">
      <c r="A4516" s="134" t="str">
        <f>IFERROR(__xludf.DUMMYFUNCTION("""COMPUTED_VALUE"""),"Lathrop")</f>
        <v>Lathrop</v>
      </c>
      <c r="B4516" s="120" t="str">
        <f>IFERROR(__xludf.DUMMYFUNCTION("""COMPUTED_VALUE"""),"LRO")</f>
        <v>LRO</v>
      </c>
      <c r="C4516" s="120" t="str">
        <f>IFERROR(__xludf.DUMMYFUNCTION("""COMPUTED_VALUE"""),"Sharpe AAF")</f>
        <v>Sharpe AAF</v>
      </c>
      <c r="D4516" s="120" t="str">
        <f>IFERROR(__xludf.DUMMYFUNCTION("""COMPUTED_VALUE"""),"United States")</f>
        <v>United States</v>
      </c>
      <c r="E4516" s="135"/>
      <c r="F4516" s="31"/>
    </row>
    <row r="4517">
      <c r="A4517" s="134" t="str">
        <f>IFERROR(__xludf.DUMMYFUNCTION("""COMPUTED_VALUE"""),"Lathrop Wells")</f>
        <v>Lathrop Wells</v>
      </c>
      <c r="B4517" s="120" t="str">
        <f>IFERROR(__xludf.DUMMYFUNCTION("""COMPUTED_VALUE"""),"LTH")</f>
        <v>LTH</v>
      </c>
      <c r="C4517" s="120" t="str">
        <f>IFERROR(__xludf.DUMMYFUNCTION("""COMPUTED_VALUE"""),"Lathrop Wells")</f>
        <v>Lathrop Wells</v>
      </c>
      <c r="D4517" s="120" t="str">
        <f>IFERROR(__xludf.DUMMYFUNCTION("""COMPUTED_VALUE"""),"United States")</f>
        <v>United States</v>
      </c>
      <c r="E4517" s="135"/>
      <c r="F4517" s="31"/>
    </row>
    <row r="4518">
      <c r="A4518" s="134" t="str">
        <f>IFERROR(__xludf.DUMMYFUNCTION("""COMPUTED_VALUE"""),"Latrobe")</f>
        <v>Latrobe</v>
      </c>
      <c r="B4518" s="120" t="str">
        <f>IFERROR(__xludf.DUMMYFUNCTION("""COMPUTED_VALUE"""),"LBE")</f>
        <v>LBE</v>
      </c>
      <c r="C4518" s="120" t="str">
        <f>IFERROR(__xludf.DUMMYFUNCTION("""COMPUTED_VALUE"""),"Westmoreland County")</f>
        <v>Westmoreland County</v>
      </c>
      <c r="D4518" s="120" t="str">
        <f>IFERROR(__xludf.DUMMYFUNCTION("""COMPUTED_VALUE"""),"United States")</f>
        <v>United States</v>
      </c>
      <c r="E4518" s="135"/>
      <c r="F4518" s="31"/>
    </row>
    <row r="4519">
      <c r="A4519" s="134" t="str">
        <f>IFERROR(__xludf.DUMMYFUNCTION("""COMPUTED_VALUE"""),"Latrobe")</f>
        <v>Latrobe</v>
      </c>
      <c r="B4519" s="120" t="str">
        <f>IFERROR(__xludf.DUMMYFUNCTION("""COMPUTED_VALUE"""),"LTB")</f>
        <v>LTB</v>
      </c>
      <c r="C4519" s="120" t="str">
        <f>IFERROR(__xludf.DUMMYFUNCTION("""COMPUTED_VALUE"""),"Latrobe")</f>
        <v>Latrobe</v>
      </c>
      <c r="D4519" s="120" t="str">
        <f>IFERROR(__xludf.DUMMYFUNCTION("""COMPUTED_VALUE"""),"Australia")</f>
        <v>Australia</v>
      </c>
      <c r="E4519" s="135"/>
      <c r="F4519" s="31"/>
    </row>
    <row r="4520">
      <c r="A4520" s="134" t="str">
        <f>IFERROR(__xludf.DUMMYFUNCTION("""COMPUTED_VALUE"""),"Laucala Is")</f>
        <v>Laucala Is</v>
      </c>
      <c r="B4520" s="120" t="str">
        <f>IFERROR(__xludf.DUMMYFUNCTION("""COMPUTED_VALUE"""),"LUC")</f>
        <v>LUC</v>
      </c>
      <c r="C4520" s="120" t="str">
        <f>IFERROR(__xludf.DUMMYFUNCTION("""COMPUTED_VALUE"""),"Laucala Is")</f>
        <v>Laucala Is</v>
      </c>
      <c r="D4520" s="120" t="str">
        <f>IFERROR(__xludf.DUMMYFUNCTION("""COMPUTED_VALUE"""),"Fiji")</f>
        <v>Fiji</v>
      </c>
      <c r="E4520" s="135"/>
      <c r="F4520" s="31"/>
    </row>
    <row r="4521">
      <c r="A4521" s="134" t="str">
        <f>IFERROR(__xludf.DUMMYFUNCTION("""COMPUTED_VALUE"""),"Launceston")</f>
        <v>Launceston</v>
      </c>
      <c r="B4521" s="120" t="str">
        <f>IFERROR(__xludf.DUMMYFUNCTION("""COMPUTED_VALUE"""),"LST")</f>
        <v>LST</v>
      </c>
      <c r="C4521" s="120" t="str">
        <f>IFERROR(__xludf.DUMMYFUNCTION("""COMPUTED_VALUE"""),"Launceston")</f>
        <v>Launceston</v>
      </c>
      <c r="D4521" s="120" t="str">
        <f>IFERROR(__xludf.DUMMYFUNCTION("""COMPUTED_VALUE"""),"TASMANIA""")</f>
        <v>TASMANIA"</v>
      </c>
      <c r="E4521" s="135"/>
      <c r="F4521" s="31"/>
    </row>
    <row r="4522">
      <c r="A4522" s="134" t="str">
        <f>IFERROR(__xludf.DUMMYFUNCTION("""COMPUTED_VALUE"""),"Laura")</f>
        <v>Laura</v>
      </c>
      <c r="B4522" s="120" t="str">
        <f>IFERROR(__xludf.DUMMYFUNCTION("""COMPUTED_VALUE"""),"LUU")</f>
        <v>LUU</v>
      </c>
      <c r="C4522" s="120" t="str">
        <f>IFERROR(__xludf.DUMMYFUNCTION("""COMPUTED_VALUE"""),"Laura")</f>
        <v>Laura</v>
      </c>
      <c r="D4522" s="120" t="str">
        <f>IFERROR(__xludf.DUMMYFUNCTION("""COMPUTED_VALUE"""),"Australia")</f>
        <v>Australia</v>
      </c>
      <c r="E4522" s="135"/>
      <c r="F4522" s="31"/>
    </row>
    <row r="4523">
      <c r="A4523" s="134" t="str">
        <f>IFERROR(__xludf.DUMMYFUNCTION("""COMPUTED_VALUE"""),"Laura Station")</f>
        <v>Laura Station</v>
      </c>
      <c r="B4523" s="120" t="str">
        <f>IFERROR(__xludf.DUMMYFUNCTION("""COMPUTED_VALUE"""),"LUT")</f>
        <v>LUT</v>
      </c>
      <c r="C4523" s="120" t="str">
        <f>IFERROR(__xludf.DUMMYFUNCTION("""COMPUTED_VALUE"""),"Laura Station")</f>
        <v>Laura Station</v>
      </c>
      <c r="D4523" s="120" t="str">
        <f>IFERROR(__xludf.DUMMYFUNCTION("""COMPUTED_VALUE"""),"Australia")</f>
        <v>Australia</v>
      </c>
      <c r="E4523" s="135"/>
      <c r="F4523" s="31"/>
    </row>
    <row r="4524">
      <c r="A4524" s="134" t="str">
        <f>IFERROR(__xludf.DUMMYFUNCTION("""COMPUTED_VALUE"""),"Laurel")</f>
        <v>Laurel</v>
      </c>
      <c r="B4524" s="120" t="str">
        <f>IFERROR(__xludf.DUMMYFUNCTION("""COMPUTED_VALUE"""),"PIB")</f>
        <v>PIB</v>
      </c>
      <c r="C4524" s="120" t="str">
        <f>IFERROR(__xludf.DUMMYFUNCTION("""COMPUTED_VALUE"""),"Hattiesburg-Laurel Reg")</f>
        <v>Hattiesburg-Laurel Reg</v>
      </c>
      <c r="D4524" s="120" t="str">
        <f>IFERROR(__xludf.DUMMYFUNCTION("""COMPUTED_VALUE"""),"United States")</f>
        <v>United States</v>
      </c>
      <c r="E4524" s="135"/>
      <c r="F4524" s="31"/>
    </row>
    <row r="4525">
      <c r="A4525" s="134" t="str">
        <f>IFERROR(__xludf.DUMMYFUNCTION("""COMPUTED_VALUE"""),"Laurel")</f>
        <v>Laurel</v>
      </c>
      <c r="B4525" s="120" t="str">
        <f>IFERROR(__xludf.DUMMYFUNCTION("""COMPUTED_VALUE"""),"LUL")</f>
        <v>LUL</v>
      </c>
      <c r="C4525" s="120" t="str">
        <f>IFERROR(__xludf.DUMMYFUNCTION("""COMPUTED_VALUE"""),"Hesler-Noble Field")</f>
        <v>Hesler-Noble Field</v>
      </c>
      <c r="D4525" s="120" t="str">
        <f>IFERROR(__xludf.DUMMYFUNCTION("""COMPUTED_VALUE"""),"United States")</f>
        <v>United States</v>
      </c>
      <c r="E4525" s="135"/>
      <c r="F4525" s="31"/>
    </row>
    <row r="4526">
      <c r="A4526" s="134" t="str">
        <f>IFERROR(__xludf.DUMMYFUNCTION("""COMPUTED_VALUE"""),"Laurie River")</f>
        <v>Laurie River</v>
      </c>
      <c r="B4526" s="120" t="str">
        <f>IFERROR(__xludf.DUMMYFUNCTION("""COMPUTED_VALUE"""),"LRQ")</f>
        <v>LRQ</v>
      </c>
      <c r="C4526" s="120" t="str">
        <f>IFERROR(__xludf.DUMMYFUNCTION("""COMPUTED_VALUE"""),"Laurie River")</f>
        <v>Laurie River</v>
      </c>
      <c r="D4526" s="120" t="str">
        <f>IFERROR(__xludf.DUMMYFUNCTION("""COMPUTED_VALUE"""),"Canada")</f>
        <v>Canada</v>
      </c>
      <c r="E4526" s="135"/>
      <c r="F4526" s="31"/>
    </row>
    <row r="4527">
      <c r="A4527" s="134" t="str">
        <f>IFERROR(__xludf.DUMMYFUNCTION("""COMPUTED_VALUE"""),"Lauterach")</f>
        <v>Lauterach</v>
      </c>
      <c r="B4527" s="120" t="str">
        <f>IFERROR(__xludf.DUMMYFUNCTION("""COMPUTED_VALUE"""),"QLX")</f>
        <v>QLX</v>
      </c>
      <c r="C4527" s="120" t="str">
        <f>IFERROR(__xludf.DUMMYFUNCTION("""COMPUTED_VALUE"""),"Lauterach")</f>
        <v>Lauterach</v>
      </c>
      <c r="D4527" s="120" t="str">
        <f>IFERROR(__xludf.DUMMYFUNCTION("""COMPUTED_VALUE"""),"Austria")</f>
        <v>Austria</v>
      </c>
      <c r="E4527" s="135"/>
      <c r="F4527" s="31"/>
    </row>
    <row r="4528">
      <c r="A4528" s="134" t="str">
        <f>IFERROR(__xludf.DUMMYFUNCTION("""COMPUTED_VALUE"""),"Laval")</f>
        <v>Laval</v>
      </c>
      <c r="B4528" s="120" t="str">
        <f>IFERROR(__xludf.DUMMYFUNCTION("""COMPUTED_VALUE"""),"LVA")</f>
        <v>LVA</v>
      </c>
      <c r="C4528" s="120" t="str">
        <f>IFERROR(__xludf.DUMMYFUNCTION("""COMPUTED_VALUE"""),"Entrammes")</f>
        <v>Entrammes</v>
      </c>
      <c r="D4528" s="120" t="str">
        <f>IFERROR(__xludf.DUMMYFUNCTION("""COMPUTED_VALUE"""),"France")</f>
        <v>France</v>
      </c>
      <c r="E4528" s="135"/>
      <c r="F4528" s="31"/>
    </row>
    <row r="4529">
      <c r="A4529" s="134" t="str">
        <f>IFERROR(__xludf.DUMMYFUNCTION("""COMPUTED_VALUE"""),"Lavan")</f>
        <v>Lavan</v>
      </c>
      <c r="B4529" s="120" t="str">
        <f>IFERROR(__xludf.DUMMYFUNCTION("""COMPUTED_VALUE"""),"LVP")</f>
        <v>LVP</v>
      </c>
      <c r="C4529" s="120" t="str">
        <f>IFERROR(__xludf.DUMMYFUNCTION("""COMPUTED_VALUE"""),"Lavan")</f>
        <v>Lavan</v>
      </c>
      <c r="D4529" s="120" t="str">
        <f>IFERROR(__xludf.DUMMYFUNCTION("""COMPUTED_VALUE"""),"Iran")</f>
        <v>Iran</v>
      </c>
      <c r="E4529" s="135"/>
      <c r="F4529" s="31"/>
    </row>
    <row r="4530">
      <c r="A4530" s="134" t="str">
        <f>IFERROR(__xludf.DUMMYFUNCTION("""COMPUTED_VALUE"""),"Laverton")</f>
        <v>Laverton</v>
      </c>
      <c r="B4530" s="120" t="str">
        <f>IFERROR(__xludf.DUMMYFUNCTION("""COMPUTED_VALUE"""),"LVO")</f>
        <v>LVO</v>
      </c>
      <c r="C4530" s="120" t="str">
        <f>IFERROR(__xludf.DUMMYFUNCTION("""COMPUTED_VALUE"""),"Laverton")</f>
        <v>Laverton</v>
      </c>
      <c r="D4530" s="120" t="str">
        <f>IFERROR(__xludf.DUMMYFUNCTION("""COMPUTED_VALUE"""),"Australia")</f>
        <v>Australia</v>
      </c>
      <c r="E4530" s="135"/>
      <c r="F4530" s="31"/>
    </row>
    <row r="4531">
      <c r="A4531" s="134" t="str">
        <f>IFERROR(__xludf.DUMMYFUNCTION("""COMPUTED_VALUE"""),"Lawas")</f>
        <v>Lawas</v>
      </c>
      <c r="B4531" s="120" t="str">
        <f>IFERROR(__xludf.DUMMYFUNCTION("""COMPUTED_VALUE"""),"LWY")</f>
        <v>LWY</v>
      </c>
      <c r="C4531" s="120" t="str">
        <f>IFERROR(__xludf.DUMMYFUNCTION("""COMPUTED_VALUE"""),"Lawas")</f>
        <v>Lawas</v>
      </c>
      <c r="D4531" s="120" t="str">
        <f>IFERROR(__xludf.DUMMYFUNCTION("""COMPUTED_VALUE"""),"Malaysia")</f>
        <v>Malaysia</v>
      </c>
      <c r="E4531" s="135"/>
      <c r="F4531" s="31"/>
    </row>
    <row r="4532">
      <c r="A4532" s="134" t="str">
        <f>IFERROR(__xludf.DUMMYFUNCTION("""COMPUTED_VALUE"""),"Lawn Hill")</f>
        <v>Lawn Hill</v>
      </c>
      <c r="B4532" s="120" t="str">
        <f>IFERROR(__xludf.DUMMYFUNCTION("""COMPUTED_VALUE"""),"LWH")</f>
        <v>LWH</v>
      </c>
      <c r="C4532" s="120" t="str">
        <f>IFERROR(__xludf.DUMMYFUNCTION("""COMPUTED_VALUE"""),"Lawn Hill")</f>
        <v>Lawn Hill</v>
      </c>
      <c r="D4532" s="120" t="str">
        <f>IFERROR(__xludf.DUMMYFUNCTION("""COMPUTED_VALUE"""),"Australia")</f>
        <v>Australia</v>
      </c>
      <c r="E4532" s="135"/>
      <c r="F4532" s="31"/>
    </row>
    <row r="4533">
      <c r="A4533" s="134" t="str">
        <f>IFERROR(__xludf.DUMMYFUNCTION("""COMPUTED_VALUE"""),"Lawrence")</f>
        <v>Lawrence</v>
      </c>
      <c r="B4533" s="120" t="str">
        <f>IFERROR(__xludf.DUMMYFUNCTION("""COMPUTED_VALUE"""),"LWC")</f>
        <v>LWC</v>
      </c>
      <c r="C4533" s="120" t="str">
        <f>IFERROR(__xludf.DUMMYFUNCTION("""COMPUTED_VALUE"""),"Lawrence")</f>
        <v>Lawrence</v>
      </c>
      <c r="D4533" s="120" t="str">
        <f>IFERROR(__xludf.DUMMYFUNCTION("""COMPUTED_VALUE"""),"United States")</f>
        <v>United States</v>
      </c>
      <c r="E4533" s="135"/>
      <c r="F4533" s="31"/>
    </row>
    <row r="4534">
      <c r="A4534" s="134" t="str">
        <f>IFERROR(__xludf.DUMMYFUNCTION("""COMPUTED_VALUE"""),"Lawrence")</f>
        <v>Lawrence</v>
      </c>
      <c r="B4534" s="120" t="str">
        <f>IFERROR(__xludf.DUMMYFUNCTION("""COMPUTED_VALUE"""),"LWM")</f>
        <v>LWM</v>
      </c>
      <c r="C4534" s="120" t="str">
        <f>IFERROR(__xludf.DUMMYFUNCTION("""COMPUTED_VALUE"""),"Lawrence")</f>
        <v>Lawrence</v>
      </c>
      <c r="D4534" s="120" t="str">
        <f>IFERROR(__xludf.DUMMYFUNCTION("""COMPUTED_VALUE"""),"United States")</f>
        <v>United States</v>
      </c>
      <c r="E4534" s="135"/>
      <c r="F4534" s="31"/>
    </row>
    <row r="4535">
      <c r="A4535" s="134" t="str">
        <f>IFERROR(__xludf.DUMMYFUNCTION("""COMPUTED_VALUE"""),"Lawrenceville")</f>
        <v>Lawrenceville</v>
      </c>
      <c r="B4535" s="120" t="str">
        <f>IFERROR(__xludf.DUMMYFUNCTION("""COMPUTED_VALUE"""),"LWV")</f>
        <v>LWV</v>
      </c>
      <c r="C4535" s="120" t="str">
        <f>IFERROR(__xludf.DUMMYFUNCTION("""COMPUTED_VALUE"""),"Municipal")</f>
        <v>Municipal</v>
      </c>
      <c r="D4535" s="120" t="str">
        <f>IFERROR(__xludf.DUMMYFUNCTION("""COMPUTED_VALUE"""),"United States")</f>
        <v>United States</v>
      </c>
      <c r="E4535" s="135"/>
      <c r="F4535" s="31"/>
    </row>
    <row r="4536">
      <c r="A4536" s="134" t="str">
        <f>IFERROR(__xludf.DUMMYFUNCTION("""COMPUTED_VALUE"""),"Lawrenceville")</f>
        <v>Lawrenceville</v>
      </c>
      <c r="B4536" s="120" t="str">
        <f>IFERROR(__xludf.DUMMYFUNCTION("""COMPUTED_VALUE"""),"LVL")</f>
        <v>LVL</v>
      </c>
      <c r="C4536" s="120" t="str">
        <f>IFERROR(__xludf.DUMMYFUNCTION("""COMPUTED_VALUE"""),"Lawrenceville")</f>
        <v>Lawrenceville</v>
      </c>
      <c r="D4536" s="120" t="str">
        <f>IFERROR(__xludf.DUMMYFUNCTION("""COMPUTED_VALUE"""),"United States")</f>
        <v>United States</v>
      </c>
      <c r="E4536" s="135"/>
      <c r="F4536" s="31"/>
    </row>
    <row r="4537">
      <c r="A4537" s="134" t="str">
        <f>IFERROR(__xludf.DUMMYFUNCTION("""COMPUTED_VALUE"""),"Lawton")</f>
        <v>Lawton</v>
      </c>
      <c r="B4537" s="120" t="str">
        <f>IFERROR(__xludf.DUMMYFUNCTION("""COMPUTED_VALUE"""),"LAW")</f>
        <v>LAW</v>
      </c>
      <c r="C4537" s="120" t="str">
        <f>IFERROR(__xludf.DUMMYFUNCTION("""COMPUTED_VALUE"""),"Municipal")</f>
        <v>Municipal</v>
      </c>
      <c r="D4537" s="120" t="str">
        <f>IFERROR(__xludf.DUMMYFUNCTION("""COMPUTED_VALUE"""),"United States")</f>
        <v>United States</v>
      </c>
      <c r="E4537" s="135"/>
      <c r="F4537" s="31"/>
    </row>
    <row r="4538">
      <c r="A4538" s="134" t="str">
        <f>IFERROR(__xludf.DUMMYFUNCTION("""COMPUTED_VALUE"""),"Lazaro Cardenas")</f>
        <v>Lazaro Cardenas</v>
      </c>
      <c r="B4538" s="120" t="str">
        <f>IFERROR(__xludf.DUMMYFUNCTION("""COMPUTED_VALUE"""),"LZC")</f>
        <v>LZC</v>
      </c>
      <c r="C4538" s="120" t="str">
        <f>IFERROR(__xludf.DUMMYFUNCTION("""COMPUTED_VALUE"""),"Lazaro Cardenas")</f>
        <v>Lazaro Cardenas</v>
      </c>
      <c r="D4538" s="120" t="str">
        <f>IFERROR(__xludf.DUMMYFUNCTION("""COMPUTED_VALUE"""),"Mexico")</f>
        <v>Mexico</v>
      </c>
      <c r="E4538" s="135"/>
      <c r="F4538" s="31"/>
    </row>
    <row r="4539">
      <c r="A4539" s="134" t="str">
        <f>IFERROR(__xludf.DUMMYFUNCTION("""COMPUTED_VALUE"""),"Le Castellet")</f>
        <v>Le Castellet</v>
      </c>
      <c r="B4539" s="120" t="str">
        <f>IFERROR(__xludf.DUMMYFUNCTION("""COMPUTED_VALUE"""),"CTT")</f>
        <v>CTT</v>
      </c>
      <c r="C4539" s="120" t="str">
        <f>IFERROR(__xludf.DUMMYFUNCTION("""COMPUTED_VALUE"""),"Le Castellet")</f>
        <v>Le Castellet</v>
      </c>
      <c r="D4539" s="120" t="str">
        <f>IFERROR(__xludf.DUMMYFUNCTION("""COMPUTED_VALUE"""),"France")</f>
        <v>France</v>
      </c>
      <c r="E4539" s="135"/>
      <c r="F4539" s="31"/>
    </row>
    <row r="4540">
      <c r="A4540" s="134" t="str">
        <f>IFERROR(__xludf.DUMMYFUNCTION("""COMPUTED_VALUE"""),"Le Havre")</f>
        <v>Le Havre</v>
      </c>
      <c r="B4540" s="120" t="str">
        <f>IFERROR(__xludf.DUMMYFUNCTION("""COMPUTED_VALUE"""),"LEH")</f>
        <v>LEH</v>
      </c>
      <c r="C4540" s="120" t="str">
        <f>IFERROR(__xludf.DUMMYFUNCTION("""COMPUTED_VALUE"""),"Octeville")</f>
        <v>Octeville</v>
      </c>
      <c r="D4540" s="120" t="str">
        <f>IFERROR(__xludf.DUMMYFUNCTION("""COMPUTED_VALUE"""),"France")</f>
        <v>France</v>
      </c>
      <c r="E4540" s="135"/>
      <c r="F4540" s="31"/>
    </row>
    <row r="4541">
      <c r="A4541" s="134" t="str">
        <f>IFERROR(__xludf.DUMMYFUNCTION("""COMPUTED_VALUE"""),"Le Mans")</f>
        <v>Le Mans</v>
      </c>
      <c r="B4541" s="120" t="str">
        <f>IFERROR(__xludf.DUMMYFUNCTION("""COMPUTED_VALUE"""),"LME")</f>
        <v>LME</v>
      </c>
      <c r="C4541" s="120" t="str">
        <f>IFERROR(__xludf.DUMMYFUNCTION("""COMPUTED_VALUE"""),"Arnage")</f>
        <v>Arnage</v>
      </c>
      <c r="D4541" s="120" t="str">
        <f>IFERROR(__xludf.DUMMYFUNCTION("""COMPUTED_VALUE"""),"France")</f>
        <v>France</v>
      </c>
      <c r="E4541" s="135"/>
      <c r="F4541" s="31"/>
    </row>
    <row r="4542">
      <c r="A4542" s="134" t="str">
        <f>IFERROR(__xludf.DUMMYFUNCTION("""COMPUTED_VALUE"""),"Le Puy")</f>
        <v>Le Puy</v>
      </c>
      <c r="B4542" s="120" t="str">
        <f>IFERROR(__xludf.DUMMYFUNCTION("""COMPUTED_VALUE"""),"LPY")</f>
        <v>LPY</v>
      </c>
      <c r="C4542" s="120" t="str">
        <f>IFERROR(__xludf.DUMMYFUNCTION("""COMPUTED_VALUE"""),"Loudes")</f>
        <v>Loudes</v>
      </c>
      <c r="D4542" s="120" t="str">
        <f>IFERROR(__xludf.DUMMYFUNCTION("""COMPUTED_VALUE"""),"France")</f>
        <v>France</v>
      </c>
      <c r="E4542" s="135"/>
      <c r="F4542" s="31"/>
    </row>
    <row r="4543">
      <c r="A4543" s="134" t="str">
        <f>IFERROR(__xludf.DUMMYFUNCTION("""COMPUTED_VALUE"""),"Le Touquet")</f>
        <v>Le Touquet</v>
      </c>
      <c r="B4543" s="120" t="str">
        <f>IFERROR(__xludf.DUMMYFUNCTION("""COMPUTED_VALUE"""),"LTQ")</f>
        <v>LTQ</v>
      </c>
      <c r="C4543" s="120" t="str">
        <f>IFERROR(__xludf.DUMMYFUNCTION("""COMPUTED_VALUE"""),"Le Touquet")</f>
        <v>Le Touquet</v>
      </c>
      <c r="D4543" s="120" t="str">
        <f>IFERROR(__xludf.DUMMYFUNCTION("""COMPUTED_VALUE"""),"France")</f>
        <v>France</v>
      </c>
      <c r="E4543" s="135"/>
      <c r="F4543" s="31"/>
    </row>
    <row r="4544">
      <c r="A4544" s="134" t="str">
        <f>IFERROR(__xludf.DUMMYFUNCTION("""COMPUTED_VALUE"""),"Leadville")</f>
        <v>Leadville</v>
      </c>
      <c r="B4544" s="120" t="str">
        <f>IFERROR(__xludf.DUMMYFUNCTION("""COMPUTED_VALUE"""),"LXV")</f>
        <v>LXV</v>
      </c>
      <c r="C4544" s="120" t="str">
        <f>IFERROR(__xludf.DUMMYFUNCTION("""COMPUTED_VALUE"""),"Leadville")</f>
        <v>Leadville</v>
      </c>
      <c r="D4544" s="120" t="str">
        <f>IFERROR(__xludf.DUMMYFUNCTION("""COMPUTED_VALUE"""),"United States")</f>
        <v>United States</v>
      </c>
      <c r="E4544" s="135"/>
      <c r="F4544" s="31"/>
    </row>
    <row r="4545">
      <c r="A4545" s="134" t="str">
        <f>IFERROR(__xludf.DUMMYFUNCTION("""COMPUTED_VALUE"""),"Leaf Bay")</f>
        <v>Leaf Bay</v>
      </c>
      <c r="B4545" s="120" t="str">
        <f>IFERROR(__xludf.DUMMYFUNCTION("""COMPUTED_VALUE"""),"XLF")</f>
        <v>XLF</v>
      </c>
      <c r="C4545" s="120" t="str">
        <f>IFERROR(__xludf.DUMMYFUNCTION("""COMPUTED_VALUE"""),"Leaf Bay")</f>
        <v>Leaf Bay</v>
      </c>
      <c r="D4545" s="120" t="str">
        <f>IFERROR(__xludf.DUMMYFUNCTION("""COMPUTED_VALUE"""),"Canada")</f>
        <v>Canada</v>
      </c>
      <c r="E4545" s="135"/>
      <c r="F4545" s="31"/>
    </row>
    <row r="4546">
      <c r="A4546" s="134" t="str">
        <f>IFERROR(__xludf.DUMMYFUNCTION("""COMPUTED_VALUE"""),"Leaf Rapids")</f>
        <v>Leaf Rapids</v>
      </c>
      <c r="B4546" s="120" t="str">
        <f>IFERROR(__xludf.DUMMYFUNCTION("""COMPUTED_VALUE"""),"YLR")</f>
        <v>YLR</v>
      </c>
      <c r="C4546" s="120" t="str">
        <f>IFERROR(__xludf.DUMMYFUNCTION("""COMPUTED_VALUE"""),"Leaf Rapids")</f>
        <v>Leaf Rapids</v>
      </c>
      <c r="D4546" s="120" t="str">
        <f>IFERROR(__xludf.DUMMYFUNCTION("""COMPUTED_VALUE"""),"Canada")</f>
        <v>Canada</v>
      </c>
      <c r="E4546" s="135"/>
      <c r="F4546" s="31"/>
    </row>
    <row r="4547">
      <c r="A4547" s="134" t="str">
        <f>IFERROR(__xludf.DUMMYFUNCTION("""COMPUTED_VALUE"""),"Learmonth")</f>
        <v>Learmonth</v>
      </c>
      <c r="B4547" s="120" t="str">
        <f>IFERROR(__xludf.DUMMYFUNCTION("""COMPUTED_VALUE"""),"LEA")</f>
        <v>LEA</v>
      </c>
      <c r="C4547" s="120" t="str">
        <f>IFERROR(__xludf.DUMMYFUNCTION("""COMPUTED_VALUE"""),"Learmonth")</f>
        <v>Learmonth</v>
      </c>
      <c r="D4547" s="120" t="str">
        <f>IFERROR(__xludf.DUMMYFUNCTION("""COMPUTED_VALUE"""),"Australia")</f>
        <v>Australia</v>
      </c>
      <c r="E4547" s="135"/>
      <c r="F4547" s="31"/>
    </row>
    <row r="4548">
      <c r="A4548" s="134" t="str">
        <f>IFERROR(__xludf.DUMMYFUNCTION("""COMPUTED_VALUE"""),"Lebakeng")</f>
        <v>Lebakeng</v>
      </c>
      <c r="B4548" s="120" t="str">
        <f>IFERROR(__xludf.DUMMYFUNCTION("""COMPUTED_VALUE"""),"LEF")</f>
        <v>LEF</v>
      </c>
      <c r="C4548" s="120" t="str">
        <f>IFERROR(__xludf.DUMMYFUNCTION("""COMPUTED_VALUE"""),"Lebakeng")</f>
        <v>Lebakeng</v>
      </c>
      <c r="D4548" s="120" t="str">
        <f>IFERROR(__xludf.DUMMYFUNCTION("""COMPUTED_VALUE"""),"Lesotho")</f>
        <v>Lesotho</v>
      </c>
      <c r="E4548" s="135"/>
      <c r="F4548" s="31"/>
    </row>
    <row r="4549">
      <c r="A4549" s="134" t="str">
        <f>IFERROR(__xludf.DUMMYFUNCTION("""COMPUTED_VALUE"""),"Lebel-Sur-Quevillon")</f>
        <v>Lebel-Sur-Quevillon</v>
      </c>
      <c r="B4549" s="120" t="str">
        <f>IFERROR(__xludf.DUMMYFUNCTION("""COMPUTED_VALUE"""),"YLS")</f>
        <v>YLS</v>
      </c>
      <c r="C4549" s="120" t="str">
        <f>IFERROR(__xludf.DUMMYFUNCTION("""COMPUTED_VALUE"""),"Lebel-Sur-Quevillon")</f>
        <v>Lebel-Sur-Quevillon</v>
      </c>
      <c r="D4549" s="120" t="str">
        <f>IFERROR(__xludf.DUMMYFUNCTION("""COMPUTED_VALUE"""),"Canada")</f>
        <v>Canada</v>
      </c>
      <c r="E4549" s="135"/>
      <c r="F4549" s="31"/>
    </row>
    <row r="4550">
      <c r="A4550" s="134" t="str">
        <f>IFERROR(__xludf.DUMMYFUNCTION("""COMPUTED_VALUE"""),"Lecce")</f>
        <v>Lecce</v>
      </c>
      <c r="B4550" s="120" t="str">
        <f>IFERROR(__xludf.DUMMYFUNCTION("""COMPUTED_VALUE"""),"LCC")</f>
        <v>LCC</v>
      </c>
      <c r="C4550" s="120" t="str">
        <f>IFERROR(__xludf.DUMMYFUNCTION("""COMPUTED_VALUE"""),"Galatina")</f>
        <v>Galatina</v>
      </c>
      <c r="D4550" s="120" t="str">
        <f>IFERROR(__xludf.DUMMYFUNCTION("""COMPUTED_VALUE"""),"Italy")</f>
        <v>Italy</v>
      </c>
      <c r="E4550" s="135"/>
      <c r="F4550" s="31"/>
    </row>
    <row r="4551">
      <c r="A4551" s="134" t="str">
        <f>IFERROR(__xludf.DUMMYFUNCTION("""COMPUTED_VALUE"""),"Leconi")</f>
        <v>Leconi</v>
      </c>
      <c r="B4551" s="120" t="str">
        <f>IFERROR(__xludf.DUMMYFUNCTION("""COMPUTED_VALUE"""),"LEO")</f>
        <v>LEO</v>
      </c>
      <c r="C4551" s="120" t="str">
        <f>IFERROR(__xludf.DUMMYFUNCTION("""COMPUTED_VALUE"""),"Leconi")</f>
        <v>Leconi</v>
      </c>
      <c r="D4551" s="120" t="str">
        <f>IFERROR(__xludf.DUMMYFUNCTION("""COMPUTED_VALUE"""),"Gabon")</f>
        <v>Gabon</v>
      </c>
      <c r="E4551" s="135"/>
      <c r="F4551" s="31"/>
    </row>
    <row r="4552">
      <c r="A4552" s="134" t="str">
        <f>IFERROR(__xludf.DUMMYFUNCTION("""COMPUTED_VALUE"""),"Leeds")</f>
        <v>Leeds</v>
      </c>
      <c r="B4552" s="120" t="str">
        <f>IFERROR(__xludf.DUMMYFUNCTION("""COMPUTED_VALUE"""),"LBA")</f>
        <v>LBA</v>
      </c>
      <c r="C4552" s="120" t="str">
        <f>IFERROR(__xludf.DUMMYFUNCTION("""COMPUTED_VALUE"""),"Leeds/Bradford")</f>
        <v>Leeds/Bradford</v>
      </c>
      <c r="D4552" s="120" t="str">
        <f>IFERROR(__xludf.DUMMYFUNCTION("""COMPUTED_VALUE"""),"United Kingdom")</f>
        <v>United Kingdom</v>
      </c>
      <c r="E4552" s="135"/>
      <c r="F4552" s="31"/>
    </row>
    <row r="4553">
      <c r="A4553" s="134" t="str">
        <f>IFERROR(__xludf.DUMMYFUNCTION("""COMPUTED_VALUE"""),"Leesburg")</f>
        <v>Leesburg</v>
      </c>
      <c r="B4553" s="120" t="str">
        <f>IFERROR(__xludf.DUMMYFUNCTION("""COMPUTED_VALUE"""),"LEE")</f>
        <v>LEE</v>
      </c>
      <c r="C4553" s="120" t="str">
        <f>IFERROR(__xludf.DUMMYFUNCTION("""COMPUTED_VALUE"""),"Leesburg")</f>
        <v>Leesburg</v>
      </c>
      <c r="D4553" s="120" t="str">
        <f>IFERROR(__xludf.DUMMYFUNCTION("""COMPUTED_VALUE"""),"United States")</f>
        <v>United States</v>
      </c>
      <c r="E4553" s="135"/>
      <c r="F4553" s="31"/>
    </row>
    <row r="4554">
      <c r="A4554" s="134" t="str">
        <f>IFERROR(__xludf.DUMMYFUNCTION("""COMPUTED_VALUE"""),"Leeuwarden")</f>
        <v>Leeuwarden</v>
      </c>
      <c r="B4554" s="120" t="str">
        <f>IFERROR(__xludf.DUMMYFUNCTION("""COMPUTED_VALUE"""),"LWR")</f>
        <v>LWR</v>
      </c>
      <c r="C4554" s="120" t="str">
        <f>IFERROR(__xludf.DUMMYFUNCTION("""COMPUTED_VALUE"""),"Leeuwarden")</f>
        <v>Leeuwarden</v>
      </c>
      <c r="D4554" s="120" t="str">
        <f>IFERROR(__xludf.DUMMYFUNCTION("""COMPUTED_VALUE"""),"Netherlands")</f>
        <v>Netherlands</v>
      </c>
      <c r="E4554" s="135"/>
      <c r="F4554" s="31"/>
    </row>
    <row r="4555">
      <c r="A4555" s="134" t="str">
        <f>IFERROR(__xludf.DUMMYFUNCTION("""COMPUTED_VALUE"""),"Legazpi")</f>
        <v>Legazpi</v>
      </c>
      <c r="B4555" s="120" t="str">
        <f>IFERROR(__xludf.DUMMYFUNCTION("""COMPUTED_VALUE"""),"LGP")</f>
        <v>LGP</v>
      </c>
      <c r="C4555" s="120" t="str">
        <f>IFERROR(__xludf.DUMMYFUNCTION("""COMPUTED_VALUE"""),"Legazpi")</f>
        <v>Legazpi</v>
      </c>
      <c r="D4555" s="120" t="str">
        <f>IFERROR(__xludf.DUMMYFUNCTION("""COMPUTED_VALUE"""),"Philippines")</f>
        <v>Philippines</v>
      </c>
      <c r="E4555" s="135"/>
      <c r="F4555" s="31"/>
    </row>
    <row r="4556">
      <c r="A4556" s="134" t="str">
        <f>IFERROR(__xludf.DUMMYFUNCTION("""COMPUTED_VALUE"""),"Leguizamo")</f>
        <v>Leguizamo</v>
      </c>
      <c r="B4556" s="120" t="str">
        <f>IFERROR(__xludf.DUMMYFUNCTION("""COMPUTED_VALUE"""),"LGZ")</f>
        <v>LGZ</v>
      </c>
      <c r="C4556" s="120" t="str">
        <f>IFERROR(__xludf.DUMMYFUNCTION("""COMPUTED_VALUE"""),"Leguizamo")</f>
        <v>Leguizamo</v>
      </c>
      <c r="D4556" s="120" t="str">
        <f>IFERROR(__xludf.DUMMYFUNCTION("""COMPUTED_VALUE"""),"Colombia")</f>
        <v>Colombia</v>
      </c>
      <c r="E4556" s="135"/>
      <c r="F4556" s="31"/>
    </row>
    <row r="4557">
      <c r="A4557" s="134" t="str">
        <f>IFERROR(__xludf.DUMMYFUNCTION("""COMPUTED_VALUE"""),"Leh")</f>
        <v>Leh</v>
      </c>
      <c r="B4557" s="120" t="str">
        <f>IFERROR(__xludf.DUMMYFUNCTION("""COMPUTED_VALUE"""),"IXL")</f>
        <v>IXL</v>
      </c>
      <c r="C4557" s="120" t="str">
        <f>IFERROR(__xludf.DUMMYFUNCTION("""COMPUTED_VALUE"""),"Bakula Rimpoche")</f>
        <v>Bakula Rimpoche</v>
      </c>
      <c r="D4557" s="120" t="str">
        <f>IFERROR(__xludf.DUMMYFUNCTION("""COMPUTED_VALUE"""),"India")</f>
        <v>India</v>
      </c>
      <c r="E4557" s="135"/>
      <c r="F4557" s="31"/>
    </row>
    <row r="4558">
      <c r="A4558" s="134" t="str">
        <f>IFERROR(__xludf.DUMMYFUNCTION("""COMPUTED_VALUE"""),"Lehu")</f>
        <v>Lehu</v>
      </c>
      <c r="B4558" s="120" t="str">
        <f>IFERROR(__xludf.DUMMYFUNCTION("""COMPUTED_VALUE"""),"LHP")</f>
        <v>LHP</v>
      </c>
      <c r="C4558" s="120" t="str">
        <f>IFERROR(__xludf.DUMMYFUNCTION("""COMPUTED_VALUE"""),"Lehu")</f>
        <v>Lehu</v>
      </c>
      <c r="D4558" s="120" t="str">
        <f>IFERROR(__xludf.DUMMYFUNCTION("""COMPUTED_VALUE"""),"Papua New Guinea")</f>
        <v>Papua New Guinea</v>
      </c>
      <c r="E4558" s="135"/>
      <c r="F4558" s="31"/>
    </row>
    <row r="4559">
      <c r="A4559" s="134" t="str">
        <f>IFERROR(__xludf.DUMMYFUNCTION("""COMPUTED_VALUE"""),"Leiden")</f>
        <v>Leiden</v>
      </c>
      <c r="B4559" s="120" t="str">
        <f>IFERROR(__xludf.DUMMYFUNCTION("""COMPUTED_VALUE"""),"LID")</f>
        <v>LID</v>
      </c>
      <c r="C4559" s="120" t="str">
        <f>IFERROR(__xludf.DUMMYFUNCTION("""COMPUTED_VALUE"""),"Valkenburg")</f>
        <v>Valkenburg</v>
      </c>
      <c r="D4559" s="120" t="str">
        <f>IFERROR(__xludf.DUMMYFUNCTION("""COMPUTED_VALUE"""),"Netherlands")</f>
        <v>Netherlands</v>
      </c>
      <c r="E4559" s="135"/>
      <c r="F4559" s="31"/>
    </row>
    <row r="4560">
      <c r="A4560" s="134" t="str">
        <f>IFERROR(__xludf.DUMMYFUNCTION("""COMPUTED_VALUE"""),"Leigh Creek")</f>
        <v>Leigh Creek</v>
      </c>
      <c r="B4560" s="120" t="str">
        <f>IFERROR(__xludf.DUMMYFUNCTION("""COMPUTED_VALUE"""),"LGH")</f>
        <v>LGH</v>
      </c>
      <c r="C4560" s="120" t="str">
        <f>IFERROR(__xludf.DUMMYFUNCTION("""COMPUTED_VALUE"""),"Leigh Creek")</f>
        <v>Leigh Creek</v>
      </c>
      <c r="D4560" s="120" t="str">
        <f>IFERROR(__xludf.DUMMYFUNCTION("""COMPUTED_VALUE"""),"Australia")</f>
        <v>Australia</v>
      </c>
      <c r="E4560" s="135"/>
      <c r="F4560" s="31"/>
    </row>
    <row r="4561">
      <c r="A4561" s="134" t="str">
        <f>IFERROR(__xludf.DUMMYFUNCTION("""COMPUTED_VALUE"""),"Leinster")</f>
        <v>Leinster</v>
      </c>
      <c r="B4561" s="120" t="str">
        <f>IFERROR(__xludf.DUMMYFUNCTION("""COMPUTED_VALUE"""),"LER")</f>
        <v>LER</v>
      </c>
      <c r="C4561" s="120" t="str">
        <f>IFERROR(__xludf.DUMMYFUNCTION("""COMPUTED_VALUE"""),"Leinster")</f>
        <v>Leinster</v>
      </c>
      <c r="D4561" s="120" t="str">
        <f>IFERROR(__xludf.DUMMYFUNCTION("""COMPUTED_VALUE"""),"Australia")</f>
        <v>Australia</v>
      </c>
      <c r="E4561" s="135"/>
      <c r="F4561" s="31"/>
    </row>
    <row r="4562">
      <c r="A4562" s="134" t="str">
        <f>IFERROR(__xludf.DUMMYFUNCTION("""COMPUTED_VALUE"""),"Leipzig/Halle")</f>
        <v>Leipzig/Halle</v>
      </c>
      <c r="B4562" s="120" t="str">
        <f>IFERROR(__xludf.DUMMYFUNCTION("""COMPUTED_VALUE"""),"LEJ")</f>
        <v>LEJ</v>
      </c>
      <c r="C4562" s="120" t="str">
        <f>IFERROR(__xludf.DUMMYFUNCTION("""COMPUTED_VALUE"""),"Leipzig/Halle")</f>
        <v>Leipzig/Halle</v>
      </c>
      <c r="D4562" s="120" t="str">
        <f>IFERROR(__xludf.DUMMYFUNCTION("""COMPUTED_VALUE"""),"Germany")</f>
        <v>Germany</v>
      </c>
      <c r="E4562" s="135"/>
      <c r="F4562" s="31"/>
    </row>
    <row r="4563">
      <c r="A4563" s="134" t="str">
        <f>IFERROR(__xludf.DUMMYFUNCTION("""COMPUTED_VALUE"""),"Leitre")</f>
        <v>Leitre</v>
      </c>
      <c r="B4563" s="120" t="str">
        <f>IFERROR(__xludf.DUMMYFUNCTION("""COMPUTED_VALUE"""),"LTF")</f>
        <v>LTF</v>
      </c>
      <c r="C4563" s="120" t="str">
        <f>IFERROR(__xludf.DUMMYFUNCTION("""COMPUTED_VALUE"""),"Leitre")</f>
        <v>Leitre</v>
      </c>
      <c r="D4563" s="120" t="str">
        <f>IFERROR(__xludf.DUMMYFUNCTION("""COMPUTED_VALUE"""),"Papua New Guinea")</f>
        <v>Papua New Guinea</v>
      </c>
      <c r="E4563" s="135"/>
      <c r="F4563" s="31"/>
    </row>
    <row r="4564">
      <c r="A4564" s="134" t="str">
        <f>IFERROR(__xludf.DUMMYFUNCTION("""COMPUTED_VALUE"""),"Lekana")</f>
        <v>Lekana</v>
      </c>
      <c r="B4564" s="120" t="str">
        <f>IFERROR(__xludf.DUMMYFUNCTION("""COMPUTED_VALUE"""),"LKC")</f>
        <v>LKC</v>
      </c>
      <c r="C4564" s="120" t="str">
        <f>IFERROR(__xludf.DUMMYFUNCTION("""COMPUTED_VALUE"""),"Lekana")</f>
        <v>Lekana</v>
      </c>
      <c r="D4564" s="120" t="str">
        <f>IFERROR(__xludf.DUMMYFUNCTION("""COMPUTED_VALUE"""),"Congo")</f>
        <v>Congo</v>
      </c>
      <c r="E4564" s="135"/>
      <c r="F4564" s="31"/>
    </row>
    <row r="4565">
      <c r="A4565" s="134" t="str">
        <f>IFERROR(__xludf.DUMMYFUNCTION("""COMPUTED_VALUE"""),"Leknes")</f>
        <v>Leknes</v>
      </c>
      <c r="B4565" s="120" t="str">
        <f>IFERROR(__xludf.DUMMYFUNCTION("""COMPUTED_VALUE"""),"LKN")</f>
        <v>LKN</v>
      </c>
      <c r="C4565" s="120" t="str">
        <f>IFERROR(__xludf.DUMMYFUNCTION("""COMPUTED_VALUE"""),"Leknes")</f>
        <v>Leknes</v>
      </c>
      <c r="D4565" s="120" t="str">
        <f>IFERROR(__xludf.DUMMYFUNCTION("""COMPUTED_VALUE"""),"Norway")</f>
        <v>Norway</v>
      </c>
      <c r="E4565" s="135"/>
      <c r="F4565" s="31"/>
    </row>
    <row r="4566">
      <c r="A4566" s="134" t="str">
        <f>IFERROR(__xludf.DUMMYFUNCTION("""COMPUTED_VALUE"""),"Lelystad")</f>
        <v>Lelystad</v>
      </c>
      <c r="B4566" s="120" t="str">
        <f>IFERROR(__xludf.DUMMYFUNCTION("""COMPUTED_VALUE"""),"LEY")</f>
        <v>LEY</v>
      </c>
      <c r="C4566" s="120" t="str">
        <f>IFERROR(__xludf.DUMMYFUNCTION("""COMPUTED_VALUE"""),"Lelystad")</f>
        <v>Lelystad</v>
      </c>
      <c r="D4566" s="120" t="str">
        <f>IFERROR(__xludf.DUMMYFUNCTION("""COMPUTED_VALUE"""),"Netherlands")</f>
        <v>Netherlands</v>
      </c>
      <c r="E4566" s="135"/>
      <c r="F4566" s="31"/>
    </row>
    <row r="4567">
      <c r="A4567" s="134" t="str">
        <f>IFERROR(__xludf.DUMMYFUNCTION("""COMPUTED_VALUE"""),"Lemars")</f>
        <v>Lemars</v>
      </c>
      <c r="B4567" s="120" t="str">
        <f>IFERROR(__xludf.DUMMYFUNCTION("""COMPUTED_VALUE"""),"LRJ")</f>
        <v>LRJ</v>
      </c>
      <c r="C4567" s="120" t="str">
        <f>IFERROR(__xludf.DUMMYFUNCTION("""COMPUTED_VALUE"""),"Municipal")</f>
        <v>Municipal</v>
      </c>
      <c r="D4567" s="120" t="str">
        <f>IFERROR(__xludf.DUMMYFUNCTION("""COMPUTED_VALUE"""),"United States")</f>
        <v>United States</v>
      </c>
      <c r="E4567" s="135"/>
      <c r="F4567" s="31"/>
    </row>
    <row r="4568">
      <c r="A4568" s="134" t="str">
        <f>IFERROR(__xludf.DUMMYFUNCTION("""COMPUTED_VALUE"""),"Lemmon")</f>
        <v>Lemmon</v>
      </c>
      <c r="B4568" s="120" t="str">
        <f>IFERROR(__xludf.DUMMYFUNCTION("""COMPUTED_VALUE"""),"LEM")</f>
        <v>LEM</v>
      </c>
      <c r="C4568" s="120" t="str">
        <f>IFERROR(__xludf.DUMMYFUNCTION("""COMPUTED_VALUE"""),"Lemmon")</f>
        <v>Lemmon</v>
      </c>
      <c r="D4568" s="120" t="str">
        <f>IFERROR(__xludf.DUMMYFUNCTION("""COMPUTED_VALUE"""),"United States")</f>
        <v>United States</v>
      </c>
      <c r="E4568" s="135"/>
      <c r="F4568" s="31"/>
    </row>
    <row r="4569">
      <c r="A4569" s="134" t="str">
        <f>IFERROR(__xludf.DUMMYFUNCTION("""COMPUTED_VALUE"""),"Lemoore")</f>
        <v>Lemoore</v>
      </c>
      <c r="B4569" s="120" t="str">
        <f>IFERROR(__xludf.DUMMYFUNCTION("""COMPUTED_VALUE"""),"NLC")</f>
        <v>NLC</v>
      </c>
      <c r="C4569" s="120" t="str">
        <f>IFERROR(__xludf.DUMMYFUNCTION("""COMPUTED_VALUE"""),"NAS/Reeves Field")</f>
        <v>NAS/Reeves Field</v>
      </c>
      <c r="D4569" s="120" t="str">
        <f>IFERROR(__xludf.DUMMYFUNCTION("""COMPUTED_VALUE"""),"United States")</f>
        <v>United States</v>
      </c>
      <c r="E4569" s="135"/>
      <c r="F4569" s="31"/>
    </row>
    <row r="4570">
      <c r="A4570" s="134" t="str">
        <f>IFERROR(__xludf.DUMMYFUNCTION("""COMPUTED_VALUE"""),"Lemwerder")</f>
        <v>Lemwerder</v>
      </c>
      <c r="B4570" s="120" t="str">
        <f>IFERROR(__xludf.DUMMYFUNCTION("""COMPUTED_VALUE"""),"XLW")</f>
        <v>XLW</v>
      </c>
      <c r="C4570" s="120" t="str">
        <f>IFERROR(__xludf.DUMMYFUNCTION("""COMPUTED_VALUE"""),"Lemwerder")</f>
        <v>Lemwerder</v>
      </c>
      <c r="D4570" s="120" t="str">
        <f>IFERROR(__xludf.DUMMYFUNCTION("""COMPUTED_VALUE"""),"Germany")</f>
        <v>Germany</v>
      </c>
      <c r="E4570" s="135"/>
      <c r="F4570" s="31"/>
    </row>
    <row r="4571">
      <c r="A4571" s="134" t="str">
        <f>IFERROR(__xludf.DUMMYFUNCTION("""COMPUTED_VALUE"""),"Lencois")</f>
        <v>Lencois</v>
      </c>
      <c r="B4571" s="120" t="str">
        <f>IFERROR(__xludf.DUMMYFUNCTION("""COMPUTED_VALUE"""),"LEC")</f>
        <v>LEC</v>
      </c>
      <c r="C4571" s="120" t="str">
        <f>IFERROR(__xludf.DUMMYFUNCTION("""COMPUTED_VALUE"""),"Chapada Diamantina")</f>
        <v>Chapada Diamantina</v>
      </c>
      <c r="D4571" s="120" t="str">
        <f>IFERROR(__xludf.DUMMYFUNCTION("""COMPUTED_VALUE"""),"Brazil")</f>
        <v>Brazil</v>
      </c>
      <c r="E4571" s="135"/>
      <c r="F4571" s="31"/>
    </row>
    <row r="4572">
      <c r="A4572" s="134" t="str">
        <f>IFERROR(__xludf.DUMMYFUNCTION("""COMPUTED_VALUE"""),"Lengbati")</f>
        <v>Lengbati</v>
      </c>
      <c r="B4572" s="120" t="str">
        <f>IFERROR(__xludf.DUMMYFUNCTION("""COMPUTED_VALUE"""),"LNC")</f>
        <v>LNC</v>
      </c>
      <c r="C4572" s="120" t="str">
        <f>IFERROR(__xludf.DUMMYFUNCTION("""COMPUTED_VALUE"""),"Lengbati")</f>
        <v>Lengbati</v>
      </c>
      <c r="D4572" s="120" t="str">
        <f>IFERROR(__xludf.DUMMYFUNCTION("""COMPUTED_VALUE"""),"Papua New Guinea")</f>
        <v>Papua New Guinea</v>
      </c>
      <c r="E4572" s="135"/>
      <c r="F4572" s="31"/>
    </row>
    <row r="4573">
      <c r="A4573" s="134" t="str">
        <f>IFERROR(__xludf.DUMMYFUNCTION("""COMPUTED_VALUE"""),"Leo")</f>
        <v>Leo</v>
      </c>
      <c r="B4573" s="120" t="str">
        <f>IFERROR(__xludf.DUMMYFUNCTION("""COMPUTED_VALUE"""),"XLU")</f>
        <v>XLU</v>
      </c>
      <c r="C4573" s="120" t="str">
        <f>IFERROR(__xludf.DUMMYFUNCTION("""COMPUTED_VALUE"""),"Leo")</f>
        <v>Leo</v>
      </c>
      <c r="D4573" s="120" t="str">
        <f>IFERROR(__xludf.DUMMYFUNCTION("""COMPUTED_VALUE"""),"Burkina Faso")</f>
        <v>Burkina Faso</v>
      </c>
      <c r="E4573" s="135"/>
      <c r="F4573" s="31"/>
    </row>
    <row r="4574">
      <c r="A4574" s="134" t="str">
        <f>IFERROR(__xludf.DUMMYFUNCTION("""COMPUTED_VALUE"""),"Leon")</f>
        <v>Leon</v>
      </c>
      <c r="B4574" s="120" t="str">
        <f>IFERROR(__xludf.DUMMYFUNCTION("""COMPUTED_VALUE"""),"LEN")</f>
        <v>LEN</v>
      </c>
      <c r="C4574" s="120" t="str">
        <f>IFERROR(__xludf.DUMMYFUNCTION("""COMPUTED_VALUE"""),"Aeropuero de Bajio")</f>
        <v>Aeropuero de Bajio</v>
      </c>
      <c r="D4574" s="120" t="str">
        <f>IFERROR(__xludf.DUMMYFUNCTION("""COMPUTED_VALUE"""),"Spain")</f>
        <v>Spain</v>
      </c>
      <c r="E4574" s="135"/>
      <c r="F4574" s="31"/>
    </row>
    <row r="4575">
      <c r="A4575" s="134" t="str">
        <f>IFERROR(__xludf.DUMMYFUNCTION("""COMPUTED_VALUE"""),"Leon/Guanajuato")</f>
        <v>Leon/Guanajuato</v>
      </c>
      <c r="B4575" s="120" t="str">
        <f>IFERROR(__xludf.DUMMYFUNCTION("""COMPUTED_VALUE"""),"BJX")</f>
        <v>BJX</v>
      </c>
      <c r="C4575" s="120" t="str">
        <f>IFERROR(__xludf.DUMMYFUNCTION("""COMPUTED_VALUE"""),"Del Bajio")</f>
        <v>Del Bajio</v>
      </c>
      <c r="D4575" s="120" t="str">
        <f>IFERROR(__xludf.DUMMYFUNCTION("""COMPUTED_VALUE"""),"Mexico")</f>
        <v>Mexico</v>
      </c>
      <c r="E4575" s="135"/>
      <c r="F4575" s="31"/>
    </row>
    <row r="4576">
      <c r="A4576" s="134" t="str">
        <f>IFERROR(__xludf.DUMMYFUNCTION("""COMPUTED_VALUE"""),"Leonardtown")</f>
        <v>Leonardtown</v>
      </c>
      <c r="B4576" s="120" t="str">
        <f>IFERROR(__xludf.DUMMYFUNCTION("""COMPUTED_VALUE"""),"LTW")</f>
        <v>LTW</v>
      </c>
      <c r="C4576" s="120" t="str">
        <f>IFERROR(__xludf.DUMMYFUNCTION("""COMPUTED_VALUE"""),"St Marys County")</f>
        <v>St Marys County</v>
      </c>
      <c r="D4576" s="120" t="str">
        <f>IFERROR(__xludf.DUMMYFUNCTION("""COMPUTED_VALUE"""),"United States")</f>
        <v>United States</v>
      </c>
      <c r="E4576" s="135"/>
      <c r="F4576" s="31"/>
    </row>
    <row r="4577">
      <c r="A4577" s="134" t="str">
        <f>IFERROR(__xludf.DUMMYFUNCTION("""COMPUTED_VALUE"""),"Leonora")</f>
        <v>Leonora</v>
      </c>
      <c r="B4577" s="120" t="str">
        <f>IFERROR(__xludf.DUMMYFUNCTION("""COMPUTED_VALUE"""),"LNO")</f>
        <v>LNO</v>
      </c>
      <c r="C4577" s="120" t="str">
        <f>IFERROR(__xludf.DUMMYFUNCTION("""COMPUTED_VALUE"""),"Leonora")</f>
        <v>Leonora</v>
      </c>
      <c r="D4577" s="120" t="str">
        <f>IFERROR(__xludf.DUMMYFUNCTION("""COMPUTED_VALUE"""),"Australia")</f>
        <v>Australia</v>
      </c>
      <c r="E4577" s="135"/>
      <c r="F4577" s="31"/>
    </row>
    <row r="4578">
      <c r="A4578" s="134" t="str">
        <f>IFERROR(__xludf.DUMMYFUNCTION("""COMPUTED_VALUE"""),"Leopoldina")</f>
        <v>Leopoldina</v>
      </c>
      <c r="B4578" s="120" t="str">
        <f>IFERROR(__xludf.DUMMYFUNCTION("""COMPUTED_VALUE"""),"LEP")</f>
        <v>LEP</v>
      </c>
      <c r="C4578" s="120" t="str">
        <f>IFERROR(__xludf.DUMMYFUNCTION("""COMPUTED_VALUE"""),"Leopoldina")</f>
        <v>Leopoldina</v>
      </c>
      <c r="D4578" s="120" t="str">
        <f>IFERROR(__xludf.DUMMYFUNCTION("""COMPUTED_VALUE"""),"Brazil")</f>
        <v>Brazil</v>
      </c>
      <c r="E4578" s="135"/>
      <c r="F4578" s="31"/>
    </row>
    <row r="4579">
      <c r="A4579" s="134" t="str">
        <f>IFERROR(__xludf.DUMMYFUNCTION("""COMPUTED_VALUE"""),"Lereh")</f>
        <v>Lereh</v>
      </c>
      <c r="B4579" s="120" t="str">
        <f>IFERROR(__xludf.DUMMYFUNCTION("""COMPUTED_VALUE"""),"LHI")</f>
        <v>LHI</v>
      </c>
      <c r="C4579" s="120" t="str">
        <f>IFERROR(__xludf.DUMMYFUNCTION("""COMPUTED_VALUE"""),"Lereh")</f>
        <v>Lereh</v>
      </c>
      <c r="D4579" s="120" t="str">
        <f>IFERROR(__xludf.DUMMYFUNCTION("""COMPUTED_VALUE"""),"Indonesia")</f>
        <v>Indonesia</v>
      </c>
      <c r="E4579" s="135"/>
      <c r="F4579" s="31"/>
    </row>
    <row r="4580">
      <c r="A4580" s="134" t="str">
        <f>IFERROR(__xludf.DUMMYFUNCTION("""COMPUTED_VALUE"""),"Leribe")</f>
        <v>Leribe</v>
      </c>
      <c r="B4580" s="120" t="str">
        <f>IFERROR(__xludf.DUMMYFUNCTION("""COMPUTED_VALUE"""),"LRB")</f>
        <v>LRB</v>
      </c>
      <c r="C4580" s="120" t="str">
        <f>IFERROR(__xludf.DUMMYFUNCTION("""COMPUTED_VALUE"""),"Leribe")</f>
        <v>Leribe</v>
      </c>
      <c r="D4580" s="120" t="str">
        <f>IFERROR(__xludf.DUMMYFUNCTION("""COMPUTED_VALUE"""),"Lesotho")</f>
        <v>Lesotho</v>
      </c>
      <c r="E4580" s="135"/>
      <c r="F4580" s="31"/>
    </row>
    <row r="4581">
      <c r="A4581" s="134" t="str">
        <f>IFERROR(__xludf.DUMMYFUNCTION("""COMPUTED_VALUE"""),"Leron Plains")</f>
        <v>Leron Plains</v>
      </c>
      <c r="B4581" s="120" t="str">
        <f>IFERROR(__xludf.DUMMYFUNCTION("""COMPUTED_VALUE"""),"LPN")</f>
        <v>LPN</v>
      </c>
      <c r="C4581" s="120" t="str">
        <f>IFERROR(__xludf.DUMMYFUNCTION("""COMPUTED_VALUE"""),"Leron Plains")</f>
        <v>Leron Plains</v>
      </c>
      <c r="D4581" s="120" t="str">
        <f>IFERROR(__xludf.DUMMYFUNCTION("""COMPUTED_VALUE"""),"Papua New Guinea")</f>
        <v>Papua New Guinea</v>
      </c>
      <c r="E4581" s="135"/>
      <c r="F4581" s="31"/>
    </row>
    <row r="4582">
      <c r="A4582" s="134" t="str">
        <f>IFERROR(__xludf.DUMMYFUNCTION("""COMPUTED_VALUE"""),"Leros")</f>
        <v>Leros</v>
      </c>
      <c r="B4582" s="120" t="str">
        <f>IFERROR(__xludf.DUMMYFUNCTION("""COMPUTED_VALUE"""),"LRS")</f>
        <v>LRS</v>
      </c>
      <c r="C4582" s="120" t="str">
        <f>IFERROR(__xludf.DUMMYFUNCTION("""COMPUTED_VALUE"""),"Leros")</f>
        <v>Leros</v>
      </c>
      <c r="D4582" s="120" t="str">
        <f>IFERROR(__xludf.DUMMYFUNCTION("""COMPUTED_VALUE"""),"Greece")</f>
        <v>Greece</v>
      </c>
      <c r="E4582" s="135"/>
      <c r="F4582" s="31"/>
    </row>
    <row r="4583">
      <c r="A4583" s="134" t="str">
        <f>IFERROR(__xludf.DUMMYFUNCTION("""COMPUTED_VALUE"""),"Les Cayes")</f>
        <v>Les Cayes</v>
      </c>
      <c r="B4583" s="120" t="str">
        <f>IFERROR(__xludf.DUMMYFUNCTION("""COMPUTED_VALUE"""),"CYA")</f>
        <v>CYA</v>
      </c>
      <c r="C4583" s="120" t="str">
        <f>IFERROR(__xludf.DUMMYFUNCTION("""COMPUTED_VALUE"""),"Les Cayes")</f>
        <v>Les Cayes</v>
      </c>
      <c r="D4583" s="120" t="str">
        <f>IFERROR(__xludf.DUMMYFUNCTION("""COMPUTED_VALUE"""),"Haiti")</f>
        <v>Haiti</v>
      </c>
      <c r="E4583" s="135"/>
      <c r="F4583" s="31"/>
    </row>
    <row r="4584">
      <c r="A4584" s="134" t="str">
        <f>IFERROR(__xludf.DUMMYFUNCTION("""COMPUTED_VALUE"""),"Les Sables")</f>
        <v>Les Sables</v>
      </c>
      <c r="B4584" s="120" t="str">
        <f>IFERROR(__xludf.DUMMYFUNCTION("""COMPUTED_VALUE"""),"LSO")</f>
        <v>LSO</v>
      </c>
      <c r="C4584" s="120" t="str">
        <f>IFERROR(__xludf.DUMMYFUNCTION("""COMPUTED_VALUE"""),"Talmont")</f>
        <v>Talmont</v>
      </c>
      <c r="D4584" s="120" t="str">
        <f>IFERROR(__xludf.DUMMYFUNCTION("""COMPUTED_VALUE"""),"France")</f>
        <v>France</v>
      </c>
      <c r="E4584" s="135"/>
      <c r="F4584" s="31"/>
    </row>
    <row r="4585">
      <c r="A4585" s="134" t="str">
        <f>IFERROR(__xludf.DUMMYFUNCTION("""COMPUTED_VALUE"""),"Lese")</f>
        <v>Lese</v>
      </c>
      <c r="B4585" s="120" t="str">
        <f>IFERROR(__xludf.DUMMYFUNCTION("""COMPUTED_VALUE"""),"LNG")</f>
        <v>LNG</v>
      </c>
      <c r="C4585" s="120" t="str">
        <f>IFERROR(__xludf.DUMMYFUNCTION("""COMPUTED_VALUE"""),"Lese")</f>
        <v>Lese</v>
      </c>
      <c r="D4585" s="120" t="str">
        <f>IFERROR(__xludf.DUMMYFUNCTION("""COMPUTED_VALUE"""),"Papua New Guinea")</f>
        <v>Papua New Guinea</v>
      </c>
      <c r="E4585" s="135"/>
      <c r="F4585" s="31"/>
    </row>
    <row r="4586">
      <c r="A4586" s="134" t="str">
        <f>IFERROR(__xludf.DUMMYFUNCTION("""COMPUTED_VALUE"""),"Leshukonskoye")</f>
        <v>Leshukonskoye</v>
      </c>
      <c r="B4586" s="120" t="str">
        <f>IFERROR(__xludf.DUMMYFUNCTION("""COMPUTED_VALUE"""),"LDG")</f>
        <v>LDG</v>
      </c>
      <c r="C4586" s="120" t="str">
        <f>IFERROR(__xludf.DUMMYFUNCTION("""COMPUTED_VALUE"""),"Leshukonskoye")</f>
        <v>Leshukonskoye</v>
      </c>
      <c r="D4586" s="120" t="str">
        <f>IFERROR(__xludf.DUMMYFUNCTION("""COMPUTED_VALUE"""),"Russia")</f>
        <v>Russia</v>
      </c>
      <c r="E4586" s="135"/>
      <c r="F4586" s="31"/>
    </row>
    <row r="4587">
      <c r="A4587" s="134" t="str">
        <f>IFERROR(__xludf.DUMMYFUNCTION("""COMPUTED_VALUE"""),"Lesobeng")</f>
        <v>Lesobeng</v>
      </c>
      <c r="B4587" s="120" t="str">
        <f>IFERROR(__xludf.DUMMYFUNCTION("""COMPUTED_VALUE"""),"LES")</f>
        <v>LES</v>
      </c>
      <c r="C4587" s="120" t="str">
        <f>IFERROR(__xludf.DUMMYFUNCTION("""COMPUTED_VALUE"""),"Lesobeng")</f>
        <v>Lesobeng</v>
      </c>
      <c r="D4587" s="120" t="str">
        <f>IFERROR(__xludf.DUMMYFUNCTION("""COMPUTED_VALUE"""),"Lesotho")</f>
        <v>Lesotho</v>
      </c>
      <c r="E4587" s="135"/>
      <c r="F4587" s="31"/>
    </row>
    <row r="4588">
      <c r="A4588" s="134" t="str">
        <f>IFERROR(__xludf.DUMMYFUNCTION("""COMPUTED_VALUE"""),"Lethbridge")</f>
        <v>Lethbridge</v>
      </c>
      <c r="B4588" s="120" t="str">
        <f>IFERROR(__xludf.DUMMYFUNCTION("""COMPUTED_VALUE"""),"YQL")</f>
        <v>YQL</v>
      </c>
      <c r="C4588" s="120" t="str">
        <f>IFERROR(__xludf.DUMMYFUNCTION("""COMPUTED_VALUE"""),"Lethbridge")</f>
        <v>Lethbridge</v>
      </c>
      <c r="D4588" s="120" t="str">
        <f>IFERROR(__xludf.DUMMYFUNCTION("""COMPUTED_VALUE"""),"Canada")</f>
        <v>Canada</v>
      </c>
      <c r="E4588" s="135"/>
      <c r="F4588" s="31"/>
    </row>
    <row r="4589">
      <c r="A4589" s="134" t="str">
        <f>IFERROR(__xludf.DUMMYFUNCTION("""COMPUTED_VALUE"""),"Lethem")</f>
        <v>Lethem</v>
      </c>
      <c r="B4589" s="120" t="str">
        <f>IFERROR(__xludf.DUMMYFUNCTION("""COMPUTED_VALUE"""),"LTM")</f>
        <v>LTM</v>
      </c>
      <c r="C4589" s="120" t="str">
        <f>IFERROR(__xludf.DUMMYFUNCTION("""COMPUTED_VALUE"""),"Lethem")</f>
        <v>Lethem</v>
      </c>
      <c r="D4589" s="120" t="str">
        <f>IFERROR(__xludf.DUMMYFUNCTION("""COMPUTED_VALUE"""),"Guyana")</f>
        <v>Guyana</v>
      </c>
      <c r="E4589" s="135"/>
      <c r="F4589" s="31"/>
    </row>
    <row r="4590">
      <c r="A4590" s="134" t="str">
        <f>IFERROR(__xludf.DUMMYFUNCTION("""COMPUTED_VALUE"""),"Leticia")</f>
        <v>Leticia</v>
      </c>
      <c r="B4590" s="120" t="str">
        <f>IFERROR(__xludf.DUMMYFUNCTION("""COMPUTED_VALUE"""),"LET")</f>
        <v>LET</v>
      </c>
      <c r="C4590" s="120" t="str">
        <f>IFERROR(__xludf.DUMMYFUNCTION("""COMPUTED_VALUE"""),"Gen. A.V. Cobo")</f>
        <v>Gen. A.V. Cobo</v>
      </c>
      <c r="D4590" s="120" t="str">
        <f>IFERROR(__xludf.DUMMYFUNCTION("""COMPUTED_VALUE"""),"Colombia")</f>
        <v>Colombia</v>
      </c>
      <c r="E4590" s="135"/>
      <c r="F4590" s="31"/>
    </row>
    <row r="4591">
      <c r="A4591" s="134" t="str">
        <f>IFERROR(__xludf.DUMMYFUNCTION("""COMPUTED_VALUE"""),"Letterkenny")</f>
        <v>Letterkenny</v>
      </c>
      <c r="B4591" s="120" t="str">
        <f>IFERROR(__xludf.DUMMYFUNCTION("""COMPUTED_VALUE"""),"LTR")</f>
        <v>LTR</v>
      </c>
      <c r="C4591" s="120" t="str">
        <f>IFERROR(__xludf.DUMMYFUNCTION("""COMPUTED_VALUE"""),"Letterkenny")</f>
        <v>Letterkenny</v>
      </c>
      <c r="D4591" s="120" t="str">
        <f>IFERROR(__xludf.DUMMYFUNCTION("""COMPUTED_VALUE"""),"Ireland")</f>
        <v>Ireland</v>
      </c>
      <c r="E4591" s="135"/>
      <c r="F4591" s="31"/>
    </row>
    <row r="4592">
      <c r="A4592" s="134" t="str">
        <f>IFERROR(__xludf.DUMMYFUNCTION("""COMPUTED_VALUE"""),"Levanger")</f>
        <v>Levanger</v>
      </c>
      <c r="B4592" s="120" t="str">
        <f>IFERROR(__xludf.DUMMYFUNCTION("""COMPUTED_VALUE"""),"XUH")</f>
        <v>XUH</v>
      </c>
      <c r="C4592" s="120" t="str">
        <f>IFERROR(__xludf.DUMMYFUNCTION("""COMPUTED_VALUE"""),"Levanger Railway")</f>
        <v>Levanger Railway</v>
      </c>
      <c r="D4592" s="120" t="str">
        <f>IFERROR(__xludf.DUMMYFUNCTION("""COMPUTED_VALUE"""),"Norway")</f>
        <v>Norway</v>
      </c>
      <c r="E4592" s="135"/>
      <c r="F4592" s="31"/>
    </row>
    <row r="4593">
      <c r="A4593" s="134" t="str">
        <f>IFERROR(__xludf.DUMMYFUNCTION("""COMPUTED_VALUE"""),"Levelock")</f>
        <v>Levelock</v>
      </c>
      <c r="B4593" s="120" t="str">
        <f>IFERROR(__xludf.DUMMYFUNCTION("""COMPUTED_VALUE"""),"KLL")</f>
        <v>KLL</v>
      </c>
      <c r="C4593" s="120" t="str">
        <f>IFERROR(__xludf.DUMMYFUNCTION("""COMPUTED_VALUE"""),"Levelock")</f>
        <v>Levelock</v>
      </c>
      <c r="D4593" s="120" t="str">
        <f>IFERROR(__xludf.DUMMYFUNCTION("""COMPUTED_VALUE"""),"United States")</f>
        <v>United States</v>
      </c>
      <c r="E4593" s="135"/>
      <c r="F4593" s="31"/>
    </row>
    <row r="4594">
      <c r="A4594" s="134" t="str">
        <f>IFERROR(__xludf.DUMMYFUNCTION("""COMPUTED_VALUE"""),"Lewisburg")</f>
        <v>Lewisburg</v>
      </c>
      <c r="B4594" s="120" t="str">
        <f>IFERROR(__xludf.DUMMYFUNCTION("""COMPUTED_VALUE"""),"LWB")</f>
        <v>LWB</v>
      </c>
      <c r="C4594" s="120" t="str">
        <f>IFERROR(__xludf.DUMMYFUNCTION("""COMPUTED_VALUE"""),"Greenbrier Valley")</f>
        <v>Greenbrier Valley</v>
      </c>
      <c r="D4594" s="120" t="str">
        <f>IFERROR(__xludf.DUMMYFUNCTION("""COMPUTED_VALUE"""),"United States")</f>
        <v>United States</v>
      </c>
      <c r="E4594" s="135"/>
      <c r="F4594" s="31"/>
    </row>
    <row r="4595">
      <c r="A4595" s="134" t="str">
        <f>IFERROR(__xludf.DUMMYFUNCTION("""COMPUTED_VALUE"""),"Lewiston")</f>
        <v>Lewiston</v>
      </c>
      <c r="B4595" s="120" t="str">
        <f>IFERROR(__xludf.DUMMYFUNCTION("""COMPUTED_VALUE"""),"LWS")</f>
        <v>LWS</v>
      </c>
      <c r="C4595" s="120" t="str">
        <f>IFERROR(__xludf.DUMMYFUNCTION("""COMPUTED_VALUE"""),"Nez Perce County Rgnl")</f>
        <v>Nez Perce County Rgnl</v>
      </c>
      <c r="D4595" s="120" t="str">
        <f>IFERROR(__xludf.DUMMYFUNCTION("""COMPUTED_VALUE"""),"United States")</f>
        <v>United States</v>
      </c>
      <c r="E4595" s="135"/>
      <c r="F4595" s="31"/>
    </row>
    <row r="4596">
      <c r="A4596" s="134" t="str">
        <f>IFERROR(__xludf.DUMMYFUNCTION("""COMPUTED_VALUE"""),"Lewiston")</f>
        <v>Lewiston</v>
      </c>
      <c r="B4596" s="120" t="str">
        <f>IFERROR(__xludf.DUMMYFUNCTION("""COMPUTED_VALUE"""),"LEW")</f>
        <v>LEW</v>
      </c>
      <c r="C4596" s="120" t="str">
        <f>IFERROR(__xludf.DUMMYFUNCTION("""COMPUTED_VALUE"""),"Auburn")</f>
        <v>Auburn</v>
      </c>
      <c r="D4596" s="120" t="str">
        <f>IFERROR(__xludf.DUMMYFUNCTION("""COMPUTED_VALUE"""),"United States")</f>
        <v>United States</v>
      </c>
      <c r="E4596" s="135"/>
      <c r="F4596" s="31"/>
    </row>
    <row r="4597">
      <c r="A4597" s="134" t="str">
        <f>IFERROR(__xludf.DUMMYFUNCTION("""COMPUTED_VALUE"""),"Lewistown")</f>
        <v>Lewistown</v>
      </c>
      <c r="B4597" s="120" t="str">
        <f>IFERROR(__xludf.DUMMYFUNCTION("""COMPUTED_VALUE"""),"LWT")</f>
        <v>LWT</v>
      </c>
      <c r="C4597" s="120" t="str">
        <f>IFERROR(__xludf.DUMMYFUNCTION("""COMPUTED_VALUE"""),"Municipal")</f>
        <v>Municipal</v>
      </c>
      <c r="D4597" s="120" t="str">
        <f>IFERROR(__xludf.DUMMYFUNCTION("""COMPUTED_VALUE"""),"United States")</f>
        <v>United States</v>
      </c>
      <c r="E4597" s="135"/>
      <c r="F4597" s="31"/>
    </row>
    <row r="4598">
      <c r="A4598" s="134" t="str">
        <f>IFERROR(__xludf.DUMMYFUNCTION("""COMPUTED_VALUE"""),"Lewoleba")</f>
        <v>Lewoleba</v>
      </c>
      <c r="B4598" s="120" t="str">
        <f>IFERROR(__xludf.DUMMYFUNCTION("""COMPUTED_VALUE"""),"LWE")</f>
        <v>LWE</v>
      </c>
      <c r="C4598" s="120" t="str">
        <f>IFERROR(__xludf.DUMMYFUNCTION("""COMPUTED_VALUE"""),"Lewoleba")</f>
        <v>Lewoleba</v>
      </c>
      <c r="D4598" s="120" t="str">
        <f>IFERROR(__xludf.DUMMYFUNCTION("""COMPUTED_VALUE"""),"Indonesia")</f>
        <v>Indonesia</v>
      </c>
      <c r="E4598" s="135"/>
      <c r="F4598" s="31"/>
    </row>
    <row r="4599">
      <c r="A4599" s="134" t="str">
        <f>IFERROR(__xludf.DUMMYFUNCTION("""COMPUTED_VALUE"""),"Lexington")</f>
        <v>Lexington</v>
      </c>
      <c r="B4599" s="120" t="str">
        <f>IFERROR(__xludf.DUMMYFUNCTION("""COMPUTED_VALUE"""),"LEX")</f>
        <v>LEX</v>
      </c>
      <c r="C4599" s="120" t="str">
        <f>IFERROR(__xludf.DUMMYFUNCTION("""COMPUTED_VALUE"""),"Blue Grass")</f>
        <v>Blue Grass</v>
      </c>
      <c r="D4599" s="120" t="str">
        <f>IFERROR(__xludf.DUMMYFUNCTION("""COMPUTED_VALUE"""),"United States")</f>
        <v>United States</v>
      </c>
      <c r="E4599" s="135"/>
      <c r="F4599" s="31"/>
    </row>
    <row r="4600">
      <c r="A4600" s="134" t="str">
        <f>IFERROR(__xludf.DUMMYFUNCTION("""COMPUTED_VALUE"""),"Lexington")</f>
        <v>Lexington</v>
      </c>
      <c r="B4600" s="120" t="str">
        <f>IFERROR(__xludf.DUMMYFUNCTION("""COMPUTED_VALUE"""),"LSD")</f>
        <v>LSD</v>
      </c>
      <c r="C4600" s="120" t="str">
        <f>IFERROR(__xludf.DUMMYFUNCTION("""COMPUTED_VALUE"""),"Creech AAF")</f>
        <v>Creech AAF</v>
      </c>
      <c r="D4600" s="120" t="str">
        <f>IFERROR(__xludf.DUMMYFUNCTION("""COMPUTED_VALUE"""),"United States")</f>
        <v>United States</v>
      </c>
      <c r="E4600" s="135"/>
      <c r="F4600" s="31"/>
    </row>
    <row r="4601">
      <c r="A4601" s="134" t="str">
        <f>IFERROR(__xludf.DUMMYFUNCTION("""COMPUTED_VALUE"""),"Lexington")</f>
        <v>Lexington</v>
      </c>
      <c r="B4601" s="120" t="str">
        <f>IFERROR(__xludf.DUMMYFUNCTION("""COMPUTED_VALUE"""),"LXN")</f>
        <v>LXN</v>
      </c>
      <c r="C4601" s="120" t="str">
        <f>IFERROR(__xludf.DUMMYFUNCTION("""COMPUTED_VALUE"""),"Lexington")</f>
        <v>Lexington</v>
      </c>
      <c r="D4601" s="120" t="str">
        <f>IFERROR(__xludf.DUMMYFUNCTION("""COMPUTED_VALUE"""),"United States")</f>
        <v>United States</v>
      </c>
      <c r="E4601" s="135"/>
      <c r="F4601" s="31"/>
    </row>
    <row r="4602">
      <c r="A4602" s="134" t="str">
        <f>IFERROR(__xludf.DUMMYFUNCTION("""COMPUTED_VALUE"""),"Lhasa")</f>
        <v>Lhasa</v>
      </c>
      <c r="B4602" s="120" t="str">
        <f>IFERROR(__xludf.DUMMYFUNCTION("""COMPUTED_VALUE"""),"LXA")</f>
        <v>LXA</v>
      </c>
      <c r="C4602" s="120" t="str">
        <f>IFERROR(__xludf.DUMMYFUNCTION("""COMPUTED_VALUE"""),"Lhasa")</f>
        <v>Lhasa</v>
      </c>
      <c r="D4602" s="120" t="str">
        <f>IFERROR(__xludf.DUMMYFUNCTION("""COMPUTED_VALUE"""),"China")</f>
        <v>China</v>
      </c>
      <c r="E4602" s="135"/>
      <c r="F4602" s="31"/>
    </row>
    <row r="4603">
      <c r="A4603" s="134" t="str">
        <f>IFERROR(__xludf.DUMMYFUNCTION("""COMPUTED_VALUE"""),"Lhok Sukon")</f>
        <v>Lhok Sukon</v>
      </c>
      <c r="B4603" s="120" t="str">
        <f>IFERROR(__xludf.DUMMYFUNCTION("""COMPUTED_VALUE"""),"LSX")</f>
        <v>LSX</v>
      </c>
      <c r="C4603" s="120" t="str">
        <f>IFERROR(__xludf.DUMMYFUNCTION("""COMPUTED_VALUE"""),"Lhok Sukon")</f>
        <v>Lhok Sukon</v>
      </c>
      <c r="D4603" s="120" t="str">
        <f>IFERROR(__xludf.DUMMYFUNCTION("""COMPUTED_VALUE"""),"Indonesia")</f>
        <v>Indonesia</v>
      </c>
      <c r="E4603" s="135"/>
      <c r="F4603" s="31"/>
    </row>
    <row r="4604">
      <c r="A4604" s="134" t="str">
        <f>IFERROR(__xludf.DUMMYFUNCTION("""COMPUTED_VALUE"""),"Lhoksumawe")</f>
        <v>Lhoksumawe</v>
      </c>
      <c r="B4604" s="120" t="str">
        <f>IFERROR(__xludf.DUMMYFUNCTION("""COMPUTED_VALUE"""),"LSW")</f>
        <v>LSW</v>
      </c>
      <c r="C4604" s="120" t="str">
        <f>IFERROR(__xludf.DUMMYFUNCTION("""COMPUTED_VALUE"""),"Lhoksumawe")</f>
        <v>Lhoksumawe</v>
      </c>
      <c r="D4604" s="120" t="str">
        <f>IFERROR(__xludf.DUMMYFUNCTION("""COMPUTED_VALUE"""),"Indonesia")</f>
        <v>Indonesia</v>
      </c>
      <c r="E4604" s="135"/>
      <c r="F4604" s="31"/>
    </row>
    <row r="4605">
      <c r="A4605" s="134" t="str">
        <f>IFERROR(__xludf.DUMMYFUNCTION("""COMPUTED_VALUE"""),"Liangping")</f>
        <v>Liangping</v>
      </c>
      <c r="B4605" s="120" t="str">
        <f>IFERROR(__xludf.DUMMYFUNCTION("""COMPUTED_VALUE"""),"LIA")</f>
        <v>LIA</v>
      </c>
      <c r="C4605" s="120" t="str">
        <f>IFERROR(__xludf.DUMMYFUNCTION("""COMPUTED_VALUE"""),"Liangping")</f>
        <v>Liangping</v>
      </c>
      <c r="D4605" s="120" t="str">
        <f>IFERROR(__xludf.DUMMYFUNCTION("""COMPUTED_VALUE"""),"China")</f>
        <v>China</v>
      </c>
      <c r="E4605" s="135"/>
      <c r="F4605" s="31"/>
    </row>
    <row r="4606">
      <c r="A4606" s="134" t="str">
        <f>IFERROR(__xludf.DUMMYFUNCTION("""COMPUTED_VALUE"""),"Lianhuashan")</f>
        <v>Lianhuashan</v>
      </c>
      <c r="B4606" s="120" t="str">
        <f>IFERROR(__xludf.DUMMYFUNCTION("""COMPUTED_VALUE"""),"ZIY")</f>
        <v>ZIY</v>
      </c>
      <c r="C4606" s="120" t="str">
        <f>IFERROR(__xludf.DUMMYFUNCTION("""COMPUTED_VALUE"""),"Lianhuashan Port")</f>
        <v>Lianhuashan Port</v>
      </c>
      <c r="D4606" s="120" t="str">
        <f>IFERROR(__xludf.DUMMYFUNCTION("""COMPUTED_VALUE"""),"China")</f>
        <v>China</v>
      </c>
      <c r="E4606" s="135"/>
      <c r="F4606" s="31"/>
    </row>
    <row r="4607">
      <c r="A4607" s="134" t="str">
        <f>IFERROR(__xludf.DUMMYFUNCTION("""COMPUTED_VALUE"""),"Lianyungang")</f>
        <v>Lianyungang</v>
      </c>
      <c r="B4607" s="120" t="str">
        <f>IFERROR(__xludf.DUMMYFUNCTION("""COMPUTED_VALUE"""),"LYG")</f>
        <v>LYG</v>
      </c>
      <c r="C4607" s="120" t="str">
        <f>IFERROR(__xludf.DUMMYFUNCTION("""COMPUTED_VALUE"""),"Lianyungang")</f>
        <v>Lianyungang</v>
      </c>
      <c r="D4607" s="120" t="str">
        <f>IFERROR(__xludf.DUMMYFUNCTION("""COMPUTED_VALUE"""),"China")</f>
        <v>China</v>
      </c>
      <c r="E4607" s="135"/>
      <c r="F4607" s="31"/>
    </row>
    <row r="4608">
      <c r="A4608" s="134" t="str">
        <f>IFERROR(__xludf.DUMMYFUNCTION("""COMPUTED_VALUE"""),"Libenge")</f>
        <v>Libenge</v>
      </c>
      <c r="B4608" s="120" t="str">
        <f>IFERROR(__xludf.DUMMYFUNCTION("""COMPUTED_VALUE"""),"LIE")</f>
        <v>LIE</v>
      </c>
      <c r="C4608" s="120" t="str">
        <f>IFERROR(__xludf.DUMMYFUNCTION("""COMPUTED_VALUE"""),"Libenge")</f>
        <v>Libenge</v>
      </c>
      <c r="D4608" s="120" t="str">
        <f>IFERROR(__xludf.DUMMYFUNCTION("""COMPUTED_VALUE"""),"Zaire")</f>
        <v>Zaire</v>
      </c>
      <c r="E4608" s="135"/>
      <c r="F4608" s="31"/>
    </row>
    <row r="4609">
      <c r="A4609" s="134" t="str">
        <f>IFERROR(__xludf.DUMMYFUNCTION("""COMPUTED_VALUE"""),"Liberal")</f>
        <v>Liberal</v>
      </c>
      <c r="B4609" s="120" t="str">
        <f>IFERROR(__xludf.DUMMYFUNCTION("""COMPUTED_VALUE"""),"LBL")</f>
        <v>LBL</v>
      </c>
      <c r="C4609" s="120" t="str">
        <f>IFERROR(__xludf.DUMMYFUNCTION("""COMPUTED_VALUE"""),"Municipal")</f>
        <v>Municipal</v>
      </c>
      <c r="D4609" s="120" t="str">
        <f>IFERROR(__xludf.DUMMYFUNCTION("""COMPUTED_VALUE"""),"United States")</f>
        <v>United States</v>
      </c>
      <c r="E4609" s="135"/>
      <c r="F4609" s="31"/>
    </row>
    <row r="4610">
      <c r="A4610" s="134" t="str">
        <f>IFERROR(__xludf.DUMMYFUNCTION("""COMPUTED_VALUE"""),"Liberia")</f>
        <v>Liberia</v>
      </c>
      <c r="B4610" s="120" t="str">
        <f>IFERROR(__xludf.DUMMYFUNCTION("""COMPUTED_VALUE"""),"LIR")</f>
        <v>LIR</v>
      </c>
      <c r="C4610" s="120" t="str">
        <f>IFERROR(__xludf.DUMMYFUNCTION("""COMPUTED_VALUE"""),"Liberia")</f>
        <v>Liberia</v>
      </c>
      <c r="D4610" s="120" t="str">
        <f>IFERROR(__xludf.DUMMYFUNCTION("""COMPUTED_VALUE"""),"Costa Rica")</f>
        <v>Costa Rica</v>
      </c>
      <c r="E4610" s="135"/>
      <c r="F4610" s="31"/>
    </row>
    <row r="4611">
      <c r="A4611" s="134" t="str">
        <f>IFERROR(__xludf.DUMMYFUNCTION("""COMPUTED_VALUE"""),"Liboi")</f>
        <v>Liboi</v>
      </c>
      <c r="B4611" s="120" t="str">
        <f>IFERROR(__xludf.DUMMYFUNCTION("""COMPUTED_VALUE"""),"LBK")</f>
        <v>LBK</v>
      </c>
      <c r="C4611" s="120" t="str">
        <f>IFERROR(__xludf.DUMMYFUNCTION("""COMPUTED_VALUE"""),"Liboi")</f>
        <v>Liboi</v>
      </c>
      <c r="D4611" s="120" t="str">
        <f>IFERROR(__xludf.DUMMYFUNCTION("""COMPUTED_VALUE"""),"Kenya")</f>
        <v>Kenya</v>
      </c>
      <c r="E4611" s="135"/>
      <c r="F4611" s="31"/>
    </row>
    <row r="4612">
      <c r="A4612" s="134" t="str">
        <f>IFERROR(__xludf.DUMMYFUNCTION("""COMPUTED_VALUE"""),"Libreville")</f>
        <v>Libreville</v>
      </c>
      <c r="B4612" s="120" t="str">
        <f>IFERROR(__xludf.DUMMYFUNCTION("""COMPUTED_VALUE"""),"LBV")</f>
        <v>LBV</v>
      </c>
      <c r="C4612" s="120" t="str">
        <f>IFERROR(__xludf.DUMMYFUNCTION("""COMPUTED_VALUE"""),"Libreville")</f>
        <v>Libreville</v>
      </c>
      <c r="D4612" s="120" t="str">
        <f>IFERROR(__xludf.DUMMYFUNCTION("""COMPUTED_VALUE"""),"Gabon")</f>
        <v>Gabon</v>
      </c>
      <c r="E4612" s="135"/>
      <c r="F4612" s="31"/>
    </row>
    <row r="4613">
      <c r="A4613" s="134" t="str">
        <f>IFERROR(__xludf.DUMMYFUNCTION("""COMPUTED_VALUE"""),"Lichinga")</f>
        <v>Lichinga</v>
      </c>
      <c r="B4613" s="120" t="str">
        <f>IFERROR(__xludf.DUMMYFUNCTION("""COMPUTED_VALUE"""),"VXC")</f>
        <v>VXC</v>
      </c>
      <c r="C4613" s="120" t="str">
        <f>IFERROR(__xludf.DUMMYFUNCTION("""COMPUTED_VALUE"""),"Lichinga")</f>
        <v>Lichinga</v>
      </c>
      <c r="D4613" s="120" t="str">
        <f>IFERROR(__xludf.DUMMYFUNCTION("""COMPUTED_VALUE"""),"Mozambique")</f>
        <v>Mozambique</v>
      </c>
      <c r="E4613" s="135"/>
      <c r="F4613" s="31"/>
    </row>
    <row r="4614">
      <c r="A4614" s="134" t="str">
        <f>IFERROR(__xludf.DUMMYFUNCTION("""COMPUTED_VALUE"""),"Lidkoping")</f>
        <v>Lidkoping</v>
      </c>
      <c r="B4614" s="120" t="str">
        <f>IFERROR(__xludf.DUMMYFUNCTION("""COMPUTED_VALUE"""),"LDK")</f>
        <v>LDK</v>
      </c>
      <c r="C4614" s="120" t="str">
        <f>IFERROR(__xludf.DUMMYFUNCTION("""COMPUTED_VALUE"""),"Hovby")</f>
        <v>Hovby</v>
      </c>
      <c r="D4614" s="120" t="str">
        <f>IFERROR(__xludf.DUMMYFUNCTION("""COMPUTED_VALUE"""),"Sweden")</f>
        <v>Sweden</v>
      </c>
      <c r="E4614" s="135"/>
      <c r="F4614" s="31"/>
    </row>
    <row r="4615">
      <c r="A4615" s="134" t="str">
        <f>IFERROR(__xludf.DUMMYFUNCTION("""COMPUTED_VALUE"""),"Liege")</f>
        <v>Liege</v>
      </c>
      <c r="B4615" s="120" t="str">
        <f>IFERROR(__xludf.DUMMYFUNCTION("""COMPUTED_VALUE"""),"LGG")</f>
        <v>LGG</v>
      </c>
      <c r="C4615" s="120" t="str">
        <f>IFERROR(__xludf.DUMMYFUNCTION("""COMPUTED_VALUE"""),"Bierset")</f>
        <v>Bierset</v>
      </c>
      <c r="D4615" s="120" t="str">
        <f>IFERROR(__xludf.DUMMYFUNCTION("""COMPUTED_VALUE"""),"Belgium")</f>
        <v>Belgium</v>
      </c>
      <c r="E4615" s="135"/>
      <c r="F4615" s="31"/>
    </row>
    <row r="4616">
      <c r="A4616" s="134" t="str">
        <f>IFERROR(__xludf.DUMMYFUNCTION("""COMPUTED_VALUE"""),"Liege")</f>
        <v>Liege</v>
      </c>
      <c r="B4616" s="120" t="str">
        <f>IFERROR(__xludf.DUMMYFUNCTION("""COMPUTED_VALUE"""),"XHN")</f>
        <v>XHN</v>
      </c>
      <c r="C4616" s="120" t="str">
        <f>IFERROR(__xludf.DUMMYFUNCTION("""COMPUTED_VALUE"""),"Guillemins, Raiway Stn")</f>
        <v>Guillemins, Raiway Stn</v>
      </c>
      <c r="D4616" s="120" t="str">
        <f>IFERROR(__xludf.DUMMYFUNCTION("""COMPUTED_VALUE"""),"Belgium")</f>
        <v>Belgium</v>
      </c>
      <c r="E4616" s="135"/>
      <c r="F4616" s="31"/>
    </row>
    <row r="4617">
      <c r="A4617" s="134" t="str">
        <f>IFERROR(__xludf.DUMMYFUNCTION("""COMPUTED_VALUE"""),"Liepaya")</f>
        <v>Liepaya</v>
      </c>
      <c r="B4617" s="120" t="str">
        <f>IFERROR(__xludf.DUMMYFUNCTION("""COMPUTED_VALUE"""),"LPX")</f>
        <v>LPX</v>
      </c>
      <c r="C4617" s="120" t="str">
        <f>IFERROR(__xludf.DUMMYFUNCTION("""COMPUTED_VALUE"""),"Liepaya")</f>
        <v>Liepaya</v>
      </c>
      <c r="D4617" s="120" t="str">
        <f>IFERROR(__xludf.DUMMYFUNCTION("""COMPUTED_VALUE"""),"Latvia")</f>
        <v>Latvia</v>
      </c>
      <c r="E4617" s="135"/>
      <c r="F4617" s="31"/>
    </row>
    <row r="4618">
      <c r="A4618" s="134" t="str">
        <f>IFERROR(__xludf.DUMMYFUNCTION("""COMPUTED_VALUE"""),"Lifou")</f>
        <v>Lifou</v>
      </c>
      <c r="B4618" s="120" t="str">
        <f>IFERROR(__xludf.DUMMYFUNCTION("""COMPUTED_VALUE"""),"LIF")</f>
        <v>LIF</v>
      </c>
      <c r="C4618" s="120" t="str">
        <f>IFERROR(__xludf.DUMMYFUNCTION("""COMPUTED_VALUE"""),"Lifou")</f>
        <v>Lifou</v>
      </c>
      <c r="D4618" s="120" t="str">
        <f>IFERROR(__xludf.DUMMYFUNCTION("""COMPUTED_VALUE"""),"New Caledonia")</f>
        <v>New Caledonia</v>
      </c>
      <c r="E4618" s="135"/>
      <c r="F4618" s="31"/>
    </row>
    <row r="4619">
      <c r="A4619" s="134" t="str">
        <f>IFERROR(__xludf.DUMMYFUNCTION("""COMPUTED_VALUE"""),"Lightning Ridge")</f>
        <v>Lightning Ridge</v>
      </c>
      <c r="B4619" s="120" t="str">
        <f>IFERROR(__xludf.DUMMYFUNCTION("""COMPUTED_VALUE"""),"LHG")</f>
        <v>LHG</v>
      </c>
      <c r="C4619" s="120" t="str">
        <f>IFERROR(__xludf.DUMMYFUNCTION("""COMPUTED_VALUE"""),"Lightning Ridge")</f>
        <v>Lightning Ridge</v>
      </c>
      <c r="D4619" s="120" t="str">
        <f>IFERROR(__xludf.DUMMYFUNCTION("""COMPUTED_VALUE"""),"Australia")</f>
        <v>Australia</v>
      </c>
      <c r="E4619" s="135"/>
      <c r="F4619" s="31"/>
    </row>
    <row r="4620">
      <c r="A4620" s="134" t="str">
        <f>IFERROR(__xludf.DUMMYFUNCTION("""COMPUTED_VALUE"""),"Lihir Island")</f>
        <v>Lihir Island</v>
      </c>
      <c r="B4620" s="120" t="str">
        <f>IFERROR(__xludf.DUMMYFUNCTION("""COMPUTED_VALUE"""),"LNV")</f>
        <v>LNV</v>
      </c>
      <c r="C4620" s="120" t="str">
        <f>IFERROR(__xludf.DUMMYFUNCTION("""COMPUTED_VALUE"""),"Lihir Island")</f>
        <v>Lihir Island</v>
      </c>
      <c r="D4620" s="120" t="str">
        <f>IFERROR(__xludf.DUMMYFUNCTION("""COMPUTED_VALUE"""),"Papua New Guinea")</f>
        <v>Papua New Guinea</v>
      </c>
      <c r="E4620" s="135"/>
      <c r="F4620" s="31"/>
    </row>
    <row r="4621">
      <c r="A4621" s="134" t="str">
        <f>IFERROR(__xludf.DUMMYFUNCTION("""COMPUTED_VALUE"""),"Lijiang City")</f>
        <v>Lijiang City</v>
      </c>
      <c r="B4621" s="120" t="str">
        <f>IFERROR(__xludf.DUMMYFUNCTION("""COMPUTED_VALUE"""),"LJG")</f>
        <v>LJG</v>
      </c>
      <c r="C4621" s="120" t="str">
        <f>IFERROR(__xludf.DUMMYFUNCTION("""COMPUTED_VALUE"""),"Lijiang")</f>
        <v>Lijiang</v>
      </c>
      <c r="D4621" s="120" t="str">
        <f>IFERROR(__xludf.DUMMYFUNCTION("""COMPUTED_VALUE"""),"China")</f>
        <v>China</v>
      </c>
      <c r="E4621" s="135"/>
      <c r="F4621" s="31"/>
    </row>
    <row r="4622">
      <c r="A4622" s="134" t="str">
        <f>IFERROR(__xludf.DUMMYFUNCTION("""COMPUTED_VALUE"""),"Likiep Island")</f>
        <v>Likiep Island</v>
      </c>
      <c r="B4622" s="120" t="str">
        <f>IFERROR(__xludf.DUMMYFUNCTION("""COMPUTED_VALUE"""),"LIK")</f>
        <v>LIK</v>
      </c>
      <c r="C4622" s="120" t="str">
        <f>IFERROR(__xludf.DUMMYFUNCTION("""COMPUTED_VALUE"""),"Likiep Island")</f>
        <v>Likiep Island</v>
      </c>
      <c r="D4622" s="120" t="str">
        <f>IFERROR(__xludf.DUMMYFUNCTION("""COMPUTED_VALUE"""),"Marshall Islands")</f>
        <v>Marshall Islands</v>
      </c>
      <c r="E4622" s="135"/>
      <c r="F4622" s="31"/>
    </row>
    <row r="4623">
      <c r="A4623" s="134" t="str">
        <f>IFERROR(__xludf.DUMMYFUNCTION("""COMPUTED_VALUE"""),"Likoma Island")</f>
        <v>Likoma Island</v>
      </c>
      <c r="B4623" s="120" t="str">
        <f>IFERROR(__xludf.DUMMYFUNCTION("""COMPUTED_VALUE"""),"LIX")</f>
        <v>LIX</v>
      </c>
      <c r="C4623" s="120" t="str">
        <f>IFERROR(__xludf.DUMMYFUNCTION("""COMPUTED_VALUE"""),"Likoma")</f>
        <v>Likoma</v>
      </c>
      <c r="D4623" s="120" t="str">
        <f>IFERROR(__xludf.DUMMYFUNCTION("""COMPUTED_VALUE"""),"Malawi")</f>
        <v>Malawi</v>
      </c>
      <c r="E4623" s="135"/>
      <c r="F4623" s="31"/>
    </row>
    <row r="4624">
      <c r="A4624" s="134" t="str">
        <f>IFERROR(__xludf.DUMMYFUNCTION("""COMPUTED_VALUE"""),"Lilabari")</f>
        <v>Lilabari</v>
      </c>
      <c r="B4624" s="120" t="str">
        <f>IFERROR(__xludf.DUMMYFUNCTION("""COMPUTED_VALUE"""),"IXI")</f>
        <v>IXI</v>
      </c>
      <c r="C4624" s="120" t="str">
        <f>IFERROR(__xludf.DUMMYFUNCTION("""COMPUTED_VALUE"""),"Lilabari")</f>
        <v>Lilabari</v>
      </c>
      <c r="D4624" s="120" t="str">
        <f>IFERROR(__xludf.DUMMYFUNCTION("""COMPUTED_VALUE"""),"India")</f>
        <v>India</v>
      </c>
      <c r="E4624" s="135"/>
      <c r="F4624" s="31"/>
    </row>
    <row r="4625">
      <c r="A4625" s="134" t="str">
        <f>IFERROR(__xludf.DUMMYFUNCTION("""COMPUTED_VALUE"""),"Lille")</f>
        <v>Lille</v>
      </c>
      <c r="B4625" s="120" t="str">
        <f>IFERROR(__xludf.DUMMYFUNCTION("""COMPUTED_VALUE"""),"LIL")</f>
        <v>LIL</v>
      </c>
      <c r="C4625" s="120" t="str">
        <f>IFERROR(__xludf.DUMMYFUNCTION("""COMPUTED_VALUE"""),"Lesquin")</f>
        <v>Lesquin</v>
      </c>
      <c r="D4625" s="120" t="str">
        <f>IFERROR(__xludf.DUMMYFUNCTION("""COMPUTED_VALUE"""),"France")</f>
        <v>France</v>
      </c>
      <c r="E4625" s="135"/>
      <c r="F4625" s="31"/>
    </row>
    <row r="4626">
      <c r="A4626" s="134" t="str">
        <f>IFERROR(__xludf.DUMMYFUNCTION("""COMPUTED_VALUE"""),"Lille")</f>
        <v>Lille</v>
      </c>
      <c r="B4626" s="120" t="str">
        <f>IFERROR(__xludf.DUMMYFUNCTION("""COMPUTED_VALUE"""),"XDB")</f>
        <v>XDB</v>
      </c>
      <c r="C4626" s="120" t="str">
        <f>IFERROR(__xludf.DUMMYFUNCTION("""COMPUTED_VALUE"""),"Lille Europe Rail Svc")</f>
        <v>Lille Europe Rail Svc</v>
      </c>
      <c r="D4626" s="120" t="str">
        <f>IFERROR(__xludf.DUMMYFUNCTION("""COMPUTED_VALUE"""),"France")</f>
        <v>France</v>
      </c>
      <c r="E4626" s="135"/>
      <c r="F4626" s="31"/>
    </row>
    <row r="4627">
      <c r="A4627" s="134" t="str">
        <f>IFERROR(__xludf.DUMMYFUNCTION("""COMPUTED_VALUE"""),"Lille")</f>
        <v>Lille</v>
      </c>
      <c r="B4627" s="120" t="str">
        <f>IFERROR(__xludf.DUMMYFUNCTION("""COMPUTED_VALUE"""),"XFA")</f>
        <v>XFA</v>
      </c>
      <c r="C4627" s="120" t="str">
        <f>IFERROR(__xludf.DUMMYFUNCTION("""COMPUTED_VALUE"""),"Lille Flanders Rail Sv")</f>
        <v>Lille Flanders Rail Sv</v>
      </c>
      <c r="D4627" s="120" t="str">
        <f>IFERROR(__xludf.DUMMYFUNCTION("""COMPUTED_VALUE"""),"France")</f>
        <v>France</v>
      </c>
      <c r="E4627" s="135"/>
      <c r="F4627" s="31"/>
    </row>
    <row r="4628">
      <c r="A4628" s="134" t="str">
        <f>IFERROR(__xludf.DUMMYFUNCTION("""COMPUTED_VALUE"""),"Lillehammer")</f>
        <v>Lillehammer</v>
      </c>
      <c r="B4628" s="120" t="str">
        <f>IFERROR(__xludf.DUMMYFUNCTION("""COMPUTED_VALUE"""),"XXL")</f>
        <v>XXL</v>
      </c>
      <c r="C4628" s="120" t="str">
        <f>IFERROR(__xludf.DUMMYFUNCTION("""COMPUTED_VALUE"""),"Lillehammer Rail")</f>
        <v>Lillehammer Rail</v>
      </c>
      <c r="D4628" s="120" t="str">
        <f>IFERROR(__xludf.DUMMYFUNCTION("""COMPUTED_VALUE"""),"Norway")</f>
        <v>Norway</v>
      </c>
      <c r="E4628" s="135"/>
      <c r="F4628" s="31"/>
    </row>
    <row r="4629">
      <c r="A4629" s="134" t="str">
        <f>IFERROR(__xludf.DUMMYFUNCTION("""COMPUTED_VALUE"""),"Lillestrom")</f>
        <v>Lillestrom</v>
      </c>
      <c r="B4629" s="120" t="str">
        <f>IFERROR(__xludf.DUMMYFUNCTION("""COMPUTED_VALUE"""),"XKI")</f>
        <v>XKI</v>
      </c>
      <c r="C4629" s="120" t="str">
        <f>IFERROR(__xludf.DUMMYFUNCTION("""COMPUTED_VALUE"""),"Lillestrom Rail Stn.")</f>
        <v>Lillestrom Rail Stn.</v>
      </c>
      <c r="D4629" s="120" t="str">
        <f>IFERROR(__xludf.DUMMYFUNCTION("""COMPUTED_VALUE"""),"Norway")</f>
        <v>Norway</v>
      </c>
      <c r="E4629" s="135"/>
      <c r="F4629" s="31"/>
    </row>
    <row r="4630">
      <c r="A4630" s="134" t="str">
        <f>IFERROR(__xludf.DUMMYFUNCTION("""COMPUTED_VALUE"""),"Lilongwe")</f>
        <v>Lilongwe</v>
      </c>
      <c r="B4630" s="120" t="str">
        <f>IFERROR(__xludf.DUMMYFUNCTION("""COMPUTED_VALUE"""),"LLW")</f>
        <v>LLW</v>
      </c>
      <c r="C4630" s="120" t="str">
        <f>IFERROR(__xludf.DUMMYFUNCTION("""COMPUTED_VALUE"""),"Lilongwe International")</f>
        <v>Lilongwe International</v>
      </c>
      <c r="D4630" s="120" t="str">
        <f>IFERROR(__xludf.DUMMYFUNCTION("""COMPUTED_VALUE"""),"Malawi")</f>
        <v>Malawi</v>
      </c>
      <c r="E4630" s="135"/>
      <c r="F4630" s="31"/>
    </row>
    <row r="4631">
      <c r="A4631" s="134" t="str">
        <f>IFERROR(__xludf.DUMMYFUNCTION("""COMPUTED_VALUE"""),"Lima")</f>
        <v>Lima</v>
      </c>
      <c r="B4631" s="120" t="str">
        <f>IFERROR(__xludf.DUMMYFUNCTION("""COMPUTED_VALUE"""),"AOH")</f>
        <v>AOH</v>
      </c>
      <c r="C4631" s="120" t="str">
        <f>IFERROR(__xludf.DUMMYFUNCTION("""COMPUTED_VALUE"""),"Allen County")</f>
        <v>Allen County</v>
      </c>
      <c r="D4631" s="120" t="str">
        <f>IFERROR(__xludf.DUMMYFUNCTION("""COMPUTED_VALUE"""),"United States")</f>
        <v>United States</v>
      </c>
      <c r="E4631" s="135"/>
      <c r="F4631" s="31"/>
    </row>
    <row r="4632">
      <c r="A4632" s="134" t="str">
        <f>IFERROR(__xludf.DUMMYFUNCTION("""COMPUTED_VALUE"""),"Lima")</f>
        <v>Lima</v>
      </c>
      <c r="B4632" s="120" t="str">
        <f>IFERROR(__xludf.DUMMYFUNCTION("""COMPUTED_VALUE"""),"LIM")</f>
        <v>LIM</v>
      </c>
      <c r="C4632" s="120" t="str">
        <f>IFERROR(__xludf.DUMMYFUNCTION("""COMPUTED_VALUE"""),"J Chavez Intl")</f>
        <v>J Chavez Intl</v>
      </c>
      <c r="D4632" s="120" t="str">
        <f>IFERROR(__xludf.DUMMYFUNCTION("""COMPUTED_VALUE"""),"Peru")</f>
        <v>Peru</v>
      </c>
      <c r="E4632" s="135"/>
      <c r="F4632" s="31"/>
    </row>
    <row r="4633">
      <c r="A4633" s="134" t="str">
        <f>IFERROR(__xludf.DUMMYFUNCTION("""COMPUTED_VALUE"""),"Limbang")</f>
        <v>Limbang</v>
      </c>
      <c r="B4633" s="120" t="str">
        <f>IFERROR(__xludf.DUMMYFUNCTION("""COMPUTED_VALUE"""),"LMN")</f>
        <v>LMN</v>
      </c>
      <c r="C4633" s="120" t="str">
        <f>IFERROR(__xludf.DUMMYFUNCTION("""COMPUTED_VALUE"""),"Limbang")</f>
        <v>Limbang</v>
      </c>
      <c r="D4633" s="120" t="str">
        <f>IFERROR(__xludf.DUMMYFUNCTION("""COMPUTED_VALUE"""),"Malaysia")</f>
        <v>Malaysia</v>
      </c>
      <c r="E4633" s="135"/>
      <c r="F4633" s="31"/>
    </row>
    <row r="4634">
      <c r="A4634" s="134" t="str">
        <f>IFERROR(__xludf.DUMMYFUNCTION("""COMPUTED_VALUE"""),"Limbe")</f>
        <v>Limbe</v>
      </c>
      <c r="B4634" s="120" t="str">
        <f>IFERROR(__xludf.DUMMYFUNCTION("""COMPUTED_VALUE"""),"VCC")</f>
        <v>VCC</v>
      </c>
      <c r="C4634" s="120" t="str">
        <f>IFERROR(__xludf.DUMMYFUNCTION("""COMPUTED_VALUE"""),"Limbe")</f>
        <v>Limbe</v>
      </c>
      <c r="D4634" s="120" t="str">
        <f>IFERROR(__xludf.DUMMYFUNCTION("""COMPUTED_VALUE"""),"Cameroon")</f>
        <v>Cameroon</v>
      </c>
      <c r="E4634" s="135"/>
      <c r="F4634" s="31"/>
    </row>
    <row r="4635">
      <c r="A4635" s="134" t="str">
        <f>IFERROR(__xludf.DUMMYFUNCTION("""COMPUTED_VALUE"""),"Limbunya")</f>
        <v>Limbunya</v>
      </c>
      <c r="B4635" s="120" t="str">
        <f>IFERROR(__xludf.DUMMYFUNCTION("""COMPUTED_VALUE"""),"LIB")</f>
        <v>LIB</v>
      </c>
      <c r="C4635" s="120" t="str">
        <f>IFERROR(__xludf.DUMMYFUNCTION("""COMPUTED_VALUE"""),"Limbunya")</f>
        <v>Limbunya</v>
      </c>
      <c r="D4635" s="120" t="str">
        <f>IFERROR(__xludf.DUMMYFUNCTION("""COMPUTED_VALUE"""),"Australia")</f>
        <v>Australia</v>
      </c>
      <c r="E4635" s="135"/>
      <c r="F4635" s="31"/>
    </row>
    <row r="4636">
      <c r="A4636" s="134" t="str">
        <f>IFERROR(__xludf.DUMMYFUNCTION("""COMPUTED_VALUE"""),"Lime Acres")</f>
        <v>Lime Acres</v>
      </c>
      <c r="B4636" s="120" t="str">
        <f>IFERROR(__xludf.DUMMYFUNCTION("""COMPUTED_VALUE"""),"LMR")</f>
        <v>LMR</v>
      </c>
      <c r="C4636" s="120" t="str">
        <f>IFERROR(__xludf.DUMMYFUNCTION("""COMPUTED_VALUE"""),"Lime Acres")</f>
        <v>Lime Acres</v>
      </c>
      <c r="D4636" s="120" t="str">
        <f>IFERROR(__xludf.DUMMYFUNCTION("""COMPUTED_VALUE"""),"South Africa")</f>
        <v>South Africa</v>
      </c>
      <c r="E4636" s="135"/>
      <c r="F4636" s="31"/>
    </row>
    <row r="4637">
      <c r="A4637" s="134" t="str">
        <f>IFERROR(__xludf.DUMMYFUNCTION("""COMPUTED_VALUE"""),"Lime Village")</f>
        <v>Lime Village</v>
      </c>
      <c r="B4637" s="120" t="str">
        <f>IFERROR(__xludf.DUMMYFUNCTION("""COMPUTED_VALUE"""),"LVD")</f>
        <v>LVD</v>
      </c>
      <c r="C4637" s="120" t="str">
        <f>IFERROR(__xludf.DUMMYFUNCTION("""COMPUTED_VALUE"""),"Lime Village")</f>
        <v>Lime Village</v>
      </c>
      <c r="D4637" s="120" t="str">
        <f>IFERROR(__xludf.DUMMYFUNCTION("""COMPUTED_VALUE"""),"United States")</f>
        <v>United States</v>
      </c>
      <c r="E4637" s="135"/>
      <c r="F4637" s="31"/>
    </row>
    <row r="4638">
      <c r="A4638" s="134" t="str">
        <f>IFERROR(__xludf.DUMMYFUNCTION("""COMPUTED_VALUE"""),"Limestone")</f>
        <v>Limestone</v>
      </c>
      <c r="B4638" s="120" t="str">
        <f>IFERROR(__xludf.DUMMYFUNCTION("""COMPUTED_VALUE"""),"LIZ")</f>
        <v>LIZ</v>
      </c>
      <c r="C4638" s="120" t="str">
        <f>IFERROR(__xludf.DUMMYFUNCTION("""COMPUTED_VALUE"""),"Loring AFB")</f>
        <v>Loring AFB</v>
      </c>
      <c r="D4638" s="120" t="str">
        <f>IFERROR(__xludf.DUMMYFUNCTION("""COMPUTED_VALUE"""),"United States")</f>
        <v>United States</v>
      </c>
      <c r="E4638" s="135"/>
      <c r="F4638" s="31"/>
    </row>
    <row r="4639">
      <c r="A4639" s="134" t="str">
        <f>IFERROR(__xludf.DUMMYFUNCTION("""COMPUTED_VALUE"""),"Limnos")</f>
        <v>Limnos</v>
      </c>
      <c r="B4639" s="120" t="str">
        <f>IFERROR(__xludf.DUMMYFUNCTION("""COMPUTED_VALUE"""),"LXS")</f>
        <v>LXS</v>
      </c>
      <c r="C4639" s="120" t="str">
        <f>IFERROR(__xludf.DUMMYFUNCTION("""COMPUTED_VALUE"""),"Limnos")</f>
        <v>Limnos</v>
      </c>
      <c r="D4639" s="120" t="str">
        <f>IFERROR(__xludf.DUMMYFUNCTION("""COMPUTED_VALUE"""),"Greece")</f>
        <v>Greece</v>
      </c>
      <c r="E4639" s="135"/>
      <c r="F4639" s="31"/>
    </row>
    <row r="4640">
      <c r="A4640" s="134" t="str">
        <f>IFERROR(__xludf.DUMMYFUNCTION("""COMPUTED_VALUE"""),"Limoges")</f>
        <v>Limoges</v>
      </c>
      <c r="B4640" s="120" t="str">
        <f>IFERROR(__xludf.DUMMYFUNCTION("""COMPUTED_VALUE"""),"LIG")</f>
        <v>LIG</v>
      </c>
      <c r="C4640" s="120" t="str">
        <f>IFERROR(__xludf.DUMMYFUNCTION("""COMPUTED_VALUE"""),"Bellegarde")</f>
        <v>Bellegarde</v>
      </c>
      <c r="D4640" s="120" t="str">
        <f>IFERROR(__xludf.DUMMYFUNCTION("""COMPUTED_VALUE"""),"France")</f>
        <v>France</v>
      </c>
      <c r="E4640" s="135"/>
      <c r="F4640" s="31"/>
    </row>
    <row r="4641">
      <c r="A4641" s="134" t="str">
        <f>IFERROR(__xludf.DUMMYFUNCTION("""COMPUTED_VALUE"""),"Limon")</f>
        <v>Limon</v>
      </c>
      <c r="B4641" s="120" t="str">
        <f>IFERROR(__xludf.DUMMYFUNCTION("""COMPUTED_VALUE"""),"LIC")</f>
        <v>LIC</v>
      </c>
      <c r="C4641" s="120" t="str">
        <f>IFERROR(__xludf.DUMMYFUNCTION("""COMPUTED_VALUE"""),"Municipal")</f>
        <v>Municipal</v>
      </c>
      <c r="D4641" s="120" t="str">
        <f>IFERROR(__xludf.DUMMYFUNCTION("""COMPUTED_VALUE"""),"United States")</f>
        <v>United States</v>
      </c>
      <c r="E4641" s="135"/>
      <c r="F4641" s="31"/>
    </row>
    <row r="4642">
      <c r="A4642" s="134" t="str">
        <f>IFERROR(__xludf.DUMMYFUNCTION("""COMPUTED_VALUE"""),"Limon")</f>
        <v>Limon</v>
      </c>
      <c r="B4642" s="120" t="str">
        <f>IFERROR(__xludf.DUMMYFUNCTION("""COMPUTED_VALUE"""),"LIO")</f>
        <v>LIO</v>
      </c>
      <c r="C4642" s="120" t="str">
        <f>IFERROR(__xludf.DUMMYFUNCTION("""COMPUTED_VALUE"""),"Limon")</f>
        <v>Limon</v>
      </c>
      <c r="D4642" s="120" t="str">
        <f>IFERROR(__xludf.DUMMYFUNCTION("""COMPUTED_VALUE"""),"Costa Rica")</f>
        <v>Costa Rica</v>
      </c>
      <c r="E4642" s="135"/>
      <c r="F4642" s="31"/>
    </row>
    <row r="4643">
      <c r="A4643" s="134" t="str">
        <f>IFERROR(__xludf.DUMMYFUNCTION("""COMPUTED_VALUE"""),"Limon")</f>
        <v>Limon</v>
      </c>
      <c r="B4643" s="120" t="str">
        <f>IFERROR(__xludf.DUMMYFUNCTION("""COMPUTED_VALUE"""),"LMH")</f>
        <v>LMH</v>
      </c>
      <c r="C4643" s="120" t="str">
        <f>IFERROR(__xludf.DUMMYFUNCTION("""COMPUTED_VALUE"""),"Limon")</f>
        <v>Limon</v>
      </c>
      <c r="D4643" s="120" t="str">
        <f>IFERROR(__xludf.DUMMYFUNCTION("""COMPUTED_VALUE"""),"Honduras")</f>
        <v>Honduras</v>
      </c>
      <c r="E4643" s="135"/>
      <c r="F4643" s="31"/>
    </row>
    <row r="4644">
      <c r="A4644" s="134" t="str">
        <f>IFERROR(__xludf.DUMMYFUNCTION("""COMPUTED_VALUE"""),"Lincang")</f>
        <v>Lincang</v>
      </c>
      <c r="B4644" s="120" t="str">
        <f>IFERROR(__xludf.DUMMYFUNCTION("""COMPUTED_VALUE"""),"LNJ")</f>
        <v>LNJ</v>
      </c>
      <c r="C4644" s="120" t="str">
        <f>IFERROR(__xludf.DUMMYFUNCTION("""COMPUTED_VALUE"""),"Lincang")</f>
        <v>Lincang</v>
      </c>
      <c r="D4644" s="120" t="str">
        <f>IFERROR(__xludf.DUMMYFUNCTION("""COMPUTED_VALUE"""),"China")</f>
        <v>China</v>
      </c>
      <c r="E4644" s="135"/>
      <c r="F4644" s="31"/>
    </row>
    <row r="4645">
      <c r="A4645" s="134" t="str">
        <f>IFERROR(__xludf.DUMMYFUNCTION("""COMPUTED_VALUE"""),"Lincoln")</f>
        <v>Lincoln</v>
      </c>
      <c r="B4645" s="120" t="str">
        <f>IFERROR(__xludf.DUMMYFUNCTION("""COMPUTED_VALUE"""),"LNK")</f>
        <v>LNK</v>
      </c>
      <c r="C4645" s="120" t="str">
        <f>IFERROR(__xludf.DUMMYFUNCTION("""COMPUTED_VALUE"""),"Municipal")</f>
        <v>Municipal</v>
      </c>
      <c r="D4645" s="120" t="str">
        <f>IFERROR(__xludf.DUMMYFUNCTION("""COMPUTED_VALUE"""),"United States")</f>
        <v>United States</v>
      </c>
      <c r="E4645" s="135"/>
      <c r="F4645" s="31"/>
    </row>
    <row r="4646">
      <c r="A4646" s="134" t="str">
        <f>IFERROR(__xludf.DUMMYFUNCTION("""COMPUTED_VALUE"""),"Lincoln Rock")</f>
        <v>Lincoln Rock</v>
      </c>
      <c r="B4646" s="120" t="str">
        <f>IFERROR(__xludf.DUMMYFUNCTION("""COMPUTED_VALUE"""),"LRK")</f>
        <v>LRK</v>
      </c>
      <c r="C4646" s="120" t="str">
        <f>IFERROR(__xludf.DUMMYFUNCTION("""COMPUTED_VALUE"""),"Coast Guard")</f>
        <v>Coast Guard</v>
      </c>
      <c r="D4646" s="120" t="str">
        <f>IFERROR(__xludf.DUMMYFUNCTION("""COMPUTED_VALUE"""),"United States")</f>
        <v>United States</v>
      </c>
      <c r="E4646" s="135"/>
      <c r="F4646" s="31"/>
    </row>
    <row r="4647">
      <c r="A4647" s="134" t="str">
        <f>IFERROR(__xludf.DUMMYFUNCTION("""COMPUTED_VALUE"""),"Linda Downs")</f>
        <v>Linda Downs</v>
      </c>
      <c r="B4647" s="120" t="str">
        <f>IFERROR(__xludf.DUMMYFUNCTION("""COMPUTED_VALUE"""),"LLP")</f>
        <v>LLP</v>
      </c>
      <c r="C4647" s="120" t="str">
        <f>IFERROR(__xludf.DUMMYFUNCTION("""COMPUTED_VALUE"""),"Linda Downs")</f>
        <v>Linda Downs</v>
      </c>
      <c r="D4647" s="120" t="str">
        <f>IFERROR(__xludf.DUMMYFUNCTION("""COMPUTED_VALUE"""),"Australia")</f>
        <v>Australia</v>
      </c>
      <c r="E4647" s="135"/>
      <c r="F4647" s="31"/>
    </row>
    <row r="4648">
      <c r="A4648" s="134" t="str">
        <f>IFERROR(__xludf.DUMMYFUNCTION("""COMPUTED_VALUE"""),"Lindeman Island")</f>
        <v>Lindeman Island</v>
      </c>
      <c r="B4648" s="120" t="str">
        <f>IFERROR(__xludf.DUMMYFUNCTION("""COMPUTED_VALUE"""),"LDC")</f>
        <v>LDC</v>
      </c>
      <c r="C4648" s="120" t="str">
        <f>IFERROR(__xludf.DUMMYFUNCTION("""COMPUTED_VALUE"""),"Lindeman Island")</f>
        <v>Lindeman Island</v>
      </c>
      <c r="D4648" s="120" t="str">
        <f>IFERROR(__xludf.DUMMYFUNCTION("""COMPUTED_VALUE"""),"Australia")</f>
        <v>Australia</v>
      </c>
      <c r="E4648" s="135"/>
      <c r="F4648" s="31"/>
    </row>
    <row r="4649">
      <c r="A4649" s="134" t="str">
        <f>IFERROR(__xludf.DUMMYFUNCTION("""COMPUTED_VALUE"""),"Linden")</f>
        <v>Linden</v>
      </c>
      <c r="B4649" s="120" t="str">
        <f>IFERROR(__xludf.DUMMYFUNCTION("""COMPUTED_VALUE"""),"LDJ")</f>
        <v>LDJ</v>
      </c>
      <c r="C4649" s="120" t="str">
        <f>IFERROR(__xludf.DUMMYFUNCTION("""COMPUTED_VALUE"""),"Linden")</f>
        <v>Linden</v>
      </c>
      <c r="D4649" s="120" t="str">
        <f>IFERROR(__xludf.DUMMYFUNCTION("""COMPUTED_VALUE"""),"United States")</f>
        <v>United States</v>
      </c>
      <c r="E4649" s="135"/>
      <c r="F4649" s="31"/>
    </row>
    <row r="4650">
      <c r="A4650" s="134" t="str">
        <f>IFERROR(__xludf.DUMMYFUNCTION("""COMPUTED_VALUE"""),"Lindi")</f>
        <v>Lindi</v>
      </c>
      <c r="B4650" s="120" t="str">
        <f>IFERROR(__xludf.DUMMYFUNCTION("""COMPUTED_VALUE"""),"LDI")</f>
        <v>LDI</v>
      </c>
      <c r="C4650" s="120" t="str">
        <f>IFERROR(__xludf.DUMMYFUNCTION("""COMPUTED_VALUE"""),"Kikwetu")</f>
        <v>Kikwetu</v>
      </c>
      <c r="D4650" s="120" t="str">
        <f>IFERROR(__xludf.DUMMYFUNCTION("""COMPUTED_VALUE"""),"Tanzania")</f>
        <v>Tanzania</v>
      </c>
      <c r="E4650" s="135"/>
      <c r="F4650" s="31"/>
    </row>
    <row r="4651">
      <c r="A4651" s="134" t="str">
        <f>IFERROR(__xludf.DUMMYFUNCTION("""COMPUTED_VALUE"""),"Linga Linga")</f>
        <v>Linga Linga</v>
      </c>
      <c r="B4651" s="120" t="str">
        <f>IFERROR(__xludf.DUMMYFUNCTION("""COMPUTED_VALUE"""),"LGN")</f>
        <v>LGN</v>
      </c>
      <c r="C4651" s="120" t="str">
        <f>IFERROR(__xludf.DUMMYFUNCTION("""COMPUTED_VALUE"""),"Linga Linga")</f>
        <v>Linga Linga</v>
      </c>
      <c r="D4651" s="120" t="str">
        <f>IFERROR(__xludf.DUMMYFUNCTION("""COMPUTED_VALUE"""),"Papua New Guinea")</f>
        <v>Papua New Guinea</v>
      </c>
      <c r="E4651" s="135"/>
      <c r="F4651" s="31"/>
    </row>
    <row r="4652">
      <c r="A4652" s="134" t="str">
        <f>IFERROR(__xludf.DUMMYFUNCTION("""COMPUTED_VALUE"""),"LingLing")</f>
        <v>LingLing</v>
      </c>
      <c r="B4652" s="120" t="str">
        <f>IFERROR(__xludf.DUMMYFUNCTION("""COMPUTED_VALUE"""),"LLF")</f>
        <v>LLF</v>
      </c>
      <c r="C4652" s="120" t="str">
        <f>IFERROR(__xludf.DUMMYFUNCTION("""COMPUTED_VALUE"""),"LingLing")</f>
        <v>LingLing</v>
      </c>
      <c r="D4652" s="120" t="str">
        <f>IFERROR(__xludf.DUMMYFUNCTION("""COMPUTED_VALUE"""),"China")</f>
        <v>China</v>
      </c>
      <c r="E4652" s="135"/>
      <c r="F4652" s="31"/>
    </row>
    <row r="4653">
      <c r="A4653" s="134" t="str">
        <f>IFERROR(__xludf.DUMMYFUNCTION("""COMPUTED_VALUE"""),"Linkoping")</f>
        <v>Linkoping</v>
      </c>
      <c r="B4653" s="120" t="str">
        <f>IFERROR(__xludf.DUMMYFUNCTION("""COMPUTED_VALUE"""),"LPI")</f>
        <v>LPI</v>
      </c>
      <c r="C4653" s="120" t="str">
        <f>IFERROR(__xludf.DUMMYFUNCTION("""COMPUTED_VALUE"""),"Linkoping")</f>
        <v>Linkoping</v>
      </c>
      <c r="D4653" s="120" t="str">
        <f>IFERROR(__xludf.DUMMYFUNCTION("""COMPUTED_VALUE"""),"Sweden")</f>
        <v>Sweden</v>
      </c>
      <c r="E4653" s="135"/>
      <c r="F4653" s="31"/>
    </row>
    <row r="4654">
      <c r="A4654" s="134" t="str">
        <f>IFERROR(__xludf.DUMMYFUNCTION("""COMPUTED_VALUE"""),"Linosa")</f>
        <v>Linosa</v>
      </c>
      <c r="B4654" s="120" t="str">
        <f>IFERROR(__xludf.DUMMYFUNCTION("""COMPUTED_VALUE"""),"LIU")</f>
        <v>LIU</v>
      </c>
      <c r="C4654" s="120" t="str">
        <f>IFERROR(__xludf.DUMMYFUNCTION("""COMPUTED_VALUE"""),"Linosa Heliport")</f>
        <v>Linosa Heliport</v>
      </c>
      <c r="D4654" s="120" t="str">
        <f>IFERROR(__xludf.DUMMYFUNCTION("""COMPUTED_VALUE"""),"Italy")</f>
        <v>Italy</v>
      </c>
      <c r="E4654" s="135"/>
      <c r="F4654" s="31"/>
    </row>
    <row r="4655">
      <c r="A4655" s="134" t="str">
        <f>IFERROR(__xludf.DUMMYFUNCTION("""COMPUTED_VALUE"""),"Lins")</f>
        <v>Lins</v>
      </c>
      <c r="B4655" s="120" t="str">
        <f>IFERROR(__xludf.DUMMYFUNCTION("""COMPUTED_VALUE"""),"LIP")</f>
        <v>LIP</v>
      </c>
      <c r="C4655" s="120" t="str">
        <f>IFERROR(__xludf.DUMMYFUNCTION("""COMPUTED_VALUE"""),"Lins")</f>
        <v>Lins</v>
      </c>
      <c r="D4655" s="120" t="str">
        <f>IFERROR(__xludf.DUMMYFUNCTION("""COMPUTED_VALUE"""),"Brazil")</f>
        <v>Brazil</v>
      </c>
      <c r="E4655" s="135"/>
      <c r="F4655" s="31"/>
    </row>
    <row r="4656">
      <c r="A4656" s="134" t="str">
        <f>IFERROR(__xludf.DUMMYFUNCTION("""COMPUTED_VALUE"""),"Linxi")</f>
        <v>Linxi</v>
      </c>
      <c r="B4656" s="120" t="str">
        <f>IFERROR(__xludf.DUMMYFUNCTION("""COMPUTED_VALUE"""),"LXI")</f>
        <v>LXI</v>
      </c>
      <c r="C4656" s="120" t="str">
        <f>IFERROR(__xludf.DUMMYFUNCTION("""COMPUTED_VALUE"""),"Linxi")</f>
        <v>Linxi</v>
      </c>
      <c r="D4656" s="120" t="str">
        <f>IFERROR(__xludf.DUMMYFUNCTION("""COMPUTED_VALUE"""),"China")</f>
        <v>China</v>
      </c>
      <c r="E4656" s="135"/>
      <c r="F4656" s="31"/>
    </row>
    <row r="4657">
      <c r="A4657" s="134" t="str">
        <f>IFERROR(__xludf.DUMMYFUNCTION("""COMPUTED_VALUE"""),"Linyi")</f>
        <v>Linyi</v>
      </c>
      <c r="B4657" s="120" t="str">
        <f>IFERROR(__xludf.DUMMYFUNCTION("""COMPUTED_VALUE"""),"LYI")</f>
        <v>LYI</v>
      </c>
      <c r="C4657" s="120" t="str">
        <f>IFERROR(__xludf.DUMMYFUNCTION("""COMPUTED_VALUE"""),"Linyi")</f>
        <v>Linyi</v>
      </c>
      <c r="D4657" s="120" t="str">
        <f>IFERROR(__xludf.DUMMYFUNCTION("""COMPUTED_VALUE"""),"China")</f>
        <v>China</v>
      </c>
      <c r="E4657" s="135"/>
      <c r="F4657" s="31"/>
    </row>
    <row r="4658">
      <c r="A4658" s="134" t="str">
        <f>IFERROR(__xludf.DUMMYFUNCTION("""COMPUTED_VALUE"""),"Linz")</f>
        <v>Linz</v>
      </c>
      <c r="B4658" s="120" t="str">
        <f>IFERROR(__xludf.DUMMYFUNCTION("""COMPUTED_VALUE"""),"LNZ")</f>
        <v>LNZ</v>
      </c>
      <c r="C4658" s="120" t="str">
        <f>IFERROR(__xludf.DUMMYFUNCTION("""COMPUTED_VALUE"""),"Blue Danube")</f>
        <v>Blue Danube</v>
      </c>
      <c r="D4658" s="120" t="str">
        <f>IFERROR(__xludf.DUMMYFUNCTION("""COMPUTED_VALUE"""),"Austria")</f>
        <v>Austria</v>
      </c>
      <c r="E4658" s="135"/>
      <c r="F4658" s="31"/>
    </row>
    <row r="4659">
      <c r="A4659" s="134" t="str">
        <f>IFERROR(__xludf.DUMMYFUNCTION("""COMPUTED_VALUE"""),"Lipari")</f>
        <v>Lipari</v>
      </c>
      <c r="B4659" s="120" t="str">
        <f>IFERROR(__xludf.DUMMYFUNCTION("""COMPUTED_VALUE"""),"ZIP")</f>
        <v>ZIP</v>
      </c>
      <c r="C4659" s="120" t="str">
        <f>IFERROR(__xludf.DUMMYFUNCTION("""COMPUTED_VALUE"""),"Harbour (Eolie Island)")</f>
        <v>Harbour (Eolie Island)</v>
      </c>
      <c r="D4659" s="120" t="str">
        <f>IFERROR(__xludf.DUMMYFUNCTION("""COMPUTED_VALUE"""),"Italy")</f>
        <v>Italy</v>
      </c>
      <c r="E4659" s="135"/>
      <c r="F4659" s="31"/>
    </row>
    <row r="4660">
      <c r="A4660" s="134" t="str">
        <f>IFERROR(__xludf.DUMMYFUNCTION("""COMPUTED_VALUE"""),"Lipetsk")</f>
        <v>Lipetsk</v>
      </c>
      <c r="B4660" s="120" t="str">
        <f>IFERROR(__xludf.DUMMYFUNCTION("""COMPUTED_VALUE"""),"LPK")</f>
        <v>LPK</v>
      </c>
      <c r="C4660" s="120" t="str">
        <f>IFERROR(__xludf.DUMMYFUNCTION("""COMPUTED_VALUE"""),"Lipetsk")</f>
        <v>Lipetsk</v>
      </c>
      <c r="D4660" s="120" t="str">
        <f>IFERROR(__xludf.DUMMYFUNCTION("""COMPUTED_VALUE"""),"Russia")</f>
        <v>Russia</v>
      </c>
      <c r="E4660" s="135"/>
      <c r="F4660" s="31"/>
    </row>
    <row r="4661">
      <c r="A4661" s="134" t="str">
        <f>IFERROR(__xludf.DUMMYFUNCTION("""COMPUTED_VALUE"""),"Liping City")</f>
        <v>Liping City</v>
      </c>
      <c r="B4661" s="120" t="str">
        <f>IFERROR(__xludf.DUMMYFUNCTION("""COMPUTED_VALUE"""),"HZH")</f>
        <v>HZH</v>
      </c>
      <c r="C4661" s="120" t="str">
        <f>IFERROR(__xludf.DUMMYFUNCTION("""COMPUTED_VALUE"""),"Liping")</f>
        <v>Liping</v>
      </c>
      <c r="D4661" s="120" t="str">
        <f>IFERROR(__xludf.DUMMYFUNCTION("""COMPUTED_VALUE"""),"China")</f>
        <v>China</v>
      </c>
      <c r="E4661" s="135"/>
      <c r="F4661" s="31"/>
    </row>
    <row r="4662">
      <c r="A4662" s="134" t="str">
        <f>IFERROR(__xludf.DUMMYFUNCTION("""COMPUTED_VALUE"""),"Lisala")</f>
        <v>Lisala</v>
      </c>
      <c r="B4662" s="120" t="str">
        <f>IFERROR(__xludf.DUMMYFUNCTION("""COMPUTED_VALUE"""),"LIQ")</f>
        <v>LIQ</v>
      </c>
      <c r="C4662" s="120" t="str">
        <f>IFERROR(__xludf.DUMMYFUNCTION("""COMPUTED_VALUE"""),"Lisala")</f>
        <v>Lisala</v>
      </c>
      <c r="D4662" s="120" t="str">
        <f>IFERROR(__xludf.DUMMYFUNCTION("""COMPUTED_VALUE"""),"Zaire")</f>
        <v>Zaire</v>
      </c>
      <c r="E4662" s="135"/>
      <c r="F4662" s="31"/>
    </row>
    <row r="4663">
      <c r="A4663" s="134" t="str">
        <f>IFERROR(__xludf.DUMMYFUNCTION("""COMPUTED_VALUE"""),"Lisbon")</f>
        <v>Lisbon</v>
      </c>
      <c r="B4663" s="120" t="str">
        <f>IFERROR(__xludf.DUMMYFUNCTION("""COMPUTED_VALUE"""),"LIS")</f>
        <v>LIS</v>
      </c>
      <c r="C4663" s="120" t="str">
        <f>IFERROR(__xludf.DUMMYFUNCTION("""COMPUTED_VALUE"""),"Lisboa - Portela")</f>
        <v>Lisboa - Portela</v>
      </c>
      <c r="D4663" s="120" t="str">
        <f>IFERROR(__xludf.DUMMYFUNCTION("""COMPUTED_VALUE"""),"Portugal")</f>
        <v>Portugal</v>
      </c>
      <c r="E4663" s="135"/>
      <c r="F4663" s="31"/>
    </row>
    <row r="4664">
      <c r="A4664" s="134" t="str">
        <f>IFERROR(__xludf.DUMMYFUNCTION("""COMPUTED_VALUE"""),"Lisbon")</f>
        <v>Lisbon</v>
      </c>
      <c r="B4664" s="120" t="str">
        <f>IFERROR(__xludf.DUMMYFUNCTION("""COMPUTED_VALUE"""),"ZYD")</f>
        <v>ZYD</v>
      </c>
      <c r="C4664" s="120" t="str">
        <f>IFERROR(__xludf.DUMMYFUNCTION("""COMPUTED_VALUE"""),"Lisbon TP")</f>
        <v>Lisbon TP</v>
      </c>
      <c r="D4664" s="120" t="str">
        <f>IFERROR(__xludf.DUMMYFUNCTION("""COMPUTED_VALUE"""),"Portugal")</f>
        <v>Portugal</v>
      </c>
      <c r="E4664" s="135"/>
      <c r="F4664" s="31"/>
    </row>
    <row r="4665">
      <c r="A4665" s="134" t="str">
        <f>IFERROR(__xludf.DUMMYFUNCTION("""COMPUTED_VALUE"""),"Lishan")</f>
        <v>Lishan</v>
      </c>
      <c r="B4665" s="120" t="str">
        <f>IFERROR(__xludf.DUMMYFUNCTION("""COMPUTED_VALUE"""),"LHN")</f>
        <v>LHN</v>
      </c>
      <c r="C4665" s="120" t="str">
        <f>IFERROR(__xludf.DUMMYFUNCTION("""COMPUTED_VALUE"""),"Lishan")</f>
        <v>Lishan</v>
      </c>
      <c r="D4665" s="120" t="str">
        <f>IFERROR(__xludf.DUMMYFUNCTION("""COMPUTED_VALUE"""),"Taiwan")</f>
        <v>Taiwan</v>
      </c>
      <c r="E4665" s="135"/>
      <c r="F4665" s="31"/>
    </row>
    <row r="4666">
      <c r="A4666" s="134" t="str">
        <f>IFERROR(__xludf.DUMMYFUNCTION("""COMPUTED_VALUE"""),"Lismore")</f>
        <v>Lismore</v>
      </c>
      <c r="B4666" s="120" t="str">
        <f>IFERROR(__xludf.DUMMYFUNCTION("""COMPUTED_VALUE"""),"LSY")</f>
        <v>LSY</v>
      </c>
      <c r="C4666" s="120" t="str">
        <f>IFERROR(__xludf.DUMMYFUNCTION("""COMPUTED_VALUE"""),"Lismore")</f>
        <v>Lismore</v>
      </c>
      <c r="D4666" s="120" t="str">
        <f>IFERROR(__xludf.DUMMYFUNCTION("""COMPUTED_VALUE"""),"Australia")</f>
        <v>Australia</v>
      </c>
      <c r="E4666" s="135"/>
      <c r="F4666" s="31"/>
    </row>
    <row r="4667">
      <c r="A4667" s="134" t="str">
        <f>IFERROR(__xludf.DUMMYFUNCTION("""COMPUTED_VALUE"""),"Lissadell")</f>
        <v>Lissadell</v>
      </c>
      <c r="B4667" s="120" t="str">
        <f>IFERROR(__xludf.DUMMYFUNCTION("""COMPUTED_VALUE"""),"LLL")</f>
        <v>LLL</v>
      </c>
      <c r="C4667" s="120" t="str">
        <f>IFERROR(__xludf.DUMMYFUNCTION("""COMPUTED_VALUE"""),"Lissadell")</f>
        <v>Lissadell</v>
      </c>
      <c r="D4667" s="120" t="str">
        <f>IFERROR(__xludf.DUMMYFUNCTION("""COMPUTED_VALUE"""),"Australia")</f>
        <v>Australia</v>
      </c>
      <c r="E4667" s="135"/>
      <c r="F4667" s="31"/>
    </row>
    <row r="4668">
      <c r="A4668" s="134" t="str">
        <f>IFERROR(__xludf.DUMMYFUNCTION("""COMPUTED_VALUE"""),"Little Cayman")</f>
        <v>Little Cayman</v>
      </c>
      <c r="B4668" s="120" t="str">
        <f>IFERROR(__xludf.DUMMYFUNCTION("""COMPUTED_VALUE"""),"LYB")</f>
        <v>LYB</v>
      </c>
      <c r="C4668" s="120" t="str">
        <f>IFERROR(__xludf.DUMMYFUNCTION("""COMPUTED_VALUE"""),"Little Cayman")</f>
        <v>Little Cayman</v>
      </c>
      <c r="D4668" s="120" t="str">
        <f>IFERROR(__xludf.DUMMYFUNCTION("""COMPUTED_VALUE"""),"Cayman Islands")</f>
        <v>Cayman Islands</v>
      </c>
      <c r="E4668" s="135"/>
      <c r="F4668" s="31"/>
    </row>
    <row r="4669">
      <c r="A4669" s="134" t="str">
        <f>IFERROR(__xludf.DUMMYFUNCTION("""COMPUTED_VALUE"""),"Little Grand Rapids")</f>
        <v>Little Grand Rapids</v>
      </c>
      <c r="B4669" s="120" t="str">
        <f>IFERROR(__xludf.DUMMYFUNCTION("""COMPUTED_VALUE"""),"ZGR")</f>
        <v>ZGR</v>
      </c>
      <c r="C4669" s="120" t="str">
        <f>IFERROR(__xludf.DUMMYFUNCTION("""COMPUTED_VALUE"""),"Little Grand Rapids")</f>
        <v>Little Grand Rapids</v>
      </c>
      <c r="D4669" s="120" t="str">
        <f>IFERROR(__xludf.DUMMYFUNCTION("""COMPUTED_VALUE"""),"Canada")</f>
        <v>Canada</v>
      </c>
      <c r="E4669" s="135"/>
      <c r="F4669" s="31"/>
    </row>
    <row r="4670">
      <c r="A4670" s="134" t="str">
        <f>IFERROR(__xludf.DUMMYFUNCTION("""COMPUTED_VALUE"""),"Little Naukati")</f>
        <v>Little Naukati</v>
      </c>
      <c r="B4670" s="120" t="str">
        <f>IFERROR(__xludf.DUMMYFUNCTION("""COMPUTED_VALUE"""),"WLN")</f>
        <v>WLN</v>
      </c>
      <c r="C4670" s="120" t="str">
        <f>IFERROR(__xludf.DUMMYFUNCTION("""COMPUTED_VALUE"""),"Little Naukati")</f>
        <v>Little Naukati</v>
      </c>
      <c r="D4670" s="120" t="str">
        <f>IFERROR(__xludf.DUMMYFUNCTION("""COMPUTED_VALUE"""),"United States")</f>
        <v>United States</v>
      </c>
      <c r="E4670" s="135"/>
      <c r="F4670" s="31"/>
    </row>
    <row r="4671">
      <c r="A4671" s="134" t="str">
        <f>IFERROR(__xludf.DUMMYFUNCTION("""COMPUTED_VALUE"""),"Little Port Walter")</f>
        <v>Little Port Walter</v>
      </c>
      <c r="B4671" s="120" t="str">
        <f>IFERROR(__xludf.DUMMYFUNCTION("""COMPUTED_VALUE"""),"LPW")</f>
        <v>LPW</v>
      </c>
      <c r="C4671" s="120" t="str">
        <f>IFERROR(__xludf.DUMMYFUNCTION("""COMPUTED_VALUE"""),"Little Port Walter")</f>
        <v>Little Port Walter</v>
      </c>
      <c r="D4671" s="120" t="str">
        <f>IFERROR(__xludf.DUMMYFUNCTION("""COMPUTED_VALUE"""),"United States")</f>
        <v>United States</v>
      </c>
      <c r="E4671" s="135"/>
      <c r="F4671" s="31"/>
    </row>
    <row r="4672">
      <c r="A4672" s="134" t="str">
        <f>IFERROR(__xludf.DUMMYFUNCTION("""COMPUTED_VALUE"""),"Little Rock")</f>
        <v>Little Rock</v>
      </c>
      <c r="B4672" s="120" t="str">
        <f>IFERROR(__xludf.DUMMYFUNCTION("""COMPUTED_VALUE"""),"LIT")</f>
        <v>LIT</v>
      </c>
      <c r="C4672" s="120" t="str">
        <f>IFERROR(__xludf.DUMMYFUNCTION("""COMPUTED_VALUE"""),"Regional Airport")</f>
        <v>Regional Airport</v>
      </c>
      <c r="D4672" s="120" t="str">
        <f>IFERROR(__xludf.DUMMYFUNCTION("""COMPUTED_VALUE"""),"United States")</f>
        <v>United States</v>
      </c>
      <c r="E4672" s="135"/>
      <c r="F4672" s="31"/>
    </row>
    <row r="4673">
      <c r="A4673" s="134" t="str">
        <f>IFERROR(__xludf.DUMMYFUNCTION("""COMPUTED_VALUE"""),"Liuzhou")</f>
        <v>Liuzhou</v>
      </c>
      <c r="B4673" s="120" t="str">
        <f>IFERROR(__xludf.DUMMYFUNCTION("""COMPUTED_VALUE"""),"LZH")</f>
        <v>LZH</v>
      </c>
      <c r="C4673" s="120" t="str">
        <f>IFERROR(__xludf.DUMMYFUNCTION("""COMPUTED_VALUE"""),"Liuzhou")</f>
        <v>Liuzhou</v>
      </c>
      <c r="D4673" s="120" t="str">
        <f>IFERROR(__xludf.DUMMYFUNCTION("""COMPUTED_VALUE"""),"China")</f>
        <v>China</v>
      </c>
      <c r="E4673" s="135"/>
      <c r="F4673" s="31"/>
    </row>
    <row r="4674">
      <c r="A4674" s="134" t="str">
        <f>IFERROR(__xludf.DUMMYFUNCTION("""COMPUTED_VALUE"""),"Livengood")</f>
        <v>Livengood</v>
      </c>
      <c r="B4674" s="120" t="str">
        <f>IFERROR(__xludf.DUMMYFUNCTION("""COMPUTED_VALUE"""),"LIV")</f>
        <v>LIV</v>
      </c>
      <c r="C4674" s="120" t="str">
        <f>IFERROR(__xludf.DUMMYFUNCTION("""COMPUTED_VALUE"""),"Livengood")</f>
        <v>Livengood</v>
      </c>
      <c r="D4674" s="120" t="str">
        <f>IFERROR(__xludf.DUMMYFUNCTION("""COMPUTED_VALUE"""),"United States")</f>
        <v>United States</v>
      </c>
      <c r="E4674" s="135"/>
      <c r="F4674" s="31"/>
    </row>
    <row r="4675">
      <c r="A4675" s="134" t="str">
        <f>IFERROR(__xludf.DUMMYFUNCTION("""COMPUTED_VALUE"""),"Livermore")</f>
        <v>Livermore</v>
      </c>
      <c r="B4675" s="120" t="str">
        <f>IFERROR(__xludf.DUMMYFUNCTION("""COMPUTED_VALUE"""),"LVK")</f>
        <v>LVK</v>
      </c>
      <c r="C4675" s="120" t="str">
        <f>IFERROR(__xludf.DUMMYFUNCTION("""COMPUTED_VALUE"""),"Livermore")</f>
        <v>Livermore</v>
      </c>
      <c r="D4675" s="120" t="str">
        <f>IFERROR(__xludf.DUMMYFUNCTION("""COMPUTED_VALUE"""),"United States")</f>
        <v>United States</v>
      </c>
      <c r="E4675" s="135"/>
      <c r="F4675" s="31"/>
    </row>
    <row r="4676">
      <c r="A4676" s="134" t="str">
        <f>IFERROR(__xludf.DUMMYFUNCTION("""COMPUTED_VALUE"""),"Liverpool")</f>
        <v>Liverpool</v>
      </c>
      <c r="B4676" s="120" t="str">
        <f>IFERROR(__xludf.DUMMYFUNCTION("""COMPUTED_VALUE"""),"LPL")</f>
        <v>LPL</v>
      </c>
      <c r="C4676" s="120" t="str">
        <f>IFERROR(__xludf.DUMMYFUNCTION("""COMPUTED_VALUE"""),"Liverpool John Lennon (Speke)")</f>
        <v>Liverpool John Lennon (Speke)</v>
      </c>
      <c r="D4676" s="120" t="str">
        <f>IFERROR(__xludf.DUMMYFUNCTION("""COMPUTED_VALUE"""),"United Kingdom")</f>
        <v>United Kingdom</v>
      </c>
      <c r="E4676" s="135"/>
      <c r="F4676" s="31"/>
    </row>
    <row r="4677">
      <c r="A4677" s="134" t="str">
        <f>IFERROR(__xludf.DUMMYFUNCTION("""COMPUTED_VALUE"""),"Livingston")</f>
        <v>Livingston</v>
      </c>
      <c r="B4677" s="120" t="str">
        <f>IFERROR(__xludf.DUMMYFUNCTION("""COMPUTED_VALUE"""),"LVM")</f>
        <v>LVM</v>
      </c>
      <c r="C4677" s="120" t="str">
        <f>IFERROR(__xludf.DUMMYFUNCTION("""COMPUTED_VALUE"""),"Mission Field")</f>
        <v>Mission Field</v>
      </c>
      <c r="D4677" s="120" t="str">
        <f>IFERROR(__xludf.DUMMYFUNCTION("""COMPUTED_VALUE"""),"United States")</f>
        <v>United States</v>
      </c>
      <c r="E4677" s="135"/>
      <c r="F4677" s="31"/>
    </row>
    <row r="4678">
      <c r="A4678" s="134" t="str">
        <f>IFERROR(__xludf.DUMMYFUNCTION("""COMPUTED_VALUE"""),"Livingstone")</f>
        <v>Livingstone</v>
      </c>
      <c r="B4678" s="120" t="str">
        <f>IFERROR(__xludf.DUMMYFUNCTION("""COMPUTED_VALUE"""),"LVI")</f>
        <v>LVI</v>
      </c>
      <c r="C4678" s="120" t="str">
        <f>IFERROR(__xludf.DUMMYFUNCTION("""COMPUTED_VALUE"""),"Livingstone")</f>
        <v>Livingstone</v>
      </c>
      <c r="D4678" s="120" t="str">
        <f>IFERROR(__xludf.DUMMYFUNCTION("""COMPUTED_VALUE"""),"Zambia")</f>
        <v>Zambia</v>
      </c>
      <c r="E4678" s="135"/>
      <c r="F4678" s="31"/>
    </row>
    <row r="4679">
      <c r="A4679" s="134" t="str">
        <f>IFERROR(__xludf.DUMMYFUNCTION("""COMPUTED_VALUE"""),"Livramento")</f>
        <v>Livramento</v>
      </c>
      <c r="B4679" s="120" t="str">
        <f>IFERROR(__xludf.DUMMYFUNCTION("""COMPUTED_VALUE"""),"LVB")</f>
        <v>LVB</v>
      </c>
      <c r="C4679" s="120" t="str">
        <f>IFERROR(__xludf.DUMMYFUNCTION("""COMPUTED_VALUE"""),"Dos Galpoes")</f>
        <v>Dos Galpoes</v>
      </c>
      <c r="D4679" s="120" t="str">
        <f>IFERROR(__xludf.DUMMYFUNCTION("""COMPUTED_VALUE"""),"Brazil")</f>
        <v>Brazil</v>
      </c>
      <c r="E4679" s="135"/>
      <c r="F4679" s="31"/>
    </row>
    <row r="4680">
      <c r="A4680" s="134" t="str">
        <f>IFERROR(__xludf.DUMMYFUNCTION("""COMPUTED_VALUE"""),"Lizard Island")</f>
        <v>Lizard Island</v>
      </c>
      <c r="B4680" s="120" t="str">
        <f>IFERROR(__xludf.DUMMYFUNCTION("""COMPUTED_VALUE"""),"LZR")</f>
        <v>LZR</v>
      </c>
      <c r="C4680" s="120" t="str">
        <f>IFERROR(__xludf.DUMMYFUNCTION("""COMPUTED_VALUE"""),"Lizard Island")</f>
        <v>Lizard Island</v>
      </c>
      <c r="D4680" s="120" t="str">
        <f>IFERROR(__xludf.DUMMYFUNCTION("""COMPUTED_VALUE"""),"Australia")</f>
        <v>Australia</v>
      </c>
      <c r="E4680" s="135"/>
      <c r="F4680" s="31"/>
    </row>
    <row r="4681">
      <c r="A4681" s="134" t="str">
        <f>IFERROR(__xludf.DUMMYFUNCTION("""COMPUTED_VALUE"""),"Ljubljana")</f>
        <v>Ljubljana</v>
      </c>
      <c r="B4681" s="120" t="str">
        <f>IFERROR(__xludf.DUMMYFUNCTION("""COMPUTED_VALUE"""),"LJU")</f>
        <v>LJU</v>
      </c>
      <c r="C4681" s="120" t="str">
        <f>IFERROR(__xludf.DUMMYFUNCTION("""COMPUTED_VALUE"""),"Brnik")</f>
        <v>Brnik</v>
      </c>
      <c r="D4681" s="120" t="str">
        <f>IFERROR(__xludf.DUMMYFUNCTION("""COMPUTED_VALUE"""),"Slovenia")</f>
        <v>Slovenia</v>
      </c>
      <c r="E4681" s="135"/>
      <c r="F4681" s="31"/>
    </row>
    <row r="4682">
      <c r="A4682" s="134" t="str">
        <f>IFERROR(__xludf.DUMMYFUNCTION("""COMPUTED_VALUE"""),"Lloydminster")</f>
        <v>Lloydminster</v>
      </c>
      <c r="B4682" s="120" t="str">
        <f>IFERROR(__xludf.DUMMYFUNCTION("""COMPUTED_VALUE"""),"YLL")</f>
        <v>YLL</v>
      </c>
      <c r="C4682" s="120" t="str">
        <f>IFERROR(__xludf.DUMMYFUNCTION("""COMPUTED_VALUE"""),"Lloydminster")</f>
        <v>Lloydminster</v>
      </c>
      <c r="D4682" s="120" t="str">
        <f>IFERROR(__xludf.DUMMYFUNCTION("""COMPUTED_VALUE"""),"Canada")</f>
        <v>Canada</v>
      </c>
      <c r="E4682" s="135"/>
      <c r="F4682" s="31"/>
    </row>
    <row r="4683">
      <c r="A4683" s="134" t="str">
        <f>IFERROR(__xludf.DUMMYFUNCTION("""COMPUTED_VALUE"""),"Loani")</f>
        <v>Loani</v>
      </c>
      <c r="B4683" s="120" t="str">
        <f>IFERROR(__xludf.DUMMYFUNCTION("""COMPUTED_VALUE"""),"LNQ")</f>
        <v>LNQ</v>
      </c>
      <c r="C4683" s="120" t="str">
        <f>IFERROR(__xludf.DUMMYFUNCTION("""COMPUTED_VALUE"""),"Loani")</f>
        <v>Loani</v>
      </c>
      <c r="D4683" s="120" t="str">
        <f>IFERROR(__xludf.DUMMYFUNCTION("""COMPUTED_VALUE"""),"Papua New Guinea")</f>
        <v>Papua New Guinea</v>
      </c>
      <c r="E4683" s="135"/>
      <c r="F4683" s="31"/>
    </row>
    <row r="4684">
      <c r="A4684" s="134" t="str">
        <f>IFERROR(__xludf.DUMMYFUNCTION("""COMPUTED_VALUE"""),"Lobatse")</f>
        <v>Lobatse</v>
      </c>
      <c r="B4684" s="120" t="str">
        <f>IFERROR(__xludf.DUMMYFUNCTION("""COMPUTED_VALUE"""),"LOQ")</f>
        <v>LOQ</v>
      </c>
      <c r="C4684" s="120" t="str">
        <f>IFERROR(__xludf.DUMMYFUNCTION("""COMPUTED_VALUE"""),"Lobatse")</f>
        <v>Lobatse</v>
      </c>
      <c r="D4684" s="120" t="str">
        <f>IFERROR(__xludf.DUMMYFUNCTION("""COMPUTED_VALUE"""),"Botswana")</f>
        <v>Botswana</v>
      </c>
      <c r="E4684" s="135"/>
      <c r="F4684" s="31"/>
    </row>
    <row r="4685">
      <c r="A4685" s="134" t="str">
        <f>IFERROR(__xludf.DUMMYFUNCTION("""COMPUTED_VALUE"""),"Lochgilphead")</f>
        <v>Lochgilphead</v>
      </c>
      <c r="B4685" s="120" t="str">
        <f>IFERROR(__xludf.DUMMYFUNCTION("""COMPUTED_VALUE"""),"LPH")</f>
        <v>LPH</v>
      </c>
      <c r="C4685" s="120" t="str">
        <f>IFERROR(__xludf.DUMMYFUNCTION("""COMPUTED_VALUE"""),"Heliport")</f>
        <v>Heliport</v>
      </c>
      <c r="D4685" s="120" t="str">
        <f>IFERROR(__xludf.DUMMYFUNCTION("""COMPUTED_VALUE"""),"United Kingdom")</f>
        <v>United Kingdom</v>
      </c>
      <c r="E4685" s="135"/>
      <c r="F4685" s="31"/>
    </row>
    <row r="4686">
      <c r="A4686" s="134" t="str">
        <f>IFERROR(__xludf.DUMMYFUNCTION("""COMPUTED_VALUE"""),"Lock")</f>
        <v>Lock</v>
      </c>
      <c r="B4686" s="120" t="str">
        <f>IFERROR(__xludf.DUMMYFUNCTION("""COMPUTED_VALUE"""),"LOC")</f>
        <v>LOC</v>
      </c>
      <c r="C4686" s="120" t="str">
        <f>IFERROR(__xludf.DUMMYFUNCTION("""COMPUTED_VALUE"""),"Lock")</f>
        <v>Lock</v>
      </c>
      <c r="D4686" s="120" t="str">
        <f>IFERROR(__xludf.DUMMYFUNCTION("""COMPUTED_VALUE"""),"Australia")</f>
        <v>Australia</v>
      </c>
      <c r="E4686" s="135"/>
      <c r="F4686" s="31"/>
    </row>
    <row r="4687">
      <c r="A4687" s="134" t="str">
        <f>IFERROR(__xludf.DUMMYFUNCTION("""COMPUTED_VALUE"""),"Lock Haven")</f>
        <v>Lock Haven</v>
      </c>
      <c r="B4687" s="120" t="str">
        <f>IFERROR(__xludf.DUMMYFUNCTION("""COMPUTED_VALUE"""),"LHV")</f>
        <v>LHV</v>
      </c>
      <c r="C4687" s="120" t="str">
        <f>IFERROR(__xludf.DUMMYFUNCTION("""COMPUTED_VALUE"""),"W T Piper Memorial")</f>
        <v>W T Piper Memorial</v>
      </c>
      <c r="D4687" s="120" t="str">
        <f>IFERROR(__xludf.DUMMYFUNCTION("""COMPUTED_VALUE"""),"United States")</f>
        <v>United States</v>
      </c>
      <c r="E4687" s="135"/>
      <c r="F4687" s="31"/>
    </row>
    <row r="4688">
      <c r="A4688" s="134" t="str">
        <f>IFERROR(__xludf.DUMMYFUNCTION("""COMPUTED_VALUE"""),"Lockhart River")</f>
        <v>Lockhart River</v>
      </c>
      <c r="B4688" s="120" t="str">
        <f>IFERROR(__xludf.DUMMYFUNCTION("""COMPUTED_VALUE"""),"IRG")</f>
        <v>IRG</v>
      </c>
      <c r="C4688" s="120" t="str">
        <f>IFERROR(__xludf.DUMMYFUNCTION("""COMPUTED_VALUE"""),"Lockhart River")</f>
        <v>Lockhart River</v>
      </c>
      <c r="D4688" s="120" t="str">
        <f>IFERROR(__xludf.DUMMYFUNCTION("""COMPUTED_VALUE"""),"Australia")</f>
        <v>Australia</v>
      </c>
      <c r="E4688" s="135"/>
      <c r="F4688" s="31"/>
    </row>
    <row r="4689">
      <c r="A4689" s="134" t="str">
        <f>IFERROR(__xludf.DUMMYFUNCTION("""COMPUTED_VALUE"""),"Lockport")</f>
        <v>Lockport</v>
      </c>
      <c r="B4689" s="120" t="str">
        <f>IFERROR(__xludf.DUMMYFUNCTION("""COMPUTED_VALUE"""),"LOT")</f>
        <v>LOT</v>
      </c>
      <c r="C4689" s="120" t="str">
        <f>IFERROR(__xludf.DUMMYFUNCTION("""COMPUTED_VALUE"""),"Lewis Lockport")</f>
        <v>Lewis Lockport</v>
      </c>
      <c r="D4689" s="120" t="str">
        <f>IFERROR(__xludf.DUMMYFUNCTION("""COMPUTED_VALUE"""),"United States")</f>
        <v>United States</v>
      </c>
      <c r="E4689" s="135"/>
      <c r="F4689" s="31"/>
    </row>
    <row r="4690">
      <c r="A4690" s="134" t="str">
        <f>IFERROR(__xludf.DUMMYFUNCTION("""COMPUTED_VALUE"""),"Lodar")</f>
        <v>Lodar</v>
      </c>
      <c r="B4690" s="120" t="str">
        <f>IFERROR(__xludf.DUMMYFUNCTION("""COMPUTED_VALUE"""),"LDR")</f>
        <v>LDR</v>
      </c>
      <c r="C4690" s="120" t="str">
        <f>IFERROR(__xludf.DUMMYFUNCTION("""COMPUTED_VALUE"""),"Lodar")</f>
        <v>Lodar</v>
      </c>
      <c r="D4690" s="120" t="str">
        <f>IFERROR(__xludf.DUMMYFUNCTION("""COMPUTED_VALUE"""),"Yemen")</f>
        <v>Yemen</v>
      </c>
      <c r="E4690" s="135"/>
      <c r="F4690" s="31"/>
    </row>
    <row r="4691">
      <c r="A4691" s="134" t="str">
        <f>IFERROR(__xludf.DUMMYFUNCTION("""COMPUTED_VALUE"""),"Lodja")</f>
        <v>Lodja</v>
      </c>
      <c r="B4691" s="120" t="str">
        <f>IFERROR(__xludf.DUMMYFUNCTION("""COMPUTED_VALUE"""),"LJA")</f>
        <v>LJA</v>
      </c>
      <c r="C4691" s="120" t="str">
        <f>IFERROR(__xludf.DUMMYFUNCTION("""COMPUTED_VALUE"""),"Lodja")</f>
        <v>Lodja</v>
      </c>
      <c r="D4691" s="120" t="str">
        <f>IFERROR(__xludf.DUMMYFUNCTION("""COMPUTED_VALUE"""),"Zaire")</f>
        <v>Zaire</v>
      </c>
      <c r="E4691" s="135"/>
      <c r="F4691" s="31"/>
    </row>
    <row r="4692">
      <c r="A4692" s="134" t="str">
        <f>IFERROR(__xludf.DUMMYFUNCTION("""COMPUTED_VALUE"""),"Lodwar")</f>
        <v>Lodwar</v>
      </c>
      <c r="B4692" s="120" t="str">
        <f>IFERROR(__xludf.DUMMYFUNCTION("""COMPUTED_VALUE"""),"LOK")</f>
        <v>LOK</v>
      </c>
      <c r="C4692" s="120" t="str">
        <f>IFERROR(__xludf.DUMMYFUNCTION("""COMPUTED_VALUE"""),"Lodwar")</f>
        <v>Lodwar</v>
      </c>
      <c r="D4692" s="120" t="str">
        <f>IFERROR(__xludf.DUMMYFUNCTION("""COMPUTED_VALUE"""),"Kenya")</f>
        <v>Kenya</v>
      </c>
      <c r="E4692" s="135"/>
      <c r="F4692" s="31"/>
    </row>
    <row r="4693">
      <c r="A4693" s="134" t="str">
        <f>IFERROR(__xludf.DUMMYFUNCTION("""COMPUTED_VALUE"""),"Lodz")</f>
        <v>Lodz</v>
      </c>
      <c r="B4693" s="120" t="str">
        <f>IFERROR(__xludf.DUMMYFUNCTION("""COMPUTED_VALUE"""),"LCJ")</f>
        <v>LCJ</v>
      </c>
      <c r="C4693" s="120" t="str">
        <f>IFERROR(__xludf.DUMMYFUNCTION("""COMPUTED_VALUE"""),"Lodz Lublinek")</f>
        <v>Lodz Lublinek</v>
      </c>
      <c r="D4693" s="120" t="str">
        <f>IFERROR(__xludf.DUMMYFUNCTION("""COMPUTED_VALUE"""),"Poland")</f>
        <v>Poland</v>
      </c>
      <c r="E4693" s="135"/>
      <c r="F4693" s="31"/>
    </row>
    <row r="4694">
      <c r="A4694" s="134" t="str">
        <f>IFERROR(__xludf.DUMMYFUNCTION("""COMPUTED_VALUE"""),"Loei")</f>
        <v>Loei</v>
      </c>
      <c r="B4694" s="120" t="str">
        <f>IFERROR(__xludf.DUMMYFUNCTION("""COMPUTED_VALUE"""),"LOE")</f>
        <v>LOE</v>
      </c>
      <c r="C4694" s="120" t="str">
        <f>IFERROR(__xludf.DUMMYFUNCTION("""COMPUTED_VALUE"""),"Loei")</f>
        <v>Loei</v>
      </c>
      <c r="D4694" s="120" t="str">
        <f>IFERROR(__xludf.DUMMYFUNCTION("""COMPUTED_VALUE"""),"Thailand")</f>
        <v>Thailand</v>
      </c>
      <c r="E4694" s="135"/>
      <c r="F4694" s="31"/>
    </row>
    <row r="4695">
      <c r="A4695" s="134" t="str">
        <f>IFERROR(__xludf.DUMMYFUNCTION("""COMPUTED_VALUE"""),"Loen")</f>
        <v>Loen</v>
      </c>
      <c r="B4695" s="120" t="str">
        <f>IFERROR(__xludf.DUMMYFUNCTION("""COMPUTED_VALUE"""),"LOF")</f>
        <v>LOF</v>
      </c>
      <c r="C4695" s="120" t="str">
        <f>IFERROR(__xludf.DUMMYFUNCTION("""COMPUTED_VALUE"""),"Loen")</f>
        <v>Loen</v>
      </c>
      <c r="D4695" s="120" t="str">
        <f>IFERROR(__xludf.DUMMYFUNCTION("""COMPUTED_VALUE"""),"Marshall Islands")</f>
        <v>Marshall Islands</v>
      </c>
      <c r="E4695" s="135"/>
      <c r="F4695" s="31"/>
    </row>
    <row r="4696">
      <c r="A4696" s="134" t="str">
        <f>IFERROR(__xludf.DUMMYFUNCTION("""COMPUTED_VALUE"""),"Logan")</f>
        <v>Logan</v>
      </c>
      <c r="B4696" s="120" t="str">
        <f>IFERROR(__xludf.DUMMYFUNCTION("""COMPUTED_VALUE"""),"LGU")</f>
        <v>LGU</v>
      </c>
      <c r="C4696" s="120" t="str">
        <f>IFERROR(__xludf.DUMMYFUNCTION("""COMPUTED_VALUE"""),"Cache")</f>
        <v>Cache</v>
      </c>
      <c r="D4696" s="120" t="str">
        <f>IFERROR(__xludf.DUMMYFUNCTION("""COMPUTED_VALUE"""),"United States")</f>
        <v>United States</v>
      </c>
      <c r="E4696" s="135"/>
      <c r="F4696" s="31"/>
    </row>
    <row r="4697">
      <c r="A4697" s="134" t="str">
        <f>IFERROR(__xludf.DUMMYFUNCTION("""COMPUTED_VALUE"""),"Logrono")</f>
        <v>Logrono</v>
      </c>
      <c r="B4697" s="120" t="str">
        <f>IFERROR(__xludf.DUMMYFUNCTION("""COMPUTED_VALUE"""),"RJL")</f>
        <v>RJL</v>
      </c>
      <c r="C4697" s="120" t="str">
        <f>IFERROR(__xludf.DUMMYFUNCTION("""COMPUTED_VALUE"""),"Agoncillo")</f>
        <v>Agoncillo</v>
      </c>
      <c r="D4697" s="120" t="str">
        <f>IFERROR(__xludf.DUMMYFUNCTION("""COMPUTED_VALUE"""),"Spain")</f>
        <v>Spain</v>
      </c>
      <c r="E4697" s="135"/>
      <c r="F4697" s="31"/>
    </row>
    <row r="4698">
      <c r="A4698" s="134" t="str">
        <f>IFERROR(__xludf.DUMMYFUNCTION("""COMPUTED_VALUE"""),"Loikaw")</f>
        <v>Loikaw</v>
      </c>
      <c r="B4698" s="120" t="str">
        <f>IFERROR(__xludf.DUMMYFUNCTION("""COMPUTED_VALUE"""),"LIW")</f>
        <v>LIW</v>
      </c>
      <c r="C4698" s="120" t="str">
        <f>IFERROR(__xludf.DUMMYFUNCTION("""COMPUTED_VALUE"""),"Loikaw")</f>
        <v>Loikaw</v>
      </c>
      <c r="D4698" s="120" t="str">
        <f>IFERROR(__xludf.DUMMYFUNCTION("""COMPUTED_VALUE"""),"Myanmar")</f>
        <v>Myanmar</v>
      </c>
      <c r="E4698" s="135"/>
      <c r="F4698" s="31"/>
    </row>
    <row r="4699">
      <c r="A4699" s="134" t="str">
        <f>IFERROR(__xludf.DUMMYFUNCTION("""COMPUTED_VALUE"""),"Loja")</f>
        <v>Loja</v>
      </c>
      <c r="B4699" s="120" t="str">
        <f>IFERROR(__xludf.DUMMYFUNCTION("""COMPUTED_VALUE"""),"LOH")</f>
        <v>LOH</v>
      </c>
      <c r="C4699" s="120" t="str">
        <f>IFERROR(__xludf.DUMMYFUNCTION("""COMPUTED_VALUE"""),"Loja")</f>
        <v>Loja</v>
      </c>
      <c r="D4699" s="120" t="str">
        <f>IFERROR(__xludf.DUMMYFUNCTION("""COMPUTED_VALUE"""),"Ecuador")</f>
        <v>Ecuador</v>
      </c>
      <c r="E4699" s="135"/>
      <c r="F4699" s="31"/>
    </row>
    <row r="4700">
      <c r="A4700" s="134" t="str">
        <f>IFERROR(__xludf.DUMMYFUNCTION("""COMPUTED_VALUE"""),"Lokichoggio")</f>
        <v>Lokichoggio</v>
      </c>
      <c r="B4700" s="120" t="str">
        <f>IFERROR(__xludf.DUMMYFUNCTION("""COMPUTED_VALUE"""),"LKG")</f>
        <v>LKG</v>
      </c>
      <c r="C4700" s="120" t="str">
        <f>IFERROR(__xludf.DUMMYFUNCTION("""COMPUTED_VALUE"""),"Lokichoggio")</f>
        <v>Lokichoggio</v>
      </c>
      <c r="D4700" s="120" t="str">
        <f>IFERROR(__xludf.DUMMYFUNCTION("""COMPUTED_VALUE"""),"Kenya")</f>
        <v>Kenya</v>
      </c>
      <c r="E4700" s="135"/>
      <c r="F4700" s="31"/>
    </row>
    <row r="4701">
      <c r="A4701" s="134" t="str">
        <f>IFERROR(__xludf.DUMMYFUNCTION("""COMPUTED_VALUE"""),"Lome")</f>
        <v>Lome</v>
      </c>
      <c r="B4701" s="120" t="str">
        <f>IFERROR(__xludf.DUMMYFUNCTION("""COMPUTED_VALUE"""),"LFW")</f>
        <v>LFW</v>
      </c>
      <c r="C4701" s="120" t="str">
        <f>IFERROR(__xludf.DUMMYFUNCTION("""COMPUTED_VALUE"""),"Lome")</f>
        <v>Lome</v>
      </c>
      <c r="D4701" s="120" t="str">
        <f>IFERROR(__xludf.DUMMYFUNCTION("""COMPUTED_VALUE"""),"Togo")</f>
        <v>Togo</v>
      </c>
      <c r="E4701" s="135"/>
      <c r="F4701" s="31"/>
    </row>
    <row r="4702">
      <c r="A4702" s="134" t="str">
        <f>IFERROR(__xludf.DUMMYFUNCTION("""COMPUTED_VALUE"""),"Lompoc")</f>
        <v>Lompoc</v>
      </c>
      <c r="B4702" s="120" t="str">
        <f>IFERROR(__xludf.DUMMYFUNCTION("""COMPUTED_VALUE"""),"LPC")</f>
        <v>LPC</v>
      </c>
      <c r="C4702" s="120" t="str">
        <f>IFERROR(__xludf.DUMMYFUNCTION("""COMPUTED_VALUE"""),"Lompoc Airport")</f>
        <v>Lompoc Airport</v>
      </c>
      <c r="D4702" s="120" t="str">
        <f>IFERROR(__xludf.DUMMYFUNCTION("""COMPUTED_VALUE"""),"United States")</f>
        <v>United States</v>
      </c>
      <c r="E4702" s="135"/>
      <c r="F4702" s="31"/>
    </row>
    <row r="4703">
      <c r="A4703" s="134" t="str">
        <f>IFERROR(__xludf.DUMMYFUNCTION("""COMPUTED_VALUE"""),"Lompoc")</f>
        <v>Lompoc</v>
      </c>
      <c r="B4703" s="120" t="str">
        <f>IFERROR(__xludf.DUMMYFUNCTION("""COMPUTED_VALUE"""),"VBG")</f>
        <v>VBG</v>
      </c>
      <c r="C4703" s="120" t="str">
        <f>IFERROR(__xludf.DUMMYFUNCTION("""COMPUTED_VALUE"""),"Vandenberg AFB")</f>
        <v>Vandenberg AFB</v>
      </c>
      <c r="D4703" s="120" t="str">
        <f>IFERROR(__xludf.DUMMYFUNCTION("""COMPUTED_VALUE"""),"United States")</f>
        <v>United States</v>
      </c>
      <c r="E4703" s="135"/>
      <c r="F4703" s="31"/>
    </row>
    <row r="4704">
      <c r="A4704" s="134" t="str">
        <f>IFERROR(__xludf.DUMMYFUNCTION("""COMPUTED_VALUE"""),"Loncopue")</f>
        <v>Loncopue</v>
      </c>
      <c r="B4704" s="120" t="str">
        <f>IFERROR(__xludf.DUMMYFUNCTION("""COMPUTED_VALUE"""),"LCP")</f>
        <v>LCP</v>
      </c>
      <c r="C4704" s="120" t="str">
        <f>IFERROR(__xludf.DUMMYFUNCTION("""COMPUTED_VALUE"""),"Loncopue")</f>
        <v>Loncopue</v>
      </c>
      <c r="D4704" s="120" t="str">
        <f>IFERROR(__xludf.DUMMYFUNCTION("""COMPUTED_VALUE"""),"Argentina")</f>
        <v>Argentina</v>
      </c>
      <c r="E4704" s="135"/>
      <c r="F4704" s="31"/>
    </row>
    <row r="4705">
      <c r="A4705" s="134" t="str">
        <f>IFERROR(__xludf.DUMMYFUNCTION("""COMPUTED_VALUE"""),"Londolozi")</f>
        <v>Londolozi</v>
      </c>
      <c r="B4705" s="120" t="str">
        <f>IFERROR(__xludf.DUMMYFUNCTION("""COMPUTED_VALUE"""),"LDZ")</f>
        <v>LDZ</v>
      </c>
      <c r="C4705" s="120" t="str">
        <f>IFERROR(__xludf.DUMMYFUNCTION("""COMPUTED_VALUE"""),"Londolozi")</f>
        <v>Londolozi</v>
      </c>
      <c r="D4705" s="120" t="str">
        <f>IFERROR(__xludf.DUMMYFUNCTION("""COMPUTED_VALUE"""),"South Africa")</f>
        <v>South Africa</v>
      </c>
      <c r="E4705" s="135"/>
      <c r="F4705" s="31"/>
    </row>
    <row r="4706">
      <c r="A4706" s="134" t="str">
        <f>IFERROR(__xludf.DUMMYFUNCTION("""COMPUTED_VALUE"""),"Biggin Hill")</f>
        <v>Biggin Hill</v>
      </c>
      <c r="B4706" s="120" t="str">
        <f>IFERROR(__xludf.DUMMYFUNCTION("""COMPUTED_VALUE"""),"BQH")</f>
        <v>BQH</v>
      </c>
      <c r="C4706" s="120" t="str">
        <f>IFERROR(__xludf.DUMMYFUNCTION("""COMPUTED_VALUE"""),"Biggin Hill")</f>
        <v>Biggin Hill</v>
      </c>
      <c r="D4706" s="120" t="str">
        <f>IFERROR(__xludf.DUMMYFUNCTION("""COMPUTED_VALUE"""),"United Kingdom")</f>
        <v>United Kingdom</v>
      </c>
      <c r="E4706" s="135"/>
      <c r="F4706" s="31"/>
    </row>
    <row r="4707">
      <c r="A4707" s="134" t="str">
        <f>IFERROR(__xludf.DUMMYFUNCTION("""COMPUTED_VALUE"""),"London")</f>
        <v>London</v>
      </c>
      <c r="B4707" s="120" t="str">
        <f>IFERROR(__xludf.DUMMYFUNCTION("""COMPUTED_VALUE"""),"ZLX")</f>
        <v>ZLX</v>
      </c>
      <c r="C4707" s="120" t="str">
        <f>IFERROR(__xludf.DUMMYFUNCTION("""COMPUTED_VALUE"""),"British Rail Terminal")</f>
        <v>British Rail Terminal</v>
      </c>
      <c r="D4707" s="120" t="str">
        <f>IFERROR(__xludf.DUMMYFUNCTION("""COMPUTED_VALUE"""),"United Kingdom")</f>
        <v>United Kingdom</v>
      </c>
      <c r="E4707" s="135"/>
      <c r="F4707" s="31"/>
    </row>
    <row r="4708">
      <c r="A4708" s="134" t="str">
        <f>IFERROR(__xludf.DUMMYFUNCTION("""COMPUTED_VALUE"""),"London")</f>
        <v>London</v>
      </c>
      <c r="B4708" s="120" t="str">
        <f>IFERROR(__xludf.DUMMYFUNCTION("""COMPUTED_VALUE"""),"LGW")</f>
        <v>LGW</v>
      </c>
      <c r="C4708" s="120" t="str">
        <f>IFERROR(__xludf.DUMMYFUNCTION("""COMPUTED_VALUE"""),"Gatwick")</f>
        <v>Gatwick</v>
      </c>
      <c r="D4708" s="120" t="str">
        <f>IFERROR(__xludf.DUMMYFUNCTION("""COMPUTED_VALUE"""),"United Kingdom")</f>
        <v>United Kingdom</v>
      </c>
      <c r="E4708" s="135"/>
      <c r="F4708" s="31"/>
    </row>
    <row r="4709">
      <c r="A4709" s="134" t="str">
        <f>IFERROR(__xludf.DUMMYFUNCTION("""COMPUTED_VALUE"""),"London")</f>
        <v>London</v>
      </c>
      <c r="B4709" s="120" t="str">
        <f>IFERROR(__xludf.DUMMYFUNCTION("""COMPUTED_VALUE"""),"LHR")</f>
        <v>LHR</v>
      </c>
      <c r="C4709" s="120" t="str">
        <f>IFERROR(__xludf.DUMMYFUNCTION("""COMPUTED_VALUE"""),"Heathrow")</f>
        <v>Heathrow</v>
      </c>
      <c r="D4709" s="120" t="str">
        <f>IFERROR(__xludf.DUMMYFUNCTION("""COMPUTED_VALUE"""),"United Kingdom")</f>
        <v>United Kingdom</v>
      </c>
      <c r="E4709" s="135"/>
      <c r="F4709" s="31"/>
    </row>
    <row r="4710">
      <c r="A4710" s="134" t="str">
        <f>IFERROR(__xludf.DUMMYFUNCTION("""COMPUTED_VALUE"""),"London")</f>
        <v>London</v>
      </c>
      <c r="B4710" s="120" t="str">
        <f>IFERROR(__xludf.DUMMYFUNCTION("""COMPUTED_VALUE"""),"LCY")</f>
        <v>LCY</v>
      </c>
      <c r="C4710" s="120" t="str">
        <f>IFERROR(__xludf.DUMMYFUNCTION("""COMPUTED_VALUE"""),"London City Airport")</f>
        <v>London City Airport</v>
      </c>
      <c r="D4710" s="120" t="str">
        <f>IFERROR(__xludf.DUMMYFUNCTION("""COMPUTED_VALUE"""),"United Kingdom")</f>
        <v>United Kingdom</v>
      </c>
      <c r="E4710" s="135"/>
      <c r="F4710" s="31"/>
    </row>
    <row r="4711">
      <c r="A4711" s="134" t="str">
        <f>IFERROR(__xludf.DUMMYFUNCTION("""COMPUTED_VALUE"""),"London")</f>
        <v>London</v>
      </c>
      <c r="B4711" s="120" t="str">
        <f>IFERROR(__xludf.DUMMYFUNCTION("""COMPUTED_VALUE"""),"QQW")</f>
        <v>QQW</v>
      </c>
      <c r="C4711" s="120" t="str">
        <f>IFERROR(__xludf.DUMMYFUNCTION("""COMPUTED_VALUE"""),"London-Waterloo")</f>
        <v>London-Waterloo</v>
      </c>
      <c r="D4711" s="120" t="str">
        <f>IFERROR(__xludf.DUMMYFUNCTION("""COMPUTED_VALUE"""),"United Kingdom")</f>
        <v>United Kingdom</v>
      </c>
      <c r="E4711" s="135"/>
      <c r="F4711" s="31"/>
    </row>
    <row r="4712">
      <c r="A4712" s="134" t="str">
        <f>IFERROR(__xludf.DUMMYFUNCTION("""COMPUTED_VALUE"""),"London")</f>
        <v>London</v>
      </c>
      <c r="B4712" s="120" t="str">
        <f>IFERROR(__xludf.DUMMYFUNCTION("""COMPUTED_VALUE"""),"LTN")</f>
        <v>LTN</v>
      </c>
      <c r="C4712" s="120" t="str">
        <f>IFERROR(__xludf.DUMMYFUNCTION("""COMPUTED_VALUE"""),"Luton Airport")</f>
        <v>Luton Airport</v>
      </c>
      <c r="D4712" s="120" t="str">
        <f>IFERROR(__xludf.DUMMYFUNCTION("""COMPUTED_VALUE"""),"United Kingdom")</f>
        <v>United Kingdom</v>
      </c>
      <c r="E4712" s="135"/>
      <c r="F4712" s="31"/>
    </row>
    <row r="4713">
      <c r="A4713" s="134" t="str">
        <f>IFERROR(__xludf.DUMMYFUNCTION("""COMPUTED_VALUE"""),"London")</f>
        <v>London</v>
      </c>
      <c r="B4713" s="120" t="str">
        <f>IFERROR(__xludf.DUMMYFUNCTION("""COMPUTED_VALUE"""),"STN")</f>
        <v>STN</v>
      </c>
      <c r="C4713" s="120" t="str">
        <f>IFERROR(__xludf.DUMMYFUNCTION("""COMPUTED_VALUE"""),"Stansted")</f>
        <v>Stansted</v>
      </c>
      <c r="D4713" s="120" t="str">
        <f>IFERROR(__xludf.DUMMYFUNCTION("""COMPUTED_VALUE"""),"United Kingdom")</f>
        <v>United Kingdom</v>
      </c>
      <c r="E4713" s="135"/>
      <c r="F4713" s="31"/>
    </row>
    <row r="4714">
      <c r="A4714" s="134" t="str">
        <f>IFERROR(__xludf.DUMMYFUNCTION("""COMPUTED_VALUE"""),"London")</f>
        <v>London</v>
      </c>
      <c r="B4714" s="120" t="str">
        <f>IFERROR(__xludf.DUMMYFUNCTION("""COMPUTED_VALUE"""),"ZEP")</f>
        <v>ZEP</v>
      </c>
      <c r="C4714" s="120" t="str">
        <f>IFERROR(__xludf.DUMMYFUNCTION("""COMPUTED_VALUE"""),"Victoria Railway Stn.")</f>
        <v>Victoria Railway Stn.</v>
      </c>
      <c r="D4714" s="120" t="str">
        <f>IFERROR(__xludf.DUMMYFUNCTION("""COMPUTED_VALUE"""),"United Kingdom")</f>
        <v>United Kingdom</v>
      </c>
      <c r="E4714" s="135"/>
      <c r="F4714" s="31"/>
    </row>
    <row r="4715">
      <c r="A4715" s="134" t="str">
        <f>IFERROR(__xludf.DUMMYFUNCTION("""COMPUTED_VALUE"""),"London")</f>
        <v>London</v>
      </c>
      <c r="B4715" s="120" t="str">
        <f>IFERROR(__xludf.DUMMYFUNCTION("""COMPUTED_VALUE"""),"LOZ")</f>
        <v>LOZ</v>
      </c>
      <c r="C4715" s="120" t="str">
        <f>IFERROR(__xludf.DUMMYFUNCTION("""COMPUTED_VALUE"""),"Corbin-London")</f>
        <v>Corbin-London</v>
      </c>
      <c r="D4715" s="120" t="str">
        <f>IFERROR(__xludf.DUMMYFUNCTION("""COMPUTED_VALUE"""),"United States")</f>
        <v>United States</v>
      </c>
      <c r="E4715" s="135"/>
      <c r="F4715" s="31"/>
    </row>
    <row r="4716">
      <c r="A4716" s="134" t="str">
        <f>IFERROR(__xludf.DUMMYFUNCTION("""COMPUTED_VALUE"""),"Londonderry")</f>
        <v>Londonderry</v>
      </c>
      <c r="B4716" s="120" t="str">
        <f>IFERROR(__xludf.DUMMYFUNCTION("""COMPUTED_VALUE"""),"LDY")</f>
        <v>LDY</v>
      </c>
      <c r="C4716" s="120" t="str">
        <f>IFERROR(__xludf.DUMMYFUNCTION("""COMPUTED_VALUE"""),"Eglinton (City Of Londonderry)")</f>
        <v>Eglinton (City Of Londonderry)</v>
      </c>
      <c r="D4716" s="120" t="str">
        <f>IFERROR(__xludf.DUMMYFUNCTION("""COMPUTED_VALUE"""),"United Kingdom")</f>
        <v>United Kingdom</v>
      </c>
      <c r="E4716" s="135"/>
      <c r="F4716" s="31"/>
    </row>
    <row r="4717">
      <c r="A4717" s="134" t="str">
        <f>IFERROR(__xludf.DUMMYFUNCTION("""COMPUTED_VALUE"""),"Londrina")</f>
        <v>Londrina</v>
      </c>
      <c r="B4717" s="120" t="str">
        <f>IFERROR(__xludf.DUMMYFUNCTION("""COMPUTED_VALUE"""),"LDB")</f>
        <v>LDB</v>
      </c>
      <c r="C4717" s="120" t="str">
        <f>IFERROR(__xludf.DUMMYFUNCTION("""COMPUTED_VALUE"""),"Londrina")</f>
        <v>Londrina</v>
      </c>
      <c r="D4717" s="120" t="str">
        <f>IFERROR(__xludf.DUMMYFUNCTION("""COMPUTED_VALUE"""),"Brazil")</f>
        <v>Brazil</v>
      </c>
      <c r="E4717" s="135"/>
      <c r="F4717" s="31"/>
    </row>
    <row r="4718">
      <c r="A4718" s="134" t="str">
        <f>IFERROR(__xludf.DUMMYFUNCTION("""COMPUTED_VALUE"""),"Lone Rock")</f>
        <v>Lone Rock</v>
      </c>
      <c r="B4718" s="120" t="str">
        <f>IFERROR(__xludf.DUMMYFUNCTION("""COMPUTED_VALUE"""),"LNR")</f>
        <v>LNR</v>
      </c>
      <c r="C4718" s="120" t="str">
        <f>IFERROR(__xludf.DUMMYFUNCTION("""COMPUTED_VALUE"""),"Tri County")</f>
        <v>Tri County</v>
      </c>
      <c r="D4718" s="120" t="str">
        <f>IFERROR(__xludf.DUMMYFUNCTION("""COMPUTED_VALUE"""),"United States")</f>
        <v>United States</v>
      </c>
      <c r="E4718" s="135"/>
      <c r="F4718" s="31"/>
    </row>
    <row r="4719">
      <c r="A4719" s="134" t="str">
        <f>IFERROR(__xludf.DUMMYFUNCTION("""COMPUTED_VALUE"""),"Lonely")</f>
        <v>Lonely</v>
      </c>
      <c r="B4719" s="120" t="str">
        <f>IFERROR(__xludf.DUMMYFUNCTION("""COMPUTED_VALUE"""),"LNI")</f>
        <v>LNI</v>
      </c>
      <c r="C4719" s="120" t="str">
        <f>IFERROR(__xludf.DUMMYFUNCTION("""COMPUTED_VALUE"""),"Dew Station")</f>
        <v>Dew Station</v>
      </c>
      <c r="D4719" s="120" t="str">
        <f>IFERROR(__xludf.DUMMYFUNCTION("""COMPUTED_VALUE"""),"United States")</f>
        <v>United States</v>
      </c>
      <c r="E4719" s="135"/>
      <c r="F4719" s="31"/>
    </row>
    <row r="4720">
      <c r="A4720" s="134" t="str">
        <f>IFERROR(__xludf.DUMMYFUNCTION("""COMPUTED_VALUE"""),"Long Akah")</f>
        <v>Long Akah</v>
      </c>
      <c r="B4720" s="120" t="str">
        <f>IFERROR(__xludf.DUMMYFUNCTION("""COMPUTED_VALUE"""),"LKH")</f>
        <v>LKH</v>
      </c>
      <c r="C4720" s="120" t="str">
        <f>IFERROR(__xludf.DUMMYFUNCTION("""COMPUTED_VALUE"""),"Long Akah")</f>
        <v>Long Akah</v>
      </c>
      <c r="D4720" s="120" t="str">
        <f>IFERROR(__xludf.DUMMYFUNCTION("""COMPUTED_VALUE"""),"Malaysia")</f>
        <v>Malaysia</v>
      </c>
      <c r="E4720" s="135"/>
      <c r="F4720" s="31"/>
    </row>
    <row r="4721">
      <c r="A4721" s="134" t="str">
        <f>IFERROR(__xludf.DUMMYFUNCTION("""COMPUTED_VALUE"""),"Long Apung")</f>
        <v>Long Apung</v>
      </c>
      <c r="B4721" s="120" t="str">
        <f>IFERROR(__xludf.DUMMYFUNCTION("""COMPUTED_VALUE"""),"LPU")</f>
        <v>LPU</v>
      </c>
      <c r="C4721" s="120" t="str">
        <f>IFERROR(__xludf.DUMMYFUNCTION("""COMPUTED_VALUE"""),"Long Apung")</f>
        <v>Long Apung</v>
      </c>
      <c r="D4721" s="120" t="str">
        <f>IFERROR(__xludf.DUMMYFUNCTION("""COMPUTED_VALUE"""),"Indonesia")</f>
        <v>Indonesia</v>
      </c>
      <c r="E4721" s="135"/>
      <c r="F4721" s="31"/>
    </row>
    <row r="4722">
      <c r="A4722" s="134" t="str">
        <f>IFERROR(__xludf.DUMMYFUNCTION("""COMPUTED_VALUE"""),"Long Banga")</f>
        <v>Long Banga</v>
      </c>
      <c r="B4722" s="120" t="str">
        <f>IFERROR(__xludf.DUMMYFUNCTION("""COMPUTED_VALUE"""),"LBP")</f>
        <v>LBP</v>
      </c>
      <c r="C4722" s="120" t="str">
        <f>IFERROR(__xludf.DUMMYFUNCTION("""COMPUTED_VALUE"""),"Long Banga Airfield")</f>
        <v>Long Banga Airfield</v>
      </c>
      <c r="D4722" s="120" t="str">
        <f>IFERROR(__xludf.DUMMYFUNCTION("""COMPUTED_VALUE"""),"Malaysia")</f>
        <v>Malaysia</v>
      </c>
      <c r="E4722" s="135"/>
      <c r="F4722" s="31"/>
    </row>
    <row r="4723">
      <c r="A4723" s="134" t="str">
        <f>IFERROR(__xludf.DUMMYFUNCTION("""COMPUTED_VALUE"""),"Long Bawan")</f>
        <v>Long Bawan</v>
      </c>
      <c r="B4723" s="120" t="str">
        <f>IFERROR(__xludf.DUMMYFUNCTION("""COMPUTED_VALUE"""),"LBW")</f>
        <v>LBW</v>
      </c>
      <c r="C4723" s="120" t="str">
        <f>IFERROR(__xludf.DUMMYFUNCTION("""COMPUTED_VALUE"""),"Long Bawan")</f>
        <v>Long Bawan</v>
      </c>
      <c r="D4723" s="120" t="str">
        <f>IFERROR(__xludf.DUMMYFUNCTION("""COMPUTED_VALUE"""),"Indonesia")</f>
        <v>Indonesia</v>
      </c>
      <c r="E4723" s="135"/>
      <c r="F4723" s="31"/>
    </row>
    <row r="4724">
      <c r="A4724" s="134" t="str">
        <f>IFERROR(__xludf.DUMMYFUNCTION("""COMPUTED_VALUE"""),"Long Beach")</f>
        <v>Long Beach</v>
      </c>
      <c r="B4724" s="120" t="str">
        <f>IFERROR(__xludf.DUMMYFUNCTION("""COMPUTED_VALUE"""),"JLB")</f>
        <v>JLB</v>
      </c>
      <c r="C4724" s="120" t="str">
        <f>IFERROR(__xludf.DUMMYFUNCTION("""COMPUTED_VALUE"""),"Heliport")</f>
        <v>Heliport</v>
      </c>
      <c r="D4724" s="120" t="str">
        <f>IFERROR(__xludf.DUMMYFUNCTION("""COMPUTED_VALUE"""),"United States")</f>
        <v>United States</v>
      </c>
      <c r="E4724" s="135"/>
      <c r="F4724" s="31"/>
    </row>
    <row r="4725">
      <c r="A4725" s="134" t="str">
        <f>IFERROR(__xludf.DUMMYFUNCTION("""COMPUTED_VALUE"""),"Long Beach")</f>
        <v>Long Beach</v>
      </c>
      <c r="B4725" s="120" t="str">
        <f>IFERROR(__xludf.DUMMYFUNCTION("""COMPUTED_VALUE"""),"LGB")</f>
        <v>LGB</v>
      </c>
      <c r="C4725" s="120" t="str">
        <f>IFERROR(__xludf.DUMMYFUNCTION("""COMPUTED_VALUE"""),"Long Beach Municipal")</f>
        <v>Long Beach Municipal</v>
      </c>
      <c r="D4725" s="120" t="str">
        <f>IFERROR(__xludf.DUMMYFUNCTION("""COMPUTED_VALUE"""),"United States")</f>
        <v>United States</v>
      </c>
      <c r="E4725" s="135"/>
      <c r="F4725" s="31"/>
    </row>
    <row r="4726">
      <c r="A4726" s="134" t="str">
        <f>IFERROR(__xludf.DUMMYFUNCTION("""COMPUTED_VALUE"""),"Long Island")</f>
        <v>Long Island</v>
      </c>
      <c r="B4726" s="120" t="str">
        <f>IFERROR(__xludf.DUMMYFUNCTION("""COMPUTED_VALUE"""),"LIJ")</f>
        <v>LIJ</v>
      </c>
      <c r="C4726" s="120" t="str">
        <f>IFERROR(__xludf.DUMMYFUNCTION("""COMPUTED_VALUE"""),"Long Island")</f>
        <v>Long Island</v>
      </c>
      <c r="D4726" s="120" t="str">
        <f>IFERROR(__xludf.DUMMYFUNCTION("""COMPUTED_VALUE"""),"United States")</f>
        <v>United States</v>
      </c>
      <c r="E4726" s="135"/>
      <c r="F4726" s="31"/>
    </row>
    <row r="4727">
      <c r="A4727" s="134" t="str">
        <f>IFERROR(__xludf.DUMMYFUNCTION("""COMPUTED_VALUE"""),"Long Island")</f>
        <v>Long Island</v>
      </c>
      <c r="B4727" s="120" t="str">
        <f>IFERROR(__xludf.DUMMYFUNCTION("""COMPUTED_VALUE"""),"LGI")</f>
        <v>LGI</v>
      </c>
      <c r="C4727" s="120" t="str">
        <f>IFERROR(__xludf.DUMMYFUNCTION("""COMPUTED_VALUE"""),"Deadmans Cay")</f>
        <v>Deadmans Cay</v>
      </c>
      <c r="D4727" s="120" t="str">
        <f>IFERROR(__xludf.DUMMYFUNCTION("""COMPUTED_VALUE"""),"Bahamas")</f>
        <v>Bahamas</v>
      </c>
      <c r="E4727" s="135"/>
      <c r="F4727" s="31"/>
    </row>
    <row r="4728">
      <c r="A4728" s="134" t="str">
        <f>IFERROR(__xludf.DUMMYFUNCTION("""COMPUTED_VALUE"""),"Long Island")</f>
        <v>Long Island</v>
      </c>
      <c r="B4728" s="120" t="str">
        <f>IFERROR(__xludf.DUMMYFUNCTION("""COMPUTED_VALUE"""),"LSJ")</f>
        <v>LSJ</v>
      </c>
      <c r="C4728" s="120" t="str">
        <f>IFERROR(__xludf.DUMMYFUNCTION("""COMPUTED_VALUE"""),"Long Island")</f>
        <v>Long Island</v>
      </c>
      <c r="D4728" s="120" t="str">
        <f>IFERROR(__xludf.DUMMYFUNCTION("""COMPUTED_VALUE"""),"Papua New Guinea")</f>
        <v>Papua New Guinea</v>
      </c>
      <c r="E4728" s="135"/>
      <c r="F4728" s="31"/>
    </row>
    <row r="4729">
      <c r="A4729" s="134" t="str">
        <f>IFERROR(__xludf.DUMMYFUNCTION("""COMPUTED_VALUE"""),"Long Island")</f>
        <v>Long Island</v>
      </c>
      <c r="B4729" s="120" t="str">
        <f>IFERROR(__xludf.DUMMYFUNCTION("""COMPUTED_VALUE"""),"HAP")</f>
        <v>HAP</v>
      </c>
      <c r="C4729" s="120" t="str">
        <f>IFERROR(__xludf.DUMMYFUNCTION("""COMPUTED_VALUE"""),"Long Island")</f>
        <v>Long Island</v>
      </c>
      <c r="D4729" s="120" t="str">
        <f>IFERROR(__xludf.DUMMYFUNCTION("""COMPUTED_VALUE"""),"Australia")</f>
        <v>Australia</v>
      </c>
      <c r="E4729" s="135"/>
      <c r="F4729" s="31"/>
    </row>
    <row r="4730">
      <c r="A4730" s="134" t="str">
        <f>IFERROR(__xludf.DUMMYFUNCTION("""COMPUTED_VALUE"""),"Long Lama")</f>
        <v>Long Lama</v>
      </c>
      <c r="B4730" s="120" t="str">
        <f>IFERROR(__xludf.DUMMYFUNCTION("""COMPUTED_VALUE"""),"LLM")</f>
        <v>LLM</v>
      </c>
      <c r="C4730" s="120" t="str">
        <f>IFERROR(__xludf.DUMMYFUNCTION("""COMPUTED_VALUE"""),"Long Lama")</f>
        <v>Long Lama</v>
      </c>
      <c r="D4730" s="120" t="str">
        <f>IFERROR(__xludf.DUMMYFUNCTION("""COMPUTED_VALUE"""),"Malaysia")</f>
        <v>Malaysia</v>
      </c>
      <c r="E4730" s="135"/>
      <c r="F4730" s="31"/>
    </row>
    <row r="4731">
      <c r="A4731" s="134" t="str">
        <f>IFERROR(__xludf.DUMMYFUNCTION("""COMPUTED_VALUE"""),"Long Lellang")</f>
        <v>Long Lellang</v>
      </c>
      <c r="B4731" s="120" t="str">
        <f>IFERROR(__xludf.DUMMYFUNCTION("""COMPUTED_VALUE"""),"LGL")</f>
        <v>LGL</v>
      </c>
      <c r="C4731" s="120" t="str">
        <f>IFERROR(__xludf.DUMMYFUNCTION("""COMPUTED_VALUE"""),"Long Lellang")</f>
        <v>Long Lellang</v>
      </c>
      <c r="D4731" s="120" t="str">
        <f>IFERROR(__xludf.DUMMYFUNCTION("""COMPUTED_VALUE"""),"Malaysia")</f>
        <v>Malaysia</v>
      </c>
      <c r="E4731" s="135"/>
      <c r="F4731" s="31"/>
    </row>
    <row r="4732">
      <c r="A4732" s="134" t="str">
        <f>IFERROR(__xludf.DUMMYFUNCTION("""COMPUTED_VALUE"""),"Long Pasia")</f>
        <v>Long Pasia</v>
      </c>
      <c r="B4732" s="120" t="str">
        <f>IFERROR(__xludf.DUMMYFUNCTION("""COMPUTED_VALUE"""),"GSA")</f>
        <v>GSA</v>
      </c>
      <c r="C4732" s="120" t="str">
        <f>IFERROR(__xludf.DUMMYFUNCTION("""COMPUTED_VALUE"""),"Long Pasia")</f>
        <v>Long Pasia</v>
      </c>
      <c r="D4732" s="120" t="str">
        <f>IFERROR(__xludf.DUMMYFUNCTION("""COMPUTED_VALUE"""),"Malaysia")</f>
        <v>Malaysia</v>
      </c>
      <c r="E4732" s="135"/>
      <c r="F4732" s="31"/>
    </row>
    <row r="4733">
      <c r="A4733" s="134" t="str">
        <f>IFERROR(__xludf.DUMMYFUNCTION("""COMPUTED_VALUE"""),"Long Point")</f>
        <v>Long Point</v>
      </c>
      <c r="B4733" s="120" t="str">
        <f>IFERROR(__xludf.DUMMYFUNCTION("""COMPUTED_VALUE"""),"YLX")</f>
        <v>YLX</v>
      </c>
      <c r="C4733" s="120" t="str">
        <f>IFERROR(__xludf.DUMMYFUNCTION("""COMPUTED_VALUE"""),"Long Point")</f>
        <v>Long Point</v>
      </c>
      <c r="D4733" s="120" t="str">
        <f>IFERROR(__xludf.DUMMYFUNCTION("""COMPUTED_VALUE"""),"Canada")</f>
        <v>Canada</v>
      </c>
      <c r="E4733" s="135"/>
      <c r="F4733" s="31"/>
    </row>
    <row r="4734">
      <c r="A4734" s="134" t="str">
        <f>IFERROR(__xludf.DUMMYFUNCTION("""COMPUTED_VALUE"""),"Long Semado")</f>
        <v>Long Semado</v>
      </c>
      <c r="B4734" s="120" t="str">
        <f>IFERROR(__xludf.DUMMYFUNCTION("""COMPUTED_VALUE"""),"LSM")</f>
        <v>LSM</v>
      </c>
      <c r="C4734" s="120" t="str">
        <f>IFERROR(__xludf.DUMMYFUNCTION("""COMPUTED_VALUE"""),"Lawas")</f>
        <v>Lawas</v>
      </c>
      <c r="D4734" s="120" t="str">
        <f>IFERROR(__xludf.DUMMYFUNCTION("""COMPUTED_VALUE"""),"Malaysia")</f>
        <v>Malaysia</v>
      </c>
      <c r="E4734" s="135"/>
      <c r="F4734" s="31"/>
    </row>
    <row r="4735">
      <c r="A4735" s="134" t="str">
        <f>IFERROR(__xludf.DUMMYFUNCTION("""COMPUTED_VALUE"""),"Long Seridan")</f>
        <v>Long Seridan</v>
      </c>
      <c r="B4735" s="120" t="str">
        <f>IFERROR(__xludf.DUMMYFUNCTION("""COMPUTED_VALUE"""),"ODN")</f>
        <v>ODN</v>
      </c>
      <c r="C4735" s="120" t="str">
        <f>IFERROR(__xludf.DUMMYFUNCTION("""COMPUTED_VALUE"""),"Long Seridan")</f>
        <v>Long Seridan</v>
      </c>
      <c r="D4735" s="120" t="str">
        <f>IFERROR(__xludf.DUMMYFUNCTION("""COMPUTED_VALUE"""),"Malaysia")</f>
        <v>Malaysia</v>
      </c>
      <c r="E4735" s="135"/>
      <c r="F4735" s="31"/>
    </row>
    <row r="4736">
      <c r="A4736" s="134" t="str">
        <f>IFERROR(__xludf.DUMMYFUNCTION("""COMPUTED_VALUE"""),"Long Sukang")</f>
        <v>Long Sukang</v>
      </c>
      <c r="B4736" s="120" t="str">
        <f>IFERROR(__xludf.DUMMYFUNCTION("""COMPUTED_VALUE"""),"LSU")</f>
        <v>LSU</v>
      </c>
      <c r="C4736" s="120" t="str">
        <f>IFERROR(__xludf.DUMMYFUNCTION("""COMPUTED_VALUE"""),"Long Sukang")</f>
        <v>Long Sukang</v>
      </c>
      <c r="D4736" s="120" t="str">
        <f>IFERROR(__xludf.DUMMYFUNCTION("""COMPUTED_VALUE"""),"Malaysia")</f>
        <v>Malaysia</v>
      </c>
      <c r="E4736" s="135"/>
      <c r="F4736" s="31"/>
    </row>
    <row r="4737">
      <c r="A4737" s="134" t="str">
        <f>IFERROR(__xludf.DUMMYFUNCTION("""COMPUTED_VALUE"""),"Long Xuyen")</f>
        <v>Long Xuyen</v>
      </c>
      <c r="B4737" s="120" t="str">
        <f>IFERROR(__xludf.DUMMYFUNCTION("""COMPUTED_VALUE"""),"XLO")</f>
        <v>XLO</v>
      </c>
      <c r="C4737" s="120" t="str">
        <f>IFERROR(__xludf.DUMMYFUNCTION("""COMPUTED_VALUE"""),"Long Xuyen")</f>
        <v>Long Xuyen</v>
      </c>
      <c r="D4737" s="120" t="str">
        <f>IFERROR(__xludf.DUMMYFUNCTION("""COMPUTED_VALUE"""),"Vietnam")</f>
        <v>Vietnam</v>
      </c>
      <c r="E4737" s="135"/>
      <c r="F4737" s="31"/>
    </row>
    <row r="4738">
      <c r="A4738" s="134" t="str">
        <f>IFERROR(__xludf.DUMMYFUNCTION("""COMPUTED_VALUE"""),"Longana")</f>
        <v>Longana</v>
      </c>
      <c r="B4738" s="120" t="str">
        <f>IFERROR(__xludf.DUMMYFUNCTION("""COMPUTED_VALUE"""),"LOD")</f>
        <v>LOD</v>
      </c>
      <c r="C4738" s="120" t="str">
        <f>IFERROR(__xludf.DUMMYFUNCTION("""COMPUTED_VALUE"""),"Longana")</f>
        <v>Longana</v>
      </c>
      <c r="D4738" s="120" t="str">
        <f>IFERROR(__xludf.DUMMYFUNCTION("""COMPUTED_VALUE"""),"Vanuatu")</f>
        <v>Vanuatu</v>
      </c>
      <c r="E4738" s="135"/>
      <c r="F4738" s="31"/>
    </row>
    <row r="4739">
      <c r="A4739" s="134" t="str">
        <f>IFERROR(__xludf.DUMMYFUNCTION("""COMPUTED_VALUE"""),"Longreach")</f>
        <v>Longreach</v>
      </c>
      <c r="B4739" s="120" t="str">
        <f>IFERROR(__xludf.DUMMYFUNCTION("""COMPUTED_VALUE"""),"LRE")</f>
        <v>LRE</v>
      </c>
      <c r="C4739" s="120" t="str">
        <f>IFERROR(__xludf.DUMMYFUNCTION("""COMPUTED_VALUE"""),"Longreach")</f>
        <v>Longreach</v>
      </c>
      <c r="D4739" s="120" t="str">
        <f>IFERROR(__xludf.DUMMYFUNCTION("""COMPUTED_VALUE"""),"Australia")</f>
        <v>Australia</v>
      </c>
      <c r="E4739" s="135"/>
      <c r="F4739" s="31"/>
    </row>
    <row r="4740">
      <c r="A4740" s="134" t="str">
        <f>IFERROR(__xludf.DUMMYFUNCTION("""COMPUTED_VALUE"""),"Longview")</f>
        <v>Longview</v>
      </c>
      <c r="B4740" s="120" t="str">
        <f>IFERROR(__xludf.DUMMYFUNCTION("""COMPUTED_VALUE"""),"LOG")</f>
        <v>LOG</v>
      </c>
      <c r="C4740" s="120" t="str">
        <f>IFERROR(__xludf.DUMMYFUNCTION("""COMPUTED_VALUE"""),"Longview")</f>
        <v>Longview</v>
      </c>
      <c r="D4740" s="120" t="str">
        <f>IFERROR(__xludf.DUMMYFUNCTION("""COMPUTED_VALUE"""),"United States")</f>
        <v>United States</v>
      </c>
      <c r="E4740" s="135"/>
      <c r="F4740" s="31"/>
    </row>
    <row r="4741">
      <c r="A4741" s="134" t="str">
        <f>IFERROR(__xludf.DUMMYFUNCTION("""COMPUTED_VALUE"""),"Longyan")</f>
        <v>Longyan</v>
      </c>
      <c r="B4741" s="120" t="str">
        <f>IFERROR(__xludf.DUMMYFUNCTION("""COMPUTED_VALUE"""),"LCX")</f>
        <v>LCX</v>
      </c>
      <c r="C4741" s="120" t="str">
        <f>IFERROR(__xludf.DUMMYFUNCTION("""COMPUTED_VALUE"""),"Liancheng")</f>
        <v>Liancheng</v>
      </c>
      <c r="D4741" s="120" t="str">
        <f>IFERROR(__xludf.DUMMYFUNCTION("""COMPUTED_VALUE"""),"China")</f>
        <v>China</v>
      </c>
      <c r="E4741" s="135"/>
      <c r="F4741" s="31"/>
    </row>
    <row r="4742">
      <c r="A4742" s="134" t="str">
        <f>IFERROR(__xludf.DUMMYFUNCTION("""COMPUTED_VALUE"""),"Longyearbyen")</f>
        <v>Longyearbyen</v>
      </c>
      <c r="B4742" s="120" t="str">
        <f>IFERROR(__xludf.DUMMYFUNCTION("""COMPUTED_VALUE"""),"LYR")</f>
        <v>LYR</v>
      </c>
      <c r="C4742" s="120" t="str">
        <f>IFERROR(__xludf.DUMMYFUNCTION("""COMPUTED_VALUE"""),"Svalbard")</f>
        <v>Svalbard</v>
      </c>
      <c r="D4742" s="120" t="str">
        <f>IFERROR(__xludf.DUMMYFUNCTION("""COMPUTED_VALUE"""),"Norway")</f>
        <v>Norway</v>
      </c>
      <c r="E4742" s="135"/>
      <c r="F4742" s="31"/>
    </row>
    <row r="4743">
      <c r="A4743" s="134" t="str">
        <f>IFERROR(__xludf.DUMMYFUNCTION("""COMPUTED_VALUE"""),"Lonorore")</f>
        <v>Lonorore</v>
      </c>
      <c r="B4743" s="120" t="str">
        <f>IFERROR(__xludf.DUMMYFUNCTION("""COMPUTED_VALUE"""),"LNE")</f>
        <v>LNE</v>
      </c>
      <c r="C4743" s="120" t="str">
        <f>IFERROR(__xludf.DUMMYFUNCTION("""COMPUTED_VALUE"""),"Lonorore")</f>
        <v>Lonorore</v>
      </c>
      <c r="D4743" s="120" t="str">
        <f>IFERROR(__xludf.DUMMYFUNCTION("""COMPUTED_VALUE"""),"Vanuatu")</f>
        <v>Vanuatu</v>
      </c>
      <c r="E4743" s="135"/>
      <c r="F4743" s="31"/>
    </row>
    <row r="4744">
      <c r="A4744" s="134" t="str">
        <f>IFERROR(__xludf.DUMMYFUNCTION("""COMPUTED_VALUE"""),"Lontras")</f>
        <v>Lontras</v>
      </c>
      <c r="B4744" s="120" t="str">
        <f>IFERROR(__xludf.DUMMYFUNCTION("""COMPUTED_VALUE"""),"LOI")</f>
        <v>LOI</v>
      </c>
      <c r="C4744" s="120" t="str">
        <f>IFERROR(__xludf.DUMMYFUNCTION("""COMPUTED_VALUE"""),"Helmuth Baungartem")</f>
        <v>Helmuth Baungartem</v>
      </c>
      <c r="D4744" s="120" t="str">
        <f>IFERROR(__xludf.DUMMYFUNCTION("""COMPUTED_VALUE"""),"Brazil")</f>
        <v>Brazil</v>
      </c>
      <c r="E4744" s="135"/>
      <c r="F4744" s="31"/>
    </row>
    <row r="4745">
      <c r="A4745" s="134" t="str">
        <f>IFERROR(__xludf.DUMMYFUNCTION("""COMPUTED_VALUE"""),"Lop Buri")</f>
        <v>Lop Buri</v>
      </c>
      <c r="B4745" s="120" t="str">
        <f>IFERROR(__xludf.DUMMYFUNCTION("""COMPUTED_VALUE"""),"KKM")</f>
        <v>KKM</v>
      </c>
      <c r="C4745" s="120" t="str">
        <f>IFERROR(__xludf.DUMMYFUNCTION("""COMPUTED_VALUE"""),"Lop Buri")</f>
        <v>Lop Buri</v>
      </c>
      <c r="D4745" s="120" t="str">
        <f>IFERROR(__xludf.DUMMYFUNCTION("""COMPUTED_VALUE"""),"Thailand")</f>
        <v>Thailand</v>
      </c>
      <c r="E4745" s="135"/>
      <c r="F4745" s="31"/>
    </row>
    <row r="4746">
      <c r="A4746" s="134" t="str">
        <f>IFERROR(__xludf.DUMMYFUNCTION("""COMPUTED_VALUE"""),"Lopez De Micay")</f>
        <v>Lopez De Micay</v>
      </c>
      <c r="B4746" s="120" t="str">
        <f>IFERROR(__xludf.DUMMYFUNCTION("""COMPUTED_VALUE"""),"LMX")</f>
        <v>LMX</v>
      </c>
      <c r="C4746" s="120" t="str">
        <f>IFERROR(__xludf.DUMMYFUNCTION("""COMPUTED_VALUE"""),"Lopez De Micay")</f>
        <v>Lopez De Micay</v>
      </c>
      <c r="D4746" s="120" t="str">
        <f>IFERROR(__xludf.DUMMYFUNCTION("""COMPUTED_VALUE"""),"Colombia")</f>
        <v>Colombia</v>
      </c>
      <c r="E4746" s="135"/>
      <c r="F4746" s="31"/>
    </row>
    <row r="4747">
      <c r="A4747" s="134" t="str">
        <f>IFERROR(__xludf.DUMMYFUNCTION("""COMPUTED_VALUE"""),"Lopez Island")</f>
        <v>Lopez Island</v>
      </c>
      <c r="B4747" s="120" t="str">
        <f>IFERROR(__xludf.DUMMYFUNCTION("""COMPUTED_VALUE"""),"LPS")</f>
        <v>LPS</v>
      </c>
      <c r="C4747" s="120" t="str">
        <f>IFERROR(__xludf.DUMMYFUNCTION("""COMPUTED_VALUE"""),"Lopez Island")</f>
        <v>Lopez Island</v>
      </c>
      <c r="D4747" s="120" t="str">
        <f>IFERROR(__xludf.DUMMYFUNCTION("""COMPUTED_VALUE"""),"United States")</f>
        <v>United States</v>
      </c>
      <c r="E4747" s="135"/>
      <c r="F4747" s="31"/>
    </row>
    <row r="4748">
      <c r="A4748" s="134" t="str">
        <f>IFERROR(__xludf.DUMMYFUNCTION("""COMPUTED_VALUE"""),"Lora Lai")</f>
        <v>Lora Lai</v>
      </c>
      <c r="B4748" s="120" t="str">
        <f>IFERROR(__xludf.DUMMYFUNCTION("""COMPUTED_VALUE"""),"LRG")</f>
        <v>LRG</v>
      </c>
      <c r="C4748" s="120" t="str">
        <f>IFERROR(__xludf.DUMMYFUNCTION("""COMPUTED_VALUE"""),"Lora Lai")</f>
        <v>Lora Lai</v>
      </c>
      <c r="D4748" s="120" t="str">
        <f>IFERROR(__xludf.DUMMYFUNCTION("""COMPUTED_VALUE"""),"Pakistan")</f>
        <v>Pakistan</v>
      </c>
      <c r="E4748" s="135"/>
      <c r="F4748" s="31"/>
    </row>
    <row r="4749">
      <c r="A4749" s="134" t="str">
        <f>IFERROR(__xludf.DUMMYFUNCTION("""COMPUTED_VALUE"""),"Lord Howe Island")</f>
        <v>Lord Howe Island</v>
      </c>
      <c r="B4749" s="120" t="str">
        <f>IFERROR(__xludf.DUMMYFUNCTION("""COMPUTED_VALUE"""),"LDH")</f>
        <v>LDH</v>
      </c>
      <c r="C4749" s="120" t="str">
        <f>IFERROR(__xludf.DUMMYFUNCTION("""COMPUTED_VALUE"""),"Lord Howe Island")</f>
        <v>Lord Howe Island</v>
      </c>
      <c r="D4749" s="120" t="str">
        <f>IFERROR(__xludf.DUMMYFUNCTION("""COMPUTED_VALUE"""),"Australia")</f>
        <v>Australia</v>
      </c>
      <c r="E4749" s="135"/>
      <c r="F4749" s="31"/>
    </row>
    <row r="4750">
      <c r="A4750" s="134" t="str">
        <f>IFERROR(__xludf.DUMMYFUNCTION("""COMPUTED_VALUE"""),"Lordsburg")</f>
        <v>Lordsburg</v>
      </c>
      <c r="B4750" s="120" t="str">
        <f>IFERROR(__xludf.DUMMYFUNCTION("""COMPUTED_VALUE"""),"LSB")</f>
        <v>LSB</v>
      </c>
      <c r="C4750" s="120" t="str">
        <f>IFERROR(__xludf.DUMMYFUNCTION("""COMPUTED_VALUE"""),"Lordsburg")</f>
        <v>Lordsburg</v>
      </c>
      <c r="D4750" s="120" t="str">
        <f>IFERROR(__xludf.DUMMYFUNCTION("""COMPUTED_VALUE"""),"United States")</f>
        <v>United States</v>
      </c>
      <c r="E4750" s="135"/>
      <c r="F4750" s="31"/>
    </row>
    <row r="4751">
      <c r="A4751" s="134" t="str">
        <f>IFERROR(__xludf.DUMMYFUNCTION("""COMPUTED_VALUE"""),"Loreto")</f>
        <v>Loreto</v>
      </c>
      <c r="B4751" s="120" t="str">
        <f>IFERROR(__xludf.DUMMYFUNCTION("""COMPUTED_VALUE"""),"LTO")</f>
        <v>LTO</v>
      </c>
      <c r="C4751" s="120" t="str">
        <f>IFERROR(__xludf.DUMMYFUNCTION("""COMPUTED_VALUE"""),"Loreto")</f>
        <v>Loreto</v>
      </c>
      <c r="D4751" s="120" t="str">
        <f>IFERROR(__xludf.DUMMYFUNCTION("""COMPUTED_VALUE"""),"Mexico")</f>
        <v>Mexico</v>
      </c>
      <c r="E4751" s="135"/>
      <c r="F4751" s="31"/>
    </row>
    <row r="4752">
      <c r="A4752" s="134" t="str">
        <f>IFERROR(__xludf.DUMMYFUNCTION("""COMPUTED_VALUE"""),"Lorica")</f>
        <v>Lorica</v>
      </c>
      <c r="B4752" s="120" t="str">
        <f>IFERROR(__xludf.DUMMYFUNCTION("""COMPUTED_VALUE"""),"LRI")</f>
        <v>LRI</v>
      </c>
      <c r="C4752" s="120" t="str">
        <f>IFERROR(__xludf.DUMMYFUNCTION("""COMPUTED_VALUE"""),"Lorica")</f>
        <v>Lorica</v>
      </c>
      <c r="D4752" s="120" t="str">
        <f>IFERROR(__xludf.DUMMYFUNCTION("""COMPUTED_VALUE"""),"Colombia")</f>
        <v>Colombia</v>
      </c>
      <c r="E4752" s="135"/>
      <c r="F4752" s="31"/>
    </row>
    <row r="4753">
      <c r="A4753" s="134" t="str">
        <f>IFERROR(__xludf.DUMMYFUNCTION("""COMPUTED_VALUE"""),"Lorient")</f>
        <v>Lorient</v>
      </c>
      <c r="B4753" s="120" t="str">
        <f>IFERROR(__xludf.DUMMYFUNCTION("""COMPUTED_VALUE"""),"LRT")</f>
        <v>LRT</v>
      </c>
      <c r="C4753" s="120" t="str">
        <f>IFERROR(__xludf.DUMMYFUNCTION("""COMPUTED_VALUE"""),"Lann Bihoue")</f>
        <v>Lann Bihoue</v>
      </c>
      <c r="D4753" s="120" t="str">
        <f>IFERROR(__xludf.DUMMYFUNCTION("""COMPUTED_VALUE"""),"France")</f>
        <v>France</v>
      </c>
      <c r="E4753" s="135"/>
      <c r="F4753" s="31"/>
    </row>
    <row r="4754">
      <c r="A4754" s="134" t="str">
        <f>IFERROR(__xludf.DUMMYFUNCTION("""COMPUTED_VALUE"""),"Loring")</f>
        <v>Loring</v>
      </c>
      <c r="B4754" s="120" t="str">
        <f>IFERROR(__xludf.DUMMYFUNCTION("""COMPUTED_VALUE"""),"WLR")</f>
        <v>WLR</v>
      </c>
      <c r="C4754" s="120" t="str">
        <f>IFERROR(__xludf.DUMMYFUNCTION("""COMPUTED_VALUE"""),"Loring")</f>
        <v>Loring</v>
      </c>
      <c r="D4754" s="120" t="str">
        <f>IFERROR(__xludf.DUMMYFUNCTION("""COMPUTED_VALUE"""),"United States")</f>
        <v>United States</v>
      </c>
      <c r="E4754" s="135"/>
      <c r="F4754" s="31"/>
    </row>
    <row r="4755">
      <c r="A4755" s="134" t="str">
        <f>IFERROR(__xludf.DUMMYFUNCTION("""COMPUTED_VALUE"""),"Lorraine")</f>
        <v>Lorraine</v>
      </c>
      <c r="B4755" s="120" t="str">
        <f>IFERROR(__xludf.DUMMYFUNCTION("""COMPUTED_VALUE"""),"LOA")</f>
        <v>LOA</v>
      </c>
      <c r="C4755" s="120" t="str">
        <f>IFERROR(__xludf.DUMMYFUNCTION("""COMPUTED_VALUE"""),"Lorraine")</f>
        <v>Lorraine</v>
      </c>
      <c r="D4755" s="120" t="str">
        <f>IFERROR(__xludf.DUMMYFUNCTION("""COMPUTED_VALUE"""),"Australia")</f>
        <v>Australia</v>
      </c>
      <c r="E4755" s="135"/>
      <c r="F4755" s="31"/>
    </row>
    <row r="4756">
      <c r="A4756" s="134" t="str">
        <f>IFERROR(__xludf.DUMMYFUNCTION("""COMPUTED_VALUE"""),"Los Alamos")</f>
        <v>Los Alamos</v>
      </c>
      <c r="B4756" s="120" t="str">
        <f>IFERROR(__xludf.DUMMYFUNCTION("""COMPUTED_VALUE"""),"LAM")</f>
        <v>LAM</v>
      </c>
      <c r="C4756" s="120" t="str">
        <f>IFERROR(__xludf.DUMMYFUNCTION("""COMPUTED_VALUE"""),"Los Alamos")</f>
        <v>Los Alamos</v>
      </c>
      <c r="D4756" s="120" t="str">
        <f>IFERROR(__xludf.DUMMYFUNCTION("""COMPUTED_VALUE"""),"United States")</f>
        <v>United States</v>
      </c>
      <c r="E4756" s="135"/>
      <c r="F4756" s="31"/>
    </row>
    <row r="4757">
      <c r="A4757" s="134" t="str">
        <f>IFERROR(__xludf.DUMMYFUNCTION("""COMPUTED_VALUE"""),"Los Andes")</f>
        <v>Los Andes</v>
      </c>
      <c r="B4757" s="120" t="str">
        <f>IFERROR(__xludf.DUMMYFUNCTION("""COMPUTED_VALUE"""),"LOB")</f>
        <v>LOB</v>
      </c>
      <c r="C4757" s="120" t="str">
        <f>IFERROR(__xludf.DUMMYFUNCTION("""COMPUTED_VALUE"""),"Los Andes")</f>
        <v>Los Andes</v>
      </c>
      <c r="D4757" s="120" t="str">
        <f>IFERROR(__xludf.DUMMYFUNCTION("""COMPUTED_VALUE"""),"Chile")</f>
        <v>Chile</v>
      </c>
      <c r="E4757" s="135"/>
      <c r="F4757" s="31"/>
    </row>
    <row r="4758">
      <c r="A4758" s="134" t="str">
        <f>IFERROR(__xludf.DUMMYFUNCTION("""COMPUTED_VALUE"""),"Los Angeles")</f>
        <v>Los Angeles</v>
      </c>
      <c r="B4758" s="120" t="str">
        <f>IFERROR(__xludf.DUMMYFUNCTION("""COMPUTED_VALUE"""),"CCD")</f>
        <v>CCD</v>
      </c>
      <c r="C4758" s="120" t="str">
        <f>IFERROR(__xludf.DUMMYFUNCTION("""COMPUTED_VALUE"""),"Century City")</f>
        <v>Century City</v>
      </c>
      <c r="D4758" s="120" t="str">
        <f>IFERROR(__xludf.DUMMYFUNCTION("""COMPUTED_VALUE"""),"United States")</f>
        <v>United States</v>
      </c>
      <c r="E4758" s="135"/>
      <c r="F4758" s="31"/>
    </row>
    <row r="4759">
      <c r="A4759" s="134" t="str">
        <f>IFERROR(__xludf.DUMMYFUNCTION("""COMPUTED_VALUE"""),"Los Angeles")</f>
        <v>Los Angeles</v>
      </c>
      <c r="B4759" s="120" t="str">
        <f>IFERROR(__xludf.DUMMYFUNCTION("""COMPUTED_VALUE"""),"JCX")</f>
        <v>JCX</v>
      </c>
      <c r="C4759" s="120" t="str">
        <f>IFERROR(__xludf.DUMMYFUNCTION("""COMPUTED_VALUE"""),"Citicorp Plaza H/P")</f>
        <v>Citicorp Plaza H/P</v>
      </c>
      <c r="D4759" s="120" t="str">
        <f>IFERROR(__xludf.DUMMYFUNCTION("""COMPUTED_VALUE"""),"United States")</f>
        <v>United States</v>
      </c>
      <c r="E4759" s="135"/>
      <c r="F4759" s="31"/>
    </row>
    <row r="4760">
      <c r="A4760" s="134" t="str">
        <f>IFERROR(__xludf.DUMMYFUNCTION("""COMPUTED_VALUE"""),"Los Angeles")</f>
        <v>Los Angeles</v>
      </c>
      <c r="B4760" s="120" t="str">
        <f>IFERROR(__xludf.DUMMYFUNCTION("""COMPUTED_VALUE"""),"JID")</f>
        <v>JID</v>
      </c>
      <c r="C4760" s="120" t="str">
        <f>IFERROR(__xludf.DUMMYFUNCTION("""COMPUTED_VALUE"""),"City Of Industry H/P")</f>
        <v>City Of Industry H/P</v>
      </c>
      <c r="D4760" s="120" t="str">
        <f>IFERROR(__xludf.DUMMYFUNCTION("""COMPUTED_VALUE"""),"United States")</f>
        <v>United States</v>
      </c>
      <c r="E4760" s="135"/>
      <c r="F4760" s="31"/>
    </row>
    <row r="4761">
      <c r="A4761" s="134" t="str">
        <f>IFERROR(__xludf.DUMMYFUNCTION("""COMPUTED_VALUE"""),"Los Angeles")</f>
        <v>Los Angeles</v>
      </c>
      <c r="B4761" s="120" t="str">
        <f>IFERROR(__xludf.DUMMYFUNCTION("""COMPUTED_VALUE"""),"JBP")</f>
        <v>JBP</v>
      </c>
      <c r="C4761" s="120" t="str">
        <f>IFERROR(__xludf.DUMMYFUNCTION("""COMPUTED_VALUE"""),"Commerce Bus. Plaza")</f>
        <v>Commerce Bus. Plaza</v>
      </c>
      <c r="D4761" s="120" t="str">
        <f>IFERROR(__xludf.DUMMYFUNCTION("""COMPUTED_VALUE"""),"United States")</f>
        <v>United States</v>
      </c>
      <c r="E4761" s="135"/>
      <c r="F4761" s="31"/>
    </row>
    <row r="4762">
      <c r="A4762" s="134" t="str">
        <f>IFERROR(__xludf.DUMMYFUNCTION("""COMPUTED_VALUE"""),"Los Angeles")</f>
        <v>Los Angeles</v>
      </c>
      <c r="B4762" s="120" t="str">
        <f>IFERROR(__xludf.DUMMYFUNCTION("""COMPUTED_VALUE"""),"LAX")</f>
        <v>LAX</v>
      </c>
      <c r="C4762" s="120" t="str">
        <f>IFERROR(__xludf.DUMMYFUNCTION("""COMPUTED_VALUE"""),"Los Angeles International")</f>
        <v>Los Angeles International</v>
      </c>
      <c r="D4762" s="120" t="str">
        <f>IFERROR(__xludf.DUMMYFUNCTION("""COMPUTED_VALUE"""),"United States")</f>
        <v>United States</v>
      </c>
      <c r="E4762" s="135"/>
      <c r="F4762" s="31"/>
    </row>
    <row r="4763">
      <c r="A4763" s="134" t="str">
        <f>IFERROR(__xludf.DUMMYFUNCTION("""COMPUTED_VALUE"""),"Los Angeles")</f>
        <v>Los Angeles</v>
      </c>
      <c r="B4763" s="120" t="str">
        <f>IFERROR(__xludf.DUMMYFUNCTION("""COMPUTED_VALUE"""),"JSN")</f>
        <v>JSN</v>
      </c>
      <c r="C4763" s="120" t="str">
        <f>IFERROR(__xludf.DUMMYFUNCTION("""COMPUTED_VALUE"""),"Sherman Oaks H/P")</f>
        <v>Sherman Oaks H/P</v>
      </c>
      <c r="D4763" s="120" t="str">
        <f>IFERROR(__xludf.DUMMYFUNCTION("""COMPUTED_VALUE"""),"United States")</f>
        <v>United States</v>
      </c>
      <c r="E4763" s="135"/>
      <c r="F4763" s="31"/>
    </row>
    <row r="4764">
      <c r="A4764" s="134" t="str">
        <f>IFERROR(__xludf.DUMMYFUNCTION("""COMPUTED_VALUE"""),"Los Angeles")</f>
        <v>Los Angeles</v>
      </c>
      <c r="B4764" s="120" t="str">
        <f>IFERROR(__xludf.DUMMYFUNCTION("""COMPUTED_VALUE"""),"JLX")</f>
        <v>JLX</v>
      </c>
      <c r="C4764" s="120" t="str">
        <f>IFERROR(__xludf.DUMMYFUNCTION("""COMPUTED_VALUE"""),"Union Station H/P")</f>
        <v>Union Station H/P</v>
      </c>
      <c r="D4764" s="120" t="str">
        <f>IFERROR(__xludf.DUMMYFUNCTION("""COMPUTED_VALUE"""),"United States")</f>
        <v>United States</v>
      </c>
      <c r="E4764" s="135"/>
      <c r="F4764" s="31"/>
    </row>
    <row r="4765">
      <c r="A4765" s="134" t="str">
        <f>IFERROR(__xludf.DUMMYFUNCTION("""COMPUTED_VALUE"""),"Los Angeles")</f>
        <v>Los Angeles</v>
      </c>
      <c r="B4765" s="120" t="str">
        <f>IFERROR(__xludf.DUMMYFUNCTION("""COMPUTED_VALUE"""),"JUC")</f>
        <v>JUC</v>
      </c>
      <c r="C4765" s="120" t="str">
        <f>IFERROR(__xludf.DUMMYFUNCTION("""COMPUTED_VALUE"""),"Universal City H/P")</f>
        <v>Universal City H/P</v>
      </c>
      <c r="D4765" s="120" t="str">
        <f>IFERROR(__xludf.DUMMYFUNCTION("""COMPUTED_VALUE"""),"United States")</f>
        <v>United States</v>
      </c>
      <c r="E4765" s="135"/>
      <c r="F4765" s="31"/>
    </row>
    <row r="4766">
      <c r="A4766" s="134" t="str">
        <f>IFERROR(__xludf.DUMMYFUNCTION("""COMPUTED_VALUE"""),"Los Angeles")</f>
        <v>Los Angeles</v>
      </c>
      <c r="B4766" s="120" t="str">
        <f>IFERROR(__xludf.DUMMYFUNCTION("""COMPUTED_VALUE"""),"VNY")</f>
        <v>VNY</v>
      </c>
      <c r="C4766" s="120" t="str">
        <f>IFERROR(__xludf.DUMMYFUNCTION("""COMPUTED_VALUE"""),"Van Nuys")</f>
        <v>Van Nuys</v>
      </c>
      <c r="D4766" s="120" t="str">
        <f>IFERROR(__xludf.DUMMYFUNCTION("""COMPUTED_VALUE"""),"United States")</f>
        <v>United States</v>
      </c>
      <c r="E4766" s="135"/>
      <c r="F4766" s="31"/>
    </row>
    <row r="4767">
      <c r="A4767" s="134" t="str">
        <f>IFERROR(__xludf.DUMMYFUNCTION("""COMPUTED_VALUE"""),"Los Angeles")</f>
        <v>Los Angeles</v>
      </c>
      <c r="B4767" s="120" t="str">
        <f>IFERROR(__xludf.DUMMYFUNCTION("""COMPUTED_VALUE"""),"JWC")</f>
        <v>JWC</v>
      </c>
      <c r="C4767" s="120" t="str">
        <f>IFERROR(__xludf.DUMMYFUNCTION("""COMPUTED_VALUE"""),"Warner Cntr Bus. Plaza")</f>
        <v>Warner Cntr Bus. Plaza</v>
      </c>
      <c r="D4767" s="120" t="str">
        <f>IFERROR(__xludf.DUMMYFUNCTION("""COMPUTED_VALUE"""),"United States")</f>
        <v>United States</v>
      </c>
      <c r="E4767" s="135"/>
      <c r="F4767" s="31"/>
    </row>
    <row r="4768">
      <c r="A4768" s="134" t="str">
        <f>IFERROR(__xludf.DUMMYFUNCTION("""COMPUTED_VALUE"""),"Los Angeles")</f>
        <v>Los Angeles</v>
      </c>
      <c r="B4768" s="120" t="str">
        <f>IFERROR(__xludf.DUMMYFUNCTION("""COMPUTED_VALUE"""),"WHP")</f>
        <v>WHP</v>
      </c>
      <c r="C4768" s="120" t="str">
        <f>IFERROR(__xludf.DUMMYFUNCTION("""COMPUTED_VALUE"""),"Whiteman")</f>
        <v>Whiteman</v>
      </c>
      <c r="D4768" s="120" t="str">
        <f>IFERROR(__xludf.DUMMYFUNCTION("""COMPUTED_VALUE"""),"United States")</f>
        <v>United States</v>
      </c>
      <c r="E4768" s="135"/>
      <c r="F4768" s="31"/>
    </row>
    <row r="4769">
      <c r="A4769" s="134" t="str">
        <f>IFERROR(__xludf.DUMMYFUNCTION("""COMPUTED_VALUE"""),"Los Angeles")</f>
        <v>Los Angeles</v>
      </c>
      <c r="B4769" s="120" t="str">
        <f>IFERROR(__xludf.DUMMYFUNCTION("""COMPUTED_VALUE"""),"LSQ")</f>
        <v>LSQ</v>
      </c>
      <c r="C4769" s="120" t="str">
        <f>IFERROR(__xludf.DUMMYFUNCTION("""COMPUTED_VALUE"""),"Los Angeles")</f>
        <v>Los Angeles</v>
      </c>
      <c r="D4769" s="120" t="str">
        <f>IFERROR(__xludf.DUMMYFUNCTION("""COMPUTED_VALUE"""),"Chile")</f>
        <v>Chile</v>
      </c>
      <c r="E4769" s="135"/>
      <c r="F4769" s="31"/>
    </row>
    <row r="4770">
      <c r="A4770" s="134" t="str">
        <f>IFERROR(__xludf.DUMMYFUNCTION("""COMPUTED_VALUE"""),"Los Banos")</f>
        <v>Los Banos</v>
      </c>
      <c r="B4770" s="120" t="str">
        <f>IFERROR(__xludf.DUMMYFUNCTION("""COMPUTED_VALUE"""),"LSN")</f>
        <v>LSN</v>
      </c>
      <c r="C4770" s="120" t="str">
        <f>IFERROR(__xludf.DUMMYFUNCTION("""COMPUTED_VALUE"""),"Los Banos")</f>
        <v>Los Banos</v>
      </c>
      <c r="D4770" s="120" t="str">
        <f>IFERROR(__xludf.DUMMYFUNCTION("""COMPUTED_VALUE"""),"United States")</f>
        <v>United States</v>
      </c>
      <c r="E4770" s="135"/>
      <c r="F4770" s="31"/>
    </row>
    <row r="4771">
      <c r="A4771" s="134" t="str">
        <f>IFERROR(__xludf.DUMMYFUNCTION("""COMPUTED_VALUE"""),"Los Chiles")</f>
        <v>Los Chiles</v>
      </c>
      <c r="B4771" s="120" t="str">
        <f>IFERROR(__xludf.DUMMYFUNCTION("""COMPUTED_VALUE"""),"LSL")</f>
        <v>LSL</v>
      </c>
      <c r="C4771" s="120" t="str">
        <f>IFERROR(__xludf.DUMMYFUNCTION("""COMPUTED_VALUE"""),"Los Chiles")</f>
        <v>Los Chiles</v>
      </c>
      <c r="D4771" s="120" t="str">
        <f>IFERROR(__xludf.DUMMYFUNCTION("""COMPUTED_VALUE"""),"Costa Rica")</f>
        <v>Costa Rica</v>
      </c>
      <c r="E4771" s="135"/>
      <c r="F4771" s="31"/>
    </row>
    <row r="4772">
      <c r="A4772" s="134" t="str">
        <f>IFERROR(__xludf.DUMMYFUNCTION("""COMPUTED_VALUE"""),"Los Menucos")</f>
        <v>Los Menucos</v>
      </c>
      <c r="B4772" s="120" t="str">
        <f>IFERROR(__xludf.DUMMYFUNCTION("""COMPUTED_VALUE"""),"LMD")</f>
        <v>LMD</v>
      </c>
      <c r="C4772" s="120" t="str">
        <f>IFERROR(__xludf.DUMMYFUNCTION("""COMPUTED_VALUE"""),"Los Menucos")</f>
        <v>Los Menucos</v>
      </c>
      <c r="D4772" s="120" t="str">
        <f>IFERROR(__xludf.DUMMYFUNCTION("""COMPUTED_VALUE"""),"Argentina")</f>
        <v>Argentina</v>
      </c>
      <c r="E4772" s="135"/>
      <c r="F4772" s="31"/>
    </row>
    <row r="4773">
      <c r="A4773" s="134" t="str">
        <f>IFERROR(__xludf.DUMMYFUNCTION("""COMPUTED_VALUE"""),"Los Mochis")</f>
        <v>Los Mochis</v>
      </c>
      <c r="B4773" s="120" t="str">
        <f>IFERROR(__xludf.DUMMYFUNCTION("""COMPUTED_VALUE"""),"LMM")</f>
        <v>LMM</v>
      </c>
      <c r="C4773" s="120" t="str">
        <f>IFERROR(__xludf.DUMMYFUNCTION("""COMPUTED_VALUE"""),"Federal")</f>
        <v>Federal</v>
      </c>
      <c r="D4773" s="120" t="str">
        <f>IFERROR(__xludf.DUMMYFUNCTION("""COMPUTED_VALUE"""),"Mexico")</f>
        <v>Mexico</v>
      </c>
      <c r="E4773" s="135"/>
      <c r="F4773" s="31"/>
    </row>
    <row r="4774">
      <c r="A4774" s="134" t="str">
        <f>IFERROR(__xludf.DUMMYFUNCTION("""COMPUTED_VALUE"""),"Los Roques")</f>
        <v>Los Roques</v>
      </c>
      <c r="B4774" s="120" t="str">
        <f>IFERROR(__xludf.DUMMYFUNCTION("""COMPUTED_VALUE"""),"LRV")</f>
        <v>LRV</v>
      </c>
      <c r="C4774" s="120" t="str">
        <f>IFERROR(__xludf.DUMMYFUNCTION("""COMPUTED_VALUE"""),"Los Roques")</f>
        <v>Los Roques</v>
      </c>
      <c r="D4774" s="120" t="str">
        <f>IFERROR(__xludf.DUMMYFUNCTION("""COMPUTED_VALUE"""),"Venezuela")</f>
        <v>Venezuela</v>
      </c>
      <c r="E4774" s="135"/>
      <c r="F4774" s="31"/>
    </row>
    <row r="4775">
      <c r="A4775" s="134" t="str">
        <f>IFERROR(__xludf.DUMMYFUNCTION("""COMPUTED_VALUE"""),"Los Tablones")</f>
        <v>Los Tablones</v>
      </c>
      <c r="B4775" s="120" t="str">
        <f>IFERROR(__xludf.DUMMYFUNCTION("""COMPUTED_VALUE"""),"LOX")</f>
        <v>LOX</v>
      </c>
      <c r="C4775" s="120" t="str">
        <f>IFERROR(__xludf.DUMMYFUNCTION("""COMPUTED_VALUE"""),"Los Tablones Airport")</f>
        <v>Los Tablones Airport</v>
      </c>
      <c r="D4775" s="120" t="str">
        <f>IFERROR(__xludf.DUMMYFUNCTION("""COMPUTED_VALUE"""),"Guatemala")</f>
        <v>Guatemala</v>
      </c>
      <c r="E4775" s="135"/>
      <c r="F4775" s="31"/>
    </row>
    <row r="4776">
      <c r="A4776" s="134" t="str">
        <f>IFERROR(__xludf.DUMMYFUNCTION("""COMPUTED_VALUE"""),"Lossiemouth")</f>
        <v>Lossiemouth</v>
      </c>
      <c r="B4776" s="120" t="str">
        <f>IFERROR(__xludf.DUMMYFUNCTION("""COMPUTED_VALUE"""),"LMO")</f>
        <v>LMO</v>
      </c>
      <c r="C4776" s="120" t="str">
        <f>IFERROR(__xludf.DUMMYFUNCTION("""COMPUTED_VALUE"""),"RAF Station")</f>
        <v>RAF Station</v>
      </c>
      <c r="D4776" s="120" t="str">
        <f>IFERROR(__xludf.DUMMYFUNCTION("""COMPUTED_VALUE"""),"United Kingdom")</f>
        <v>United Kingdom</v>
      </c>
      <c r="E4776" s="135"/>
      <c r="F4776" s="31"/>
    </row>
    <row r="4777">
      <c r="A4777" s="134" t="str">
        <f>IFERROR(__xludf.DUMMYFUNCTION("""COMPUTED_VALUE"""),"Lost Harbor")</f>
        <v>Lost Harbor</v>
      </c>
      <c r="B4777" s="120" t="str">
        <f>IFERROR(__xludf.DUMMYFUNCTION("""COMPUTED_VALUE"""),"LHB")</f>
        <v>LHB</v>
      </c>
      <c r="C4777" s="120" t="str">
        <f>IFERROR(__xludf.DUMMYFUNCTION("""COMPUTED_VALUE"""),"Lost Harbor Sea Port")</f>
        <v>Lost Harbor Sea Port</v>
      </c>
      <c r="D4777" s="120" t="str">
        <f>IFERROR(__xludf.DUMMYFUNCTION("""COMPUTED_VALUE"""),"United States")</f>
        <v>United States</v>
      </c>
      <c r="E4777" s="135"/>
      <c r="F4777" s="31"/>
    </row>
    <row r="4778">
      <c r="A4778" s="134" t="str">
        <f>IFERROR(__xludf.DUMMYFUNCTION("""COMPUTED_VALUE"""),"Lost River")</f>
        <v>Lost River</v>
      </c>
      <c r="B4778" s="120" t="str">
        <f>IFERROR(__xludf.DUMMYFUNCTION("""COMPUTED_VALUE"""),"LSR")</f>
        <v>LSR</v>
      </c>
      <c r="C4778" s="120" t="str">
        <f>IFERROR(__xludf.DUMMYFUNCTION("""COMPUTED_VALUE"""),"Lost River")</f>
        <v>Lost River</v>
      </c>
      <c r="D4778" s="120" t="str">
        <f>IFERROR(__xludf.DUMMYFUNCTION("""COMPUTED_VALUE"""),"United States")</f>
        <v>United States</v>
      </c>
      <c r="E4778" s="135"/>
      <c r="F4778" s="31"/>
    </row>
    <row r="4779">
      <c r="A4779" s="134" t="str">
        <f>IFERROR(__xludf.DUMMYFUNCTION("""COMPUTED_VALUE"""),"Losuia")</f>
        <v>Losuia</v>
      </c>
      <c r="B4779" s="120" t="str">
        <f>IFERROR(__xludf.DUMMYFUNCTION("""COMPUTED_VALUE"""),"LSA")</f>
        <v>LSA</v>
      </c>
      <c r="C4779" s="120" t="str">
        <f>IFERROR(__xludf.DUMMYFUNCTION("""COMPUTED_VALUE"""),"Losuia")</f>
        <v>Losuia</v>
      </c>
      <c r="D4779" s="120" t="str">
        <f>IFERROR(__xludf.DUMMYFUNCTION("""COMPUTED_VALUE"""),"Papua New Guinea")</f>
        <v>Papua New Guinea</v>
      </c>
      <c r="E4779" s="135"/>
      <c r="F4779" s="31"/>
    </row>
    <row r="4780">
      <c r="A4780" s="134" t="str">
        <f>IFERROR(__xludf.DUMMYFUNCTION("""COMPUTED_VALUE"""),"Lotusvale")</f>
        <v>Lotusvale</v>
      </c>
      <c r="B4780" s="120" t="str">
        <f>IFERROR(__xludf.DUMMYFUNCTION("""COMPUTED_VALUE"""),"LTV")</f>
        <v>LTV</v>
      </c>
      <c r="C4780" s="120" t="str">
        <f>IFERROR(__xludf.DUMMYFUNCTION("""COMPUTED_VALUE"""),"Lotusvale")</f>
        <v>Lotusvale</v>
      </c>
      <c r="D4780" s="120" t="str">
        <f>IFERROR(__xludf.DUMMYFUNCTION("""COMPUTED_VALUE"""),"Australia")</f>
        <v>Australia</v>
      </c>
      <c r="E4780" s="135"/>
      <c r="F4780" s="31"/>
    </row>
    <row r="4781">
      <c r="A4781" s="134" t="str">
        <f>IFERROR(__xludf.DUMMYFUNCTION("""COMPUTED_VALUE"""),"Loubomo")</f>
        <v>Loubomo</v>
      </c>
      <c r="B4781" s="120" t="str">
        <f>IFERROR(__xludf.DUMMYFUNCTION("""COMPUTED_VALUE"""),"DIS")</f>
        <v>DIS</v>
      </c>
      <c r="C4781" s="120" t="str">
        <f>IFERROR(__xludf.DUMMYFUNCTION("""COMPUTED_VALUE"""),"Loubomo")</f>
        <v>Loubomo</v>
      </c>
      <c r="D4781" s="120" t="str">
        <f>IFERROR(__xludf.DUMMYFUNCTION("""COMPUTED_VALUE"""),"Congo")</f>
        <v>Congo</v>
      </c>
      <c r="E4781" s="135"/>
      <c r="F4781" s="31"/>
    </row>
    <row r="4782">
      <c r="A4782" s="134" t="str">
        <f>IFERROR(__xludf.DUMMYFUNCTION("""COMPUTED_VALUE"""),"Louis Trichardt")</f>
        <v>Louis Trichardt</v>
      </c>
      <c r="B4782" s="120" t="str">
        <f>IFERROR(__xludf.DUMMYFUNCTION("""COMPUTED_VALUE"""),"LCD")</f>
        <v>LCD</v>
      </c>
      <c r="C4782" s="120" t="str">
        <f>IFERROR(__xludf.DUMMYFUNCTION("""COMPUTED_VALUE"""),"Louis Trichardt")</f>
        <v>Louis Trichardt</v>
      </c>
      <c r="D4782" s="120" t="str">
        <f>IFERROR(__xludf.DUMMYFUNCTION("""COMPUTED_VALUE"""),"South Africa")</f>
        <v>South Africa</v>
      </c>
      <c r="E4782" s="135"/>
      <c r="F4782" s="31"/>
    </row>
    <row r="4783">
      <c r="A4783" s="134" t="str">
        <f>IFERROR(__xludf.DUMMYFUNCTION("""COMPUTED_VALUE"""),"Louisa")</f>
        <v>Louisa</v>
      </c>
      <c r="B4783" s="120" t="str">
        <f>IFERROR(__xludf.DUMMYFUNCTION("""COMPUTED_VALUE"""),"LOW")</f>
        <v>LOW</v>
      </c>
      <c r="C4783" s="120" t="str">
        <f>IFERROR(__xludf.DUMMYFUNCTION("""COMPUTED_VALUE"""),"Louisa")</f>
        <v>Louisa</v>
      </c>
      <c r="D4783" s="120" t="str">
        <f>IFERROR(__xludf.DUMMYFUNCTION("""COMPUTED_VALUE"""),"United States")</f>
        <v>United States</v>
      </c>
      <c r="E4783" s="135"/>
      <c r="F4783" s="31"/>
    </row>
    <row r="4784">
      <c r="A4784" s="134" t="str">
        <f>IFERROR(__xludf.DUMMYFUNCTION("""COMPUTED_VALUE"""),"Louisburg")</f>
        <v>Louisburg</v>
      </c>
      <c r="B4784" s="120" t="str">
        <f>IFERROR(__xludf.DUMMYFUNCTION("""COMPUTED_VALUE"""),"LFN")</f>
        <v>LFN</v>
      </c>
      <c r="C4784" s="120" t="str">
        <f>IFERROR(__xludf.DUMMYFUNCTION("""COMPUTED_VALUE"""),"Franklin")</f>
        <v>Franklin</v>
      </c>
      <c r="D4784" s="120" t="str">
        <f>IFERROR(__xludf.DUMMYFUNCTION("""COMPUTED_VALUE"""),"United States")</f>
        <v>United States</v>
      </c>
      <c r="E4784" s="135"/>
      <c r="F4784" s="31"/>
    </row>
    <row r="4785">
      <c r="A4785" s="134" t="str">
        <f>IFERROR(__xludf.DUMMYFUNCTION("""COMPUTED_VALUE"""),"Louisville")</f>
        <v>Louisville</v>
      </c>
      <c r="B4785" s="120" t="str">
        <f>IFERROR(__xludf.DUMMYFUNCTION("""COMPUTED_VALUE"""),"LOU")</f>
        <v>LOU</v>
      </c>
      <c r="C4785" s="120" t="str">
        <f>IFERROR(__xludf.DUMMYFUNCTION("""COMPUTED_VALUE"""),"Bowman Field")</f>
        <v>Bowman Field</v>
      </c>
      <c r="D4785" s="120" t="str">
        <f>IFERROR(__xludf.DUMMYFUNCTION("""COMPUTED_VALUE"""),"United States")</f>
        <v>United States</v>
      </c>
      <c r="E4785" s="135"/>
      <c r="F4785" s="31"/>
    </row>
    <row r="4786">
      <c r="A4786" s="134" t="str">
        <f>IFERROR(__xludf.DUMMYFUNCTION("""COMPUTED_VALUE"""),"Louisville")</f>
        <v>Louisville</v>
      </c>
      <c r="B4786" s="120" t="str">
        <f>IFERROR(__xludf.DUMMYFUNCTION("""COMPUTED_VALUE"""),"LJC")</f>
        <v>LJC</v>
      </c>
      <c r="C4786" s="120" t="str">
        <f>IFERROR(__xludf.DUMMYFUNCTION("""COMPUTED_VALUE"""),"Intercontinental")</f>
        <v>Intercontinental</v>
      </c>
      <c r="D4786" s="120" t="str">
        <f>IFERROR(__xludf.DUMMYFUNCTION("""COMPUTED_VALUE"""),"United States")</f>
        <v>United States</v>
      </c>
      <c r="E4786" s="135"/>
      <c r="F4786" s="31"/>
    </row>
    <row r="4787">
      <c r="A4787" s="134" t="str">
        <f>IFERROR(__xludf.DUMMYFUNCTION("""COMPUTED_VALUE"""),"Louisville")</f>
        <v>Louisville</v>
      </c>
      <c r="B4787" s="120" t="str">
        <f>IFERROR(__xludf.DUMMYFUNCTION("""COMPUTED_VALUE"""),"SDF")</f>
        <v>SDF</v>
      </c>
      <c r="C4787" s="120" t="str">
        <f>IFERROR(__xludf.DUMMYFUNCTION("""COMPUTED_VALUE"""),"Standiford Field")</f>
        <v>Standiford Field</v>
      </c>
      <c r="D4787" s="120" t="str">
        <f>IFERROR(__xludf.DUMMYFUNCTION("""COMPUTED_VALUE"""),"United States")</f>
        <v>United States</v>
      </c>
      <c r="E4787" s="135"/>
      <c r="F4787" s="31"/>
    </row>
    <row r="4788">
      <c r="A4788" s="134" t="str">
        <f>IFERROR(__xludf.DUMMYFUNCTION("""COMPUTED_VALUE"""),"Louisville")</f>
        <v>Louisville</v>
      </c>
      <c r="B4788" s="120" t="str">
        <f>IFERROR(__xludf.DUMMYFUNCTION("""COMPUTED_VALUE"""),"LMS")</f>
        <v>LMS</v>
      </c>
      <c r="C4788" s="120" t="str">
        <f>IFERROR(__xludf.DUMMYFUNCTION("""COMPUTED_VALUE"""),"Winston County")</f>
        <v>Winston County</v>
      </c>
      <c r="D4788" s="120" t="str">
        <f>IFERROR(__xludf.DUMMYFUNCTION("""COMPUTED_VALUE"""),"United States")</f>
        <v>United States</v>
      </c>
      <c r="E4788" s="135"/>
      <c r="F4788" s="31"/>
    </row>
    <row r="4789">
      <c r="A4789" s="134" t="str">
        <f>IFERROR(__xludf.DUMMYFUNCTION("""COMPUTED_VALUE"""),"Lourdes/Tarbes")</f>
        <v>Lourdes/Tarbes</v>
      </c>
      <c r="B4789" s="120" t="str">
        <f>IFERROR(__xludf.DUMMYFUNCTION("""COMPUTED_VALUE"""),"LDE")</f>
        <v>LDE</v>
      </c>
      <c r="C4789" s="120" t="str">
        <f>IFERROR(__xludf.DUMMYFUNCTION("""COMPUTED_VALUE"""),"Tarbes Ossun Lourdes")</f>
        <v>Tarbes Ossun Lourdes</v>
      </c>
      <c r="D4789" s="120" t="str">
        <f>IFERROR(__xludf.DUMMYFUNCTION("""COMPUTED_VALUE"""),"France")</f>
        <v>France</v>
      </c>
      <c r="E4789" s="135"/>
      <c r="F4789" s="31"/>
    </row>
    <row r="4790">
      <c r="A4790" s="134" t="str">
        <f>IFERROR(__xludf.DUMMYFUNCTION("""COMPUTED_VALUE"""),"Lovelock")</f>
        <v>Lovelock</v>
      </c>
      <c r="B4790" s="120" t="str">
        <f>IFERROR(__xludf.DUMMYFUNCTION("""COMPUTED_VALUE"""),"LOL")</f>
        <v>LOL</v>
      </c>
      <c r="C4790" s="120" t="str">
        <f>IFERROR(__xludf.DUMMYFUNCTION("""COMPUTED_VALUE"""),"Derby Field")</f>
        <v>Derby Field</v>
      </c>
      <c r="D4790" s="120" t="str">
        <f>IFERROR(__xludf.DUMMYFUNCTION("""COMPUTED_VALUE"""),"United States")</f>
        <v>United States</v>
      </c>
      <c r="E4790" s="135"/>
      <c r="F4790" s="31"/>
    </row>
    <row r="4791">
      <c r="A4791" s="134" t="str">
        <f>IFERROR(__xludf.DUMMYFUNCTION("""COMPUTED_VALUE"""),"Lowai")</f>
        <v>Lowai</v>
      </c>
      <c r="B4791" s="120" t="str">
        <f>IFERROR(__xludf.DUMMYFUNCTION("""COMPUTED_VALUE"""),"LWI")</f>
        <v>LWI</v>
      </c>
      <c r="C4791" s="120" t="str">
        <f>IFERROR(__xludf.DUMMYFUNCTION("""COMPUTED_VALUE"""),"Lowai")</f>
        <v>Lowai</v>
      </c>
      <c r="D4791" s="120" t="str">
        <f>IFERROR(__xludf.DUMMYFUNCTION("""COMPUTED_VALUE"""),"Papua New Guinea")</f>
        <v>Papua New Guinea</v>
      </c>
      <c r="E4791" s="135"/>
      <c r="F4791" s="31"/>
    </row>
    <row r="4792">
      <c r="A4792" s="134" t="str">
        <f>IFERROR(__xludf.DUMMYFUNCTION("""COMPUTED_VALUE"""),"Loyangalani")</f>
        <v>Loyangalani</v>
      </c>
      <c r="B4792" s="120" t="str">
        <f>IFERROR(__xludf.DUMMYFUNCTION("""COMPUTED_VALUE"""),"LOY")</f>
        <v>LOY</v>
      </c>
      <c r="C4792" s="120" t="str">
        <f>IFERROR(__xludf.DUMMYFUNCTION("""COMPUTED_VALUE"""),"Loyangalani")</f>
        <v>Loyangalani</v>
      </c>
      <c r="D4792" s="120" t="str">
        <f>IFERROR(__xludf.DUMMYFUNCTION("""COMPUTED_VALUE"""),"Kenya")</f>
        <v>Kenya</v>
      </c>
      <c r="E4792" s="135"/>
      <c r="F4792" s="31"/>
    </row>
    <row r="4793">
      <c r="A4793" s="134" t="str">
        <f>IFERROR(__xludf.DUMMYFUNCTION("""COMPUTED_VALUE"""),"Luabo")</f>
        <v>Luabo</v>
      </c>
      <c r="B4793" s="120" t="str">
        <f>IFERROR(__xludf.DUMMYFUNCTION("""COMPUTED_VALUE"""),"LBM")</f>
        <v>LBM</v>
      </c>
      <c r="C4793" s="120" t="str">
        <f>IFERROR(__xludf.DUMMYFUNCTION("""COMPUTED_VALUE"""),"Luabo")</f>
        <v>Luabo</v>
      </c>
      <c r="D4793" s="120" t="str">
        <f>IFERROR(__xludf.DUMMYFUNCTION("""COMPUTED_VALUE"""),"Mozambique")</f>
        <v>Mozambique</v>
      </c>
      <c r="E4793" s="135"/>
      <c r="F4793" s="31"/>
    </row>
    <row r="4794">
      <c r="A4794" s="134" t="str">
        <f>IFERROR(__xludf.DUMMYFUNCTION("""COMPUTED_VALUE"""),"Luanda")</f>
        <v>Luanda</v>
      </c>
      <c r="B4794" s="120" t="str">
        <f>IFERROR(__xludf.DUMMYFUNCTION("""COMPUTED_VALUE"""),"LAD")</f>
        <v>LAD</v>
      </c>
      <c r="C4794" s="120" t="str">
        <f>IFERROR(__xludf.DUMMYFUNCTION("""COMPUTED_VALUE"""),"4 de Fevereiro")</f>
        <v>4 de Fevereiro</v>
      </c>
      <c r="D4794" s="120" t="str">
        <f>IFERROR(__xludf.DUMMYFUNCTION("""COMPUTED_VALUE"""),"Angola")</f>
        <v>Angola</v>
      </c>
      <c r="E4794" s="135"/>
      <c r="F4794" s="31"/>
    </row>
    <row r="4795">
      <c r="A4795" s="134" t="str">
        <f>IFERROR(__xludf.DUMMYFUNCTION("""COMPUTED_VALUE"""),"Luang Namtha")</f>
        <v>Luang Namtha</v>
      </c>
      <c r="B4795" s="120" t="str">
        <f>IFERROR(__xludf.DUMMYFUNCTION("""COMPUTED_VALUE"""),"LXG")</f>
        <v>LXG</v>
      </c>
      <c r="C4795" s="120" t="str">
        <f>IFERROR(__xludf.DUMMYFUNCTION("""COMPUTED_VALUE"""),"Luang Namtha")</f>
        <v>Luang Namtha</v>
      </c>
      <c r="D4795" s="120" t="str">
        <f>IFERROR(__xludf.DUMMYFUNCTION("""COMPUTED_VALUE"""),"Laos")</f>
        <v>Laos</v>
      </c>
      <c r="E4795" s="135"/>
      <c r="F4795" s="31"/>
    </row>
    <row r="4796">
      <c r="A4796" s="134" t="str">
        <f>IFERROR(__xludf.DUMMYFUNCTION("""COMPUTED_VALUE"""),"Luang Prabang")</f>
        <v>Luang Prabang</v>
      </c>
      <c r="B4796" s="120" t="str">
        <f>IFERROR(__xludf.DUMMYFUNCTION("""COMPUTED_VALUE"""),"LPQ")</f>
        <v>LPQ</v>
      </c>
      <c r="C4796" s="120" t="str">
        <f>IFERROR(__xludf.DUMMYFUNCTION("""COMPUTED_VALUE"""),"Luang Prabang")</f>
        <v>Luang Prabang</v>
      </c>
      <c r="D4796" s="120" t="str">
        <f>IFERROR(__xludf.DUMMYFUNCTION("""COMPUTED_VALUE"""),"Laos")</f>
        <v>Laos</v>
      </c>
      <c r="E4796" s="135"/>
      <c r="F4796" s="31"/>
    </row>
    <row r="4797">
      <c r="A4797" s="134" t="str">
        <f>IFERROR(__xludf.DUMMYFUNCTION("""COMPUTED_VALUE"""),"Luau")</f>
        <v>Luau</v>
      </c>
      <c r="B4797" s="120" t="str">
        <f>IFERROR(__xludf.DUMMYFUNCTION("""COMPUTED_VALUE"""),"UAL")</f>
        <v>UAL</v>
      </c>
      <c r="C4797" s="120" t="str">
        <f>IFERROR(__xludf.DUMMYFUNCTION("""COMPUTED_VALUE"""),"Luau")</f>
        <v>Luau</v>
      </c>
      <c r="D4797" s="120" t="str">
        <f>IFERROR(__xludf.DUMMYFUNCTION("""COMPUTED_VALUE"""),"Angola")</f>
        <v>Angola</v>
      </c>
      <c r="E4797" s="135"/>
      <c r="F4797" s="31"/>
    </row>
    <row r="4798">
      <c r="A4798" s="134" t="str">
        <f>IFERROR(__xludf.DUMMYFUNCTION("""COMPUTED_VALUE"""),"Lubang")</f>
        <v>Lubang</v>
      </c>
      <c r="B4798" s="120" t="str">
        <f>IFERROR(__xludf.DUMMYFUNCTION("""COMPUTED_VALUE"""),"LBX")</f>
        <v>LBX</v>
      </c>
      <c r="C4798" s="120" t="str">
        <f>IFERROR(__xludf.DUMMYFUNCTION("""COMPUTED_VALUE"""),"Lubang")</f>
        <v>Lubang</v>
      </c>
      <c r="D4798" s="120" t="str">
        <f>IFERROR(__xludf.DUMMYFUNCTION("""COMPUTED_VALUE"""),"Philippines")</f>
        <v>Philippines</v>
      </c>
      <c r="E4798" s="135"/>
      <c r="F4798" s="31"/>
    </row>
    <row r="4799">
      <c r="A4799" s="134" t="str">
        <f>IFERROR(__xludf.DUMMYFUNCTION("""COMPUTED_VALUE"""),"Lubango")</f>
        <v>Lubango</v>
      </c>
      <c r="B4799" s="120" t="str">
        <f>IFERROR(__xludf.DUMMYFUNCTION("""COMPUTED_VALUE"""),"SDD")</f>
        <v>SDD</v>
      </c>
      <c r="C4799" s="120" t="str">
        <f>IFERROR(__xludf.DUMMYFUNCTION("""COMPUTED_VALUE"""),"Lubango")</f>
        <v>Lubango</v>
      </c>
      <c r="D4799" s="120" t="str">
        <f>IFERROR(__xludf.DUMMYFUNCTION("""COMPUTED_VALUE"""),"Angola")</f>
        <v>Angola</v>
      </c>
      <c r="E4799" s="135"/>
      <c r="F4799" s="31"/>
    </row>
    <row r="4800">
      <c r="A4800" s="134" t="str">
        <f>IFERROR(__xludf.DUMMYFUNCTION("""COMPUTED_VALUE"""),"Lubbock")</f>
        <v>Lubbock</v>
      </c>
      <c r="B4800" s="120" t="str">
        <f>IFERROR(__xludf.DUMMYFUNCTION("""COMPUTED_VALUE"""),"LBB")</f>
        <v>LBB</v>
      </c>
      <c r="C4800" s="120" t="str">
        <f>IFERROR(__xludf.DUMMYFUNCTION("""COMPUTED_VALUE"""),"International")</f>
        <v>International</v>
      </c>
      <c r="D4800" s="120" t="str">
        <f>IFERROR(__xludf.DUMMYFUNCTION("""COMPUTED_VALUE"""),"United States")</f>
        <v>United States</v>
      </c>
      <c r="E4800" s="135"/>
      <c r="F4800" s="31"/>
    </row>
    <row r="4801">
      <c r="A4801" s="134" t="str">
        <f>IFERROR(__xludf.DUMMYFUNCTION("""COMPUTED_VALUE"""),"Lubbock")</f>
        <v>Lubbock</v>
      </c>
      <c r="B4801" s="120" t="str">
        <f>IFERROR(__xludf.DUMMYFUNCTION("""COMPUTED_VALUE"""),"REE")</f>
        <v>REE</v>
      </c>
      <c r="C4801" s="120" t="str">
        <f>IFERROR(__xludf.DUMMYFUNCTION("""COMPUTED_VALUE"""),"Reese AFB")</f>
        <v>Reese AFB</v>
      </c>
      <c r="D4801" s="120" t="str">
        <f>IFERROR(__xludf.DUMMYFUNCTION("""COMPUTED_VALUE"""),"United States")</f>
        <v>United States</v>
      </c>
      <c r="E4801" s="135"/>
      <c r="F4801" s="31"/>
    </row>
    <row r="4802">
      <c r="A4802" s="134" t="str">
        <f>IFERROR(__xludf.DUMMYFUNCTION("""COMPUTED_VALUE"""),"Lubumbashi")</f>
        <v>Lubumbashi</v>
      </c>
      <c r="B4802" s="120" t="str">
        <f>IFERROR(__xludf.DUMMYFUNCTION("""COMPUTED_VALUE"""),"FBM")</f>
        <v>FBM</v>
      </c>
      <c r="C4802" s="120" t="str">
        <f>IFERROR(__xludf.DUMMYFUNCTION("""COMPUTED_VALUE"""),"Luano")</f>
        <v>Luano</v>
      </c>
      <c r="D4802" s="120" t="str">
        <f>IFERROR(__xludf.DUMMYFUNCTION("""COMPUTED_VALUE"""),"Zaire")</f>
        <v>Zaire</v>
      </c>
      <c r="E4802" s="135"/>
      <c r="F4802" s="31"/>
    </row>
    <row r="4803">
      <c r="A4803" s="134" t="str">
        <f>IFERROR(__xludf.DUMMYFUNCTION("""COMPUTED_VALUE"""),"Lucca")</f>
        <v>Lucca</v>
      </c>
      <c r="B4803" s="120" t="str">
        <f>IFERROR(__xludf.DUMMYFUNCTION("""COMPUTED_VALUE"""),"LCV")</f>
        <v>LCV</v>
      </c>
      <c r="C4803" s="120" t="str">
        <f>IFERROR(__xludf.DUMMYFUNCTION("""COMPUTED_VALUE"""),"Lucca")</f>
        <v>Lucca</v>
      </c>
      <c r="D4803" s="120" t="str">
        <f>IFERROR(__xludf.DUMMYFUNCTION("""COMPUTED_VALUE"""),"Italy")</f>
        <v>Italy</v>
      </c>
      <c r="E4803" s="135"/>
      <c r="F4803" s="31"/>
    </row>
    <row r="4804">
      <c r="A4804" s="134" t="str">
        <f>IFERROR(__xludf.DUMMYFUNCTION("""COMPUTED_VALUE"""),"Lucenec")</f>
        <v>Lucenec</v>
      </c>
      <c r="B4804" s="120" t="str">
        <f>IFERROR(__xludf.DUMMYFUNCTION("""COMPUTED_VALUE"""),"LUE")</f>
        <v>LUE</v>
      </c>
      <c r="C4804" s="120" t="str">
        <f>IFERROR(__xludf.DUMMYFUNCTION("""COMPUTED_VALUE"""),"Lucenec")</f>
        <v>Lucenec</v>
      </c>
      <c r="D4804" s="120" t="str">
        <f>IFERROR(__xludf.DUMMYFUNCTION("""COMPUTED_VALUE"""),"Slovakia")</f>
        <v>Slovakia</v>
      </c>
      <c r="E4804" s="135"/>
      <c r="F4804" s="31"/>
    </row>
    <row r="4805">
      <c r="A4805" s="134" t="str">
        <f>IFERROR(__xludf.DUMMYFUNCTION("""COMPUTED_VALUE"""),"Lucknow")</f>
        <v>Lucknow</v>
      </c>
      <c r="B4805" s="120" t="str">
        <f>IFERROR(__xludf.DUMMYFUNCTION("""COMPUTED_VALUE"""),"LKO")</f>
        <v>LKO</v>
      </c>
      <c r="C4805" s="120" t="str">
        <f>IFERROR(__xludf.DUMMYFUNCTION("""COMPUTED_VALUE"""),"Amausi")</f>
        <v>Amausi</v>
      </c>
      <c r="D4805" s="120" t="str">
        <f>IFERROR(__xludf.DUMMYFUNCTION("""COMPUTED_VALUE"""),"India")</f>
        <v>India</v>
      </c>
      <c r="E4805" s="135"/>
      <c r="F4805" s="31"/>
    </row>
    <row r="4806">
      <c r="A4806" s="134" t="str">
        <f>IFERROR(__xludf.DUMMYFUNCTION("""COMPUTED_VALUE"""),"Luderitz")</f>
        <v>Luderitz</v>
      </c>
      <c r="B4806" s="120" t="str">
        <f>IFERROR(__xludf.DUMMYFUNCTION("""COMPUTED_VALUE"""),"LUD")</f>
        <v>LUD</v>
      </c>
      <c r="C4806" s="120" t="str">
        <f>IFERROR(__xludf.DUMMYFUNCTION("""COMPUTED_VALUE"""),"Luderitz")</f>
        <v>Luderitz</v>
      </c>
      <c r="D4806" s="120" t="str">
        <f>IFERROR(__xludf.DUMMYFUNCTION("""COMPUTED_VALUE"""),"Namibia")</f>
        <v>Namibia</v>
      </c>
      <c r="E4806" s="135"/>
      <c r="F4806" s="31"/>
    </row>
    <row r="4807">
      <c r="A4807" s="134" t="str">
        <f>IFERROR(__xludf.DUMMYFUNCTION("""COMPUTED_VALUE"""),"Ludhiana")</f>
        <v>Ludhiana</v>
      </c>
      <c r="B4807" s="120" t="str">
        <f>IFERROR(__xludf.DUMMYFUNCTION("""COMPUTED_VALUE"""),"LUH")</f>
        <v>LUH</v>
      </c>
      <c r="C4807" s="120" t="str">
        <f>IFERROR(__xludf.DUMMYFUNCTION("""COMPUTED_VALUE"""),"Ludhiana")</f>
        <v>Ludhiana</v>
      </c>
      <c r="D4807" s="120" t="str">
        <f>IFERROR(__xludf.DUMMYFUNCTION("""COMPUTED_VALUE"""),"India")</f>
        <v>India</v>
      </c>
      <c r="E4807" s="135"/>
      <c r="F4807" s="31"/>
    </row>
    <row r="4808">
      <c r="A4808" s="134" t="str">
        <f>IFERROR(__xludf.DUMMYFUNCTION("""COMPUTED_VALUE"""),"Ludington")</f>
        <v>Ludington</v>
      </c>
      <c r="B4808" s="120" t="str">
        <f>IFERROR(__xludf.DUMMYFUNCTION("""COMPUTED_VALUE"""),"LDM")</f>
        <v>LDM</v>
      </c>
      <c r="C4808" s="120" t="str">
        <f>IFERROR(__xludf.DUMMYFUNCTION("""COMPUTED_VALUE"""),"Mason County")</f>
        <v>Mason County</v>
      </c>
      <c r="D4808" s="120" t="str">
        <f>IFERROR(__xludf.DUMMYFUNCTION("""COMPUTED_VALUE"""),"United States")</f>
        <v>United States</v>
      </c>
      <c r="E4808" s="135"/>
      <c r="F4808" s="31"/>
    </row>
    <row r="4809">
      <c r="A4809" s="134" t="str">
        <f>IFERROR(__xludf.DUMMYFUNCTION("""COMPUTED_VALUE"""),"Luena")</f>
        <v>Luena</v>
      </c>
      <c r="B4809" s="120" t="str">
        <f>IFERROR(__xludf.DUMMYFUNCTION("""COMPUTED_VALUE"""),"LUO")</f>
        <v>LUO</v>
      </c>
      <c r="C4809" s="120" t="str">
        <f>IFERROR(__xludf.DUMMYFUNCTION("""COMPUTED_VALUE"""),"Luena")</f>
        <v>Luena</v>
      </c>
      <c r="D4809" s="120" t="str">
        <f>IFERROR(__xludf.DUMMYFUNCTION("""COMPUTED_VALUE"""),"Angola")</f>
        <v>Angola</v>
      </c>
      <c r="E4809" s="135"/>
      <c r="F4809" s="31"/>
    </row>
    <row r="4810">
      <c r="A4810" s="134" t="str">
        <f>IFERROR(__xludf.DUMMYFUNCTION("""COMPUTED_VALUE"""),"Lugano")</f>
        <v>Lugano</v>
      </c>
      <c r="B4810" s="120" t="str">
        <f>IFERROR(__xludf.DUMMYFUNCTION("""COMPUTED_VALUE"""),"LUG")</f>
        <v>LUG</v>
      </c>
      <c r="C4810" s="120" t="str">
        <f>IFERROR(__xludf.DUMMYFUNCTION("""COMPUTED_VALUE"""),"Lugano")</f>
        <v>Lugano</v>
      </c>
      <c r="D4810" s="120" t="str">
        <f>IFERROR(__xludf.DUMMYFUNCTION("""COMPUTED_VALUE"""),"Switzerland")</f>
        <v>Switzerland</v>
      </c>
      <c r="E4810" s="135"/>
      <c r="F4810" s="31"/>
    </row>
    <row r="4811">
      <c r="A4811" s="134" t="str">
        <f>IFERROR(__xludf.DUMMYFUNCTION("""COMPUTED_VALUE"""),"Lugansk")</f>
        <v>Lugansk</v>
      </c>
      <c r="B4811" s="120" t="str">
        <f>IFERROR(__xludf.DUMMYFUNCTION("""COMPUTED_VALUE"""),"VSG")</f>
        <v>VSG</v>
      </c>
      <c r="C4811" s="120" t="str">
        <f>IFERROR(__xludf.DUMMYFUNCTION("""COMPUTED_VALUE"""),"Lugansk")</f>
        <v>Lugansk</v>
      </c>
      <c r="D4811" s="120" t="str">
        <f>IFERROR(__xludf.DUMMYFUNCTION("""COMPUTED_VALUE"""),"Ukraine")</f>
        <v>Ukraine</v>
      </c>
      <c r="E4811" s="135"/>
      <c r="F4811" s="31"/>
    </row>
    <row r="4812">
      <c r="A4812" s="134" t="str">
        <f>IFERROR(__xludf.DUMMYFUNCTION("""COMPUTED_VALUE"""),"Lugh Ganane")</f>
        <v>Lugh Ganane</v>
      </c>
      <c r="B4812" s="120" t="str">
        <f>IFERROR(__xludf.DUMMYFUNCTION("""COMPUTED_VALUE"""),"LGX")</f>
        <v>LGX</v>
      </c>
      <c r="C4812" s="120" t="str">
        <f>IFERROR(__xludf.DUMMYFUNCTION("""COMPUTED_VALUE"""),"Lugh Ganane")</f>
        <v>Lugh Ganane</v>
      </c>
      <c r="D4812" s="120" t="str">
        <f>IFERROR(__xludf.DUMMYFUNCTION("""COMPUTED_VALUE"""),"Somalia")</f>
        <v>Somalia</v>
      </c>
      <c r="E4812" s="135"/>
      <c r="F4812" s="31"/>
    </row>
    <row r="4813">
      <c r="A4813" s="134" t="str">
        <f>IFERROR(__xludf.DUMMYFUNCTION("""COMPUTED_VALUE"""),"Luiza")</f>
        <v>Luiza</v>
      </c>
      <c r="B4813" s="120" t="str">
        <f>IFERROR(__xludf.DUMMYFUNCTION("""COMPUTED_VALUE"""),"LZA")</f>
        <v>LZA</v>
      </c>
      <c r="C4813" s="120" t="str">
        <f>IFERROR(__xludf.DUMMYFUNCTION("""COMPUTED_VALUE"""),"Luiza")</f>
        <v>Luiza</v>
      </c>
      <c r="D4813" s="120" t="str">
        <f>IFERROR(__xludf.DUMMYFUNCTION("""COMPUTED_VALUE"""),"Zaire")</f>
        <v>Zaire</v>
      </c>
      <c r="E4813" s="135"/>
      <c r="F4813" s="31"/>
    </row>
    <row r="4814">
      <c r="A4814" s="134" t="str">
        <f>IFERROR(__xludf.DUMMYFUNCTION("""COMPUTED_VALUE"""),"Lukapa")</f>
        <v>Lukapa</v>
      </c>
      <c r="B4814" s="120" t="str">
        <f>IFERROR(__xludf.DUMMYFUNCTION("""COMPUTED_VALUE"""),"LBZ")</f>
        <v>LBZ</v>
      </c>
      <c r="C4814" s="120" t="str">
        <f>IFERROR(__xludf.DUMMYFUNCTION("""COMPUTED_VALUE"""),"Lukapa")</f>
        <v>Lukapa</v>
      </c>
      <c r="D4814" s="120" t="str">
        <f>IFERROR(__xludf.DUMMYFUNCTION("""COMPUTED_VALUE"""),"Angola")</f>
        <v>Angola</v>
      </c>
      <c r="E4814" s="135"/>
      <c r="F4814" s="31"/>
    </row>
    <row r="4815">
      <c r="A4815" s="134" t="str">
        <f>IFERROR(__xludf.DUMMYFUNCTION("""COMPUTED_VALUE"""),"Lukla")</f>
        <v>Lukla</v>
      </c>
      <c r="B4815" s="120" t="str">
        <f>IFERROR(__xludf.DUMMYFUNCTION("""COMPUTED_VALUE"""),"LUA")</f>
        <v>LUA</v>
      </c>
      <c r="C4815" s="120" t="str">
        <f>IFERROR(__xludf.DUMMYFUNCTION("""COMPUTED_VALUE"""),"Lukla")</f>
        <v>Lukla</v>
      </c>
      <c r="D4815" s="120" t="str">
        <f>IFERROR(__xludf.DUMMYFUNCTION("""COMPUTED_VALUE"""),"Nepal")</f>
        <v>Nepal</v>
      </c>
      <c r="E4815" s="135"/>
      <c r="F4815" s="31"/>
    </row>
    <row r="4816">
      <c r="A4816" s="134" t="str">
        <f>IFERROR(__xludf.DUMMYFUNCTION("""COMPUTED_VALUE"""),"Lukulu")</f>
        <v>Lukulu</v>
      </c>
      <c r="B4816" s="120" t="str">
        <f>IFERROR(__xludf.DUMMYFUNCTION("""COMPUTED_VALUE"""),"LXU")</f>
        <v>LXU</v>
      </c>
      <c r="C4816" s="120" t="str">
        <f>IFERROR(__xludf.DUMMYFUNCTION("""COMPUTED_VALUE"""),"Lukulu")</f>
        <v>Lukulu</v>
      </c>
      <c r="D4816" s="120" t="str">
        <f>IFERROR(__xludf.DUMMYFUNCTION("""COMPUTED_VALUE"""),"Zambia")</f>
        <v>Zambia</v>
      </c>
      <c r="E4816" s="135"/>
      <c r="F4816" s="31"/>
    </row>
    <row r="4817">
      <c r="A4817" s="134" t="str">
        <f>IFERROR(__xludf.DUMMYFUNCTION("""COMPUTED_VALUE"""),"Lulea")</f>
        <v>Lulea</v>
      </c>
      <c r="B4817" s="120" t="str">
        <f>IFERROR(__xludf.DUMMYFUNCTION("""COMPUTED_VALUE"""),"LLA")</f>
        <v>LLA</v>
      </c>
      <c r="C4817" s="120" t="str">
        <f>IFERROR(__xludf.DUMMYFUNCTION("""COMPUTED_VALUE"""),"Kallax")</f>
        <v>Kallax</v>
      </c>
      <c r="D4817" s="120" t="str">
        <f>IFERROR(__xludf.DUMMYFUNCTION("""COMPUTED_VALUE"""),"Sweden")</f>
        <v>Sweden</v>
      </c>
      <c r="E4817" s="135"/>
      <c r="F4817" s="31"/>
    </row>
    <row r="4818">
      <c r="A4818" s="134" t="str">
        <f>IFERROR(__xludf.DUMMYFUNCTION("""COMPUTED_VALUE"""),"Lumbala")</f>
        <v>Lumbala</v>
      </c>
      <c r="B4818" s="120" t="str">
        <f>IFERROR(__xludf.DUMMYFUNCTION("""COMPUTED_VALUE"""),"GGC")</f>
        <v>GGC</v>
      </c>
      <c r="C4818" s="120" t="str">
        <f>IFERROR(__xludf.DUMMYFUNCTION("""COMPUTED_VALUE"""),"Lumbala")</f>
        <v>Lumbala</v>
      </c>
      <c r="D4818" s="120" t="str">
        <f>IFERROR(__xludf.DUMMYFUNCTION("""COMPUTED_VALUE"""),"Angola")</f>
        <v>Angola</v>
      </c>
      <c r="E4818" s="135"/>
      <c r="F4818" s="31"/>
    </row>
    <row r="4819">
      <c r="A4819" s="134" t="str">
        <f>IFERROR(__xludf.DUMMYFUNCTION("""COMPUTED_VALUE"""),"Lumberton")</f>
        <v>Lumberton</v>
      </c>
      <c r="B4819" s="120" t="str">
        <f>IFERROR(__xludf.DUMMYFUNCTION("""COMPUTED_VALUE"""),"LBT")</f>
        <v>LBT</v>
      </c>
      <c r="C4819" s="120" t="str">
        <f>IFERROR(__xludf.DUMMYFUNCTION("""COMPUTED_VALUE"""),"Lumberton")</f>
        <v>Lumberton</v>
      </c>
      <c r="D4819" s="120" t="str">
        <f>IFERROR(__xludf.DUMMYFUNCTION("""COMPUTED_VALUE"""),"United States")</f>
        <v>United States</v>
      </c>
      <c r="E4819" s="135"/>
      <c r="F4819" s="31"/>
    </row>
    <row r="4820">
      <c r="A4820" s="134" t="str">
        <f>IFERROR(__xludf.DUMMYFUNCTION("""COMPUTED_VALUE"""),"Lumbo")</f>
        <v>Lumbo</v>
      </c>
      <c r="B4820" s="120" t="str">
        <f>IFERROR(__xludf.DUMMYFUNCTION("""COMPUTED_VALUE"""),"LFB")</f>
        <v>LFB</v>
      </c>
      <c r="C4820" s="120" t="str">
        <f>IFERROR(__xludf.DUMMYFUNCTION("""COMPUTED_VALUE"""),"Lumbo")</f>
        <v>Lumbo</v>
      </c>
      <c r="D4820" s="120" t="str">
        <f>IFERROR(__xludf.DUMMYFUNCTION("""COMPUTED_VALUE"""),"Mozambique")</f>
        <v>Mozambique</v>
      </c>
      <c r="E4820" s="135"/>
      <c r="F4820" s="31"/>
    </row>
    <row r="4821">
      <c r="A4821" s="134" t="str">
        <f>IFERROR(__xludf.DUMMYFUNCTION("""COMPUTED_VALUE"""),"Lumi")</f>
        <v>Lumi</v>
      </c>
      <c r="B4821" s="120" t="str">
        <f>IFERROR(__xludf.DUMMYFUNCTION("""COMPUTED_VALUE"""),"LMI")</f>
        <v>LMI</v>
      </c>
      <c r="C4821" s="120" t="str">
        <f>IFERROR(__xludf.DUMMYFUNCTION("""COMPUTED_VALUE"""),"Lumi")</f>
        <v>Lumi</v>
      </c>
      <c r="D4821" s="120" t="str">
        <f>IFERROR(__xludf.DUMMYFUNCTION("""COMPUTED_VALUE"""),"Papua New Guinea")</f>
        <v>Papua New Guinea</v>
      </c>
      <c r="E4821" s="135"/>
      <c r="F4821" s="31"/>
    </row>
    <row r="4822">
      <c r="A4822" s="134" t="str">
        <f>IFERROR(__xludf.DUMMYFUNCTION("""COMPUTED_VALUE"""),"Lumid Pau")</f>
        <v>Lumid Pau</v>
      </c>
      <c r="B4822" s="120" t="str">
        <f>IFERROR(__xludf.DUMMYFUNCTION("""COMPUTED_VALUE"""),"LUB")</f>
        <v>LUB</v>
      </c>
      <c r="C4822" s="120" t="str">
        <f>IFERROR(__xludf.DUMMYFUNCTION("""COMPUTED_VALUE"""),"Lumid Pau")</f>
        <v>Lumid Pau</v>
      </c>
      <c r="D4822" s="120" t="str">
        <f>IFERROR(__xludf.DUMMYFUNCTION("""COMPUTED_VALUE"""),"Guyana")</f>
        <v>Guyana</v>
      </c>
      <c r="E4822" s="135"/>
      <c r="F4822" s="31"/>
    </row>
    <row r="4823">
      <c r="A4823" s="134" t="str">
        <f>IFERROR(__xludf.DUMMYFUNCTION("""COMPUTED_VALUE"""),"Lunyuk")</f>
        <v>Lunyuk</v>
      </c>
      <c r="B4823" s="120" t="str">
        <f>IFERROR(__xludf.DUMMYFUNCTION("""COMPUTED_VALUE"""),"LYK")</f>
        <v>LYK</v>
      </c>
      <c r="C4823" s="120" t="str">
        <f>IFERROR(__xludf.DUMMYFUNCTION("""COMPUTED_VALUE"""),"Lunyuk")</f>
        <v>Lunyuk</v>
      </c>
      <c r="D4823" s="120" t="str">
        <f>IFERROR(__xludf.DUMMYFUNCTION("""COMPUTED_VALUE"""),"Indonesia")</f>
        <v>Indonesia</v>
      </c>
      <c r="E4823" s="135"/>
      <c r="F4823" s="31"/>
    </row>
    <row r="4824">
      <c r="A4824" s="134" t="str">
        <f>IFERROR(__xludf.DUMMYFUNCTION("""COMPUTED_VALUE"""),"Luoyang")</f>
        <v>Luoyang</v>
      </c>
      <c r="B4824" s="120" t="str">
        <f>IFERROR(__xludf.DUMMYFUNCTION("""COMPUTED_VALUE"""),"LYA")</f>
        <v>LYA</v>
      </c>
      <c r="C4824" s="120" t="str">
        <f>IFERROR(__xludf.DUMMYFUNCTION("""COMPUTED_VALUE"""),"Luoyang")</f>
        <v>Luoyang</v>
      </c>
      <c r="D4824" s="120" t="str">
        <f>IFERROR(__xludf.DUMMYFUNCTION("""COMPUTED_VALUE"""),"China")</f>
        <v>China</v>
      </c>
      <c r="E4824" s="135"/>
      <c r="F4824" s="31"/>
    </row>
    <row r="4825">
      <c r="A4825" s="134" t="str">
        <f>IFERROR(__xludf.DUMMYFUNCTION("""COMPUTED_VALUE"""),"Luozi")</f>
        <v>Luozi</v>
      </c>
      <c r="B4825" s="120" t="str">
        <f>IFERROR(__xludf.DUMMYFUNCTION("""COMPUTED_VALUE"""),"LZI")</f>
        <v>LZI</v>
      </c>
      <c r="C4825" s="120" t="str">
        <f>IFERROR(__xludf.DUMMYFUNCTION("""COMPUTED_VALUE"""),"Luozi")</f>
        <v>Luozi</v>
      </c>
      <c r="D4825" s="120" t="str">
        <f>IFERROR(__xludf.DUMMYFUNCTION("""COMPUTED_VALUE"""),"Zaire")</f>
        <v>Zaire</v>
      </c>
      <c r="E4825" s="135"/>
      <c r="F4825" s="31"/>
    </row>
    <row r="4826">
      <c r="A4826" s="134" t="str">
        <f>IFERROR(__xludf.DUMMYFUNCTION("""COMPUTED_VALUE"""),"Lupin")</f>
        <v>Lupin</v>
      </c>
      <c r="B4826" s="120" t="str">
        <f>IFERROR(__xludf.DUMMYFUNCTION("""COMPUTED_VALUE"""),"YWO")</f>
        <v>YWO</v>
      </c>
      <c r="C4826" s="120" t="str">
        <f>IFERROR(__xludf.DUMMYFUNCTION("""COMPUTED_VALUE"""),"Lupin")</f>
        <v>Lupin</v>
      </c>
      <c r="D4826" s="120" t="str">
        <f>IFERROR(__xludf.DUMMYFUNCTION("""COMPUTED_VALUE"""),"Canada")</f>
        <v>Canada</v>
      </c>
      <c r="E4826" s="135"/>
      <c r="F4826" s="31"/>
    </row>
    <row r="4827">
      <c r="A4827" s="134" t="str">
        <f>IFERROR(__xludf.DUMMYFUNCTION("""COMPUTED_VALUE"""),"Lusaka")</f>
        <v>Lusaka</v>
      </c>
      <c r="B4827" s="120" t="str">
        <f>IFERROR(__xludf.DUMMYFUNCTION("""COMPUTED_VALUE"""),"LUN")</f>
        <v>LUN</v>
      </c>
      <c r="C4827" s="120" t="str">
        <f>IFERROR(__xludf.DUMMYFUNCTION("""COMPUTED_VALUE"""),"Lusaka")</f>
        <v>Lusaka</v>
      </c>
      <c r="D4827" s="120" t="str">
        <f>IFERROR(__xludf.DUMMYFUNCTION("""COMPUTED_VALUE"""),"Zambia")</f>
        <v>Zambia</v>
      </c>
      <c r="E4827" s="135"/>
      <c r="F4827" s="31"/>
    </row>
    <row r="4828">
      <c r="A4828" s="134" t="str">
        <f>IFERROR(__xludf.DUMMYFUNCTION("""COMPUTED_VALUE"""),"Lusambo")</f>
        <v>Lusambo</v>
      </c>
      <c r="B4828" s="120" t="str">
        <f>IFERROR(__xludf.DUMMYFUNCTION("""COMPUTED_VALUE"""),"LBO")</f>
        <v>LBO</v>
      </c>
      <c r="C4828" s="120" t="str">
        <f>IFERROR(__xludf.DUMMYFUNCTION("""COMPUTED_VALUE"""),"Lusambo")</f>
        <v>Lusambo</v>
      </c>
      <c r="D4828" s="120" t="str">
        <f>IFERROR(__xludf.DUMMYFUNCTION("""COMPUTED_VALUE"""),"Zaire")</f>
        <v>Zaire</v>
      </c>
      <c r="E4828" s="135"/>
      <c r="F4828" s="31"/>
    </row>
    <row r="4829">
      <c r="A4829" s="134" t="str">
        <f>IFERROR(__xludf.DUMMYFUNCTION("""COMPUTED_VALUE"""),"Lusanga")</f>
        <v>Lusanga</v>
      </c>
      <c r="B4829" s="120" t="str">
        <f>IFERROR(__xludf.DUMMYFUNCTION("""COMPUTED_VALUE"""),"LUS")</f>
        <v>LUS</v>
      </c>
      <c r="C4829" s="120" t="str">
        <f>IFERROR(__xludf.DUMMYFUNCTION("""COMPUTED_VALUE"""),"Lusanga")</f>
        <v>Lusanga</v>
      </c>
      <c r="D4829" s="120" t="str">
        <f>IFERROR(__xludf.DUMMYFUNCTION("""COMPUTED_VALUE"""),"Zaire")</f>
        <v>Zaire</v>
      </c>
      <c r="E4829" s="135"/>
      <c r="F4829" s="31"/>
    </row>
    <row r="4830">
      <c r="A4830" s="134" t="str">
        <f>IFERROR(__xludf.DUMMYFUNCTION("""COMPUTED_VALUE"""),"Lushoto")</f>
        <v>Lushoto</v>
      </c>
      <c r="B4830" s="120" t="str">
        <f>IFERROR(__xludf.DUMMYFUNCTION("""COMPUTED_VALUE"""),"LUY")</f>
        <v>LUY</v>
      </c>
      <c r="C4830" s="120" t="str">
        <f>IFERROR(__xludf.DUMMYFUNCTION("""COMPUTED_VALUE"""),"Lushoto")</f>
        <v>Lushoto</v>
      </c>
      <c r="D4830" s="120" t="str">
        <f>IFERROR(__xludf.DUMMYFUNCTION("""COMPUTED_VALUE"""),"Tanzania")</f>
        <v>Tanzania</v>
      </c>
      <c r="E4830" s="135"/>
      <c r="F4830" s="31"/>
    </row>
    <row r="4831">
      <c r="A4831" s="134" t="str">
        <f>IFERROR(__xludf.DUMMYFUNCTION("""COMPUTED_VALUE"""),"Lusikisiki")</f>
        <v>Lusikisiki</v>
      </c>
      <c r="B4831" s="120" t="str">
        <f>IFERROR(__xludf.DUMMYFUNCTION("""COMPUTED_VALUE"""),"LUJ")</f>
        <v>LUJ</v>
      </c>
      <c r="C4831" s="120" t="str">
        <f>IFERROR(__xludf.DUMMYFUNCTION("""COMPUTED_VALUE"""),"Lusikisiki")</f>
        <v>Lusikisiki</v>
      </c>
      <c r="D4831" s="120" t="str">
        <f>IFERROR(__xludf.DUMMYFUNCTION("""COMPUTED_VALUE"""),"South Africa")</f>
        <v>South Africa</v>
      </c>
      <c r="E4831" s="135"/>
      <c r="F4831" s="31"/>
    </row>
    <row r="4832">
      <c r="A4832" s="134" t="str">
        <f>IFERROR(__xludf.DUMMYFUNCTION("""COMPUTED_VALUE"""),"Lusk")</f>
        <v>Lusk</v>
      </c>
      <c r="B4832" s="120" t="str">
        <f>IFERROR(__xludf.DUMMYFUNCTION("""COMPUTED_VALUE"""),"LSK")</f>
        <v>LSK</v>
      </c>
      <c r="C4832" s="120" t="str">
        <f>IFERROR(__xludf.DUMMYFUNCTION("""COMPUTED_VALUE"""),"Lusk")</f>
        <v>Lusk</v>
      </c>
      <c r="D4832" s="120" t="str">
        <f>IFERROR(__xludf.DUMMYFUNCTION("""COMPUTED_VALUE"""),"United States")</f>
        <v>United States</v>
      </c>
      <c r="E4832" s="135"/>
      <c r="F4832" s="31"/>
    </row>
    <row r="4833">
      <c r="A4833" s="134" t="str">
        <f>IFERROR(__xludf.DUMMYFUNCTION("""COMPUTED_VALUE"""),"Lutselke/Snowdrift")</f>
        <v>Lutselke/Snowdrift</v>
      </c>
      <c r="B4833" s="120" t="str">
        <f>IFERROR(__xludf.DUMMYFUNCTION("""COMPUTED_VALUE"""),"YSG")</f>
        <v>YSG</v>
      </c>
      <c r="C4833" s="120" t="str">
        <f>IFERROR(__xludf.DUMMYFUNCTION("""COMPUTED_VALUE"""),"Lutselke")</f>
        <v>Lutselke</v>
      </c>
      <c r="D4833" s="120" t="str">
        <f>IFERROR(__xludf.DUMMYFUNCTION("""COMPUTED_VALUE"""),"Canada")</f>
        <v>Canada</v>
      </c>
      <c r="E4833" s="135"/>
      <c r="F4833" s="31"/>
    </row>
    <row r="4834">
      <c r="A4834" s="134" t="str">
        <f>IFERROR(__xludf.DUMMYFUNCTION("""COMPUTED_VALUE"""),"Lutsk")</f>
        <v>Lutsk</v>
      </c>
      <c r="B4834" s="120" t="str">
        <f>IFERROR(__xludf.DUMMYFUNCTION("""COMPUTED_VALUE"""),"UCK")</f>
        <v>UCK</v>
      </c>
      <c r="C4834" s="120" t="str">
        <f>IFERROR(__xludf.DUMMYFUNCTION("""COMPUTED_VALUE"""),"Lutsk")</f>
        <v>Lutsk</v>
      </c>
      <c r="D4834" s="120" t="str">
        <f>IFERROR(__xludf.DUMMYFUNCTION("""COMPUTED_VALUE"""),"Ukraine")</f>
        <v>Ukraine</v>
      </c>
      <c r="E4834" s="135"/>
      <c r="F4834" s="31"/>
    </row>
    <row r="4835">
      <c r="A4835" s="134" t="str">
        <f>IFERROR(__xludf.DUMMYFUNCTION("""COMPUTED_VALUE"""),"Luwuk")</f>
        <v>Luwuk</v>
      </c>
      <c r="B4835" s="120" t="str">
        <f>IFERROR(__xludf.DUMMYFUNCTION("""COMPUTED_VALUE"""),"LUW")</f>
        <v>LUW</v>
      </c>
      <c r="C4835" s="120" t="str">
        <f>IFERROR(__xludf.DUMMYFUNCTION("""COMPUTED_VALUE"""),"Luwuk")</f>
        <v>Luwuk</v>
      </c>
      <c r="D4835" s="120" t="str">
        <f>IFERROR(__xludf.DUMMYFUNCTION("""COMPUTED_VALUE"""),"Indonesia")</f>
        <v>Indonesia</v>
      </c>
      <c r="E4835" s="135"/>
      <c r="F4835" s="31"/>
    </row>
    <row r="4836">
      <c r="A4836" s="134" t="str">
        <f>IFERROR(__xludf.DUMMYFUNCTION("""COMPUTED_VALUE"""),"Luxembourg")</f>
        <v>Luxembourg</v>
      </c>
      <c r="B4836" s="120" t="str">
        <f>IFERROR(__xludf.DUMMYFUNCTION("""COMPUTED_VALUE"""),"LUX")</f>
        <v>LUX</v>
      </c>
      <c r="C4836" s="120" t="str">
        <f>IFERROR(__xludf.DUMMYFUNCTION("""COMPUTED_VALUE"""),"Findel")</f>
        <v>Findel</v>
      </c>
      <c r="D4836" s="120" t="str">
        <f>IFERROR(__xludf.DUMMYFUNCTION("""COMPUTED_VALUE"""),"Luxembourg")</f>
        <v>Luxembourg</v>
      </c>
      <c r="E4836" s="135"/>
      <c r="F4836" s="31"/>
    </row>
    <row r="4837">
      <c r="A4837" s="134" t="str">
        <f>IFERROR(__xludf.DUMMYFUNCTION("""COMPUTED_VALUE"""),"Luxi")</f>
        <v>Luxi</v>
      </c>
      <c r="B4837" s="120" t="str">
        <f>IFERROR(__xludf.DUMMYFUNCTION("""COMPUTED_VALUE"""),"LUM")</f>
        <v>LUM</v>
      </c>
      <c r="C4837" s="120" t="str">
        <f>IFERROR(__xludf.DUMMYFUNCTION("""COMPUTED_VALUE"""),"Mangshi")</f>
        <v>Mangshi</v>
      </c>
      <c r="D4837" s="120" t="str">
        <f>IFERROR(__xludf.DUMMYFUNCTION("""COMPUTED_VALUE"""),"China")</f>
        <v>China</v>
      </c>
      <c r="E4837" s="135"/>
      <c r="F4837" s="31"/>
    </row>
    <row r="4838">
      <c r="A4838" s="134" t="str">
        <f>IFERROR(__xludf.DUMMYFUNCTION("""COMPUTED_VALUE"""),"Luxor")</f>
        <v>Luxor</v>
      </c>
      <c r="B4838" s="120" t="str">
        <f>IFERROR(__xludf.DUMMYFUNCTION("""COMPUTED_VALUE"""),"LXR")</f>
        <v>LXR</v>
      </c>
      <c r="C4838" s="120" t="str">
        <f>IFERROR(__xludf.DUMMYFUNCTION("""COMPUTED_VALUE"""),"Luxor")</f>
        <v>Luxor</v>
      </c>
      <c r="D4838" s="120" t="str">
        <f>IFERROR(__xludf.DUMMYFUNCTION("""COMPUTED_VALUE"""),"Egypt")</f>
        <v>Egypt</v>
      </c>
      <c r="E4838" s="135"/>
      <c r="F4838" s="31"/>
    </row>
    <row r="4839">
      <c r="A4839" s="134" t="str">
        <f>IFERROR(__xludf.DUMMYFUNCTION("""COMPUTED_VALUE"""),"Luzamba")</f>
        <v>Luzamba</v>
      </c>
      <c r="B4839" s="120" t="str">
        <f>IFERROR(__xludf.DUMMYFUNCTION("""COMPUTED_VALUE"""),"LZM")</f>
        <v>LZM</v>
      </c>
      <c r="C4839" s="120" t="str">
        <f>IFERROR(__xludf.DUMMYFUNCTION("""COMPUTED_VALUE"""),"Luzamba")</f>
        <v>Luzamba</v>
      </c>
      <c r="D4839" s="120" t="str">
        <f>IFERROR(__xludf.DUMMYFUNCTION("""COMPUTED_VALUE"""),"Angola")</f>
        <v>Angola</v>
      </c>
      <c r="E4839" s="135"/>
      <c r="F4839" s="31"/>
    </row>
    <row r="4840">
      <c r="A4840" s="134" t="str">
        <f>IFERROR(__xludf.DUMMYFUNCTION("""COMPUTED_VALUE"""),"Luzhou")</f>
        <v>Luzhou</v>
      </c>
      <c r="B4840" s="120" t="str">
        <f>IFERROR(__xludf.DUMMYFUNCTION("""COMPUTED_VALUE"""),"LZO")</f>
        <v>LZO</v>
      </c>
      <c r="C4840" s="120" t="str">
        <f>IFERROR(__xludf.DUMMYFUNCTION("""COMPUTED_VALUE"""),"Luzhou")</f>
        <v>Luzhou</v>
      </c>
      <c r="D4840" s="120" t="str">
        <f>IFERROR(__xludf.DUMMYFUNCTION("""COMPUTED_VALUE"""),"China")</f>
        <v>China</v>
      </c>
      <c r="E4840" s="135"/>
      <c r="F4840" s="31"/>
    </row>
    <row r="4841">
      <c r="A4841" s="134" t="str">
        <f>IFERROR(__xludf.DUMMYFUNCTION("""COMPUTED_VALUE"""),"Angeles City")</f>
        <v>Angeles City</v>
      </c>
      <c r="B4841" s="120" t="str">
        <f>IFERROR(__xludf.DUMMYFUNCTION("""COMPUTED_VALUE"""),"CRK")</f>
        <v>CRK</v>
      </c>
      <c r="C4841" s="120" t="str">
        <f>IFERROR(__xludf.DUMMYFUNCTION("""COMPUTED_VALUE"""),"Diosdado Macapagal International (Clark Int)")</f>
        <v>Diosdado Macapagal International (Clark Int)</v>
      </c>
      <c r="D4841" s="120" t="str">
        <f>IFERROR(__xludf.DUMMYFUNCTION("""COMPUTED_VALUE"""),"Philippines")</f>
        <v>Philippines</v>
      </c>
      <c r="E4841" s="135"/>
      <c r="F4841" s="31"/>
    </row>
    <row r="4842">
      <c r="A4842" s="134" t="str">
        <f>IFERROR(__xludf.DUMMYFUNCTION("""COMPUTED_VALUE"""),"Luzon Is")</f>
        <v>Luzon Is</v>
      </c>
      <c r="B4842" s="120" t="str">
        <f>IFERROR(__xludf.DUMMYFUNCTION("""COMPUTED_VALUE"""),"NCP")</f>
        <v>NCP</v>
      </c>
      <c r="C4842" s="120" t="str">
        <f>IFERROR(__xludf.DUMMYFUNCTION("""COMPUTED_VALUE"""),"Cubi Pt NAS")</f>
        <v>Cubi Pt NAS</v>
      </c>
      <c r="D4842" s="120" t="str">
        <f>IFERROR(__xludf.DUMMYFUNCTION("""COMPUTED_VALUE"""),"Philippines")</f>
        <v>Philippines</v>
      </c>
      <c r="E4842" s="135"/>
      <c r="F4842" s="31"/>
    </row>
    <row r="4843">
      <c r="A4843" s="134" t="str">
        <f>IFERROR(__xludf.DUMMYFUNCTION("""COMPUTED_VALUE"""),"Lviv")</f>
        <v>Lviv</v>
      </c>
      <c r="B4843" s="120" t="str">
        <f>IFERROR(__xludf.DUMMYFUNCTION("""COMPUTED_VALUE"""),"LWO")</f>
        <v>LWO</v>
      </c>
      <c r="C4843" s="120" t="str">
        <f>IFERROR(__xludf.DUMMYFUNCTION("""COMPUTED_VALUE"""),"Snilow")</f>
        <v>Snilow</v>
      </c>
      <c r="D4843" s="120" t="str">
        <f>IFERROR(__xludf.DUMMYFUNCTION("""COMPUTED_VALUE"""),"Ukraine")</f>
        <v>Ukraine</v>
      </c>
      <c r="E4843" s="135"/>
      <c r="F4843" s="31"/>
    </row>
    <row r="4844">
      <c r="A4844" s="134" t="str">
        <f>IFERROR(__xludf.DUMMYFUNCTION("""COMPUTED_VALUE"""),"Lwbak")</f>
        <v>Lwbak</v>
      </c>
      <c r="B4844" s="120" t="str">
        <f>IFERROR(__xludf.DUMMYFUNCTION("""COMPUTED_VALUE"""),"LWA")</f>
        <v>LWA</v>
      </c>
      <c r="C4844" s="120" t="str">
        <f>IFERROR(__xludf.DUMMYFUNCTION("""COMPUTED_VALUE"""),"Lwbak")</f>
        <v>Lwbak</v>
      </c>
      <c r="D4844" s="120" t="str">
        <f>IFERROR(__xludf.DUMMYFUNCTION("""COMPUTED_VALUE"""),"Philippines")</f>
        <v>Philippines</v>
      </c>
      <c r="E4844" s="135"/>
      <c r="F4844" s="31"/>
    </row>
    <row r="4845">
      <c r="A4845" s="134" t="str">
        <f>IFERROR(__xludf.DUMMYFUNCTION("""COMPUTED_VALUE"""),"Lyall Harbour")</f>
        <v>Lyall Harbour</v>
      </c>
      <c r="B4845" s="120" t="str">
        <f>IFERROR(__xludf.DUMMYFUNCTION("""COMPUTED_VALUE"""),"YAJ")</f>
        <v>YAJ</v>
      </c>
      <c r="C4845" s="120" t="str">
        <f>IFERROR(__xludf.DUMMYFUNCTION("""COMPUTED_VALUE"""),"Lyall Harbour")</f>
        <v>Lyall Harbour</v>
      </c>
      <c r="D4845" s="120" t="str">
        <f>IFERROR(__xludf.DUMMYFUNCTION("""COMPUTED_VALUE"""),"Canada")</f>
        <v>Canada</v>
      </c>
      <c r="E4845" s="135"/>
      <c r="F4845" s="31"/>
    </row>
    <row r="4846">
      <c r="A4846" s="134" t="str">
        <f>IFERROR(__xludf.DUMMYFUNCTION("""COMPUTED_VALUE"""),"Lycksele")</f>
        <v>Lycksele</v>
      </c>
      <c r="B4846" s="120" t="str">
        <f>IFERROR(__xludf.DUMMYFUNCTION("""COMPUTED_VALUE"""),"LYC")</f>
        <v>LYC</v>
      </c>
      <c r="C4846" s="120" t="str">
        <f>IFERROR(__xludf.DUMMYFUNCTION("""COMPUTED_VALUE"""),"Lycksele")</f>
        <v>Lycksele</v>
      </c>
      <c r="D4846" s="120" t="str">
        <f>IFERROR(__xludf.DUMMYFUNCTION("""COMPUTED_VALUE"""),"Sweden")</f>
        <v>Sweden</v>
      </c>
      <c r="E4846" s="135"/>
      <c r="F4846" s="31"/>
    </row>
    <row r="4847">
      <c r="A4847" s="134" t="str">
        <f>IFERROR(__xludf.DUMMYFUNCTION("""COMPUTED_VALUE"""),"Lynchburg")</f>
        <v>Lynchburg</v>
      </c>
      <c r="B4847" s="120" t="str">
        <f>IFERROR(__xludf.DUMMYFUNCTION("""COMPUTED_VALUE"""),"LYH")</f>
        <v>LYH</v>
      </c>
      <c r="C4847" s="120" t="str">
        <f>IFERROR(__xludf.DUMMYFUNCTION("""COMPUTED_VALUE"""),"Preston-Glenn Field")</f>
        <v>Preston-Glenn Field</v>
      </c>
      <c r="D4847" s="120" t="str">
        <f>IFERROR(__xludf.DUMMYFUNCTION("""COMPUTED_VALUE"""),"United States")</f>
        <v>United States</v>
      </c>
      <c r="E4847" s="135"/>
      <c r="F4847" s="31"/>
    </row>
    <row r="4848">
      <c r="A4848" s="134" t="str">
        <f>IFERROR(__xludf.DUMMYFUNCTION("""COMPUTED_VALUE"""),"Lyndhurst")</f>
        <v>Lyndhurst</v>
      </c>
      <c r="B4848" s="120" t="str">
        <f>IFERROR(__xludf.DUMMYFUNCTION("""COMPUTED_VALUE"""),"LTP")</f>
        <v>LTP</v>
      </c>
      <c r="C4848" s="120" t="str">
        <f>IFERROR(__xludf.DUMMYFUNCTION("""COMPUTED_VALUE"""),"Lyndhurst")</f>
        <v>Lyndhurst</v>
      </c>
      <c r="D4848" s="120" t="str">
        <f>IFERROR(__xludf.DUMMYFUNCTION("""COMPUTED_VALUE"""),"Australia")</f>
        <v>Australia</v>
      </c>
      <c r="E4848" s="135"/>
      <c r="F4848" s="31"/>
    </row>
    <row r="4849">
      <c r="A4849" s="134" t="str">
        <f>IFERROR(__xludf.DUMMYFUNCTION("""COMPUTED_VALUE"""),"Lyndonville")</f>
        <v>Lyndonville</v>
      </c>
      <c r="B4849" s="120" t="str">
        <f>IFERROR(__xludf.DUMMYFUNCTION("""COMPUTED_VALUE"""),"LLX")</f>
        <v>LLX</v>
      </c>
      <c r="C4849" s="120" t="str">
        <f>IFERROR(__xludf.DUMMYFUNCTION("""COMPUTED_VALUE"""),"Lyndonville")</f>
        <v>Lyndonville</v>
      </c>
      <c r="D4849" s="120" t="str">
        <f>IFERROR(__xludf.DUMMYFUNCTION("""COMPUTED_VALUE"""),"United States")</f>
        <v>United States</v>
      </c>
      <c r="E4849" s="135"/>
      <c r="F4849" s="31"/>
    </row>
    <row r="4850">
      <c r="A4850" s="134" t="str">
        <f>IFERROR(__xludf.DUMMYFUNCTION("""COMPUTED_VALUE"""),"Lyneham")</f>
        <v>Lyneham</v>
      </c>
      <c r="B4850" s="120" t="str">
        <f>IFERROR(__xludf.DUMMYFUNCTION("""COMPUTED_VALUE"""),"LYE")</f>
        <v>LYE</v>
      </c>
      <c r="C4850" s="120" t="str">
        <f>IFERROR(__xludf.DUMMYFUNCTION("""COMPUTED_VALUE"""),"RAF Station")</f>
        <v>RAF Station</v>
      </c>
      <c r="D4850" s="120" t="str">
        <f>IFERROR(__xludf.DUMMYFUNCTION("""COMPUTED_VALUE"""),"United Kingdom")</f>
        <v>United Kingdom</v>
      </c>
      <c r="E4850" s="135"/>
      <c r="F4850" s="31"/>
    </row>
    <row r="4851">
      <c r="A4851" s="134" t="str">
        <f>IFERROR(__xludf.DUMMYFUNCTION("""COMPUTED_VALUE"""),"Lynn Lake")</f>
        <v>Lynn Lake</v>
      </c>
      <c r="B4851" s="120" t="str">
        <f>IFERROR(__xludf.DUMMYFUNCTION("""COMPUTED_VALUE"""),"YYL")</f>
        <v>YYL</v>
      </c>
      <c r="C4851" s="120" t="str">
        <f>IFERROR(__xludf.DUMMYFUNCTION("""COMPUTED_VALUE"""),"Lynn Lake")</f>
        <v>Lynn Lake</v>
      </c>
      <c r="D4851" s="120" t="str">
        <f>IFERROR(__xludf.DUMMYFUNCTION("""COMPUTED_VALUE"""),"Canada")</f>
        <v>Canada</v>
      </c>
      <c r="E4851" s="135"/>
      <c r="F4851" s="31"/>
    </row>
    <row r="4852">
      <c r="A4852" s="134" t="str">
        <f>IFERROR(__xludf.DUMMYFUNCTION("""COMPUTED_VALUE"""),"Lyon")</f>
        <v>Lyon</v>
      </c>
      <c r="B4852" s="120" t="str">
        <f>IFERROR(__xludf.DUMMYFUNCTION("""COMPUTED_VALUE"""),"LYN")</f>
        <v>LYN</v>
      </c>
      <c r="C4852" s="120" t="str">
        <f>IFERROR(__xludf.DUMMYFUNCTION("""COMPUTED_VALUE"""),"Bron")</f>
        <v>Bron</v>
      </c>
      <c r="D4852" s="120" t="str">
        <f>IFERROR(__xludf.DUMMYFUNCTION("""COMPUTED_VALUE"""),"France")</f>
        <v>France</v>
      </c>
      <c r="E4852" s="135"/>
      <c r="F4852" s="31"/>
    </row>
    <row r="4853">
      <c r="A4853" s="134" t="str">
        <f>IFERROR(__xludf.DUMMYFUNCTION("""COMPUTED_VALUE"""),"Lyon")</f>
        <v>Lyon</v>
      </c>
      <c r="B4853" s="120" t="str">
        <f>IFERROR(__xludf.DUMMYFUNCTION("""COMPUTED_VALUE"""),"XYD")</f>
        <v>XYD</v>
      </c>
      <c r="C4853" s="120" t="str">
        <f>IFERROR(__xludf.DUMMYFUNCTION("""COMPUTED_VALUE"""),"Lyon Part-Dieu Rail Sv")</f>
        <v>Lyon Part-Dieu Rail Sv</v>
      </c>
      <c r="D4853" s="120" t="str">
        <f>IFERROR(__xludf.DUMMYFUNCTION("""COMPUTED_VALUE"""),"France")</f>
        <v>France</v>
      </c>
      <c r="E4853" s="135"/>
      <c r="F4853" s="31"/>
    </row>
    <row r="4854">
      <c r="A4854" s="134" t="str">
        <f>IFERROR(__xludf.DUMMYFUNCTION("""COMPUTED_VALUE"""),"Lyon")</f>
        <v>Lyon</v>
      </c>
      <c r="B4854" s="120" t="str">
        <f>IFERROR(__xludf.DUMMYFUNCTION("""COMPUTED_VALUE"""),"XYL")</f>
        <v>XYL</v>
      </c>
      <c r="C4854" s="120" t="str">
        <f>IFERROR(__xludf.DUMMYFUNCTION("""COMPUTED_VALUE"""),"Lyon Perrache Rail Svc")</f>
        <v>Lyon Perrache Rail Svc</v>
      </c>
      <c r="D4854" s="120" t="str">
        <f>IFERROR(__xludf.DUMMYFUNCTION("""COMPUTED_VALUE"""),"France")</f>
        <v>France</v>
      </c>
      <c r="E4854" s="135"/>
      <c r="F4854" s="31"/>
    </row>
    <row r="4855">
      <c r="A4855" s="134" t="str">
        <f>IFERROR(__xludf.DUMMYFUNCTION("""COMPUTED_VALUE"""),"Lyon")</f>
        <v>Lyon</v>
      </c>
      <c r="B4855" s="120" t="str">
        <f>IFERROR(__xludf.DUMMYFUNCTION("""COMPUTED_VALUE"""),"XYV")</f>
        <v>XYV</v>
      </c>
      <c r="C4855" s="120" t="str">
        <f>IFERROR(__xludf.DUMMYFUNCTION("""COMPUTED_VALUE"""),"Lyon Satolas Rail Svc")</f>
        <v>Lyon Satolas Rail Svc</v>
      </c>
      <c r="D4855" s="120" t="str">
        <f>IFERROR(__xludf.DUMMYFUNCTION("""COMPUTED_VALUE"""),"France")</f>
        <v>France</v>
      </c>
      <c r="E4855" s="135"/>
      <c r="F4855" s="31"/>
    </row>
    <row r="4856">
      <c r="A4856" s="134" t="str">
        <f>IFERROR(__xludf.DUMMYFUNCTION("""COMPUTED_VALUE"""),"Lyon")</f>
        <v>Lyon</v>
      </c>
      <c r="B4856" s="120" t="str">
        <f>IFERROR(__xludf.DUMMYFUNCTION("""COMPUTED_VALUE"""),"GNB")</f>
        <v>GNB</v>
      </c>
      <c r="C4856" s="120" t="str">
        <f>IFERROR(__xludf.DUMMYFUNCTION("""COMPUTED_VALUE"""),"Saint Geoirs")</f>
        <v>Saint Geoirs</v>
      </c>
      <c r="D4856" s="120" t="str">
        <f>IFERROR(__xludf.DUMMYFUNCTION("""COMPUTED_VALUE"""),"France")</f>
        <v>France</v>
      </c>
      <c r="E4856" s="135"/>
      <c r="F4856" s="31"/>
    </row>
    <row r="4857">
      <c r="A4857" s="134" t="str">
        <f>IFERROR(__xludf.DUMMYFUNCTION("""COMPUTED_VALUE"""),"Lyon")</f>
        <v>Lyon</v>
      </c>
      <c r="B4857" s="120" t="str">
        <f>IFERROR(__xludf.DUMMYFUNCTION("""COMPUTED_VALUE"""),"LYS")</f>
        <v>LYS</v>
      </c>
      <c r="C4857" s="120" t="str">
        <f>IFERROR(__xludf.DUMMYFUNCTION("""COMPUTED_VALUE"""),"Satolas")</f>
        <v>Satolas</v>
      </c>
      <c r="D4857" s="120" t="str">
        <f>IFERROR(__xludf.DUMMYFUNCTION("""COMPUTED_VALUE"""),"France")</f>
        <v>France</v>
      </c>
      <c r="E4857" s="135"/>
      <c r="F4857" s="31"/>
    </row>
    <row r="4858">
      <c r="A4858" s="134" t="str">
        <f>IFERROR(__xludf.DUMMYFUNCTION("""COMPUTED_VALUE"""),"Lyons")</f>
        <v>Lyons</v>
      </c>
      <c r="B4858" s="120" t="str">
        <f>IFERROR(__xludf.DUMMYFUNCTION("""COMPUTED_VALUE"""),"LYO")</f>
        <v>LYO</v>
      </c>
      <c r="C4858" s="120" t="str">
        <f>IFERROR(__xludf.DUMMYFUNCTION("""COMPUTED_VALUE"""),"Rice County Municipal")</f>
        <v>Rice County Municipal</v>
      </c>
      <c r="D4858" s="120" t="str">
        <f>IFERROR(__xludf.DUMMYFUNCTION("""COMPUTED_VALUE"""),"United States")</f>
        <v>United States</v>
      </c>
      <c r="E4858" s="135"/>
      <c r="F4858" s="31"/>
    </row>
    <row r="4859">
      <c r="A4859" s="134" t="str">
        <f>IFERROR(__xludf.DUMMYFUNCTION("""COMPUTED_VALUE"""),"Lysaker")</f>
        <v>Lysaker</v>
      </c>
      <c r="B4859" s="120" t="str">
        <f>IFERROR(__xludf.DUMMYFUNCTION("""COMPUTED_VALUE"""),"XUI")</f>
        <v>XUI</v>
      </c>
      <c r="C4859" s="120" t="str">
        <f>IFERROR(__xludf.DUMMYFUNCTION("""COMPUTED_VALUE"""),"Lysaker Railway")</f>
        <v>Lysaker Railway</v>
      </c>
      <c r="D4859" s="120" t="str">
        <f>IFERROR(__xludf.DUMMYFUNCTION("""COMPUTED_VALUE"""),"Norway")</f>
        <v>Norway</v>
      </c>
      <c r="E4859" s="135"/>
      <c r="F4859" s="31"/>
    </row>
    <row r="4860">
      <c r="A4860" s="134" t="str">
        <f>IFERROR(__xludf.DUMMYFUNCTION("""COMPUTED_VALUE"""),"Maan")</f>
        <v>Maan</v>
      </c>
      <c r="B4860" s="120" t="str">
        <f>IFERROR(__xludf.DUMMYFUNCTION("""COMPUTED_VALUE"""),"MPQ")</f>
        <v>MPQ</v>
      </c>
      <c r="C4860" s="120" t="str">
        <f>IFERROR(__xludf.DUMMYFUNCTION("""COMPUTED_VALUE"""),"Maan")</f>
        <v>Maan</v>
      </c>
      <c r="D4860" s="120" t="str">
        <f>IFERROR(__xludf.DUMMYFUNCTION("""COMPUTED_VALUE"""),"Jordan")</f>
        <v>Jordan</v>
      </c>
      <c r="E4860" s="135"/>
      <c r="F4860" s="31"/>
    </row>
    <row r="4861">
      <c r="A4861" s="134" t="str">
        <f>IFERROR(__xludf.DUMMYFUNCTION("""COMPUTED_VALUE"""),"Maastricht")</f>
        <v>Maastricht</v>
      </c>
      <c r="B4861" s="120" t="str">
        <f>IFERROR(__xludf.DUMMYFUNCTION("""COMPUTED_VALUE"""),"MST")</f>
        <v>MST</v>
      </c>
      <c r="C4861" s="120" t="str">
        <f>IFERROR(__xludf.DUMMYFUNCTION("""COMPUTED_VALUE"""),"Maastricht/aachen")</f>
        <v>Maastricht/aachen</v>
      </c>
      <c r="D4861" s="120" t="str">
        <f>IFERROR(__xludf.DUMMYFUNCTION("""COMPUTED_VALUE"""),"Netherlands")</f>
        <v>Netherlands</v>
      </c>
      <c r="E4861" s="135"/>
      <c r="F4861" s="31"/>
    </row>
    <row r="4862">
      <c r="A4862" s="134" t="str">
        <f>IFERROR(__xludf.DUMMYFUNCTION("""COMPUTED_VALUE"""),"Mabaruma")</f>
        <v>Mabaruma</v>
      </c>
      <c r="B4862" s="120" t="str">
        <f>IFERROR(__xludf.DUMMYFUNCTION("""COMPUTED_VALUE"""),"USI")</f>
        <v>USI</v>
      </c>
      <c r="C4862" s="120" t="str">
        <f>IFERROR(__xludf.DUMMYFUNCTION("""COMPUTED_VALUE"""),"Mabaruma")</f>
        <v>Mabaruma</v>
      </c>
      <c r="D4862" s="120" t="str">
        <f>IFERROR(__xludf.DUMMYFUNCTION("""COMPUTED_VALUE"""),"Guyana")</f>
        <v>Guyana</v>
      </c>
      <c r="E4862" s="135"/>
      <c r="F4862" s="31"/>
    </row>
    <row r="4863">
      <c r="A4863" s="134" t="str">
        <f>IFERROR(__xludf.DUMMYFUNCTION("""COMPUTED_VALUE"""),"Mabuiag Island")</f>
        <v>Mabuiag Island</v>
      </c>
      <c r="B4863" s="120" t="str">
        <f>IFERROR(__xludf.DUMMYFUNCTION("""COMPUTED_VALUE"""),"UBB")</f>
        <v>UBB</v>
      </c>
      <c r="C4863" s="120" t="str">
        <f>IFERROR(__xludf.DUMMYFUNCTION("""COMPUTED_VALUE"""),"Mabuiag Island")</f>
        <v>Mabuiag Island</v>
      </c>
      <c r="D4863" s="120" t="str">
        <f>IFERROR(__xludf.DUMMYFUNCTION("""COMPUTED_VALUE"""),"Australia")</f>
        <v>Australia</v>
      </c>
      <c r="E4863" s="135"/>
      <c r="F4863" s="31"/>
    </row>
    <row r="4864">
      <c r="A4864" s="134" t="str">
        <f>IFERROR(__xludf.DUMMYFUNCTION("""COMPUTED_VALUE"""),"Macae")</f>
        <v>Macae</v>
      </c>
      <c r="B4864" s="120" t="str">
        <f>IFERROR(__xludf.DUMMYFUNCTION("""COMPUTED_VALUE"""),"MEA")</f>
        <v>MEA</v>
      </c>
      <c r="C4864" s="120" t="str">
        <f>IFERROR(__xludf.DUMMYFUNCTION("""COMPUTED_VALUE"""),"Macae")</f>
        <v>Macae</v>
      </c>
      <c r="D4864" s="120" t="str">
        <f>IFERROR(__xludf.DUMMYFUNCTION("""COMPUTED_VALUE"""),"Brazil")</f>
        <v>Brazil</v>
      </c>
      <c r="E4864" s="135"/>
      <c r="F4864" s="31"/>
    </row>
    <row r="4865">
      <c r="A4865" s="134" t="str">
        <f>IFERROR(__xludf.DUMMYFUNCTION("""COMPUTED_VALUE"""),"Macanal")</f>
        <v>Macanal</v>
      </c>
      <c r="B4865" s="120" t="str">
        <f>IFERROR(__xludf.DUMMYFUNCTION("""COMPUTED_VALUE"""),"NAD")</f>
        <v>NAD</v>
      </c>
      <c r="C4865" s="120" t="str">
        <f>IFERROR(__xludf.DUMMYFUNCTION("""COMPUTED_VALUE"""),"Macanal")</f>
        <v>Macanal</v>
      </c>
      <c r="D4865" s="120" t="str">
        <f>IFERROR(__xludf.DUMMYFUNCTION("""COMPUTED_VALUE"""),"Colombia")</f>
        <v>Colombia</v>
      </c>
      <c r="E4865" s="135"/>
      <c r="F4865" s="31"/>
    </row>
    <row r="4866">
      <c r="A4866" s="134" t="str">
        <f>IFERROR(__xludf.DUMMYFUNCTION("""COMPUTED_VALUE"""),"Macapa")</f>
        <v>Macapa</v>
      </c>
      <c r="B4866" s="120" t="str">
        <f>IFERROR(__xludf.DUMMYFUNCTION("""COMPUTED_VALUE"""),"MCP")</f>
        <v>MCP</v>
      </c>
      <c r="C4866" s="120" t="str">
        <f>IFERROR(__xludf.DUMMYFUNCTION("""COMPUTED_VALUE"""),"Internacional")</f>
        <v>Internacional</v>
      </c>
      <c r="D4866" s="120" t="str">
        <f>IFERROR(__xludf.DUMMYFUNCTION("""COMPUTED_VALUE"""),"Brazil")</f>
        <v>Brazil</v>
      </c>
      <c r="E4866" s="135"/>
      <c r="F4866" s="31"/>
    </row>
    <row r="4867">
      <c r="A4867" s="134" t="str">
        <f>IFERROR(__xludf.DUMMYFUNCTION("""COMPUTED_VALUE"""),"Macara")</f>
        <v>Macara</v>
      </c>
      <c r="B4867" s="120" t="str">
        <f>IFERROR(__xludf.DUMMYFUNCTION("""COMPUTED_VALUE"""),"MRR")</f>
        <v>MRR</v>
      </c>
      <c r="C4867" s="120" t="str">
        <f>IFERROR(__xludf.DUMMYFUNCTION("""COMPUTED_VALUE"""),"Macara")</f>
        <v>Macara</v>
      </c>
      <c r="D4867" s="120" t="str">
        <f>IFERROR(__xludf.DUMMYFUNCTION("""COMPUTED_VALUE"""),"Ecuador")</f>
        <v>Ecuador</v>
      </c>
      <c r="E4867" s="135"/>
      <c r="F4867" s="31"/>
    </row>
    <row r="4868">
      <c r="A4868" s="134" t="str">
        <f>IFERROR(__xludf.DUMMYFUNCTION("""COMPUTED_VALUE"""),"Macas")</f>
        <v>Macas</v>
      </c>
      <c r="B4868" s="120" t="str">
        <f>IFERROR(__xludf.DUMMYFUNCTION("""COMPUTED_VALUE"""),"XMS")</f>
        <v>XMS</v>
      </c>
      <c r="C4868" s="120" t="str">
        <f>IFERROR(__xludf.DUMMYFUNCTION("""COMPUTED_VALUE"""),"Macas")</f>
        <v>Macas</v>
      </c>
      <c r="D4868" s="120" t="str">
        <f>IFERROR(__xludf.DUMMYFUNCTION("""COMPUTED_VALUE"""),"Ecuador")</f>
        <v>Ecuador</v>
      </c>
      <c r="E4868" s="135"/>
      <c r="F4868" s="31"/>
    </row>
    <row r="4869">
      <c r="A4869" s="134" t="str">
        <f>IFERROR(__xludf.DUMMYFUNCTION("""COMPUTED_VALUE"""),"Macau")</f>
        <v>Macau</v>
      </c>
      <c r="B4869" s="120" t="str">
        <f>IFERROR(__xludf.DUMMYFUNCTION("""COMPUTED_VALUE"""),"MFM")</f>
        <v>MFM</v>
      </c>
      <c r="C4869" s="120" t="str">
        <f>IFERROR(__xludf.DUMMYFUNCTION("""COMPUTED_VALUE"""),"Macau")</f>
        <v>Macau</v>
      </c>
      <c r="D4869" s="120" t="str">
        <f>IFERROR(__xludf.DUMMYFUNCTION("""COMPUTED_VALUE"""),"Macau")</f>
        <v>Macau</v>
      </c>
      <c r="E4869" s="135"/>
      <c r="F4869" s="31"/>
    </row>
    <row r="4870">
      <c r="A4870" s="134" t="str">
        <f>IFERROR(__xludf.DUMMYFUNCTION("""COMPUTED_VALUE"""),"Macau")</f>
        <v>Macau</v>
      </c>
      <c r="B4870" s="120" t="str">
        <f>IFERROR(__xludf.DUMMYFUNCTION("""COMPUTED_VALUE"""),"XZM")</f>
        <v>XZM</v>
      </c>
      <c r="C4870" s="120" t="str">
        <f>IFERROR(__xludf.DUMMYFUNCTION("""COMPUTED_VALUE"""),"Macau Ferry")</f>
        <v>Macau Ferry</v>
      </c>
      <c r="D4870" s="120" t="str">
        <f>IFERROR(__xludf.DUMMYFUNCTION("""COMPUTED_VALUE"""),"Macau")</f>
        <v>Macau</v>
      </c>
      <c r="E4870" s="135"/>
      <c r="F4870" s="31"/>
    </row>
    <row r="4871">
      <c r="A4871" s="134" t="str">
        <f>IFERROR(__xludf.DUMMYFUNCTION("""COMPUTED_VALUE"""),"Macdonald Downs")</f>
        <v>Macdonald Downs</v>
      </c>
      <c r="B4871" s="120" t="str">
        <f>IFERROR(__xludf.DUMMYFUNCTION("""COMPUTED_VALUE"""),"MNW")</f>
        <v>MNW</v>
      </c>
      <c r="C4871" s="120" t="str">
        <f>IFERROR(__xludf.DUMMYFUNCTION("""COMPUTED_VALUE"""),"Macdonald Downs")</f>
        <v>Macdonald Downs</v>
      </c>
      <c r="D4871" s="120" t="str">
        <f>IFERROR(__xludf.DUMMYFUNCTION("""COMPUTED_VALUE"""),"Australia")</f>
        <v>Australia</v>
      </c>
      <c r="E4871" s="135"/>
      <c r="F4871" s="31"/>
    </row>
    <row r="4872">
      <c r="A4872" s="134" t="str">
        <f>IFERROR(__xludf.DUMMYFUNCTION("""COMPUTED_VALUE"""),"Maceio")</f>
        <v>Maceio</v>
      </c>
      <c r="B4872" s="120" t="str">
        <f>IFERROR(__xludf.DUMMYFUNCTION("""COMPUTED_VALUE"""),"MCZ")</f>
        <v>MCZ</v>
      </c>
      <c r="C4872" s="120" t="str">
        <f>IFERROR(__xludf.DUMMYFUNCTION("""COMPUTED_VALUE"""),"Palmares")</f>
        <v>Palmares</v>
      </c>
      <c r="D4872" s="120" t="str">
        <f>IFERROR(__xludf.DUMMYFUNCTION("""COMPUTED_VALUE"""),"Brazil")</f>
        <v>Brazil</v>
      </c>
      <c r="E4872" s="135"/>
      <c r="F4872" s="31"/>
    </row>
    <row r="4873">
      <c r="A4873" s="134" t="str">
        <f>IFERROR(__xludf.DUMMYFUNCTION("""COMPUTED_VALUE"""),"Macenta")</f>
        <v>Macenta</v>
      </c>
      <c r="B4873" s="120" t="str">
        <f>IFERROR(__xludf.DUMMYFUNCTION("""COMPUTED_VALUE"""),"MCA")</f>
        <v>MCA</v>
      </c>
      <c r="C4873" s="120" t="str">
        <f>IFERROR(__xludf.DUMMYFUNCTION("""COMPUTED_VALUE"""),"Macenta")</f>
        <v>Macenta</v>
      </c>
      <c r="D4873" s="120" t="str">
        <f>IFERROR(__xludf.DUMMYFUNCTION("""COMPUTED_VALUE"""),"Guinea")</f>
        <v>Guinea</v>
      </c>
      <c r="E4873" s="135"/>
      <c r="F4873" s="31"/>
    </row>
    <row r="4874">
      <c r="A4874" s="134" t="str">
        <f>IFERROR(__xludf.DUMMYFUNCTION("""COMPUTED_VALUE"""),"Machala")</f>
        <v>Machala</v>
      </c>
      <c r="B4874" s="120" t="str">
        <f>IFERROR(__xludf.DUMMYFUNCTION("""COMPUTED_VALUE"""),"MCH")</f>
        <v>MCH</v>
      </c>
      <c r="C4874" s="120" t="str">
        <f>IFERROR(__xludf.DUMMYFUNCTION("""COMPUTED_VALUE"""),"Machala")</f>
        <v>Machala</v>
      </c>
      <c r="D4874" s="120" t="str">
        <f>IFERROR(__xludf.DUMMYFUNCTION("""COMPUTED_VALUE"""),"Ecuador")</f>
        <v>Ecuador</v>
      </c>
      <c r="E4874" s="135"/>
      <c r="F4874" s="31"/>
    </row>
    <row r="4875">
      <c r="A4875" s="134" t="str">
        <f>IFERROR(__xludf.DUMMYFUNCTION("""COMPUTED_VALUE"""),"Machrihanish")</f>
        <v>Machrihanish</v>
      </c>
      <c r="B4875" s="120" t="str">
        <f>IFERROR(__xludf.DUMMYFUNCTION("""COMPUTED_VALUE"""),"GQJ")</f>
        <v>GQJ</v>
      </c>
      <c r="C4875" s="120" t="str">
        <f>IFERROR(__xludf.DUMMYFUNCTION("""COMPUTED_VALUE"""),"RAF Station")</f>
        <v>RAF Station</v>
      </c>
      <c r="D4875" s="120" t="str">
        <f>IFERROR(__xludf.DUMMYFUNCTION("""COMPUTED_VALUE"""),"United Kingdom")</f>
        <v>United Kingdom</v>
      </c>
      <c r="E4875" s="135"/>
      <c r="F4875" s="31"/>
    </row>
    <row r="4876">
      <c r="A4876" s="134" t="str">
        <f>IFERROR(__xludf.DUMMYFUNCTION("""COMPUTED_VALUE"""),"Machu Picchu")</f>
        <v>Machu Picchu</v>
      </c>
      <c r="B4876" s="120" t="str">
        <f>IFERROR(__xludf.DUMMYFUNCTION("""COMPUTED_VALUE"""),"MFT")</f>
        <v>MFT</v>
      </c>
      <c r="C4876" s="120" t="str">
        <f>IFERROR(__xludf.DUMMYFUNCTION("""COMPUTED_VALUE"""),"Machu Picchu")</f>
        <v>Machu Picchu</v>
      </c>
      <c r="D4876" s="120" t="str">
        <f>IFERROR(__xludf.DUMMYFUNCTION("""COMPUTED_VALUE"""),"Peru")</f>
        <v>Peru</v>
      </c>
      <c r="E4876" s="135"/>
      <c r="F4876" s="31"/>
    </row>
    <row r="4877">
      <c r="A4877" s="134" t="str">
        <f>IFERROR(__xludf.DUMMYFUNCTION("""COMPUTED_VALUE"""),"Mackay")</f>
        <v>Mackay</v>
      </c>
      <c r="B4877" s="120" t="str">
        <f>IFERROR(__xludf.DUMMYFUNCTION("""COMPUTED_VALUE"""),"MKY")</f>
        <v>MKY</v>
      </c>
      <c r="C4877" s="120" t="str">
        <f>IFERROR(__xludf.DUMMYFUNCTION("""COMPUTED_VALUE"""),"Mackay")</f>
        <v>Mackay</v>
      </c>
      <c r="D4877" s="120" t="str">
        <f>IFERROR(__xludf.DUMMYFUNCTION("""COMPUTED_VALUE"""),"Australia")</f>
        <v>Australia</v>
      </c>
      <c r="E4877" s="135"/>
      <c r="F4877" s="31"/>
    </row>
    <row r="4878">
      <c r="A4878" s="134" t="str">
        <f>IFERROR(__xludf.DUMMYFUNCTION("""COMPUTED_VALUE"""),"Mackinac Island")</f>
        <v>Mackinac Island</v>
      </c>
      <c r="B4878" s="120" t="str">
        <f>IFERROR(__xludf.DUMMYFUNCTION("""COMPUTED_VALUE"""),"MCD")</f>
        <v>MCD</v>
      </c>
      <c r="C4878" s="120" t="str">
        <f>IFERROR(__xludf.DUMMYFUNCTION("""COMPUTED_VALUE"""),"Mackinac Island")</f>
        <v>Mackinac Island</v>
      </c>
      <c r="D4878" s="120" t="str">
        <f>IFERROR(__xludf.DUMMYFUNCTION("""COMPUTED_VALUE"""),"United States")</f>
        <v>United States</v>
      </c>
      <c r="E4878" s="135"/>
      <c r="F4878" s="31"/>
    </row>
    <row r="4879">
      <c r="A4879" s="134" t="str">
        <f>IFERROR(__xludf.DUMMYFUNCTION("""COMPUTED_VALUE"""),"Macksville")</f>
        <v>Macksville</v>
      </c>
      <c r="B4879" s="120" t="str">
        <f>IFERROR(__xludf.DUMMYFUNCTION("""COMPUTED_VALUE"""),"MVH")</f>
        <v>MVH</v>
      </c>
      <c r="C4879" s="120" t="str">
        <f>IFERROR(__xludf.DUMMYFUNCTION("""COMPUTED_VALUE"""),"Macksville")</f>
        <v>Macksville</v>
      </c>
      <c r="D4879" s="120" t="str">
        <f>IFERROR(__xludf.DUMMYFUNCTION("""COMPUTED_VALUE"""),"Australia")</f>
        <v>Australia</v>
      </c>
      <c r="E4879" s="135"/>
      <c r="F4879" s="31"/>
    </row>
    <row r="4880">
      <c r="A4880" s="134" t="str">
        <f>IFERROR(__xludf.DUMMYFUNCTION("""COMPUTED_VALUE"""),"Macmahon Camp 4")</f>
        <v>Macmahon Camp 4</v>
      </c>
      <c r="B4880" s="120" t="str">
        <f>IFERROR(__xludf.DUMMYFUNCTION("""COMPUTED_VALUE"""),"MHC")</f>
        <v>MHC</v>
      </c>
      <c r="C4880" s="120" t="str">
        <f>IFERROR(__xludf.DUMMYFUNCTION("""COMPUTED_VALUE"""),"Macmahon Camp 4")</f>
        <v>Macmahon Camp 4</v>
      </c>
      <c r="D4880" s="120" t="str">
        <f>IFERROR(__xludf.DUMMYFUNCTION("""COMPUTED_VALUE"""),"Australia")</f>
        <v>Australia</v>
      </c>
      <c r="E4880" s="135"/>
      <c r="F4880" s="31"/>
    </row>
    <row r="4881">
      <c r="A4881" s="134" t="str">
        <f>IFERROR(__xludf.DUMMYFUNCTION("""COMPUTED_VALUE"""),"Macmillan Pass")</f>
        <v>Macmillan Pass</v>
      </c>
      <c r="B4881" s="120" t="str">
        <f>IFERROR(__xludf.DUMMYFUNCTION("""COMPUTED_VALUE"""),"XMP")</f>
        <v>XMP</v>
      </c>
      <c r="C4881" s="120" t="str">
        <f>IFERROR(__xludf.DUMMYFUNCTION("""COMPUTED_VALUE"""),"Macmillan Pass")</f>
        <v>Macmillan Pass</v>
      </c>
      <c r="D4881" s="120" t="str">
        <f>IFERROR(__xludf.DUMMYFUNCTION("""COMPUTED_VALUE"""),"Canada")</f>
        <v>Canada</v>
      </c>
      <c r="E4881" s="135"/>
      <c r="F4881" s="31"/>
    </row>
    <row r="4882">
      <c r="A4882" s="134" t="str">
        <f>IFERROR(__xludf.DUMMYFUNCTION("""COMPUTED_VALUE"""),"Macomb")</f>
        <v>Macomb</v>
      </c>
      <c r="B4882" s="120" t="str">
        <f>IFERROR(__xludf.DUMMYFUNCTION("""COMPUTED_VALUE"""),"MQB")</f>
        <v>MQB</v>
      </c>
      <c r="C4882" s="120" t="str">
        <f>IFERROR(__xludf.DUMMYFUNCTION("""COMPUTED_VALUE"""),"Municipal")</f>
        <v>Municipal</v>
      </c>
      <c r="D4882" s="120" t="str">
        <f>IFERROR(__xludf.DUMMYFUNCTION("""COMPUTED_VALUE"""),"United States")</f>
        <v>United States</v>
      </c>
      <c r="E4882" s="135"/>
      <c r="F4882" s="31"/>
    </row>
    <row r="4883">
      <c r="A4883" s="134" t="str">
        <f>IFERROR(__xludf.DUMMYFUNCTION("""COMPUTED_VALUE"""),"Macon")</f>
        <v>Macon</v>
      </c>
      <c r="B4883" s="120" t="str">
        <f>IFERROR(__xludf.DUMMYFUNCTION("""COMPUTED_VALUE"""),"MCN")</f>
        <v>MCN</v>
      </c>
      <c r="C4883" s="120" t="str">
        <f>IFERROR(__xludf.DUMMYFUNCTION("""COMPUTED_VALUE"""),"Lewis B Wilson")</f>
        <v>Lewis B Wilson</v>
      </c>
      <c r="D4883" s="120" t="str">
        <f>IFERROR(__xludf.DUMMYFUNCTION("""COMPUTED_VALUE"""),"United States")</f>
        <v>United States</v>
      </c>
      <c r="E4883" s="135"/>
      <c r="F4883" s="31"/>
    </row>
    <row r="4884">
      <c r="A4884" s="134" t="str">
        <f>IFERROR(__xludf.DUMMYFUNCTION("""COMPUTED_VALUE"""),"Macon")</f>
        <v>Macon</v>
      </c>
      <c r="B4884" s="120" t="str">
        <f>IFERROR(__xludf.DUMMYFUNCTION("""COMPUTED_VALUE"""),"WRB")</f>
        <v>WRB</v>
      </c>
      <c r="C4884" s="120" t="str">
        <f>IFERROR(__xludf.DUMMYFUNCTION("""COMPUTED_VALUE"""),"Robins AFB")</f>
        <v>Robins AFB</v>
      </c>
      <c r="D4884" s="120" t="str">
        <f>IFERROR(__xludf.DUMMYFUNCTION("""COMPUTED_VALUE"""),"United States")</f>
        <v>United States</v>
      </c>
      <c r="E4884" s="135"/>
      <c r="F4884" s="31"/>
    </row>
    <row r="4885">
      <c r="A4885" s="134" t="str">
        <f>IFERROR(__xludf.DUMMYFUNCTION("""COMPUTED_VALUE"""),"Macon")</f>
        <v>Macon</v>
      </c>
      <c r="B4885" s="120" t="str">
        <f>IFERROR(__xludf.DUMMYFUNCTION("""COMPUTED_VALUE"""),"MAC")</f>
        <v>MAC</v>
      </c>
      <c r="C4885" s="120" t="str">
        <f>IFERROR(__xludf.DUMMYFUNCTION("""COMPUTED_VALUE"""),"Smart")</f>
        <v>Smart</v>
      </c>
      <c r="D4885" s="120" t="str">
        <f>IFERROR(__xludf.DUMMYFUNCTION("""COMPUTED_VALUE"""),"United States")</f>
        <v>United States</v>
      </c>
      <c r="E4885" s="135"/>
      <c r="F4885" s="31"/>
    </row>
    <row r="4886">
      <c r="A4886" s="134" t="str">
        <f>IFERROR(__xludf.DUMMYFUNCTION("""COMPUTED_VALUE"""),"Madang")</f>
        <v>Madang</v>
      </c>
      <c r="B4886" s="120" t="str">
        <f>IFERROR(__xludf.DUMMYFUNCTION("""COMPUTED_VALUE"""),"MAG")</f>
        <v>MAG</v>
      </c>
      <c r="C4886" s="120" t="str">
        <f>IFERROR(__xludf.DUMMYFUNCTION("""COMPUTED_VALUE"""),"Madang")</f>
        <v>Madang</v>
      </c>
      <c r="D4886" s="120" t="str">
        <f>IFERROR(__xludf.DUMMYFUNCTION("""COMPUTED_VALUE"""),"Papua New Guinea")</f>
        <v>Papua New Guinea</v>
      </c>
      <c r="E4886" s="135"/>
      <c r="F4886" s="31"/>
    </row>
    <row r="4887">
      <c r="A4887" s="134" t="str">
        <f>IFERROR(__xludf.DUMMYFUNCTION("""COMPUTED_VALUE"""),"Madeira")</f>
        <v>Madeira</v>
      </c>
      <c r="B4887" s="120" t="str">
        <f>IFERROR(__xludf.DUMMYFUNCTION("""COMPUTED_VALUE"""),"FNC")</f>
        <v>FNC</v>
      </c>
      <c r="C4887" s="120" t="str">
        <f>IFERROR(__xludf.DUMMYFUNCTION("""COMPUTED_VALUE"""),"Madeira")</f>
        <v>Madeira</v>
      </c>
      <c r="D4887" s="120" t="str">
        <f>IFERROR(__xludf.DUMMYFUNCTION("""COMPUTED_VALUE"""),"Portugal")</f>
        <v>Portugal</v>
      </c>
      <c r="E4887" s="135"/>
      <c r="F4887" s="31"/>
    </row>
    <row r="4888">
      <c r="A4888" s="134" t="str">
        <f>IFERROR(__xludf.DUMMYFUNCTION("""COMPUTED_VALUE"""),"Madera")</f>
        <v>Madera</v>
      </c>
      <c r="B4888" s="120" t="str">
        <f>IFERROR(__xludf.DUMMYFUNCTION("""COMPUTED_VALUE"""),"MAE")</f>
        <v>MAE</v>
      </c>
      <c r="C4888" s="120" t="str">
        <f>IFERROR(__xludf.DUMMYFUNCTION("""COMPUTED_VALUE"""),"Madera")</f>
        <v>Madera</v>
      </c>
      <c r="D4888" s="120" t="str">
        <f>IFERROR(__xludf.DUMMYFUNCTION("""COMPUTED_VALUE"""),"United States")</f>
        <v>United States</v>
      </c>
      <c r="E4888" s="135"/>
      <c r="F4888" s="31"/>
    </row>
    <row r="4889">
      <c r="A4889" s="134" t="str">
        <f>IFERROR(__xludf.DUMMYFUNCTION("""COMPUTED_VALUE"""),"Madinah")</f>
        <v>Madinah</v>
      </c>
      <c r="B4889" s="120" t="str">
        <f>IFERROR(__xludf.DUMMYFUNCTION("""COMPUTED_VALUE"""),"MED")</f>
        <v>MED</v>
      </c>
      <c r="C4889" s="120" t="str">
        <f>IFERROR(__xludf.DUMMYFUNCTION("""COMPUTED_VALUE"""),"Mohammad Bin Abdulaziz")</f>
        <v>Mohammad Bin Abdulaziz</v>
      </c>
      <c r="D4889" s="120" t="str">
        <f>IFERROR(__xludf.DUMMYFUNCTION("""COMPUTED_VALUE"""),"Saudi Arabia")</f>
        <v>Saudi Arabia</v>
      </c>
      <c r="E4889" s="135"/>
      <c r="F4889" s="31"/>
    </row>
    <row r="4890">
      <c r="A4890" s="134" t="str">
        <f>IFERROR(__xludf.DUMMYFUNCTION("""COMPUTED_VALUE"""),"Madirovalo")</f>
        <v>Madirovalo</v>
      </c>
      <c r="B4890" s="120" t="str">
        <f>IFERROR(__xludf.DUMMYFUNCTION("""COMPUTED_VALUE"""),"WMV")</f>
        <v>WMV</v>
      </c>
      <c r="C4890" s="120" t="str">
        <f>IFERROR(__xludf.DUMMYFUNCTION("""COMPUTED_VALUE"""),"Madirovalo")</f>
        <v>Madirovalo</v>
      </c>
      <c r="D4890" s="120" t="str">
        <f>IFERROR(__xludf.DUMMYFUNCTION("""COMPUTED_VALUE"""),"Madagascar")</f>
        <v>Madagascar</v>
      </c>
      <c r="E4890" s="135"/>
      <c r="F4890" s="31"/>
    </row>
    <row r="4891">
      <c r="A4891" s="134" t="str">
        <f>IFERROR(__xludf.DUMMYFUNCTION("""COMPUTED_VALUE"""),"Madison")</f>
        <v>Madison</v>
      </c>
      <c r="B4891" s="120" t="str">
        <f>IFERROR(__xludf.DUMMYFUNCTION("""COMPUTED_VALUE"""),"MPE")</f>
        <v>MPE</v>
      </c>
      <c r="C4891" s="120" t="str">
        <f>IFERROR(__xludf.DUMMYFUNCTION("""COMPUTED_VALUE"""),"Griswold")</f>
        <v>Griswold</v>
      </c>
      <c r="D4891" s="120" t="str">
        <f>IFERROR(__xludf.DUMMYFUNCTION("""COMPUTED_VALUE"""),"United States")</f>
        <v>United States</v>
      </c>
      <c r="E4891" s="135"/>
      <c r="F4891" s="31"/>
    </row>
    <row r="4892">
      <c r="A4892" s="134" t="str">
        <f>IFERROR(__xludf.DUMMYFUNCTION("""COMPUTED_VALUE"""),"Madison")</f>
        <v>Madison</v>
      </c>
      <c r="B4892" s="120" t="str">
        <f>IFERROR(__xludf.DUMMYFUNCTION("""COMPUTED_VALUE"""),"MDN")</f>
        <v>MDN</v>
      </c>
      <c r="C4892" s="120" t="str">
        <f>IFERROR(__xludf.DUMMYFUNCTION("""COMPUTED_VALUE"""),"Jefferson Proving Grd")</f>
        <v>Jefferson Proving Grd</v>
      </c>
      <c r="D4892" s="120" t="str">
        <f>IFERROR(__xludf.DUMMYFUNCTION("""COMPUTED_VALUE"""),"United States")</f>
        <v>United States</v>
      </c>
      <c r="E4892" s="135"/>
      <c r="F4892" s="31"/>
    </row>
    <row r="4893">
      <c r="A4893" s="134" t="str">
        <f>IFERROR(__xludf.DUMMYFUNCTION("""COMPUTED_VALUE"""),"Madison")</f>
        <v>Madison</v>
      </c>
      <c r="B4893" s="120" t="str">
        <f>IFERROR(__xludf.DUMMYFUNCTION("""COMPUTED_VALUE"""),"XMD")</f>
        <v>XMD</v>
      </c>
      <c r="C4893" s="120" t="str">
        <f>IFERROR(__xludf.DUMMYFUNCTION("""COMPUTED_VALUE"""),"Madison")</f>
        <v>Madison</v>
      </c>
      <c r="D4893" s="120" t="str">
        <f>IFERROR(__xludf.DUMMYFUNCTION("""COMPUTED_VALUE"""),"United States")</f>
        <v>United States</v>
      </c>
      <c r="E4893" s="135"/>
      <c r="F4893" s="31"/>
    </row>
    <row r="4894">
      <c r="A4894" s="134" t="str">
        <f>IFERROR(__xludf.DUMMYFUNCTION("""COMPUTED_VALUE"""),"Madison")</f>
        <v>Madison</v>
      </c>
      <c r="B4894" s="120" t="str">
        <f>IFERROR(__xludf.DUMMYFUNCTION("""COMPUTED_VALUE"""),"MSN")</f>
        <v>MSN</v>
      </c>
      <c r="C4894" s="120" t="str">
        <f>IFERROR(__xludf.DUMMYFUNCTION("""COMPUTED_VALUE"""),"Dane County Regional")</f>
        <v>Dane County Regional</v>
      </c>
      <c r="D4894" s="120" t="str">
        <f>IFERROR(__xludf.DUMMYFUNCTION("""COMPUTED_VALUE"""),"United States")</f>
        <v>United States</v>
      </c>
      <c r="E4894" s="135"/>
      <c r="F4894" s="31"/>
    </row>
    <row r="4895">
      <c r="A4895" s="134" t="str">
        <f>IFERROR(__xludf.DUMMYFUNCTION("""COMPUTED_VALUE"""),"Madras")</f>
        <v>Madras</v>
      </c>
      <c r="B4895" s="120" t="str">
        <f>IFERROR(__xludf.DUMMYFUNCTION("""COMPUTED_VALUE"""),"MDJ")</f>
        <v>MDJ</v>
      </c>
      <c r="C4895" s="120" t="str">
        <f>IFERROR(__xludf.DUMMYFUNCTION("""COMPUTED_VALUE"""),"City-county")</f>
        <v>City-county</v>
      </c>
      <c r="D4895" s="120" t="str">
        <f>IFERROR(__xludf.DUMMYFUNCTION("""COMPUTED_VALUE"""),"United States")</f>
        <v>United States</v>
      </c>
      <c r="E4895" s="135"/>
      <c r="F4895" s="31"/>
    </row>
    <row r="4896">
      <c r="A4896" s="134" t="str">
        <f>IFERROR(__xludf.DUMMYFUNCTION("""COMPUTED_VALUE"""),"Madrid")</f>
        <v>Madrid</v>
      </c>
      <c r="B4896" s="120" t="str">
        <f>IFERROR(__xludf.DUMMYFUNCTION("""COMPUTED_VALUE"""),"MAD")</f>
        <v>MAD</v>
      </c>
      <c r="C4896" s="120" t="str">
        <f>IFERROR(__xludf.DUMMYFUNCTION("""COMPUTED_VALUE"""),"Barajas")</f>
        <v>Barajas</v>
      </c>
      <c r="D4896" s="120" t="str">
        <f>IFERROR(__xludf.DUMMYFUNCTION("""COMPUTED_VALUE"""),"Spain")</f>
        <v>Spain</v>
      </c>
      <c r="E4896" s="135"/>
      <c r="F4896" s="31"/>
    </row>
    <row r="4897">
      <c r="A4897" s="134" t="str">
        <f>IFERROR(__xludf.DUMMYFUNCTION("""COMPUTED_VALUE"""),"Madrid")</f>
        <v>Madrid</v>
      </c>
      <c r="B4897" s="120" t="str">
        <f>IFERROR(__xludf.DUMMYFUNCTION("""COMPUTED_VALUE"""),"TOJ")</f>
        <v>TOJ</v>
      </c>
      <c r="C4897" s="120" t="str">
        <f>IFERROR(__xludf.DUMMYFUNCTION("""COMPUTED_VALUE"""),"Torrejon AFB")</f>
        <v>Torrejon AFB</v>
      </c>
      <c r="D4897" s="120" t="str">
        <f>IFERROR(__xludf.DUMMYFUNCTION("""COMPUTED_VALUE"""),"Spain")</f>
        <v>Spain</v>
      </c>
      <c r="E4897" s="135"/>
      <c r="F4897" s="31"/>
    </row>
    <row r="4898">
      <c r="A4898" s="134" t="str">
        <f>IFERROR(__xludf.DUMMYFUNCTION("""COMPUTED_VALUE"""),"Madurai")</f>
        <v>Madurai</v>
      </c>
      <c r="B4898" s="120" t="str">
        <f>IFERROR(__xludf.DUMMYFUNCTION("""COMPUTED_VALUE"""),"IXM")</f>
        <v>IXM</v>
      </c>
      <c r="C4898" s="120" t="str">
        <f>IFERROR(__xludf.DUMMYFUNCTION("""COMPUTED_VALUE"""),"Madurai")</f>
        <v>Madurai</v>
      </c>
      <c r="D4898" s="120" t="str">
        <f>IFERROR(__xludf.DUMMYFUNCTION("""COMPUTED_VALUE"""),"India")</f>
        <v>India</v>
      </c>
      <c r="E4898" s="135"/>
      <c r="F4898" s="31"/>
    </row>
    <row r="4899">
      <c r="A4899" s="134" t="str">
        <f>IFERROR(__xludf.DUMMYFUNCTION("""COMPUTED_VALUE"""),"Mae Hong Son")</f>
        <v>Mae Hong Son</v>
      </c>
      <c r="B4899" s="120" t="str">
        <f>IFERROR(__xludf.DUMMYFUNCTION("""COMPUTED_VALUE"""),"HGN")</f>
        <v>HGN</v>
      </c>
      <c r="C4899" s="120" t="str">
        <f>IFERROR(__xludf.DUMMYFUNCTION("""COMPUTED_VALUE"""),"Mae Hong Son")</f>
        <v>Mae Hong Son</v>
      </c>
      <c r="D4899" s="120" t="str">
        <f>IFERROR(__xludf.DUMMYFUNCTION("""COMPUTED_VALUE"""),"Thailand")</f>
        <v>Thailand</v>
      </c>
      <c r="E4899" s="135"/>
      <c r="F4899" s="31"/>
    </row>
    <row r="4900">
      <c r="A4900" s="134" t="str">
        <f>IFERROR(__xludf.DUMMYFUNCTION("""COMPUTED_VALUE"""),"Mae Sot")</f>
        <v>Mae Sot</v>
      </c>
      <c r="B4900" s="120" t="str">
        <f>IFERROR(__xludf.DUMMYFUNCTION("""COMPUTED_VALUE"""),"MAQ")</f>
        <v>MAQ</v>
      </c>
      <c r="C4900" s="120" t="str">
        <f>IFERROR(__xludf.DUMMYFUNCTION("""COMPUTED_VALUE"""),"Mae Sot")</f>
        <v>Mae Sot</v>
      </c>
      <c r="D4900" s="120" t="str">
        <f>IFERROR(__xludf.DUMMYFUNCTION("""COMPUTED_VALUE"""),"Thailand")</f>
        <v>Thailand</v>
      </c>
      <c r="E4900" s="135"/>
      <c r="F4900" s="31"/>
    </row>
    <row r="4901">
      <c r="A4901" s="134" t="str">
        <f>IFERROR(__xludf.DUMMYFUNCTION("""COMPUTED_VALUE"""),"Maewo")</f>
        <v>Maewo</v>
      </c>
      <c r="B4901" s="120" t="str">
        <f>IFERROR(__xludf.DUMMYFUNCTION("""COMPUTED_VALUE"""),"MWF")</f>
        <v>MWF</v>
      </c>
      <c r="C4901" s="120" t="str">
        <f>IFERROR(__xludf.DUMMYFUNCTION("""COMPUTED_VALUE"""),"Maewo")</f>
        <v>Maewo</v>
      </c>
      <c r="D4901" s="120" t="str">
        <f>IFERROR(__xludf.DUMMYFUNCTION("""COMPUTED_VALUE"""),"Vanuatu")</f>
        <v>Vanuatu</v>
      </c>
      <c r="E4901" s="135"/>
      <c r="F4901" s="31"/>
    </row>
    <row r="4902">
      <c r="A4902" s="134" t="str">
        <f>IFERROR(__xludf.DUMMYFUNCTION("""COMPUTED_VALUE"""),"Mafeteng")</f>
        <v>Mafeteng</v>
      </c>
      <c r="B4902" s="120" t="str">
        <f>IFERROR(__xludf.DUMMYFUNCTION("""COMPUTED_VALUE"""),"MFC")</f>
        <v>MFC</v>
      </c>
      <c r="C4902" s="120" t="str">
        <f>IFERROR(__xludf.DUMMYFUNCTION("""COMPUTED_VALUE"""),"Mafeteng")</f>
        <v>Mafeteng</v>
      </c>
      <c r="D4902" s="120" t="str">
        <f>IFERROR(__xludf.DUMMYFUNCTION("""COMPUTED_VALUE"""),"Lesotho")</f>
        <v>Lesotho</v>
      </c>
      <c r="E4902" s="135"/>
      <c r="F4902" s="31"/>
    </row>
    <row r="4903">
      <c r="A4903" s="134" t="str">
        <f>IFERROR(__xludf.DUMMYFUNCTION("""COMPUTED_VALUE"""),"Mafia")</f>
        <v>Mafia</v>
      </c>
      <c r="B4903" s="120" t="str">
        <f>IFERROR(__xludf.DUMMYFUNCTION("""COMPUTED_VALUE"""),"MFA")</f>
        <v>MFA</v>
      </c>
      <c r="C4903" s="120" t="str">
        <f>IFERROR(__xludf.DUMMYFUNCTION("""COMPUTED_VALUE"""),"Mafia")</f>
        <v>Mafia</v>
      </c>
      <c r="D4903" s="120" t="str">
        <f>IFERROR(__xludf.DUMMYFUNCTION("""COMPUTED_VALUE"""),"Tanzania")</f>
        <v>Tanzania</v>
      </c>
      <c r="E4903" s="135"/>
      <c r="F4903" s="31"/>
    </row>
    <row r="4904">
      <c r="A4904" s="134" t="str">
        <f>IFERROR(__xludf.DUMMYFUNCTION("""COMPUTED_VALUE"""),"Mafraq")</f>
        <v>Mafraq</v>
      </c>
      <c r="B4904" s="120" t="str">
        <f>IFERROR(__xludf.DUMMYFUNCTION("""COMPUTED_VALUE"""),"OMF")</f>
        <v>OMF</v>
      </c>
      <c r="C4904" s="120" t="str">
        <f>IFERROR(__xludf.DUMMYFUNCTION("""COMPUTED_VALUE"""),"King Hussein")</f>
        <v>King Hussein</v>
      </c>
      <c r="D4904" s="120" t="str">
        <f>IFERROR(__xludf.DUMMYFUNCTION("""COMPUTED_VALUE"""),"Jordan")</f>
        <v>Jordan</v>
      </c>
      <c r="E4904" s="135"/>
      <c r="F4904" s="31"/>
    </row>
    <row r="4905">
      <c r="A4905" s="134" t="str">
        <f>IFERROR(__xludf.DUMMYFUNCTION("""COMPUTED_VALUE"""),"Magadan")</f>
        <v>Magadan</v>
      </c>
      <c r="B4905" s="120" t="str">
        <f>IFERROR(__xludf.DUMMYFUNCTION("""COMPUTED_VALUE"""),"GDX")</f>
        <v>GDX</v>
      </c>
      <c r="C4905" s="120" t="str">
        <f>IFERROR(__xludf.DUMMYFUNCTION("""COMPUTED_VALUE"""),"Magadan")</f>
        <v>Magadan</v>
      </c>
      <c r="D4905" s="120" t="str">
        <f>IFERROR(__xludf.DUMMYFUNCTION("""COMPUTED_VALUE"""),"Russia")</f>
        <v>Russia</v>
      </c>
      <c r="E4905" s="135"/>
      <c r="F4905" s="31"/>
    </row>
    <row r="4906">
      <c r="A4906" s="134" t="str">
        <f>IFERROR(__xludf.DUMMYFUNCTION("""COMPUTED_VALUE"""),"Magangue")</f>
        <v>Magangue</v>
      </c>
      <c r="B4906" s="120" t="str">
        <f>IFERROR(__xludf.DUMMYFUNCTION("""COMPUTED_VALUE"""),"MGN")</f>
        <v>MGN</v>
      </c>
      <c r="C4906" s="120" t="str">
        <f>IFERROR(__xludf.DUMMYFUNCTION("""COMPUTED_VALUE"""),"Baracoa")</f>
        <v>Baracoa</v>
      </c>
      <c r="D4906" s="120" t="str">
        <f>IFERROR(__xludf.DUMMYFUNCTION("""COMPUTED_VALUE"""),"Colombia")</f>
        <v>Colombia</v>
      </c>
      <c r="E4906" s="135"/>
      <c r="F4906" s="31"/>
    </row>
    <row r="4907">
      <c r="A4907" s="134" t="str">
        <f>IFERROR(__xludf.DUMMYFUNCTION("""COMPUTED_VALUE"""),"Maganja Da Costa")</f>
        <v>Maganja Da Costa</v>
      </c>
      <c r="B4907" s="120" t="str">
        <f>IFERROR(__xludf.DUMMYFUNCTION("""COMPUTED_VALUE"""),"MJS")</f>
        <v>MJS</v>
      </c>
      <c r="C4907" s="120" t="str">
        <f>IFERROR(__xludf.DUMMYFUNCTION("""COMPUTED_VALUE"""),"Maganja Da Costa")</f>
        <v>Maganja Da Costa</v>
      </c>
      <c r="D4907" s="120" t="str">
        <f>IFERROR(__xludf.DUMMYFUNCTION("""COMPUTED_VALUE"""),"Mozambique")</f>
        <v>Mozambique</v>
      </c>
      <c r="E4907" s="135"/>
      <c r="F4907" s="31"/>
    </row>
    <row r="4908">
      <c r="A4908" s="134" t="str">
        <f>IFERROR(__xludf.DUMMYFUNCTION("""COMPUTED_VALUE"""),"Magaruque")</f>
        <v>Magaruque</v>
      </c>
      <c r="B4908" s="120" t="str">
        <f>IFERROR(__xludf.DUMMYFUNCTION("""COMPUTED_VALUE"""),"MFW")</f>
        <v>MFW</v>
      </c>
      <c r="C4908" s="120" t="str">
        <f>IFERROR(__xludf.DUMMYFUNCTION("""COMPUTED_VALUE"""),"Magaruque")</f>
        <v>Magaruque</v>
      </c>
      <c r="D4908" s="120" t="str">
        <f>IFERROR(__xludf.DUMMYFUNCTION("""COMPUTED_VALUE"""),"Mozambique")</f>
        <v>Mozambique</v>
      </c>
      <c r="E4908" s="135"/>
      <c r="F4908" s="31"/>
    </row>
    <row r="4909">
      <c r="A4909" s="134" t="str">
        <f>IFERROR(__xludf.DUMMYFUNCTION("""COMPUTED_VALUE"""),"Magdagachi")</f>
        <v>Magdagachi</v>
      </c>
      <c r="B4909" s="120" t="str">
        <f>IFERROR(__xludf.DUMMYFUNCTION("""COMPUTED_VALUE"""),"GDG")</f>
        <v>GDG</v>
      </c>
      <c r="C4909" s="120" t="str">
        <f>IFERROR(__xludf.DUMMYFUNCTION("""COMPUTED_VALUE"""),"Magdagachi")</f>
        <v>Magdagachi</v>
      </c>
      <c r="D4909" s="120" t="str">
        <f>IFERROR(__xludf.DUMMYFUNCTION("""COMPUTED_VALUE"""),"Russia")</f>
        <v>Russia</v>
      </c>
      <c r="E4909" s="135"/>
      <c r="F4909" s="31"/>
    </row>
    <row r="4910">
      <c r="A4910" s="134" t="str">
        <f>IFERROR(__xludf.DUMMYFUNCTION("""COMPUTED_VALUE"""),"Magdalena")</f>
        <v>Magdalena</v>
      </c>
      <c r="B4910" s="120" t="str">
        <f>IFERROR(__xludf.DUMMYFUNCTION("""COMPUTED_VALUE"""),"MGD")</f>
        <v>MGD</v>
      </c>
      <c r="C4910" s="120" t="str">
        <f>IFERROR(__xludf.DUMMYFUNCTION("""COMPUTED_VALUE"""),"Magdalena")</f>
        <v>Magdalena</v>
      </c>
      <c r="D4910" s="120" t="str">
        <f>IFERROR(__xludf.DUMMYFUNCTION("""COMPUTED_VALUE"""),"Bolivia")</f>
        <v>Bolivia</v>
      </c>
      <c r="E4910" s="135"/>
      <c r="F4910" s="31"/>
    </row>
    <row r="4911">
      <c r="A4911" s="134" t="str">
        <f>IFERROR(__xludf.DUMMYFUNCTION("""COMPUTED_VALUE"""),"Chelyabinsk")</f>
        <v>Chelyabinsk</v>
      </c>
      <c r="B4911" s="120" t="str">
        <f>IFERROR(__xludf.DUMMYFUNCTION("""COMPUTED_VALUE"""),"MQF")</f>
        <v>MQF</v>
      </c>
      <c r="C4911" s="120" t="str">
        <f>IFERROR(__xludf.DUMMYFUNCTION("""COMPUTED_VALUE"""),"Magnitogorsk")</f>
        <v>Magnitogorsk</v>
      </c>
      <c r="D4911" s="120" t="str">
        <f>IFERROR(__xludf.DUMMYFUNCTION("""COMPUTED_VALUE"""),"Russia")</f>
        <v>Russia</v>
      </c>
      <c r="E4911" s="135"/>
      <c r="F4911" s="31"/>
    </row>
    <row r="4912">
      <c r="A4912" s="134" t="str">
        <f>IFERROR(__xludf.DUMMYFUNCTION("""COMPUTED_VALUE"""),"Magnolia")</f>
        <v>Magnolia</v>
      </c>
      <c r="B4912" s="120" t="str">
        <f>IFERROR(__xludf.DUMMYFUNCTION("""COMPUTED_VALUE"""),"AGO")</f>
        <v>AGO</v>
      </c>
      <c r="C4912" s="120" t="str">
        <f>IFERROR(__xludf.DUMMYFUNCTION("""COMPUTED_VALUE"""),"Municipal")</f>
        <v>Municipal</v>
      </c>
      <c r="D4912" s="120" t="str">
        <f>IFERROR(__xludf.DUMMYFUNCTION("""COMPUTED_VALUE"""),"United States")</f>
        <v>United States</v>
      </c>
      <c r="E4912" s="135"/>
      <c r="F4912" s="31"/>
    </row>
    <row r="4913">
      <c r="A4913" s="134" t="str">
        <f>IFERROR(__xludf.DUMMYFUNCTION("""COMPUTED_VALUE"""),"Magwe")</f>
        <v>Magwe</v>
      </c>
      <c r="B4913" s="120" t="str">
        <f>IFERROR(__xludf.DUMMYFUNCTION("""COMPUTED_VALUE"""),"MWQ")</f>
        <v>MWQ</v>
      </c>
      <c r="C4913" s="120" t="str">
        <f>IFERROR(__xludf.DUMMYFUNCTION("""COMPUTED_VALUE"""),"Magwe")</f>
        <v>Magwe</v>
      </c>
      <c r="D4913" s="120" t="str">
        <f>IFERROR(__xludf.DUMMYFUNCTION("""COMPUTED_VALUE"""),"Myanmar")</f>
        <v>Myanmar</v>
      </c>
      <c r="E4913" s="135"/>
      <c r="F4913" s="31"/>
    </row>
    <row r="4914">
      <c r="A4914" s="134" t="str">
        <f>IFERROR(__xludf.DUMMYFUNCTION("""COMPUTED_VALUE"""),"Mahanoro")</f>
        <v>Mahanoro</v>
      </c>
      <c r="B4914" s="120" t="str">
        <f>IFERROR(__xludf.DUMMYFUNCTION("""COMPUTED_VALUE"""),"VVB")</f>
        <v>VVB</v>
      </c>
      <c r="C4914" s="120" t="str">
        <f>IFERROR(__xludf.DUMMYFUNCTION("""COMPUTED_VALUE"""),"Mahanoro")</f>
        <v>Mahanoro</v>
      </c>
      <c r="D4914" s="120" t="str">
        <f>IFERROR(__xludf.DUMMYFUNCTION("""COMPUTED_VALUE"""),"Madagascar")</f>
        <v>Madagascar</v>
      </c>
      <c r="E4914" s="135"/>
      <c r="F4914" s="31"/>
    </row>
    <row r="4915">
      <c r="A4915" s="134" t="str">
        <f>IFERROR(__xludf.DUMMYFUNCTION("""COMPUTED_VALUE"""),"Mahaweli")</f>
        <v>Mahaweli</v>
      </c>
      <c r="B4915" s="120" t="str">
        <f>IFERROR(__xludf.DUMMYFUNCTION("""COMPUTED_VALUE"""),"KDY")</f>
        <v>KDY</v>
      </c>
      <c r="C4915" s="120" t="str">
        <f>IFERROR(__xludf.DUMMYFUNCTION("""COMPUTED_VALUE"""),"Mahaweli")</f>
        <v>Mahaweli</v>
      </c>
      <c r="D4915" s="120" t="str">
        <f>IFERROR(__xludf.DUMMYFUNCTION("""COMPUTED_VALUE"""),"Sri Lanka")</f>
        <v>Sri Lanka</v>
      </c>
      <c r="E4915" s="135"/>
      <c r="F4915" s="31"/>
    </row>
    <row r="4916">
      <c r="A4916" s="134" t="str">
        <f>IFERROR(__xludf.DUMMYFUNCTION("""COMPUTED_VALUE"""),"Mahdia")</f>
        <v>Mahdia</v>
      </c>
      <c r="B4916" s="120" t="str">
        <f>IFERROR(__xludf.DUMMYFUNCTION("""COMPUTED_VALUE"""),"MHA")</f>
        <v>MHA</v>
      </c>
      <c r="C4916" s="120" t="str">
        <f>IFERROR(__xludf.DUMMYFUNCTION("""COMPUTED_VALUE"""),"Mahdia")</f>
        <v>Mahdia</v>
      </c>
      <c r="D4916" s="120" t="str">
        <f>IFERROR(__xludf.DUMMYFUNCTION("""COMPUTED_VALUE"""),"Guyana")</f>
        <v>Guyana</v>
      </c>
      <c r="E4916" s="135"/>
      <c r="F4916" s="31"/>
    </row>
    <row r="4917">
      <c r="A4917" s="134" t="str">
        <f>IFERROR(__xludf.DUMMYFUNCTION("""COMPUTED_VALUE"""),"Mahe Island")</f>
        <v>Mahe Island</v>
      </c>
      <c r="B4917" s="120" t="str">
        <f>IFERROR(__xludf.DUMMYFUNCTION("""COMPUTED_VALUE"""),"SEZ")</f>
        <v>SEZ</v>
      </c>
      <c r="C4917" s="120" t="str">
        <f>IFERROR(__xludf.DUMMYFUNCTION("""COMPUTED_VALUE"""),"Seychelles International Airport")</f>
        <v>Seychelles International Airport</v>
      </c>
      <c r="D4917" s="120" t="str">
        <f>IFERROR(__xludf.DUMMYFUNCTION("""COMPUTED_VALUE"""),"Seychelles")</f>
        <v>Seychelles</v>
      </c>
      <c r="E4917" s="135"/>
      <c r="F4917" s="31"/>
    </row>
    <row r="4918">
      <c r="A4918" s="134" t="str">
        <f>IFERROR(__xludf.DUMMYFUNCTION("""COMPUTED_VALUE"""),"Mahendranagar")</f>
        <v>Mahendranagar</v>
      </c>
      <c r="B4918" s="120" t="str">
        <f>IFERROR(__xludf.DUMMYFUNCTION("""COMPUTED_VALUE"""),"XMG")</f>
        <v>XMG</v>
      </c>
      <c r="C4918" s="120" t="str">
        <f>IFERROR(__xludf.DUMMYFUNCTION("""COMPUTED_VALUE"""),"Mahendranagar")</f>
        <v>Mahendranagar</v>
      </c>
      <c r="D4918" s="120" t="str">
        <f>IFERROR(__xludf.DUMMYFUNCTION("""COMPUTED_VALUE"""),"Nepal")</f>
        <v>Nepal</v>
      </c>
      <c r="E4918" s="135"/>
      <c r="F4918" s="31"/>
    </row>
    <row r="4919">
      <c r="A4919" s="134" t="str">
        <f>IFERROR(__xludf.DUMMYFUNCTION("""COMPUTED_VALUE"""),"Mahenye")</f>
        <v>Mahenye</v>
      </c>
      <c r="B4919" s="120" t="str">
        <f>IFERROR(__xludf.DUMMYFUNCTION("""COMPUTED_VALUE"""),"MJW")</f>
        <v>MJW</v>
      </c>
      <c r="C4919" s="120" t="str">
        <f>IFERROR(__xludf.DUMMYFUNCTION("""COMPUTED_VALUE"""),"Mahenye")</f>
        <v>Mahenye</v>
      </c>
      <c r="D4919" s="120" t="str">
        <f>IFERROR(__xludf.DUMMYFUNCTION("""COMPUTED_VALUE"""),"Zimbabwe")</f>
        <v>Zimbabwe</v>
      </c>
      <c r="E4919" s="135"/>
      <c r="F4919" s="31"/>
    </row>
    <row r="4920">
      <c r="A4920" s="134" t="str">
        <f>IFERROR(__xludf.DUMMYFUNCTION("""COMPUTED_VALUE"""),"Maiana")</f>
        <v>Maiana</v>
      </c>
      <c r="B4920" s="120" t="str">
        <f>IFERROR(__xludf.DUMMYFUNCTION("""COMPUTED_VALUE"""),"MNK")</f>
        <v>MNK</v>
      </c>
      <c r="C4920" s="120" t="str">
        <f>IFERROR(__xludf.DUMMYFUNCTION("""COMPUTED_VALUE"""),"Maiana")</f>
        <v>Maiana</v>
      </c>
      <c r="D4920" s="120" t="str">
        <f>IFERROR(__xludf.DUMMYFUNCTION("""COMPUTED_VALUE"""),"Kiribati")</f>
        <v>Kiribati</v>
      </c>
      <c r="E4920" s="135"/>
      <c r="F4920" s="31"/>
    </row>
    <row r="4921">
      <c r="A4921" s="134" t="str">
        <f>IFERROR(__xludf.DUMMYFUNCTION("""COMPUTED_VALUE"""),"Maicao")</f>
        <v>Maicao</v>
      </c>
      <c r="B4921" s="120" t="str">
        <f>IFERROR(__xludf.DUMMYFUNCTION("""COMPUTED_VALUE"""),"MCJ")</f>
        <v>MCJ</v>
      </c>
      <c r="C4921" s="120" t="str">
        <f>IFERROR(__xludf.DUMMYFUNCTION("""COMPUTED_VALUE"""),"Maicao")</f>
        <v>Maicao</v>
      </c>
      <c r="D4921" s="120" t="str">
        <f>IFERROR(__xludf.DUMMYFUNCTION("""COMPUTED_VALUE"""),"Colombia")</f>
        <v>Colombia</v>
      </c>
      <c r="E4921" s="135"/>
      <c r="F4921" s="31"/>
    </row>
    <row r="4922">
      <c r="A4922" s="134" t="str">
        <f>IFERROR(__xludf.DUMMYFUNCTION("""COMPUTED_VALUE"""),"Maiduguri")</f>
        <v>Maiduguri</v>
      </c>
      <c r="B4922" s="120" t="str">
        <f>IFERROR(__xludf.DUMMYFUNCTION("""COMPUTED_VALUE"""),"MIU")</f>
        <v>MIU</v>
      </c>
      <c r="C4922" s="120" t="str">
        <f>IFERROR(__xludf.DUMMYFUNCTION("""COMPUTED_VALUE"""),"Maiduguri")</f>
        <v>Maiduguri</v>
      </c>
      <c r="D4922" s="120" t="str">
        <f>IFERROR(__xludf.DUMMYFUNCTION("""COMPUTED_VALUE"""),"Nigeria")</f>
        <v>Nigeria</v>
      </c>
      <c r="E4922" s="135"/>
      <c r="F4922" s="31"/>
    </row>
    <row r="4923">
      <c r="A4923" s="134" t="str">
        <f>IFERROR(__xludf.DUMMYFUNCTION("""COMPUTED_VALUE"""),"Maikwak")</f>
        <v>Maikwak</v>
      </c>
      <c r="B4923" s="120" t="str">
        <f>IFERROR(__xludf.DUMMYFUNCTION("""COMPUTED_VALUE"""),"VEG")</f>
        <v>VEG</v>
      </c>
      <c r="C4923" s="120" t="str">
        <f>IFERROR(__xludf.DUMMYFUNCTION("""COMPUTED_VALUE"""),"Maikwak")</f>
        <v>Maikwak</v>
      </c>
      <c r="D4923" s="120" t="str">
        <f>IFERROR(__xludf.DUMMYFUNCTION("""COMPUTED_VALUE"""),"Guyana")</f>
        <v>Guyana</v>
      </c>
      <c r="E4923" s="135"/>
      <c r="F4923" s="31"/>
    </row>
    <row r="4924">
      <c r="A4924" s="134" t="str">
        <f>IFERROR(__xludf.DUMMYFUNCTION("""COMPUTED_VALUE"""),"Maimana")</f>
        <v>Maimana</v>
      </c>
      <c r="B4924" s="120" t="str">
        <f>IFERROR(__xludf.DUMMYFUNCTION("""COMPUTED_VALUE"""),"MMZ")</f>
        <v>MMZ</v>
      </c>
      <c r="C4924" s="120" t="str">
        <f>IFERROR(__xludf.DUMMYFUNCTION("""COMPUTED_VALUE"""),"Maimana")</f>
        <v>Maimana</v>
      </c>
      <c r="D4924" s="120" t="str">
        <f>IFERROR(__xludf.DUMMYFUNCTION("""COMPUTED_VALUE"""),"Afghanistan")</f>
        <v>Afghanistan</v>
      </c>
      <c r="E4924" s="135"/>
      <c r="F4924" s="31"/>
    </row>
    <row r="4925">
      <c r="A4925" s="134" t="str">
        <f>IFERROR(__xludf.DUMMYFUNCTION("""COMPUTED_VALUE"""),"Main Duck Island")</f>
        <v>Main Duck Island</v>
      </c>
      <c r="B4925" s="120" t="str">
        <f>IFERROR(__xludf.DUMMYFUNCTION("""COMPUTED_VALUE"""),"YDK")</f>
        <v>YDK</v>
      </c>
      <c r="C4925" s="120" t="str">
        <f>IFERROR(__xludf.DUMMYFUNCTION("""COMPUTED_VALUE"""),"Main Duck Island")</f>
        <v>Main Duck Island</v>
      </c>
      <c r="D4925" s="120" t="str">
        <f>IFERROR(__xludf.DUMMYFUNCTION("""COMPUTED_VALUE"""),"Canada")</f>
        <v>Canada</v>
      </c>
      <c r="E4925" s="135"/>
      <c r="F4925" s="31"/>
    </row>
    <row r="4926">
      <c r="A4926" s="134" t="str">
        <f>IFERROR(__xludf.DUMMYFUNCTION("""COMPUTED_VALUE"""),"Mainoru")</f>
        <v>Mainoru</v>
      </c>
      <c r="B4926" s="120" t="str">
        <f>IFERROR(__xludf.DUMMYFUNCTION("""COMPUTED_VALUE"""),"MIZ")</f>
        <v>MIZ</v>
      </c>
      <c r="C4926" s="120" t="str">
        <f>IFERROR(__xludf.DUMMYFUNCTION("""COMPUTED_VALUE"""),"Mainoru")</f>
        <v>Mainoru</v>
      </c>
      <c r="D4926" s="120" t="str">
        <f>IFERROR(__xludf.DUMMYFUNCTION("""COMPUTED_VALUE"""),"Australia")</f>
        <v>Australia</v>
      </c>
      <c r="E4926" s="135"/>
      <c r="F4926" s="31"/>
    </row>
    <row r="4927">
      <c r="A4927" s="134" t="str">
        <f>IFERROR(__xludf.DUMMYFUNCTION("""COMPUTED_VALUE"""),"Maintirano")</f>
        <v>Maintirano</v>
      </c>
      <c r="B4927" s="120" t="str">
        <f>IFERROR(__xludf.DUMMYFUNCTION("""COMPUTED_VALUE"""),"MXT")</f>
        <v>MXT</v>
      </c>
      <c r="C4927" s="120" t="str">
        <f>IFERROR(__xludf.DUMMYFUNCTION("""COMPUTED_VALUE"""),"Maintirano")</f>
        <v>Maintirano</v>
      </c>
      <c r="D4927" s="120" t="str">
        <f>IFERROR(__xludf.DUMMYFUNCTION("""COMPUTED_VALUE"""),"Madagascar")</f>
        <v>Madagascar</v>
      </c>
      <c r="E4927" s="135"/>
      <c r="F4927" s="31"/>
    </row>
    <row r="4928">
      <c r="A4928" s="134" t="str">
        <f>IFERROR(__xludf.DUMMYFUNCTION("""COMPUTED_VALUE"""),"Maio")</f>
        <v>Maio</v>
      </c>
      <c r="B4928" s="120" t="str">
        <f>IFERROR(__xludf.DUMMYFUNCTION("""COMPUTED_VALUE"""),"MMO")</f>
        <v>MMO</v>
      </c>
      <c r="C4928" s="120" t="str">
        <f>IFERROR(__xludf.DUMMYFUNCTION("""COMPUTED_VALUE"""),"Vila Do Maio")</f>
        <v>Vila Do Maio</v>
      </c>
      <c r="D4928" s="120" t="str">
        <f>IFERROR(__xludf.DUMMYFUNCTION("""COMPUTED_VALUE"""),"Cape Verde")</f>
        <v>Cape Verde</v>
      </c>
      <c r="E4928" s="135"/>
      <c r="F4928" s="31"/>
    </row>
    <row r="4929">
      <c r="A4929" s="134" t="str">
        <f>IFERROR(__xludf.DUMMYFUNCTION("""COMPUTED_VALUE"""),"Maitland")</f>
        <v>Maitland</v>
      </c>
      <c r="B4929" s="120" t="str">
        <f>IFERROR(__xludf.DUMMYFUNCTION("""COMPUTED_VALUE"""),"MTL")</f>
        <v>MTL</v>
      </c>
      <c r="C4929" s="120" t="str">
        <f>IFERROR(__xludf.DUMMYFUNCTION("""COMPUTED_VALUE"""),"Maitland")</f>
        <v>Maitland</v>
      </c>
      <c r="D4929" s="120" t="str">
        <f>IFERROR(__xludf.DUMMYFUNCTION("""COMPUTED_VALUE"""),"Australia")</f>
        <v>Australia</v>
      </c>
      <c r="E4929" s="135"/>
      <c r="F4929" s="31"/>
    </row>
    <row r="4930">
      <c r="A4930" s="134" t="str">
        <f>IFERROR(__xludf.DUMMYFUNCTION("""COMPUTED_VALUE"""),"Majkin")</f>
        <v>Majkin</v>
      </c>
      <c r="B4930" s="120" t="str">
        <f>IFERROR(__xludf.DUMMYFUNCTION("""COMPUTED_VALUE"""),"MJE")</f>
        <v>MJE</v>
      </c>
      <c r="C4930" s="120" t="str">
        <f>IFERROR(__xludf.DUMMYFUNCTION("""COMPUTED_VALUE"""),"Majkin")</f>
        <v>Majkin</v>
      </c>
      <c r="D4930" s="120" t="str">
        <f>IFERROR(__xludf.DUMMYFUNCTION("""COMPUTED_VALUE"""),"Marshall Islands")</f>
        <v>Marshall Islands</v>
      </c>
      <c r="E4930" s="135"/>
      <c r="F4930" s="31"/>
    </row>
    <row r="4931">
      <c r="A4931" s="134" t="str">
        <f>IFERROR(__xludf.DUMMYFUNCTION("""COMPUTED_VALUE"""),"Majma")</f>
        <v>Majma</v>
      </c>
      <c r="B4931" s="120" t="str">
        <f>IFERROR(__xludf.DUMMYFUNCTION("""COMPUTED_VALUE"""),"MJH")</f>
        <v>MJH</v>
      </c>
      <c r="C4931" s="120" t="str">
        <f>IFERROR(__xludf.DUMMYFUNCTION("""COMPUTED_VALUE"""),"Majma")</f>
        <v>Majma</v>
      </c>
      <c r="D4931" s="120" t="str">
        <f>IFERROR(__xludf.DUMMYFUNCTION("""COMPUTED_VALUE"""),"Saudi Arabia")</f>
        <v>Saudi Arabia</v>
      </c>
      <c r="E4931" s="135"/>
      <c r="F4931" s="31"/>
    </row>
    <row r="4932">
      <c r="A4932" s="134" t="str">
        <f>IFERROR(__xludf.DUMMYFUNCTION("""COMPUTED_VALUE"""),"Majunga")</f>
        <v>Majunga</v>
      </c>
      <c r="B4932" s="120" t="str">
        <f>IFERROR(__xludf.DUMMYFUNCTION("""COMPUTED_VALUE"""),"MJN")</f>
        <v>MJN</v>
      </c>
      <c r="C4932" s="120" t="str">
        <f>IFERROR(__xludf.DUMMYFUNCTION("""COMPUTED_VALUE"""),"Amborovy")</f>
        <v>Amborovy</v>
      </c>
      <c r="D4932" s="120" t="str">
        <f>IFERROR(__xludf.DUMMYFUNCTION("""COMPUTED_VALUE"""),"Madagascar")</f>
        <v>Madagascar</v>
      </c>
      <c r="E4932" s="135"/>
      <c r="F4932" s="31"/>
    </row>
    <row r="4933">
      <c r="A4933" s="134" t="str">
        <f>IFERROR(__xludf.DUMMYFUNCTION("""COMPUTED_VALUE"""),"Majuro")</f>
        <v>Majuro</v>
      </c>
      <c r="B4933" s="120" t="str">
        <f>IFERROR(__xludf.DUMMYFUNCTION("""COMPUTED_VALUE"""),"MAJ")</f>
        <v>MAJ</v>
      </c>
      <c r="C4933" s="120" t="str">
        <f>IFERROR(__xludf.DUMMYFUNCTION("""COMPUTED_VALUE"""),"Amata Kabua Intl")</f>
        <v>Amata Kabua Intl</v>
      </c>
      <c r="D4933" s="120" t="str">
        <f>IFERROR(__xludf.DUMMYFUNCTION("""COMPUTED_VALUE"""),"Marshall Islands")</f>
        <v>Marshall Islands</v>
      </c>
      <c r="E4933" s="135"/>
      <c r="F4933" s="31"/>
    </row>
    <row r="4934">
      <c r="A4934" s="134" t="str">
        <f>IFERROR(__xludf.DUMMYFUNCTION("""COMPUTED_VALUE"""),"Makabana")</f>
        <v>Makabana</v>
      </c>
      <c r="B4934" s="120" t="str">
        <f>IFERROR(__xludf.DUMMYFUNCTION("""COMPUTED_VALUE"""),"KMK")</f>
        <v>KMK</v>
      </c>
      <c r="C4934" s="120" t="str">
        <f>IFERROR(__xludf.DUMMYFUNCTION("""COMPUTED_VALUE"""),"Makabana")</f>
        <v>Makabana</v>
      </c>
      <c r="D4934" s="120" t="str">
        <f>IFERROR(__xludf.DUMMYFUNCTION("""COMPUTED_VALUE"""),"Congo")</f>
        <v>Congo</v>
      </c>
      <c r="E4934" s="135"/>
      <c r="F4934" s="31"/>
    </row>
    <row r="4935">
      <c r="A4935" s="134" t="str">
        <f>IFERROR(__xludf.DUMMYFUNCTION("""COMPUTED_VALUE"""),"Makale")</f>
        <v>Makale</v>
      </c>
      <c r="B4935" s="120" t="str">
        <f>IFERROR(__xludf.DUMMYFUNCTION("""COMPUTED_VALUE"""),"MQX")</f>
        <v>MQX</v>
      </c>
      <c r="C4935" s="120" t="str">
        <f>IFERROR(__xludf.DUMMYFUNCTION("""COMPUTED_VALUE"""),"Makale")</f>
        <v>Makale</v>
      </c>
      <c r="D4935" s="120" t="str">
        <f>IFERROR(__xludf.DUMMYFUNCTION("""COMPUTED_VALUE"""),"Ethiopia")</f>
        <v>Ethiopia</v>
      </c>
      <c r="E4935" s="135"/>
      <c r="F4935" s="31"/>
    </row>
    <row r="4936">
      <c r="A4936" s="134" t="str">
        <f>IFERROR(__xludf.DUMMYFUNCTION("""COMPUTED_VALUE"""),"Makemo")</f>
        <v>Makemo</v>
      </c>
      <c r="B4936" s="120" t="str">
        <f>IFERROR(__xludf.DUMMYFUNCTION("""COMPUTED_VALUE"""),"MKP")</f>
        <v>MKP</v>
      </c>
      <c r="C4936" s="120" t="str">
        <f>IFERROR(__xludf.DUMMYFUNCTION("""COMPUTED_VALUE"""),"Makemo")</f>
        <v>Makemo</v>
      </c>
      <c r="D4936" s="120" t="str">
        <f>IFERROR(__xludf.DUMMYFUNCTION("""COMPUTED_VALUE"""),"French Polynesia")</f>
        <v>French Polynesia</v>
      </c>
      <c r="E4936" s="135"/>
      <c r="F4936" s="31"/>
    </row>
    <row r="4937">
      <c r="A4937" s="134" t="str">
        <f>IFERROR(__xludf.DUMMYFUNCTION("""COMPUTED_VALUE"""),"Makhachkala")</f>
        <v>Makhachkala</v>
      </c>
      <c r="B4937" s="120" t="str">
        <f>IFERROR(__xludf.DUMMYFUNCTION("""COMPUTED_VALUE"""),"MCX")</f>
        <v>MCX</v>
      </c>
      <c r="C4937" s="120" t="str">
        <f>IFERROR(__xludf.DUMMYFUNCTION("""COMPUTED_VALUE"""),"Makhachkala")</f>
        <v>Makhachkala</v>
      </c>
      <c r="D4937" s="120" t="str">
        <f>IFERROR(__xludf.DUMMYFUNCTION("""COMPUTED_VALUE"""),"Russia")</f>
        <v>Russia</v>
      </c>
      <c r="E4937" s="135"/>
      <c r="F4937" s="31"/>
    </row>
    <row r="4938">
      <c r="A4938" s="134" t="str">
        <f>IFERROR(__xludf.DUMMYFUNCTION("""COMPUTED_VALUE"""),"Makin Island")</f>
        <v>Makin Island</v>
      </c>
      <c r="B4938" s="120" t="str">
        <f>IFERROR(__xludf.DUMMYFUNCTION("""COMPUTED_VALUE"""),"MTK")</f>
        <v>MTK</v>
      </c>
      <c r="C4938" s="120" t="str">
        <f>IFERROR(__xludf.DUMMYFUNCTION("""COMPUTED_VALUE"""),"Makin Island")</f>
        <v>Makin Island</v>
      </c>
      <c r="D4938" s="120" t="str">
        <f>IFERROR(__xludf.DUMMYFUNCTION("""COMPUTED_VALUE"""),"Kiribati")</f>
        <v>Kiribati</v>
      </c>
      <c r="E4938" s="135"/>
      <c r="F4938" s="31"/>
    </row>
    <row r="4939">
      <c r="A4939" s="134" t="str">
        <f>IFERROR(__xludf.DUMMYFUNCTION("""COMPUTED_VALUE"""),"Makini")</f>
        <v>Makini</v>
      </c>
      <c r="B4939" s="120" t="str">
        <f>IFERROR(__xludf.DUMMYFUNCTION("""COMPUTED_VALUE"""),"MPG")</f>
        <v>MPG</v>
      </c>
      <c r="C4939" s="120" t="str">
        <f>IFERROR(__xludf.DUMMYFUNCTION("""COMPUTED_VALUE"""),"Makini")</f>
        <v>Makini</v>
      </c>
      <c r="D4939" s="120" t="str">
        <f>IFERROR(__xludf.DUMMYFUNCTION("""COMPUTED_VALUE"""),"Papua New Guinea")</f>
        <v>Papua New Guinea</v>
      </c>
      <c r="E4939" s="135"/>
      <c r="F4939" s="31"/>
    </row>
    <row r="4940">
      <c r="A4940" s="134" t="str">
        <f>IFERROR(__xludf.DUMMYFUNCTION("""COMPUTED_VALUE"""),"Makkovik")</f>
        <v>Makkovik</v>
      </c>
      <c r="B4940" s="120" t="str">
        <f>IFERROR(__xludf.DUMMYFUNCTION("""COMPUTED_VALUE"""),"YMN")</f>
        <v>YMN</v>
      </c>
      <c r="C4940" s="120" t="str">
        <f>IFERROR(__xludf.DUMMYFUNCTION("""COMPUTED_VALUE"""),"Makkovik")</f>
        <v>Makkovik</v>
      </c>
      <c r="D4940" s="120" t="str">
        <f>IFERROR(__xludf.DUMMYFUNCTION("""COMPUTED_VALUE"""),"Canada")</f>
        <v>Canada</v>
      </c>
      <c r="E4940" s="135"/>
      <c r="F4940" s="31"/>
    </row>
    <row r="4941">
      <c r="A4941" s="134" t="str">
        <f>IFERROR(__xludf.DUMMYFUNCTION("""COMPUTED_VALUE"""),"Makokou")</f>
        <v>Makokou</v>
      </c>
      <c r="B4941" s="120" t="str">
        <f>IFERROR(__xludf.DUMMYFUNCTION("""COMPUTED_VALUE"""),"MKU")</f>
        <v>MKU</v>
      </c>
      <c r="C4941" s="120" t="str">
        <f>IFERROR(__xludf.DUMMYFUNCTION("""COMPUTED_VALUE"""),"Makokou")</f>
        <v>Makokou</v>
      </c>
      <c r="D4941" s="120" t="str">
        <f>IFERROR(__xludf.DUMMYFUNCTION("""COMPUTED_VALUE"""),"Gabon")</f>
        <v>Gabon</v>
      </c>
      <c r="E4941" s="135"/>
      <c r="F4941" s="31"/>
    </row>
    <row r="4942">
      <c r="A4942" s="134" t="str">
        <f>IFERROR(__xludf.DUMMYFUNCTION("""COMPUTED_VALUE"""),"Makoua")</f>
        <v>Makoua</v>
      </c>
      <c r="B4942" s="120" t="str">
        <f>IFERROR(__xludf.DUMMYFUNCTION("""COMPUTED_VALUE"""),"MKJ")</f>
        <v>MKJ</v>
      </c>
      <c r="C4942" s="120" t="str">
        <f>IFERROR(__xludf.DUMMYFUNCTION("""COMPUTED_VALUE"""),"Makoua")</f>
        <v>Makoua</v>
      </c>
      <c r="D4942" s="120" t="str">
        <f>IFERROR(__xludf.DUMMYFUNCTION("""COMPUTED_VALUE"""),"Congo")</f>
        <v>Congo</v>
      </c>
      <c r="E4942" s="135"/>
      <c r="F4942" s="31"/>
    </row>
    <row r="4943">
      <c r="A4943" s="134" t="str">
        <f>IFERROR(__xludf.DUMMYFUNCTION("""COMPUTED_VALUE"""),"Makung")</f>
        <v>Makung</v>
      </c>
      <c r="B4943" s="120" t="str">
        <f>IFERROR(__xludf.DUMMYFUNCTION("""COMPUTED_VALUE"""),"MZG")</f>
        <v>MZG</v>
      </c>
      <c r="C4943" s="120" t="str">
        <f>IFERROR(__xludf.DUMMYFUNCTION("""COMPUTED_VALUE"""),"Makung")</f>
        <v>Makung</v>
      </c>
      <c r="D4943" s="120" t="str">
        <f>IFERROR(__xludf.DUMMYFUNCTION("""COMPUTED_VALUE"""),"Taiwan")</f>
        <v>Taiwan</v>
      </c>
      <c r="E4943" s="135"/>
      <c r="F4943" s="31"/>
    </row>
    <row r="4944">
      <c r="A4944" s="134" t="str">
        <f>IFERROR(__xludf.DUMMYFUNCTION("""COMPUTED_VALUE"""),"Makurdi")</f>
        <v>Makurdi</v>
      </c>
      <c r="B4944" s="120" t="str">
        <f>IFERROR(__xludf.DUMMYFUNCTION("""COMPUTED_VALUE"""),"MDI")</f>
        <v>MDI</v>
      </c>
      <c r="C4944" s="120" t="str">
        <f>IFERROR(__xludf.DUMMYFUNCTION("""COMPUTED_VALUE"""),"Makurdi")</f>
        <v>Makurdi</v>
      </c>
      <c r="D4944" s="120" t="str">
        <f>IFERROR(__xludf.DUMMYFUNCTION("""COMPUTED_VALUE"""),"Nigeria")</f>
        <v>Nigeria</v>
      </c>
      <c r="E4944" s="135"/>
      <c r="F4944" s="31"/>
    </row>
    <row r="4945">
      <c r="A4945" s="134" t="str">
        <f>IFERROR(__xludf.DUMMYFUNCTION("""COMPUTED_VALUE"""),"Mal")</f>
        <v>Mal</v>
      </c>
      <c r="B4945" s="120" t="str">
        <f>IFERROR(__xludf.DUMMYFUNCTION("""COMPUTED_VALUE"""),"MMV")</f>
        <v>MMV</v>
      </c>
      <c r="C4945" s="120" t="str">
        <f>IFERROR(__xludf.DUMMYFUNCTION("""COMPUTED_VALUE"""),"Mal")</f>
        <v>Mal</v>
      </c>
      <c r="D4945" s="120" t="str">
        <f>IFERROR(__xludf.DUMMYFUNCTION("""COMPUTED_VALUE"""),"Papua New Guinea")</f>
        <v>Papua New Guinea</v>
      </c>
      <c r="E4945" s="135"/>
      <c r="F4945" s="31"/>
    </row>
    <row r="4946">
      <c r="A4946" s="134" t="str">
        <f>IFERROR(__xludf.DUMMYFUNCTION("""COMPUTED_VALUE"""),"Mala Mala")</f>
        <v>Mala Mala</v>
      </c>
      <c r="B4946" s="120" t="str">
        <f>IFERROR(__xludf.DUMMYFUNCTION("""COMPUTED_VALUE"""),"AAM")</f>
        <v>AAM</v>
      </c>
      <c r="C4946" s="120" t="str">
        <f>IFERROR(__xludf.DUMMYFUNCTION("""COMPUTED_VALUE"""),"Mala Mala")</f>
        <v>Mala Mala</v>
      </c>
      <c r="D4946" s="120" t="str">
        <f>IFERROR(__xludf.DUMMYFUNCTION("""COMPUTED_VALUE"""),"South Africa")</f>
        <v>South Africa</v>
      </c>
      <c r="E4946" s="135"/>
      <c r="F4946" s="31"/>
    </row>
    <row r="4947">
      <c r="A4947" s="134" t="str">
        <f>IFERROR(__xludf.DUMMYFUNCTION("""COMPUTED_VALUE"""),"Malabang")</f>
        <v>Malabang</v>
      </c>
      <c r="B4947" s="120" t="str">
        <f>IFERROR(__xludf.DUMMYFUNCTION("""COMPUTED_VALUE"""),"MLP")</f>
        <v>MLP</v>
      </c>
      <c r="C4947" s="120" t="str">
        <f>IFERROR(__xludf.DUMMYFUNCTION("""COMPUTED_VALUE"""),"Malabang")</f>
        <v>Malabang</v>
      </c>
      <c r="D4947" s="120" t="str">
        <f>IFERROR(__xludf.DUMMYFUNCTION("""COMPUTED_VALUE"""),"Philippines")</f>
        <v>Philippines</v>
      </c>
      <c r="E4947" s="135"/>
      <c r="F4947" s="31"/>
    </row>
    <row r="4948">
      <c r="A4948" s="134" t="str">
        <f>IFERROR(__xludf.DUMMYFUNCTION("""COMPUTED_VALUE"""),"Malabo")</f>
        <v>Malabo</v>
      </c>
      <c r="B4948" s="120" t="str">
        <f>IFERROR(__xludf.DUMMYFUNCTION("""COMPUTED_VALUE"""),"SSG")</f>
        <v>SSG</v>
      </c>
      <c r="C4948" s="120" t="str">
        <f>IFERROR(__xludf.DUMMYFUNCTION("""COMPUTED_VALUE"""),"Santa Isabel")</f>
        <v>Santa Isabel</v>
      </c>
      <c r="D4948" s="120" t="str">
        <f>IFERROR(__xludf.DUMMYFUNCTION("""COMPUTED_VALUE"""),"Equatorial Guinea")</f>
        <v>Equatorial Guinea</v>
      </c>
      <c r="E4948" s="135"/>
      <c r="F4948" s="31"/>
    </row>
    <row r="4949">
      <c r="A4949" s="134" t="str">
        <f>IFERROR(__xludf.DUMMYFUNCTION("""COMPUTED_VALUE"""),"Malacca")</f>
        <v>Malacca</v>
      </c>
      <c r="B4949" s="120" t="str">
        <f>IFERROR(__xludf.DUMMYFUNCTION("""COMPUTED_VALUE"""),"MKZ")</f>
        <v>MKZ</v>
      </c>
      <c r="C4949" s="120" t="str">
        <f>IFERROR(__xludf.DUMMYFUNCTION("""COMPUTED_VALUE"""),"Batu Berendum")</f>
        <v>Batu Berendum</v>
      </c>
      <c r="D4949" s="120" t="str">
        <f>IFERROR(__xludf.DUMMYFUNCTION("""COMPUTED_VALUE"""),"Malaysia")</f>
        <v>Malaysia</v>
      </c>
      <c r="E4949" s="135"/>
      <c r="F4949" s="31"/>
    </row>
    <row r="4950">
      <c r="A4950" s="134" t="str">
        <f>IFERROR(__xludf.DUMMYFUNCTION("""COMPUTED_VALUE"""),"Malad City")</f>
        <v>Malad City</v>
      </c>
      <c r="B4950" s="120" t="str">
        <f>IFERROR(__xludf.DUMMYFUNCTION("""COMPUTED_VALUE"""),"MLD")</f>
        <v>MLD</v>
      </c>
      <c r="C4950" s="120" t="str">
        <f>IFERROR(__xludf.DUMMYFUNCTION("""COMPUTED_VALUE"""),"Malad City")</f>
        <v>Malad City</v>
      </c>
      <c r="D4950" s="120" t="str">
        <f>IFERROR(__xludf.DUMMYFUNCTION("""COMPUTED_VALUE"""),"United States")</f>
        <v>United States</v>
      </c>
      <c r="E4950" s="135"/>
      <c r="F4950" s="31"/>
    </row>
    <row r="4951">
      <c r="A4951" s="134" t="str">
        <f>IFERROR(__xludf.DUMMYFUNCTION("""COMPUTED_VALUE"""),"Malaga")</f>
        <v>Malaga</v>
      </c>
      <c r="B4951" s="120" t="str">
        <f>IFERROR(__xludf.DUMMYFUNCTION("""COMPUTED_VALUE"""),"AGP")</f>
        <v>AGP</v>
      </c>
      <c r="C4951" s="120" t="str">
        <f>IFERROR(__xludf.DUMMYFUNCTION("""COMPUTED_VALUE"""),"Malaga")</f>
        <v>Malaga</v>
      </c>
      <c r="D4951" s="120" t="str">
        <f>IFERROR(__xludf.DUMMYFUNCTION("""COMPUTED_VALUE"""),"Spain")</f>
        <v>Spain</v>
      </c>
      <c r="E4951" s="135"/>
      <c r="F4951" s="31"/>
    </row>
    <row r="4952">
      <c r="A4952" s="134" t="str">
        <f>IFERROR(__xludf.DUMMYFUNCTION("""COMPUTED_VALUE"""),"Malaimbandy")</f>
        <v>Malaimbandy</v>
      </c>
      <c r="B4952" s="120" t="str">
        <f>IFERROR(__xludf.DUMMYFUNCTION("""COMPUTED_VALUE"""),"WML")</f>
        <v>WML</v>
      </c>
      <c r="C4952" s="120" t="str">
        <f>IFERROR(__xludf.DUMMYFUNCTION("""COMPUTED_VALUE"""),"Malaimbandy")</f>
        <v>Malaimbandy</v>
      </c>
      <c r="D4952" s="120" t="str">
        <f>IFERROR(__xludf.DUMMYFUNCTION("""COMPUTED_VALUE"""),"Madagascar")</f>
        <v>Madagascar</v>
      </c>
      <c r="E4952" s="135"/>
      <c r="F4952" s="31"/>
    </row>
    <row r="4953">
      <c r="A4953" s="134" t="str">
        <f>IFERROR(__xludf.DUMMYFUNCTION("""COMPUTED_VALUE"""),"Malakal")</f>
        <v>Malakal</v>
      </c>
      <c r="B4953" s="120" t="str">
        <f>IFERROR(__xludf.DUMMYFUNCTION("""COMPUTED_VALUE"""),"MAK")</f>
        <v>MAK</v>
      </c>
      <c r="C4953" s="120" t="str">
        <f>IFERROR(__xludf.DUMMYFUNCTION("""COMPUTED_VALUE"""),"Malakal")</f>
        <v>Malakal</v>
      </c>
      <c r="D4953" s="120" t="str">
        <f>IFERROR(__xludf.DUMMYFUNCTION("""COMPUTED_VALUE"""),"Sudan")</f>
        <v>Sudan</v>
      </c>
      <c r="E4953" s="135"/>
      <c r="F4953" s="31"/>
    </row>
    <row r="4954">
      <c r="A4954" s="134" t="str">
        <f>IFERROR(__xludf.DUMMYFUNCTION("""COMPUTED_VALUE"""),"Malalaua")</f>
        <v>Malalaua</v>
      </c>
      <c r="B4954" s="120" t="str">
        <f>IFERROR(__xludf.DUMMYFUNCTION("""COMPUTED_VALUE"""),"MLQ")</f>
        <v>MLQ</v>
      </c>
      <c r="C4954" s="120" t="str">
        <f>IFERROR(__xludf.DUMMYFUNCTION("""COMPUTED_VALUE"""),"Malalaua")</f>
        <v>Malalaua</v>
      </c>
      <c r="D4954" s="120" t="str">
        <f>IFERROR(__xludf.DUMMYFUNCTION("""COMPUTED_VALUE"""),"Papua New Guinea")</f>
        <v>Papua New Guinea</v>
      </c>
      <c r="E4954" s="135"/>
      <c r="F4954" s="31"/>
    </row>
    <row r="4955">
      <c r="A4955" s="134" t="str">
        <f>IFERROR(__xludf.DUMMYFUNCTION("""COMPUTED_VALUE"""),"Malam")</f>
        <v>Malam</v>
      </c>
      <c r="B4955" s="120" t="str">
        <f>IFERROR(__xludf.DUMMYFUNCTION("""COMPUTED_VALUE"""),"MQO")</f>
        <v>MQO</v>
      </c>
      <c r="C4955" s="120" t="str">
        <f>IFERROR(__xludf.DUMMYFUNCTION("""COMPUTED_VALUE"""),"Malam")</f>
        <v>Malam</v>
      </c>
      <c r="D4955" s="120" t="str">
        <f>IFERROR(__xludf.DUMMYFUNCTION("""COMPUTED_VALUE"""),"Papua New Guinea")</f>
        <v>Papua New Guinea</v>
      </c>
      <c r="E4955" s="135"/>
      <c r="F4955" s="31"/>
    </row>
    <row r="4956">
      <c r="A4956" s="134" t="str">
        <f>IFERROR(__xludf.DUMMYFUNCTION("""COMPUTED_VALUE"""),"Malang")</f>
        <v>Malang</v>
      </c>
      <c r="B4956" s="120" t="str">
        <f>IFERROR(__xludf.DUMMYFUNCTION("""COMPUTED_VALUE"""),"MLG")</f>
        <v>MLG</v>
      </c>
      <c r="C4956" s="120" t="str">
        <f>IFERROR(__xludf.DUMMYFUNCTION("""COMPUTED_VALUE"""),"Abdul Rahman Saleh")</f>
        <v>Abdul Rahman Saleh</v>
      </c>
      <c r="D4956" s="120" t="str">
        <f>IFERROR(__xludf.DUMMYFUNCTION("""COMPUTED_VALUE"""),"Indonesia")</f>
        <v>Indonesia</v>
      </c>
      <c r="E4956" s="135"/>
      <c r="F4956" s="31"/>
    </row>
    <row r="4957">
      <c r="A4957" s="134" t="str">
        <f>IFERROR(__xludf.DUMMYFUNCTION("""COMPUTED_VALUE"""),"Malange")</f>
        <v>Malange</v>
      </c>
      <c r="B4957" s="120" t="str">
        <f>IFERROR(__xludf.DUMMYFUNCTION("""COMPUTED_VALUE"""),"MEG")</f>
        <v>MEG</v>
      </c>
      <c r="C4957" s="120" t="str">
        <f>IFERROR(__xludf.DUMMYFUNCTION("""COMPUTED_VALUE"""),"Malange")</f>
        <v>Malange</v>
      </c>
      <c r="D4957" s="120" t="str">
        <f>IFERROR(__xludf.DUMMYFUNCTION("""COMPUTED_VALUE"""),"Angola")</f>
        <v>Angola</v>
      </c>
      <c r="E4957" s="135"/>
      <c r="F4957" s="31"/>
    </row>
    <row r="4958">
      <c r="A4958" s="134" t="str">
        <f>IFERROR(__xludf.DUMMYFUNCTION("""COMPUTED_VALUE"""),"Malargue")</f>
        <v>Malargue</v>
      </c>
      <c r="B4958" s="120" t="str">
        <f>IFERROR(__xludf.DUMMYFUNCTION("""COMPUTED_VALUE"""),"LGS")</f>
        <v>LGS</v>
      </c>
      <c r="C4958" s="120" t="str">
        <f>IFERROR(__xludf.DUMMYFUNCTION("""COMPUTED_VALUE"""),"Malargue")</f>
        <v>Malargue</v>
      </c>
      <c r="D4958" s="120" t="str">
        <f>IFERROR(__xludf.DUMMYFUNCTION("""COMPUTED_VALUE"""),"Argentina")</f>
        <v>Argentina</v>
      </c>
      <c r="E4958" s="135"/>
      <c r="F4958" s="31"/>
    </row>
    <row r="4959">
      <c r="A4959" s="134" t="str">
        <f>IFERROR(__xludf.DUMMYFUNCTION("""COMPUTED_VALUE"""),"Malatya")</f>
        <v>Malatya</v>
      </c>
      <c r="B4959" s="120" t="str">
        <f>IFERROR(__xludf.DUMMYFUNCTION("""COMPUTED_VALUE"""),"MLX")</f>
        <v>MLX</v>
      </c>
      <c r="C4959" s="120" t="str">
        <f>IFERROR(__xludf.DUMMYFUNCTION("""COMPUTED_VALUE"""),"Malatya")</f>
        <v>Malatya</v>
      </c>
      <c r="D4959" s="120" t="str">
        <f>IFERROR(__xludf.DUMMYFUNCTION("""COMPUTED_VALUE"""),"Turkey")</f>
        <v>Turkey</v>
      </c>
      <c r="E4959" s="135"/>
      <c r="F4959" s="31"/>
    </row>
    <row r="4960">
      <c r="A4960" s="134" t="str">
        <f>IFERROR(__xludf.DUMMYFUNCTION("""COMPUTED_VALUE"""),"Malda")</f>
        <v>Malda</v>
      </c>
      <c r="B4960" s="120" t="str">
        <f>IFERROR(__xludf.DUMMYFUNCTION("""COMPUTED_VALUE"""),"LDA")</f>
        <v>LDA</v>
      </c>
      <c r="C4960" s="120" t="str">
        <f>IFERROR(__xludf.DUMMYFUNCTION("""COMPUTED_VALUE"""),"Malda")</f>
        <v>Malda</v>
      </c>
      <c r="D4960" s="120" t="str">
        <f>IFERROR(__xludf.DUMMYFUNCTION("""COMPUTED_VALUE"""),"India")</f>
        <v>India</v>
      </c>
      <c r="E4960" s="135"/>
      <c r="F4960" s="31"/>
    </row>
    <row r="4961">
      <c r="A4961" s="134" t="str">
        <f>IFERROR(__xludf.DUMMYFUNCTION("""COMPUTED_VALUE"""),"Malden")</f>
        <v>Malden</v>
      </c>
      <c r="B4961" s="120" t="str">
        <f>IFERROR(__xludf.DUMMYFUNCTION("""COMPUTED_VALUE"""),"MAW")</f>
        <v>MAW</v>
      </c>
      <c r="C4961" s="120" t="str">
        <f>IFERROR(__xludf.DUMMYFUNCTION("""COMPUTED_VALUE"""),"Malden")</f>
        <v>Malden</v>
      </c>
      <c r="D4961" s="120" t="str">
        <f>IFERROR(__xludf.DUMMYFUNCTION("""COMPUTED_VALUE"""),"United States")</f>
        <v>United States</v>
      </c>
      <c r="E4961" s="135"/>
      <c r="F4961" s="31"/>
    </row>
    <row r="4962">
      <c r="A4962" s="134" t="str">
        <f>IFERROR(__xludf.DUMMYFUNCTION("""COMPUTED_VALUE"""),"Male")</f>
        <v>Male</v>
      </c>
      <c r="B4962" s="120" t="str">
        <f>IFERROR(__xludf.DUMMYFUNCTION("""COMPUTED_VALUE"""),"MLE")</f>
        <v>MLE</v>
      </c>
      <c r="C4962" s="120" t="str">
        <f>IFERROR(__xludf.DUMMYFUNCTION("""COMPUTED_VALUE"""),"International")</f>
        <v>International</v>
      </c>
      <c r="D4962" s="120" t="str">
        <f>IFERROR(__xludf.DUMMYFUNCTION("""COMPUTED_VALUE"""),"Maldives")</f>
        <v>Maldives</v>
      </c>
      <c r="E4962" s="135"/>
      <c r="F4962" s="31"/>
    </row>
    <row r="4963">
      <c r="A4963" s="134" t="str">
        <f>IFERROR(__xludf.DUMMYFUNCTION("""COMPUTED_VALUE"""),"Malekolon")</f>
        <v>Malekolon</v>
      </c>
      <c r="B4963" s="120" t="str">
        <f>IFERROR(__xludf.DUMMYFUNCTION("""COMPUTED_VALUE"""),"MKN")</f>
        <v>MKN</v>
      </c>
      <c r="C4963" s="120" t="str">
        <f>IFERROR(__xludf.DUMMYFUNCTION("""COMPUTED_VALUE"""),"Malekolon")</f>
        <v>Malekolon</v>
      </c>
      <c r="D4963" s="120" t="str">
        <f>IFERROR(__xludf.DUMMYFUNCTION("""COMPUTED_VALUE"""),"Papua New Guinea")</f>
        <v>Papua New Guinea</v>
      </c>
      <c r="E4963" s="135"/>
      <c r="F4963" s="31"/>
    </row>
    <row r="4964">
      <c r="A4964" s="134" t="str">
        <f>IFERROR(__xludf.DUMMYFUNCTION("""COMPUTED_VALUE"""),"Malelane")</f>
        <v>Malelane</v>
      </c>
      <c r="B4964" s="120" t="str">
        <f>IFERROR(__xludf.DUMMYFUNCTION("""COMPUTED_VALUE"""),"LLE")</f>
        <v>LLE</v>
      </c>
      <c r="C4964" s="120" t="str">
        <f>IFERROR(__xludf.DUMMYFUNCTION("""COMPUTED_VALUE"""),"Malelane")</f>
        <v>Malelane</v>
      </c>
      <c r="D4964" s="120" t="str">
        <f>IFERROR(__xludf.DUMMYFUNCTION("""COMPUTED_VALUE"""),"South Africa")</f>
        <v>South Africa</v>
      </c>
      <c r="E4964" s="135"/>
      <c r="F4964" s="31"/>
    </row>
    <row r="4965">
      <c r="A4965" s="134" t="str">
        <f>IFERROR(__xludf.DUMMYFUNCTION("""COMPUTED_VALUE"""),"Mali Losinj")</f>
        <v>Mali Losinj</v>
      </c>
      <c r="B4965" s="120" t="str">
        <f>IFERROR(__xludf.DUMMYFUNCTION("""COMPUTED_VALUE"""),"LSZ")</f>
        <v>LSZ</v>
      </c>
      <c r="C4965" s="120" t="str">
        <f>IFERROR(__xludf.DUMMYFUNCTION("""COMPUTED_VALUE"""),"Losinj Arpt")</f>
        <v>Losinj Arpt</v>
      </c>
      <c r="D4965" s="120" t="str">
        <f>IFERROR(__xludf.DUMMYFUNCTION("""COMPUTED_VALUE"""),"Croatia")</f>
        <v>Croatia</v>
      </c>
      <c r="E4965" s="135"/>
      <c r="F4965" s="31"/>
    </row>
    <row r="4966">
      <c r="A4966" s="134" t="str">
        <f>IFERROR(__xludf.DUMMYFUNCTION("""COMPUTED_VALUE"""),"Maliana")</f>
        <v>Maliana</v>
      </c>
      <c r="B4966" s="120" t="str">
        <f>IFERROR(__xludf.DUMMYFUNCTION("""COMPUTED_VALUE"""),"MPT")</f>
        <v>MPT</v>
      </c>
      <c r="C4966" s="120" t="str">
        <f>IFERROR(__xludf.DUMMYFUNCTION("""COMPUTED_VALUE"""),"Maliana")</f>
        <v>Maliana</v>
      </c>
      <c r="D4966" s="120" t="str">
        <f>IFERROR(__xludf.DUMMYFUNCTION("""COMPUTED_VALUE"""),"Indonesia")</f>
        <v>Indonesia</v>
      </c>
      <c r="E4966" s="135"/>
      <c r="F4966" s="31"/>
    </row>
    <row r="4967">
      <c r="A4967" s="134" t="str">
        <f>IFERROR(__xludf.DUMMYFUNCTION("""COMPUTED_VALUE"""),"Malindi")</f>
        <v>Malindi</v>
      </c>
      <c r="B4967" s="120" t="str">
        <f>IFERROR(__xludf.DUMMYFUNCTION("""COMPUTED_VALUE"""),"MYD")</f>
        <v>MYD</v>
      </c>
      <c r="C4967" s="120" t="str">
        <f>IFERROR(__xludf.DUMMYFUNCTION("""COMPUTED_VALUE"""),"Malindi")</f>
        <v>Malindi</v>
      </c>
      <c r="D4967" s="120" t="str">
        <f>IFERROR(__xludf.DUMMYFUNCTION("""COMPUTED_VALUE"""),"Kenya")</f>
        <v>Kenya</v>
      </c>
      <c r="E4967" s="135"/>
      <c r="F4967" s="31"/>
    </row>
    <row r="4968">
      <c r="A4968" s="134" t="str">
        <f>IFERROR(__xludf.DUMMYFUNCTION("""COMPUTED_VALUE"""),"Mallacoota")</f>
        <v>Mallacoota</v>
      </c>
      <c r="B4968" s="120" t="str">
        <f>IFERROR(__xludf.DUMMYFUNCTION("""COMPUTED_VALUE"""),"XMC")</f>
        <v>XMC</v>
      </c>
      <c r="C4968" s="120" t="str">
        <f>IFERROR(__xludf.DUMMYFUNCTION("""COMPUTED_VALUE"""),"Mallacoota")</f>
        <v>Mallacoota</v>
      </c>
      <c r="D4968" s="120" t="str">
        <f>IFERROR(__xludf.DUMMYFUNCTION("""COMPUTED_VALUE"""),"Australia")</f>
        <v>Australia</v>
      </c>
      <c r="E4968" s="135"/>
      <c r="F4968" s="31"/>
    </row>
    <row r="4969">
      <c r="A4969" s="134" t="str">
        <f>IFERROR(__xludf.DUMMYFUNCTION("""COMPUTED_VALUE"""),"Malmo")</f>
        <v>Malmo</v>
      </c>
      <c r="B4969" s="120" t="str">
        <f>IFERROR(__xludf.DUMMYFUNCTION("""COMPUTED_VALUE"""),"JMM")</f>
        <v>JMM</v>
      </c>
      <c r="C4969" s="120" t="str">
        <f>IFERROR(__xludf.DUMMYFUNCTION("""COMPUTED_VALUE"""),"Malmo Harbour Heliport")</f>
        <v>Malmo Harbour Heliport</v>
      </c>
      <c r="D4969" s="120" t="str">
        <f>IFERROR(__xludf.DUMMYFUNCTION("""COMPUTED_VALUE"""),"Sweden")</f>
        <v>Sweden</v>
      </c>
      <c r="E4969" s="135"/>
      <c r="F4969" s="31"/>
    </row>
    <row r="4970">
      <c r="A4970" s="134" t="str">
        <f>IFERROR(__xludf.DUMMYFUNCTION("""COMPUTED_VALUE"""),"Malmo")</f>
        <v>Malmo</v>
      </c>
      <c r="B4970" s="120" t="str">
        <f>IFERROR(__xludf.DUMMYFUNCTION("""COMPUTED_VALUE"""),"XFR")</f>
        <v>XFR</v>
      </c>
      <c r="C4970" s="120" t="str">
        <f>IFERROR(__xludf.DUMMYFUNCTION("""COMPUTED_VALUE"""),"Malmo South Railway")</f>
        <v>Malmo South Railway</v>
      </c>
      <c r="D4970" s="120" t="str">
        <f>IFERROR(__xludf.DUMMYFUNCTION("""COMPUTED_VALUE"""),"Sweden")</f>
        <v>Sweden</v>
      </c>
      <c r="E4970" s="135"/>
      <c r="F4970" s="31"/>
    </row>
    <row r="4971">
      <c r="A4971" s="134" t="str">
        <f>IFERROR(__xludf.DUMMYFUNCTION("""COMPUTED_VALUE"""),"Malmo")</f>
        <v>Malmo</v>
      </c>
      <c r="B4971" s="120" t="str">
        <f>IFERROR(__xludf.DUMMYFUNCTION("""COMPUTED_VALUE"""),"MMX")</f>
        <v>MMX</v>
      </c>
      <c r="C4971" s="120" t="str">
        <f>IFERROR(__xludf.DUMMYFUNCTION("""COMPUTED_VALUE"""),"Sturup")</f>
        <v>Sturup</v>
      </c>
      <c r="D4971" s="120" t="str">
        <f>IFERROR(__xludf.DUMMYFUNCTION("""COMPUTED_VALUE"""),"Sweden")</f>
        <v>Sweden</v>
      </c>
      <c r="E4971" s="135"/>
      <c r="F4971" s="31"/>
    </row>
    <row r="4972">
      <c r="A4972" s="134" t="str">
        <f>IFERROR(__xludf.DUMMYFUNCTION("""COMPUTED_VALUE"""),"Maloelap Island")</f>
        <v>Maloelap Island</v>
      </c>
      <c r="B4972" s="120" t="str">
        <f>IFERROR(__xludf.DUMMYFUNCTION("""COMPUTED_VALUE"""),"MAV")</f>
        <v>MAV</v>
      </c>
      <c r="C4972" s="120" t="str">
        <f>IFERROR(__xludf.DUMMYFUNCTION("""COMPUTED_VALUE"""),"Maloelap Island")</f>
        <v>Maloelap Island</v>
      </c>
      <c r="D4972" s="120" t="str">
        <f>IFERROR(__xludf.DUMMYFUNCTION("""COMPUTED_VALUE"""),"Marshall Islands")</f>
        <v>Marshall Islands</v>
      </c>
      <c r="E4972" s="135"/>
      <c r="F4972" s="31"/>
    </row>
    <row r="4973">
      <c r="A4973" s="134" t="str">
        <f>IFERROR(__xludf.DUMMYFUNCTION("""COMPUTED_VALUE"""),"Malololailai")</f>
        <v>Malololailai</v>
      </c>
      <c r="B4973" s="120" t="str">
        <f>IFERROR(__xludf.DUMMYFUNCTION("""COMPUTED_VALUE"""),"PTF")</f>
        <v>PTF</v>
      </c>
      <c r="C4973" s="120" t="str">
        <f>IFERROR(__xludf.DUMMYFUNCTION("""COMPUTED_VALUE"""),"Malololailai")</f>
        <v>Malololailai</v>
      </c>
      <c r="D4973" s="120" t="str">
        <f>IFERROR(__xludf.DUMMYFUNCTION("""COMPUTED_VALUE"""),"Fiji")</f>
        <v>Fiji</v>
      </c>
      <c r="E4973" s="135"/>
      <c r="F4973" s="31"/>
    </row>
    <row r="4974">
      <c r="A4974" s="134" t="str">
        <f>IFERROR(__xludf.DUMMYFUNCTION("""COMPUTED_VALUE"""),"Maloy")</f>
        <v>Maloy</v>
      </c>
      <c r="B4974" s="120" t="str">
        <f>IFERROR(__xludf.DUMMYFUNCTION("""COMPUTED_VALUE"""),"QFQ")</f>
        <v>QFQ</v>
      </c>
      <c r="C4974" s="120" t="str">
        <f>IFERROR(__xludf.DUMMYFUNCTION("""COMPUTED_VALUE"""),"Harbour")</f>
        <v>Harbour</v>
      </c>
      <c r="D4974" s="120" t="str">
        <f>IFERROR(__xludf.DUMMYFUNCTION("""COMPUTED_VALUE"""),"Norway")</f>
        <v>Norway</v>
      </c>
      <c r="E4974" s="135"/>
      <c r="F4974" s="31"/>
    </row>
    <row r="4975">
      <c r="A4975" s="134" t="str">
        <f>IFERROR(__xludf.DUMMYFUNCTION("""COMPUTED_VALUE"""),"Gudja")</f>
        <v>Gudja</v>
      </c>
      <c r="B4975" s="120" t="str">
        <f>IFERROR(__xludf.DUMMYFUNCTION("""COMPUTED_VALUE"""),"MLA")</f>
        <v>MLA</v>
      </c>
      <c r="C4975" s="120" t="str">
        <f>IFERROR(__xludf.DUMMYFUNCTION("""COMPUTED_VALUE"""),"Malta International")</f>
        <v>Malta International</v>
      </c>
      <c r="D4975" s="120" t="str">
        <f>IFERROR(__xludf.DUMMYFUNCTION("""COMPUTED_VALUE"""),"Malta")</f>
        <v>Malta</v>
      </c>
      <c r="E4975" s="135"/>
      <c r="F4975" s="31"/>
    </row>
    <row r="4976">
      <c r="A4976" s="134" t="str">
        <f>IFERROR(__xludf.DUMMYFUNCTION("""COMPUTED_VALUE"""),"Malta")</f>
        <v>Malta</v>
      </c>
      <c r="B4976" s="120" t="str">
        <f>IFERROR(__xludf.DUMMYFUNCTION("""COMPUTED_VALUE"""),"MLK")</f>
        <v>MLK</v>
      </c>
      <c r="C4976" s="120" t="str">
        <f>IFERROR(__xludf.DUMMYFUNCTION("""COMPUTED_VALUE"""),"Malta")</f>
        <v>Malta</v>
      </c>
      <c r="D4976" s="120" t="str">
        <f>IFERROR(__xludf.DUMMYFUNCTION("""COMPUTED_VALUE"""),"United States")</f>
        <v>United States</v>
      </c>
      <c r="E4976" s="135"/>
      <c r="F4976" s="31"/>
    </row>
    <row r="4977">
      <c r="A4977" s="134" t="str">
        <f>IFERROR(__xludf.DUMMYFUNCTION("""COMPUTED_VALUE"""),"Mamai")</f>
        <v>Mamai</v>
      </c>
      <c r="B4977" s="120" t="str">
        <f>IFERROR(__xludf.DUMMYFUNCTION("""COMPUTED_VALUE"""),"MAP")</f>
        <v>MAP</v>
      </c>
      <c r="C4977" s="120" t="str">
        <f>IFERROR(__xludf.DUMMYFUNCTION("""COMPUTED_VALUE"""),"Mamai")</f>
        <v>Mamai</v>
      </c>
      <c r="D4977" s="120" t="str">
        <f>IFERROR(__xludf.DUMMYFUNCTION("""COMPUTED_VALUE"""),"Papua New Guinea")</f>
        <v>Papua New Guinea</v>
      </c>
      <c r="E4977" s="135"/>
      <c r="F4977" s="31"/>
    </row>
    <row r="4978">
      <c r="A4978" s="134" t="str">
        <f>IFERROR(__xludf.DUMMYFUNCTION("""COMPUTED_VALUE"""),"Mamburao")</f>
        <v>Mamburao</v>
      </c>
      <c r="B4978" s="120" t="str">
        <f>IFERROR(__xludf.DUMMYFUNCTION("""COMPUTED_VALUE"""),"MBO")</f>
        <v>MBO</v>
      </c>
      <c r="C4978" s="120" t="str">
        <f>IFERROR(__xludf.DUMMYFUNCTION("""COMPUTED_VALUE"""),"Mamburao")</f>
        <v>Mamburao</v>
      </c>
      <c r="D4978" s="120" t="str">
        <f>IFERROR(__xludf.DUMMYFUNCTION("""COMPUTED_VALUE"""),"Philippines")</f>
        <v>Philippines</v>
      </c>
      <c r="E4978" s="135"/>
      <c r="F4978" s="31"/>
    </row>
    <row r="4979">
      <c r="A4979" s="134" t="str">
        <f>IFERROR(__xludf.DUMMYFUNCTION("""COMPUTED_VALUE"""),"Mamfe")</f>
        <v>Mamfe</v>
      </c>
      <c r="B4979" s="120" t="str">
        <f>IFERROR(__xludf.DUMMYFUNCTION("""COMPUTED_VALUE"""),"MMF")</f>
        <v>MMF</v>
      </c>
      <c r="C4979" s="120" t="str">
        <f>IFERROR(__xludf.DUMMYFUNCTION("""COMPUTED_VALUE"""),"Mamfe")</f>
        <v>Mamfe</v>
      </c>
      <c r="D4979" s="120" t="str">
        <f>IFERROR(__xludf.DUMMYFUNCTION("""COMPUTED_VALUE"""),"Cameroon")</f>
        <v>Cameroon</v>
      </c>
      <c r="E4979" s="135"/>
      <c r="F4979" s="31"/>
    </row>
    <row r="4980">
      <c r="A4980" s="134" t="str">
        <f>IFERROR(__xludf.DUMMYFUNCTION("""COMPUTED_VALUE"""),"Mamitupo")</f>
        <v>Mamitupo</v>
      </c>
      <c r="B4980" s="120" t="str">
        <f>IFERROR(__xludf.DUMMYFUNCTION("""COMPUTED_VALUE"""),"MPI")</f>
        <v>MPI</v>
      </c>
      <c r="C4980" s="120" t="str">
        <f>IFERROR(__xludf.DUMMYFUNCTION("""COMPUTED_VALUE"""),"Mamitupo")</f>
        <v>Mamitupo</v>
      </c>
      <c r="D4980" s="120" t="str">
        <f>IFERROR(__xludf.DUMMYFUNCTION("""COMPUTED_VALUE"""),"Panama")</f>
        <v>Panama</v>
      </c>
      <c r="E4980" s="135"/>
      <c r="F4980" s="31"/>
    </row>
    <row r="4981">
      <c r="A4981" s="134" t="str">
        <f>IFERROR(__xludf.DUMMYFUNCTION("""COMPUTED_VALUE"""),"Mammoth Lakes")</f>
        <v>Mammoth Lakes</v>
      </c>
      <c r="B4981" s="120" t="str">
        <f>IFERROR(__xludf.DUMMYFUNCTION("""COMPUTED_VALUE"""),"MMH")</f>
        <v>MMH</v>
      </c>
      <c r="C4981" s="120" t="str">
        <f>IFERROR(__xludf.DUMMYFUNCTION("""COMPUTED_VALUE"""),"Mammoth Lakes")</f>
        <v>Mammoth Lakes</v>
      </c>
      <c r="D4981" s="120" t="str">
        <f>IFERROR(__xludf.DUMMYFUNCTION("""COMPUTED_VALUE"""),"United States")</f>
        <v>United States</v>
      </c>
      <c r="E4981" s="135"/>
      <c r="F4981" s="31"/>
    </row>
    <row r="4982">
      <c r="A4982" s="134" t="str">
        <f>IFERROR(__xludf.DUMMYFUNCTION("""COMPUTED_VALUE"""),"Mampikony")</f>
        <v>Mampikony</v>
      </c>
      <c r="B4982" s="120" t="str">
        <f>IFERROR(__xludf.DUMMYFUNCTION("""COMPUTED_VALUE"""),"WMP")</f>
        <v>WMP</v>
      </c>
      <c r="C4982" s="120" t="str">
        <f>IFERROR(__xludf.DUMMYFUNCTION("""COMPUTED_VALUE"""),"Mampikony")</f>
        <v>Mampikony</v>
      </c>
      <c r="D4982" s="120" t="str">
        <f>IFERROR(__xludf.DUMMYFUNCTION("""COMPUTED_VALUE"""),"Madagascar")</f>
        <v>Madagascar</v>
      </c>
      <c r="E4982" s="135"/>
      <c r="F4982" s="31"/>
    </row>
    <row r="4983">
      <c r="A4983" s="134" t="str">
        <f>IFERROR(__xludf.DUMMYFUNCTION("""COMPUTED_VALUE"""),"Mamuju")</f>
        <v>Mamuju</v>
      </c>
      <c r="B4983" s="120" t="str">
        <f>IFERROR(__xludf.DUMMYFUNCTION("""COMPUTED_VALUE"""),"MJU")</f>
        <v>MJU</v>
      </c>
      <c r="C4983" s="120" t="str">
        <f>IFERROR(__xludf.DUMMYFUNCTION("""COMPUTED_VALUE"""),"Mamuju")</f>
        <v>Mamuju</v>
      </c>
      <c r="D4983" s="120" t="str">
        <f>IFERROR(__xludf.DUMMYFUNCTION("""COMPUTED_VALUE"""),"Indonesia")</f>
        <v>Indonesia</v>
      </c>
      <c r="E4983" s="135"/>
      <c r="F4983" s="31"/>
    </row>
    <row r="4984">
      <c r="A4984" s="134" t="str">
        <f>IFERROR(__xludf.DUMMYFUNCTION("""COMPUTED_VALUE"""),"Man")</f>
        <v>Man</v>
      </c>
      <c r="B4984" s="120" t="str">
        <f>IFERROR(__xludf.DUMMYFUNCTION("""COMPUTED_VALUE"""),"MJC")</f>
        <v>MJC</v>
      </c>
      <c r="C4984" s="120" t="str">
        <f>IFERROR(__xludf.DUMMYFUNCTION("""COMPUTED_VALUE"""),"Man")</f>
        <v>Man</v>
      </c>
      <c r="D4984" s="120" t="str">
        <f>IFERROR(__xludf.DUMMYFUNCTION("""COMPUTED_VALUE"""),"Cote D'Ivoire (Ivory Coast)")</f>
        <v>Cote D'Ivoire (Ivory Coast)</v>
      </c>
      <c r="E4984" s="135"/>
      <c r="F4984" s="31"/>
    </row>
    <row r="4985">
      <c r="A4985" s="134" t="str">
        <f>IFERROR(__xludf.DUMMYFUNCTION("""COMPUTED_VALUE"""),"Mana Island")</f>
        <v>Mana Island</v>
      </c>
      <c r="B4985" s="120" t="str">
        <f>IFERROR(__xludf.DUMMYFUNCTION("""COMPUTED_VALUE"""),"MNF")</f>
        <v>MNF</v>
      </c>
      <c r="C4985" s="120" t="str">
        <f>IFERROR(__xludf.DUMMYFUNCTION("""COMPUTED_VALUE"""),"Mana Island Airstrip")</f>
        <v>Mana Island Airstrip</v>
      </c>
      <c r="D4985" s="120" t="str">
        <f>IFERROR(__xludf.DUMMYFUNCTION("""COMPUTED_VALUE"""),"Fiji")</f>
        <v>Fiji</v>
      </c>
      <c r="E4985" s="135"/>
      <c r="F4985" s="31"/>
    </row>
    <row r="4986">
      <c r="A4986" s="134" t="str">
        <f>IFERROR(__xludf.DUMMYFUNCTION("""COMPUTED_VALUE"""),"Manado")</f>
        <v>Manado</v>
      </c>
      <c r="B4986" s="120" t="str">
        <f>IFERROR(__xludf.DUMMYFUNCTION("""COMPUTED_VALUE"""),"MDC")</f>
        <v>MDC</v>
      </c>
      <c r="C4986" s="120" t="str">
        <f>IFERROR(__xludf.DUMMYFUNCTION("""COMPUTED_VALUE"""),"Samratulangi")</f>
        <v>Samratulangi</v>
      </c>
      <c r="D4986" s="120" t="str">
        <f>IFERROR(__xludf.DUMMYFUNCTION("""COMPUTED_VALUE"""),"Indonesia")</f>
        <v>Indonesia</v>
      </c>
      <c r="E4986" s="135"/>
      <c r="F4986" s="31"/>
    </row>
    <row r="4987">
      <c r="A4987" s="134" t="str">
        <f>IFERROR(__xludf.DUMMYFUNCTION("""COMPUTED_VALUE"""),"Managua")</f>
        <v>Managua</v>
      </c>
      <c r="B4987" s="120" t="str">
        <f>IFERROR(__xludf.DUMMYFUNCTION("""COMPUTED_VALUE"""),"MGA")</f>
        <v>MGA</v>
      </c>
      <c r="C4987" s="120" t="str">
        <f>IFERROR(__xludf.DUMMYFUNCTION("""COMPUTED_VALUE"""),"Augusto C Sandino")</f>
        <v>Augusto C Sandino</v>
      </c>
      <c r="D4987" s="120" t="str">
        <f>IFERROR(__xludf.DUMMYFUNCTION("""COMPUTED_VALUE"""),"Nicaragua")</f>
        <v>Nicaragua</v>
      </c>
      <c r="E4987" s="135"/>
      <c r="F4987" s="31"/>
    </row>
    <row r="4988">
      <c r="A4988" s="134" t="str">
        <f>IFERROR(__xludf.DUMMYFUNCTION("""COMPUTED_VALUE"""),"Manakara")</f>
        <v>Manakara</v>
      </c>
      <c r="B4988" s="120" t="str">
        <f>IFERROR(__xludf.DUMMYFUNCTION("""COMPUTED_VALUE"""),"WVK")</f>
        <v>WVK</v>
      </c>
      <c r="C4988" s="120" t="str">
        <f>IFERROR(__xludf.DUMMYFUNCTION("""COMPUTED_VALUE"""),"Manakara")</f>
        <v>Manakara</v>
      </c>
      <c r="D4988" s="120" t="str">
        <f>IFERROR(__xludf.DUMMYFUNCTION("""COMPUTED_VALUE"""),"Madagascar")</f>
        <v>Madagascar</v>
      </c>
      <c r="E4988" s="135"/>
      <c r="F4988" s="31"/>
    </row>
    <row r="4989">
      <c r="A4989" s="134" t="str">
        <f>IFERROR(__xludf.DUMMYFUNCTION("""COMPUTED_VALUE"""),"Manama")</f>
        <v>Manama</v>
      </c>
      <c r="B4989" s="120" t="str">
        <f>IFERROR(__xludf.DUMMYFUNCTION("""COMPUTED_VALUE"""),"WGF")</f>
        <v>WGF</v>
      </c>
      <c r="C4989" s="120" t="str">
        <f>IFERROR(__xludf.DUMMYFUNCTION("""COMPUTED_VALUE"""),"Off Line Point")</f>
        <v>Off Line Point</v>
      </c>
      <c r="D4989" s="120" t="str">
        <f>IFERROR(__xludf.DUMMYFUNCTION("""COMPUTED_VALUE"""),"Bahrain")</f>
        <v>Bahrain</v>
      </c>
      <c r="E4989" s="135"/>
      <c r="F4989" s="31"/>
    </row>
    <row r="4990">
      <c r="A4990" s="134" t="str">
        <f>IFERROR(__xludf.DUMMYFUNCTION("""COMPUTED_VALUE"""),"Mananara")</f>
        <v>Mananara</v>
      </c>
      <c r="B4990" s="120" t="str">
        <f>IFERROR(__xludf.DUMMYFUNCTION("""COMPUTED_VALUE"""),"WMR")</f>
        <v>WMR</v>
      </c>
      <c r="C4990" s="120" t="str">
        <f>IFERROR(__xludf.DUMMYFUNCTION("""COMPUTED_VALUE"""),"Mananara")</f>
        <v>Mananara</v>
      </c>
      <c r="D4990" s="120" t="str">
        <f>IFERROR(__xludf.DUMMYFUNCTION("""COMPUTED_VALUE"""),"Madagascar")</f>
        <v>Madagascar</v>
      </c>
      <c r="E4990" s="135"/>
      <c r="F4990" s="31"/>
    </row>
    <row r="4991">
      <c r="A4991" s="134" t="str">
        <f>IFERROR(__xludf.DUMMYFUNCTION("""COMPUTED_VALUE"""),"Manang")</f>
        <v>Manang</v>
      </c>
      <c r="B4991" s="120" t="str">
        <f>IFERROR(__xludf.DUMMYFUNCTION("""COMPUTED_VALUE"""),"NGX")</f>
        <v>NGX</v>
      </c>
      <c r="C4991" s="120" t="str">
        <f>IFERROR(__xludf.DUMMYFUNCTION("""COMPUTED_VALUE"""),"Manang")</f>
        <v>Manang</v>
      </c>
      <c r="D4991" s="120" t="str">
        <f>IFERROR(__xludf.DUMMYFUNCTION("""COMPUTED_VALUE"""),"Nepal")</f>
        <v>Nepal</v>
      </c>
      <c r="E4991" s="135"/>
      <c r="F4991" s="31"/>
    </row>
    <row r="4992">
      <c r="A4992" s="134" t="str">
        <f>IFERROR(__xludf.DUMMYFUNCTION("""COMPUTED_VALUE"""),"Mananjary")</f>
        <v>Mananjary</v>
      </c>
      <c r="B4992" s="120" t="str">
        <f>IFERROR(__xludf.DUMMYFUNCTION("""COMPUTED_VALUE"""),"MNJ")</f>
        <v>MNJ</v>
      </c>
      <c r="C4992" s="120" t="str">
        <f>IFERROR(__xludf.DUMMYFUNCTION("""COMPUTED_VALUE"""),"Mananjary")</f>
        <v>Mananjary</v>
      </c>
      <c r="D4992" s="120" t="str">
        <f>IFERROR(__xludf.DUMMYFUNCTION("""COMPUTED_VALUE"""),"Madagascar")</f>
        <v>Madagascar</v>
      </c>
      <c r="E4992" s="135"/>
      <c r="F4992" s="31"/>
    </row>
    <row r="4993">
      <c r="A4993" s="134" t="str">
        <f>IFERROR(__xludf.DUMMYFUNCTION("""COMPUTED_VALUE"""),"Manare")</f>
        <v>Manare</v>
      </c>
      <c r="B4993" s="120" t="str">
        <f>IFERROR(__xludf.DUMMYFUNCTION("""COMPUTED_VALUE"""),"MRM")</f>
        <v>MRM</v>
      </c>
      <c r="C4993" s="120" t="str">
        <f>IFERROR(__xludf.DUMMYFUNCTION("""COMPUTED_VALUE"""),"Manare")</f>
        <v>Manare</v>
      </c>
      <c r="D4993" s="120" t="str">
        <f>IFERROR(__xludf.DUMMYFUNCTION("""COMPUTED_VALUE"""),"Papua New Guinea")</f>
        <v>Papua New Guinea</v>
      </c>
      <c r="E4993" s="135"/>
      <c r="F4993" s="31"/>
    </row>
    <row r="4994">
      <c r="A4994" s="134" t="str">
        <f>IFERROR(__xludf.DUMMYFUNCTION("""COMPUTED_VALUE"""),"Manassas")</f>
        <v>Manassas</v>
      </c>
      <c r="B4994" s="120" t="str">
        <f>IFERROR(__xludf.DUMMYFUNCTION("""COMPUTED_VALUE"""),"MNZ")</f>
        <v>MNZ</v>
      </c>
      <c r="C4994" s="120" t="str">
        <f>IFERROR(__xludf.DUMMYFUNCTION("""COMPUTED_VALUE"""),"Manassas")</f>
        <v>Manassas</v>
      </c>
      <c r="D4994" s="120" t="str">
        <f>IFERROR(__xludf.DUMMYFUNCTION("""COMPUTED_VALUE"""),"United States")</f>
        <v>United States</v>
      </c>
      <c r="E4994" s="135"/>
      <c r="F4994" s="31"/>
    </row>
    <row r="4995">
      <c r="A4995" s="134" t="str">
        <f>IFERROR(__xludf.DUMMYFUNCTION("""COMPUTED_VALUE"""),"Manatee")</f>
        <v>Manatee</v>
      </c>
      <c r="B4995" s="120" t="str">
        <f>IFERROR(__xludf.DUMMYFUNCTION("""COMPUTED_VALUE"""),"MZE")</f>
        <v>MZE</v>
      </c>
      <c r="C4995" s="120" t="str">
        <f>IFERROR(__xludf.DUMMYFUNCTION("""COMPUTED_VALUE"""),"Manatee")</f>
        <v>Manatee</v>
      </c>
      <c r="D4995" s="120" t="str">
        <f>IFERROR(__xludf.DUMMYFUNCTION("""COMPUTED_VALUE"""),"Belize")</f>
        <v>Belize</v>
      </c>
      <c r="E4995" s="135"/>
      <c r="F4995" s="31"/>
    </row>
    <row r="4996">
      <c r="A4996" s="134" t="str">
        <f>IFERROR(__xludf.DUMMYFUNCTION("""COMPUTED_VALUE"""),"Manaung")</f>
        <v>Manaung</v>
      </c>
      <c r="B4996" s="120" t="str">
        <f>IFERROR(__xludf.DUMMYFUNCTION("""COMPUTED_VALUE"""),"MGU")</f>
        <v>MGU</v>
      </c>
      <c r="C4996" s="120" t="str">
        <f>IFERROR(__xludf.DUMMYFUNCTION("""COMPUTED_VALUE"""),"Manaung")</f>
        <v>Manaung</v>
      </c>
      <c r="D4996" s="120" t="str">
        <f>IFERROR(__xludf.DUMMYFUNCTION("""COMPUTED_VALUE"""),"Myanmar")</f>
        <v>Myanmar</v>
      </c>
      <c r="E4996" s="135"/>
      <c r="F4996" s="31"/>
    </row>
    <row r="4997">
      <c r="A4997" s="134" t="str">
        <f>IFERROR(__xludf.DUMMYFUNCTION("""COMPUTED_VALUE"""),"Manaus")</f>
        <v>Manaus</v>
      </c>
      <c r="B4997" s="120" t="str">
        <f>IFERROR(__xludf.DUMMYFUNCTION("""COMPUTED_VALUE"""),"MAO")</f>
        <v>MAO</v>
      </c>
      <c r="C4997" s="120" t="str">
        <f>IFERROR(__xludf.DUMMYFUNCTION("""COMPUTED_VALUE"""),"Eduardo Gomes Intl")</f>
        <v>Eduardo Gomes Intl</v>
      </c>
      <c r="D4997" s="120" t="str">
        <f>IFERROR(__xludf.DUMMYFUNCTION("""COMPUTED_VALUE"""),"Brazil")</f>
        <v>Brazil</v>
      </c>
      <c r="E4997" s="135"/>
      <c r="F4997" s="31"/>
    </row>
    <row r="4998">
      <c r="A4998" s="134" t="str">
        <f>IFERROR(__xludf.DUMMYFUNCTION("""COMPUTED_VALUE"""),"Manchester")</f>
        <v>Manchester</v>
      </c>
      <c r="B4998" s="120" t="str">
        <f>IFERROR(__xludf.DUMMYFUNCTION("""COMPUTED_VALUE"""),"MAN")</f>
        <v>MAN</v>
      </c>
      <c r="C4998" s="120" t="str">
        <f>IFERROR(__xludf.DUMMYFUNCTION("""COMPUTED_VALUE"""),"Manchester")</f>
        <v>Manchester</v>
      </c>
      <c r="D4998" s="120" t="str">
        <f>IFERROR(__xludf.DUMMYFUNCTION("""COMPUTED_VALUE"""),"United Kingdom")</f>
        <v>United Kingdom</v>
      </c>
      <c r="E4998" s="135"/>
      <c r="F4998" s="31"/>
    </row>
    <row r="4999">
      <c r="A4999" s="134" t="str">
        <f>IFERROR(__xludf.DUMMYFUNCTION("""COMPUTED_VALUE"""),"Manchester")</f>
        <v>Manchester</v>
      </c>
      <c r="B4999" s="120" t="str">
        <f>IFERROR(__xludf.DUMMYFUNCTION("""COMPUTED_VALUE"""),"ZMP")</f>
        <v>ZMP</v>
      </c>
      <c r="C4999" s="120" t="str">
        <f>IFERROR(__xludf.DUMMYFUNCTION("""COMPUTED_VALUE"""),"Manchester Bus Stn.")</f>
        <v>Manchester Bus Stn.</v>
      </c>
      <c r="D4999" s="120" t="str">
        <f>IFERROR(__xludf.DUMMYFUNCTION("""COMPUTED_VALUE"""),"United Kingdom")</f>
        <v>United Kingdom</v>
      </c>
      <c r="E4999" s="135"/>
      <c r="F4999" s="31"/>
    </row>
    <row r="5000">
      <c r="A5000" s="134" t="str">
        <f>IFERROR(__xludf.DUMMYFUNCTION("""COMPUTED_VALUE"""),"Manchester")</f>
        <v>Manchester</v>
      </c>
      <c r="B5000" s="120" t="str">
        <f>IFERROR(__xludf.DUMMYFUNCTION("""COMPUTED_VALUE"""),"MHT")</f>
        <v>MHT</v>
      </c>
      <c r="C5000" s="120" t="str">
        <f>IFERROR(__xludf.DUMMYFUNCTION("""COMPUTED_VALUE"""),"Municipal")</f>
        <v>Municipal</v>
      </c>
      <c r="D5000" s="120" t="str">
        <f>IFERROR(__xludf.DUMMYFUNCTION("""COMPUTED_VALUE"""),"United States")</f>
        <v>United States</v>
      </c>
      <c r="E5000" s="135"/>
      <c r="F5000" s="31"/>
    </row>
    <row r="5001">
      <c r="A5001" s="134" t="str">
        <f>IFERROR(__xludf.DUMMYFUNCTION("""COMPUTED_VALUE"""),"Mandabe")</f>
        <v>Mandabe</v>
      </c>
      <c r="B5001" s="120" t="str">
        <f>IFERROR(__xludf.DUMMYFUNCTION("""COMPUTED_VALUE"""),"WMD")</f>
        <v>WMD</v>
      </c>
      <c r="C5001" s="120" t="str">
        <f>IFERROR(__xludf.DUMMYFUNCTION("""COMPUTED_VALUE"""),"Mandabe")</f>
        <v>Mandabe</v>
      </c>
      <c r="D5001" s="120" t="str">
        <f>IFERROR(__xludf.DUMMYFUNCTION("""COMPUTED_VALUE"""),"Madagascar")</f>
        <v>Madagascar</v>
      </c>
      <c r="E5001" s="135"/>
      <c r="F5001" s="31"/>
    </row>
    <row r="5002">
      <c r="A5002" s="134" t="str">
        <f>IFERROR(__xludf.DUMMYFUNCTION("""COMPUTED_VALUE"""),"Mandalay")</f>
        <v>Mandalay</v>
      </c>
      <c r="B5002" s="120" t="str">
        <f>IFERROR(__xludf.DUMMYFUNCTION("""COMPUTED_VALUE"""),"MDL")</f>
        <v>MDL</v>
      </c>
      <c r="C5002" s="120" t="str">
        <f>IFERROR(__xludf.DUMMYFUNCTION("""COMPUTED_VALUE"""),"Mandalay International")</f>
        <v>Mandalay International</v>
      </c>
      <c r="D5002" s="120" t="str">
        <f>IFERROR(__xludf.DUMMYFUNCTION("""COMPUTED_VALUE"""),"Myanmar")</f>
        <v>Myanmar</v>
      </c>
      <c r="E5002" s="135"/>
      <c r="F5002" s="31"/>
    </row>
    <row r="5003">
      <c r="A5003" s="134" t="str">
        <f>IFERROR(__xludf.DUMMYFUNCTION("""COMPUTED_VALUE"""),"Mandalgobi")</f>
        <v>Mandalgobi</v>
      </c>
      <c r="B5003" s="120" t="str">
        <f>IFERROR(__xludf.DUMMYFUNCTION("""COMPUTED_VALUE"""),"MXW")</f>
        <v>MXW</v>
      </c>
      <c r="C5003" s="120" t="str">
        <f>IFERROR(__xludf.DUMMYFUNCTION("""COMPUTED_VALUE"""),"Mandalgobi")</f>
        <v>Mandalgobi</v>
      </c>
      <c r="D5003" s="120" t="str">
        <f>IFERROR(__xludf.DUMMYFUNCTION("""COMPUTED_VALUE"""),"Mongolia")</f>
        <v>Mongolia</v>
      </c>
      <c r="E5003" s="135"/>
      <c r="F5003" s="31"/>
    </row>
    <row r="5004">
      <c r="A5004" s="134" t="str">
        <f>IFERROR(__xludf.DUMMYFUNCTION("""COMPUTED_VALUE"""),"Mandera")</f>
        <v>Mandera</v>
      </c>
      <c r="B5004" s="120" t="str">
        <f>IFERROR(__xludf.DUMMYFUNCTION("""COMPUTED_VALUE"""),"NDE")</f>
        <v>NDE</v>
      </c>
      <c r="C5004" s="120" t="str">
        <f>IFERROR(__xludf.DUMMYFUNCTION("""COMPUTED_VALUE"""),"Mandera")</f>
        <v>Mandera</v>
      </c>
      <c r="D5004" s="120" t="str">
        <f>IFERROR(__xludf.DUMMYFUNCTION("""COMPUTED_VALUE"""),"Kenya")</f>
        <v>Kenya</v>
      </c>
      <c r="E5004" s="135"/>
      <c r="F5004" s="31"/>
    </row>
    <row r="5005">
      <c r="A5005" s="134" t="str">
        <f>IFERROR(__xludf.DUMMYFUNCTION("""COMPUTED_VALUE"""),"Mandeville")</f>
        <v>Mandeville</v>
      </c>
      <c r="B5005" s="120" t="str">
        <f>IFERROR(__xludf.DUMMYFUNCTION("""COMPUTED_VALUE"""),"MVJ")</f>
        <v>MVJ</v>
      </c>
      <c r="C5005" s="120" t="str">
        <f>IFERROR(__xludf.DUMMYFUNCTION("""COMPUTED_VALUE"""),"Marlboro")</f>
        <v>Marlboro</v>
      </c>
      <c r="D5005" s="120" t="str">
        <f>IFERROR(__xludf.DUMMYFUNCTION("""COMPUTED_VALUE"""),"Jamaica")</f>
        <v>Jamaica</v>
      </c>
      <c r="E5005" s="135"/>
      <c r="F5005" s="31"/>
    </row>
    <row r="5006">
      <c r="A5006" s="134" t="str">
        <f>IFERROR(__xludf.DUMMYFUNCTION("""COMPUTED_VALUE"""),"Mandji")</f>
        <v>Mandji</v>
      </c>
      <c r="B5006" s="120" t="str">
        <f>IFERROR(__xludf.DUMMYFUNCTION("""COMPUTED_VALUE"""),"KMD")</f>
        <v>KMD</v>
      </c>
      <c r="C5006" s="120" t="str">
        <f>IFERROR(__xludf.DUMMYFUNCTION("""COMPUTED_VALUE"""),"Mandji")</f>
        <v>Mandji</v>
      </c>
      <c r="D5006" s="120" t="str">
        <f>IFERROR(__xludf.DUMMYFUNCTION("""COMPUTED_VALUE"""),"Gabon")</f>
        <v>Gabon</v>
      </c>
      <c r="E5006" s="135"/>
      <c r="F5006" s="31"/>
    </row>
    <row r="5007">
      <c r="A5007" s="134" t="str">
        <f>IFERROR(__xludf.DUMMYFUNCTION("""COMPUTED_VALUE"""),"Mandora")</f>
        <v>Mandora</v>
      </c>
      <c r="B5007" s="120" t="str">
        <f>IFERROR(__xludf.DUMMYFUNCTION("""COMPUTED_VALUE"""),"MQA")</f>
        <v>MQA</v>
      </c>
      <c r="C5007" s="120" t="str">
        <f>IFERROR(__xludf.DUMMYFUNCTION("""COMPUTED_VALUE"""),"Mandora")</f>
        <v>Mandora</v>
      </c>
      <c r="D5007" s="120" t="str">
        <f>IFERROR(__xludf.DUMMYFUNCTION("""COMPUTED_VALUE"""),"Australia")</f>
        <v>Australia</v>
      </c>
      <c r="E5007" s="135"/>
      <c r="F5007" s="31"/>
    </row>
    <row r="5008">
      <c r="A5008" s="134" t="str">
        <f>IFERROR(__xludf.DUMMYFUNCTION("""COMPUTED_VALUE"""),"Mandritsara")</f>
        <v>Mandritsara</v>
      </c>
      <c r="B5008" s="120" t="str">
        <f>IFERROR(__xludf.DUMMYFUNCTION("""COMPUTED_VALUE"""),"WMA")</f>
        <v>WMA</v>
      </c>
      <c r="C5008" s="120" t="str">
        <f>IFERROR(__xludf.DUMMYFUNCTION("""COMPUTED_VALUE"""),"Mandritsara")</f>
        <v>Mandritsara</v>
      </c>
      <c r="D5008" s="120" t="str">
        <f>IFERROR(__xludf.DUMMYFUNCTION("""COMPUTED_VALUE"""),"Madagascar")</f>
        <v>Madagascar</v>
      </c>
      <c r="E5008" s="135"/>
      <c r="F5008" s="31"/>
    </row>
    <row r="5009">
      <c r="A5009" s="134" t="str">
        <f>IFERROR(__xludf.DUMMYFUNCTION("""COMPUTED_VALUE"""),"Manega")</f>
        <v>Manega</v>
      </c>
      <c r="B5009" s="120" t="str">
        <f>IFERROR(__xludf.DUMMYFUNCTION("""COMPUTED_VALUE"""),"MGO")</f>
        <v>MGO</v>
      </c>
      <c r="C5009" s="120" t="str">
        <f>IFERROR(__xludf.DUMMYFUNCTION("""COMPUTED_VALUE"""),"Manega")</f>
        <v>Manega</v>
      </c>
      <c r="D5009" s="120" t="str">
        <f>IFERROR(__xludf.DUMMYFUNCTION("""COMPUTED_VALUE"""),"Gabon")</f>
        <v>Gabon</v>
      </c>
      <c r="E5009" s="135"/>
      <c r="F5009" s="31"/>
    </row>
    <row r="5010">
      <c r="A5010" s="134" t="str">
        <f>IFERROR(__xludf.DUMMYFUNCTION("""COMPUTED_VALUE"""),"Manetai")</f>
        <v>Manetai</v>
      </c>
      <c r="B5010" s="120" t="str">
        <f>IFERROR(__xludf.DUMMYFUNCTION("""COMPUTED_VALUE"""),"MVI")</f>
        <v>MVI</v>
      </c>
      <c r="C5010" s="120" t="str">
        <f>IFERROR(__xludf.DUMMYFUNCTION("""COMPUTED_VALUE"""),"Manetai")</f>
        <v>Manetai</v>
      </c>
      <c r="D5010" s="120" t="str">
        <f>IFERROR(__xludf.DUMMYFUNCTION("""COMPUTED_VALUE"""),"Papua New Guinea")</f>
        <v>Papua New Guinea</v>
      </c>
      <c r="E5010" s="135"/>
      <c r="F5010" s="31"/>
    </row>
    <row r="5011">
      <c r="A5011" s="134" t="str">
        <f>IFERROR(__xludf.DUMMYFUNCTION("""COMPUTED_VALUE"""),"Manga")</f>
        <v>Manga</v>
      </c>
      <c r="B5011" s="120" t="str">
        <f>IFERROR(__xludf.DUMMYFUNCTION("""COMPUTED_VALUE"""),"MGP")</f>
        <v>MGP</v>
      </c>
      <c r="C5011" s="120" t="str">
        <f>IFERROR(__xludf.DUMMYFUNCTION("""COMPUTED_VALUE"""),"Manga")</f>
        <v>Manga</v>
      </c>
      <c r="D5011" s="120" t="str">
        <f>IFERROR(__xludf.DUMMYFUNCTION("""COMPUTED_VALUE"""),"Papua New Guinea")</f>
        <v>Papua New Guinea</v>
      </c>
      <c r="E5011" s="135"/>
      <c r="F5011" s="31"/>
    </row>
    <row r="5012">
      <c r="A5012" s="134" t="str">
        <f>IFERROR(__xludf.DUMMYFUNCTION("""COMPUTED_VALUE"""),"Mangaia Island")</f>
        <v>Mangaia Island</v>
      </c>
      <c r="B5012" s="120" t="str">
        <f>IFERROR(__xludf.DUMMYFUNCTION("""COMPUTED_VALUE"""),"MGS")</f>
        <v>MGS</v>
      </c>
      <c r="C5012" s="120" t="str">
        <f>IFERROR(__xludf.DUMMYFUNCTION("""COMPUTED_VALUE"""),"Mangaia Island")</f>
        <v>Mangaia Island</v>
      </c>
      <c r="D5012" s="120" t="str">
        <f>IFERROR(__xludf.DUMMYFUNCTION("""COMPUTED_VALUE"""),"Cook Islands")</f>
        <v>Cook Islands</v>
      </c>
      <c r="E5012" s="135"/>
      <c r="F5012" s="31"/>
    </row>
    <row r="5013">
      <c r="A5013" s="134" t="str">
        <f>IFERROR(__xludf.DUMMYFUNCTION("""COMPUTED_VALUE"""),"Mangalore")</f>
        <v>Mangalore</v>
      </c>
      <c r="B5013" s="120" t="str">
        <f>IFERROR(__xludf.DUMMYFUNCTION("""COMPUTED_VALUE"""),"IXE")</f>
        <v>IXE</v>
      </c>
      <c r="C5013" s="120" t="str">
        <f>IFERROR(__xludf.DUMMYFUNCTION("""COMPUTED_VALUE"""),"Bajpe")</f>
        <v>Bajpe</v>
      </c>
      <c r="D5013" s="120" t="str">
        <f>IFERROR(__xludf.DUMMYFUNCTION("""COMPUTED_VALUE"""),"India")</f>
        <v>India</v>
      </c>
      <c r="E5013" s="135"/>
      <c r="F5013" s="31"/>
    </row>
    <row r="5014">
      <c r="A5014" s="134" t="str">
        <f>IFERROR(__xludf.DUMMYFUNCTION("""COMPUTED_VALUE"""),"Mangla")</f>
        <v>Mangla</v>
      </c>
      <c r="B5014" s="120" t="str">
        <f>IFERROR(__xludf.DUMMYFUNCTION("""COMPUTED_VALUE"""),"XJM")</f>
        <v>XJM</v>
      </c>
      <c r="C5014" s="120" t="str">
        <f>IFERROR(__xludf.DUMMYFUNCTION("""COMPUTED_VALUE"""),"Mangla")</f>
        <v>Mangla</v>
      </c>
      <c r="D5014" s="120" t="str">
        <f>IFERROR(__xludf.DUMMYFUNCTION("""COMPUTED_VALUE"""),"Pakistan")</f>
        <v>Pakistan</v>
      </c>
      <c r="E5014" s="135"/>
      <c r="F5014" s="31"/>
    </row>
    <row r="5015">
      <c r="A5015" s="134" t="str">
        <f>IFERROR(__xludf.DUMMYFUNCTION("""COMPUTED_VALUE"""),"Mangochi")</f>
        <v>Mangochi</v>
      </c>
      <c r="B5015" s="120" t="str">
        <f>IFERROR(__xludf.DUMMYFUNCTION("""COMPUTED_VALUE"""),"MAI")</f>
        <v>MAI</v>
      </c>
      <c r="C5015" s="120" t="str">
        <f>IFERROR(__xludf.DUMMYFUNCTION("""COMPUTED_VALUE"""),"Mangochi")</f>
        <v>Mangochi</v>
      </c>
      <c r="D5015" s="120" t="str">
        <f>IFERROR(__xludf.DUMMYFUNCTION("""COMPUTED_VALUE"""),"Malawi")</f>
        <v>Malawi</v>
      </c>
      <c r="E5015" s="135"/>
      <c r="F5015" s="31"/>
    </row>
    <row r="5016">
      <c r="A5016" s="134" t="str">
        <f>IFERROR(__xludf.DUMMYFUNCTION("""COMPUTED_VALUE"""),"Mangole")</f>
        <v>Mangole</v>
      </c>
      <c r="B5016" s="120" t="str">
        <f>IFERROR(__xludf.DUMMYFUNCTION("""COMPUTED_VALUE"""),"MAL")</f>
        <v>MAL</v>
      </c>
      <c r="C5016" s="120" t="str">
        <f>IFERROR(__xludf.DUMMYFUNCTION("""COMPUTED_VALUE"""),"Mangole")</f>
        <v>Mangole</v>
      </c>
      <c r="D5016" s="120" t="str">
        <f>IFERROR(__xludf.DUMMYFUNCTION("""COMPUTED_VALUE"""),"Indonesia")</f>
        <v>Indonesia</v>
      </c>
      <c r="E5016" s="135"/>
      <c r="F5016" s="31"/>
    </row>
    <row r="5017">
      <c r="A5017" s="134" t="str">
        <f>IFERROR(__xludf.DUMMYFUNCTION("""COMPUTED_VALUE"""),"Mangrove Cay")</f>
        <v>Mangrove Cay</v>
      </c>
      <c r="B5017" s="120" t="str">
        <f>IFERROR(__xludf.DUMMYFUNCTION("""COMPUTED_VALUE"""),"MAY")</f>
        <v>MAY</v>
      </c>
      <c r="C5017" s="120" t="str">
        <f>IFERROR(__xludf.DUMMYFUNCTION("""COMPUTED_VALUE"""),"Mangrove Cay")</f>
        <v>Mangrove Cay</v>
      </c>
      <c r="D5017" s="120" t="str">
        <f>IFERROR(__xludf.DUMMYFUNCTION("""COMPUTED_VALUE"""),"Bahamas")</f>
        <v>Bahamas</v>
      </c>
      <c r="E5017" s="135"/>
      <c r="F5017" s="31"/>
    </row>
    <row r="5018">
      <c r="A5018" s="134" t="str">
        <f>IFERROR(__xludf.DUMMYFUNCTION("""COMPUTED_VALUE"""),"Manguna")</f>
        <v>Manguna</v>
      </c>
      <c r="B5018" s="120" t="str">
        <f>IFERROR(__xludf.DUMMYFUNCTION("""COMPUTED_VALUE"""),"MFO")</f>
        <v>MFO</v>
      </c>
      <c r="C5018" s="120" t="str">
        <f>IFERROR(__xludf.DUMMYFUNCTION("""COMPUTED_VALUE"""),"Manguna")</f>
        <v>Manguna</v>
      </c>
      <c r="D5018" s="120" t="str">
        <f>IFERROR(__xludf.DUMMYFUNCTION("""COMPUTED_VALUE"""),"Egypt")</f>
        <v>Egypt</v>
      </c>
      <c r="E5018" s="135"/>
      <c r="F5018" s="31"/>
    </row>
    <row r="5019">
      <c r="A5019" s="134" t="str">
        <f>IFERROR(__xludf.DUMMYFUNCTION("""COMPUTED_VALUE"""),"Mangunjaya")</f>
        <v>Mangunjaya</v>
      </c>
      <c r="B5019" s="120" t="str">
        <f>IFERROR(__xludf.DUMMYFUNCTION("""COMPUTED_VALUE"""),"MJY")</f>
        <v>MJY</v>
      </c>
      <c r="C5019" s="120" t="str">
        <f>IFERROR(__xludf.DUMMYFUNCTION("""COMPUTED_VALUE"""),"Mangunjaya")</f>
        <v>Mangunjaya</v>
      </c>
      <c r="D5019" s="120" t="str">
        <f>IFERROR(__xludf.DUMMYFUNCTION("""COMPUTED_VALUE"""),"Indonesia")</f>
        <v>Indonesia</v>
      </c>
      <c r="E5019" s="135"/>
      <c r="F5019" s="31"/>
    </row>
    <row r="5020">
      <c r="A5020" s="134" t="str">
        <f>IFERROR(__xludf.DUMMYFUNCTION("""COMPUTED_VALUE"""),"Manhattan")</f>
        <v>Manhattan</v>
      </c>
      <c r="B5020" s="120" t="str">
        <f>IFERROR(__xludf.DUMMYFUNCTION("""COMPUTED_VALUE"""),"MHK")</f>
        <v>MHK</v>
      </c>
      <c r="C5020" s="120" t="str">
        <f>IFERROR(__xludf.DUMMYFUNCTION("""COMPUTED_VALUE"""),"Municipal")</f>
        <v>Municipal</v>
      </c>
      <c r="D5020" s="120" t="str">
        <f>IFERROR(__xludf.DUMMYFUNCTION("""COMPUTED_VALUE"""),"United States")</f>
        <v>United States</v>
      </c>
      <c r="E5020" s="135"/>
      <c r="F5020" s="31"/>
    </row>
    <row r="5021">
      <c r="A5021" s="134" t="str">
        <f>IFERROR(__xludf.DUMMYFUNCTION("""COMPUTED_VALUE"""),"Manicore")</f>
        <v>Manicore</v>
      </c>
      <c r="B5021" s="120" t="str">
        <f>IFERROR(__xludf.DUMMYFUNCTION("""COMPUTED_VALUE"""),"MNX")</f>
        <v>MNX</v>
      </c>
      <c r="C5021" s="120" t="str">
        <f>IFERROR(__xludf.DUMMYFUNCTION("""COMPUTED_VALUE"""),"Manicore")</f>
        <v>Manicore</v>
      </c>
      <c r="D5021" s="120" t="str">
        <f>IFERROR(__xludf.DUMMYFUNCTION("""COMPUTED_VALUE"""),"Brazil")</f>
        <v>Brazil</v>
      </c>
      <c r="E5021" s="135"/>
      <c r="F5021" s="31"/>
    </row>
    <row r="5022">
      <c r="A5022" s="134" t="str">
        <f>IFERROR(__xludf.DUMMYFUNCTION("""COMPUTED_VALUE"""),"Manihi")</f>
        <v>Manihi</v>
      </c>
      <c r="B5022" s="120" t="str">
        <f>IFERROR(__xludf.DUMMYFUNCTION("""COMPUTED_VALUE"""),"XMH")</f>
        <v>XMH</v>
      </c>
      <c r="C5022" s="120" t="str">
        <f>IFERROR(__xludf.DUMMYFUNCTION("""COMPUTED_VALUE"""),"Manihi")</f>
        <v>Manihi</v>
      </c>
      <c r="D5022" s="120" t="str">
        <f>IFERROR(__xludf.DUMMYFUNCTION("""COMPUTED_VALUE"""),"French Polynesia")</f>
        <v>French Polynesia</v>
      </c>
      <c r="E5022" s="135"/>
      <c r="F5022" s="31"/>
    </row>
    <row r="5023">
      <c r="A5023" s="134" t="str">
        <f>IFERROR(__xludf.DUMMYFUNCTION("""COMPUTED_VALUE"""),"Manihiki Island")</f>
        <v>Manihiki Island</v>
      </c>
      <c r="B5023" s="120" t="str">
        <f>IFERROR(__xludf.DUMMYFUNCTION("""COMPUTED_VALUE"""),"MHX")</f>
        <v>MHX</v>
      </c>
      <c r="C5023" s="120" t="str">
        <f>IFERROR(__xludf.DUMMYFUNCTION("""COMPUTED_VALUE"""),"Manihiki Island")</f>
        <v>Manihiki Island</v>
      </c>
      <c r="D5023" s="120" t="str">
        <f>IFERROR(__xludf.DUMMYFUNCTION("""COMPUTED_VALUE"""),"Cook Islands")</f>
        <v>Cook Islands</v>
      </c>
      <c r="E5023" s="135"/>
      <c r="F5023" s="31"/>
    </row>
    <row r="5024">
      <c r="A5024" s="134" t="str">
        <f>IFERROR(__xludf.DUMMYFUNCTION("""COMPUTED_VALUE"""),"Maniitsoq")</f>
        <v>Maniitsoq</v>
      </c>
      <c r="B5024" s="120" t="str">
        <f>IFERROR(__xludf.DUMMYFUNCTION("""COMPUTED_VALUE"""),"JSU")</f>
        <v>JSU</v>
      </c>
      <c r="C5024" s="120" t="str">
        <f>IFERROR(__xludf.DUMMYFUNCTION("""COMPUTED_VALUE"""),"Heliport")</f>
        <v>Heliport</v>
      </c>
      <c r="D5024" s="120" t="str">
        <f>IFERROR(__xludf.DUMMYFUNCTION("""COMPUTED_VALUE"""),"Greenland")</f>
        <v>Greenland</v>
      </c>
      <c r="E5024" s="135"/>
      <c r="F5024" s="31"/>
    </row>
    <row r="5025">
      <c r="A5025" s="134" t="str">
        <f>IFERROR(__xludf.DUMMYFUNCTION("""COMPUTED_VALUE"""),"Manila")</f>
        <v>Manila</v>
      </c>
      <c r="B5025" s="120" t="str">
        <f>IFERROR(__xludf.DUMMYFUNCTION("""COMPUTED_VALUE"""),"MXA")</f>
        <v>MXA</v>
      </c>
      <c r="C5025" s="120" t="str">
        <f>IFERROR(__xludf.DUMMYFUNCTION("""COMPUTED_VALUE"""),"Municipal")</f>
        <v>Municipal</v>
      </c>
      <c r="D5025" s="120" t="str">
        <f>IFERROR(__xludf.DUMMYFUNCTION("""COMPUTED_VALUE"""),"United States")</f>
        <v>United States</v>
      </c>
      <c r="E5025" s="135"/>
      <c r="F5025" s="31"/>
    </row>
    <row r="5026">
      <c r="A5026" s="134" t="str">
        <f>IFERROR(__xludf.DUMMYFUNCTION("""COMPUTED_VALUE"""),"Manila")</f>
        <v>Manila</v>
      </c>
      <c r="B5026" s="120" t="str">
        <f>IFERROR(__xludf.DUMMYFUNCTION("""COMPUTED_VALUE"""),"MNL")</f>
        <v>MNL</v>
      </c>
      <c r="C5026" s="120" t="str">
        <f>IFERROR(__xludf.DUMMYFUNCTION("""COMPUTED_VALUE"""),"Ninoy Aquino Intl")</f>
        <v>Ninoy Aquino Intl</v>
      </c>
      <c r="D5026" s="120" t="str">
        <f>IFERROR(__xludf.DUMMYFUNCTION("""COMPUTED_VALUE"""),"Philippines")</f>
        <v>Philippines</v>
      </c>
      <c r="E5026" s="135"/>
      <c r="F5026" s="31"/>
    </row>
    <row r="5027">
      <c r="A5027" s="134" t="str">
        <f>IFERROR(__xludf.DUMMYFUNCTION("""COMPUTED_VALUE"""),"Cavite City")</f>
        <v>Cavite City</v>
      </c>
      <c r="B5027" s="120" t="str">
        <f>IFERROR(__xludf.DUMMYFUNCTION("""COMPUTED_VALUE"""),"SGL")</f>
        <v>SGL</v>
      </c>
      <c r="C5027" s="120" t="str">
        <f>IFERROR(__xludf.DUMMYFUNCTION("""COMPUTED_VALUE"""),"Sangley Point NAS")</f>
        <v>Sangley Point NAS</v>
      </c>
      <c r="D5027" s="120" t="str">
        <f>IFERROR(__xludf.DUMMYFUNCTION("""COMPUTED_VALUE"""),"Philippines")</f>
        <v>Philippines</v>
      </c>
      <c r="E5027" s="135"/>
      <c r="F5027" s="31"/>
    </row>
    <row r="5028">
      <c r="A5028" s="134" t="str">
        <f>IFERROR(__xludf.DUMMYFUNCTION("""COMPUTED_VALUE"""),"Maningrida")</f>
        <v>Maningrida</v>
      </c>
      <c r="B5028" s="120" t="str">
        <f>IFERROR(__xludf.DUMMYFUNCTION("""COMPUTED_VALUE"""),"MNG")</f>
        <v>MNG</v>
      </c>
      <c r="C5028" s="120" t="str">
        <f>IFERROR(__xludf.DUMMYFUNCTION("""COMPUTED_VALUE"""),"Maningrida")</f>
        <v>Maningrida</v>
      </c>
      <c r="D5028" s="120" t="str">
        <f>IFERROR(__xludf.DUMMYFUNCTION("""COMPUTED_VALUE"""),"Australia")</f>
        <v>Australia</v>
      </c>
      <c r="E5028" s="135"/>
      <c r="F5028" s="31"/>
    </row>
    <row r="5029">
      <c r="A5029" s="134" t="str">
        <f>IFERROR(__xludf.DUMMYFUNCTION("""COMPUTED_VALUE"""),"Manistee")</f>
        <v>Manistee</v>
      </c>
      <c r="B5029" s="120" t="str">
        <f>IFERROR(__xludf.DUMMYFUNCTION("""COMPUTED_VALUE"""),"MBL")</f>
        <v>MBL</v>
      </c>
      <c r="C5029" s="120" t="str">
        <f>IFERROR(__xludf.DUMMYFUNCTION("""COMPUTED_VALUE"""),"Blacker")</f>
        <v>Blacker</v>
      </c>
      <c r="D5029" s="120" t="str">
        <f>IFERROR(__xludf.DUMMYFUNCTION("""COMPUTED_VALUE"""),"United States")</f>
        <v>United States</v>
      </c>
      <c r="E5029" s="135"/>
      <c r="F5029" s="31"/>
    </row>
    <row r="5030">
      <c r="A5030" s="134" t="str">
        <f>IFERROR(__xludf.DUMMYFUNCTION("""COMPUTED_VALUE"""),"Manistique")</f>
        <v>Manistique</v>
      </c>
      <c r="B5030" s="120" t="str">
        <f>IFERROR(__xludf.DUMMYFUNCTION("""COMPUTED_VALUE"""),"ISQ")</f>
        <v>ISQ</v>
      </c>
      <c r="C5030" s="120" t="str">
        <f>IFERROR(__xludf.DUMMYFUNCTION("""COMPUTED_VALUE"""),"Schoolcraft County")</f>
        <v>Schoolcraft County</v>
      </c>
      <c r="D5030" s="120" t="str">
        <f>IFERROR(__xludf.DUMMYFUNCTION("""COMPUTED_VALUE"""),"United States")</f>
        <v>United States</v>
      </c>
      <c r="E5030" s="135"/>
      <c r="F5030" s="31"/>
    </row>
    <row r="5031">
      <c r="A5031" s="134" t="str">
        <f>IFERROR(__xludf.DUMMYFUNCTION("""COMPUTED_VALUE"""),"Manitouwadge")</f>
        <v>Manitouwadge</v>
      </c>
      <c r="B5031" s="120" t="str">
        <f>IFERROR(__xludf.DUMMYFUNCTION("""COMPUTED_VALUE"""),"YMG")</f>
        <v>YMG</v>
      </c>
      <c r="C5031" s="120" t="str">
        <f>IFERROR(__xludf.DUMMYFUNCTION("""COMPUTED_VALUE"""),"Manitouwadge")</f>
        <v>Manitouwadge</v>
      </c>
      <c r="D5031" s="120" t="str">
        <f>IFERROR(__xludf.DUMMYFUNCTION("""COMPUTED_VALUE"""),"Canada")</f>
        <v>Canada</v>
      </c>
      <c r="E5031" s="135"/>
      <c r="F5031" s="31"/>
    </row>
    <row r="5032">
      <c r="A5032" s="134" t="str">
        <f>IFERROR(__xludf.DUMMYFUNCTION("""COMPUTED_VALUE"""),"Manitowaning")</f>
        <v>Manitowaning</v>
      </c>
      <c r="B5032" s="120" t="str">
        <f>IFERROR(__xludf.DUMMYFUNCTION("""COMPUTED_VALUE"""),"YEM")</f>
        <v>YEM</v>
      </c>
      <c r="C5032" s="120" t="str">
        <f>IFERROR(__xludf.DUMMYFUNCTION("""COMPUTED_VALUE"""),"East Manitoulin")</f>
        <v>East Manitoulin</v>
      </c>
      <c r="D5032" s="120" t="str">
        <f>IFERROR(__xludf.DUMMYFUNCTION("""COMPUTED_VALUE"""),"Canada")</f>
        <v>Canada</v>
      </c>
      <c r="E5032" s="135"/>
      <c r="F5032" s="31"/>
    </row>
    <row r="5033">
      <c r="A5033" s="134" t="str">
        <f>IFERROR(__xludf.DUMMYFUNCTION("""COMPUTED_VALUE"""),"Manitowoc")</f>
        <v>Manitowoc</v>
      </c>
      <c r="B5033" s="120" t="str">
        <f>IFERROR(__xludf.DUMMYFUNCTION("""COMPUTED_VALUE"""),"MTW")</f>
        <v>MTW</v>
      </c>
      <c r="C5033" s="120" t="str">
        <f>IFERROR(__xludf.DUMMYFUNCTION("""COMPUTED_VALUE"""),"Municipal")</f>
        <v>Municipal</v>
      </c>
      <c r="D5033" s="120" t="str">
        <f>IFERROR(__xludf.DUMMYFUNCTION("""COMPUTED_VALUE"""),"United States")</f>
        <v>United States</v>
      </c>
      <c r="E5033" s="135"/>
      <c r="F5033" s="31"/>
    </row>
    <row r="5034">
      <c r="A5034" s="134" t="str">
        <f>IFERROR(__xludf.DUMMYFUNCTION("""COMPUTED_VALUE"""),"Maniwaki")</f>
        <v>Maniwaki</v>
      </c>
      <c r="B5034" s="120" t="str">
        <f>IFERROR(__xludf.DUMMYFUNCTION("""COMPUTED_VALUE"""),"YMW")</f>
        <v>YMW</v>
      </c>
      <c r="C5034" s="120" t="str">
        <f>IFERROR(__xludf.DUMMYFUNCTION("""COMPUTED_VALUE"""),"Maniwaki")</f>
        <v>Maniwaki</v>
      </c>
      <c r="D5034" s="120" t="str">
        <f>IFERROR(__xludf.DUMMYFUNCTION("""COMPUTED_VALUE"""),"Canada")</f>
        <v>Canada</v>
      </c>
      <c r="E5034" s="135"/>
      <c r="F5034" s="31"/>
    </row>
    <row r="5035">
      <c r="A5035" s="134" t="str">
        <f>IFERROR(__xludf.DUMMYFUNCTION("""COMPUTED_VALUE"""),"Manizales")</f>
        <v>Manizales</v>
      </c>
      <c r="B5035" s="120" t="str">
        <f>IFERROR(__xludf.DUMMYFUNCTION("""COMPUTED_VALUE"""),"MZL")</f>
        <v>MZL</v>
      </c>
      <c r="C5035" s="120" t="str">
        <f>IFERROR(__xludf.DUMMYFUNCTION("""COMPUTED_VALUE"""),"Santaguida")</f>
        <v>Santaguida</v>
      </c>
      <c r="D5035" s="120" t="str">
        <f>IFERROR(__xludf.DUMMYFUNCTION("""COMPUTED_VALUE"""),"Colombia")</f>
        <v>Colombia</v>
      </c>
      <c r="E5035" s="135"/>
      <c r="F5035" s="31"/>
    </row>
    <row r="5036">
      <c r="A5036" s="134" t="str">
        <f>IFERROR(__xludf.DUMMYFUNCTION("""COMPUTED_VALUE"""),"Manja")</f>
        <v>Manja</v>
      </c>
      <c r="B5036" s="120" t="str">
        <f>IFERROR(__xludf.DUMMYFUNCTION("""COMPUTED_VALUE"""),"MJA")</f>
        <v>MJA</v>
      </c>
      <c r="C5036" s="120" t="str">
        <f>IFERROR(__xludf.DUMMYFUNCTION("""COMPUTED_VALUE"""),"Manja")</f>
        <v>Manja</v>
      </c>
      <c r="D5036" s="120" t="str">
        <f>IFERROR(__xludf.DUMMYFUNCTION("""COMPUTED_VALUE"""),"Madagascar")</f>
        <v>Madagascar</v>
      </c>
      <c r="E5036" s="135"/>
      <c r="F5036" s="31"/>
    </row>
    <row r="5037">
      <c r="A5037" s="134" t="str">
        <f>IFERROR(__xludf.DUMMYFUNCTION("""COMPUTED_VALUE"""),"Manjimup")</f>
        <v>Manjimup</v>
      </c>
      <c r="B5037" s="120" t="str">
        <f>IFERROR(__xludf.DUMMYFUNCTION("""COMPUTED_VALUE"""),"MJP")</f>
        <v>MJP</v>
      </c>
      <c r="C5037" s="120" t="str">
        <f>IFERROR(__xludf.DUMMYFUNCTION("""COMPUTED_VALUE"""),"Manjimup")</f>
        <v>Manjimup</v>
      </c>
      <c r="D5037" s="120" t="str">
        <f>IFERROR(__xludf.DUMMYFUNCTION("""COMPUTED_VALUE"""),"Australia")</f>
        <v>Australia</v>
      </c>
      <c r="E5037" s="135"/>
      <c r="F5037" s="31"/>
    </row>
    <row r="5038">
      <c r="A5038" s="134" t="str">
        <f>IFERROR(__xludf.DUMMYFUNCTION("""COMPUTED_VALUE"""),"Mankato")</f>
        <v>Mankato</v>
      </c>
      <c r="B5038" s="120" t="str">
        <f>IFERROR(__xludf.DUMMYFUNCTION("""COMPUTED_VALUE"""),"MKT")</f>
        <v>MKT</v>
      </c>
      <c r="C5038" s="120" t="str">
        <f>IFERROR(__xludf.DUMMYFUNCTION("""COMPUTED_VALUE"""),"Municipal")</f>
        <v>Municipal</v>
      </c>
      <c r="D5038" s="120" t="str">
        <f>IFERROR(__xludf.DUMMYFUNCTION("""COMPUTED_VALUE"""),"United States")</f>
        <v>United States</v>
      </c>
      <c r="E5038" s="135"/>
      <c r="F5038" s="31"/>
    </row>
    <row r="5039">
      <c r="A5039" s="134" t="str">
        <f>IFERROR(__xludf.DUMMYFUNCTION("""COMPUTED_VALUE"""),"Mankato")</f>
        <v>Mankato</v>
      </c>
      <c r="B5039" s="120" t="str">
        <f>IFERROR(__xludf.DUMMYFUNCTION("""COMPUTED_VALUE"""),"JMN")</f>
        <v>JMN</v>
      </c>
      <c r="C5039" s="120" t="str">
        <f>IFERROR(__xludf.DUMMYFUNCTION("""COMPUTED_VALUE"""),"Municipal Heliport")</f>
        <v>Municipal Heliport</v>
      </c>
      <c r="D5039" s="120" t="str">
        <f>IFERROR(__xludf.DUMMYFUNCTION("""COMPUTED_VALUE"""),"United States")</f>
        <v>United States</v>
      </c>
      <c r="E5039" s="135"/>
      <c r="F5039" s="31"/>
    </row>
    <row r="5040">
      <c r="A5040" s="134" t="str">
        <f>IFERROR(__xludf.DUMMYFUNCTION("""COMPUTED_VALUE"""),"Mankono")</f>
        <v>Mankono</v>
      </c>
      <c r="B5040" s="120" t="str">
        <f>IFERROR(__xludf.DUMMYFUNCTION("""COMPUTED_VALUE"""),"MOK")</f>
        <v>MOK</v>
      </c>
      <c r="C5040" s="120" t="str">
        <f>IFERROR(__xludf.DUMMYFUNCTION("""COMPUTED_VALUE"""),"Mankono")</f>
        <v>Mankono</v>
      </c>
      <c r="D5040" s="120" t="str">
        <f>IFERROR(__xludf.DUMMYFUNCTION("""COMPUTED_VALUE"""),"Cote D'Ivoire (Ivory Coast)")</f>
        <v>Cote D'Ivoire (Ivory Coast)</v>
      </c>
      <c r="E5040" s="135"/>
      <c r="F5040" s="31"/>
    </row>
    <row r="5041">
      <c r="A5041" s="134" t="str">
        <f>IFERROR(__xludf.DUMMYFUNCTION("""COMPUTED_VALUE"""),"Manley Hot Springs")</f>
        <v>Manley Hot Springs</v>
      </c>
      <c r="B5041" s="120" t="str">
        <f>IFERROR(__xludf.DUMMYFUNCTION("""COMPUTED_VALUE"""),"MLY")</f>
        <v>MLY</v>
      </c>
      <c r="C5041" s="120" t="str">
        <f>IFERROR(__xludf.DUMMYFUNCTION("""COMPUTED_VALUE"""),"Manley Hot Springs")</f>
        <v>Manley Hot Springs</v>
      </c>
      <c r="D5041" s="120" t="str">
        <f>IFERROR(__xludf.DUMMYFUNCTION("""COMPUTED_VALUE"""),"United States")</f>
        <v>United States</v>
      </c>
      <c r="E5041" s="135"/>
      <c r="F5041" s="31"/>
    </row>
    <row r="5042">
      <c r="A5042" s="134" t="str">
        <f>IFERROR(__xludf.DUMMYFUNCTION("""COMPUTED_VALUE"""),"Manly")</f>
        <v>Manly</v>
      </c>
      <c r="B5042" s="120" t="str">
        <f>IFERROR(__xludf.DUMMYFUNCTION("""COMPUTED_VALUE"""),"WGZ")</f>
        <v>WGZ</v>
      </c>
      <c r="C5042" s="120" t="str">
        <f>IFERROR(__xludf.DUMMYFUNCTION("""COMPUTED_VALUE"""),"Off Line Point")</f>
        <v>Off Line Point</v>
      </c>
      <c r="D5042" s="120" t="str">
        <f>IFERROR(__xludf.DUMMYFUNCTION("""COMPUTED_VALUE"""),"Australia")</f>
        <v>Australia</v>
      </c>
      <c r="E5042" s="135"/>
      <c r="F5042" s="31"/>
    </row>
    <row r="5043">
      <c r="A5043" s="134" t="str">
        <f>IFERROR(__xludf.DUMMYFUNCTION("""COMPUTED_VALUE"""),"Manners Creek")</f>
        <v>Manners Creek</v>
      </c>
      <c r="B5043" s="120" t="str">
        <f>IFERROR(__xludf.DUMMYFUNCTION("""COMPUTED_VALUE"""),"MFP")</f>
        <v>MFP</v>
      </c>
      <c r="C5043" s="120" t="str">
        <f>IFERROR(__xludf.DUMMYFUNCTION("""COMPUTED_VALUE"""),"Manners Creek")</f>
        <v>Manners Creek</v>
      </c>
      <c r="D5043" s="120" t="str">
        <f>IFERROR(__xludf.DUMMYFUNCTION("""COMPUTED_VALUE"""),"Australia")</f>
        <v>Australia</v>
      </c>
      <c r="E5043" s="135"/>
      <c r="F5043" s="31"/>
    </row>
    <row r="5044">
      <c r="A5044" s="134" t="str">
        <f>IFERROR(__xludf.DUMMYFUNCTION("""COMPUTED_VALUE"""),"Mannheim")</f>
        <v>Mannheim</v>
      </c>
      <c r="B5044" s="120" t="str">
        <f>IFERROR(__xludf.DUMMYFUNCTION("""COMPUTED_VALUE"""),"MHG")</f>
        <v>MHG</v>
      </c>
      <c r="C5044" s="120" t="str">
        <f>IFERROR(__xludf.DUMMYFUNCTION("""COMPUTED_VALUE"""),"Mannheim Arpt")</f>
        <v>Mannheim Arpt</v>
      </c>
      <c r="D5044" s="120" t="str">
        <f>IFERROR(__xludf.DUMMYFUNCTION("""COMPUTED_VALUE"""),"Germany")</f>
        <v>Germany</v>
      </c>
      <c r="E5044" s="135"/>
      <c r="F5044" s="31"/>
    </row>
    <row r="5045">
      <c r="A5045" s="134" t="str">
        <f>IFERROR(__xludf.DUMMYFUNCTION("""COMPUTED_VALUE"""),"Manokotak")</f>
        <v>Manokotak</v>
      </c>
      <c r="B5045" s="120" t="str">
        <f>IFERROR(__xludf.DUMMYFUNCTION("""COMPUTED_VALUE"""),"KMO")</f>
        <v>KMO</v>
      </c>
      <c r="C5045" s="120" t="str">
        <f>IFERROR(__xludf.DUMMYFUNCTION("""COMPUTED_VALUE"""),"Manokotak SPB")</f>
        <v>Manokotak SPB</v>
      </c>
      <c r="D5045" s="120" t="str">
        <f>IFERROR(__xludf.DUMMYFUNCTION("""COMPUTED_VALUE"""),"United States")</f>
        <v>United States</v>
      </c>
      <c r="E5045" s="135"/>
      <c r="F5045" s="31"/>
    </row>
    <row r="5046">
      <c r="A5046" s="134" t="str">
        <f>IFERROR(__xludf.DUMMYFUNCTION("""COMPUTED_VALUE"""),"Manokwari")</f>
        <v>Manokwari</v>
      </c>
      <c r="B5046" s="120" t="str">
        <f>IFERROR(__xludf.DUMMYFUNCTION("""COMPUTED_VALUE"""),"MKW")</f>
        <v>MKW</v>
      </c>
      <c r="C5046" s="120" t="str">
        <f>IFERROR(__xludf.DUMMYFUNCTION("""COMPUTED_VALUE"""),"Rendani")</f>
        <v>Rendani</v>
      </c>
      <c r="D5046" s="120" t="str">
        <f>IFERROR(__xludf.DUMMYFUNCTION("""COMPUTED_VALUE"""),"Indonesia")</f>
        <v>Indonesia</v>
      </c>
      <c r="E5046" s="135"/>
      <c r="F5046" s="31"/>
    </row>
    <row r="5047">
      <c r="A5047" s="134" t="str">
        <f>IFERROR(__xludf.DUMMYFUNCTION("""COMPUTED_VALUE"""),"Manono")</f>
        <v>Manono</v>
      </c>
      <c r="B5047" s="120" t="str">
        <f>IFERROR(__xludf.DUMMYFUNCTION("""COMPUTED_VALUE"""),"MNO")</f>
        <v>MNO</v>
      </c>
      <c r="C5047" s="120" t="str">
        <f>IFERROR(__xludf.DUMMYFUNCTION("""COMPUTED_VALUE"""),"Manono")</f>
        <v>Manono</v>
      </c>
      <c r="D5047" s="120" t="str">
        <f>IFERROR(__xludf.DUMMYFUNCTION("""COMPUTED_VALUE"""),"Zaire")</f>
        <v>Zaire</v>
      </c>
      <c r="E5047" s="135"/>
      <c r="F5047" s="31"/>
    </row>
    <row r="5048">
      <c r="A5048" s="134" t="str">
        <f>IFERROR(__xludf.DUMMYFUNCTION("""COMPUTED_VALUE"""),"Mansa")</f>
        <v>Mansa</v>
      </c>
      <c r="B5048" s="120" t="str">
        <f>IFERROR(__xludf.DUMMYFUNCTION("""COMPUTED_VALUE"""),"MNS")</f>
        <v>MNS</v>
      </c>
      <c r="C5048" s="120" t="str">
        <f>IFERROR(__xludf.DUMMYFUNCTION("""COMPUTED_VALUE"""),"Mansa")</f>
        <v>Mansa</v>
      </c>
      <c r="D5048" s="120" t="str">
        <f>IFERROR(__xludf.DUMMYFUNCTION("""COMPUTED_VALUE"""),"Zambia")</f>
        <v>Zambia</v>
      </c>
      <c r="E5048" s="135"/>
      <c r="F5048" s="31"/>
    </row>
    <row r="5049">
      <c r="A5049" s="134" t="str">
        <f>IFERROR(__xludf.DUMMYFUNCTION("""COMPUTED_VALUE"""),"Mansehra")</f>
        <v>Mansehra</v>
      </c>
      <c r="B5049" s="120" t="str">
        <f>IFERROR(__xludf.DUMMYFUNCTION("""COMPUTED_VALUE"""),"HRA")</f>
        <v>HRA</v>
      </c>
      <c r="C5049" s="120" t="str">
        <f>IFERROR(__xludf.DUMMYFUNCTION("""COMPUTED_VALUE"""),"Mansehra")</f>
        <v>Mansehra</v>
      </c>
      <c r="D5049" s="120" t="str">
        <f>IFERROR(__xludf.DUMMYFUNCTION("""COMPUTED_VALUE"""),"Pakistan")</f>
        <v>Pakistan</v>
      </c>
      <c r="E5049" s="135"/>
      <c r="F5049" s="31"/>
    </row>
    <row r="5050">
      <c r="A5050" s="134" t="str">
        <f>IFERROR(__xludf.DUMMYFUNCTION("""COMPUTED_VALUE"""),"Mansfield")</f>
        <v>Mansfield</v>
      </c>
      <c r="B5050" s="120" t="str">
        <f>IFERROR(__xludf.DUMMYFUNCTION("""COMPUTED_VALUE"""),"MFD")</f>
        <v>MFD</v>
      </c>
      <c r="C5050" s="120" t="str">
        <f>IFERROR(__xludf.DUMMYFUNCTION("""COMPUTED_VALUE"""),"Lahm Municipal")</f>
        <v>Lahm Municipal</v>
      </c>
      <c r="D5050" s="120" t="str">
        <f>IFERROR(__xludf.DUMMYFUNCTION("""COMPUTED_VALUE"""),"United States")</f>
        <v>United States</v>
      </c>
      <c r="E5050" s="135"/>
      <c r="F5050" s="31"/>
    </row>
    <row r="5051">
      <c r="A5051" s="134" t="str">
        <f>IFERROR(__xludf.DUMMYFUNCTION("""COMPUTED_VALUE"""),"Mansion House")</f>
        <v>Mansion House</v>
      </c>
      <c r="B5051" s="120" t="str">
        <f>IFERROR(__xludf.DUMMYFUNCTION("""COMPUTED_VALUE"""),"KWU")</f>
        <v>KWU</v>
      </c>
      <c r="C5051" s="120" t="str">
        <f>IFERROR(__xludf.DUMMYFUNCTION("""COMPUTED_VALUE"""),"Mansion House")</f>
        <v>Mansion House</v>
      </c>
      <c r="D5051" s="120" t="str">
        <f>IFERROR(__xludf.DUMMYFUNCTION("""COMPUTED_VALUE"""),"New Zealand (Aotearoa)")</f>
        <v>New Zealand (Aotearoa)</v>
      </c>
      <c r="E5051" s="135"/>
      <c r="F5051" s="31"/>
    </row>
    <row r="5052">
      <c r="A5052" s="134" t="str">
        <f>IFERROR(__xludf.DUMMYFUNCTION("""COMPUTED_VALUE"""),"Manston")</f>
        <v>Manston</v>
      </c>
      <c r="B5052" s="120" t="str">
        <f>IFERROR(__xludf.DUMMYFUNCTION("""COMPUTED_VALUE"""),"MSE")</f>
        <v>MSE</v>
      </c>
      <c r="C5052" s="120" t="str">
        <f>IFERROR(__xludf.DUMMYFUNCTION("""COMPUTED_VALUE"""),"Kent International")</f>
        <v>Kent International</v>
      </c>
      <c r="D5052" s="120" t="str">
        <f>IFERROR(__xludf.DUMMYFUNCTION("""COMPUTED_VALUE"""),"United Kingdom")</f>
        <v>United Kingdom</v>
      </c>
      <c r="E5052" s="135"/>
      <c r="F5052" s="31"/>
    </row>
    <row r="5053">
      <c r="A5053" s="134" t="str">
        <f>IFERROR(__xludf.DUMMYFUNCTION("""COMPUTED_VALUE"""),"Manta")</f>
        <v>Manta</v>
      </c>
      <c r="B5053" s="120" t="str">
        <f>IFERROR(__xludf.DUMMYFUNCTION("""COMPUTED_VALUE"""),"MEC")</f>
        <v>MEC</v>
      </c>
      <c r="C5053" s="120" t="str">
        <f>IFERROR(__xludf.DUMMYFUNCTION("""COMPUTED_VALUE"""),"Manta")</f>
        <v>Manta</v>
      </c>
      <c r="D5053" s="120" t="str">
        <f>IFERROR(__xludf.DUMMYFUNCTION("""COMPUTED_VALUE"""),"Ecuador")</f>
        <v>Ecuador</v>
      </c>
      <c r="E5053" s="135"/>
      <c r="F5053" s="31"/>
    </row>
    <row r="5054">
      <c r="A5054" s="134" t="str">
        <f>IFERROR(__xludf.DUMMYFUNCTION("""COMPUTED_VALUE"""),"Manteo")</f>
        <v>Manteo</v>
      </c>
      <c r="B5054" s="120" t="str">
        <f>IFERROR(__xludf.DUMMYFUNCTION("""COMPUTED_VALUE"""),"MEO")</f>
        <v>MEO</v>
      </c>
      <c r="C5054" s="120" t="str">
        <f>IFERROR(__xludf.DUMMYFUNCTION("""COMPUTED_VALUE"""),"Dare County Regional")</f>
        <v>Dare County Regional</v>
      </c>
      <c r="D5054" s="120" t="str">
        <f>IFERROR(__xludf.DUMMYFUNCTION("""COMPUTED_VALUE"""),"United States")</f>
        <v>United States</v>
      </c>
      <c r="E5054" s="135"/>
      <c r="F5054" s="31"/>
    </row>
    <row r="5055">
      <c r="A5055" s="134" t="str">
        <f>IFERROR(__xludf.DUMMYFUNCTION("""COMPUTED_VALUE"""),"Manti")</f>
        <v>Manti</v>
      </c>
      <c r="B5055" s="120" t="str">
        <f>IFERROR(__xludf.DUMMYFUNCTION("""COMPUTED_VALUE"""),"NTJ")</f>
        <v>NTJ</v>
      </c>
      <c r="C5055" s="120" t="str">
        <f>IFERROR(__xludf.DUMMYFUNCTION("""COMPUTED_VALUE"""),"Manti-Ephraim")</f>
        <v>Manti-Ephraim</v>
      </c>
      <c r="D5055" s="120" t="str">
        <f>IFERROR(__xludf.DUMMYFUNCTION("""COMPUTED_VALUE"""),"United States")</f>
        <v>United States</v>
      </c>
      <c r="E5055" s="135"/>
      <c r="F5055" s="31"/>
    </row>
    <row r="5056">
      <c r="A5056" s="134" t="str">
        <f>IFERROR(__xludf.DUMMYFUNCTION("""COMPUTED_VALUE"""),"Manumu")</f>
        <v>Manumu</v>
      </c>
      <c r="B5056" s="120" t="str">
        <f>IFERROR(__xludf.DUMMYFUNCTION("""COMPUTED_VALUE"""),"UUU")</f>
        <v>UUU</v>
      </c>
      <c r="C5056" s="120" t="str">
        <f>IFERROR(__xludf.DUMMYFUNCTION("""COMPUTED_VALUE"""),"Manumu")</f>
        <v>Manumu</v>
      </c>
      <c r="D5056" s="120" t="str">
        <f>IFERROR(__xludf.DUMMYFUNCTION("""COMPUTED_VALUE"""),"Papua New Guinea")</f>
        <v>Papua New Guinea</v>
      </c>
      <c r="E5056" s="135"/>
      <c r="F5056" s="31"/>
    </row>
    <row r="5057">
      <c r="A5057" s="134" t="str">
        <f>IFERROR(__xludf.DUMMYFUNCTION("""COMPUTED_VALUE"""),"Manus Island")</f>
        <v>Manus Island</v>
      </c>
      <c r="B5057" s="120" t="str">
        <f>IFERROR(__xludf.DUMMYFUNCTION("""COMPUTED_VALUE"""),"MAS")</f>
        <v>MAS</v>
      </c>
      <c r="C5057" s="120" t="str">
        <f>IFERROR(__xludf.DUMMYFUNCTION("""COMPUTED_VALUE"""),"Momote")</f>
        <v>Momote</v>
      </c>
      <c r="D5057" s="120" t="str">
        <f>IFERROR(__xludf.DUMMYFUNCTION("""COMPUTED_VALUE"""),"Papua New Guinea")</f>
        <v>Papua New Guinea</v>
      </c>
      <c r="E5057" s="135"/>
      <c r="F5057" s="31"/>
    </row>
    <row r="5058">
      <c r="A5058" s="134" t="str">
        <f>IFERROR(__xludf.DUMMYFUNCTION("""COMPUTED_VALUE"""),"Manville")</f>
        <v>Manville</v>
      </c>
      <c r="B5058" s="120" t="str">
        <f>IFERROR(__xludf.DUMMYFUNCTION("""COMPUTED_VALUE"""),"JVI")</f>
        <v>JVI</v>
      </c>
      <c r="C5058" s="120" t="str">
        <f>IFERROR(__xludf.DUMMYFUNCTION("""COMPUTED_VALUE"""),"Kupper")</f>
        <v>Kupper</v>
      </c>
      <c r="D5058" s="120" t="str">
        <f>IFERROR(__xludf.DUMMYFUNCTION("""COMPUTED_VALUE"""),"United States")</f>
        <v>United States</v>
      </c>
      <c r="E5058" s="135"/>
      <c r="F5058" s="31"/>
    </row>
    <row r="5059">
      <c r="A5059" s="134" t="str">
        <f>IFERROR(__xludf.DUMMYFUNCTION("""COMPUTED_VALUE"""),"Manzanillo")</f>
        <v>Manzanillo</v>
      </c>
      <c r="B5059" s="120" t="str">
        <f>IFERROR(__xludf.DUMMYFUNCTION("""COMPUTED_VALUE"""),"MZO")</f>
        <v>MZO</v>
      </c>
      <c r="C5059" s="120" t="str">
        <f>IFERROR(__xludf.DUMMYFUNCTION("""COMPUTED_VALUE"""),"Sierra Maestra")</f>
        <v>Sierra Maestra</v>
      </c>
      <c r="D5059" s="120" t="str">
        <f>IFERROR(__xludf.DUMMYFUNCTION("""COMPUTED_VALUE"""),"Cuba")</f>
        <v>Cuba</v>
      </c>
      <c r="E5059" s="135"/>
      <c r="F5059" s="31"/>
    </row>
    <row r="5060">
      <c r="A5060" s="134" t="str">
        <f>IFERROR(__xludf.DUMMYFUNCTION("""COMPUTED_VALUE"""),"Manzanillo")</f>
        <v>Manzanillo</v>
      </c>
      <c r="B5060" s="120" t="str">
        <f>IFERROR(__xludf.DUMMYFUNCTION("""COMPUTED_VALUE"""),"ZLO")</f>
        <v>ZLO</v>
      </c>
      <c r="C5060" s="120" t="str">
        <f>IFERROR(__xludf.DUMMYFUNCTION("""COMPUTED_VALUE"""),"Manzanillo")</f>
        <v>Manzanillo</v>
      </c>
      <c r="D5060" s="120" t="str">
        <f>IFERROR(__xludf.DUMMYFUNCTION("""COMPUTED_VALUE"""),"Mexico")</f>
        <v>Mexico</v>
      </c>
      <c r="E5060" s="135"/>
      <c r="F5060" s="31"/>
    </row>
    <row r="5061">
      <c r="A5061" s="134" t="str">
        <f>IFERROR(__xludf.DUMMYFUNCTION("""COMPUTED_VALUE"""),"Manzhouli")</f>
        <v>Manzhouli</v>
      </c>
      <c r="B5061" s="120" t="str">
        <f>IFERROR(__xludf.DUMMYFUNCTION("""COMPUTED_VALUE"""),"NZH")</f>
        <v>NZH</v>
      </c>
      <c r="C5061" s="120" t="str">
        <f>IFERROR(__xludf.DUMMYFUNCTION("""COMPUTED_VALUE"""),"Manzhouli")</f>
        <v>Manzhouli</v>
      </c>
      <c r="D5061" s="120" t="str">
        <f>IFERROR(__xludf.DUMMYFUNCTION("""COMPUTED_VALUE"""),"China")</f>
        <v>China</v>
      </c>
      <c r="E5061" s="135"/>
      <c r="F5061" s="31"/>
    </row>
    <row r="5062">
      <c r="A5062" s="134" t="str">
        <f>IFERROR(__xludf.DUMMYFUNCTION("""COMPUTED_VALUE"""),"Manzini")</f>
        <v>Manzini</v>
      </c>
      <c r="B5062" s="120" t="str">
        <f>IFERROR(__xludf.DUMMYFUNCTION("""COMPUTED_VALUE"""),"MTS")</f>
        <v>MTS</v>
      </c>
      <c r="C5062" s="120" t="str">
        <f>IFERROR(__xludf.DUMMYFUNCTION("""COMPUTED_VALUE"""),"Matsapha Intl")</f>
        <v>Matsapha Intl</v>
      </c>
      <c r="D5062" s="120" t="str">
        <f>IFERROR(__xludf.DUMMYFUNCTION("""COMPUTED_VALUE"""),"Swaziland")</f>
        <v>Swaziland</v>
      </c>
      <c r="E5062" s="135"/>
      <c r="F5062" s="31"/>
    </row>
    <row r="5063">
      <c r="A5063" s="134" t="str">
        <f>IFERROR(__xludf.DUMMYFUNCTION("""COMPUTED_VALUE"""),"Mao")</f>
        <v>Mao</v>
      </c>
      <c r="B5063" s="120" t="str">
        <f>IFERROR(__xludf.DUMMYFUNCTION("""COMPUTED_VALUE"""),"AMO")</f>
        <v>AMO</v>
      </c>
      <c r="C5063" s="120" t="str">
        <f>IFERROR(__xludf.DUMMYFUNCTION("""COMPUTED_VALUE"""),"Mao")</f>
        <v>Mao</v>
      </c>
      <c r="D5063" s="120" t="str">
        <f>IFERROR(__xludf.DUMMYFUNCTION("""COMPUTED_VALUE"""),"Chad")</f>
        <v>Chad</v>
      </c>
      <c r="E5063" s="135"/>
      <c r="F5063" s="31"/>
    </row>
    <row r="5064">
      <c r="A5064" s="134" t="str">
        <f>IFERROR(__xludf.DUMMYFUNCTION("""COMPUTED_VALUE"""),"Maota Savaii Is")</f>
        <v>Maota Savaii Is</v>
      </c>
      <c r="B5064" s="120" t="str">
        <f>IFERROR(__xludf.DUMMYFUNCTION("""COMPUTED_VALUE"""),"MXS")</f>
        <v>MXS</v>
      </c>
      <c r="C5064" s="120" t="str">
        <f>IFERROR(__xludf.DUMMYFUNCTION("""COMPUTED_VALUE"""),"Maota Savaii Is")</f>
        <v>Maota Savaii Is</v>
      </c>
      <c r="D5064" s="120" t="str">
        <f>IFERROR(__xludf.DUMMYFUNCTION("""COMPUTED_VALUE"""),"Samoa")</f>
        <v>Samoa</v>
      </c>
      <c r="E5064" s="135"/>
      <c r="F5064" s="31"/>
    </row>
    <row r="5065">
      <c r="A5065" s="134" t="str">
        <f>IFERROR(__xludf.DUMMYFUNCTION("""COMPUTED_VALUE"""),"Maple Bay")</f>
        <v>Maple Bay</v>
      </c>
      <c r="B5065" s="120" t="str">
        <f>IFERROR(__xludf.DUMMYFUNCTION("""COMPUTED_VALUE"""),"YAQ")</f>
        <v>YAQ</v>
      </c>
      <c r="C5065" s="120" t="str">
        <f>IFERROR(__xludf.DUMMYFUNCTION("""COMPUTED_VALUE"""),"Maple Bay")</f>
        <v>Maple Bay</v>
      </c>
      <c r="D5065" s="120" t="str">
        <f>IFERROR(__xludf.DUMMYFUNCTION("""COMPUTED_VALUE"""),"Canada")</f>
        <v>Canada</v>
      </c>
      <c r="E5065" s="135"/>
      <c r="F5065" s="31"/>
    </row>
    <row r="5066">
      <c r="A5066" s="134" t="str">
        <f>IFERROR(__xludf.DUMMYFUNCTION("""COMPUTED_VALUE"""),"Mapoda")</f>
        <v>Mapoda</v>
      </c>
      <c r="B5066" s="120" t="str">
        <f>IFERROR(__xludf.DUMMYFUNCTION("""COMPUTED_VALUE"""),"MPF")</f>
        <v>MPF</v>
      </c>
      <c r="C5066" s="120" t="str">
        <f>IFERROR(__xludf.DUMMYFUNCTION("""COMPUTED_VALUE"""),"Mapoda")</f>
        <v>Mapoda</v>
      </c>
      <c r="D5066" s="120" t="str">
        <f>IFERROR(__xludf.DUMMYFUNCTION("""COMPUTED_VALUE"""),"Papua New Guinea")</f>
        <v>Papua New Guinea</v>
      </c>
      <c r="E5066" s="135"/>
      <c r="F5066" s="31"/>
    </row>
    <row r="5067">
      <c r="A5067" s="134" t="str">
        <f>IFERROR(__xludf.DUMMYFUNCTION("""COMPUTED_VALUE"""),"Mapua")</f>
        <v>Mapua</v>
      </c>
      <c r="B5067" s="120" t="str">
        <f>IFERROR(__xludf.DUMMYFUNCTION("""COMPUTED_VALUE"""),"MPU")</f>
        <v>MPU</v>
      </c>
      <c r="C5067" s="120" t="str">
        <f>IFERROR(__xludf.DUMMYFUNCTION("""COMPUTED_VALUE"""),"Mapua")</f>
        <v>Mapua</v>
      </c>
      <c r="D5067" s="120" t="str">
        <f>IFERROR(__xludf.DUMMYFUNCTION("""COMPUTED_VALUE"""),"Papua New Guinea")</f>
        <v>Papua New Guinea</v>
      </c>
      <c r="E5067" s="135"/>
      <c r="F5067" s="31"/>
    </row>
    <row r="5068">
      <c r="A5068" s="134" t="str">
        <f>IFERROR(__xludf.DUMMYFUNCTION("""COMPUTED_VALUE"""),"Maputo")</f>
        <v>Maputo</v>
      </c>
      <c r="B5068" s="120" t="str">
        <f>IFERROR(__xludf.DUMMYFUNCTION("""COMPUTED_VALUE"""),"MPM")</f>
        <v>MPM</v>
      </c>
      <c r="C5068" s="120" t="str">
        <f>IFERROR(__xludf.DUMMYFUNCTION("""COMPUTED_VALUE"""),"Maputo International")</f>
        <v>Maputo International</v>
      </c>
      <c r="D5068" s="120" t="str">
        <f>IFERROR(__xludf.DUMMYFUNCTION("""COMPUTED_VALUE"""),"Mozambique")</f>
        <v>Mozambique</v>
      </c>
      <c r="E5068" s="135"/>
      <c r="F5068" s="31"/>
    </row>
    <row r="5069">
      <c r="A5069" s="134" t="str">
        <f>IFERROR(__xludf.DUMMYFUNCTION("""COMPUTED_VALUE"""),"Maquinchao")</f>
        <v>Maquinchao</v>
      </c>
      <c r="B5069" s="120" t="str">
        <f>IFERROR(__xludf.DUMMYFUNCTION("""COMPUTED_VALUE"""),"MQD")</f>
        <v>MQD</v>
      </c>
      <c r="C5069" s="120" t="str">
        <f>IFERROR(__xludf.DUMMYFUNCTION("""COMPUTED_VALUE"""),"Maquinchao")</f>
        <v>Maquinchao</v>
      </c>
      <c r="D5069" s="120" t="str">
        <f>IFERROR(__xludf.DUMMYFUNCTION("""COMPUTED_VALUE"""),"Argentina")</f>
        <v>Argentina</v>
      </c>
      <c r="E5069" s="135"/>
      <c r="F5069" s="31"/>
    </row>
    <row r="5070">
      <c r="A5070" s="134" t="str">
        <f>IFERROR(__xludf.DUMMYFUNCTION("""COMPUTED_VALUE"""),"Mar Del Plata")</f>
        <v>Mar Del Plata</v>
      </c>
      <c r="B5070" s="120" t="str">
        <f>IFERROR(__xludf.DUMMYFUNCTION("""COMPUTED_VALUE"""),"MDQ")</f>
        <v>MDQ</v>
      </c>
      <c r="C5070" s="120" t="str">
        <f>IFERROR(__xludf.DUMMYFUNCTION("""COMPUTED_VALUE"""),"Mar Del Plata")</f>
        <v>Mar Del Plata</v>
      </c>
      <c r="D5070" s="120" t="str">
        <f>IFERROR(__xludf.DUMMYFUNCTION("""COMPUTED_VALUE"""),"Argentina")</f>
        <v>Argentina</v>
      </c>
      <c r="E5070" s="135"/>
      <c r="F5070" s="31"/>
    </row>
    <row r="5071">
      <c r="A5071" s="134" t="str">
        <f>IFERROR(__xludf.DUMMYFUNCTION("""COMPUTED_VALUE"""),"Mara Lodges")</f>
        <v>Mara Lodges</v>
      </c>
      <c r="B5071" s="120" t="str">
        <f>IFERROR(__xludf.DUMMYFUNCTION("""COMPUTED_VALUE"""),"MRE")</f>
        <v>MRE</v>
      </c>
      <c r="C5071" s="120" t="str">
        <f>IFERROR(__xludf.DUMMYFUNCTION("""COMPUTED_VALUE"""),"Mara Lodges")</f>
        <v>Mara Lodges</v>
      </c>
      <c r="D5071" s="120" t="str">
        <f>IFERROR(__xludf.DUMMYFUNCTION("""COMPUTED_VALUE"""),"Kenya")</f>
        <v>Kenya</v>
      </c>
      <c r="E5071" s="135"/>
      <c r="F5071" s="31"/>
    </row>
    <row r="5072">
      <c r="A5072" s="134" t="str">
        <f>IFERROR(__xludf.DUMMYFUNCTION("""COMPUTED_VALUE"""),"Maraba")</f>
        <v>Maraba</v>
      </c>
      <c r="B5072" s="120" t="str">
        <f>IFERROR(__xludf.DUMMYFUNCTION("""COMPUTED_VALUE"""),"MAB")</f>
        <v>MAB</v>
      </c>
      <c r="C5072" s="120" t="str">
        <f>IFERROR(__xludf.DUMMYFUNCTION("""COMPUTED_VALUE"""),"Maraba")</f>
        <v>Maraba</v>
      </c>
      <c r="D5072" s="120" t="str">
        <f>IFERROR(__xludf.DUMMYFUNCTION("""COMPUTED_VALUE"""),"Brazil")</f>
        <v>Brazil</v>
      </c>
      <c r="E5072" s="135"/>
      <c r="F5072" s="31"/>
    </row>
    <row r="5073">
      <c r="A5073" s="134" t="str">
        <f>IFERROR(__xludf.DUMMYFUNCTION("""COMPUTED_VALUE"""),"Maracaibo")</f>
        <v>Maracaibo</v>
      </c>
      <c r="B5073" s="120" t="str">
        <f>IFERROR(__xludf.DUMMYFUNCTION("""COMPUTED_VALUE"""),"MAR")</f>
        <v>MAR</v>
      </c>
      <c r="C5073" s="120" t="str">
        <f>IFERROR(__xludf.DUMMYFUNCTION("""COMPUTED_VALUE"""),"La Chinita")</f>
        <v>La Chinita</v>
      </c>
      <c r="D5073" s="120" t="str">
        <f>IFERROR(__xludf.DUMMYFUNCTION("""COMPUTED_VALUE"""),"Venezuela")</f>
        <v>Venezuela</v>
      </c>
      <c r="E5073" s="135"/>
      <c r="F5073" s="31"/>
    </row>
    <row r="5074">
      <c r="A5074" s="134" t="str">
        <f>IFERROR(__xludf.DUMMYFUNCTION("""COMPUTED_VALUE"""),"Maracay")</f>
        <v>Maracay</v>
      </c>
      <c r="B5074" s="120" t="str">
        <f>IFERROR(__xludf.DUMMYFUNCTION("""COMPUTED_VALUE"""),"MYC")</f>
        <v>MYC</v>
      </c>
      <c r="C5074" s="120" t="str">
        <f>IFERROR(__xludf.DUMMYFUNCTION("""COMPUTED_VALUE"""),"Maracay")</f>
        <v>Maracay</v>
      </c>
      <c r="D5074" s="120" t="str">
        <f>IFERROR(__xludf.DUMMYFUNCTION("""COMPUTED_VALUE"""),"Venezuela")</f>
        <v>Venezuela</v>
      </c>
      <c r="E5074" s="135"/>
      <c r="F5074" s="31"/>
    </row>
    <row r="5075">
      <c r="A5075" s="134" t="str">
        <f>IFERROR(__xludf.DUMMYFUNCTION("""COMPUTED_VALUE"""),"Maradi")</f>
        <v>Maradi</v>
      </c>
      <c r="B5075" s="120" t="str">
        <f>IFERROR(__xludf.DUMMYFUNCTION("""COMPUTED_VALUE"""),"MFQ")</f>
        <v>MFQ</v>
      </c>
      <c r="C5075" s="120" t="str">
        <f>IFERROR(__xludf.DUMMYFUNCTION("""COMPUTED_VALUE"""),"Maradi")</f>
        <v>Maradi</v>
      </c>
      <c r="D5075" s="120" t="str">
        <f>IFERROR(__xludf.DUMMYFUNCTION("""COMPUTED_VALUE"""),"Niger")</f>
        <v>Niger</v>
      </c>
      <c r="E5075" s="135"/>
      <c r="F5075" s="31"/>
    </row>
    <row r="5076">
      <c r="A5076" s="134" t="str">
        <f>IFERROR(__xludf.DUMMYFUNCTION("""COMPUTED_VALUE"""),"Marakei")</f>
        <v>Marakei</v>
      </c>
      <c r="B5076" s="120" t="str">
        <f>IFERROR(__xludf.DUMMYFUNCTION("""COMPUTED_VALUE"""),"MZK")</f>
        <v>MZK</v>
      </c>
      <c r="C5076" s="120" t="str">
        <f>IFERROR(__xludf.DUMMYFUNCTION("""COMPUTED_VALUE"""),"Marakei")</f>
        <v>Marakei</v>
      </c>
      <c r="D5076" s="120" t="str">
        <f>IFERROR(__xludf.DUMMYFUNCTION("""COMPUTED_VALUE"""),"Kiribati")</f>
        <v>Kiribati</v>
      </c>
      <c r="E5076" s="135"/>
      <c r="F5076" s="31"/>
    </row>
    <row r="5077">
      <c r="A5077" s="134" t="str">
        <f>IFERROR(__xludf.DUMMYFUNCTION("""COMPUTED_VALUE"""),"Maramag")</f>
        <v>Maramag</v>
      </c>
      <c r="B5077" s="120" t="str">
        <f>IFERROR(__xludf.DUMMYFUNCTION("""COMPUTED_VALUE"""),"XMA")</f>
        <v>XMA</v>
      </c>
      <c r="C5077" s="120" t="str">
        <f>IFERROR(__xludf.DUMMYFUNCTION("""COMPUTED_VALUE"""),"Maramag")</f>
        <v>Maramag</v>
      </c>
      <c r="D5077" s="120" t="str">
        <f>IFERROR(__xludf.DUMMYFUNCTION("""COMPUTED_VALUE"""),"Philippines")</f>
        <v>Philippines</v>
      </c>
      <c r="E5077" s="135"/>
      <c r="F5077" s="31"/>
    </row>
    <row r="5078">
      <c r="A5078" s="134" t="str">
        <f>IFERROR(__xludf.DUMMYFUNCTION("""COMPUTED_VALUE"""),"Maramuni")</f>
        <v>Maramuni</v>
      </c>
      <c r="B5078" s="120" t="str">
        <f>IFERROR(__xludf.DUMMYFUNCTION("""COMPUTED_VALUE"""),"MWI")</f>
        <v>MWI</v>
      </c>
      <c r="C5078" s="120" t="str">
        <f>IFERROR(__xludf.DUMMYFUNCTION("""COMPUTED_VALUE"""),"Maramuni")</f>
        <v>Maramuni</v>
      </c>
      <c r="D5078" s="120" t="str">
        <f>IFERROR(__xludf.DUMMYFUNCTION("""COMPUTED_VALUE"""),"Papua New Guinea")</f>
        <v>Papua New Guinea</v>
      </c>
      <c r="E5078" s="135"/>
      <c r="F5078" s="31"/>
    </row>
    <row r="5079">
      <c r="A5079" s="134" t="str">
        <f>IFERROR(__xludf.DUMMYFUNCTION("""COMPUTED_VALUE"""),"Marana")</f>
        <v>Marana</v>
      </c>
      <c r="B5079" s="120" t="str">
        <f>IFERROR(__xludf.DUMMYFUNCTION("""COMPUTED_VALUE"""),"MZJ")</f>
        <v>MZJ</v>
      </c>
      <c r="C5079" s="120" t="str">
        <f>IFERROR(__xludf.DUMMYFUNCTION("""COMPUTED_VALUE"""),"Marana")</f>
        <v>Marana</v>
      </c>
      <c r="D5079" s="120" t="str">
        <f>IFERROR(__xludf.DUMMYFUNCTION("""COMPUTED_VALUE"""),"United States")</f>
        <v>United States</v>
      </c>
      <c r="E5079" s="135"/>
      <c r="F5079" s="31"/>
    </row>
    <row r="5080">
      <c r="A5080" s="134" t="str">
        <f>IFERROR(__xludf.DUMMYFUNCTION("""COMPUTED_VALUE"""),"Marathon")</f>
        <v>Marathon</v>
      </c>
      <c r="B5080" s="120" t="str">
        <f>IFERROR(__xludf.DUMMYFUNCTION("""COMPUTED_VALUE"""),"MTH")</f>
        <v>MTH</v>
      </c>
      <c r="C5080" s="120" t="str">
        <f>IFERROR(__xludf.DUMMYFUNCTION("""COMPUTED_VALUE"""),"Marathon Flight Strip")</f>
        <v>Marathon Flight Strip</v>
      </c>
      <c r="D5080" s="120" t="str">
        <f>IFERROR(__xludf.DUMMYFUNCTION("""COMPUTED_VALUE"""),"United States")</f>
        <v>United States</v>
      </c>
      <c r="E5080" s="135"/>
      <c r="F5080" s="31"/>
    </row>
    <row r="5081">
      <c r="A5081" s="134" t="str">
        <f>IFERROR(__xludf.DUMMYFUNCTION("""COMPUTED_VALUE"""),"Marathon")</f>
        <v>Marathon</v>
      </c>
      <c r="B5081" s="120" t="str">
        <f>IFERROR(__xludf.DUMMYFUNCTION("""COMPUTED_VALUE"""),"YSP")</f>
        <v>YSP</v>
      </c>
      <c r="C5081" s="120" t="str">
        <f>IFERROR(__xludf.DUMMYFUNCTION("""COMPUTED_VALUE"""),"Marathon")</f>
        <v>Marathon</v>
      </c>
      <c r="D5081" s="120" t="str">
        <f>IFERROR(__xludf.DUMMYFUNCTION("""COMPUTED_VALUE"""),"Canada")</f>
        <v>Canada</v>
      </c>
      <c r="E5081" s="135"/>
      <c r="F5081" s="31"/>
    </row>
    <row r="5082">
      <c r="A5082" s="134" t="str">
        <f>IFERROR(__xludf.DUMMYFUNCTION("""COMPUTED_VALUE"""),"Marau Sound")</f>
        <v>Marau Sound</v>
      </c>
      <c r="B5082" s="120" t="str">
        <f>IFERROR(__xludf.DUMMYFUNCTION("""COMPUTED_VALUE"""),"RUS")</f>
        <v>RUS</v>
      </c>
      <c r="C5082" s="120" t="str">
        <f>IFERROR(__xludf.DUMMYFUNCTION("""COMPUTED_VALUE"""),"Marau Sound")</f>
        <v>Marau Sound</v>
      </c>
      <c r="D5082" s="120" t="str">
        <f>IFERROR(__xludf.DUMMYFUNCTION("""COMPUTED_VALUE"""),"Solomon Islands")</f>
        <v>Solomon Islands</v>
      </c>
      <c r="E5082" s="135"/>
      <c r="F5082" s="31"/>
    </row>
    <row r="5083">
      <c r="A5083" s="134" t="str">
        <f>IFERROR(__xludf.DUMMYFUNCTION("""COMPUTED_VALUE"""),"Marawaka")</f>
        <v>Marawaka</v>
      </c>
      <c r="B5083" s="120" t="str">
        <f>IFERROR(__xludf.DUMMYFUNCTION("""COMPUTED_VALUE"""),"MWG")</f>
        <v>MWG</v>
      </c>
      <c r="C5083" s="120" t="str">
        <f>IFERROR(__xludf.DUMMYFUNCTION("""COMPUTED_VALUE"""),"Marawaka")</f>
        <v>Marawaka</v>
      </c>
      <c r="D5083" s="120" t="str">
        <f>IFERROR(__xludf.DUMMYFUNCTION("""COMPUTED_VALUE"""),"Papua New Guinea")</f>
        <v>Papua New Guinea</v>
      </c>
      <c r="E5083" s="135"/>
      <c r="F5083" s="31"/>
    </row>
    <row r="5084">
      <c r="A5084" s="134" t="str">
        <f>IFERROR(__xludf.DUMMYFUNCTION("""COMPUTED_VALUE"""),"Marble Bar")</f>
        <v>Marble Bar</v>
      </c>
      <c r="B5084" s="120" t="str">
        <f>IFERROR(__xludf.DUMMYFUNCTION("""COMPUTED_VALUE"""),"MBB")</f>
        <v>MBB</v>
      </c>
      <c r="C5084" s="120" t="str">
        <f>IFERROR(__xludf.DUMMYFUNCTION("""COMPUTED_VALUE"""),"Marble Bar")</f>
        <v>Marble Bar</v>
      </c>
      <c r="D5084" s="120" t="str">
        <f>IFERROR(__xludf.DUMMYFUNCTION("""COMPUTED_VALUE"""),"Australia")</f>
        <v>Australia</v>
      </c>
      <c r="E5084" s="135"/>
      <c r="F5084" s="31"/>
    </row>
    <row r="5085">
      <c r="A5085" s="134" t="str">
        <f>IFERROR(__xludf.DUMMYFUNCTION("""COMPUTED_VALUE"""),"Marble Canyon")</f>
        <v>Marble Canyon</v>
      </c>
      <c r="B5085" s="120" t="str">
        <f>IFERROR(__xludf.DUMMYFUNCTION("""COMPUTED_VALUE"""),"MYH")</f>
        <v>MYH</v>
      </c>
      <c r="C5085" s="120" t="str">
        <f>IFERROR(__xludf.DUMMYFUNCTION("""COMPUTED_VALUE"""),"Marble Canyon")</f>
        <v>Marble Canyon</v>
      </c>
      <c r="D5085" s="120" t="str">
        <f>IFERROR(__xludf.DUMMYFUNCTION("""COMPUTED_VALUE"""),"United States")</f>
        <v>United States</v>
      </c>
      <c r="E5085" s="135"/>
      <c r="F5085" s="31"/>
    </row>
    <row r="5086">
      <c r="A5086" s="134" t="str">
        <f>IFERROR(__xludf.DUMMYFUNCTION("""COMPUTED_VALUE"""),"Marcala")</f>
        <v>Marcala</v>
      </c>
      <c r="B5086" s="120" t="str">
        <f>IFERROR(__xludf.DUMMYFUNCTION("""COMPUTED_VALUE"""),"MRJ")</f>
        <v>MRJ</v>
      </c>
      <c r="C5086" s="120" t="str">
        <f>IFERROR(__xludf.DUMMYFUNCTION("""COMPUTED_VALUE"""),"Marcala")</f>
        <v>Marcala</v>
      </c>
      <c r="D5086" s="120" t="str">
        <f>IFERROR(__xludf.DUMMYFUNCTION("""COMPUTED_VALUE"""),"Honduras")</f>
        <v>Honduras</v>
      </c>
      <c r="E5086" s="135"/>
      <c r="F5086" s="31"/>
    </row>
    <row r="5087">
      <c r="A5087" s="134" t="str">
        <f>IFERROR(__xludf.DUMMYFUNCTION("""COMPUTED_VALUE"""),"Marco Island")</f>
        <v>Marco Island</v>
      </c>
      <c r="B5087" s="120" t="str">
        <f>IFERROR(__xludf.DUMMYFUNCTION("""COMPUTED_VALUE"""),"MRK")</f>
        <v>MRK</v>
      </c>
      <c r="C5087" s="120" t="str">
        <f>IFERROR(__xludf.DUMMYFUNCTION("""COMPUTED_VALUE"""),"Marco Island")</f>
        <v>Marco Island</v>
      </c>
      <c r="D5087" s="120" t="str">
        <f>IFERROR(__xludf.DUMMYFUNCTION("""COMPUTED_VALUE"""),"United States")</f>
        <v>United States</v>
      </c>
      <c r="E5087" s="135"/>
      <c r="F5087" s="31"/>
    </row>
    <row r="5088">
      <c r="A5088" s="134" t="str">
        <f>IFERROR(__xludf.DUMMYFUNCTION("""COMPUTED_VALUE"""),"Marcus Island")</f>
        <v>Marcus Island</v>
      </c>
      <c r="B5088" s="120" t="str">
        <f>IFERROR(__xludf.DUMMYFUNCTION("""COMPUTED_VALUE"""),"MUS")</f>
        <v>MUS</v>
      </c>
      <c r="C5088" s="120" t="str">
        <f>IFERROR(__xludf.DUMMYFUNCTION("""COMPUTED_VALUE"""),"Marcus Island")</f>
        <v>Marcus Island</v>
      </c>
      <c r="D5088" s="120" t="str">
        <f>IFERROR(__xludf.DUMMYFUNCTION("""COMPUTED_VALUE"""),"Japan")</f>
        <v>Japan</v>
      </c>
      <c r="E5088" s="135"/>
      <c r="F5088" s="31"/>
    </row>
    <row r="5089">
      <c r="A5089" s="134" t="str">
        <f>IFERROR(__xludf.DUMMYFUNCTION("""COMPUTED_VALUE"""),"Mardin")</f>
        <v>Mardin</v>
      </c>
      <c r="B5089" s="120" t="str">
        <f>IFERROR(__xludf.DUMMYFUNCTION("""COMPUTED_VALUE"""),"MQM")</f>
        <v>MQM</v>
      </c>
      <c r="C5089" s="120" t="str">
        <f>IFERROR(__xludf.DUMMYFUNCTION("""COMPUTED_VALUE"""),"Mardin")</f>
        <v>Mardin</v>
      </c>
      <c r="D5089" s="120" t="str">
        <f>IFERROR(__xludf.DUMMYFUNCTION("""COMPUTED_VALUE"""),"Turkey")</f>
        <v>Turkey</v>
      </c>
      <c r="E5089" s="135"/>
      <c r="F5089" s="31"/>
    </row>
    <row r="5090">
      <c r="A5090" s="134" t="str">
        <f>IFERROR(__xludf.DUMMYFUNCTION("""COMPUTED_VALUE"""),"Mare")</f>
        <v>Mare</v>
      </c>
      <c r="B5090" s="120" t="str">
        <f>IFERROR(__xludf.DUMMYFUNCTION("""COMPUTED_VALUE"""),"MEE")</f>
        <v>MEE</v>
      </c>
      <c r="C5090" s="120" t="str">
        <f>IFERROR(__xludf.DUMMYFUNCTION("""COMPUTED_VALUE"""),"Mare")</f>
        <v>Mare</v>
      </c>
      <c r="D5090" s="120" t="str">
        <f>IFERROR(__xludf.DUMMYFUNCTION("""COMPUTED_VALUE"""),"New Caledonia")</f>
        <v>New Caledonia</v>
      </c>
      <c r="E5090" s="135"/>
      <c r="F5090" s="31"/>
    </row>
    <row r="5091">
      <c r="A5091" s="134" t="str">
        <f>IFERROR(__xludf.DUMMYFUNCTION("""COMPUTED_VALUE"""),"Mareb")</f>
        <v>Mareb</v>
      </c>
      <c r="B5091" s="120" t="str">
        <f>IFERROR(__xludf.DUMMYFUNCTION("""COMPUTED_VALUE"""),"MYN")</f>
        <v>MYN</v>
      </c>
      <c r="C5091" s="120" t="str">
        <f>IFERROR(__xludf.DUMMYFUNCTION("""COMPUTED_VALUE"""),"Mareb")</f>
        <v>Mareb</v>
      </c>
      <c r="D5091" s="120" t="str">
        <f>IFERROR(__xludf.DUMMYFUNCTION("""COMPUTED_VALUE"""),"Yemen")</f>
        <v>Yemen</v>
      </c>
      <c r="E5091" s="135"/>
      <c r="F5091" s="31"/>
    </row>
    <row r="5092">
      <c r="A5092" s="134" t="str">
        <f>IFERROR(__xludf.DUMMYFUNCTION("""COMPUTED_VALUE"""),"Mareeba")</f>
        <v>Mareeba</v>
      </c>
      <c r="B5092" s="120" t="str">
        <f>IFERROR(__xludf.DUMMYFUNCTION("""COMPUTED_VALUE"""),"MRG")</f>
        <v>MRG</v>
      </c>
      <c r="C5092" s="120" t="str">
        <f>IFERROR(__xludf.DUMMYFUNCTION("""COMPUTED_VALUE"""),"Mareeba")</f>
        <v>Mareeba</v>
      </c>
      <c r="D5092" s="120" t="str">
        <f>IFERROR(__xludf.DUMMYFUNCTION("""COMPUTED_VALUE"""),"Australia")</f>
        <v>Australia</v>
      </c>
      <c r="E5092" s="135"/>
      <c r="F5092" s="31"/>
    </row>
    <row r="5093">
      <c r="A5093" s="134" t="str">
        <f>IFERROR(__xludf.DUMMYFUNCTION("""COMPUTED_VALUE"""),"Marfa")</f>
        <v>Marfa</v>
      </c>
      <c r="B5093" s="120" t="str">
        <f>IFERROR(__xludf.DUMMYFUNCTION("""COMPUTED_VALUE"""),"MRF")</f>
        <v>MRF</v>
      </c>
      <c r="C5093" s="120" t="str">
        <f>IFERROR(__xludf.DUMMYFUNCTION("""COMPUTED_VALUE"""),"Municipal")</f>
        <v>Municipal</v>
      </c>
      <c r="D5093" s="120" t="str">
        <f>IFERROR(__xludf.DUMMYFUNCTION("""COMPUTED_VALUE"""),"United States")</f>
        <v>United States</v>
      </c>
      <c r="E5093" s="135"/>
      <c r="F5093" s="31"/>
    </row>
    <row r="5094">
      <c r="A5094" s="134" t="str">
        <f>IFERROR(__xludf.DUMMYFUNCTION("""COMPUTED_VALUE"""),"Margaret River")</f>
        <v>Margaret River</v>
      </c>
      <c r="B5094" s="120" t="str">
        <f>IFERROR(__xludf.DUMMYFUNCTION("""COMPUTED_VALUE"""),"MQZ")</f>
        <v>MQZ</v>
      </c>
      <c r="C5094" s="120" t="str">
        <f>IFERROR(__xludf.DUMMYFUNCTION("""COMPUTED_VALUE"""),"Margaret River")</f>
        <v>Margaret River</v>
      </c>
      <c r="D5094" s="120" t="str">
        <f>IFERROR(__xludf.DUMMYFUNCTION("""COMPUTED_VALUE"""),"Australia")</f>
        <v>Australia</v>
      </c>
      <c r="E5094" s="135"/>
      <c r="F5094" s="31"/>
    </row>
    <row r="5095">
      <c r="A5095" s="134" t="str">
        <f>IFERROR(__xludf.DUMMYFUNCTION("""COMPUTED_VALUE"""),"Margaret River Station")</f>
        <v>Margaret River Station</v>
      </c>
      <c r="B5095" s="120" t="str">
        <f>IFERROR(__xludf.DUMMYFUNCTION("""COMPUTED_VALUE"""),"MGV")</f>
        <v>MGV</v>
      </c>
      <c r="C5095" s="120" t="str">
        <f>IFERROR(__xludf.DUMMYFUNCTION("""COMPUTED_VALUE"""),"Margaret River")</f>
        <v>Margaret River</v>
      </c>
      <c r="D5095" s="120" t="str">
        <f>IFERROR(__xludf.DUMMYFUNCTION("""COMPUTED_VALUE"""),"Australia")</f>
        <v>Australia</v>
      </c>
      <c r="E5095" s="135"/>
      <c r="F5095" s="31"/>
    </row>
    <row r="5096">
      <c r="A5096" s="134" t="str">
        <f>IFERROR(__xludf.DUMMYFUNCTION("""COMPUTED_VALUE"""),"Margarima")</f>
        <v>Margarima</v>
      </c>
      <c r="B5096" s="120" t="str">
        <f>IFERROR(__xludf.DUMMYFUNCTION("""COMPUTED_VALUE"""),"MGG")</f>
        <v>MGG</v>
      </c>
      <c r="C5096" s="120" t="str">
        <f>IFERROR(__xludf.DUMMYFUNCTION("""COMPUTED_VALUE"""),"Margarima")</f>
        <v>Margarima</v>
      </c>
      <c r="D5096" s="120" t="str">
        <f>IFERROR(__xludf.DUMMYFUNCTION("""COMPUTED_VALUE"""),"Papua New Guinea")</f>
        <v>Papua New Guinea</v>
      </c>
      <c r="E5096" s="135"/>
      <c r="F5096" s="31"/>
    </row>
    <row r="5097">
      <c r="A5097" s="134" t="str">
        <f>IFERROR(__xludf.DUMMYFUNCTION("""COMPUTED_VALUE"""),"Margate")</f>
        <v>Margate</v>
      </c>
      <c r="B5097" s="120" t="str">
        <f>IFERROR(__xludf.DUMMYFUNCTION("""COMPUTED_VALUE"""),"MGH")</f>
        <v>MGH</v>
      </c>
      <c r="C5097" s="120" t="str">
        <f>IFERROR(__xludf.DUMMYFUNCTION("""COMPUTED_VALUE"""),"Margate")</f>
        <v>Margate</v>
      </c>
      <c r="D5097" s="120" t="str">
        <f>IFERROR(__xludf.DUMMYFUNCTION("""COMPUTED_VALUE"""),"South Africa")</f>
        <v>South Africa</v>
      </c>
      <c r="E5097" s="135"/>
      <c r="F5097" s="31"/>
    </row>
    <row r="5098">
      <c r="A5098" s="134" t="str">
        <f>IFERROR(__xludf.DUMMYFUNCTION("""COMPUTED_VALUE"""),"Marguerite Bay")</f>
        <v>Marguerite Bay</v>
      </c>
      <c r="B5098" s="120" t="str">
        <f>IFERROR(__xludf.DUMMYFUNCTION("""COMPUTED_VALUE"""),"RTE")</f>
        <v>RTE</v>
      </c>
      <c r="C5098" s="120" t="str">
        <f>IFERROR(__xludf.DUMMYFUNCTION("""COMPUTED_VALUE"""),"Marguerite Bay")</f>
        <v>Marguerite Bay</v>
      </c>
      <c r="D5098" s="120" t="str">
        <f>IFERROR(__xludf.DUMMYFUNCTION("""COMPUTED_VALUE"""),"United States")</f>
        <v>United States</v>
      </c>
      <c r="E5098" s="135"/>
      <c r="F5098" s="31"/>
    </row>
    <row r="5099">
      <c r="A5099" s="134" t="str">
        <f>IFERROR(__xludf.DUMMYFUNCTION("""COMPUTED_VALUE"""),"Marianske Lazne")</f>
        <v>Marianske Lazne</v>
      </c>
      <c r="B5099" s="120" t="str">
        <f>IFERROR(__xludf.DUMMYFUNCTION("""COMPUTED_VALUE"""),"MKA")</f>
        <v>MKA</v>
      </c>
      <c r="C5099" s="120" t="str">
        <f>IFERROR(__xludf.DUMMYFUNCTION("""COMPUTED_VALUE"""),"Marianske Lazne")</f>
        <v>Marianske Lazne</v>
      </c>
      <c r="D5099" s="120" t="str">
        <f>IFERROR(__xludf.DUMMYFUNCTION("""COMPUTED_VALUE"""),"Czech")</f>
        <v>Czech</v>
      </c>
      <c r="E5099" s="135"/>
      <c r="F5099" s="31"/>
    </row>
    <row r="5100">
      <c r="A5100" s="134" t="str">
        <f>IFERROR(__xludf.DUMMYFUNCTION("""COMPUTED_VALUE"""),"Maribo")</f>
        <v>Maribo</v>
      </c>
      <c r="B5100" s="120" t="str">
        <f>IFERROR(__xludf.DUMMYFUNCTION("""COMPUTED_VALUE"""),"MRW")</f>
        <v>MRW</v>
      </c>
      <c r="C5100" s="120" t="str">
        <f>IFERROR(__xludf.DUMMYFUNCTION("""COMPUTED_VALUE"""),"Maribo")</f>
        <v>Maribo</v>
      </c>
      <c r="D5100" s="120" t="str">
        <f>IFERROR(__xludf.DUMMYFUNCTION("""COMPUTED_VALUE"""),"Denmark")</f>
        <v>Denmark</v>
      </c>
      <c r="E5100" s="135"/>
      <c r="F5100" s="31"/>
    </row>
    <row r="5101">
      <c r="A5101" s="134" t="str">
        <f>IFERROR(__xludf.DUMMYFUNCTION("""COMPUTED_VALUE"""),"Maribor")</f>
        <v>Maribor</v>
      </c>
      <c r="B5101" s="120" t="str">
        <f>IFERROR(__xludf.DUMMYFUNCTION("""COMPUTED_VALUE"""),"MBX")</f>
        <v>MBX</v>
      </c>
      <c r="C5101" s="120" t="str">
        <f>IFERROR(__xludf.DUMMYFUNCTION("""COMPUTED_VALUE"""),"Maribor")</f>
        <v>Maribor</v>
      </c>
      <c r="D5101" s="120" t="str">
        <f>IFERROR(__xludf.DUMMYFUNCTION("""COMPUTED_VALUE"""),"Slovenia")</f>
        <v>Slovenia</v>
      </c>
      <c r="E5101" s="135"/>
      <c r="F5101" s="31"/>
    </row>
    <row r="5102">
      <c r="A5102" s="134" t="str">
        <f>IFERROR(__xludf.DUMMYFUNCTION("""COMPUTED_VALUE"""),"Maricourt Airstrip")</f>
        <v>Maricourt Airstrip</v>
      </c>
      <c r="B5102" s="120" t="str">
        <f>IFERROR(__xludf.DUMMYFUNCTION("""COMPUTED_VALUE"""),"YMC")</f>
        <v>YMC</v>
      </c>
      <c r="C5102" s="120" t="str">
        <f>IFERROR(__xludf.DUMMYFUNCTION("""COMPUTED_VALUE"""),"Maricourt Airstrip")</f>
        <v>Maricourt Airstrip</v>
      </c>
      <c r="D5102" s="120" t="str">
        <f>IFERROR(__xludf.DUMMYFUNCTION("""COMPUTED_VALUE"""),"Canada")</f>
        <v>Canada</v>
      </c>
      <c r="E5102" s="135"/>
      <c r="F5102" s="31"/>
    </row>
    <row r="5103">
      <c r="A5103" s="134" t="str">
        <f>IFERROR(__xludf.DUMMYFUNCTION("""COMPUTED_VALUE"""),"Marie Galante")</f>
        <v>Marie Galante</v>
      </c>
      <c r="B5103" s="120" t="str">
        <f>IFERROR(__xludf.DUMMYFUNCTION("""COMPUTED_VALUE"""),"GBJ")</f>
        <v>GBJ</v>
      </c>
      <c r="C5103" s="120" t="str">
        <f>IFERROR(__xludf.DUMMYFUNCTION("""COMPUTED_VALUE"""),"Les Bases")</f>
        <v>Les Bases</v>
      </c>
      <c r="D5103" s="120" t="str">
        <f>IFERROR(__xludf.DUMMYFUNCTION("""COMPUTED_VALUE"""),"Guadeloupe")</f>
        <v>Guadeloupe</v>
      </c>
      <c r="E5103" s="135"/>
      <c r="F5103" s="31"/>
    </row>
    <row r="5104">
      <c r="A5104" s="134" t="str">
        <f>IFERROR(__xludf.DUMMYFUNCTION("""COMPUTED_VALUE"""),"Mariehamn")</f>
        <v>Mariehamn</v>
      </c>
      <c r="B5104" s="120" t="str">
        <f>IFERROR(__xludf.DUMMYFUNCTION("""COMPUTED_VALUE"""),"MHQ")</f>
        <v>MHQ</v>
      </c>
      <c r="C5104" s="120" t="str">
        <f>IFERROR(__xludf.DUMMYFUNCTION("""COMPUTED_VALUE"""),"Mariehamn")</f>
        <v>Mariehamn</v>
      </c>
      <c r="D5104" s="120" t="str">
        <f>IFERROR(__xludf.DUMMYFUNCTION("""COMPUTED_VALUE"""),"Finland")</f>
        <v>Finland</v>
      </c>
      <c r="E5104" s="135"/>
      <c r="F5104" s="31"/>
    </row>
    <row r="5105">
      <c r="A5105" s="134" t="str">
        <f>IFERROR(__xludf.DUMMYFUNCTION("""COMPUTED_VALUE"""),"Marietta")</f>
        <v>Marietta</v>
      </c>
      <c r="B5105" s="120" t="str">
        <f>IFERROR(__xludf.DUMMYFUNCTION("""COMPUTED_VALUE"""),"NCQ")</f>
        <v>NCQ</v>
      </c>
      <c r="C5105" s="120" t="str">
        <f>IFERROR(__xludf.DUMMYFUNCTION("""COMPUTED_VALUE"""),"Atlanta NAS")</f>
        <v>Atlanta NAS</v>
      </c>
      <c r="D5105" s="120" t="str">
        <f>IFERROR(__xludf.DUMMYFUNCTION("""COMPUTED_VALUE"""),"United States")</f>
        <v>United States</v>
      </c>
      <c r="E5105" s="135"/>
      <c r="F5105" s="31"/>
    </row>
    <row r="5106">
      <c r="A5106" s="134" t="str">
        <f>IFERROR(__xludf.DUMMYFUNCTION("""COMPUTED_VALUE"""),"Marietta")</f>
        <v>Marietta</v>
      </c>
      <c r="B5106" s="120" t="str">
        <f>IFERROR(__xludf.DUMMYFUNCTION("""COMPUTED_VALUE"""),"MGE")</f>
        <v>MGE</v>
      </c>
      <c r="C5106" s="120" t="str">
        <f>IFERROR(__xludf.DUMMYFUNCTION("""COMPUTED_VALUE"""),"Dobbins AFB")</f>
        <v>Dobbins AFB</v>
      </c>
      <c r="D5106" s="120" t="str">
        <f>IFERROR(__xludf.DUMMYFUNCTION("""COMPUTED_VALUE"""),"United States")</f>
        <v>United States</v>
      </c>
      <c r="E5106" s="135"/>
      <c r="F5106" s="31"/>
    </row>
    <row r="5107">
      <c r="A5107" s="134" t="str">
        <f>IFERROR(__xludf.DUMMYFUNCTION("""COMPUTED_VALUE"""),"Marilia")</f>
        <v>Marilia</v>
      </c>
      <c r="B5107" s="120" t="str">
        <f>IFERROR(__xludf.DUMMYFUNCTION("""COMPUTED_VALUE"""),"MII")</f>
        <v>MII</v>
      </c>
      <c r="C5107" s="120" t="str">
        <f>IFERROR(__xludf.DUMMYFUNCTION("""COMPUTED_VALUE"""),"Dr Gastao Vidigal")</f>
        <v>Dr Gastao Vidigal</v>
      </c>
      <c r="D5107" s="120" t="str">
        <f>IFERROR(__xludf.DUMMYFUNCTION("""COMPUTED_VALUE"""),"Brazil")</f>
        <v>Brazil</v>
      </c>
      <c r="E5107" s="135"/>
      <c r="F5107" s="31"/>
    </row>
    <row r="5108">
      <c r="A5108" s="134" t="str">
        <f>IFERROR(__xludf.DUMMYFUNCTION("""COMPUTED_VALUE"""),"Marina Di Massa")</f>
        <v>Marina Di Massa</v>
      </c>
      <c r="B5108" s="120" t="str">
        <f>IFERROR(__xludf.DUMMYFUNCTION("""COMPUTED_VALUE"""),"QMM")</f>
        <v>QMM</v>
      </c>
      <c r="C5108" s="120" t="str">
        <f>IFERROR(__xludf.DUMMYFUNCTION("""COMPUTED_VALUE"""),"Marina Di Massa")</f>
        <v>Marina Di Massa</v>
      </c>
      <c r="D5108" s="120" t="str">
        <f>IFERROR(__xludf.DUMMYFUNCTION("""COMPUTED_VALUE"""),"Italy")</f>
        <v>Italy</v>
      </c>
      <c r="E5108" s="135"/>
      <c r="F5108" s="31"/>
    </row>
    <row r="5109">
      <c r="A5109" s="134" t="str">
        <f>IFERROR(__xludf.DUMMYFUNCTION("""COMPUTED_VALUE"""),"Marinduque")</f>
        <v>Marinduque</v>
      </c>
      <c r="B5109" s="120" t="str">
        <f>IFERROR(__xludf.DUMMYFUNCTION("""COMPUTED_VALUE"""),"MRQ")</f>
        <v>MRQ</v>
      </c>
      <c r="C5109" s="120" t="str">
        <f>IFERROR(__xludf.DUMMYFUNCTION("""COMPUTED_VALUE"""),"Marinduque")</f>
        <v>Marinduque</v>
      </c>
      <c r="D5109" s="120" t="str">
        <f>IFERROR(__xludf.DUMMYFUNCTION("""COMPUTED_VALUE"""),"Philippines")</f>
        <v>Philippines</v>
      </c>
      <c r="E5109" s="135"/>
      <c r="F5109" s="31"/>
    </row>
    <row r="5110">
      <c r="A5110" s="134" t="str">
        <f>IFERROR(__xludf.DUMMYFUNCTION("""COMPUTED_VALUE"""),"Maringa")</f>
        <v>Maringa</v>
      </c>
      <c r="B5110" s="120" t="str">
        <f>IFERROR(__xludf.DUMMYFUNCTION("""COMPUTED_VALUE"""),"MGF")</f>
        <v>MGF</v>
      </c>
      <c r="C5110" s="120" t="str">
        <f>IFERROR(__xludf.DUMMYFUNCTION("""COMPUTED_VALUE"""),"Regional De Maringa SBMG")</f>
        <v>Regional De Maringa SBMG</v>
      </c>
      <c r="D5110" s="120" t="str">
        <f>IFERROR(__xludf.DUMMYFUNCTION("""COMPUTED_VALUE"""),"Brazil")</f>
        <v>Brazil</v>
      </c>
      <c r="E5110" s="135"/>
      <c r="F5110" s="31"/>
    </row>
    <row r="5111">
      <c r="A5111" s="134" t="str">
        <f>IFERROR(__xludf.DUMMYFUNCTION("""COMPUTED_VALUE"""),"Marion")</f>
        <v>Marion</v>
      </c>
      <c r="B5111" s="120" t="str">
        <f>IFERROR(__xludf.DUMMYFUNCTION("""COMPUTED_VALUE"""),"MWA")</f>
        <v>MWA</v>
      </c>
      <c r="C5111" s="120" t="str">
        <f>IFERROR(__xludf.DUMMYFUNCTION("""COMPUTED_VALUE"""),"Williamson County")</f>
        <v>Williamson County</v>
      </c>
      <c r="D5111" s="120" t="str">
        <f>IFERROR(__xludf.DUMMYFUNCTION("""COMPUTED_VALUE"""),"United States")</f>
        <v>United States</v>
      </c>
      <c r="E5111" s="135"/>
      <c r="F5111" s="31"/>
    </row>
    <row r="5112">
      <c r="A5112" s="134" t="str">
        <f>IFERROR(__xludf.DUMMYFUNCTION("""COMPUTED_VALUE"""),"Marion")</f>
        <v>Marion</v>
      </c>
      <c r="B5112" s="120" t="str">
        <f>IFERROR(__xludf.DUMMYFUNCTION("""COMPUTED_VALUE"""),"MZZ")</f>
        <v>MZZ</v>
      </c>
      <c r="C5112" s="120" t="str">
        <f>IFERROR(__xludf.DUMMYFUNCTION("""COMPUTED_VALUE"""),"Marion")</f>
        <v>Marion</v>
      </c>
      <c r="D5112" s="120" t="str">
        <f>IFERROR(__xludf.DUMMYFUNCTION("""COMPUTED_VALUE"""),"United States")</f>
        <v>United States</v>
      </c>
      <c r="E5112" s="135"/>
      <c r="F5112" s="31"/>
    </row>
    <row r="5113">
      <c r="A5113" s="134" t="str">
        <f>IFERROR(__xludf.DUMMYFUNCTION("""COMPUTED_VALUE"""),"Marion")</f>
        <v>Marion</v>
      </c>
      <c r="B5113" s="120" t="str">
        <f>IFERROR(__xludf.DUMMYFUNCTION("""COMPUTED_VALUE"""),"MNN")</f>
        <v>MNN</v>
      </c>
      <c r="C5113" s="120" t="str">
        <f>IFERROR(__xludf.DUMMYFUNCTION("""COMPUTED_VALUE"""),"Municipal")</f>
        <v>Municipal</v>
      </c>
      <c r="D5113" s="120" t="str">
        <f>IFERROR(__xludf.DUMMYFUNCTION("""COMPUTED_VALUE"""),"United States")</f>
        <v>United States</v>
      </c>
      <c r="E5113" s="135"/>
      <c r="F5113" s="31"/>
    </row>
    <row r="5114">
      <c r="A5114" s="134" t="str">
        <f>IFERROR(__xludf.DUMMYFUNCTION("""COMPUTED_VALUE"""),"Marion Downs")</f>
        <v>Marion Downs</v>
      </c>
      <c r="B5114" s="120" t="str">
        <f>IFERROR(__xludf.DUMMYFUNCTION("""COMPUTED_VALUE"""),"MXD")</f>
        <v>MXD</v>
      </c>
      <c r="C5114" s="120" t="str">
        <f>IFERROR(__xludf.DUMMYFUNCTION("""COMPUTED_VALUE"""),"Marion Downs")</f>
        <v>Marion Downs</v>
      </c>
      <c r="D5114" s="120" t="str">
        <f>IFERROR(__xludf.DUMMYFUNCTION("""COMPUTED_VALUE"""),"Australia")</f>
        <v>Australia</v>
      </c>
      <c r="E5114" s="135"/>
      <c r="F5114" s="31"/>
    </row>
    <row r="5115">
      <c r="A5115" s="134" t="str">
        <f>IFERROR(__xludf.DUMMYFUNCTION("""COMPUTED_VALUE"""),"Maripasoula")</f>
        <v>Maripasoula</v>
      </c>
      <c r="B5115" s="120" t="str">
        <f>IFERROR(__xludf.DUMMYFUNCTION("""COMPUTED_VALUE"""),"MPY")</f>
        <v>MPY</v>
      </c>
      <c r="C5115" s="120" t="str">
        <f>IFERROR(__xludf.DUMMYFUNCTION("""COMPUTED_VALUE"""),"Maripasoula")</f>
        <v>Maripasoula</v>
      </c>
      <c r="D5115" s="120" t="str">
        <f>IFERROR(__xludf.DUMMYFUNCTION("""COMPUTED_VALUE"""),"French Guiana")</f>
        <v>French Guiana</v>
      </c>
      <c r="E5115" s="135"/>
      <c r="F5115" s="31"/>
    </row>
    <row r="5116">
      <c r="A5116" s="134" t="str">
        <f>IFERROR(__xludf.DUMMYFUNCTION("""COMPUTED_VALUE"""),"Mariquita")</f>
        <v>Mariquita</v>
      </c>
      <c r="B5116" s="120" t="str">
        <f>IFERROR(__xludf.DUMMYFUNCTION("""COMPUTED_VALUE"""),"MQU")</f>
        <v>MQU</v>
      </c>
      <c r="C5116" s="120" t="str">
        <f>IFERROR(__xludf.DUMMYFUNCTION("""COMPUTED_VALUE"""),"Mariquita")</f>
        <v>Mariquita</v>
      </c>
      <c r="D5116" s="120" t="str">
        <f>IFERROR(__xludf.DUMMYFUNCTION("""COMPUTED_VALUE"""),"Colombia")</f>
        <v>Colombia</v>
      </c>
      <c r="E5116" s="135"/>
      <c r="F5116" s="31"/>
    </row>
    <row r="5117">
      <c r="A5117" s="134" t="str">
        <f>IFERROR(__xludf.DUMMYFUNCTION("""COMPUTED_VALUE"""),"Mariscal Estigarribia")</f>
        <v>Mariscal Estigarribia</v>
      </c>
      <c r="B5117" s="120" t="str">
        <f>IFERROR(__xludf.DUMMYFUNCTION("""COMPUTED_VALUE"""),"ESG")</f>
        <v>ESG</v>
      </c>
      <c r="C5117" s="120" t="str">
        <f>IFERROR(__xludf.DUMMYFUNCTION("""COMPUTED_VALUE"""),"Mariscal Estigarribia")</f>
        <v>Mariscal Estigarribia</v>
      </c>
      <c r="D5117" s="120" t="str">
        <f>IFERROR(__xludf.DUMMYFUNCTION("""COMPUTED_VALUE"""),"Paraguay")</f>
        <v>Paraguay</v>
      </c>
      <c r="E5117" s="135"/>
      <c r="F5117" s="31"/>
    </row>
    <row r="5118">
      <c r="A5118" s="134" t="str">
        <f>IFERROR(__xludf.DUMMYFUNCTION("""COMPUTED_VALUE"""),"Mariupol")</f>
        <v>Mariupol</v>
      </c>
      <c r="B5118" s="120" t="str">
        <f>IFERROR(__xludf.DUMMYFUNCTION("""COMPUTED_VALUE"""),"MPW")</f>
        <v>MPW</v>
      </c>
      <c r="C5118" s="120" t="str">
        <f>IFERROR(__xludf.DUMMYFUNCTION("""COMPUTED_VALUE"""),"Mariupol")</f>
        <v>Mariupol</v>
      </c>
      <c r="D5118" s="120" t="str">
        <f>IFERROR(__xludf.DUMMYFUNCTION("""COMPUTED_VALUE"""),"Ukraine")</f>
        <v>Ukraine</v>
      </c>
      <c r="E5118" s="135"/>
      <c r="F5118" s="31"/>
    </row>
    <row r="5119">
      <c r="A5119" s="134" t="str">
        <f>IFERROR(__xludf.DUMMYFUNCTION("""COMPUTED_VALUE"""),"Marks")</f>
        <v>Marks</v>
      </c>
      <c r="B5119" s="120" t="str">
        <f>IFERROR(__xludf.DUMMYFUNCTION("""COMPUTED_VALUE"""),"MMS")</f>
        <v>MMS</v>
      </c>
      <c r="C5119" s="120" t="str">
        <f>IFERROR(__xludf.DUMMYFUNCTION("""COMPUTED_VALUE"""),"Selfs")</f>
        <v>Selfs</v>
      </c>
      <c r="D5119" s="120" t="str">
        <f>IFERROR(__xludf.DUMMYFUNCTION("""COMPUTED_VALUE"""),"United States")</f>
        <v>United States</v>
      </c>
      <c r="E5119" s="135"/>
      <c r="F5119" s="31"/>
    </row>
    <row r="5120">
      <c r="A5120" s="134" t="str">
        <f>IFERROR(__xludf.DUMMYFUNCTION("""COMPUTED_VALUE"""),"Marla")</f>
        <v>Marla</v>
      </c>
      <c r="B5120" s="120" t="str">
        <f>IFERROR(__xludf.DUMMYFUNCTION("""COMPUTED_VALUE"""),"MRP")</f>
        <v>MRP</v>
      </c>
      <c r="C5120" s="120" t="str">
        <f>IFERROR(__xludf.DUMMYFUNCTION("""COMPUTED_VALUE"""),"Marla")</f>
        <v>Marla</v>
      </c>
      <c r="D5120" s="120" t="str">
        <f>IFERROR(__xludf.DUMMYFUNCTION("""COMPUTED_VALUE"""),"Australia")</f>
        <v>Australia</v>
      </c>
      <c r="E5120" s="135"/>
      <c r="F5120" s="31"/>
    </row>
    <row r="5121">
      <c r="A5121" s="134" t="str">
        <f>IFERROR(__xludf.DUMMYFUNCTION("""COMPUTED_VALUE"""),"Marlborough")</f>
        <v>Marlborough</v>
      </c>
      <c r="B5121" s="120" t="str">
        <f>IFERROR(__xludf.DUMMYFUNCTION("""COMPUTED_VALUE"""),"MXG")</f>
        <v>MXG</v>
      </c>
      <c r="C5121" s="120" t="str">
        <f>IFERROR(__xludf.DUMMYFUNCTION("""COMPUTED_VALUE"""),"Marlborough")</f>
        <v>Marlborough</v>
      </c>
      <c r="D5121" s="120" t="str">
        <f>IFERROR(__xludf.DUMMYFUNCTION("""COMPUTED_VALUE"""),"United States")</f>
        <v>United States</v>
      </c>
      <c r="E5121" s="135"/>
      <c r="F5121" s="31"/>
    </row>
    <row r="5122">
      <c r="A5122" s="134" t="str">
        <f>IFERROR(__xludf.DUMMYFUNCTION("""COMPUTED_VALUE"""),"Marmul")</f>
        <v>Marmul</v>
      </c>
      <c r="B5122" s="120" t="str">
        <f>IFERROR(__xludf.DUMMYFUNCTION("""COMPUTED_VALUE"""),"OMM")</f>
        <v>OMM</v>
      </c>
      <c r="C5122" s="120" t="str">
        <f>IFERROR(__xludf.DUMMYFUNCTION("""COMPUTED_VALUE"""),"Marmul")</f>
        <v>Marmul</v>
      </c>
      <c r="D5122" s="120" t="str">
        <f>IFERROR(__xludf.DUMMYFUNCTION("""COMPUTED_VALUE"""),"Oman")</f>
        <v>Oman</v>
      </c>
      <c r="E5122" s="135"/>
      <c r="F5122" s="31"/>
    </row>
    <row r="5123">
      <c r="A5123" s="134" t="str">
        <f>IFERROR(__xludf.DUMMYFUNCTION("""COMPUTED_VALUE"""),"Maroantsetra")</f>
        <v>Maroantsetra</v>
      </c>
      <c r="B5123" s="120" t="str">
        <f>IFERROR(__xludf.DUMMYFUNCTION("""COMPUTED_VALUE"""),"WMN")</f>
        <v>WMN</v>
      </c>
      <c r="C5123" s="120" t="str">
        <f>IFERROR(__xludf.DUMMYFUNCTION("""COMPUTED_VALUE"""),"Maroantsetra")</f>
        <v>Maroantsetra</v>
      </c>
      <c r="D5123" s="120" t="str">
        <f>IFERROR(__xludf.DUMMYFUNCTION("""COMPUTED_VALUE"""),"Madagascar")</f>
        <v>Madagascar</v>
      </c>
      <c r="E5123" s="135"/>
      <c r="F5123" s="31"/>
    </row>
    <row r="5124">
      <c r="A5124" s="134" t="str">
        <f>IFERROR(__xludf.DUMMYFUNCTION("""COMPUTED_VALUE"""),"Maron")</f>
        <v>Maron</v>
      </c>
      <c r="B5124" s="120" t="str">
        <f>IFERROR(__xludf.DUMMYFUNCTION("""COMPUTED_VALUE"""),"MNP")</f>
        <v>MNP</v>
      </c>
      <c r="C5124" s="120" t="str">
        <f>IFERROR(__xludf.DUMMYFUNCTION("""COMPUTED_VALUE"""),"Maron")</f>
        <v>Maron</v>
      </c>
      <c r="D5124" s="120" t="str">
        <f>IFERROR(__xludf.DUMMYFUNCTION("""COMPUTED_VALUE"""),"Papua New Guinea")</f>
        <v>Papua New Guinea</v>
      </c>
      <c r="E5124" s="135"/>
      <c r="F5124" s="31"/>
    </row>
    <row r="5125">
      <c r="A5125" s="134" t="str">
        <f>IFERROR(__xludf.DUMMYFUNCTION("""COMPUTED_VALUE"""),"Maroua")</f>
        <v>Maroua</v>
      </c>
      <c r="B5125" s="120" t="str">
        <f>IFERROR(__xludf.DUMMYFUNCTION("""COMPUTED_VALUE"""),"MVR")</f>
        <v>MVR</v>
      </c>
      <c r="C5125" s="120" t="str">
        <f>IFERROR(__xludf.DUMMYFUNCTION("""COMPUTED_VALUE"""),"Salam")</f>
        <v>Salam</v>
      </c>
      <c r="D5125" s="120" t="str">
        <f>IFERROR(__xludf.DUMMYFUNCTION("""COMPUTED_VALUE"""),"Cameroon")</f>
        <v>Cameroon</v>
      </c>
      <c r="E5125" s="135"/>
      <c r="F5125" s="31"/>
    </row>
    <row r="5126">
      <c r="A5126" s="134" t="str">
        <f>IFERROR(__xludf.DUMMYFUNCTION("""COMPUTED_VALUE"""),"Marqua")</f>
        <v>Marqua</v>
      </c>
      <c r="B5126" s="120" t="str">
        <f>IFERROR(__xludf.DUMMYFUNCTION("""COMPUTED_VALUE"""),"MQE")</f>
        <v>MQE</v>
      </c>
      <c r="C5126" s="120" t="str">
        <f>IFERROR(__xludf.DUMMYFUNCTION("""COMPUTED_VALUE"""),"Marqua")</f>
        <v>Marqua</v>
      </c>
      <c r="D5126" s="120" t="str">
        <f>IFERROR(__xludf.DUMMYFUNCTION("""COMPUTED_VALUE"""),"Australia")</f>
        <v>Australia</v>
      </c>
      <c r="E5126" s="135"/>
      <c r="F5126" s="31"/>
    </row>
    <row r="5127">
      <c r="A5127" s="134" t="str">
        <f>IFERROR(__xludf.DUMMYFUNCTION("""COMPUTED_VALUE"""),"Marquette")</f>
        <v>Marquette</v>
      </c>
      <c r="B5127" s="120" t="str">
        <f>IFERROR(__xludf.DUMMYFUNCTION("""COMPUTED_VALUE"""),"MQT")</f>
        <v>MQT</v>
      </c>
      <c r="C5127" s="120" t="str">
        <f>IFERROR(__xludf.DUMMYFUNCTION("""COMPUTED_VALUE"""),"Sawyer International")</f>
        <v>Sawyer International</v>
      </c>
      <c r="D5127" s="120" t="str">
        <f>IFERROR(__xludf.DUMMYFUNCTION("""COMPUTED_VALUE"""),"United States")</f>
        <v>United States</v>
      </c>
      <c r="E5127" s="135"/>
      <c r="F5127" s="31"/>
    </row>
    <row r="5128">
      <c r="A5128" s="134" t="str">
        <f>IFERROR(__xludf.DUMMYFUNCTION("""COMPUTED_VALUE"""),"Marrakech")</f>
        <v>Marrakech</v>
      </c>
      <c r="B5128" s="120" t="str">
        <f>IFERROR(__xludf.DUMMYFUNCTION("""COMPUTED_VALUE"""),"RAK")</f>
        <v>RAK</v>
      </c>
      <c r="C5128" s="120" t="str">
        <f>IFERROR(__xludf.DUMMYFUNCTION("""COMPUTED_VALUE"""),"Menara")</f>
        <v>Menara</v>
      </c>
      <c r="D5128" s="120" t="str">
        <f>IFERROR(__xludf.DUMMYFUNCTION("""COMPUTED_VALUE"""),"Morocco")</f>
        <v>Morocco</v>
      </c>
      <c r="E5128" s="135"/>
      <c r="F5128" s="31"/>
    </row>
    <row r="5129">
      <c r="A5129" s="134" t="str">
        <f>IFERROR(__xludf.DUMMYFUNCTION("""COMPUTED_VALUE"""),"Marree")</f>
        <v>Marree</v>
      </c>
      <c r="B5129" s="120" t="str">
        <f>IFERROR(__xludf.DUMMYFUNCTION("""COMPUTED_VALUE"""),"RRE")</f>
        <v>RRE</v>
      </c>
      <c r="C5129" s="120" t="str">
        <f>IFERROR(__xludf.DUMMYFUNCTION("""COMPUTED_VALUE"""),"Marree")</f>
        <v>Marree</v>
      </c>
      <c r="D5129" s="120" t="str">
        <f>IFERROR(__xludf.DUMMYFUNCTION("""COMPUTED_VALUE"""),"Australia")</f>
        <v>Australia</v>
      </c>
      <c r="E5129" s="135"/>
      <c r="F5129" s="31"/>
    </row>
    <row r="5130">
      <c r="A5130" s="134" t="str">
        <f>IFERROR(__xludf.DUMMYFUNCTION("""COMPUTED_VALUE"""),"Marromeu")</f>
        <v>Marromeu</v>
      </c>
      <c r="B5130" s="120" t="str">
        <f>IFERROR(__xludf.DUMMYFUNCTION("""COMPUTED_VALUE"""),"RRM")</f>
        <v>RRM</v>
      </c>
      <c r="C5130" s="120" t="str">
        <f>IFERROR(__xludf.DUMMYFUNCTION("""COMPUTED_VALUE"""),"Marromeu")</f>
        <v>Marromeu</v>
      </c>
      <c r="D5130" s="120" t="str">
        <f>IFERROR(__xludf.DUMMYFUNCTION("""COMPUTED_VALUE"""),"Mozambique")</f>
        <v>Mozambique</v>
      </c>
      <c r="E5130" s="135"/>
      <c r="F5130" s="31"/>
    </row>
    <row r="5131">
      <c r="A5131" s="134" t="str">
        <f>IFERROR(__xludf.DUMMYFUNCTION("""COMPUTED_VALUE"""),"Marsa Alam")</f>
        <v>Marsa Alam</v>
      </c>
      <c r="B5131" s="120" t="str">
        <f>IFERROR(__xludf.DUMMYFUNCTION("""COMPUTED_VALUE"""),"RMF")</f>
        <v>RMF</v>
      </c>
      <c r="C5131" s="120" t="str">
        <f>IFERROR(__xludf.DUMMYFUNCTION("""COMPUTED_VALUE"""),"Marsa Alam")</f>
        <v>Marsa Alam</v>
      </c>
      <c r="D5131" s="120" t="str">
        <f>IFERROR(__xludf.DUMMYFUNCTION("""COMPUTED_VALUE"""),"Egypt")</f>
        <v>Egypt</v>
      </c>
      <c r="E5131" s="135"/>
      <c r="F5131" s="31"/>
    </row>
    <row r="5132">
      <c r="A5132" s="134" t="str">
        <f>IFERROR(__xludf.DUMMYFUNCTION("""COMPUTED_VALUE"""),"Marsa Brega")</f>
        <v>Marsa Brega</v>
      </c>
      <c r="B5132" s="120" t="str">
        <f>IFERROR(__xludf.DUMMYFUNCTION("""COMPUTED_VALUE"""),"LMQ")</f>
        <v>LMQ</v>
      </c>
      <c r="C5132" s="120" t="str">
        <f>IFERROR(__xludf.DUMMYFUNCTION("""COMPUTED_VALUE"""),"Marsa Brega")</f>
        <v>Marsa Brega</v>
      </c>
      <c r="D5132" s="120" t="str">
        <f>IFERROR(__xludf.DUMMYFUNCTION("""COMPUTED_VALUE"""),"Libya")</f>
        <v>Libya</v>
      </c>
      <c r="E5132" s="135"/>
      <c r="F5132" s="31"/>
    </row>
    <row r="5133">
      <c r="A5133" s="134" t="str">
        <f>IFERROR(__xludf.DUMMYFUNCTION("""COMPUTED_VALUE"""),"Marsabit")</f>
        <v>Marsabit</v>
      </c>
      <c r="B5133" s="120" t="str">
        <f>IFERROR(__xludf.DUMMYFUNCTION("""COMPUTED_VALUE"""),"RBT")</f>
        <v>RBT</v>
      </c>
      <c r="C5133" s="120" t="str">
        <f>IFERROR(__xludf.DUMMYFUNCTION("""COMPUTED_VALUE"""),"Marsabit")</f>
        <v>Marsabit</v>
      </c>
      <c r="D5133" s="120" t="str">
        <f>IFERROR(__xludf.DUMMYFUNCTION("""COMPUTED_VALUE"""),"Kenya")</f>
        <v>Kenya</v>
      </c>
      <c r="E5133" s="135"/>
      <c r="F5133" s="31"/>
    </row>
    <row r="5134">
      <c r="A5134" s="134" t="str">
        <f>IFERROR(__xludf.DUMMYFUNCTION("""COMPUTED_VALUE"""),"Marseille")</f>
        <v>Marseille</v>
      </c>
      <c r="B5134" s="120" t="str">
        <f>IFERROR(__xludf.DUMMYFUNCTION("""COMPUTED_VALUE"""),"MRS")</f>
        <v>MRS</v>
      </c>
      <c r="C5134" s="120" t="str">
        <f>IFERROR(__xludf.DUMMYFUNCTION("""COMPUTED_VALUE"""),"Marseille Provence Airport")</f>
        <v>Marseille Provence Airport</v>
      </c>
      <c r="D5134" s="120" t="str">
        <f>IFERROR(__xludf.DUMMYFUNCTION("""COMPUTED_VALUE"""),"France")</f>
        <v>France</v>
      </c>
      <c r="E5134" s="135"/>
      <c r="F5134" s="31"/>
    </row>
    <row r="5135">
      <c r="A5135" s="134" t="str">
        <f>IFERROR(__xludf.DUMMYFUNCTION("""COMPUTED_VALUE"""),"Marseille")</f>
        <v>Marseille</v>
      </c>
      <c r="B5135" s="120" t="str">
        <f>IFERROR(__xludf.DUMMYFUNCTION("""COMPUTED_VALUE"""),"XRF")</f>
        <v>XRF</v>
      </c>
      <c r="C5135" s="120" t="str">
        <f>IFERROR(__xludf.DUMMYFUNCTION("""COMPUTED_VALUE"""),"Marseille Railway")</f>
        <v>Marseille Railway</v>
      </c>
      <c r="D5135" s="120" t="str">
        <f>IFERROR(__xludf.DUMMYFUNCTION("""COMPUTED_VALUE"""),"France")</f>
        <v>France</v>
      </c>
      <c r="E5135" s="135"/>
      <c r="F5135" s="31"/>
    </row>
    <row r="5136">
      <c r="A5136" s="134" t="str">
        <f>IFERROR(__xludf.DUMMYFUNCTION("""COMPUTED_VALUE"""),"Marsh Harbour")</f>
        <v>Marsh Harbour</v>
      </c>
      <c r="B5136" s="120" t="str">
        <f>IFERROR(__xludf.DUMMYFUNCTION("""COMPUTED_VALUE"""),"MHH")</f>
        <v>MHH</v>
      </c>
      <c r="C5136" s="120" t="str">
        <f>IFERROR(__xludf.DUMMYFUNCTION("""COMPUTED_VALUE"""),"International")</f>
        <v>International</v>
      </c>
      <c r="D5136" s="120" t="str">
        <f>IFERROR(__xludf.DUMMYFUNCTION("""COMPUTED_VALUE"""),"Bahamas")</f>
        <v>Bahamas</v>
      </c>
      <c r="E5136" s="135"/>
      <c r="F5136" s="31"/>
    </row>
    <row r="5137">
      <c r="A5137" s="134" t="str">
        <f>IFERROR(__xludf.DUMMYFUNCTION("""COMPUTED_VALUE"""),"Marshall")</f>
        <v>Marshall</v>
      </c>
      <c r="B5137" s="120" t="str">
        <f>IFERROR(__xludf.DUMMYFUNCTION("""COMPUTED_VALUE"""),"MLL")</f>
        <v>MLL</v>
      </c>
      <c r="C5137" s="120" t="str">
        <f>IFERROR(__xludf.DUMMYFUNCTION("""COMPUTED_VALUE"""),"Marshall")</f>
        <v>Marshall</v>
      </c>
      <c r="D5137" s="120" t="str">
        <f>IFERROR(__xludf.DUMMYFUNCTION("""COMPUTED_VALUE"""),"United States")</f>
        <v>United States</v>
      </c>
      <c r="E5137" s="135"/>
      <c r="F5137" s="31"/>
    </row>
    <row r="5138">
      <c r="A5138" s="134" t="str">
        <f>IFERROR(__xludf.DUMMYFUNCTION("""COMPUTED_VALUE"""),"Marshall")</f>
        <v>Marshall</v>
      </c>
      <c r="B5138" s="120" t="str">
        <f>IFERROR(__xludf.DUMMYFUNCTION("""COMPUTED_VALUE"""),"MML")</f>
        <v>MML</v>
      </c>
      <c r="C5138" s="120" t="str">
        <f>IFERROR(__xludf.DUMMYFUNCTION("""COMPUTED_VALUE"""),"Municipal-Ryan Field")</f>
        <v>Municipal-Ryan Field</v>
      </c>
      <c r="D5138" s="120" t="str">
        <f>IFERROR(__xludf.DUMMYFUNCTION("""COMPUTED_VALUE"""),"United States")</f>
        <v>United States</v>
      </c>
      <c r="E5138" s="135"/>
      <c r="F5138" s="31"/>
    </row>
    <row r="5139">
      <c r="A5139" s="134" t="str">
        <f>IFERROR(__xludf.DUMMYFUNCTION("""COMPUTED_VALUE"""),"Marshall")</f>
        <v>Marshall</v>
      </c>
      <c r="B5139" s="120" t="str">
        <f>IFERROR(__xludf.DUMMYFUNCTION("""COMPUTED_VALUE"""),"MHL")</f>
        <v>MHL</v>
      </c>
      <c r="C5139" s="120" t="str">
        <f>IFERROR(__xludf.DUMMYFUNCTION("""COMPUTED_VALUE"""),"Memorial Municipal")</f>
        <v>Memorial Municipal</v>
      </c>
      <c r="D5139" s="120" t="str">
        <f>IFERROR(__xludf.DUMMYFUNCTION("""COMPUTED_VALUE"""),"United States")</f>
        <v>United States</v>
      </c>
      <c r="E5139" s="135"/>
      <c r="F5139" s="31"/>
    </row>
    <row r="5140">
      <c r="A5140" s="134" t="str">
        <f>IFERROR(__xludf.DUMMYFUNCTION("""COMPUTED_VALUE"""),"Marshall")</f>
        <v>Marshall</v>
      </c>
      <c r="B5140" s="120" t="str">
        <f>IFERROR(__xludf.DUMMYFUNCTION("""COMPUTED_VALUE"""),"ASL")</f>
        <v>ASL</v>
      </c>
      <c r="C5140" s="120" t="str">
        <f>IFERROR(__xludf.DUMMYFUNCTION("""COMPUTED_VALUE"""),"Harrison County")</f>
        <v>Harrison County</v>
      </c>
      <c r="D5140" s="120" t="str">
        <f>IFERROR(__xludf.DUMMYFUNCTION("""COMPUTED_VALUE"""),"United States")</f>
        <v>United States</v>
      </c>
      <c r="E5140" s="135"/>
      <c r="F5140" s="31"/>
    </row>
    <row r="5141">
      <c r="A5141" s="134" t="str">
        <f>IFERROR(__xludf.DUMMYFUNCTION("""COMPUTED_VALUE"""),"Marshalltown")</f>
        <v>Marshalltown</v>
      </c>
      <c r="B5141" s="120" t="str">
        <f>IFERROR(__xludf.DUMMYFUNCTION("""COMPUTED_VALUE"""),"MIW")</f>
        <v>MIW</v>
      </c>
      <c r="C5141" s="120" t="str">
        <f>IFERROR(__xludf.DUMMYFUNCTION("""COMPUTED_VALUE"""),"Municipal")</f>
        <v>Municipal</v>
      </c>
      <c r="D5141" s="120" t="str">
        <f>IFERROR(__xludf.DUMMYFUNCTION("""COMPUTED_VALUE"""),"United States")</f>
        <v>United States</v>
      </c>
      <c r="E5141" s="135"/>
      <c r="F5141" s="31"/>
    </row>
    <row r="5142">
      <c r="A5142" s="134" t="str">
        <f>IFERROR(__xludf.DUMMYFUNCTION("""COMPUTED_VALUE"""),"Marshfield")</f>
        <v>Marshfield</v>
      </c>
      <c r="B5142" s="120" t="str">
        <f>IFERROR(__xludf.DUMMYFUNCTION("""COMPUTED_VALUE"""),"MFI")</f>
        <v>MFI</v>
      </c>
      <c r="C5142" s="120" t="str">
        <f>IFERROR(__xludf.DUMMYFUNCTION("""COMPUTED_VALUE"""),"Municipal")</f>
        <v>Municipal</v>
      </c>
      <c r="D5142" s="120" t="str">
        <f>IFERROR(__xludf.DUMMYFUNCTION("""COMPUTED_VALUE"""),"United States")</f>
        <v>United States</v>
      </c>
      <c r="E5142" s="135"/>
      <c r="F5142" s="31"/>
    </row>
    <row r="5143">
      <c r="A5143" s="134" t="str">
        <f>IFERROR(__xludf.DUMMYFUNCTION("""COMPUTED_VALUE"""),"Martinsburg")</f>
        <v>Martinsburg</v>
      </c>
      <c r="B5143" s="120" t="str">
        <f>IFERROR(__xludf.DUMMYFUNCTION("""COMPUTED_VALUE"""),"AOO")</f>
        <v>AOO</v>
      </c>
      <c r="C5143" s="120" t="str">
        <f>IFERROR(__xludf.DUMMYFUNCTION("""COMPUTED_VALUE"""),"Martinsburg")</f>
        <v>Martinsburg</v>
      </c>
      <c r="D5143" s="120" t="str">
        <f>IFERROR(__xludf.DUMMYFUNCTION("""COMPUTED_VALUE"""),"United States")</f>
        <v>United States</v>
      </c>
      <c r="E5143" s="135"/>
      <c r="F5143" s="31"/>
    </row>
    <row r="5144">
      <c r="A5144" s="134" t="str">
        <f>IFERROR(__xludf.DUMMYFUNCTION("""COMPUTED_VALUE"""),"Martinsburg")</f>
        <v>Martinsburg</v>
      </c>
      <c r="B5144" s="120" t="str">
        <f>IFERROR(__xludf.DUMMYFUNCTION("""COMPUTED_VALUE"""),"MRB")</f>
        <v>MRB</v>
      </c>
      <c r="C5144" s="120" t="str">
        <f>IFERROR(__xludf.DUMMYFUNCTION("""COMPUTED_VALUE"""),"Eastern Wv Regional Airport/Shepherd Field")</f>
        <v>Eastern Wv Regional Airport/Shepherd Field</v>
      </c>
      <c r="D5144" s="120" t="str">
        <f>IFERROR(__xludf.DUMMYFUNCTION("""COMPUTED_VALUE"""),"United States")</f>
        <v>United States</v>
      </c>
      <c r="E5144" s="135"/>
      <c r="F5144" s="31"/>
    </row>
    <row r="5145">
      <c r="A5145" s="134" t="str">
        <f>IFERROR(__xludf.DUMMYFUNCTION("""COMPUTED_VALUE"""),"Marudi")</f>
        <v>Marudi</v>
      </c>
      <c r="B5145" s="120" t="str">
        <f>IFERROR(__xludf.DUMMYFUNCTION("""COMPUTED_VALUE"""),"MUR")</f>
        <v>MUR</v>
      </c>
      <c r="C5145" s="120" t="str">
        <f>IFERROR(__xludf.DUMMYFUNCTION("""COMPUTED_VALUE"""),"Marudi")</f>
        <v>Marudi</v>
      </c>
      <c r="D5145" s="120" t="str">
        <f>IFERROR(__xludf.DUMMYFUNCTION("""COMPUTED_VALUE"""),"Malaysia")</f>
        <v>Malaysia</v>
      </c>
      <c r="E5145" s="135"/>
      <c r="F5145" s="31"/>
    </row>
    <row r="5146">
      <c r="A5146" s="134" t="str">
        <f>IFERROR(__xludf.DUMMYFUNCTION("""COMPUTED_VALUE"""),"Mary")</f>
        <v>Mary</v>
      </c>
      <c r="B5146" s="120" t="str">
        <f>IFERROR(__xludf.DUMMYFUNCTION("""COMPUTED_VALUE"""),"MYP")</f>
        <v>MYP</v>
      </c>
      <c r="C5146" s="120" t="str">
        <f>IFERROR(__xludf.DUMMYFUNCTION("""COMPUTED_VALUE"""),"Mary")</f>
        <v>Mary</v>
      </c>
      <c r="D5146" s="120" t="str">
        <f>IFERROR(__xludf.DUMMYFUNCTION("""COMPUTED_VALUE"""),"Turkmenistan")</f>
        <v>Turkmenistan</v>
      </c>
      <c r="E5146" s="135"/>
      <c r="F5146" s="31"/>
    </row>
    <row r="5147">
      <c r="A5147" s="134" t="str">
        <f>IFERROR(__xludf.DUMMYFUNCTION("""COMPUTED_VALUE"""),"Maryborough")</f>
        <v>Maryborough</v>
      </c>
      <c r="B5147" s="120" t="str">
        <f>IFERROR(__xludf.DUMMYFUNCTION("""COMPUTED_VALUE"""),"MBH")</f>
        <v>MBH</v>
      </c>
      <c r="C5147" s="120" t="str">
        <f>IFERROR(__xludf.DUMMYFUNCTION("""COMPUTED_VALUE"""),"Maryborough")</f>
        <v>Maryborough</v>
      </c>
      <c r="D5147" s="120" t="str">
        <f>IFERROR(__xludf.DUMMYFUNCTION("""COMPUTED_VALUE"""),"Australia")</f>
        <v>Australia</v>
      </c>
      <c r="E5147" s="135"/>
      <c r="F5147" s="31"/>
    </row>
    <row r="5148">
      <c r="A5148" s="134" t="str">
        <f>IFERROR(__xludf.DUMMYFUNCTION("""COMPUTED_VALUE"""),"Marysville")</f>
        <v>Marysville</v>
      </c>
      <c r="B5148" s="120" t="str">
        <f>IFERROR(__xludf.DUMMYFUNCTION("""COMPUTED_VALUE"""),"BAB")</f>
        <v>BAB</v>
      </c>
      <c r="C5148" s="120" t="str">
        <f>IFERROR(__xludf.DUMMYFUNCTION("""COMPUTED_VALUE"""),"Beale AFB")</f>
        <v>Beale AFB</v>
      </c>
      <c r="D5148" s="120" t="str">
        <f>IFERROR(__xludf.DUMMYFUNCTION("""COMPUTED_VALUE"""),"United States")</f>
        <v>United States</v>
      </c>
      <c r="E5148" s="135"/>
      <c r="F5148" s="31"/>
    </row>
    <row r="5149">
      <c r="A5149" s="134" t="str">
        <f>IFERROR(__xludf.DUMMYFUNCTION("""COMPUTED_VALUE"""),"Marysville")</f>
        <v>Marysville</v>
      </c>
      <c r="B5149" s="120" t="str">
        <f>IFERROR(__xludf.DUMMYFUNCTION("""COMPUTED_VALUE"""),"MYV")</f>
        <v>MYV</v>
      </c>
      <c r="C5149" s="120" t="str">
        <f>IFERROR(__xludf.DUMMYFUNCTION("""COMPUTED_VALUE"""),"Yuba County")</f>
        <v>Yuba County</v>
      </c>
      <c r="D5149" s="120" t="str">
        <f>IFERROR(__xludf.DUMMYFUNCTION("""COMPUTED_VALUE"""),"United States")</f>
        <v>United States</v>
      </c>
      <c r="E5149" s="135"/>
      <c r="F5149" s="31"/>
    </row>
    <row r="5150">
      <c r="A5150" s="134" t="str">
        <f>IFERROR(__xludf.DUMMYFUNCTION("""COMPUTED_VALUE"""),"Masa")</f>
        <v>Masa</v>
      </c>
      <c r="B5150" s="120" t="str">
        <f>IFERROR(__xludf.DUMMYFUNCTION("""COMPUTED_VALUE"""),"MBV")</f>
        <v>MBV</v>
      </c>
      <c r="C5150" s="120" t="str">
        <f>IFERROR(__xludf.DUMMYFUNCTION("""COMPUTED_VALUE"""),"Masa")</f>
        <v>Masa</v>
      </c>
      <c r="D5150" s="120" t="str">
        <f>IFERROR(__xludf.DUMMYFUNCTION("""COMPUTED_VALUE"""),"Papua New Guinea")</f>
        <v>Papua New Guinea</v>
      </c>
      <c r="E5150" s="135"/>
      <c r="F5150" s="31"/>
    </row>
    <row r="5151">
      <c r="A5151" s="134" t="str">
        <f>IFERROR(__xludf.DUMMYFUNCTION("""COMPUTED_VALUE"""),"Masada")</f>
        <v>Masada</v>
      </c>
      <c r="B5151" s="120" t="str">
        <f>IFERROR(__xludf.DUMMYFUNCTION("""COMPUTED_VALUE"""),"MTZ")</f>
        <v>MTZ</v>
      </c>
      <c r="C5151" s="120" t="str">
        <f>IFERROR(__xludf.DUMMYFUNCTION("""COMPUTED_VALUE"""),"Masada")</f>
        <v>Masada</v>
      </c>
      <c r="D5151" s="120" t="str">
        <f>IFERROR(__xludf.DUMMYFUNCTION("""COMPUTED_VALUE"""),"Israel")</f>
        <v>Israel</v>
      </c>
      <c r="E5151" s="135"/>
      <c r="F5151" s="31"/>
    </row>
    <row r="5152">
      <c r="A5152" s="134" t="str">
        <f>IFERROR(__xludf.DUMMYFUNCTION("""COMPUTED_VALUE"""),"Masalembo")</f>
        <v>Masalembo</v>
      </c>
      <c r="B5152" s="120" t="str">
        <f>IFERROR(__xludf.DUMMYFUNCTION("""COMPUTED_VALUE"""),"MSI")</f>
        <v>MSI</v>
      </c>
      <c r="C5152" s="120" t="str">
        <f>IFERROR(__xludf.DUMMYFUNCTION("""COMPUTED_VALUE"""),"Masalembo")</f>
        <v>Masalembo</v>
      </c>
      <c r="D5152" s="120" t="str">
        <f>IFERROR(__xludf.DUMMYFUNCTION("""COMPUTED_VALUE"""),"Indonesia")</f>
        <v>Indonesia</v>
      </c>
      <c r="E5152" s="135"/>
      <c r="F5152" s="31"/>
    </row>
    <row r="5153">
      <c r="A5153" s="134" t="str">
        <f>IFERROR(__xludf.DUMMYFUNCTION("""COMPUTED_VALUE"""),"Masamba")</f>
        <v>Masamba</v>
      </c>
      <c r="B5153" s="120" t="str">
        <f>IFERROR(__xludf.DUMMYFUNCTION("""COMPUTED_VALUE"""),"MXB")</f>
        <v>MXB</v>
      </c>
      <c r="C5153" s="120" t="str">
        <f>IFERROR(__xludf.DUMMYFUNCTION("""COMPUTED_VALUE"""),"Masamba")</f>
        <v>Masamba</v>
      </c>
      <c r="D5153" s="120" t="str">
        <f>IFERROR(__xludf.DUMMYFUNCTION("""COMPUTED_VALUE"""),"Indonesia")</f>
        <v>Indonesia</v>
      </c>
      <c r="E5153" s="135"/>
      <c r="F5153" s="31"/>
    </row>
    <row r="5154">
      <c r="A5154" s="134" t="str">
        <f>IFERROR(__xludf.DUMMYFUNCTION("""COMPUTED_VALUE"""),"Masasi")</f>
        <v>Masasi</v>
      </c>
      <c r="B5154" s="120" t="str">
        <f>IFERROR(__xludf.DUMMYFUNCTION("""COMPUTED_VALUE"""),"XMI")</f>
        <v>XMI</v>
      </c>
      <c r="C5154" s="120" t="str">
        <f>IFERROR(__xludf.DUMMYFUNCTION("""COMPUTED_VALUE"""),"Masasi")</f>
        <v>Masasi</v>
      </c>
      <c r="D5154" s="120" t="str">
        <f>IFERROR(__xludf.DUMMYFUNCTION("""COMPUTED_VALUE"""),"Tanzania")</f>
        <v>Tanzania</v>
      </c>
      <c r="E5154" s="135"/>
      <c r="F5154" s="31"/>
    </row>
    <row r="5155">
      <c r="A5155" s="134" t="str">
        <f>IFERROR(__xludf.DUMMYFUNCTION("""COMPUTED_VALUE"""),"Masbate")</f>
        <v>Masbate</v>
      </c>
      <c r="B5155" s="120" t="str">
        <f>IFERROR(__xludf.DUMMYFUNCTION("""COMPUTED_VALUE"""),"MBT")</f>
        <v>MBT</v>
      </c>
      <c r="C5155" s="120" t="str">
        <f>IFERROR(__xludf.DUMMYFUNCTION("""COMPUTED_VALUE"""),"Masbate")</f>
        <v>Masbate</v>
      </c>
      <c r="D5155" s="120" t="str">
        <f>IFERROR(__xludf.DUMMYFUNCTION("""COMPUTED_VALUE"""),"Philippines")</f>
        <v>Philippines</v>
      </c>
      <c r="E5155" s="135"/>
      <c r="F5155" s="31"/>
    </row>
    <row r="5156">
      <c r="A5156" s="134" t="str">
        <f>IFERROR(__xludf.DUMMYFUNCTION("""COMPUTED_VALUE"""),"Mascara")</f>
        <v>Mascara</v>
      </c>
      <c r="B5156" s="120" t="str">
        <f>IFERROR(__xludf.DUMMYFUNCTION("""COMPUTED_VALUE"""),"MUW")</f>
        <v>MUW</v>
      </c>
      <c r="C5156" s="120" t="str">
        <f>IFERROR(__xludf.DUMMYFUNCTION("""COMPUTED_VALUE"""),"Mascara")</f>
        <v>Mascara</v>
      </c>
      <c r="D5156" s="120" t="str">
        <f>IFERROR(__xludf.DUMMYFUNCTION("""COMPUTED_VALUE"""),"Algeria")</f>
        <v>Algeria</v>
      </c>
      <c r="E5156" s="135"/>
      <c r="F5156" s="31"/>
    </row>
    <row r="5157">
      <c r="A5157" s="134" t="str">
        <f>IFERROR(__xludf.DUMMYFUNCTION("""COMPUTED_VALUE"""),"Maseru")</f>
        <v>Maseru</v>
      </c>
      <c r="B5157" s="120" t="str">
        <f>IFERROR(__xludf.DUMMYFUNCTION("""COMPUTED_VALUE"""),"MSU")</f>
        <v>MSU</v>
      </c>
      <c r="C5157" s="120" t="str">
        <f>IFERROR(__xludf.DUMMYFUNCTION("""COMPUTED_VALUE"""),"Moshoeshoe Intl")</f>
        <v>Moshoeshoe Intl</v>
      </c>
      <c r="D5157" s="120" t="str">
        <f>IFERROR(__xludf.DUMMYFUNCTION("""COMPUTED_VALUE"""),"Lesotho")</f>
        <v>Lesotho</v>
      </c>
      <c r="E5157" s="135"/>
      <c r="F5157" s="31"/>
    </row>
    <row r="5158">
      <c r="A5158" s="134" t="str">
        <f>IFERROR(__xludf.DUMMYFUNCTION("""COMPUTED_VALUE"""),"Mashad")</f>
        <v>Mashad</v>
      </c>
      <c r="B5158" s="120" t="str">
        <f>IFERROR(__xludf.DUMMYFUNCTION("""COMPUTED_VALUE"""),"MHD")</f>
        <v>MHD</v>
      </c>
      <c r="C5158" s="120" t="str">
        <f>IFERROR(__xludf.DUMMYFUNCTION("""COMPUTED_VALUE"""),"Mashad")</f>
        <v>Mashad</v>
      </c>
      <c r="D5158" s="120" t="str">
        <f>IFERROR(__xludf.DUMMYFUNCTION("""COMPUTED_VALUE"""),"Iran")</f>
        <v>Iran</v>
      </c>
      <c r="E5158" s="135"/>
      <c r="F5158" s="31"/>
    </row>
    <row r="5159">
      <c r="A5159" s="134" t="str">
        <f>IFERROR(__xludf.DUMMYFUNCTION("""COMPUTED_VALUE"""),"Masi Manimba")</f>
        <v>Masi Manimba</v>
      </c>
      <c r="B5159" s="120" t="str">
        <f>IFERROR(__xludf.DUMMYFUNCTION("""COMPUTED_VALUE"""),"MSM")</f>
        <v>MSM</v>
      </c>
      <c r="C5159" s="120" t="str">
        <f>IFERROR(__xludf.DUMMYFUNCTION("""COMPUTED_VALUE"""),"Masi Manimba")</f>
        <v>Masi Manimba</v>
      </c>
      <c r="D5159" s="120" t="str">
        <f>IFERROR(__xludf.DUMMYFUNCTION("""COMPUTED_VALUE"""),"Zaire")</f>
        <v>Zaire</v>
      </c>
      <c r="E5159" s="135"/>
      <c r="F5159" s="31"/>
    </row>
    <row r="5160">
      <c r="A5160" s="134" t="str">
        <f>IFERROR(__xludf.DUMMYFUNCTION("""COMPUTED_VALUE"""),"Masindi")</f>
        <v>Masindi</v>
      </c>
      <c r="B5160" s="120" t="str">
        <f>IFERROR(__xludf.DUMMYFUNCTION("""COMPUTED_VALUE"""),"KCU")</f>
        <v>KCU</v>
      </c>
      <c r="C5160" s="120" t="str">
        <f>IFERROR(__xludf.DUMMYFUNCTION("""COMPUTED_VALUE"""),"Masindi")</f>
        <v>Masindi</v>
      </c>
      <c r="D5160" s="120" t="str">
        <f>IFERROR(__xludf.DUMMYFUNCTION("""COMPUTED_VALUE"""),"Uganda")</f>
        <v>Uganda</v>
      </c>
      <c r="E5160" s="135"/>
      <c r="F5160" s="31"/>
    </row>
    <row r="5161">
      <c r="A5161" s="134" t="str">
        <f>IFERROR(__xludf.DUMMYFUNCTION("""COMPUTED_VALUE"""),"Masirah")</f>
        <v>Masirah</v>
      </c>
      <c r="B5161" s="120" t="str">
        <f>IFERROR(__xludf.DUMMYFUNCTION("""COMPUTED_VALUE"""),"MSH")</f>
        <v>MSH</v>
      </c>
      <c r="C5161" s="120" t="str">
        <f>IFERROR(__xludf.DUMMYFUNCTION("""COMPUTED_VALUE"""),"Masirah")</f>
        <v>Masirah</v>
      </c>
      <c r="D5161" s="120" t="str">
        <f>IFERROR(__xludf.DUMMYFUNCTION("""COMPUTED_VALUE"""),"Oman")</f>
        <v>Oman</v>
      </c>
      <c r="E5161" s="135"/>
      <c r="F5161" s="31"/>
    </row>
    <row r="5162">
      <c r="A5162" s="134" t="str">
        <f>IFERROR(__xludf.DUMMYFUNCTION("""COMPUTED_VALUE"""),"Mason City")</f>
        <v>Mason City</v>
      </c>
      <c r="B5162" s="120" t="str">
        <f>IFERROR(__xludf.DUMMYFUNCTION("""COMPUTED_VALUE"""),"MCW")</f>
        <v>MCW</v>
      </c>
      <c r="C5162" s="120" t="str">
        <f>IFERROR(__xludf.DUMMYFUNCTION("""COMPUTED_VALUE"""),"Mason City")</f>
        <v>Mason City</v>
      </c>
      <c r="D5162" s="120" t="str">
        <f>IFERROR(__xludf.DUMMYFUNCTION("""COMPUTED_VALUE"""),"United States")</f>
        <v>United States</v>
      </c>
      <c r="E5162" s="135"/>
      <c r="F5162" s="31"/>
    </row>
    <row r="5163">
      <c r="A5163" s="134" t="str">
        <f>IFERROR(__xludf.DUMMYFUNCTION("""COMPUTED_VALUE"""),"Massawa")</f>
        <v>Massawa</v>
      </c>
      <c r="B5163" s="120" t="str">
        <f>IFERROR(__xludf.DUMMYFUNCTION("""COMPUTED_VALUE"""),"MSW")</f>
        <v>MSW</v>
      </c>
      <c r="C5163" s="120" t="str">
        <f>IFERROR(__xludf.DUMMYFUNCTION("""COMPUTED_VALUE"""),"Massawa")</f>
        <v>Massawa</v>
      </c>
      <c r="D5163" s="120" t="str">
        <f>IFERROR(__xludf.DUMMYFUNCTION("""COMPUTED_VALUE"""),"Ethiopia")</f>
        <v>Ethiopia</v>
      </c>
      <c r="E5163" s="135"/>
      <c r="F5163" s="31"/>
    </row>
    <row r="5164">
      <c r="A5164" s="134" t="str">
        <f>IFERROR(__xludf.DUMMYFUNCTION("""COMPUTED_VALUE"""),"Massena")</f>
        <v>Massena</v>
      </c>
      <c r="B5164" s="120" t="str">
        <f>IFERROR(__xludf.DUMMYFUNCTION("""COMPUTED_VALUE"""),"MSS")</f>
        <v>MSS</v>
      </c>
      <c r="C5164" s="120" t="str">
        <f>IFERROR(__xludf.DUMMYFUNCTION("""COMPUTED_VALUE"""),"Richards Field")</f>
        <v>Richards Field</v>
      </c>
      <c r="D5164" s="120" t="str">
        <f>IFERROR(__xludf.DUMMYFUNCTION("""COMPUTED_VALUE"""),"United States")</f>
        <v>United States</v>
      </c>
      <c r="E5164" s="135"/>
      <c r="F5164" s="31"/>
    </row>
    <row r="5165">
      <c r="A5165" s="134" t="str">
        <f>IFERROR(__xludf.DUMMYFUNCTION("""COMPUTED_VALUE"""),"Masset")</f>
        <v>Masset</v>
      </c>
      <c r="B5165" s="120" t="str">
        <f>IFERROR(__xludf.DUMMYFUNCTION("""COMPUTED_VALUE"""),"ZMT")</f>
        <v>ZMT</v>
      </c>
      <c r="C5165" s="120" t="str">
        <f>IFERROR(__xludf.DUMMYFUNCTION("""COMPUTED_VALUE"""),"Masset")</f>
        <v>Masset</v>
      </c>
      <c r="D5165" s="120" t="str">
        <f>IFERROR(__xludf.DUMMYFUNCTION("""COMPUTED_VALUE"""),"Canada")</f>
        <v>Canada</v>
      </c>
      <c r="E5165" s="135"/>
      <c r="F5165" s="31"/>
    </row>
    <row r="5166">
      <c r="A5166" s="134" t="str">
        <f>IFERROR(__xludf.DUMMYFUNCTION("""COMPUTED_VALUE"""),"Masterton")</f>
        <v>Masterton</v>
      </c>
      <c r="B5166" s="120" t="str">
        <f>IFERROR(__xludf.DUMMYFUNCTION("""COMPUTED_VALUE"""),"MRO")</f>
        <v>MRO</v>
      </c>
      <c r="C5166" s="120" t="str">
        <f>IFERROR(__xludf.DUMMYFUNCTION("""COMPUTED_VALUE"""),"Masterton")</f>
        <v>Masterton</v>
      </c>
      <c r="D5166" s="120" t="str">
        <f>IFERROR(__xludf.DUMMYFUNCTION("""COMPUTED_VALUE"""),"New Zealand (Aotearoa)")</f>
        <v>New Zealand (Aotearoa)</v>
      </c>
      <c r="E5166" s="135"/>
      <c r="F5166" s="31"/>
    </row>
    <row r="5167">
      <c r="A5167" s="134" t="str">
        <f>IFERROR(__xludf.DUMMYFUNCTION("""COMPUTED_VALUE"""),"Mastic Point")</f>
        <v>Mastic Point</v>
      </c>
      <c r="B5167" s="120" t="str">
        <f>IFERROR(__xludf.DUMMYFUNCTION("""COMPUTED_VALUE"""),"MSK")</f>
        <v>MSK</v>
      </c>
      <c r="C5167" s="120" t="str">
        <f>IFERROR(__xludf.DUMMYFUNCTION("""COMPUTED_VALUE"""),"Mastic Point")</f>
        <v>Mastic Point</v>
      </c>
      <c r="D5167" s="120" t="str">
        <f>IFERROR(__xludf.DUMMYFUNCTION("""COMPUTED_VALUE"""),"Bahamas")</f>
        <v>Bahamas</v>
      </c>
      <c r="E5167" s="135"/>
      <c r="F5167" s="31"/>
    </row>
    <row r="5168">
      <c r="A5168" s="134" t="str">
        <f>IFERROR(__xludf.DUMMYFUNCTION("""COMPUTED_VALUE"""),"Masvingo")</f>
        <v>Masvingo</v>
      </c>
      <c r="B5168" s="120" t="str">
        <f>IFERROR(__xludf.DUMMYFUNCTION("""COMPUTED_VALUE"""),"MVZ")</f>
        <v>MVZ</v>
      </c>
      <c r="C5168" s="120" t="str">
        <f>IFERROR(__xludf.DUMMYFUNCTION("""COMPUTED_VALUE"""),"Masvingo")</f>
        <v>Masvingo</v>
      </c>
      <c r="D5168" s="120" t="str">
        <f>IFERROR(__xludf.DUMMYFUNCTION("""COMPUTED_VALUE"""),"Zimbabwe")</f>
        <v>Zimbabwe</v>
      </c>
      <c r="E5168" s="135"/>
      <c r="F5168" s="31"/>
    </row>
    <row r="5169">
      <c r="A5169" s="134" t="str">
        <f>IFERROR(__xludf.DUMMYFUNCTION("""COMPUTED_VALUE"""),"Matadi")</f>
        <v>Matadi</v>
      </c>
      <c r="B5169" s="120" t="str">
        <f>IFERROR(__xludf.DUMMYFUNCTION("""COMPUTED_VALUE"""),"MAT")</f>
        <v>MAT</v>
      </c>
      <c r="C5169" s="120" t="str">
        <f>IFERROR(__xludf.DUMMYFUNCTION("""COMPUTED_VALUE"""),"Matadi")</f>
        <v>Matadi</v>
      </c>
      <c r="D5169" s="120" t="str">
        <f>IFERROR(__xludf.DUMMYFUNCTION("""COMPUTED_VALUE"""),"Zaire")</f>
        <v>Zaire</v>
      </c>
      <c r="E5169" s="135"/>
      <c r="F5169" s="31"/>
    </row>
    <row r="5170">
      <c r="A5170" s="134" t="str">
        <f>IFERROR(__xludf.DUMMYFUNCTION("""COMPUTED_VALUE"""),"Matagami")</f>
        <v>Matagami</v>
      </c>
      <c r="B5170" s="120" t="str">
        <f>IFERROR(__xludf.DUMMYFUNCTION("""COMPUTED_VALUE"""),"YNM")</f>
        <v>YNM</v>
      </c>
      <c r="C5170" s="120" t="str">
        <f>IFERROR(__xludf.DUMMYFUNCTION("""COMPUTED_VALUE"""),"Matagami")</f>
        <v>Matagami</v>
      </c>
      <c r="D5170" s="120" t="str">
        <f>IFERROR(__xludf.DUMMYFUNCTION("""COMPUTED_VALUE"""),"Canada")</f>
        <v>Canada</v>
      </c>
      <c r="E5170" s="135"/>
      <c r="F5170" s="31"/>
    </row>
    <row r="5171">
      <c r="A5171" s="134" t="str">
        <f>IFERROR(__xludf.DUMMYFUNCTION("""COMPUTED_VALUE"""),"Matagorda Island")</f>
        <v>Matagorda Island</v>
      </c>
      <c r="B5171" s="120" t="str">
        <f>IFERROR(__xludf.DUMMYFUNCTION("""COMPUTED_VALUE"""),"MGI")</f>
        <v>MGI</v>
      </c>
      <c r="C5171" s="120" t="str">
        <f>IFERROR(__xludf.DUMMYFUNCTION("""COMPUTED_VALUE"""),"Matagorda AFB")</f>
        <v>Matagorda AFB</v>
      </c>
      <c r="D5171" s="120" t="str">
        <f>IFERROR(__xludf.DUMMYFUNCTION("""COMPUTED_VALUE"""),"United States")</f>
        <v>United States</v>
      </c>
      <c r="E5171" s="135"/>
      <c r="F5171" s="31"/>
    </row>
    <row r="5172">
      <c r="A5172" s="134" t="str">
        <f>IFERROR(__xludf.DUMMYFUNCTION("""COMPUTED_VALUE"""),"Mataiva")</f>
        <v>Mataiva</v>
      </c>
      <c r="B5172" s="120" t="str">
        <f>IFERROR(__xludf.DUMMYFUNCTION("""COMPUTED_VALUE"""),"MVT")</f>
        <v>MVT</v>
      </c>
      <c r="C5172" s="120" t="str">
        <f>IFERROR(__xludf.DUMMYFUNCTION("""COMPUTED_VALUE"""),"Mataiva")</f>
        <v>Mataiva</v>
      </c>
      <c r="D5172" s="120" t="str">
        <f>IFERROR(__xludf.DUMMYFUNCTION("""COMPUTED_VALUE"""),"French Polynesia")</f>
        <v>French Polynesia</v>
      </c>
      <c r="E5172" s="135"/>
      <c r="F5172" s="31"/>
    </row>
    <row r="5173">
      <c r="A5173" s="134" t="str">
        <f>IFERROR(__xludf.DUMMYFUNCTION("""COMPUTED_VALUE"""),"Matak")</f>
        <v>Matak</v>
      </c>
      <c r="B5173" s="120" t="str">
        <f>IFERROR(__xludf.DUMMYFUNCTION("""COMPUTED_VALUE"""),"MWK")</f>
        <v>MWK</v>
      </c>
      <c r="C5173" s="120" t="str">
        <f>IFERROR(__xludf.DUMMYFUNCTION("""COMPUTED_VALUE"""),"Matak")</f>
        <v>Matak</v>
      </c>
      <c r="D5173" s="120" t="str">
        <f>IFERROR(__xludf.DUMMYFUNCTION("""COMPUTED_VALUE"""),"Indonesia")</f>
        <v>Indonesia</v>
      </c>
      <c r="E5173" s="135"/>
      <c r="F5173" s="31"/>
    </row>
    <row r="5174">
      <c r="A5174" s="134" t="str">
        <f>IFERROR(__xludf.DUMMYFUNCTION("""COMPUTED_VALUE"""),"Matam")</f>
        <v>Matam</v>
      </c>
      <c r="B5174" s="120" t="str">
        <f>IFERROR(__xludf.DUMMYFUNCTION("""COMPUTED_VALUE"""),"MAX")</f>
        <v>MAX</v>
      </c>
      <c r="C5174" s="120" t="str">
        <f>IFERROR(__xludf.DUMMYFUNCTION("""COMPUTED_VALUE"""),"Matam")</f>
        <v>Matam</v>
      </c>
      <c r="D5174" s="120" t="str">
        <f>IFERROR(__xludf.DUMMYFUNCTION("""COMPUTED_VALUE"""),"Senegal")</f>
        <v>Senegal</v>
      </c>
      <c r="E5174" s="135"/>
      <c r="F5174" s="31"/>
    </row>
    <row r="5175">
      <c r="A5175" s="134" t="str">
        <f>IFERROR(__xludf.DUMMYFUNCTION("""COMPUTED_VALUE"""),"Matamata")</f>
        <v>Matamata</v>
      </c>
      <c r="B5175" s="120" t="str">
        <f>IFERROR(__xludf.DUMMYFUNCTION("""COMPUTED_VALUE"""),"MTA")</f>
        <v>MTA</v>
      </c>
      <c r="C5175" s="120" t="str">
        <f>IFERROR(__xludf.DUMMYFUNCTION("""COMPUTED_VALUE"""),"Matamata")</f>
        <v>Matamata</v>
      </c>
      <c r="D5175" s="120" t="str">
        <f>IFERROR(__xludf.DUMMYFUNCTION("""COMPUTED_VALUE"""),"New Zealand (Aotearoa)")</f>
        <v>New Zealand (Aotearoa)</v>
      </c>
      <c r="E5175" s="135"/>
      <c r="F5175" s="31"/>
    </row>
    <row r="5176">
      <c r="A5176" s="134" t="str">
        <f>IFERROR(__xludf.DUMMYFUNCTION("""COMPUTED_VALUE"""),"Matamoros")</f>
        <v>Matamoros</v>
      </c>
      <c r="B5176" s="120" t="str">
        <f>IFERROR(__xludf.DUMMYFUNCTION("""COMPUTED_VALUE"""),"MAM")</f>
        <v>MAM</v>
      </c>
      <c r="C5176" s="120" t="str">
        <f>IFERROR(__xludf.DUMMYFUNCTION("""COMPUTED_VALUE"""),"Matamoros")</f>
        <v>Matamoros</v>
      </c>
      <c r="D5176" s="120" t="str">
        <f>IFERROR(__xludf.DUMMYFUNCTION("""COMPUTED_VALUE"""),"Mexico")</f>
        <v>Mexico</v>
      </c>
      <c r="E5176" s="135"/>
      <c r="F5176" s="31"/>
    </row>
    <row r="5177">
      <c r="A5177" s="134" t="str">
        <f>IFERROR(__xludf.DUMMYFUNCTION("""COMPUTED_VALUE"""),"Matane")</f>
        <v>Matane</v>
      </c>
      <c r="B5177" s="120" t="str">
        <f>IFERROR(__xludf.DUMMYFUNCTION("""COMPUTED_VALUE"""),"YME")</f>
        <v>YME</v>
      </c>
      <c r="C5177" s="120" t="str">
        <f>IFERROR(__xludf.DUMMYFUNCTION("""COMPUTED_VALUE"""),"Matane")</f>
        <v>Matane</v>
      </c>
      <c r="D5177" s="120" t="str">
        <f>IFERROR(__xludf.DUMMYFUNCTION("""COMPUTED_VALUE"""),"Canada")</f>
        <v>Canada</v>
      </c>
      <c r="E5177" s="135"/>
      <c r="F5177" s="31"/>
    </row>
    <row r="5178">
      <c r="A5178" s="134" t="str">
        <f>IFERROR(__xludf.DUMMYFUNCTION("""COMPUTED_VALUE"""),"Matanzas")</f>
        <v>Matanzas</v>
      </c>
      <c r="B5178" s="120" t="str">
        <f>IFERROR(__xludf.DUMMYFUNCTION("""COMPUTED_VALUE"""),"VRO")</f>
        <v>VRO</v>
      </c>
      <c r="C5178" s="120" t="str">
        <f>IFERROR(__xludf.DUMMYFUNCTION("""COMPUTED_VALUE"""),"Kawama")</f>
        <v>Kawama</v>
      </c>
      <c r="D5178" s="120" t="str">
        <f>IFERROR(__xludf.DUMMYFUNCTION("""COMPUTED_VALUE"""),"Cuba")</f>
        <v>Cuba</v>
      </c>
      <c r="E5178" s="135"/>
      <c r="F5178" s="31"/>
    </row>
    <row r="5179">
      <c r="A5179" s="134" t="str">
        <f>IFERROR(__xludf.DUMMYFUNCTION("""COMPUTED_VALUE"""),"Mataram")</f>
        <v>Mataram</v>
      </c>
      <c r="B5179" s="120" t="str">
        <f>IFERROR(__xludf.DUMMYFUNCTION("""COMPUTED_VALUE"""),"AMI")</f>
        <v>AMI</v>
      </c>
      <c r="C5179" s="120" t="str">
        <f>IFERROR(__xludf.DUMMYFUNCTION("""COMPUTED_VALUE"""),"Selaparang")</f>
        <v>Selaparang</v>
      </c>
      <c r="D5179" s="120" t="str">
        <f>IFERROR(__xludf.DUMMYFUNCTION("""COMPUTED_VALUE"""),"Indonesia")</f>
        <v>Indonesia</v>
      </c>
      <c r="E5179" s="135"/>
      <c r="F5179" s="31"/>
    </row>
    <row r="5180">
      <c r="A5180" s="134" t="str">
        <f>IFERROR(__xludf.DUMMYFUNCTION("""COMPUTED_VALUE"""),"Mati")</f>
        <v>Mati</v>
      </c>
      <c r="B5180" s="120" t="str">
        <f>IFERROR(__xludf.DUMMYFUNCTION("""COMPUTED_VALUE"""),"MXI")</f>
        <v>MXI</v>
      </c>
      <c r="C5180" s="120" t="str">
        <f>IFERROR(__xludf.DUMMYFUNCTION("""COMPUTED_VALUE"""),"Mati")</f>
        <v>Mati</v>
      </c>
      <c r="D5180" s="120" t="str">
        <f>IFERROR(__xludf.DUMMYFUNCTION("""COMPUTED_VALUE"""),"Philippines")</f>
        <v>Philippines</v>
      </c>
      <c r="E5180" s="135"/>
      <c r="F5180" s="31"/>
    </row>
    <row r="5181">
      <c r="A5181" s="134" t="str">
        <f>IFERROR(__xludf.DUMMYFUNCTION("""COMPUTED_VALUE"""),"Mato Grosso")</f>
        <v>Mato Grosso</v>
      </c>
      <c r="B5181" s="120" t="str">
        <f>IFERROR(__xludf.DUMMYFUNCTION("""COMPUTED_VALUE"""),"MTG")</f>
        <v>MTG</v>
      </c>
      <c r="C5181" s="120" t="str">
        <f>IFERROR(__xludf.DUMMYFUNCTION("""COMPUTED_VALUE"""),"Mato Grosso")</f>
        <v>Mato Grosso</v>
      </c>
      <c r="D5181" s="120" t="str">
        <f>IFERROR(__xludf.DUMMYFUNCTION("""COMPUTED_VALUE"""),"Brazil")</f>
        <v>Brazil</v>
      </c>
      <c r="E5181" s="135"/>
      <c r="F5181" s="31"/>
    </row>
    <row r="5182">
      <c r="A5182" s="134" t="str">
        <f>IFERROR(__xludf.DUMMYFUNCTION("""COMPUTED_VALUE"""),"Matsaile")</f>
        <v>Matsaile</v>
      </c>
      <c r="B5182" s="120" t="str">
        <f>IFERROR(__xludf.DUMMYFUNCTION("""COMPUTED_VALUE"""),"MSG")</f>
        <v>MSG</v>
      </c>
      <c r="C5182" s="120" t="str">
        <f>IFERROR(__xludf.DUMMYFUNCTION("""COMPUTED_VALUE"""),"Matsaile")</f>
        <v>Matsaile</v>
      </c>
      <c r="D5182" s="120" t="str">
        <f>IFERROR(__xludf.DUMMYFUNCTION("""COMPUTED_VALUE"""),"Lesotho")</f>
        <v>Lesotho</v>
      </c>
      <c r="E5182" s="135"/>
      <c r="F5182" s="31"/>
    </row>
    <row r="5183">
      <c r="A5183" s="134" t="str">
        <f>IFERROR(__xludf.DUMMYFUNCTION("""COMPUTED_VALUE"""),"Matsu")</f>
        <v>Matsu</v>
      </c>
      <c r="B5183" s="120" t="str">
        <f>IFERROR(__xludf.DUMMYFUNCTION("""COMPUTED_VALUE"""),"MFK")</f>
        <v>MFK</v>
      </c>
      <c r="C5183" s="120" t="str">
        <f>IFERROR(__xludf.DUMMYFUNCTION("""COMPUTED_VALUE"""),"Matsu")</f>
        <v>Matsu</v>
      </c>
      <c r="D5183" s="120" t="str">
        <f>IFERROR(__xludf.DUMMYFUNCTION("""COMPUTED_VALUE"""),"Taiwan")</f>
        <v>Taiwan</v>
      </c>
      <c r="E5183" s="135"/>
      <c r="F5183" s="31"/>
    </row>
    <row r="5184">
      <c r="A5184" s="134" t="str">
        <f>IFERROR(__xludf.DUMMYFUNCTION("""COMPUTED_VALUE"""),"Matsumoto")</f>
        <v>Matsumoto</v>
      </c>
      <c r="B5184" s="120" t="str">
        <f>IFERROR(__xludf.DUMMYFUNCTION("""COMPUTED_VALUE"""),"MMJ")</f>
        <v>MMJ</v>
      </c>
      <c r="C5184" s="120" t="str">
        <f>IFERROR(__xludf.DUMMYFUNCTION("""COMPUTED_VALUE"""),"Matsumoto")</f>
        <v>Matsumoto</v>
      </c>
      <c r="D5184" s="120" t="str">
        <f>IFERROR(__xludf.DUMMYFUNCTION("""COMPUTED_VALUE"""),"Japan")</f>
        <v>Japan</v>
      </c>
      <c r="E5184" s="135"/>
      <c r="F5184" s="31"/>
    </row>
    <row r="5185">
      <c r="A5185" s="134" t="str">
        <f>IFERROR(__xludf.DUMMYFUNCTION("""COMPUTED_VALUE"""),"Matsuyama")</f>
        <v>Matsuyama</v>
      </c>
      <c r="B5185" s="120" t="str">
        <f>IFERROR(__xludf.DUMMYFUNCTION("""COMPUTED_VALUE"""),"MYJ")</f>
        <v>MYJ</v>
      </c>
      <c r="C5185" s="120" t="str">
        <f>IFERROR(__xludf.DUMMYFUNCTION("""COMPUTED_VALUE"""),"Matsuyama")</f>
        <v>Matsuyama</v>
      </c>
      <c r="D5185" s="120" t="str">
        <f>IFERROR(__xludf.DUMMYFUNCTION("""COMPUTED_VALUE"""),"Japan")</f>
        <v>Japan</v>
      </c>
      <c r="E5185" s="135"/>
      <c r="F5185" s="31"/>
    </row>
    <row r="5186">
      <c r="A5186" s="134" t="str">
        <f>IFERROR(__xludf.DUMMYFUNCTION("""COMPUTED_VALUE"""),"Matthews Ridge")</f>
        <v>Matthews Ridge</v>
      </c>
      <c r="B5186" s="120" t="str">
        <f>IFERROR(__xludf.DUMMYFUNCTION("""COMPUTED_VALUE"""),"MWJ")</f>
        <v>MWJ</v>
      </c>
      <c r="C5186" s="120" t="str">
        <f>IFERROR(__xludf.DUMMYFUNCTION("""COMPUTED_VALUE"""),"Matthews Ridge")</f>
        <v>Matthews Ridge</v>
      </c>
      <c r="D5186" s="120" t="str">
        <f>IFERROR(__xludf.DUMMYFUNCTION("""COMPUTED_VALUE"""),"Guyana")</f>
        <v>Guyana</v>
      </c>
      <c r="E5186" s="135"/>
      <c r="F5186" s="31"/>
    </row>
    <row r="5187">
      <c r="A5187" s="134" t="str">
        <f>IFERROR(__xludf.DUMMYFUNCTION("""COMPUTED_VALUE"""),"Mattoon")</f>
        <v>Mattoon</v>
      </c>
      <c r="B5187" s="120" t="str">
        <f>IFERROR(__xludf.DUMMYFUNCTION("""COMPUTED_VALUE"""),"MTO")</f>
        <v>MTO</v>
      </c>
      <c r="C5187" s="120" t="str">
        <f>IFERROR(__xludf.DUMMYFUNCTION("""COMPUTED_VALUE"""),"Coles County Memorial")</f>
        <v>Coles County Memorial</v>
      </c>
      <c r="D5187" s="120" t="str">
        <f>IFERROR(__xludf.DUMMYFUNCTION("""COMPUTED_VALUE"""),"United States")</f>
        <v>United States</v>
      </c>
      <c r="E5187" s="135"/>
      <c r="F5187" s="31"/>
    </row>
    <row r="5188">
      <c r="A5188" s="134" t="str">
        <f>IFERROR(__xludf.DUMMYFUNCTION("""COMPUTED_VALUE"""),"Matupa")</f>
        <v>Matupa</v>
      </c>
      <c r="B5188" s="120" t="str">
        <f>IFERROR(__xludf.DUMMYFUNCTION("""COMPUTED_VALUE"""),"MBK")</f>
        <v>MBK</v>
      </c>
      <c r="C5188" s="120" t="str">
        <f>IFERROR(__xludf.DUMMYFUNCTION("""COMPUTED_VALUE"""),"Matupa")</f>
        <v>Matupa</v>
      </c>
      <c r="D5188" s="120" t="str">
        <f>IFERROR(__xludf.DUMMYFUNCTION("""COMPUTED_VALUE"""),"Brazil")</f>
        <v>Brazil</v>
      </c>
      <c r="E5188" s="135"/>
      <c r="F5188" s="31"/>
    </row>
    <row r="5189">
      <c r="A5189" s="134" t="str">
        <f>IFERROR(__xludf.DUMMYFUNCTION("""COMPUTED_VALUE"""),"Maturin")</f>
        <v>Maturin</v>
      </c>
      <c r="B5189" s="120" t="str">
        <f>IFERROR(__xludf.DUMMYFUNCTION("""COMPUTED_VALUE"""),"MUN")</f>
        <v>MUN</v>
      </c>
      <c r="C5189" s="120" t="str">
        <f>IFERROR(__xludf.DUMMYFUNCTION("""COMPUTED_VALUE"""),"Quiriquire")</f>
        <v>Quiriquire</v>
      </c>
      <c r="D5189" s="120" t="str">
        <f>IFERROR(__xludf.DUMMYFUNCTION("""COMPUTED_VALUE"""),"Venezuela")</f>
        <v>Venezuela</v>
      </c>
      <c r="E5189" s="135"/>
      <c r="F5189" s="31"/>
    </row>
    <row r="5190">
      <c r="A5190" s="134" t="str">
        <f>IFERROR(__xludf.DUMMYFUNCTION("""COMPUTED_VALUE"""),"Maues")</f>
        <v>Maues</v>
      </c>
      <c r="B5190" s="120" t="str">
        <f>IFERROR(__xludf.DUMMYFUNCTION("""COMPUTED_VALUE"""),"MBZ")</f>
        <v>MBZ</v>
      </c>
      <c r="C5190" s="120" t="str">
        <f>IFERROR(__xludf.DUMMYFUNCTION("""COMPUTED_VALUE"""),"Maues")</f>
        <v>Maues</v>
      </c>
      <c r="D5190" s="120" t="str">
        <f>IFERROR(__xludf.DUMMYFUNCTION("""COMPUTED_VALUE"""),"Brazil")</f>
        <v>Brazil</v>
      </c>
      <c r="E5190" s="135"/>
      <c r="F5190" s="31"/>
    </row>
    <row r="5191">
      <c r="A5191" s="134" t="str">
        <f>IFERROR(__xludf.DUMMYFUNCTION("""COMPUTED_VALUE"""),"Mauke Island")</f>
        <v>Mauke Island</v>
      </c>
      <c r="B5191" s="120" t="str">
        <f>IFERROR(__xludf.DUMMYFUNCTION("""COMPUTED_VALUE"""),"MUK")</f>
        <v>MUK</v>
      </c>
      <c r="C5191" s="120" t="str">
        <f>IFERROR(__xludf.DUMMYFUNCTION("""COMPUTED_VALUE"""),"Mauke Island")</f>
        <v>Mauke Island</v>
      </c>
      <c r="D5191" s="120" t="str">
        <f>IFERROR(__xludf.DUMMYFUNCTION("""COMPUTED_VALUE"""),"Cook Islands")</f>
        <v>Cook Islands</v>
      </c>
      <c r="E5191" s="135"/>
      <c r="F5191" s="31"/>
    </row>
    <row r="5192">
      <c r="A5192" s="134" t="str">
        <f>IFERROR(__xludf.DUMMYFUNCTION("""COMPUTED_VALUE"""),"Maulmyine")</f>
        <v>Maulmyine</v>
      </c>
      <c r="B5192" s="120" t="str">
        <f>IFERROR(__xludf.DUMMYFUNCTION("""COMPUTED_VALUE"""),"MNU")</f>
        <v>MNU</v>
      </c>
      <c r="C5192" s="120" t="str">
        <f>IFERROR(__xludf.DUMMYFUNCTION("""COMPUTED_VALUE"""),"Maulmyine")</f>
        <v>Maulmyine</v>
      </c>
      <c r="D5192" s="120" t="str">
        <f>IFERROR(__xludf.DUMMYFUNCTION("""COMPUTED_VALUE"""),"Myanmar")</f>
        <v>Myanmar</v>
      </c>
      <c r="E5192" s="135"/>
      <c r="F5192" s="31"/>
    </row>
    <row r="5193">
      <c r="A5193" s="134" t="str">
        <f>IFERROR(__xludf.DUMMYFUNCTION("""COMPUTED_VALUE"""),"Maumere")</f>
        <v>Maumere</v>
      </c>
      <c r="B5193" s="120" t="str">
        <f>IFERROR(__xludf.DUMMYFUNCTION("""COMPUTED_VALUE"""),"MOF")</f>
        <v>MOF</v>
      </c>
      <c r="C5193" s="120" t="str">
        <f>IFERROR(__xludf.DUMMYFUNCTION("""COMPUTED_VALUE"""),"Waioti")</f>
        <v>Waioti</v>
      </c>
      <c r="D5193" s="120" t="str">
        <f>IFERROR(__xludf.DUMMYFUNCTION("""COMPUTED_VALUE"""),"Indonesia")</f>
        <v>Indonesia</v>
      </c>
      <c r="E5193" s="135"/>
      <c r="F5193" s="31"/>
    </row>
    <row r="5194">
      <c r="A5194" s="134" t="str">
        <f>IFERROR(__xludf.DUMMYFUNCTION("""COMPUTED_VALUE"""),"Maun")</f>
        <v>Maun</v>
      </c>
      <c r="B5194" s="120" t="str">
        <f>IFERROR(__xludf.DUMMYFUNCTION("""COMPUTED_VALUE"""),"MUB")</f>
        <v>MUB</v>
      </c>
      <c r="C5194" s="120" t="str">
        <f>IFERROR(__xludf.DUMMYFUNCTION("""COMPUTED_VALUE"""),"Maun")</f>
        <v>Maun</v>
      </c>
      <c r="D5194" s="120" t="str">
        <f>IFERROR(__xludf.DUMMYFUNCTION("""COMPUTED_VALUE"""),"Botswana")</f>
        <v>Botswana</v>
      </c>
      <c r="E5194" s="135"/>
      <c r="F5194" s="31"/>
    </row>
    <row r="5195">
      <c r="A5195" s="134" t="str">
        <f>IFERROR(__xludf.DUMMYFUNCTION("""COMPUTED_VALUE"""),"Maupiti")</f>
        <v>Maupiti</v>
      </c>
      <c r="B5195" s="120" t="str">
        <f>IFERROR(__xludf.DUMMYFUNCTION("""COMPUTED_VALUE"""),"MAU")</f>
        <v>MAU</v>
      </c>
      <c r="C5195" s="120" t="str">
        <f>IFERROR(__xludf.DUMMYFUNCTION("""COMPUTED_VALUE"""),"Maupiti")</f>
        <v>Maupiti</v>
      </c>
      <c r="D5195" s="120" t="str">
        <f>IFERROR(__xludf.DUMMYFUNCTION("""COMPUTED_VALUE"""),"French Polynesia")</f>
        <v>French Polynesia</v>
      </c>
      <c r="E5195" s="135"/>
      <c r="F5195" s="31"/>
    </row>
    <row r="5196">
      <c r="A5196" s="134" t="str">
        <f>IFERROR(__xludf.DUMMYFUNCTION("""COMPUTED_VALUE"""),"Mauritius")</f>
        <v>Mauritius</v>
      </c>
      <c r="B5196" s="120" t="str">
        <f>IFERROR(__xludf.DUMMYFUNCTION("""COMPUTED_VALUE"""),"MRU")</f>
        <v>MRU</v>
      </c>
      <c r="C5196" s="120" t="str">
        <f>IFERROR(__xludf.DUMMYFUNCTION("""COMPUTED_VALUE"""),"S.Seewoosagur Ram.Int")</f>
        <v>S.Seewoosagur Ram.Int</v>
      </c>
      <c r="D5196" s="120" t="str">
        <f>IFERROR(__xludf.DUMMYFUNCTION("""COMPUTED_VALUE"""),"Mauritius")</f>
        <v>Mauritius</v>
      </c>
      <c r="E5196" s="135"/>
      <c r="F5196" s="31"/>
    </row>
    <row r="5197">
      <c r="A5197" s="134" t="str">
        <f>IFERROR(__xludf.DUMMYFUNCTION("""COMPUTED_VALUE"""),"Maxton")</f>
        <v>Maxton</v>
      </c>
      <c r="B5197" s="120" t="str">
        <f>IFERROR(__xludf.DUMMYFUNCTION("""COMPUTED_VALUE"""),"MXE")</f>
        <v>MXE</v>
      </c>
      <c r="C5197" s="120" t="str">
        <f>IFERROR(__xludf.DUMMYFUNCTION("""COMPUTED_VALUE"""),"Maxton")</f>
        <v>Maxton</v>
      </c>
      <c r="D5197" s="120" t="str">
        <f>IFERROR(__xludf.DUMMYFUNCTION("""COMPUTED_VALUE"""),"United States")</f>
        <v>United States</v>
      </c>
      <c r="E5197" s="135"/>
      <c r="F5197" s="31"/>
    </row>
    <row r="5198">
      <c r="A5198" s="134" t="str">
        <f>IFERROR(__xludf.DUMMYFUNCTION("""COMPUTED_VALUE"""),"May Creek")</f>
        <v>May Creek</v>
      </c>
      <c r="B5198" s="120" t="str">
        <f>IFERROR(__xludf.DUMMYFUNCTION("""COMPUTED_VALUE"""),"MYK")</f>
        <v>MYK</v>
      </c>
      <c r="C5198" s="120" t="str">
        <f>IFERROR(__xludf.DUMMYFUNCTION("""COMPUTED_VALUE"""),"May Creek")</f>
        <v>May Creek</v>
      </c>
      <c r="D5198" s="120" t="str">
        <f>IFERROR(__xludf.DUMMYFUNCTION("""COMPUTED_VALUE"""),"United States")</f>
        <v>United States</v>
      </c>
      <c r="E5198" s="135"/>
      <c r="F5198" s="31"/>
    </row>
    <row r="5199">
      <c r="A5199" s="134" t="str">
        <f>IFERROR(__xludf.DUMMYFUNCTION("""COMPUTED_VALUE"""),"May River")</f>
        <v>May River</v>
      </c>
      <c r="B5199" s="120" t="str">
        <f>IFERROR(__xludf.DUMMYFUNCTION("""COMPUTED_VALUE"""),"MRH")</f>
        <v>MRH</v>
      </c>
      <c r="C5199" s="120" t="str">
        <f>IFERROR(__xludf.DUMMYFUNCTION("""COMPUTED_VALUE"""),"May River")</f>
        <v>May River</v>
      </c>
      <c r="D5199" s="120" t="str">
        <f>IFERROR(__xludf.DUMMYFUNCTION("""COMPUTED_VALUE"""),"Papua New Guinea")</f>
        <v>Papua New Guinea</v>
      </c>
      <c r="E5199" s="135"/>
      <c r="F5199" s="31"/>
    </row>
    <row r="5200">
      <c r="A5200" s="134" t="str">
        <f>IFERROR(__xludf.DUMMYFUNCTION("""COMPUTED_VALUE"""),"Mayaguana")</f>
        <v>Mayaguana</v>
      </c>
      <c r="B5200" s="120" t="str">
        <f>IFERROR(__xludf.DUMMYFUNCTION("""COMPUTED_VALUE"""),"MYG")</f>
        <v>MYG</v>
      </c>
      <c r="C5200" s="120" t="str">
        <f>IFERROR(__xludf.DUMMYFUNCTION("""COMPUTED_VALUE"""),"Mayaguana")</f>
        <v>Mayaguana</v>
      </c>
      <c r="D5200" s="120" t="str">
        <f>IFERROR(__xludf.DUMMYFUNCTION("""COMPUTED_VALUE"""),"Bahamas")</f>
        <v>Bahamas</v>
      </c>
      <c r="E5200" s="135"/>
      <c r="F5200" s="31"/>
    </row>
    <row r="5201">
      <c r="A5201" s="134" t="str">
        <f>IFERROR(__xludf.DUMMYFUNCTION("""COMPUTED_VALUE"""),"Mayaguez")</f>
        <v>Mayaguez</v>
      </c>
      <c r="B5201" s="120" t="str">
        <f>IFERROR(__xludf.DUMMYFUNCTION("""COMPUTED_VALUE"""),"MAZ")</f>
        <v>MAZ</v>
      </c>
      <c r="C5201" s="120" t="str">
        <f>IFERROR(__xludf.DUMMYFUNCTION("""COMPUTED_VALUE"""),"Eugenio M De Hostos")</f>
        <v>Eugenio M De Hostos</v>
      </c>
      <c r="D5201" s="120" t="str">
        <f>IFERROR(__xludf.DUMMYFUNCTION("""COMPUTED_VALUE"""),"Puerto Rico")</f>
        <v>Puerto Rico</v>
      </c>
      <c r="E5201" s="135"/>
      <c r="F5201" s="31"/>
    </row>
    <row r="5202">
      <c r="A5202" s="134" t="str">
        <f>IFERROR(__xludf.DUMMYFUNCTION("""COMPUTED_VALUE"""),"Mayajigua")</f>
        <v>Mayajigua</v>
      </c>
      <c r="B5202" s="120" t="str">
        <f>IFERROR(__xludf.DUMMYFUNCTION("""COMPUTED_VALUE"""),"MJG")</f>
        <v>MJG</v>
      </c>
      <c r="C5202" s="120" t="str">
        <f>IFERROR(__xludf.DUMMYFUNCTION("""COMPUTED_VALUE"""),"Mayajigua")</f>
        <v>Mayajigua</v>
      </c>
      <c r="D5202" s="120" t="str">
        <f>IFERROR(__xludf.DUMMYFUNCTION("""COMPUTED_VALUE"""),"Cuba")</f>
        <v>Cuba</v>
      </c>
      <c r="E5202" s="135"/>
      <c r="F5202" s="31"/>
    </row>
    <row r="5203">
      <c r="A5203" s="134" t="str">
        <f>IFERROR(__xludf.DUMMYFUNCTION("""COMPUTED_VALUE"""),"Mayo")</f>
        <v>Mayo</v>
      </c>
      <c r="B5203" s="120" t="str">
        <f>IFERROR(__xludf.DUMMYFUNCTION("""COMPUTED_VALUE"""),"YMA")</f>
        <v>YMA</v>
      </c>
      <c r="C5203" s="120" t="str">
        <f>IFERROR(__xludf.DUMMYFUNCTION("""COMPUTED_VALUE"""),"Mayo")</f>
        <v>Mayo</v>
      </c>
      <c r="D5203" s="120" t="str">
        <f>IFERROR(__xludf.DUMMYFUNCTION("""COMPUTED_VALUE"""),"Canada")</f>
        <v>Canada</v>
      </c>
      <c r="E5203" s="135"/>
      <c r="F5203" s="31"/>
    </row>
    <row r="5204">
      <c r="A5204" s="134" t="str">
        <f>IFERROR(__xludf.DUMMYFUNCTION("""COMPUTED_VALUE"""),"Mayoumba")</f>
        <v>Mayoumba</v>
      </c>
      <c r="B5204" s="120" t="str">
        <f>IFERROR(__xludf.DUMMYFUNCTION("""COMPUTED_VALUE"""),"MYB")</f>
        <v>MYB</v>
      </c>
      <c r="C5204" s="120" t="str">
        <f>IFERROR(__xludf.DUMMYFUNCTION("""COMPUTED_VALUE"""),"Mayoumba")</f>
        <v>Mayoumba</v>
      </c>
      <c r="D5204" s="120" t="str">
        <f>IFERROR(__xludf.DUMMYFUNCTION("""COMPUTED_VALUE"""),"Gabon")</f>
        <v>Gabon</v>
      </c>
      <c r="E5204" s="135"/>
      <c r="F5204" s="31"/>
    </row>
    <row r="5205">
      <c r="A5205" s="134" t="str">
        <f>IFERROR(__xludf.DUMMYFUNCTION("""COMPUTED_VALUE"""),"Mayport")</f>
        <v>Mayport</v>
      </c>
      <c r="B5205" s="120" t="str">
        <f>IFERROR(__xludf.DUMMYFUNCTION("""COMPUTED_VALUE"""),"NRB")</f>
        <v>NRB</v>
      </c>
      <c r="C5205" s="120" t="str">
        <f>IFERROR(__xludf.DUMMYFUNCTION("""COMPUTED_VALUE"""),"Ns")</f>
        <v>Ns</v>
      </c>
      <c r="D5205" s="120" t="str">
        <f>IFERROR(__xludf.DUMMYFUNCTION("""COMPUTED_VALUE"""),"United States")</f>
        <v>United States</v>
      </c>
      <c r="E5205" s="135"/>
      <c r="F5205" s="31"/>
    </row>
    <row r="5206">
      <c r="A5206" s="134" t="str">
        <f>IFERROR(__xludf.DUMMYFUNCTION("""COMPUTED_VALUE"""),"Mazar-I-Sharif")</f>
        <v>Mazar-I-Sharif</v>
      </c>
      <c r="B5206" s="120" t="str">
        <f>IFERROR(__xludf.DUMMYFUNCTION("""COMPUTED_VALUE"""),"MZR")</f>
        <v>MZR</v>
      </c>
      <c r="C5206" s="120" t="str">
        <f>IFERROR(__xludf.DUMMYFUNCTION("""COMPUTED_VALUE"""),"Mazar-I-Sharif")</f>
        <v>Mazar-I-Sharif</v>
      </c>
      <c r="D5206" s="120" t="str">
        <f>IFERROR(__xludf.DUMMYFUNCTION("""COMPUTED_VALUE"""),"Afghanistan")</f>
        <v>Afghanistan</v>
      </c>
      <c r="E5206" s="135"/>
      <c r="F5206" s="31"/>
    </row>
    <row r="5207">
      <c r="A5207" s="134" t="str">
        <f>IFERROR(__xludf.DUMMYFUNCTION("""COMPUTED_VALUE"""),"Mazatlan")</f>
        <v>Mazatlan</v>
      </c>
      <c r="B5207" s="120" t="str">
        <f>IFERROR(__xludf.DUMMYFUNCTION("""COMPUTED_VALUE"""),"MZT")</f>
        <v>MZT</v>
      </c>
      <c r="C5207" s="120" t="str">
        <f>IFERROR(__xludf.DUMMYFUNCTION("""COMPUTED_VALUE"""),"Gen Rafael Buelna")</f>
        <v>Gen Rafael Buelna</v>
      </c>
      <c r="D5207" s="120" t="str">
        <f>IFERROR(__xludf.DUMMYFUNCTION("""COMPUTED_VALUE"""),"Mexico")</f>
        <v>Mexico</v>
      </c>
      <c r="E5207" s="135"/>
      <c r="F5207" s="31"/>
    </row>
    <row r="5208">
      <c r="A5208" s="134" t="str">
        <f>IFERROR(__xludf.DUMMYFUNCTION("""COMPUTED_VALUE"""),"Mbala")</f>
        <v>Mbala</v>
      </c>
      <c r="B5208" s="120" t="str">
        <f>IFERROR(__xludf.DUMMYFUNCTION("""COMPUTED_VALUE"""),"MMQ")</f>
        <v>MMQ</v>
      </c>
      <c r="C5208" s="120" t="str">
        <f>IFERROR(__xludf.DUMMYFUNCTION("""COMPUTED_VALUE"""),"Mbala")</f>
        <v>Mbala</v>
      </c>
      <c r="D5208" s="120" t="str">
        <f>IFERROR(__xludf.DUMMYFUNCTION("""COMPUTED_VALUE"""),"Zambia")</f>
        <v>Zambia</v>
      </c>
      <c r="E5208" s="135"/>
      <c r="F5208" s="31"/>
    </row>
    <row r="5209">
      <c r="A5209" s="134" t="str">
        <f>IFERROR(__xludf.DUMMYFUNCTION("""COMPUTED_VALUE"""),"Mbambanakira")</f>
        <v>Mbambanakira</v>
      </c>
      <c r="B5209" s="120" t="str">
        <f>IFERROR(__xludf.DUMMYFUNCTION("""COMPUTED_VALUE"""),"MBU")</f>
        <v>MBU</v>
      </c>
      <c r="C5209" s="120" t="str">
        <f>IFERROR(__xludf.DUMMYFUNCTION("""COMPUTED_VALUE"""),"Mbambanakira")</f>
        <v>Mbambanakira</v>
      </c>
      <c r="D5209" s="120" t="str">
        <f>IFERROR(__xludf.DUMMYFUNCTION("""COMPUTED_VALUE"""),"Solomon Islands")</f>
        <v>Solomon Islands</v>
      </c>
      <c r="E5209" s="135"/>
      <c r="F5209" s="31"/>
    </row>
    <row r="5210">
      <c r="A5210" s="134" t="str">
        <f>IFERROR(__xludf.DUMMYFUNCTION("""COMPUTED_VALUE"""),"Mbandaka")</f>
        <v>Mbandaka</v>
      </c>
      <c r="B5210" s="120" t="str">
        <f>IFERROR(__xludf.DUMMYFUNCTION("""COMPUTED_VALUE"""),"MDK")</f>
        <v>MDK</v>
      </c>
      <c r="C5210" s="120" t="str">
        <f>IFERROR(__xludf.DUMMYFUNCTION("""COMPUTED_VALUE"""),"Mbandaka")</f>
        <v>Mbandaka</v>
      </c>
      <c r="D5210" s="120" t="str">
        <f>IFERROR(__xludf.DUMMYFUNCTION("""COMPUTED_VALUE"""),"Zaire")</f>
        <v>Zaire</v>
      </c>
      <c r="E5210" s="135"/>
      <c r="F5210" s="31"/>
    </row>
    <row r="5211">
      <c r="A5211" s="134" t="str">
        <f>IFERROR(__xludf.DUMMYFUNCTION("""COMPUTED_VALUE"""),"Mbarara")</f>
        <v>Mbarara</v>
      </c>
      <c r="B5211" s="120" t="str">
        <f>IFERROR(__xludf.DUMMYFUNCTION("""COMPUTED_VALUE"""),"MBQ")</f>
        <v>MBQ</v>
      </c>
      <c r="C5211" s="120" t="str">
        <f>IFERROR(__xludf.DUMMYFUNCTION("""COMPUTED_VALUE"""),"Mbarara")</f>
        <v>Mbarara</v>
      </c>
      <c r="D5211" s="120" t="str">
        <f>IFERROR(__xludf.DUMMYFUNCTION("""COMPUTED_VALUE"""),"Uganda")</f>
        <v>Uganda</v>
      </c>
      <c r="E5211" s="135"/>
      <c r="F5211" s="31"/>
    </row>
    <row r="5212">
      <c r="A5212" s="134" t="str">
        <f>IFERROR(__xludf.DUMMYFUNCTION("""COMPUTED_VALUE"""),"Mbeya")</f>
        <v>Mbeya</v>
      </c>
      <c r="B5212" s="120" t="str">
        <f>IFERROR(__xludf.DUMMYFUNCTION("""COMPUTED_VALUE"""),"MBI")</f>
        <v>MBI</v>
      </c>
      <c r="C5212" s="120" t="str">
        <f>IFERROR(__xludf.DUMMYFUNCTION("""COMPUTED_VALUE"""),"Mbeya")</f>
        <v>Mbeya</v>
      </c>
      <c r="D5212" s="120" t="str">
        <f>IFERROR(__xludf.DUMMYFUNCTION("""COMPUTED_VALUE"""),"Tanzania")</f>
        <v>Tanzania</v>
      </c>
      <c r="E5212" s="135"/>
      <c r="F5212" s="31"/>
    </row>
    <row r="5213">
      <c r="A5213" s="134" t="str">
        <f>IFERROR(__xludf.DUMMYFUNCTION("""COMPUTED_VALUE"""),"Mbigou")</f>
        <v>Mbigou</v>
      </c>
      <c r="B5213" s="120" t="str">
        <f>IFERROR(__xludf.DUMMYFUNCTION("""COMPUTED_VALUE"""),"MBC")</f>
        <v>MBC</v>
      </c>
      <c r="C5213" s="120" t="str">
        <f>IFERROR(__xludf.DUMMYFUNCTION("""COMPUTED_VALUE"""),"Mbigou")</f>
        <v>Mbigou</v>
      </c>
      <c r="D5213" s="120" t="str">
        <f>IFERROR(__xludf.DUMMYFUNCTION("""COMPUTED_VALUE"""),"Gabon")</f>
        <v>Gabon</v>
      </c>
      <c r="E5213" s="135"/>
      <c r="F5213" s="31"/>
    </row>
    <row r="5214">
      <c r="A5214" s="134" t="str">
        <f>IFERROR(__xludf.DUMMYFUNCTION("""COMPUTED_VALUE"""),"Mbout")</f>
        <v>Mbout</v>
      </c>
      <c r="B5214" s="120" t="str">
        <f>IFERROR(__xludf.DUMMYFUNCTION("""COMPUTED_VALUE"""),"MBR")</f>
        <v>MBR</v>
      </c>
      <c r="C5214" s="120" t="str">
        <f>IFERROR(__xludf.DUMMYFUNCTION("""COMPUTED_VALUE"""),"Mbout")</f>
        <v>Mbout</v>
      </c>
      <c r="D5214" s="120" t="str">
        <f>IFERROR(__xludf.DUMMYFUNCTION("""COMPUTED_VALUE"""),"Mauritania")</f>
        <v>Mauritania</v>
      </c>
      <c r="E5214" s="135"/>
      <c r="F5214" s="31"/>
    </row>
    <row r="5215">
      <c r="A5215" s="134" t="str">
        <f>IFERROR(__xludf.DUMMYFUNCTION("""COMPUTED_VALUE"""),"Mbuji Mayi")</f>
        <v>Mbuji Mayi</v>
      </c>
      <c r="B5215" s="120" t="str">
        <f>IFERROR(__xludf.DUMMYFUNCTION("""COMPUTED_VALUE"""),"MJM")</f>
        <v>MJM</v>
      </c>
      <c r="C5215" s="120" t="str">
        <f>IFERROR(__xludf.DUMMYFUNCTION("""COMPUTED_VALUE"""),"Mbuji Mayi")</f>
        <v>Mbuji Mayi</v>
      </c>
      <c r="D5215" s="120" t="str">
        <f>IFERROR(__xludf.DUMMYFUNCTION("""COMPUTED_VALUE"""),"Zaire")</f>
        <v>Zaire</v>
      </c>
      <c r="E5215" s="135"/>
      <c r="F5215" s="31"/>
    </row>
    <row r="5216">
      <c r="A5216" s="134" t="str">
        <f>IFERROR(__xludf.DUMMYFUNCTION("""COMPUTED_VALUE"""),"Mc Alester")</f>
        <v>Mc Alester</v>
      </c>
      <c r="B5216" s="120" t="str">
        <f>IFERROR(__xludf.DUMMYFUNCTION("""COMPUTED_VALUE"""),"MLC")</f>
        <v>MLC</v>
      </c>
      <c r="C5216" s="120" t="str">
        <f>IFERROR(__xludf.DUMMYFUNCTION("""COMPUTED_VALUE"""),"Mc Alester")</f>
        <v>Mc Alester</v>
      </c>
      <c r="D5216" s="120" t="str">
        <f>IFERROR(__xludf.DUMMYFUNCTION("""COMPUTED_VALUE"""),"United States")</f>
        <v>United States</v>
      </c>
      <c r="E5216" s="135"/>
      <c r="F5216" s="31"/>
    </row>
    <row r="5217">
      <c r="A5217" s="134" t="str">
        <f>IFERROR(__xludf.DUMMYFUNCTION("""COMPUTED_VALUE"""),"Mc Rae")</f>
        <v>Mc Rae</v>
      </c>
      <c r="B5217" s="120" t="str">
        <f>IFERROR(__xludf.DUMMYFUNCTION("""COMPUTED_VALUE"""),"MQW")</f>
        <v>MQW</v>
      </c>
      <c r="C5217" s="120" t="str">
        <f>IFERROR(__xludf.DUMMYFUNCTION("""COMPUTED_VALUE"""),"Telfair-Wheeler")</f>
        <v>Telfair-Wheeler</v>
      </c>
      <c r="D5217" s="120" t="str">
        <f>IFERROR(__xludf.DUMMYFUNCTION("""COMPUTED_VALUE"""),"United States")</f>
        <v>United States</v>
      </c>
      <c r="E5217" s="135"/>
      <c r="F5217" s="31"/>
    </row>
    <row r="5218">
      <c r="A5218" s="134" t="str">
        <f>IFERROR(__xludf.DUMMYFUNCTION("""COMPUTED_VALUE"""),"Mcarthur River")</f>
        <v>Mcarthur River</v>
      </c>
      <c r="B5218" s="120" t="str">
        <f>IFERROR(__xludf.DUMMYFUNCTION("""COMPUTED_VALUE"""),"MCV")</f>
        <v>MCV</v>
      </c>
      <c r="C5218" s="120" t="str">
        <f>IFERROR(__xludf.DUMMYFUNCTION("""COMPUTED_VALUE"""),"Mcarthur River")</f>
        <v>Mcarthur River</v>
      </c>
      <c r="D5218" s="120" t="str">
        <f>IFERROR(__xludf.DUMMYFUNCTION("""COMPUTED_VALUE"""),"Australia")</f>
        <v>Australia</v>
      </c>
      <c r="E5218" s="135"/>
      <c r="F5218" s="31"/>
    </row>
    <row r="5219">
      <c r="A5219" s="134" t="str">
        <f>IFERROR(__xludf.DUMMYFUNCTION("""COMPUTED_VALUE"""),"Mccall")</f>
        <v>Mccall</v>
      </c>
      <c r="B5219" s="120" t="str">
        <f>IFERROR(__xludf.DUMMYFUNCTION("""COMPUTED_VALUE"""),"MYL")</f>
        <v>MYL</v>
      </c>
      <c r="C5219" s="120" t="str">
        <f>IFERROR(__xludf.DUMMYFUNCTION("""COMPUTED_VALUE"""),"Mccall")</f>
        <v>Mccall</v>
      </c>
      <c r="D5219" s="120" t="str">
        <f>IFERROR(__xludf.DUMMYFUNCTION("""COMPUTED_VALUE"""),"United States")</f>
        <v>United States</v>
      </c>
      <c r="E5219" s="135"/>
      <c r="F5219" s="31"/>
    </row>
    <row r="5220">
      <c r="A5220" s="134" t="str">
        <f>IFERROR(__xludf.DUMMYFUNCTION("""COMPUTED_VALUE"""),"Mccarthy")</f>
        <v>Mccarthy</v>
      </c>
      <c r="B5220" s="120" t="str">
        <f>IFERROR(__xludf.DUMMYFUNCTION("""COMPUTED_VALUE"""),"MXY")</f>
        <v>MXY</v>
      </c>
      <c r="C5220" s="120" t="str">
        <f>IFERROR(__xludf.DUMMYFUNCTION("""COMPUTED_VALUE"""),"Mccarthy")</f>
        <v>Mccarthy</v>
      </c>
      <c r="D5220" s="120" t="str">
        <f>IFERROR(__xludf.DUMMYFUNCTION("""COMPUTED_VALUE"""),"United States")</f>
        <v>United States</v>
      </c>
      <c r="E5220" s="135"/>
      <c r="F5220" s="31"/>
    </row>
    <row r="5221">
      <c r="A5221" s="134" t="str">
        <f>IFERROR(__xludf.DUMMYFUNCTION("""COMPUTED_VALUE"""),"Mccomb")</f>
        <v>Mccomb</v>
      </c>
      <c r="B5221" s="120" t="str">
        <f>IFERROR(__xludf.DUMMYFUNCTION("""COMPUTED_VALUE"""),"MCB")</f>
        <v>MCB</v>
      </c>
      <c r="C5221" s="120" t="str">
        <f>IFERROR(__xludf.DUMMYFUNCTION("""COMPUTED_VALUE"""),"Pike County")</f>
        <v>Pike County</v>
      </c>
      <c r="D5221" s="120" t="str">
        <f>IFERROR(__xludf.DUMMYFUNCTION("""COMPUTED_VALUE"""),"United States")</f>
        <v>United States</v>
      </c>
      <c r="E5221" s="135"/>
      <c r="F5221" s="31"/>
    </row>
    <row r="5222">
      <c r="A5222" s="134" t="str">
        <f>IFERROR(__xludf.DUMMYFUNCTION("""COMPUTED_VALUE"""),"Mccook")</f>
        <v>Mccook</v>
      </c>
      <c r="B5222" s="120" t="str">
        <f>IFERROR(__xludf.DUMMYFUNCTION("""COMPUTED_VALUE"""),"MCK")</f>
        <v>MCK</v>
      </c>
      <c r="C5222" s="120" t="str">
        <f>IFERROR(__xludf.DUMMYFUNCTION("""COMPUTED_VALUE"""),"Mccook")</f>
        <v>Mccook</v>
      </c>
      <c r="D5222" s="120" t="str">
        <f>IFERROR(__xludf.DUMMYFUNCTION("""COMPUTED_VALUE"""),"United States")</f>
        <v>United States</v>
      </c>
      <c r="E5222" s="135"/>
      <c r="F5222" s="31"/>
    </row>
    <row r="5223">
      <c r="A5223" s="134" t="str">
        <f>IFERROR(__xludf.DUMMYFUNCTION("""COMPUTED_VALUE"""),"Mcgrath")</f>
        <v>Mcgrath</v>
      </c>
      <c r="B5223" s="120" t="str">
        <f>IFERROR(__xludf.DUMMYFUNCTION("""COMPUTED_VALUE"""),"MCG")</f>
        <v>MCG</v>
      </c>
      <c r="C5223" s="120" t="str">
        <f>IFERROR(__xludf.DUMMYFUNCTION("""COMPUTED_VALUE"""),"Mcgrath")</f>
        <v>Mcgrath</v>
      </c>
      <c r="D5223" s="120" t="str">
        <f>IFERROR(__xludf.DUMMYFUNCTION("""COMPUTED_VALUE"""),"United States")</f>
        <v>United States</v>
      </c>
      <c r="E5223" s="135"/>
      <c r="F5223" s="31"/>
    </row>
    <row r="5224">
      <c r="A5224" s="134" t="str">
        <f>IFERROR(__xludf.DUMMYFUNCTION("""COMPUTED_VALUE"""),"Mcminnville")</f>
        <v>Mcminnville</v>
      </c>
      <c r="B5224" s="120" t="str">
        <f>IFERROR(__xludf.DUMMYFUNCTION("""COMPUTED_VALUE"""),"RNC")</f>
        <v>RNC</v>
      </c>
      <c r="C5224" s="120" t="str">
        <f>IFERROR(__xludf.DUMMYFUNCTION("""COMPUTED_VALUE"""),"Warren County")</f>
        <v>Warren County</v>
      </c>
      <c r="D5224" s="120" t="str">
        <f>IFERROR(__xludf.DUMMYFUNCTION("""COMPUTED_VALUE"""),"United States")</f>
        <v>United States</v>
      </c>
      <c r="E5224" s="135"/>
      <c r="F5224" s="31"/>
    </row>
    <row r="5225">
      <c r="A5225" s="134" t="str">
        <f>IFERROR(__xludf.DUMMYFUNCTION("""COMPUTED_VALUE"""),"Mcpherson")</f>
        <v>Mcpherson</v>
      </c>
      <c r="B5225" s="120" t="str">
        <f>IFERROR(__xludf.DUMMYFUNCTION("""COMPUTED_VALUE"""),"MPR")</f>
        <v>MPR</v>
      </c>
      <c r="C5225" s="120" t="str">
        <f>IFERROR(__xludf.DUMMYFUNCTION("""COMPUTED_VALUE"""),"Mcpherson")</f>
        <v>Mcpherson</v>
      </c>
      <c r="D5225" s="120" t="str">
        <f>IFERROR(__xludf.DUMMYFUNCTION("""COMPUTED_VALUE"""),"United States")</f>
        <v>United States</v>
      </c>
      <c r="E5225" s="135"/>
      <c r="F5225" s="31"/>
    </row>
    <row r="5226">
      <c r="A5226" s="134" t="str">
        <f>IFERROR(__xludf.DUMMYFUNCTION("""COMPUTED_VALUE"""),"Meadow Lake")</f>
        <v>Meadow Lake</v>
      </c>
      <c r="B5226" s="120" t="str">
        <f>IFERROR(__xludf.DUMMYFUNCTION("""COMPUTED_VALUE"""),"YLJ")</f>
        <v>YLJ</v>
      </c>
      <c r="C5226" s="120" t="str">
        <f>IFERROR(__xludf.DUMMYFUNCTION("""COMPUTED_VALUE"""),"Meadow Lake")</f>
        <v>Meadow Lake</v>
      </c>
      <c r="D5226" s="120" t="str">
        <f>IFERROR(__xludf.DUMMYFUNCTION("""COMPUTED_VALUE"""),"Canada")</f>
        <v>Canada</v>
      </c>
      <c r="E5226" s="135"/>
      <c r="F5226" s="31"/>
    </row>
    <row r="5227">
      <c r="A5227" s="134" t="str">
        <f>IFERROR(__xludf.DUMMYFUNCTION("""COMPUTED_VALUE"""),"Meadville")</f>
        <v>Meadville</v>
      </c>
      <c r="B5227" s="120" t="str">
        <f>IFERROR(__xludf.DUMMYFUNCTION("""COMPUTED_VALUE"""),"MEJ")</f>
        <v>MEJ</v>
      </c>
      <c r="C5227" s="120" t="str">
        <f>IFERROR(__xludf.DUMMYFUNCTION("""COMPUTED_VALUE"""),"Meadville")</f>
        <v>Meadville</v>
      </c>
      <c r="D5227" s="120" t="str">
        <f>IFERROR(__xludf.DUMMYFUNCTION("""COMPUTED_VALUE"""),"United States")</f>
        <v>United States</v>
      </c>
      <c r="E5227" s="135"/>
      <c r="F5227" s="31"/>
    </row>
    <row r="5228">
      <c r="A5228" s="134" t="str">
        <f>IFERROR(__xludf.DUMMYFUNCTION("""COMPUTED_VALUE"""),"Mechria")</f>
        <v>Mechria</v>
      </c>
      <c r="B5228" s="120" t="str">
        <f>IFERROR(__xludf.DUMMYFUNCTION("""COMPUTED_VALUE"""),"MZW")</f>
        <v>MZW</v>
      </c>
      <c r="C5228" s="120" t="str">
        <f>IFERROR(__xludf.DUMMYFUNCTION("""COMPUTED_VALUE"""),"Mechria")</f>
        <v>Mechria</v>
      </c>
      <c r="D5228" s="120" t="str">
        <f>IFERROR(__xludf.DUMMYFUNCTION("""COMPUTED_VALUE"""),"Algeria")</f>
        <v>Algeria</v>
      </c>
      <c r="E5228" s="135"/>
      <c r="F5228" s="31"/>
    </row>
    <row r="5229">
      <c r="A5229" s="134" t="str">
        <f>IFERROR(__xludf.DUMMYFUNCTION("""COMPUTED_VALUE"""),"Medan")</f>
        <v>Medan</v>
      </c>
      <c r="B5229" s="120" t="str">
        <f>IFERROR(__xludf.DUMMYFUNCTION("""COMPUTED_VALUE"""),"MES")</f>
        <v>MES</v>
      </c>
      <c r="C5229" s="120" t="str">
        <f>IFERROR(__xludf.DUMMYFUNCTION("""COMPUTED_VALUE"""),"Polania")</f>
        <v>Polania</v>
      </c>
      <c r="D5229" s="120" t="str">
        <f>IFERROR(__xludf.DUMMYFUNCTION("""COMPUTED_VALUE"""),"Indonesia")</f>
        <v>Indonesia</v>
      </c>
      <c r="E5229" s="135"/>
      <c r="F5229" s="31"/>
    </row>
    <row r="5230">
      <c r="A5230" s="134" t="str">
        <f>IFERROR(__xludf.DUMMYFUNCTION("""COMPUTED_VALUE"""),"Medellín")</f>
        <v>Medellín</v>
      </c>
      <c r="B5230" s="120" t="str">
        <f>IFERROR(__xludf.DUMMYFUNCTION("""COMPUTED_VALUE"""),"EOH")</f>
        <v>EOH</v>
      </c>
      <c r="C5230" s="120" t="str">
        <f>IFERROR(__xludf.DUMMYFUNCTION("""COMPUTED_VALUE"""),"Enrique Olaya Herrera International Airport")</f>
        <v>Enrique Olaya Herrera International Airport</v>
      </c>
      <c r="D5230" s="120" t="str">
        <f>IFERROR(__xludf.DUMMYFUNCTION("""COMPUTED_VALUE"""),"Colombia")</f>
        <v>Colombia</v>
      </c>
      <c r="E5230" s="135"/>
      <c r="F5230" s="31"/>
    </row>
    <row r="5231">
      <c r="A5231" s="134" t="str">
        <f>IFERROR(__xludf.DUMMYFUNCTION("""COMPUTED_VALUE"""),"Medellin")</f>
        <v>Medellin</v>
      </c>
      <c r="B5231" s="120" t="str">
        <f>IFERROR(__xludf.DUMMYFUNCTION("""COMPUTED_VALUE"""),"MDE")</f>
        <v>MDE</v>
      </c>
      <c r="C5231" s="120" t="str">
        <f>IFERROR(__xludf.DUMMYFUNCTION("""COMPUTED_VALUE"""),"Jose Marie Cordova")</f>
        <v>Jose Marie Cordova</v>
      </c>
      <c r="D5231" s="120" t="str">
        <f>IFERROR(__xludf.DUMMYFUNCTION("""COMPUTED_VALUE"""),"Colombia")</f>
        <v>Colombia</v>
      </c>
      <c r="E5231" s="135"/>
      <c r="F5231" s="31"/>
    </row>
    <row r="5232">
      <c r="A5232" s="134" t="str">
        <f>IFERROR(__xludf.DUMMYFUNCTION("""COMPUTED_VALUE"""),"Medford")</f>
        <v>Medford</v>
      </c>
      <c r="B5232" s="120" t="str">
        <f>IFERROR(__xludf.DUMMYFUNCTION("""COMPUTED_VALUE"""),"MFR")</f>
        <v>MFR</v>
      </c>
      <c r="C5232" s="120" t="str">
        <f>IFERROR(__xludf.DUMMYFUNCTION("""COMPUTED_VALUE"""),"Jackson County")</f>
        <v>Jackson County</v>
      </c>
      <c r="D5232" s="120" t="str">
        <f>IFERROR(__xludf.DUMMYFUNCTION("""COMPUTED_VALUE"""),"United States")</f>
        <v>United States</v>
      </c>
      <c r="E5232" s="135"/>
      <c r="F5232" s="31"/>
    </row>
    <row r="5233">
      <c r="A5233" s="134" t="str">
        <f>IFERROR(__xludf.DUMMYFUNCTION("""COMPUTED_VALUE"""),"Medford")</f>
        <v>Medford</v>
      </c>
      <c r="B5233" s="120" t="str">
        <f>IFERROR(__xludf.DUMMYFUNCTION("""COMPUTED_VALUE"""),"MDF")</f>
        <v>MDF</v>
      </c>
      <c r="C5233" s="120" t="str">
        <f>IFERROR(__xludf.DUMMYFUNCTION("""COMPUTED_VALUE"""),"Medford")</f>
        <v>Medford</v>
      </c>
      <c r="D5233" s="120" t="str">
        <f>IFERROR(__xludf.DUMMYFUNCTION("""COMPUTED_VALUE"""),"United States")</f>
        <v>United States</v>
      </c>
      <c r="E5233" s="135"/>
      <c r="F5233" s="31"/>
    </row>
    <row r="5234">
      <c r="A5234" s="134" t="str">
        <f>IFERROR(__xludf.DUMMYFUNCTION("""COMPUTED_VALUE"""),"Medfra")</f>
        <v>Medfra</v>
      </c>
      <c r="B5234" s="120" t="str">
        <f>IFERROR(__xludf.DUMMYFUNCTION("""COMPUTED_VALUE"""),"MDR")</f>
        <v>MDR</v>
      </c>
      <c r="C5234" s="120" t="str">
        <f>IFERROR(__xludf.DUMMYFUNCTION("""COMPUTED_VALUE"""),"Medfra")</f>
        <v>Medfra</v>
      </c>
      <c r="D5234" s="120" t="str">
        <f>IFERROR(__xludf.DUMMYFUNCTION("""COMPUTED_VALUE"""),"United States")</f>
        <v>United States</v>
      </c>
      <c r="E5234" s="135"/>
      <c r="F5234" s="31"/>
    </row>
    <row r="5235">
      <c r="A5235" s="134" t="str">
        <f>IFERROR(__xludf.DUMMYFUNCTION("""COMPUTED_VALUE"""),"Medicine Hat")</f>
        <v>Medicine Hat</v>
      </c>
      <c r="B5235" s="120" t="str">
        <f>IFERROR(__xludf.DUMMYFUNCTION("""COMPUTED_VALUE"""),"YXH")</f>
        <v>YXH</v>
      </c>
      <c r="C5235" s="120" t="str">
        <f>IFERROR(__xludf.DUMMYFUNCTION("""COMPUTED_VALUE"""),"Medicine Hat")</f>
        <v>Medicine Hat</v>
      </c>
      <c r="D5235" s="120" t="str">
        <f>IFERROR(__xludf.DUMMYFUNCTION("""COMPUTED_VALUE"""),"Canada")</f>
        <v>Canada</v>
      </c>
      <c r="E5235" s="135"/>
      <c r="F5235" s="31"/>
    </row>
    <row r="5236">
      <c r="A5236" s="134" t="str">
        <f>IFERROR(__xludf.DUMMYFUNCTION("""COMPUTED_VALUE"""),"Medina")</f>
        <v>Medina</v>
      </c>
      <c r="B5236" s="120" t="str">
        <f>IFERROR(__xludf.DUMMYFUNCTION("""COMPUTED_VALUE"""),"MND")</f>
        <v>MND</v>
      </c>
      <c r="C5236" s="120" t="str">
        <f>IFERROR(__xludf.DUMMYFUNCTION("""COMPUTED_VALUE"""),"Medina")</f>
        <v>Medina</v>
      </c>
      <c r="D5236" s="120" t="str">
        <f>IFERROR(__xludf.DUMMYFUNCTION("""COMPUTED_VALUE"""),"Colombia")</f>
        <v>Colombia</v>
      </c>
      <c r="E5236" s="135"/>
      <c r="F5236" s="31"/>
    </row>
    <row r="5237">
      <c r="A5237" s="134" t="str">
        <f>IFERROR(__xludf.DUMMYFUNCTION("""COMPUTED_VALUE"""),"Medouneu")</f>
        <v>Medouneu</v>
      </c>
      <c r="B5237" s="120" t="str">
        <f>IFERROR(__xludf.DUMMYFUNCTION("""COMPUTED_VALUE"""),"MDV")</f>
        <v>MDV</v>
      </c>
      <c r="C5237" s="120" t="str">
        <f>IFERROR(__xludf.DUMMYFUNCTION("""COMPUTED_VALUE"""),"Medouneu")</f>
        <v>Medouneu</v>
      </c>
      <c r="D5237" s="120" t="str">
        <f>IFERROR(__xludf.DUMMYFUNCTION("""COMPUTED_VALUE"""),"Gabon")</f>
        <v>Gabon</v>
      </c>
      <c r="E5237" s="135"/>
      <c r="F5237" s="31"/>
    </row>
    <row r="5238">
      <c r="A5238" s="134" t="str">
        <f>IFERROR(__xludf.DUMMYFUNCTION("""COMPUTED_VALUE"""),"Meekatharra")</f>
        <v>Meekatharra</v>
      </c>
      <c r="B5238" s="120" t="str">
        <f>IFERROR(__xludf.DUMMYFUNCTION("""COMPUTED_VALUE"""),"MKR")</f>
        <v>MKR</v>
      </c>
      <c r="C5238" s="120" t="str">
        <f>IFERROR(__xludf.DUMMYFUNCTION("""COMPUTED_VALUE"""),"Meekatharra")</f>
        <v>Meekatharra</v>
      </c>
      <c r="D5238" s="120" t="str">
        <f>IFERROR(__xludf.DUMMYFUNCTION("""COMPUTED_VALUE"""),"Australia")</f>
        <v>Australia</v>
      </c>
      <c r="E5238" s="135"/>
      <c r="F5238" s="31"/>
    </row>
    <row r="5239">
      <c r="A5239" s="134" t="str">
        <f>IFERROR(__xludf.DUMMYFUNCTION("""COMPUTED_VALUE"""),"Megeve")</f>
        <v>Megeve</v>
      </c>
      <c r="B5239" s="120" t="str">
        <f>IFERROR(__xludf.DUMMYFUNCTION("""COMPUTED_VALUE"""),"MVV")</f>
        <v>MVV</v>
      </c>
      <c r="C5239" s="120" t="str">
        <f>IFERROR(__xludf.DUMMYFUNCTION("""COMPUTED_VALUE"""),"Megeve")</f>
        <v>Megeve</v>
      </c>
      <c r="D5239" s="120" t="str">
        <f>IFERROR(__xludf.DUMMYFUNCTION("""COMPUTED_VALUE"""),"France")</f>
        <v>France</v>
      </c>
      <c r="E5239" s="135"/>
      <c r="F5239" s="31"/>
    </row>
    <row r="5240">
      <c r="A5240" s="134" t="str">
        <f>IFERROR(__xludf.DUMMYFUNCTION("""COMPUTED_VALUE"""),"Meghauli")</f>
        <v>Meghauli</v>
      </c>
      <c r="B5240" s="120" t="str">
        <f>IFERROR(__xludf.DUMMYFUNCTION("""COMPUTED_VALUE"""),"MEY")</f>
        <v>MEY</v>
      </c>
      <c r="C5240" s="120" t="str">
        <f>IFERROR(__xludf.DUMMYFUNCTION("""COMPUTED_VALUE"""),"Meghauli")</f>
        <v>Meghauli</v>
      </c>
      <c r="D5240" s="120" t="str">
        <f>IFERROR(__xludf.DUMMYFUNCTION("""COMPUTED_VALUE"""),"Nepal")</f>
        <v>Nepal</v>
      </c>
      <c r="E5240" s="135"/>
      <c r="F5240" s="31"/>
    </row>
    <row r="5241">
      <c r="A5241" s="134" t="str">
        <f>IFERROR(__xludf.DUMMYFUNCTION("""COMPUTED_VALUE"""),"Mehamn")</f>
        <v>Mehamn</v>
      </c>
      <c r="B5241" s="120" t="str">
        <f>IFERROR(__xludf.DUMMYFUNCTION("""COMPUTED_VALUE"""),"MEH")</f>
        <v>MEH</v>
      </c>
      <c r="C5241" s="120" t="str">
        <f>IFERROR(__xludf.DUMMYFUNCTION("""COMPUTED_VALUE"""),"Mehamn")</f>
        <v>Mehamn</v>
      </c>
      <c r="D5241" s="120" t="str">
        <f>IFERROR(__xludf.DUMMYFUNCTION("""COMPUTED_VALUE"""),"Norway")</f>
        <v>Norway</v>
      </c>
      <c r="E5241" s="135"/>
      <c r="F5241" s="31"/>
    </row>
    <row r="5242">
      <c r="A5242" s="134" t="str">
        <f>IFERROR(__xludf.DUMMYFUNCTION("""COMPUTED_VALUE"""),"Meixian")</f>
        <v>Meixian</v>
      </c>
      <c r="B5242" s="120" t="str">
        <f>IFERROR(__xludf.DUMMYFUNCTION("""COMPUTED_VALUE"""),"MXZ")</f>
        <v>MXZ</v>
      </c>
      <c r="C5242" s="120" t="str">
        <f>IFERROR(__xludf.DUMMYFUNCTION("""COMPUTED_VALUE"""),"Meixian")</f>
        <v>Meixian</v>
      </c>
      <c r="D5242" s="120" t="str">
        <f>IFERROR(__xludf.DUMMYFUNCTION("""COMPUTED_VALUE"""),"China")</f>
        <v>China</v>
      </c>
      <c r="E5242" s="135"/>
      <c r="F5242" s="31"/>
    </row>
    <row r="5243">
      <c r="A5243" s="134" t="str">
        <f>IFERROR(__xludf.DUMMYFUNCTION("""COMPUTED_VALUE"""),"Mejit Island")</f>
        <v>Mejit Island</v>
      </c>
      <c r="B5243" s="120" t="str">
        <f>IFERROR(__xludf.DUMMYFUNCTION("""COMPUTED_VALUE"""),"MJB")</f>
        <v>MJB</v>
      </c>
      <c r="C5243" s="120" t="str">
        <f>IFERROR(__xludf.DUMMYFUNCTION("""COMPUTED_VALUE"""),"Mejit Island")</f>
        <v>Mejit Island</v>
      </c>
      <c r="D5243" s="120" t="str">
        <f>IFERROR(__xludf.DUMMYFUNCTION("""COMPUTED_VALUE"""),"Marshall Islands")</f>
        <v>Marshall Islands</v>
      </c>
      <c r="E5243" s="135"/>
      <c r="F5243" s="31"/>
    </row>
    <row r="5244">
      <c r="A5244" s="134" t="str">
        <f>IFERROR(__xludf.DUMMYFUNCTION("""COMPUTED_VALUE"""),"Mekambo")</f>
        <v>Mekambo</v>
      </c>
      <c r="B5244" s="120" t="str">
        <f>IFERROR(__xludf.DUMMYFUNCTION("""COMPUTED_VALUE"""),"MKB")</f>
        <v>MKB</v>
      </c>
      <c r="C5244" s="120" t="str">
        <f>IFERROR(__xludf.DUMMYFUNCTION("""COMPUTED_VALUE"""),"Mekambo")</f>
        <v>Mekambo</v>
      </c>
      <c r="D5244" s="120" t="str">
        <f>IFERROR(__xludf.DUMMYFUNCTION("""COMPUTED_VALUE"""),"Gabon")</f>
        <v>Gabon</v>
      </c>
      <c r="E5244" s="135"/>
      <c r="F5244" s="31"/>
    </row>
    <row r="5245">
      <c r="A5245" s="134" t="str">
        <f>IFERROR(__xludf.DUMMYFUNCTION("""COMPUTED_VALUE"""),"Mekane Selam")</f>
        <v>Mekane Selam</v>
      </c>
      <c r="B5245" s="120" t="str">
        <f>IFERROR(__xludf.DUMMYFUNCTION("""COMPUTED_VALUE"""),"MKS")</f>
        <v>MKS</v>
      </c>
      <c r="C5245" s="120" t="str">
        <f>IFERROR(__xludf.DUMMYFUNCTION("""COMPUTED_VALUE"""),"Mekane Selam")</f>
        <v>Mekane Selam</v>
      </c>
      <c r="D5245" s="120" t="str">
        <f>IFERROR(__xludf.DUMMYFUNCTION("""COMPUTED_VALUE"""),"Ethiopia")</f>
        <v>Ethiopia</v>
      </c>
      <c r="E5245" s="135"/>
      <c r="F5245" s="31"/>
    </row>
    <row r="5246">
      <c r="A5246" s="134" t="str">
        <f>IFERROR(__xludf.DUMMYFUNCTION("""COMPUTED_VALUE"""),"Meknes")</f>
        <v>Meknes</v>
      </c>
      <c r="B5246" s="120" t="str">
        <f>IFERROR(__xludf.DUMMYFUNCTION("""COMPUTED_VALUE"""),"MEK")</f>
        <v>MEK</v>
      </c>
      <c r="C5246" s="120" t="str">
        <f>IFERROR(__xludf.DUMMYFUNCTION("""COMPUTED_VALUE"""),"Meknes")</f>
        <v>Meknes</v>
      </c>
      <c r="D5246" s="120" t="str">
        <f>IFERROR(__xludf.DUMMYFUNCTION("""COMPUTED_VALUE"""),"Morocco")</f>
        <v>Morocco</v>
      </c>
      <c r="E5246" s="135"/>
      <c r="F5246" s="31"/>
    </row>
    <row r="5247">
      <c r="A5247" s="134" t="str">
        <f>IFERROR(__xludf.DUMMYFUNCTION("""COMPUTED_VALUE"""),"Mekoryuk")</f>
        <v>Mekoryuk</v>
      </c>
      <c r="B5247" s="120" t="str">
        <f>IFERROR(__xludf.DUMMYFUNCTION("""COMPUTED_VALUE"""),"MYU")</f>
        <v>MYU</v>
      </c>
      <c r="C5247" s="120" t="str">
        <f>IFERROR(__xludf.DUMMYFUNCTION("""COMPUTED_VALUE"""),"Ellis Field")</f>
        <v>Ellis Field</v>
      </c>
      <c r="D5247" s="120" t="str">
        <f>IFERROR(__xludf.DUMMYFUNCTION("""COMPUTED_VALUE"""),"United States")</f>
        <v>United States</v>
      </c>
      <c r="E5247" s="135"/>
      <c r="F5247" s="31"/>
    </row>
    <row r="5248">
      <c r="A5248" s="134" t="str">
        <f>IFERROR(__xludf.DUMMYFUNCTION("""COMPUTED_VALUE"""),"Melangguane")</f>
        <v>Melangguane</v>
      </c>
      <c r="B5248" s="120" t="str">
        <f>IFERROR(__xludf.DUMMYFUNCTION("""COMPUTED_VALUE"""),"MNA")</f>
        <v>MNA</v>
      </c>
      <c r="C5248" s="120" t="str">
        <f>IFERROR(__xludf.DUMMYFUNCTION("""COMPUTED_VALUE"""),"Melangguane")</f>
        <v>Melangguane</v>
      </c>
      <c r="D5248" s="120" t="str">
        <f>IFERROR(__xludf.DUMMYFUNCTION("""COMPUTED_VALUE"""),"Indonesia")</f>
        <v>Indonesia</v>
      </c>
      <c r="E5248" s="135"/>
      <c r="F5248" s="31"/>
    </row>
    <row r="5249">
      <c r="A5249" s="134" t="str">
        <f>IFERROR(__xludf.DUMMYFUNCTION("""COMPUTED_VALUE"""),"Melbourne")</f>
        <v>Melbourne</v>
      </c>
      <c r="B5249" s="120" t="str">
        <f>IFERROR(__xludf.DUMMYFUNCTION("""COMPUTED_VALUE"""),"MLB")</f>
        <v>MLB</v>
      </c>
      <c r="C5249" s="120" t="str">
        <f>IFERROR(__xludf.DUMMYFUNCTION("""COMPUTED_VALUE"""),"Melbourne Intl")</f>
        <v>Melbourne Intl</v>
      </c>
      <c r="D5249" s="120" t="str">
        <f>IFERROR(__xludf.DUMMYFUNCTION("""COMPUTED_VALUE"""),"United States")</f>
        <v>United States</v>
      </c>
      <c r="E5249" s="135"/>
      <c r="F5249" s="31"/>
    </row>
    <row r="5250">
      <c r="A5250" s="134" t="str">
        <f>IFERROR(__xludf.DUMMYFUNCTION("""COMPUTED_VALUE"""),"Geelong")</f>
        <v>Geelong</v>
      </c>
      <c r="B5250" s="120" t="str">
        <f>IFERROR(__xludf.DUMMYFUNCTION("""COMPUTED_VALUE"""),"AVV")</f>
        <v>AVV</v>
      </c>
      <c r="C5250" s="120" t="str">
        <f>IFERROR(__xludf.DUMMYFUNCTION("""COMPUTED_VALUE"""),"Avalon")</f>
        <v>Avalon</v>
      </c>
      <c r="D5250" s="120" t="str">
        <f>IFERROR(__xludf.DUMMYFUNCTION("""COMPUTED_VALUE"""),"Australia")</f>
        <v>Australia</v>
      </c>
      <c r="E5250" s="135"/>
      <c r="F5250" s="31"/>
    </row>
    <row r="5251">
      <c r="A5251" s="134" t="str">
        <f>IFERROR(__xludf.DUMMYFUNCTION("""COMPUTED_VALUE"""),"Melbourne")</f>
        <v>Melbourne</v>
      </c>
      <c r="B5251" s="120" t="str">
        <f>IFERROR(__xludf.DUMMYFUNCTION("""COMPUTED_VALUE"""),"KAH")</f>
        <v>KAH</v>
      </c>
      <c r="C5251" s="120" t="str">
        <f>IFERROR(__xludf.DUMMYFUNCTION("""COMPUTED_VALUE"""),"City Heliport")</f>
        <v>City Heliport</v>
      </c>
      <c r="D5251" s="120" t="str">
        <f>IFERROR(__xludf.DUMMYFUNCTION("""COMPUTED_VALUE"""),"Australia")</f>
        <v>Australia</v>
      </c>
      <c r="E5251" s="135"/>
      <c r="F5251" s="31"/>
    </row>
    <row r="5252">
      <c r="A5252" s="134" t="str">
        <f>IFERROR(__xludf.DUMMYFUNCTION("""COMPUTED_VALUE"""),"Melbourne")</f>
        <v>Melbourne</v>
      </c>
      <c r="B5252" s="120" t="str">
        <f>IFERROR(__xludf.DUMMYFUNCTION("""COMPUTED_VALUE"""),"MEB")</f>
        <v>MEB</v>
      </c>
      <c r="C5252" s="120" t="str">
        <f>IFERROR(__xludf.DUMMYFUNCTION("""COMPUTED_VALUE"""),"Essendon")</f>
        <v>Essendon</v>
      </c>
      <c r="D5252" s="120" t="str">
        <f>IFERROR(__xludf.DUMMYFUNCTION("""COMPUTED_VALUE"""),"Australia")</f>
        <v>Australia</v>
      </c>
      <c r="E5252" s="135"/>
      <c r="F5252" s="31"/>
    </row>
    <row r="5253">
      <c r="A5253" s="134" t="str">
        <f>IFERROR(__xludf.DUMMYFUNCTION("""COMPUTED_VALUE"""),"Melbourne")</f>
        <v>Melbourne</v>
      </c>
      <c r="B5253" s="120" t="str">
        <f>IFERROR(__xludf.DUMMYFUNCTION("""COMPUTED_VALUE"""),"MEL")</f>
        <v>MEL</v>
      </c>
      <c r="C5253" s="120" t="str">
        <f>IFERROR(__xludf.DUMMYFUNCTION("""COMPUTED_VALUE"""),"Tullamarine")</f>
        <v>Tullamarine</v>
      </c>
      <c r="D5253" s="120" t="str">
        <f>IFERROR(__xludf.DUMMYFUNCTION("""COMPUTED_VALUE"""),"Australia")</f>
        <v>Australia</v>
      </c>
      <c r="E5253" s="135"/>
      <c r="F5253" s="31"/>
    </row>
    <row r="5254">
      <c r="A5254" s="134" t="str">
        <f>IFERROR(__xludf.DUMMYFUNCTION("""COMPUTED_VALUE"""),"Melchor De Menco")</f>
        <v>Melchor De Menco</v>
      </c>
      <c r="B5254" s="120" t="str">
        <f>IFERROR(__xludf.DUMMYFUNCTION("""COMPUTED_VALUE"""),"MCR")</f>
        <v>MCR</v>
      </c>
      <c r="C5254" s="120" t="str">
        <f>IFERROR(__xludf.DUMMYFUNCTION("""COMPUTED_VALUE"""),"Melchor De Menco")</f>
        <v>Melchor De Menco</v>
      </c>
      <c r="D5254" s="120" t="str">
        <f>IFERROR(__xludf.DUMMYFUNCTION("""COMPUTED_VALUE"""),"Guatemala")</f>
        <v>Guatemala</v>
      </c>
      <c r="E5254" s="135"/>
      <c r="F5254" s="31"/>
    </row>
    <row r="5255">
      <c r="A5255" s="134" t="str">
        <f>IFERROR(__xludf.DUMMYFUNCTION("""COMPUTED_VALUE"""),"Melfa")</f>
        <v>Melfa</v>
      </c>
      <c r="B5255" s="120" t="str">
        <f>IFERROR(__xludf.DUMMYFUNCTION("""COMPUTED_VALUE"""),"MFV")</f>
        <v>MFV</v>
      </c>
      <c r="C5255" s="120" t="str">
        <f>IFERROR(__xludf.DUMMYFUNCTION("""COMPUTED_VALUE"""),"Accomack County")</f>
        <v>Accomack County</v>
      </c>
      <c r="D5255" s="120" t="str">
        <f>IFERROR(__xludf.DUMMYFUNCTION("""COMPUTED_VALUE"""),"United States")</f>
        <v>United States</v>
      </c>
      <c r="E5255" s="135"/>
      <c r="F5255" s="31"/>
    </row>
    <row r="5256">
      <c r="A5256" s="134" t="str">
        <f>IFERROR(__xludf.DUMMYFUNCTION("""COMPUTED_VALUE"""),"Melfi")</f>
        <v>Melfi</v>
      </c>
      <c r="B5256" s="120" t="str">
        <f>IFERROR(__xludf.DUMMYFUNCTION("""COMPUTED_VALUE"""),"MEF")</f>
        <v>MEF</v>
      </c>
      <c r="C5256" s="120" t="str">
        <f>IFERROR(__xludf.DUMMYFUNCTION("""COMPUTED_VALUE"""),"Melfi")</f>
        <v>Melfi</v>
      </c>
      <c r="D5256" s="120" t="str">
        <f>IFERROR(__xludf.DUMMYFUNCTION("""COMPUTED_VALUE"""),"Chad")</f>
        <v>Chad</v>
      </c>
      <c r="E5256" s="135"/>
      <c r="F5256" s="31"/>
    </row>
    <row r="5257">
      <c r="A5257" s="134" t="str">
        <f>IFERROR(__xludf.DUMMYFUNCTION("""COMPUTED_VALUE"""),"Melilla")</f>
        <v>Melilla</v>
      </c>
      <c r="B5257" s="120" t="str">
        <f>IFERROR(__xludf.DUMMYFUNCTION("""COMPUTED_VALUE"""),"MLN")</f>
        <v>MLN</v>
      </c>
      <c r="C5257" s="120" t="str">
        <f>IFERROR(__xludf.DUMMYFUNCTION("""COMPUTED_VALUE"""),"Melilla")</f>
        <v>Melilla</v>
      </c>
      <c r="D5257" s="120" t="str">
        <f>IFERROR(__xludf.DUMMYFUNCTION("""COMPUTED_VALUE"""),"Spain")</f>
        <v>Spain</v>
      </c>
      <c r="E5257" s="135"/>
      <c r="F5257" s="31"/>
    </row>
    <row r="5258">
      <c r="A5258" s="134" t="str">
        <f>IFERROR(__xludf.DUMMYFUNCTION("""COMPUTED_VALUE"""),"Melinda")</f>
        <v>Melinda</v>
      </c>
      <c r="B5258" s="120" t="str">
        <f>IFERROR(__xludf.DUMMYFUNCTION("""COMPUTED_VALUE"""),"MDB")</f>
        <v>MDB</v>
      </c>
      <c r="C5258" s="120" t="str">
        <f>IFERROR(__xludf.DUMMYFUNCTION("""COMPUTED_VALUE"""),"Melinda")</f>
        <v>Melinda</v>
      </c>
      <c r="D5258" s="120" t="str">
        <f>IFERROR(__xludf.DUMMYFUNCTION("""COMPUTED_VALUE"""),"Belize")</f>
        <v>Belize</v>
      </c>
      <c r="E5258" s="135"/>
      <c r="F5258" s="31"/>
    </row>
    <row r="5259">
      <c r="A5259" s="134" t="str">
        <f>IFERROR(__xludf.DUMMYFUNCTION("""COMPUTED_VALUE"""),"Melo")</f>
        <v>Melo</v>
      </c>
      <c r="B5259" s="120" t="str">
        <f>IFERROR(__xludf.DUMMYFUNCTION("""COMPUTED_VALUE"""),"MLZ")</f>
        <v>MLZ</v>
      </c>
      <c r="C5259" s="120" t="str">
        <f>IFERROR(__xludf.DUMMYFUNCTION("""COMPUTED_VALUE"""),"Melo")</f>
        <v>Melo</v>
      </c>
      <c r="D5259" s="120" t="str">
        <f>IFERROR(__xludf.DUMMYFUNCTION("""COMPUTED_VALUE"""),"Uruguay")</f>
        <v>Uruguay</v>
      </c>
      <c r="E5259" s="135"/>
      <c r="F5259" s="31"/>
    </row>
    <row r="5260">
      <c r="A5260" s="134" t="str">
        <f>IFERROR(__xludf.DUMMYFUNCTION("""COMPUTED_VALUE"""),"Memanbetsu")</f>
        <v>Memanbetsu</v>
      </c>
      <c r="B5260" s="120" t="str">
        <f>IFERROR(__xludf.DUMMYFUNCTION("""COMPUTED_VALUE"""),"MMB")</f>
        <v>MMB</v>
      </c>
      <c r="C5260" s="120" t="str">
        <f>IFERROR(__xludf.DUMMYFUNCTION("""COMPUTED_VALUE"""),"Memanbetsu")</f>
        <v>Memanbetsu</v>
      </c>
      <c r="D5260" s="120" t="str">
        <f>IFERROR(__xludf.DUMMYFUNCTION("""COMPUTED_VALUE"""),"Japan")</f>
        <v>Japan</v>
      </c>
      <c r="E5260" s="135"/>
      <c r="F5260" s="31"/>
    </row>
    <row r="5261">
      <c r="A5261" s="134" t="str">
        <f>IFERROR(__xludf.DUMMYFUNCTION("""COMPUTED_VALUE"""),"Memphis")</f>
        <v>Memphis</v>
      </c>
      <c r="B5261" s="120" t="str">
        <f>IFERROR(__xludf.DUMMYFUNCTION("""COMPUTED_VALUE"""),"MEM")</f>
        <v>MEM</v>
      </c>
      <c r="C5261" s="120" t="str">
        <f>IFERROR(__xludf.DUMMYFUNCTION("""COMPUTED_VALUE"""),"International")</f>
        <v>International</v>
      </c>
      <c r="D5261" s="120" t="str">
        <f>IFERROR(__xludf.DUMMYFUNCTION("""COMPUTED_VALUE"""),"United States")</f>
        <v>United States</v>
      </c>
      <c r="E5261" s="135"/>
      <c r="F5261" s="31"/>
    </row>
    <row r="5262">
      <c r="A5262" s="134" t="str">
        <f>IFERROR(__xludf.DUMMYFUNCTION("""COMPUTED_VALUE"""),"Memphis")</f>
        <v>Memphis</v>
      </c>
      <c r="B5262" s="120" t="str">
        <f>IFERROR(__xludf.DUMMYFUNCTION("""COMPUTED_VALUE"""),"NQA")</f>
        <v>NQA</v>
      </c>
      <c r="C5262" s="120" t="str">
        <f>IFERROR(__xludf.DUMMYFUNCTION("""COMPUTED_VALUE"""),"NAS")</f>
        <v>NAS</v>
      </c>
      <c r="D5262" s="120" t="str">
        <f>IFERROR(__xludf.DUMMYFUNCTION("""COMPUTED_VALUE"""),"United States")</f>
        <v>United States</v>
      </c>
      <c r="E5262" s="135"/>
      <c r="F5262" s="31"/>
    </row>
    <row r="5263">
      <c r="A5263" s="134" t="str">
        <f>IFERROR(__xludf.DUMMYFUNCTION("""COMPUTED_VALUE"""),"Mena")</f>
        <v>Mena</v>
      </c>
      <c r="B5263" s="120" t="str">
        <f>IFERROR(__xludf.DUMMYFUNCTION("""COMPUTED_VALUE"""),"MZX")</f>
        <v>MZX</v>
      </c>
      <c r="C5263" s="120" t="str">
        <f>IFERROR(__xludf.DUMMYFUNCTION("""COMPUTED_VALUE"""),"Mena")</f>
        <v>Mena</v>
      </c>
      <c r="D5263" s="120" t="str">
        <f>IFERROR(__xludf.DUMMYFUNCTION("""COMPUTED_VALUE"""),"Ethiopia")</f>
        <v>Ethiopia</v>
      </c>
      <c r="E5263" s="135"/>
      <c r="F5263" s="31"/>
    </row>
    <row r="5264">
      <c r="A5264" s="134" t="str">
        <f>IFERROR(__xludf.DUMMYFUNCTION("""COMPUTED_VALUE"""),"Mende")</f>
        <v>Mende</v>
      </c>
      <c r="B5264" s="120" t="str">
        <f>IFERROR(__xludf.DUMMYFUNCTION("""COMPUTED_VALUE"""),"MEN")</f>
        <v>MEN</v>
      </c>
      <c r="C5264" s="120" t="str">
        <f>IFERROR(__xludf.DUMMYFUNCTION("""COMPUTED_VALUE"""),"Brenoux")</f>
        <v>Brenoux</v>
      </c>
      <c r="D5264" s="120" t="str">
        <f>IFERROR(__xludf.DUMMYFUNCTION("""COMPUTED_VALUE"""),"France")</f>
        <v>France</v>
      </c>
      <c r="E5264" s="135"/>
      <c r="F5264" s="31"/>
    </row>
    <row r="5265">
      <c r="A5265" s="134" t="str">
        <f>IFERROR(__xludf.DUMMYFUNCTION("""COMPUTED_VALUE"""),"Mendez")</f>
        <v>Mendez</v>
      </c>
      <c r="B5265" s="120" t="str">
        <f>IFERROR(__xludf.DUMMYFUNCTION("""COMPUTED_VALUE"""),"MZD")</f>
        <v>MZD</v>
      </c>
      <c r="C5265" s="120" t="str">
        <f>IFERROR(__xludf.DUMMYFUNCTION("""COMPUTED_VALUE"""),"Mendez")</f>
        <v>Mendez</v>
      </c>
      <c r="D5265" s="120" t="str">
        <f>IFERROR(__xludf.DUMMYFUNCTION("""COMPUTED_VALUE"""),"Ecuador")</f>
        <v>Ecuador</v>
      </c>
      <c r="E5265" s="135"/>
      <c r="F5265" s="31"/>
    </row>
    <row r="5266">
      <c r="A5266" s="134" t="str">
        <f>IFERROR(__xludf.DUMMYFUNCTION("""COMPUTED_VALUE"""),"Mendi")</f>
        <v>Mendi</v>
      </c>
      <c r="B5266" s="120" t="str">
        <f>IFERROR(__xludf.DUMMYFUNCTION("""COMPUTED_VALUE"""),"NDM")</f>
        <v>NDM</v>
      </c>
      <c r="C5266" s="120" t="str">
        <f>IFERROR(__xludf.DUMMYFUNCTION("""COMPUTED_VALUE"""),"Mendi")</f>
        <v>Mendi</v>
      </c>
      <c r="D5266" s="120" t="str">
        <f>IFERROR(__xludf.DUMMYFUNCTION("""COMPUTED_VALUE"""),"Ethiopia")</f>
        <v>Ethiopia</v>
      </c>
      <c r="E5266" s="135"/>
      <c r="F5266" s="31"/>
    </row>
    <row r="5267">
      <c r="A5267" s="134" t="str">
        <f>IFERROR(__xludf.DUMMYFUNCTION("""COMPUTED_VALUE"""),"Mendi")</f>
        <v>Mendi</v>
      </c>
      <c r="B5267" s="120" t="str">
        <f>IFERROR(__xludf.DUMMYFUNCTION("""COMPUTED_VALUE"""),"MDU")</f>
        <v>MDU</v>
      </c>
      <c r="C5267" s="120" t="str">
        <f>IFERROR(__xludf.DUMMYFUNCTION("""COMPUTED_VALUE"""),"Mendi")</f>
        <v>Mendi</v>
      </c>
      <c r="D5267" s="120" t="str">
        <f>IFERROR(__xludf.DUMMYFUNCTION("""COMPUTED_VALUE"""),"Papua New Guinea")</f>
        <v>Papua New Guinea</v>
      </c>
      <c r="E5267" s="135"/>
      <c r="F5267" s="31"/>
    </row>
    <row r="5268">
      <c r="A5268" s="134" t="str">
        <f>IFERROR(__xludf.DUMMYFUNCTION("""COMPUTED_VALUE"""),"Mendoza")</f>
        <v>Mendoza</v>
      </c>
      <c r="B5268" s="120" t="str">
        <f>IFERROR(__xludf.DUMMYFUNCTION("""COMPUTED_VALUE"""),"MDZ")</f>
        <v>MDZ</v>
      </c>
      <c r="C5268" s="120" t="str">
        <f>IFERROR(__xludf.DUMMYFUNCTION("""COMPUTED_VALUE"""),"El Plumerillo")</f>
        <v>El Plumerillo</v>
      </c>
      <c r="D5268" s="120" t="str">
        <f>IFERROR(__xludf.DUMMYFUNCTION("""COMPUTED_VALUE"""),"Argentina")</f>
        <v>Argentina</v>
      </c>
      <c r="E5268" s="135"/>
      <c r="F5268" s="31"/>
    </row>
    <row r="5269">
      <c r="A5269" s="134" t="str">
        <f>IFERROR(__xludf.DUMMYFUNCTION("""COMPUTED_VALUE"""),"Menominee")</f>
        <v>Menominee</v>
      </c>
      <c r="B5269" s="120" t="str">
        <f>IFERROR(__xludf.DUMMYFUNCTION("""COMPUTED_VALUE"""),"MNM")</f>
        <v>MNM</v>
      </c>
      <c r="C5269" s="120" t="str">
        <f>IFERROR(__xludf.DUMMYFUNCTION("""COMPUTED_VALUE"""),"Menominee")</f>
        <v>Menominee</v>
      </c>
      <c r="D5269" s="120" t="str">
        <f>IFERROR(__xludf.DUMMYFUNCTION("""COMPUTED_VALUE"""),"United States")</f>
        <v>United States</v>
      </c>
      <c r="E5269" s="135"/>
      <c r="F5269" s="31"/>
    </row>
    <row r="5270">
      <c r="A5270" s="134" t="str">
        <f>IFERROR(__xludf.DUMMYFUNCTION("""COMPUTED_VALUE"""),"Menongue")</f>
        <v>Menongue</v>
      </c>
      <c r="B5270" s="120" t="str">
        <f>IFERROR(__xludf.DUMMYFUNCTION("""COMPUTED_VALUE"""),"SPP")</f>
        <v>SPP</v>
      </c>
      <c r="C5270" s="120" t="str">
        <f>IFERROR(__xludf.DUMMYFUNCTION("""COMPUTED_VALUE"""),"Menongue")</f>
        <v>Menongue</v>
      </c>
      <c r="D5270" s="120" t="str">
        <f>IFERROR(__xludf.DUMMYFUNCTION("""COMPUTED_VALUE"""),"Angola")</f>
        <v>Angola</v>
      </c>
      <c r="E5270" s="135"/>
      <c r="F5270" s="31"/>
    </row>
    <row r="5271">
      <c r="A5271" s="134" t="str">
        <f>IFERROR(__xludf.DUMMYFUNCTION("""COMPUTED_VALUE"""),"Menorca")</f>
        <v>Menorca</v>
      </c>
      <c r="B5271" s="120" t="str">
        <f>IFERROR(__xludf.DUMMYFUNCTION("""COMPUTED_VALUE"""),"MAH")</f>
        <v>MAH</v>
      </c>
      <c r="C5271" s="120" t="str">
        <f>IFERROR(__xludf.DUMMYFUNCTION("""COMPUTED_VALUE"""),"Menorca")</f>
        <v>Menorca</v>
      </c>
      <c r="D5271" s="120" t="str">
        <f>IFERROR(__xludf.DUMMYFUNCTION("""COMPUTED_VALUE"""),"Spain")</f>
        <v>Spain</v>
      </c>
      <c r="E5271" s="135"/>
      <c r="F5271" s="31"/>
    </row>
    <row r="5272">
      <c r="A5272" s="134" t="str">
        <f>IFERROR(__xludf.DUMMYFUNCTION("""COMPUTED_VALUE"""),"Menyamya")</f>
        <v>Menyamya</v>
      </c>
      <c r="B5272" s="120" t="str">
        <f>IFERROR(__xludf.DUMMYFUNCTION("""COMPUTED_VALUE"""),"MYX")</f>
        <v>MYX</v>
      </c>
      <c r="C5272" s="120" t="str">
        <f>IFERROR(__xludf.DUMMYFUNCTION("""COMPUTED_VALUE"""),"Menyamya")</f>
        <v>Menyamya</v>
      </c>
      <c r="D5272" s="120" t="str">
        <f>IFERROR(__xludf.DUMMYFUNCTION("""COMPUTED_VALUE"""),"Papua New Guinea")</f>
        <v>Papua New Guinea</v>
      </c>
      <c r="E5272" s="135"/>
      <c r="F5272" s="31"/>
    </row>
    <row r="5273">
      <c r="A5273" s="134" t="str">
        <f>IFERROR(__xludf.DUMMYFUNCTION("""COMPUTED_VALUE"""),"Meran")</f>
        <v>Meran</v>
      </c>
      <c r="B5273" s="120" t="str">
        <f>IFERROR(__xludf.DUMMYFUNCTION("""COMPUTED_VALUE"""),"ZMR")</f>
        <v>ZMR</v>
      </c>
      <c r="C5273" s="120" t="str">
        <f>IFERROR(__xludf.DUMMYFUNCTION("""COMPUTED_VALUE"""),"Bus Station")</f>
        <v>Bus Station</v>
      </c>
      <c r="D5273" s="120" t="str">
        <f>IFERROR(__xludf.DUMMYFUNCTION("""COMPUTED_VALUE"""),"Italy")</f>
        <v>Italy</v>
      </c>
      <c r="E5273" s="135"/>
      <c r="F5273" s="31"/>
    </row>
    <row r="5274">
      <c r="A5274" s="134" t="str">
        <f>IFERROR(__xludf.DUMMYFUNCTION("""COMPUTED_VALUE"""),"Merauke")</f>
        <v>Merauke</v>
      </c>
      <c r="B5274" s="120" t="str">
        <f>IFERROR(__xludf.DUMMYFUNCTION("""COMPUTED_VALUE"""),"MKQ")</f>
        <v>MKQ</v>
      </c>
      <c r="C5274" s="120" t="str">
        <f>IFERROR(__xludf.DUMMYFUNCTION("""COMPUTED_VALUE"""),"Mopah")</f>
        <v>Mopah</v>
      </c>
      <c r="D5274" s="120" t="str">
        <f>IFERROR(__xludf.DUMMYFUNCTION("""COMPUTED_VALUE"""),"Indonesia")</f>
        <v>Indonesia</v>
      </c>
      <c r="E5274" s="135"/>
      <c r="F5274" s="31"/>
    </row>
    <row r="5275">
      <c r="A5275" s="134" t="str">
        <f>IFERROR(__xludf.DUMMYFUNCTION("""COMPUTED_VALUE"""),"Merced")</f>
        <v>Merced</v>
      </c>
      <c r="B5275" s="120" t="str">
        <f>IFERROR(__xludf.DUMMYFUNCTION("""COMPUTED_VALUE"""),"MER")</f>
        <v>MER</v>
      </c>
      <c r="C5275" s="120" t="str">
        <f>IFERROR(__xludf.DUMMYFUNCTION("""COMPUTED_VALUE"""),"Castle AFB")</f>
        <v>Castle AFB</v>
      </c>
      <c r="D5275" s="120" t="str">
        <f>IFERROR(__xludf.DUMMYFUNCTION("""COMPUTED_VALUE"""),"United States")</f>
        <v>United States</v>
      </c>
      <c r="E5275" s="135"/>
      <c r="F5275" s="31"/>
    </row>
    <row r="5276">
      <c r="A5276" s="134" t="str">
        <f>IFERROR(__xludf.DUMMYFUNCTION("""COMPUTED_VALUE"""),"Merced")</f>
        <v>Merced</v>
      </c>
      <c r="B5276" s="120" t="str">
        <f>IFERROR(__xludf.DUMMYFUNCTION("""COMPUTED_VALUE"""),"MCE")</f>
        <v>MCE</v>
      </c>
      <c r="C5276" s="120" t="str">
        <f>IFERROR(__xludf.DUMMYFUNCTION("""COMPUTED_VALUE"""),"Merced Municipal Arpt")</f>
        <v>Merced Municipal Arpt</v>
      </c>
      <c r="D5276" s="120" t="str">
        <f>IFERROR(__xludf.DUMMYFUNCTION("""COMPUTED_VALUE"""),"United States")</f>
        <v>United States</v>
      </c>
      <c r="E5276" s="135"/>
      <c r="F5276" s="31"/>
    </row>
    <row r="5277">
      <c r="A5277" s="134" t="str">
        <f>IFERROR(__xludf.DUMMYFUNCTION("""COMPUTED_VALUE"""),"Mercedes")</f>
        <v>Mercedes</v>
      </c>
      <c r="B5277" s="120" t="str">
        <f>IFERROR(__xludf.DUMMYFUNCTION("""COMPUTED_VALUE"""),"MDX")</f>
        <v>MDX</v>
      </c>
      <c r="C5277" s="120" t="str">
        <f>IFERROR(__xludf.DUMMYFUNCTION("""COMPUTED_VALUE"""),"Mercedes")</f>
        <v>Mercedes</v>
      </c>
      <c r="D5277" s="120" t="str">
        <f>IFERROR(__xludf.DUMMYFUNCTION("""COMPUTED_VALUE"""),"Argentina")</f>
        <v>Argentina</v>
      </c>
      <c r="E5277" s="135"/>
      <c r="F5277" s="31"/>
    </row>
    <row r="5278">
      <c r="A5278" s="134" t="str">
        <f>IFERROR(__xludf.DUMMYFUNCTION("""COMPUTED_VALUE"""),"Mercury")</f>
        <v>Mercury</v>
      </c>
      <c r="B5278" s="120" t="str">
        <f>IFERROR(__xludf.DUMMYFUNCTION("""COMPUTED_VALUE"""),"DRA")</f>
        <v>DRA</v>
      </c>
      <c r="C5278" s="120" t="str">
        <f>IFERROR(__xludf.DUMMYFUNCTION("""COMPUTED_VALUE"""),"Desert Rock")</f>
        <v>Desert Rock</v>
      </c>
      <c r="D5278" s="120" t="str">
        <f>IFERROR(__xludf.DUMMYFUNCTION("""COMPUTED_VALUE"""),"United States")</f>
        <v>United States</v>
      </c>
      <c r="E5278" s="135"/>
      <c r="F5278" s="31"/>
    </row>
    <row r="5279">
      <c r="A5279" s="134" t="str">
        <f>IFERROR(__xludf.DUMMYFUNCTION("""COMPUTED_VALUE"""),"Merdey")</f>
        <v>Merdey</v>
      </c>
      <c r="B5279" s="120" t="str">
        <f>IFERROR(__xludf.DUMMYFUNCTION("""COMPUTED_VALUE"""),"RDE")</f>
        <v>RDE</v>
      </c>
      <c r="C5279" s="120" t="str">
        <f>IFERROR(__xludf.DUMMYFUNCTION("""COMPUTED_VALUE"""),"Merdey")</f>
        <v>Merdey</v>
      </c>
      <c r="D5279" s="120" t="str">
        <f>IFERROR(__xludf.DUMMYFUNCTION("""COMPUTED_VALUE"""),"Indonesia")</f>
        <v>Indonesia</v>
      </c>
      <c r="E5279" s="135"/>
      <c r="F5279" s="31"/>
    </row>
    <row r="5280">
      <c r="A5280" s="134" t="str">
        <f>IFERROR(__xludf.DUMMYFUNCTION("""COMPUTED_VALUE"""),"Meribel")</f>
        <v>Meribel</v>
      </c>
      <c r="B5280" s="120" t="str">
        <f>IFERROR(__xludf.DUMMYFUNCTION("""COMPUTED_VALUE"""),"MFX")</f>
        <v>MFX</v>
      </c>
      <c r="C5280" s="120" t="str">
        <f>IFERROR(__xludf.DUMMYFUNCTION("""COMPUTED_VALUE"""),"Meribel")</f>
        <v>Meribel</v>
      </c>
      <c r="D5280" s="120" t="str">
        <f>IFERROR(__xludf.DUMMYFUNCTION("""COMPUTED_VALUE"""),"France")</f>
        <v>France</v>
      </c>
      <c r="E5280" s="135"/>
      <c r="F5280" s="31"/>
    </row>
    <row r="5281">
      <c r="A5281" s="134" t="str">
        <f>IFERROR(__xludf.DUMMYFUNCTION("""COMPUTED_VALUE"""),"Merida")</f>
        <v>Merida</v>
      </c>
      <c r="B5281" s="120" t="str">
        <f>IFERROR(__xludf.DUMMYFUNCTION("""COMPUTED_VALUE"""),"MID")</f>
        <v>MID</v>
      </c>
      <c r="C5281" s="120" t="str">
        <f>IFERROR(__xludf.DUMMYFUNCTION("""COMPUTED_VALUE"""),"Rejon")</f>
        <v>Rejon</v>
      </c>
      <c r="D5281" s="120" t="str">
        <f>IFERROR(__xludf.DUMMYFUNCTION("""COMPUTED_VALUE"""),"Mexico")</f>
        <v>Mexico</v>
      </c>
      <c r="E5281" s="135"/>
      <c r="F5281" s="31"/>
    </row>
    <row r="5282">
      <c r="A5282" s="134" t="str">
        <f>IFERROR(__xludf.DUMMYFUNCTION("""COMPUTED_VALUE"""),"Merida")</f>
        <v>Merida</v>
      </c>
      <c r="B5282" s="120" t="str">
        <f>IFERROR(__xludf.DUMMYFUNCTION("""COMPUTED_VALUE"""),"MRD")</f>
        <v>MRD</v>
      </c>
      <c r="C5282" s="120" t="str">
        <f>IFERROR(__xludf.DUMMYFUNCTION("""COMPUTED_VALUE"""),"A Carnevalli")</f>
        <v>A Carnevalli</v>
      </c>
      <c r="D5282" s="120" t="str">
        <f>IFERROR(__xludf.DUMMYFUNCTION("""COMPUTED_VALUE"""),"Venezuela")</f>
        <v>Venezuela</v>
      </c>
      <c r="E5282" s="135"/>
      <c r="F5282" s="31"/>
    </row>
    <row r="5283">
      <c r="A5283" s="134" t="str">
        <f>IFERROR(__xludf.DUMMYFUNCTION("""COMPUTED_VALUE"""),"Meridian")</f>
        <v>Meridian</v>
      </c>
      <c r="B5283" s="120" t="str">
        <f>IFERROR(__xludf.DUMMYFUNCTION("""COMPUTED_VALUE"""),"MEI")</f>
        <v>MEI</v>
      </c>
      <c r="C5283" s="120" t="str">
        <f>IFERROR(__xludf.DUMMYFUNCTION("""COMPUTED_VALUE"""),"Key Field")</f>
        <v>Key Field</v>
      </c>
      <c r="D5283" s="120" t="str">
        <f>IFERROR(__xludf.DUMMYFUNCTION("""COMPUTED_VALUE"""),"United States")</f>
        <v>United States</v>
      </c>
      <c r="E5283" s="135"/>
      <c r="F5283" s="31"/>
    </row>
    <row r="5284">
      <c r="A5284" s="134" t="str">
        <f>IFERROR(__xludf.DUMMYFUNCTION("""COMPUTED_VALUE"""),"Merimbula")</f>
        <v>Merimbula</v>
      </c>
      <c r="B5284" s="120" t="str">
        <f>IFERROR(__xludf.DUMMYFUNCTION("""COMPUTED_VALUE"""),"MIM")</f>
        <v>MIM</v>
      </c>
      <c r="C5284" s="120" t="str">
        <f>IFERROR(__xludf.DUMMYFUNCTION("""COMPUTED_VALUE"""),"Merimbula")</f>
        <v>Merimbula</v>
      </c>
      <c r="D5284" s="120" t="str">
        <f>IFERROR(__xludf.DUMMYFUNCTION("""COMPUTED_VALUE"""),"Australia")</f>
        <v>Australia</v>
      </c>
      <c r="E5284" s="135"/>
      <c r="F5284" s="31"/>
    </row>
    <row r="5285">
      <c r="A5285" s="134" t="str">
        <f>IFERROR(__xludf.DUMMYFUNCTION("""COMPUTED_VALUE"""),"Merlo")</f>
        <v>Merlo</v>
      </c>
      <c r="B5285" s="120" t="str">
        <f>IFERROR(__xludf.DUMMYFUNCTION("""COMPUTED_VALUE"""),"RLO")</f>
        <v>RLO</v>
      </c>
      <c r="C5285" s="120" t="str">
        <f>IFERROR(__xludf.DUMMYFUNCTION("""COMPUTED_VALUE"""),"Valle Del Conlara")</f>
        <v>Valle Del Conlara</v>
      </c>
      <c r="D5285" s="120" t="str">
        <f>IFERROR(__xludf.DUMMYFUNCTION("""COMPUTED_VALUE"""),"Argentina")</f>
        <v>Argentina</v>
      </c>
      <c r="E5285" s="135"/>
      <c r="F5285" s="31"/>
    </row>
    <row r="5286">
      <c r="A5286" s="134" t="str">
        <f>IFERROR(__xludf.DUMMYFUNCTION("""COMPUTED_VALUE"""),"Merluna")</f>
        <v>Merluna</v>
      </c>
      <c r="B5286" s="120" t="str">
        <f>IFERROR(__xludf.DUMMYFUNCTION("""COMPUTED_VALUE"""),"MLV")</f>
        <v>MLV</v>
      </c>
      <c r="C5286" s="120" t="str">
        <f>IFERROR(__xludf.DUMMYFUNCTION("""COMPUTED_VALUE"""),"Merluna")</f>
        <v>Merluna</v>
      </c>
      <c r="D5286" s="120" t="str">
        <f>IFERROR(__xludf.DUMMYFUNCTION("""COMPUTED_VALUE"""),"Australia")</f>
        <v>Australia</v>
      </c>
      <c r="E5286" s="135"/>
      <c r="F5286" s="31"/>
    </row>
    <row r="5287">
      <c r="A5287" s="134" t="str">
        <f>IFERROR(__xludf.DUMMYFUNCTION("""COMPUTED_VALUE"""),"Merowe")</f>
        <v>Merowe</v>
      </c>
      <c r="B5287" s="120" t="str">
        <f>IFERROR(__xludf.DUMMYFUNCTION("""COMPUTED_VALUE"""),"MWE")</f>
        <v>MWE</v>
      </c>
      <c r="C5287" s="120" t="str">
        <f>IFERROR(__xludf.DUMMYFUNCTION("""COMPUTED_VALUE"""),"Merowe")</f>
        <v>Merowe</v>
      </c>
      <c r="D5287" s="120" t="str">
        <f>IFERROR(__xludf.DUMMYFUNCTION("""COMPUTED_VALUE"""),"Sudan")</f>
        <v>Sudan</v>
      </c>
      <c r="E5287" s="135"/>
      <c r="F5287" s="31"/>
    </row>
    <row r="5288">
      <c r="A5288" s="134" t="str">
        <f>IFERROR(__xludf.DUMMYFUNCTION("""COMPUTED_VALUE"""),"Merrill")</f>
        <v>Merrill</v>
      </c>
      <c r="B5288" s="120" t="str">
        <f>IFERROR(__xludf.DUMMYFUNCTION("""COMPUTED_VALUE"""),"RRL")</f>
        <v>RRL</v>
      </c>
      <c r="C5288" s="120" t="str">
        <f>IFERROR(__xludf.DUMMYFUNCTION("""COMPUTED_VALUE"""),"Municipal")</f>
        <v>Municipal</v>
      </c>
      <c r="D5288" s="120" t="str">
        <f>IFERROR(__xludf.DUMMYFUNCTION("""COMPUTED_VALUE"""),"United States")</f>
        <v>United States</v>
      </c>
      <c r="E5288" s="135"/>
      <c r="F5288" s="31"/>
    </row>
    <row r="5289">
      <c r="A5289" s="134" t="str">
        <f>IFERROR(__xludf.DUMMYFUNCTION("""COMPUTED_VALUE"""),"Merritt")</f>
        <v>Merritt</v>
      </c>
      <c r="B5289" s="120" t="str">
        <f>IFERROR(__xludf.DUMMYFUNCTION("""COMPUTED_VALUE"""),"YMB")</f>
        <v>YMB</v>
      </c>
      <c r="C5289" s="120" t="str">
        <f>IFERROR(__xludf.DUMMYFUNCTION("""COMPUTED_VALUE"""),"Merritt")</f>
        <v>Merritt</v>
      </c>
      <c r="D5289" s="120" t="str">
        <f>IFERROR(__xludf.DUMMYFUNCTION("""COMPUTED_VALUE"""),"Canada")</f>
        <v>Canada</v>
      </c>
      <c r="E5289" s="135"/>
      <c r="F5289" s="31"/>
    </row>
    <row r="5290">
      <c r="A5290" s="134" t="str">
        <f>IFERROR(__xludf.DUMMYFUNCTION("""COMPUTED_VALUE"""),"Merry Island")</f>
        <v>Merry Island</v>
      </c>
      <c r="B5290" s="120" t="str">
        <f>IFERROR(__xludf.DUMMYFUNCTION("""COMPUTED_VALUE"""),"YMR")</f>
        <v>YMR</v>
      </c>
      <c r="C5290" s="120" t="str">
        <f>IFERROR(__xludf.DUMMYFUNCTION("""COMPUTED_VALUE"""),"Merry Island")</f>
        <v>Merry Island</v>
      </c>
      <c r="D5290" s="120" t="str">
        <f>IFERROR(__xludf.DUMMYFUNCTION("""COMPUTED_VALUE"""),"Canada")</f>
        <v>Canada</v>
      </c>
      <c r="E5290" s="135"/>
      <c r="F5290" s="31"/>
    </row>
    <row r="5291">
      <c r="A5291" s="134" t="str">
        <f>IFERROR(__xludf.DUMMYFUNCTION("""COMPUTED_VALUE"""),"Mersa Matruh")</f>
        <v>Mersa Matruh</v>
      </c>
      <c r="B5291" s="120" t="str">
        <f>IFERROR(__xludf.DUMMYFUNCTION("""COMPUTED_VALUE"""),"MUH")</f>
        <v>MUH</v>
      </c>
      <c r="C5291" s="120" t="str">
        <f>IFERROR(__xludf.DUMMYFUNCTION("""COMPUTED_VALUE"""),"Mersa Matruh")</f>
        <v>Mersa Matruh</v>
      </c>
      <c r="D5291" s="120" t="str">
        <f>IFERROR(__xludf.DUMMYFUNCTION("""COMPUTED_VALUE"""),"Egypt")</f>
        <v>Egypt</v>
      </c>
      <c r="E5291" s="135"/>
      <c r="F5291" s="31"/>
    </row>
    <row r="5292">
      <c r="A5292" s="134" t="str">
        <f>IFERROR(__xludf.DUMMYFUNCTION("""COMPUTED_VALUE"""),"Mersing")</f>
        <v>Mersing</v>
      </c>
      <c r="B5292" s="120" t="str">
        <f>IFERROR(__xludf.DUMMYFUNCTION("""COMPUTED_VALUE"""),"MEP")</f>
        <v>MEP</v>
      </c>
      <c r="C5292" s="120" t="str">
        <f>IFERROR(__xludf.DUMMYFUNCTION("""COMPUTED_VALUE"""),"Mersing")</f>
        <v>Mersing</v>
      </c>
      <c r="D5292" s="120" t="str">
        <f>IFERROR(__xludf.DUMMYFUNCTION("""COMPUTED_VALUE"""),"Malaysia")</f>
        <v>Malaysia</v>
      </c>
      <c r="E5292" s="135"/>
      <c r="F5292" s="31"/>
    </row>
    <row r="5293">
      <c r="A5293" s="134" t="str">
        <f>IFERROR(__xludf.DUMMYFUNCTION("""COMPUTED_VALUE"""),"Merty")</f>
        <v>Merty</v>
      </c>
      <c r="B5293" s="120" t="str">
        <f>IFERROR(__xludf.DUMMYFUNCTION("""COMPUTED_VALUE"""),"RTY")</f>
        <v>RTY</v>
      </c>
      <c r="C5293" s="120" t="str">
        <f>IFERROR(__xludf.DUMMYFUNCTION("""COMPUTED_VALUE"""),"Merty")</f>
        <v>Merty</v>
      </c>
      <c r="D5293" s="120" t="str">
        <f>IFERROR(__xludf.DUMMYFUNCTION("""COMPUTED_VALUE"""),"Australia")</f>
        <v>Australia</v>
      </c>
      <c r="E5293" s="135"/>
      <c r="F5293" s="31"/>
    </row>
    <row r="5294">
      <c r="A5294" s="134" t="str">
        <f>IFERROR(__xludf.DUMMYFUNCTION("""COMPUTED_VALUE"""),"Merzifon")</f>
        <v>Merzifon</v>
      </c>
      <c r="B5294" s="120" t="str">
        <f>IFERROR(__xludf.DUMMYFUNCTION("""COMPUTED_VALUE"""),"MZH")</f>
        <v>MZH</v>
      </c>
      <c r="C5294" s="120" t="str">
        <f>IFERROR(__xludf.DUMMYFUNCTION("""COMPUTED_VALUE"""),"Merzifon")</f>
        <v>Merzifon</v>
      </c>
      <c r="D5294" s="120" t="str">
        <f>IFERROR(__xludf.DUMMYFUNCTION("""COMPUTED_VALUE"""),"Turkey")</f>
        <v>Turkey</v>
      </c>
      <c r="E5294" s="135"/>
      <c r="F5294" s="31"/>
    </row>
    <row r="5295">
      <c r="A5295" s="134" t="str">
        <f>IFERROR(__xludf.DUMMYFUNCTION("""COMPUTED_VALUE"""),"Mesa")</f>
        <v>Mesa</v>
      </c>
      <c r="B5295" s="120" t="str">
        <f>IFERROR(__xludf.DUMMYFUNCTION("""COMPUTED_VALUE"""),"MSC")</f>
        <v>MSC</v>
      </c>
      <c r="C5295" s="120" t="str">
        <f>IFERROR(__xludf.DUMMYFUNCTION("""COMPUTED_VALUE"""),"Falcon Field")</f>
        <v>Falcon Field</v>
      </c>
      <c r="D5295" s="120" t="str">
        <f>IFERROR(__xludf.DUMMYFUNCTION("""COMPUTED_VALUE"""),"United States")</f>
        <v>United States</v>
      </c>
      <c r="E5295" s="135"/>
      <c r="F5295" s="31"/>
    </row>
    <row r="5296">
      <c r="A5296" s="134" t="str">
        <f>IFERROR(__xludf.DUMMYFUNCTION("""COMPUTED_VALUE"""),"Mesalia")</f>
        <v>Mesalia</v>
      </c>
      <c r="B5296" s="120" t="str">
        <f>IFERROR(__xludf.DUMMYFUNCTION("""COMPUTED_VALUE"""),"MFZ")</f>
        <v>MFZ</v>
      </c>
      <c r="C5296" s="120" t="str">
        <f>IFERROR(__xludf.DUMMYFUNCTION("""COMPUTED_VALUE"""),"Mesalia")</f>
        <v>Mesalia</v>
      </c>
      <c r="D5296" s="120" t="str">
        <f>IFERROR(__xludf.DUMMYFUNCTION("""COMPUTED_VALUE"""),"Papua New Guinea")</f>
        <v>Papua New Guinea</v>
      </c>
      <c r="E5296" s="135"/>
      <c r="F5296" s="31"/>
    </row>
    <row r="5297">
      <c r="A5297" s="134" t="str">
        <f>IFERROR(__xludf.DUMMYFUNCTION("""COMPUTED_VALUE"""),"Mesquite")</f>
        <v>Mesquite</v>
      </c>
      <c r="B5297" s="120" t="str">
        <f>IFERROR(__xludf.DUMMYFUNCTION("""COMPUTED_VALUE"""),"MFH")</f>
        <v>MFH</v>
      </c>
      <c r="C5297" s="120" t="str">
        <f>IFERROR(__xludf.DUMMYFUNCTION("""COMPUTED_VALUE"""),"Mesquite")</f>
        <v>Mesquite</v>
      </c>
      <c r="D5297" s="120" t="str">
        <f>IFERROR(__xludf.DUMMYFUNCTION("""COMPUTED_VALUE"""),"United States")</f>
        <v>United States</v>
      </c>
      <c r="E5297" s="135"/>
      <c r="F5297" s="31"/>
    </row>
    <row r="5298">
      <c r="A5298" s="134" t="str">
        <f>IFERROR(__xludf.DUMMYFUNCTION("""COMPUTED_VALUE"""),"Messina")</f>
        <v>Messina</v>
      </c>
      <c r="B5298" s="120" t="str">
        <f>IFERROR(__xludf.DUMMYFUNCTION("""COMPUTED_VALUE"""),"MEZ")</f>
        <v>MEZ</v>
      </c>
      <c r="C5298" s="120" t="str">
        <f>IFERROR(__xludf.DUMMYFUNCTION("""COMPUTED_VALUE"""),"Messina")</f>
        <v>Messina</v>
      </c>
      <c r="D5298" s="120" t="str">
        <f>IFERROR(__xludf.DUMMYFUNCTION("""COMPUTED_VALUE"""),"South Africa")</f>
        <v>South Africa</v>
      </c>
      <c r="E5298" s="135"/>
      <c r="F5298" s="31"/>
    </row>
    <row r="5299">
      <c r="A5299" s="134" t="str">
        <f>IFERROR(__xludf.DUMMYFUNCTION("""COMPUTED_VALUE"""),"Metlakatla")</f>
        <v>Metlakatla</v>
      </c>
      <c r="B5299" s="120" t="str">
        <f>IFERROR(__xludf.DUMMYFUNCTION("""COMPUTED_VALUE"""),"MTM")</f>
        <v>MTM</v>
      </c>
      <c r="C5299" s="120" t="str">
        <f>IFERROR(__xludf.DUMMYFUNCTION("""COMPUTED_VALUE"""),"SPB")</f>
        <v>SPB</v>
      </c>
      <c r="D5299" s="120" t="str">
        <f>IFERROR(__xludf.DUMMYFUNCTION("""COMPUTED_VALUE"""),"United States")</f>
        <v>United States</v>
      </c>
      <c r="E5299" s="135"/>
      <c r="F5299" s="31"/>
    </row>
    <row r="5300">
      <c r="A5300" s="134" t="str">
        <f>IFERROR(__xludf.DUMMYFUNCTION("""COMPUTED_VALUE"""),"Metz")</f>
        <v>Metz</v>
      </c>
      <c r="B5300" s="120" t="str">
        <f>IFERROR(__xludf.DUMMYFUNCTION("""COMPUTED_VALUE"""),"MZM")</f>
        <v>MZM</v>
      </c>
      <c r="C5300" s="120" t="str">
        <f>IFERROR(__xludf.DUMMYFUNCTION("""COMPUTED_VALUE"""),"Frescaty")</f>
        <v>Frescaty</v>
      </c>
      <c r="D5300" s="120" t="str">
        <f>IFERROR(__xludf.DUMMYFUNCTION("""COMPUTED_VALUE"""),"France")</f>
        <v>France</v>
      </c>
      <c r="E5300" s="135"/>
      <c r="F5300" s="31"/>
    </row>
    <row r="5301">
      <c r="A5301" s="134" t="str">
        <f>IFERROR(__xludf.DUMMYFUNCTION("""COMPUTED_VALUE"""),"Metz/Nancy")</f>
        <v>Metz/Nancy</v>
      </c>
      <c r="B5301" s="120" t="str">
        <f>IFERROR(__xludf.DUMMYFUNCTION("""COMPUTED_VALUE"""),"ETZ")</f>
        <v>ETZ</v>
      </c>
      <c r="C5301" s="120" t="str">
        <f>IFERROR(__xludf.DUMMYFUNCTION("""COMPUTED_VALUE"""),"Metz-Nancy-Lorraine")</f>
        <v>Metz-Nancy-Lorraine</v>
      </c>
      <c r="D5301" s="120" t="str">
        <f>IFERROR(__xludf.DUMMYFUNCTION("""COMPUTED_VALUE"""),"France")</f>
        <v>France</v>
      </c>
      <c r="E5301" s="135"/>
      <c r="F5301" s="31"/>
    </row>
    <row r="5302">
      <c r="A5302" s="134" t="str">
        <f>IFERROR(__xludf.DUMMYFUNCTION("""COMPUTED_VALUE"""),"Meulaboh")</f>
        <v>Meulaboh</v>
      </c>
      <c r="B5302" s="120" t="str">
        <f>IFERROR(__xludf.DUMMYFUNCTION("""COMPUTED_VALUE"""),"MEQ")</f>
        <v>MEQ</v>
      </c>
      <c r="C5302" s="120" t="str">
        <f>IFERROR(__xludf.DUMMYFUNCTION("""COMPUTED_VALUE"""),"Seunagan")</f>
        <v>Seunagan</v>
      </c>
      <c r="D5302" s="120" t="str">
        <f>IFERROR(__xludf.DUMMYFUNCTION("""COMPUTED_VALUE"""),"Indonesia")</f>
        <v>Indonesia</v>
      </c>
      <c r="E5302" s="135"/>
      <c r="F5302" s="31"/>
    </row>
    <row r="5303">
      <c r="A5303" s="134" t="str">
        <f>IFERROR(__xludf.DUMMYFUNCTION("""COMPUTED_VALUE"""),"Mevang")</f>
        <v>Mevang</v>
      </c>
      <c r="B5303" s="120" t="str">
        <f>IFERROR(__xludf.DUMMYFUNCTION("""COMPUTED_VALUE"""),"MVG")</f>
        <v>MVG</v>
      </c>
      <c r="C5303" s="120" t="str">
        <f>IFERROR(__xludf.DUMMYFUNCTION("""COMPUTED_VALUE"""),"Mevang")</f>
        <v>Mevang</v>
      </c>
      <c r="D5303" s="120" t="str">
        <f>IFERROR(__xludf.DUMMYFUNCTION("""COMPUTED_VALUE"""),"Gabon")</f>
        <v>Gabon</v>
      </c>
      <c r="E5303" s="135"/>
      <c r="F5303" s="31"/>
    </row>
    <row r="5304">
      <c r="A5304" s="134" t="str">
        <f>IFERROR(__xludf.DUMMYFUNCTION("""COMPUTED_VALUE"""),"Mexicali")</f>
        <v>Mexicali</v>
      </c>
      <c r="B5304" s="120" t="str">
        <f>IFERROR(__xludf.DUMMYFUNCTION("""COMPUTED_VALUE"""),"MXL")</f>
        <v>MXL</v>
      </c>
      <c r="C5304" s="120" t="str">
        <f>IFERROR(__xludf.DUMMYFUNCTION("""COMPUTED_VALUE"""),"Mexicali")</f>
        <v>Mexicali</v>
      </c>
      <c r="D5304" s="120" t="str">
        <f>IFERROR(__xludf.DUMMYFUNCTION("""COMPUTED_VALUE"""),"Mexico")</f>
        <v>Mexico</v>
      </c>
      <c r="E5304" s="135"/>
      <c r="F5304" s="31"/>
    </row>
    <row r="5305">
      <c r="A5305" s="134" t="str">
        <f>IFERROR(__xludf.DUMMYFUNCTION("""COMPUTED_VALUE"""),"Mexico City")</f>
        <v>Mexico City</v>
      </c>
      <c r="B5305" s="120" t="str">
        <f>IFERROR(__xludf.DUMMYFUNCTION("""COMPUTED_VALUE"""),"AZP")</f>
        <v>AZP</v>
      </c>
      <c r="C5305" s="120" t="str">
        <f>IFERROR(__xludf.DUMMYFUNCTION("""COMPUTED_VALUE"""),"Atizapan")</f>
        <v>Atizapan</v>
      </c>
      <c r="D5305" s="120" t="str">
        <f>IFERROR(__xludf.DUMMYFUNCTION("""COMPUTED_VALUE"""),"Mexico")</f>
        <v>Mexico</v>
      </c>
      <c r="E5305" s="135"/>
      <c r="F5305" s="31"/>
    </row>
    <row r="5306">
      <c r="A5306" s="134" t="str">
        <f>IFERROR(__xludf.DUMMYFUNCTION("""COMPUTED_VALUE"""),"Mexico City")</f>
        <v>Mexico City</v>
      </c>
      <c r="B5306" s="120" t="str">
        <f>IFERROR(__xludf.DUMMYFUNCTION("""COMPUTED_VALUE"""),"MEX")</f>
        <v>MEX</v>
      </c>
      <c r="C5306" s="120" t="str">
        <f>IFERROR(__xludf.DUMMYFUNCTION("""COMPUTED_VALUE"""),"Juarez International")</f>
        <v>Juarez International</v>
      </c>
      <c r="D5306" s="120" t="str">
        <f>IFERROR(__xludf.DUMMYFUNCTION("""COMPUTED_VALUE"""),"Mexico")</f>
        <v>Mexico</v>
      </c>
      <c r="E5306" s="135"/>
      <c r="F5306" s="31"/>
    </row>
    <row r="5307">
      <c r="A5307" s="134" t="str">
        <f>IFERROR(__xludf.DUMMYFUNCTION("""COMPUTED_VALUE"""),"Mexico City")</f>
        <v>Mexico City</v>
      </c>
      <c r="B5307" s="120" t="str">
        <f>IFERROR(__xludf.DUMMYFUNCTION("""COMPUTED_VALUE"""),"NLU")</f>
        <v>NLU</v>
      </c>
      <c r="C5307" s="120" t="str">
        <f>IFERROR(__xludf.DUMMYFUNCTION("""COMPUTED_VALUE"""),"Santa Lucia")</f>
        <v>Santa Lucia</v>
      </c>
      <c r="D5307" s="120" t="str">
        <f>IFERROR(__xludf.DUMMYFUNCTION("""COMPUTED_VALUE"""),"Mexico")</f>
        <v>Mexico</v>
      </c>
      <c r="E5307" s="135"/>
      <c r="F5307" s="31"/>
    </row>
    <row r="5308">
      <c r="A5308" s="134" t="str">
        <f>IFERROR(__xludf.DUMMYFUNCTION("""COMPUTED_VALUE"""),"Meyers Chuck")</f>
        <v>Meyers Chuck</v>
      </c>
      <c r="B5308" s="120" t="str">
        <f>IFERROR(__xludf.DUMMYFUNCTION("""COMPUTED_VALUE"""),"WMK")</f>
        <v>WMK</v>
      </c>
      <c r="C5308" s="120" t="str">
        <f>IFERROR(__xludf.DUMMYFUNCTION("""COMPUTED_VALUE"""),"SPB")</f>
        <v>SPB</v>
      </c>
      <c r="D5308" s="120" t="str">
        <f>IFERROR(__xludf.DUMMYFUNCTION("""COMPUTED_VALUE"""),"United States")</f>
        <v>United States</v>
      </c>
      <c r="E5308" s="135"/>
      <c r="F5308" s="31"/>
    </row>
    <row r="5309">
      <c r="A5309" s="134" t="str">
        <f>IFERROR(__xludf.DUMMYFUNCTION("""COMPUTED_VALUE"""),"Mfuwe")</f>
        <v>Mfuwe</v>
      </c>
      <c r="B5309" s="120" t="str">
        <f>IFERROR(__xludf.DUMMYFUNCTION("""COMPUTED_VALUE"""),"MFU")</f>
        <v>MFU</v>
      </c>
      <c r="C5309" s="120" t="str">
        <f>IFERROR(__xludf.DUMMYFUNCTION("""COMPUTED_VALUE"""),"Mfuwe")</f>
        <v>Mfuwe</v>
      </c>
      <c r="D5309" s="120" t="str">
        <f>IFERROR(__xludf.DUMMYFUNCTION("""COMPUTED_VALUE"""),"Zambia")</f>
        <v>Zambia</v>
      </c>
      <c r="E5309" s="135"/>
      <c r="F5309" s="31"/>
    </row>
    <row r="5310">
      <c r="A5310" s="134" t="str">
        <f>IFERROR(__xludf.DUMMYFUNCTION("""COMPUTED_VALUE"""),"Miami")</f>
        <v>Miami</v>
      </c>
      <c r="B5310" s="120" t="str">
        <f>IFERROR(__xludf.DUMMYFUNCTION("""COMPUTED_VALUE"""),"TNT")</f>
        <v>TNT</v>
      </c>
      <c r="C5310" s="120" t="str">
        <f>IFERROR(__xludf.DUMMYFUNCTION("""COMPUTED_VALUE"""),"Dade Collier")</f>
        <v>Dade Collier</v>
      </c>
      <c r="D5310" s="120" t="str">
        <f>IFERROR(__xludf.DUMMYFUNCTION("""COMPUTED_VALUE"""),"United States")</f>
        <v>United States</v>
      </c>
      <c r="E5310" s="135"/>
      <c r="F5310" s="31"/>
    </row>
    <row r="5311">
      <c r="A5311" s="134" t="str">
        <f>IFERROR(__xludf.DUMMYFUNCTION("""COMPUTED_VALUE"""),"Miami")</f>
        <v>Miami</v>
      </c>
      <c r="B5311" s="120" t="str">
        <f>IFERROR(__xludf.DUMMYFUNCTION("""COMPUTED_VALUE"""),"JDM")</f>
        <v>JDM</v>
      </c>
      <c r="C5311" s="120" t="str">
        <f>IFERROR(__xludf.DUMMYFUNCTION("""COMPUTED_VALUE"""),"Downtown Heliport")</f>
        <v>Downtown Heliport</v>
      </c>
      <c r="D5311" s="120" t="str">
        <f>IFERROR(__xludf.DUMMYFUNCTION("""COMPUTED_VALUE"""),"United States")</f>
        <v>United States</v>
      </c>
      <c r="E5311" s="135"/>
      <c r="F5311" s="31"/>
    </row>
    <row r="5312">
      <c r="A5312" s="134" t="str">
        <f>IFERROR(__xludf.DUMMYFUNCTION("""COMPUTED_VALUE"""),"Miami")</f>
        <v>Miami</v>
      </c>
      <c r="B5312" s="120" t="str">
        <f>IFERROR(__xludf.DUMMYFUNCTION("""COMPUTED_VALUE"""),"MIA")</f>
        <v>MIA</v>
      </c>
      <c r="C5312" s="120" t="str">
        <f>IFERROR(__xludf.DUMMYFUNCTION("""COMPUTED_VALUE"""),"Miami International Airport")</f>
        <v>Miami International Airport</v>
      </c>
      <c r="D5312" s="120" t="str">
        <f>IFERROR(__xludf.DUMMYFUNCTION("""COMPUTED_VALUE"""),"United States")</f>
        <v>United States</v>
      </c>
      <c r="E5312" s="135"/>
      <c r="F5312" s="31"/>
    </row>
    <row r="5313">
      <c r="A5313" s="134" t="str">
        <f>IFERROR(__xludf.DUMMYFUNCTION("""COMPUTED_VALUE"""),"Miami")</f>
        <v>Miami</v>
      </c>
      <c r="B5313" s="120" t="str">
        <f>IFERROR(__xludf.DUMMYFUNCTION("""COMPUTED_VALUE"""),"OPF")</f>
        <v>OPF</v>
      </c>
      <c r="C5313" s="120" t="str">
        <f>IFERROR(__xludf.DUMMYFUNCTION("""COMPUTED_VALUE"""),"Opa Locka")</f>
        <v>Opa Locka</v>
      </c>
      <c r="D5313" s="120" t="str">
        <f>IFERROR(__xludf.DUMMYFUNCTION("""COMPUTED_VALUE"""),"United States")</f>
        <v>United States</v>
      </c>
      <c r="E5313" s="135"/>
      <c r="F5313" s="31"/>
    </row>
    <row r="5314">
      <c r="A5314" s="134" t="str">
        <f>IFERROR(__xludf.DUMMYFUNCTION("""COMPUTED_VALUE"""),"Miami")</f>
        <v>Miami</v>
      </c>
      <c r="B5314" s="120" t="str">
        <f>IFERROR(__xludf.DUMMYFUNCTION("""COMPUTED_VALUE"""),"MPB")</f>
        <v>MPB</v>
      </c>
      <c r="C5314" s="120" t="str">
        <f>IFERROR(__xludf.DUMMYFUNCTION("""COMPUTED_VALUE"""),"SPB")</f>
        <v>SPB</v>
      </c>
      <c r="D5314" s="120" t="str">
        <f>IFERROR(__xludf.DUMMYFUNCTION("""COMPUTED_VALUE"""),"United States")</f>
        <v>United States</v>
      </c>
      <c r="E5314" s="135"/>
      <c r="F5314" s="31"/>
    </row>
    <row r="5315">
      <c r="A5315" s="134" t="str">
        <f>IFERROR(__xludf.DUMMYFUNCTION("""COMPUTED_VALUE"""),"Miami")</f>
        <v>Miami</v>
      </c>
      <c r="B5315" s="120" t="str">
        <f>IFERROR(__xludf.DUMMYFUNCTION("""COMPUTED_VALUE"""),"TMB")</f>
        <v>TMB</v>
      </c>
      <c r="C5315" s="120" t="str">
        <f>IFERROR(__xludf.DUMMYFUNCTION("""COMPUTED_VALUE"""),"Tamiami")</f>
        <v>Tamiami</v>
      </c>
      <c r="D5315" s="120" t="str">
        <f>IFERROR(__xludf.DUMMYFUNCTION("""COMPUTED_VALUE"""),"United States")</f>
        <v>United States</v>
      </c>
      <c r="E5315" s="135"/>
      <c r="F5315" s="31"/>
    </row>
    <row r="5316">
      <c r="A5316" s="134" t="str">
        <f>IFERROR(__xludf.DUMMYFUNCTION("""COMPUTED_VALUE"""),"Miami")</f>
        <v>Miami</v>
      </c>
      <c r="B5316" s="120" t="str">
        <f>IFERROR(__xludf.DUMMYFUNCTION("""COMPUTED_VALUE"""),"MIO")</f>
        <v>MIO</v>
      </c>
      <c r="C5316" s="120" t="str">
        <f>IFERROR(__xludf.DUMMYFUNCTION("""COMPUTED_VALUE"""),"Miami")</f>
        <v>Miami</v>
      </c>
      <c r="D5316" s="120" t="str">
        <f>IFERROR(__xludf.DUMMYFUNCTION("""COMPUTED_VALUE"""),"United States")</f>
        <v>United States</v>
      </c>
      <c r="E5316" s="135"/>
      <c r="F5316" s="31"/>
    </row>
    <row r="5317">
      <c r="A5317" s="134" t="str">
        <f>IFERROR(__xludf.DUMMYFUNCTION("""COMPUTED_VALUE"""),"Mian Yang")</f>
        <v>Mian Yang</v>
      </c>
      <c r="B5317" s="120" t="str">
        <f>IFERROR(__xludf.DUMMYFUNCTION("""COMPUTED_VALUE"""),"MIG")</f>
        <v>MIG</v>
      </c>
      <c r="C5317" s="120" t="str">
        <f>IFERROR(__xludf.DUMMYFUNCTION("""COMPUTED_VALUE"""),"Mian Yang")</f>
        <v>Mian Yang</v>
      </c>
      <c r="D5317" s="120" t="str">
        <f>IFERROR(__xludf.DUMMYFUNCTION("""COMPUTED_VALUE"""),"Germany")</f>
        <v>Germany</v>
      </c>
      <c r="E5317" s="135"/>
      <c r="F5317" s="31"/>
    </row>
    <row r="5318">
      <c r="A5318" s="134" t="str">
        <f>IFERROR(__xludf.DUMMYFUNCTION("""COMPUTED_VALUE"""),"Miandrivazo")</f>
        <v>Miandrivazo</v>
      </c>
      <c r="B5318" s="120" t="str">
        <f>IFERROR(__xludf.DUMMYFUNCTION("""COMPUTED_VALUE"""),"ZVA")</f>
        <v>ZVA</v>
      </c>
      <c r="C5318" s="120" t="str">
        <f>IFERROR(__xludf.DUMMYFUNCTION("""COMPUTED_VALUE"""),"Miandrivazo")</f>
        <v>Miandrivazo</v>
      </c>
      <c r="D5318" s="120" t="str">
        <f>IFERROR(__xludf.DUMMYFUNCTION("""COMPUTED_VALUE"""),"Madagascar")</f>
        <v>Madagascar</v>
      </c>
      <c r="E5318" s="135"/>
      <c r="F5318" s="31"/>
    </row>
    <row r="5319">
      <c r="A5319" s="134" t="str">
        <f>IFERROR(__xludf.DUMMYFUNCTION("""COMPUTED_VALUE"""),"Mianwali")</f>
        <v>Mianwali</v>
      </c>
      <c r="B5319" s="120" t="str">
        <f>IFERROR(__xludf.DUMMYFUNCTION("""COMPUTED_VALUE"""),"MWD")</f>
        <v>MWD</v>
      </c>
      <c r="C5319" s="120" t="str">
        <f>IFERROR(__xludf.DUMMYFUNCTION("""COMPUTED_VALUE"""),"Mianwali")</f>
        <v>Mianwali</v>
      </c>
      <c r="D5319" s="120" t="str">
        <f>IFERROR(__xludf.DUMMYFUNCTION("""COMPUTED_VALUE"""),"Pakistan")</f>
        <v>Pakistan</v>
      </c>
      <c r="E5319" s="135"/>
      <c r="F5319" s="31"/>
    </row>
    <row r="5320">
      <c r="A5320" s="134" t="str">
        <f>IFERROR(__xludf.DUMMYFUNCTION("""COMPUTED_VALUE"""),"Michigan City")</f>
        <v>Michigan City</v>
      </c>
      <c r="B5320" s="120" t="str">
        <f>IFERROR(__xludf.DUMMYFUNCTION("""COMPUTED_VALUE"""),"MGC")</f>
        <v>MGC</v>
      </c>
      <c r="C5320" s="120" t="str">
        <f>IFERROR(__xludf.DUMMYFUNCTION("""COMPUTED_VALUE"""),"Michigan City Arpt")</f>
        <v>Michigan City Arpt</v>
      </c>
      <c r="D5320" s="120" t="str">
        <f>IFERROR(__xludf.DUMMYFUNCTION("""COMPUTED_VALUE"""),"United States")</f>
        <v>United States</v>
      </c>
      <c r="E5320" s="135"/>
      <c r="F5320" s="31"/>
    </row>
    <row r="5321">
      <c r="A5321" s="134" t="str">
        <f>IFERROR(__xludf.DUMMYFUNCTION("""COMPUTED_VALUE"""),"Middle Caicos")</f>
        <v>Middle Caicos</v>
      </c>
      <c r="B5321" s="120" t="str">
        <f>IFERROR(__xludf.DUMMYFUNCTION("""COMPUTED_VALUE"""),"MDS")</f>
        <v>MDS</v>
      </c>
      <c r="C5321" s="120" t="str">
        <f>IFERROR(__xludf.DUMMYFUNCTION("""COMPUTED_VALUE"""),"Middle Caicos")</f>
        <v>Middle Caicos</v>
      </c>
      <c r="D5321" s="120" t="str">
        <f>IFERROR(__xludf.DUMMYFUNCTION("""COMPUTED_VALUE"""),"Turks and Caicos Islands")</f>
        <v>Turks and Caicos Islands</v>
      </c>
      <c r="E5321" s="135"/>
      <c r="F5321" s="31"/>
    </row>
    <row r="5322">
      <c r="A5322" s="134" t="str">
        <f>IFERROR(__xludf.DUMMYFUNCTION("""COMPUTED_VALUE"""),"Middlemount")</f>
        <v>Middlemount</v>
      </c>
      <c r="B5322" s="120" t="str">
        <f>IFERROR(__xludf.DUMMYFUNCTION("""COMPUTED_VALUE"""),"MMM")</f>
        <v>MMM</v>
      </c>
      <c r="C5322" s="120" t="str">
        <f>IFERROR(__xludf.DUMMYFUNCTION("""COMPUTED_VALUE"""),"Middlemount")</f>
        <v>Middlemount</v>
      </c>
      <c r="D5322" s="120" t="str">
        <f>IFERROR(__xludf.DUMMYFUNCTION("""COMPUTED_VALUE"""),"Australia")</f>
        <v>Australia</v>
      </c>
      <c r="E5322" s="135"/>
      <c r="F5322" s="31"/>
    </row>
    <row r="5323">
      <c r="A5323" s="134" t="str">
        <f>IFERROR(__xludf.DUMMYFUNCTION("""COMPUTED_VALUE"""),"Middleton Island")</f>
        <v>Middleton Island</v>
      </c>
      <c r="B5323" s="120" t="str">
        <f>IFERROR(__xludf.DUMMYFUNCTION("""COMPUTED_VALUE"""),"MDO")</f>
        <v>MDO</v>
      </c>
      <c r="C5323" s="120" t="str">
        <f>IFERROR(__xludf.DUMMYFUNCTION("""COMPUTED_VALUE"""),"Intermediate")</f>
        <v>Intermediate</v>
      </c>
      <c r="D5323" s="120" t="str">
        <f>IFERROR(__xludf.DUMMYFUNCTION("""COMPUTED_VALUE"""),"United States")</f>
        <v>United States</v>
      </c>
      <c r="E5323" s="135"/>
      <c r="F5323" s="31"/>
    </row>
    <row r="5324">
      <c r="A5324" s="134" t="str">
        <f>IFERROR(__xludf.DUMMYFUNCTION("""COMPUTED_VALUE"""),"Middletown, Ohio")</f>
        <v>Middletown, Ohio</v>
      </c>
      <c r="B5324" s="120" t="str">
        <f>IFERROR(__xludf.DUMMYFUNCTION("""COMPUTED_VALUE"""),"MWO")</f>
        <v>MWO</v>
      </c>
      <c r="C5324" s="120" t="str">
        <f>IFERROR(__xludf.DUMMYFUNCTION("""COMPUTED_VALUE"""),"Hook Field")</f>
        <v>Hook Field</v>
      </c>
      <c r="D5324" s="120" t="str">
        <f>IFERROR(__xludf.DUMMYFUNCTION("""COMPUTED_VALUE"""),"United States")</f>
        <v>United States</v>
      </c>
      <c r="E5324" s="135"/>
      <c r="F5324" s="31"/>
    </row>
    <row r="5325">
      <c r="A5325" s="134" t="str">
        <f>IFERROR(__xludf.DUMMYFUNCTION("""COMPUTED_VALUE"""),"Midgard")</f>
        <v>Midgard</v>
      </c>
      <c r="B5325" s="120" t="str">
        <f>IFERROR(__xludf.DUMMYFUNCTION("""COMPUTED_VALUE"""),"MQG")</f>
        <v>MQG</v>
      </c>
      <c r="C5325" s="120" t="str">
        <f>IFERROR(__xludf.DUMMYFUNCTION("""COMPUTED_VALUE"""),"Midgard")</f>
        <v>Midgard</v>
      </c>
      <c r="D5325" s="120" t="str">
        <f>IFERROR(__xludf.DUMMYFUNCTION("""COMPUTED_VALUE"""),"Namibia")</f>
        <v>Namibia</v>
      </c>
      <c r="E5325" s="135"/>
      <c r="F5325" s="31"/>
    </row>
    <row r="5326">
      <c r="A5326" s="134" t="str">
        <f>IFERROR(__xludf.DUMMYFUNCTION("""COMPUTED_VALUE"""),"Midland")</f>
        <v>Midland</v>
      </c>
      <c r="B5326" s="120" t="str">
        <f>IFERROR(__xludf.DUMMYFUNCTION("""COMPUTED_VALUE"""),"MDD")</f>
        <v>MDD</v>
      </c>
      <c r="C5326" s="120" t="str">
        <f>IFERROR(__xludf.DUMMYFUNCTION("""COMPUTED_VALUE"""),"Airpark")</f>
        <v>Airpark</v>
      </c>
      <c r="D5326" s="120" t="str">
        <f>IFERROR(__xludf.DUMMYFUNCTION("""COMPUTED_VALUE"""),"United States")</f>
        <v>United States</v>
      </c>
      <c r="E5326" s="135"/>
      <c r="F5326" s="31"/>
    </row>
    <row r="5327">
      <c r="A5327" s="134" t="str">
        <f>IFERROR(__xludf.DUMMYFUNCTION("""COMPUTED_VALUE"""),"Midland")</f>
        <v>Midland</v>
      </c>
      <c r="B5327" s="120" t="str">
        <f>IFERROR(__xludf.DUMMYFUNCTION("""COMPUTED_VALUE"""),"MAF")</f>
        <v>MAF</v>
      </c>
      <c r="C5327" s="120" t="str">
        <f>IFERROR(__xludf.DUMMYFUNCTION("""COMPUTED_VALUE"""),"Odessa Regional")</f>
        <v>Odessa Regional</v>
      </c>
      <c r="D5327" s="120" t="str">
        <f>IFERROR(__xludf.DUMMYFUNCTION("""COMPUTED_VALUE"""),"United States")</f>
        <v>United States</v>
      </c>
      <c r="E5327" s="135"/>
      <c r="F5327" s="31"/>
    </row>
    <row r="5328">
      <c r="A5328" s="134" t="str">
        <f>IFERROR(__xludf.DUMMYFUNCTION("""COMPUTED_VALUE"""),"Midway Island")</f>
        <v>Midway Island</v>
      </c>
      <c r="B5328" s="120" t="str">
        <f>IFERROR(__xludf.DUMMYFUNCTION("""COMPUTED_VALUE"""),"MDY")</f>
        <v>MDY</v>
      </c>
      <c r="C5328" s="120" t="str">
        <f>IFERROR(__xludf.DUMMYFUNCTION("""COMPUTED_VALUE"""),"Sand Island Field")</f>
        <v>Sand Island Field</v>
      </c>
      <c r="D5328" s="120" t="str">
        <f>IFERROR(__xludf.DUMMYFUNCTION("""COMPUTED_VALUE"""),"US Minor Outlying Islands")</f>
        <v>US Minor Outlying Islands</v>
      </c>
      <c r="E5328" s="135"/>
      <c r="F5328" s="31"/>
    </row>
    <row r="5329">
      <c r="A5329" s="134" t="str">
        <f>IFERROR(__xludf.DUMMYFUNCTION("""COMPUTED_VALUE"""),"Miele Mimbale")</f>
        <v>Miele Mimbale</v>
      </c>
      <c r="B5329" s="120" t="str">
        <f>IFERROR(__xludf.DUMMYFUNCTION("""COMPUTED_VALUE"""),"GIM")</f>
        <v>GIM</v>
      </c>
      <c r="C5329" s="120" t="str">
        <f>IFERROR(__xludf.DUMMYFUNCTION("""COMPUTED_VALUE"""),"Miele Mimbale")</f>
        <v>Miele Mimbale</v>
      </c>
      <c r="D5329" s="120" t="str">
        <f>IFERROR(__xludf.DUMMYFUNCTION("""COMPUTED_VALUE"""),"Gabon")</f>
        <v>Gabon</v>
      </c>
      <c r="E5329" s="135"/>
      <c r="F5329" s="31"/>
    </row>
    <row r="5330">
      <c r="A5330" s="134" t="str">
        <f>IFERROR(__xludf.DUMMYFUNCTION("""COMPUTED_VALUE"""),"Mikkeli")</f>
        <v>Mikkeli</v>
      </c>
      <c r="B5330" s="120" t="str">
        <f>IFERROR(__xludf.DUMMYFUNCTION("""COMPUTED_VALUE"""),"MIK")</f>
        <v>MIK</v>
      </c>
      <c r="C5330" s="120" t="str">
        <f>IFERROR(__xludf.DUMMYFUNCTION("""COMPUTED_VALUE"""),"Mikkeli")</f>
        <v>Mikkeli</v>
      </c>
      <c r="D5330" s="120" t="str">
        <f>IFERROR(__xludf.DUMMYFUNCTION("""COMPUTED_VALUE"""),"Finland")</f>
        <v>Finland</v>
      </c>
      <c r="E5330" s="135"/>
      <c r="F5330" s="31"/>
    </row>
    <row r="5331">
      <c r="A5331" s="134" t="str">
        <f>IFERROR(__xludf.DUMMYFUNCTION("""COMPUTED_VALUE"""),"Mikonos")</f>
        <v>Mikonos</v>
      </c>
      <c r="B5331" s="120" t="str">
        <f>IFERROR(__xludf.DUMMYFUNCTION("""COMPUTED_VALUE"""),"JMK")</f>
        <v>JMK</v>
      </c>
      <c r="C5331" s="120" t="str">
        <f>IFERROR(__xludf.DUMMYFUNCTION("""COMPUTED_VALUE"""),"Mikonos")</f>
        <v>Mikonos</v>
      </c>
      <c r="D5331" s="120" t="str">
        <f>IFERROR(__xludf.DUMMYFUNCTION("""COMPUTED_VALUE"""),"Greece")</f>
        <v>Greece</v>
      </c>
      <c r="E5331" s="135"/>
      <c r="F5331" s="31"/>
    </row>
    <row r="5332">
      <c r="A5332" s="134" t="str">
        <f>IFERROR(__xludf.DUMMYFUNCTION("""COMPUTED_VALUE"""),"Milan")</f>
        <v>Milan</v>
      </c>
      <c r="B5332" s="120" t="str">
        <f>IFERROR(__xludf.DUMMYFUNCTION("""COMPUTED_VALUE"""),"XIK")</f>
        <v>XIK</v>
      </c>
      <c r="C5332" s="120" t="str">
        <f>IFERROR(__xludf.DUMMYFUNCTION("""COMPUTED_VALUE"""),"Central Station")</f>
        <v>Central Station</v>
      </c>
      <c r="D5332" s="120" t="str">
        <f>IFERROR(__xludf.DUMMYFUNCTION("""COMPUTED_VALUE"""),"Italy")</f>
        <v>Italy</v>
      </c>
      <c r="E5332" s="135"/>
      <c r="F5332" s="31"/>
    </row>
    <row r="5333">
      <c r="A5333" s="134" t="str">
        <f>IFERROR(__xludf.DUMMYFUNCTION("""COMPUTED_VALUE"""),"Milan")</f>
        <v>Milan</v>
      </c>
      <c r="B5333" s="120" t="str">
        <f>IFERROR(__xludf.DUMMYFUNCTION("""COMPUTED_VALUE"""),"LIN")</f>
        <v>LIN</v>
      </c>
      <c r="C5333" s="120" t="str">
        <f>IFERROR(__xludf.DUMMYFUNCTION("""COMPUTED_VALUE"""),"Linate")</f>
        <v>Linate</v>
      </c>
      <c r="D5333" s="120" t="str">
        <f>IFERROR(__xludf.DUMMYFUNCTION("""COMPUTED_VALUE"""),"Italy")</f>
        <v>Italy</v>
      </c>
      <c r="E5333" s="135"/>
      <c r="F5333" s="31"/>
    </row>
    <row r="5334">
      <c r="A5334" s="134" t="str">
        <f>IFERROR(__xludf.DUMMYFUNCTION("""COMPUTED_VALUE"""),"Milan")</f>
        <v>Milan</v>
      </c>
      <c r="B5334" s="120" t="str">
        <f>IFERROR(__xludf.DUMMYFUNCTION("""COMPUTED_VALUE"""),"MXP")</f>
        <v>MXP</v>
      </c>
      <c r="C5334" s="120" t="str">
        <f>IFERROR(__xludf.DUMMYFUNCTION("""COMPUTED_VALUE"""),"Malpensa")</f>
        <v>Malpensa</v>
      </c>
      <c r="D5334" s="120" t="str">
        <f>IFERROR(__xludf.DUMMYFUNCTION("""COMPUTED_VALUE"""),"Italy")</f>
        <v>Italy</v>
      </c>
      <c r="E5334" s="135"/>
      <c r="F5334" s="31"/>
    </row>
    <row r="5335">
      <c r="A5335" s="134" t="str">
        <f>IFERROR(__xludf.DUMMYFUNCTION("""COMPUTED_VALUE"""),"Milan/bergamo")</f>
        <v>Milan/bergamo</v>
      </c>
      <c r="B5335" s="120" t="str">
        <f>IFERROR(__xludf.DUMMYFUNCTION("""COMPUTED_VALUE"""),"BGY")</f>
        <v>BGY</v>
      </c>
      <c r="C5335" s="120" t="str">
        <f>IFERROR(__xludf.DUMMYFUNCTION("""COMPUTED_VALUE"""),"Orio Al Serio")</f>
        <v>Orio Al Serio</v>
      </c>
      <c r="D5335" s="120" t="str">
        <f>IFERROR(__xludf.DUMMYFUNCTION("""COMPUTED_VALUE"""),"Italy")</f>
        <v>Italy</v>
      </c>
      <c r="E5335" s="135"/>
      <c r="F5335" s="31"/>
    </row>
    <row r="5336">
      <c r="A5336" s="134" t="str">
        <f>IFERROR(__xludf.DUMMYFUNCTION("""COMPUTED_VALUE"""),"Parma")</f>
        <v>Parma</v>
      </c>
      <c r="B5336" s="120" t="str">
        <f>IFERROR(__xludf.DUMMYFUNCTION("""COMPUTED_VALUE"""),"PMF")</f>
        <v>PMF</v>
      </c>
      <c r="C5336" s="120" t="str">
        <f>IFERROR(__xludf.DUMMYFUNCTION("""COMPUTED_VALUE"""),"Giuseppe Verdi")</f>
        <v>Giuseppe Verdi</v>
      </c>
      <c r="D5336" s="120" t="str">
        <f>IFERROR(__xludf.DUMMYFUNCTION("""COMPUTED_VALUE"""),"Italy")</f>
        <v>Italy</v>
      </c>
      <c r="E5336" s="135"/>
      <c r="F5336" s="31"/>
    </row>
    <row r="5337">
      <c r="A5337" s="134" t="str">
        <f>IFERROR(__xludf.DUMMYFUNCTION("""COMPUTED_VALUE"""),"Milan")</f>
        <v>Milan</v>
      </c>
      <c r="B5337" s="120" t="str">
        <f>IFERROR(__xludf.DUMMYFUNCTION("""COMPUTED_VALUE"""),"SWK")</f>
        <v>SWK</v>
      </c>
      <c r="C5337" s="120" t="str">
        <f>IFERROR(__xludf.DUMMYFUNCTION("""COMPUTED_VALUE"""),"Segrate")</f>
        <v>Segrate</v>
      </c>
      <c r="D5337" s="120" t="str">
        <f>IFERROR(__xludf.DUMMYFUNCTION("""COMPUTED_VALUE"""),"Italy")</f>
        <v>Italy</v>
      </c>
      <c r="E5337" s="135"/>
      <c r="F5337" s="31"/>
    </row>
    <row r="5338">
      <c r="A5338" s="134" t="str">
        <f>IFERROR(__xludf.DUMMYFUNCTION("""COMPUTED_VALUE"""),"Mildenhall")</f>
        <v>Mildenhall</v>
      </c>
      <c r="B5338" s="120" t="str">
        <f>IFERROR(__xludf.DUMMYFUNCTION("""COMPUTED_VALUE"""),"MHZ")</f>
        <v>MHZ</v>
      </c>
      <c r="C5338" s="120" t="str">
        <f>IFERROR(__xludf.DUMMYFUNCTION("""COMPUTED_VALUE"""),"Mildenhall Arpt")</f>
        <v>Mildenhall Arpt</v>
      </c>
      <c r="D5338" s="120" t="str">
        <f>IFERROR(__xludf.DUMMYFUNCTION("""COMPUTED_VALUE"""),"United Kingdom")</f>
        <v>United Kingdom</v>
      </c>
      <c r="E5338" s="135"/>
      <c r="F5338" s="31"/>
    </row>
    <row r="5339">
      <c r="A5339" s="134" t="str">
        <f>IFERROR(__xludf.DUMMYFUNCTION("""COMPUTED_VALUE"""),"Mildenhall")</f>
        <v>Mildenhall</v>
      </c>
      <c r="B5339" s="120" t="str">
        <f>IFERROR(__xludf.DUMMYFUNCTION("""COMPUTED_VALUE"""),"GXH")</f>
        <v>GXH</v>
      </c>
      <c r="C5339" s="120" t="str">
        <f>IFERROR(__xludf.DUMMYFUNCTION("""COMPUTED_VALUE"""),"NAF")</f>
        <v>NAF</v>
      </c>
      <c r="D5339" s="120" t="str">
        <f>IFERROR(__xludf.DUMMYFUNCTION("""COMPUTED_VALUE"""),"United Kingdom")</f>
        <v>United Kingdom</v>
      </c>
      <c r="E5339" s="135"/>
      <c r="F5339" s="31"/>
    </row>
    <row r="5340">
      <c r="A5340" s="134" t="str">
        <f>IFERROR(__xludf.DUMMYFUNCTION("""COMPUTED_VALUE"""),"Mildura")</f>
        <v>Mildura</v>
      </c>
      <c r="B5340" s="120" t="str">
        <f>IFERROR(__xludf.DUMMYFUNCTION("""COMPUTED_VALUE"""),"MQL")</f>
        <v>MQL</v>
      </c>
      <c r="C5340" s="120" t="str">
        <f>IFERROR(__xludf.DUMMYFUNCTION("""COMPUTED_VALUE"""),"Mildura")</f>
        <v>Mildura</v>
      </c>
      <c r="D5340" s="120" t="str">
        <f>IFERROR(__xludf.DUMMYFUNCTION("""COMPUTED_VALUE"""),"Australia")</f>
        <v>Australia</v>
      </c>
      <c r="E5340" s="135"/>
      <c r="F5340" s="31"/>
    </row>
    <row r="5341">
      <c r="A5341" s="134" t="str">
        <f>IFERROR(__xludf.DUMMYFUNCTION("""COMPUTED_VALUE"""),"Miles City")</f>
        <v>Miles City</v>
      </c>
      <c r="B5341" s="120" t="str">
        <f>IFERROR(__xludf.DUMMYFUNCTION("""COMPUTED_VALUE"""),"MLS")</f>
        <v>MLS</v>
      </c>
      <c r="C5341" s="120" t="str">
        <f>IFERROR(__xludf.DUMMYFUNCTION("""COMPUTED_VALUE"""),"Municipal")</f>
        <v>Municipal</v>
      </c>
      <c r="D5341" s="120" t="str">
        <f>IFERROR(__xludf.DUMMYFUNCTION("""COMPUTED_VALUE"""),"United States")</f>
        <v>United States</v>
      </c>
      <c r="E5341" s="135"/>
      <c r="F5341" s="31"/>
    </row>
    <row r="5342">
      <c r="A5342" s="134" t="str">
        <f>IFERROR(__xludf.DUMMYFUNCTION("""COMPUTED_VALUE"""),"Milford")</f>
        <v>Milford</v>
      </c>
      <c r="B5342" s="120" t="str">
        <f>IFERROR(__xludf.DUMMYFUNCTION("""COMPUTED_VALUE"""),"MLF")</f>
        <v>MLF</v>
      </c>
      <c r="C5342" s="120" t="str">
        <f>IFERROR(__xludf.DUMMYFUNCTION("""COMPUTED_VALUE"""),"Milford")</f>
        <v>Milford</v>
      </c>
      <c r="D5342" s="120" t="str">
        <f>IFERROR(__xludf.DUMMYFUNCTION("""COMPUTED_VALUE"""),"United States")</f>
        <v>United States</v>
      </c>
      <c r="E5342" s="135"/>
      <c r="F5342" s="31"/>
    </row>
    <row r="5343">
      <c r="A5343" s="134" t="str">
        <f>IFERROR(__xludf.DUMMYFUNCTION("""COMPUTED_VALUE"""),"Milford Sound")</f>
        <v>Milford Sound</v>
      </c>
      <c r="B5343" s="120" t="str">
        <f>IFERROR(__xludf.DUMMYFUNCTION("""COMPUTED_VALUE"""),"MFN")</f>
        <v>MFN</v>
      </c>
      <c r="C5343" s="120" t="str">
        <f>IFERROR(__xludf.DUMMYFUNCTION("""COMPUTED_VALUE"""),"Milford Sound")</f>
        <v>Milford Sound</v>
      </c>
      <c r="D5343" s="120" t="str">
        <f>IFERROR(__xludf.DUMMYFUNCTION("""COMPUTED_VALUE"""),"New Zealand (Aotearoa)")</f>
        <v>New Zealand (Aotearoa)</v>
      </c>
      <c r="E5343" s="135"/>
      <c r="F5343" s="31"/>
    </row>
    <row r="5344">
      <c r="A5344" s="134" t="str">
        <f>IFERROR(__xludf.DUMMYFUNCTION("""COMPUTED_VALUE"""),"Mili Atoll")</f>
        <v>Mili Atoll</v>
      </c>
      <c r="B5344" s="120" t="str">
        <f>IFERROR(__xludf.DUMMYFUNCTION("""COMPUTED_VALUE"""),"EJT")</f>
        <v>EJT</v>
      </c>
      <c r="C5344" s="120" t="str">
        <f>IFERROR(__xludf.DUMMYFUNCTION("""COMPUTED_VALUE"""),"Enijet")</f>
        <v>Enijet</v>
      </c>
      <c r="D5344" s="120" t="str">
        <f>IFERROR(__xludf.DUMMYFUNCTION("""COMPUTED_VALUE"""),"Marshall Islands")</f>
        <v>Marshall Islands</v>
      </c>
      <c r="E5344" s="135"/>
      <c r="F5344" s="31"/>
    </row>
    <row r="5345">
      <c r="A5345" s="134" t="str">
        <f>IFERROR(__xludf.DUMMYFUNCTION("""COMPUTED_VALUE"""),"Mili Island")</f>
        <v>Mili Island</v>
      </c>
      <c r="B5345" s="120" t="str">
        <f>IFERROR(__xludf.DUMMYFUNCTION("""COMPUTED_VALUE"""),"MIJ")</f>
        <v>MIJ</v>
      </c>
      <c r="C5345" s="120" t="str">
        <f>IFERROR(__xludf.DUMMYFUNCTION("""COMPUTED_VALUE"""),"Mili Island")</f>
        <v>Mili Island</v>
      </c>
      <c r="D5345" s="120" t="str">
        <f>IFERROR(__xludf.DUMMYFUNCTION("""COMPUTED_VALUE"""),"Marshall Islands")</f>
        <v>Marshall Islands</v>
      </c>
      <c r="E5345" s="135"/>
      <c r="F5345" s="31"/>
    </row>
    <row r="5346">
      <c r="A5346" s="134" t="str">
        <f>IFERROR(__xludf.DUMMYFUNCTION("""COMPUTED_VALUE"""),"Milingimbi")</f>
        <v>Milingimbi</v>
      </c>
      <c r="B5346" s="120" t="str">
        <f>IFERROR(__xludf.DUMMYFUNCTION("""COMPUTED_VALUE"""),"MGT")</f>
        <v>MGT</v>
      </c>
      <c r="C5346" s="120" t="str">
        <f>IFERROR(__xludf.DUMMYFUNCTION("""COMPUTED_VALUE"""),"Milingimbi")</f>
        <v>Milingimbi</v>
      </c>
      <c r="D5346" s="120" t="str">
        <f>IFERROR(__xludf.DUMMYFUNCTION("""COMPUTED_VALUE"""),"Australia")</f>
        <v>Australia</v>
      </c>
      <c r="E5346" s="135"/>
      <c r="F5346" s="31"/>
    </row>
    <row r="5347">
      <c r="A5347" s="134" t="str">
        <f>IFERROR(__xludf.DUMMYFUNCTION("""COMPUTED_VALUE"""),"Milledgeville")</f>
        <v>Milledgeville</v>
      </c>
      <c r="B5347" s="120" t="str">
        <f>IFERROR(__xludf.DUMMYFUNCTION("""COMPUTED_VALUE"""),"MLJ")</f>
        <v>MLJ</v>
      </c>
      <c r="C5347" s="120" t="str">
        <f>IFERROR(__xludf.DUMMYFUNCTION("""COMPUTED_VALUE"""),"Baldwin County")</f>
        <v>Baldwin County</v>
      </c>
      <c r="D5347" s="120" t="str">
        <f>IFERROR(__xludf.DUMMYFUNCTION("""COMPUTED_VALUE"""),"United States")</f>
        <v>United States</v>
      </c>
      <c r="E5347" s="135"/>
      <c r="F5347" s="31"/>
    </row>
    <row r="5348">
      <c r="A5348" s="134" t="str">
        <f>IFERROR(__xludf.DUMMYFUNCTION("""COMPUTED_VALUE"""),"Millicent")</f>
        <v>Millicent</v>
      </c>
      <c r="B5348" s="120" t="str">
        <f>IFERROR(__xludf.DUMMYFUNCTION("""COMPUTED_VALUE"""),"MLR")</f>
        <v>MLR</v>
      </c>
      <c r="C5348" s="120" t="str">
        <f>IFERROR(__xludf.DUMMYFUNCTION("""COMPUTED_VALUE"""),"Millicent")</f>
        <v>Millicent</v>
      </c>
      <c r="D5348" s="120" t="str">
        <f>IFERROR(__xludf.DUMMYFUNCTION("""COMPUTED_VALUE"""),"Australia")</f>
        <v>Australia</v>
      </c>
      <c r="E5348" s="135"/>
      <c r="F5348" s="31"/>
    </row>
    <row r="5349">
      <c r="A5349" s="134" t="str">
        <f>IFERROR(__xludf.DUMMYFUNCTION("""COMPUTED_VALUE"""),"Millinocket")</f>
        <v>Millinocket</v>
      </c>
      <c r="B5349" s="120" t="str">
        <f>IFERROR(__xludf.DUMMYFUNCTION("""COMPUTED_VALUE"""),"MLT")</f>
        <v>MLT</v>
      </c>
      <c r="C5349" s="120" t="str">
        <f>IFERROR(__xludf.DUMMYFUNCTION("""COMPUTED_VALUE"""),"Millinocket")</f>
        <v>Millinocket</v>
      </c>
      <c r="D5349" s="120" t="str">
        <f>IFERROR(__xludf.DUMMYFUNCTION("""COMPUTED_VALUE"""),"United States")</f>
        <v>United States</v>
      </c>
      <c r="E5349" s="135"/>
      <c r="F5349" s="31"/>
    </row>
    <row r="5350">
      <c r="A5350" s="134" t="str">
        <f>IFERROR(__xludf.DUMMYFUNCTION("""COMPUTED_VALUE"""),"Millville")</f>
        <v>Millville</v>
      </c>
      <c r="B5350" s="120" t="str">
        <f>IFERROR(__xludf.DUMMYFUNCTION("""COMPUTED_VALUE"""),"MIV")</f>
        <v>MIV</v>
      </c>
      <c r="C5350" s="120" t="str">
        <f>IFERROR(__xludf.DUMMYFUNCTION("""COMPUTED_VALUE"""),"Millville")</f>
        <v>Millville</v>
      </c>
      <c r="D5350" s="120" t="str">
        <f>IFERROR(__xludf.DUMMYFUNCTION("""COMPUTED_VALUE"""),"United States")</f>
        <v>United States</v>
      </c>
      <c r="E5350" s="135"/>
      <c r="F5350" s="31"/>
    </row>
    <row r="5351">
      <c r="A5351" s="134" t="str">
        <f>IFERROR(__xludf.DUMMYFUNCTION("""COMPUTED_VALUE"""),"Milos")</f>
        <v>Milos</v>
      </c>
      <c r="B5351" s="120" t="str">
        <f>IFERROR(__xludf.DUMMYFUNCTION("""COMPUTED_VALUE"""),"MLO")</f>
        <v>MLO</v>
      </c>
      <c r="C5351" s="120" t="str">
        <f>IFERROR(__xludf.DUMMYFUNCTION("""COMPUTED_VALUE"""),"Milos")</f>
        <v>Milos</v>
      </c>
      <c r="D5351" s="120" t="str">
        <f>IFERROR(__xludf.DUMMYFUNCTION("""COMPUTED_VALUE"""),"Greece")</f>
        <v>Greece</v>
      </c>
      <c r="E5351" s="135"/>
      <c r="F5351" s="31"/>
    </row>
    <row r="5352">
      <c r="A5352" s="134" t="str">
        <f>IFERROR(__xludf.DUMMYFUNCTION("""COMPUTED_VALUE"""),"Milton")</f>
        <v>Milton</v>
      </c>
      <c r="B5352" s="120" t="str">
        <f>IFERROR(__xludf.DUMMYFUNCTION("""COMPUTED_VALUE"""),"NSE")</f>
        <v>NSE</v>
      </c>
      <c r="C5352" s="120" t="str">
        <f>IFERROR(__xludf.DUMMYFUNCTION("""COMPUTED_VALUE"""),"Whiting Field NAS")</f>
        <v>Whiting Field NAS</v>
      </c>
      <c r="D5352" s="120" t="str">
        <f>IFERROR(__xludf.DUMMYFUNCTION("""COMPUTED_VALUE"""),"United States")</f>
        <v>United States</v>
      </c>
      <c r="E5352" s="135"/>
      <c r="F5352" s="31"/>
    </row>
    <row r="5353">
      <c r="A5353" s="134" t="str">
        <f>IFERROR(__xludf.DUMMYFUNCTION("""COMPUTED_VALUE"""),"Milton Keynes")</f>
        <v>Milton Keynes</v>
      </c>
      <c r="B5353" s="120" t="str">
        <f>IFERROR(__xludf.DUMMYFUNCTION("""COMPUTED_VALUE"""),"KYN")</f>
        <v>KYN</v>
      </c>
      <c r="C5353" s="120" t="str">
        <f>IFERROR(__xludf.DUMMYFUNCTION("""COMPUTED_VALUE"""),"Milton Keynes")</f>
        <v>Milton Keynes</v>
      </c>
      <c r="D5353" s="120" t="str">
        <f>IFERROR(__xludf.DUMMYFUNCTION("""COMPUTED_VALUE"""),"United Kingdom")</f>
        <v>United Kingdom</v>
      </c>
      <c r="E5353" s="135"/>
      <c r="F5353" s="31"/>
    </row>
    <row r="5354">
      <c r="A5354" s="134" t="str">
        <f>IFERROR(__xludf.DUMMYFUNCTION("""COMPUTED_VALUE"""),"Milwaukee")</f>
        <v>Milwaukee</v>
      </c>
      <c r="B5354" s="120" t="str">
        <f>IFERROR(__xludf.DUMMYFUNCTION("""COMPUTED_VALUE"""),"ZML")</f>
        <v>ZML</v>
      </c>
      <c r="C5354" s="120" t="str">
        <f>IFERROR(__xludf.DUMMYFUNCTION("""COMPUTED_VALUE"""),"Milwaukee")</f>
        <v>Milwaukee</v>
      </c>
      <c r="D5354" s="120" t="str">
        <f>IFERROR(__xludf.DUMMYFUNCTION("""COMPUTED_VALUE"""),"United States")</f>
        <v>United States</v>
      </c>
      <c r="E5354" s="135"/>
      <c r="F5354" s="31"/>
    </row>
    <row r="5355">
      <c r="A5355" s="134" t="str">
        <f>IFERROR(__xludf.DUMMYFUNCTION("""COMPUTED_VALUE"""),"Milwaukee")</f>
        <v>Milwaukee</v>
      </c>
      <c r="B5355" s="120" t="str">
        <f>IFERROR(__xludf.DUMMYFUNCTION("""COMPUTED_VALUE"""),"MKE")</f>
        <v>MKE</v>
      </c>
      <c r="C5355" s="120" t="str">
        <f>IFERROR(__xludf.DUMMYFUNCTION("""COMPUTED_VALUE"""),"General Mitchell")</f>
        <v>General Mitchell</v>
      </c>
      <c r="D5355" s="120" t="str">
        <f>IFERROR(__xludf.DUMMYFUNCTION("""COMPUTED_VALUE"""),"United States")</f>
        <v>United States</v>
      </c>
      <c r="E5355" s="135"/>
      <c r="F5355" s="31"/>
    </row>
    <row r="5356">
      <c r="A5356" s="134" t="str">
        <f>IFERROR(__xludf.DUMMYFUNCTION("""COMPUTED_VALUE"""),"Milwaukee")</f>
        <v>Milwaukee</v>
      </c>
      <c r="B5356" s="120" t="str">
        <f>IFERROR(__xludf.DUMMYFUNCTION("""COMPUTED_VALUE"""),"MWC")</f>
        <v>MWC</v>
      </c>
      <c r="C5356" s="120" t="str">
        <f>IFERROR(__xludf.DUMMYFUNCTION("""COMPUTED_VALUE"""),"Lawrence J Timmerman")</f>
        <v>Lawrence J Timmerman</v>
      </c>
      <c r="D5356" s="120" t="str">
        <f>IFERROR(__xludf.DUMMYFUNCTION("""COMPUTED_VALUE"""),"United States")</f>
        <v>United States</v>
      </c>
      <c r="E5356" s="135"/>
      <c r="F5356" s="31"/>
    </row>
    <row r="5357">
      <c r="A5357" s="134" t="str">
        <f>IFERROR(__xludf.DUMMYFUNCTION("""COMPUTED_VALUE"""),"Minacu")</f>
        <v>Minacu</v>
      </c>
      <c r="B5357" s="120" t="str">
        <f>IFERROR(__xludf.DUMMYFUNCTION("""COMPUTED_VALUE"""),"MQH")</f>
        <v>MQH</v>
      </c>
      <c r="C5357" s="120" t="str">
        <f>IFERROR(__xludf.DUMMYFUNCTION("""COMPUTED_VALUE"""),"Municipal")</f>
        <v>Municipal</v>
      </c>
      <c r="D5357" s="120" t="str">
        <f>IFERROR(__xludf.DUMMYFUNCTION("""COMPUTED_VALUE"""),"Brazil")</f>
        <v>Brazil</v>
      </c>
      <c r="E5357" s="135"/>
      <c r="F5357" s="31"/>
    </row>
    <row r="5358">
      <c r="A5358" s="134" t="str">
        <f>IFERROR(__xludf.DUMMYFUNCTION("""COMPUTED_VALUE"""),"Minaki")</f>
        <v>Minaki</v>
      </c>
      <c r="B5358" s="120" t="str">
        <f>IFERROR(__xludf.DUMMYFUNCTION("""COMPUTED_VALUE"""),"YMI")</f>
        <v>YMI</v>
      </c>
      <c r="C5358" s="120" t="str">
        <f>IFERROR(__xludf.DUMMYFUNCTION("""COMPUTED_VALUE"""),"Minaki")</f>
        <v>Minaki</v>
      </c>
      <c r="D5358" s="120" t="str">
        <f>IFERROR(__xludf.DUMMYFUNCTION("""COMPUTED_VALUE"""),"Canada")</f>
        <v>Canada</v>
      </c>
      <c r="E5358" s="135"/>
      <c r="F5358" s="31"/>
    </row>
    <row r="5359">
      <c r="A5359" s="134" t="str">
        <f>IFERROR(__xludf.DUMMYFUNCTION("""COMPUTED_VALUE"""),"Minami Daito")</f>
        <v>Minami Daito</v>
      </c>
      <c r="B5359" s="120" t="str">
        <f>IFERROR(__xludf.DUMMYFUNCTION("""COMPUTED_VALUE"""),"MMD")</f>
        <v>MMD</v>
      </c>
      <c r="C5359" s="120" t="str">
        <f>IFERROR(__xludf.DUMMYFUNCTION("""COMPUTED_VALUE"""),"Maridor")</f>
        <v>Maridor</v>
      </c>
      <c r="D5359" s="120" t="str">
        <f>IFERROR(__xludf.DUMMYFUNCTION("""COMPUTED_VALUE"""),"Japan")</f>
        <v>Japan</v>
      </c>
      <c r="E5359" s="135"/>
      <c r="F5359" s="31"/>
    </row>
    <row r="5360">
      <c r="A5360" s="134" t="str">
        <f>IFERROR(__xludf.DUMMYFUNCTION("""COMPUTED_VALUE"""),"Minatitlan")</f>
        <v>Minatitlan</v>
      </c>
      <c r="B5360" s="120" t="str">
        <f>IFERROR(__xludf.DUMMYFUNCTION("""COMPUTED_VALUE"""),"MTT")</f>
        <v>MTT</v>
      </c>
      <c r="C5360" s="120" t="str">
        <f>IFERROR(__xludf.DUMMYFUNCTION("""COMPUTED_VALUE"""),"Minatitlan")</f>
        <v>Minatitlan</v>
      </c>
      <c r="D5360" s="120" t="str">
        <f>IFERROR(__xludf.DUMMYFUNCTION("""COMPUTED_VALUE"""),"Mexico")</f>
        <v>Mexico</v>
      </c>
      <c r="E5360" s="135"/>
      <c r="F5360" s="31"/>
    </row>
    <row r="5361">
      <c r="A5361" s="134" t="str">
        <f>IFERROR(__xludf.DUMMYFUNCTION("""COMPUTED_VALUE"""),"Minchumina")</f>
        <v>Minchumina</v>
      </c>
      <c r="B5361" s="120" t="str">
        <f>IFERROR(__xludf.DUMMYFUNCTION("""COMPUTED_VALUE"""),"MHM")</f>
        <v>MHM</v>
      </c>
      <c r="C5361" s="120" t="str">
        <f>IFERROR(__xludf.DUMMYFUNCTION("""COMPUTED_VALUE"""),"Intermediate")</f>
        <v>Intermediate</v>
      </c>
      <c r="D5361" s="120" t="str">
        <f>IFERROR(__xludf.DUMMYFUNCTION("""COMPUTED_VALUE"""),"United States")</f>
        <v>United States</v>
      </c>
      <c r="E5361" s="135"/>
      <c r="F5361" s="31"/>
    </row>
    <row r="5362">
      <c r="A5362" s="134" t="str">
        <f>IFERROR(__xludf.DUMMYFUNCTION("""COMPUTED_VALUE"""),"Minden")</f>
        <v>Minden</v>
      </c>
      <c r="B5362" s="120" t="str">
        <f>IFERROR(__xludf.DUMMYFUNCTION("""COMPUTED_VALUE"""),"MEV")</f>
        <v>MEV</v>
      </c>
      <c r="C5362" s="120" t="str">
        <f>IFERROR(__xludf.DUMMYFUNCTION("""COMPUTED_VALUE"""),"Douglas County")</f>
        <v>Douglas County</v>
      </c>
      <c r="D5362" s="120" t="str">
        <f>IFERROR(__xludf.DUMMYFUNCTION("""COMPUTED_VALUE"""),"United States")</f>
        <v>United States</v>
      </c>
      <c r="E5362" s="135"/>
      <c r="F5362" s="31"/>
    </row>
    <row r="5363">
      <c r="A5363" s="134" t="str">
        <f>IFERROR(__xludf.DUMMYFUNCTION("""COMPUTED_VALUE"""),"Mindik")</f>
        <v>Mindik</v>
      </c>
      <c r="B5363" s="120" t="str">
        <f>IFERROR(__xludf.DUMMYFUNCTION("""COMPUTED_VALUE"""),"MXK")</f>
        <v>MXK</v>
      </c>
      <c r="C5363" s="120" t="str">
        <f>IFERROR(__xludf.DUMMYFUNCTION("""COMPUTED_VALUE"""),"Mindik")</f>
        <v>Mindik</v>
      </c>
      <c r="D5363" s="120" t="str">
        <f>IFERROR(__xludf.DUMMYFUNCTION("""COMPUTED_VALUE"""),"Papua New Guinea")</f>
        <v>Papua New Guinea</v>
      </c>
      <c r="E5363" s="135"/>
      <c r="F5363" s="31"/>
    </row>
    <row r="5364">
      <c r="A5364" s="134" t="str">
        <f>IFERROR(__xludf.DUMMYFUNCTION("""COMPUTED_VALUE"""),"Mindiptana")</f>
        <v>Mindiptana</v>
      </c>
      <c r="B5364" s="120" t="str">
        <f>IFERROR(__xludf.DUMMYFUNCTION("""COMPUTED_VALUE"""),"MDP")</f>
        <v>MDP</v>
      </c>
      <c r="C5364" s="120" t="str">
        <f>IFERROR(__xludf.DUMMYFUNCTION("""COMPUTED_VALUE"""),"Mindiptana")</f>
        <v>Mindiptana</v>
      </c>
      <c r="D5364" s="120" t="str">
        <f>IFERROR(__xludf.DUMMYFUNCTION("""COMPUTED_VALUE"""),"Indonesia")</f>
        <v>Indonesia</v>
      </c>
      <c r="E5364" s="135"/>
      <c r="F5364" s="31"/>
    </row>
    <row r="5365">
      <c r="A5365" s="134" t="str">
        <f>IFERROR(__xludf.DUMMYFUNCTION("""COMPUTED_VALUE"""),"Mineral Wells")</f>
        <v>Mineral Wells</v>
      </c>
      <c r="B5365" s="120" t="str">
        <f>IFERROR(__xludf.DUMMYFUNCTION("""COMPUTED_VALUE"""),"CWO")</f>
        <v>CWO</v>
      </c>
      <c r="C5365" s="120" t="str">
        <f>IFERROR(__xludf.DUMMYFUNCTION("""COMPUTED_VALUE"""),"Ft Wolter AAF")</f>
        <v>Ft Wolter AAF</v>
      </c>
      <c r="D5365" s="120" t="str">
        <f>IFERROR(__xludf.DUMMYFUNCTION("""COMPUTED_VALUE"""),"United States")</f>
        <v>United States</v>
      </c>
      <c r="E5365" s="135"/>
      <c r="F5365" s="31"/>
    </row>
    <row r="5366">
      <c r="A5366" s="134" t="str">
        <f>IFERROR(__xludf.DUMMYFUNCTION("""COMPUTED_VALUE"""),"Mineral Wells")</f>
        <v>Mineral Wells</v>
      </c>
      <c r="B5366" s="120" t="str">
        <f>IFERROR(__xludf.DUMMYFUNCTION("""COMPUTED_VALUE"""),"MWL")</f>
        <v>MWL</v>
      </c>
      <c r="C5366" s="120" t="str">
        <f>IFERROR(__xludf.DUMMYFUNCTION("""COMPUTED_VALUE"""),"Mineral Wells Arpt")</f>
        <v>Mineral Wells Arpt</v>
      </c>
      <c r="D5366" s="120" t="str">
        <f>IFERROR(__xludf.DUMMYFUNCTION("""COMPUTED_VALUE"""),"United States")</f>
        <v>United States</v>
      </c>
      <c r="E5366" s="135"/>
      <c r="F5366" s="31"/>
    </row>
    <row r="5367">
      <c r="A5367" s="134" t="str">
        <f>IFERROR(__xludf.DUMMYFUNCTION("""COMPUTED_VALUE"""),"Mineralnye Vody")</f>
        <v>Mineralnye Vody</v>
      </c>
      <c r="B5367" s="120" t="str">
        <f>IFERROR(__xludf.DUMMYFUNCTION("""COMPUTED_VALUE"""),"MRV")</f>
        <v>MRV</v>
      </c>
      <c r="C5367" s="120" t="str">
        <f>IFERROR(__xludf.DUMMYFUNCTION("""COMPUTED_VALUE"""),"Mineralnye Vody")</f>
        <v>Mineralnye Vody</v>
      </c>
      <c r="D5367" s="120" t="str">
        <f>IFERROR(__xludf.DUMMYFUNCTION("""COMPUTED_VALUE"""),"Russia")</f>
        <v>Russia</v>
      </c>
      <c r="E5367" s="135"/>
      <c r="F5367" s="31"/>
    </row>
    <row r="5368">
      <c r="A5368" s="134" t="str">
        <f>IFERROR(__xludf.DUMMYFUNCTION("""COMPUTED_VALUE"""),"Miners Bay")</f>
        <v>Miners Bay</v>
      </c>
      <c r="B5368" s="120" t="str">
        <f>IFERROR(__xludf.DUMMYFUNCTION("""COMPUTED_VALUE"""),"YAV")</f>
        <v>YAV</v>
      </c>
      <c r="C5368" s="120" t="str">
        <f>IFERROR(__xludf.DUMMYFUNCTION("""COMPUTED_VALUE"""),"Miners Bay")</f>
        <v>Miners Bay</v>
      </c>
      <c r="D5368" s="120" t="str">
        <f>IFERROR(__xludf.DUMMYFUNCTION("""COMPUTED_VALUE"""),"Canada")</f>
        <v>Canada</v>
      </c>
      <c r="E5368" s="135"/>
      <c r="F5368" s="31"/>
    </row>
    <row r="5369">
      <c r="A5369" s="134" t="str">
        <f>IFERROR(__xludf.DUMMYFUNCTION("""COMPUTED_VALUE"""),"Miners Lake")</f>
        <v>Miners Lake</v>
      </c>
      <c r="B5369" s="120" t="str">
        <f>IFERROR(__xludf.DUMMYFUNCTION("""COMPUTED_VALUE"""),"MRL")</f>
        <v>MRL</v>
      </c>
      <c r="C5369" s="120" t="str">
        <f>IFERROR(__xludf.DUMMYFUNCTION("""COMPUTED_VALUE"""),"Miners Lake")</f>
        <v>Miners Lake</v>
      </c>
      <c r="D5369" s="120" t="str">
        <f>IFERROR(__xludf.DUMMYFUNCTION("""COMPUTED_VALUE"""),"Australia")</f>
        <v>Australia</v>
      </c>
      <c r="E5369" s="135"/>
      <c r="F5369" s="31"/>
    </row>
    <row r="5370">
      <c r="A5370" s="134" t="str">
        <f>IFERROR(__xludf.DUMMYFUNCTION("""COMPUTED_VALUE"""),"Mingan")</f>
        <v>Mingan</v>
      </c>
      <c r="B5370" s="120" t="str">
        <f>IFERROR(__xludf.DUMMYFUNCTION("""COMPUTED_VALUE"""),"YLP")</f>
        <v>YLP</v>
      </c>
      <c r="C5370" s="120" t="str">
        <f>IFERROR(__xludf.DUMMYFUNCTION("""COMPUTED_VALUE"""),"Mingan")</f>
        <v>Mingan</v>
      </c>
      <c r="D5370" s="120" t="str">
        <f>IFERROR(__xludf.DUMMYFUNCTION("""COMPUTED_VALUE"""),"Canada")</f>
        <v>Canada</v>
      </c>
      <c r="E5370" s="135"/>
      <c r="F5370" s="31"/>
    </row>
    <row r="5371">
      <c r="A5371" s="134" t="str">
        <f>IFERROR(__xludf.DUMMYFUNCTION("""COMPUTED_VALUE"""),"Minhad Ab")</f>
        <v>Minhad Ab</v>
      </c>
      <c r="B5371" s="120" t="str">
        <f>IFERROR(__xludf.DUMMYFUNCTION("""COMPUTED_VALUE"""),"NHD")</f>
        <v>NHD</v>
      </c>
      <c r="C5371" s="120" t="str">
        <f>IFERROR(__xludf.DUMMYFUNCTION("""COMPUTED_VALUE"""),"Military Airport")</f>
        <v>Military Airport</v>
      </c>
      <c r="D5371" s="120" t="str">
        <f>IFERROR(__xludf.DUMMYFUNCTION("""COMPUTED_VALUE"""),"United Arab Emirates")</f>
        <v>United Arab Emirates</v>
      </c>
      <c r="E5371" s="135"/>
      <c r="F5371" s="31"/>
    </row>
    <row r="5372">
      <c r="A5372" s="134" t="str">
        <f>IFERROR(__xludf.DUMMYFUNCTION("""COMPUTED_VALUE"""),"Minj")</f>
        <v>Minj</v>
      </c>
      <c r="B5372" s="120" t="str">
        <f>IFERROR(__xludf.DUMMYFUNCTION("""COMPUTED_VALUE"""),"MZN")</f>
        <v>MZN</v>
      </c>
      <c r="C5372" s="120" t="str">
        <f>IFERROR(__xludf.DUMMYFUNCTION("""COMPUTED_VALUE"""),"Minj")</f>
        <v>Minj</v>
      </c>
      <c r="D5372" s="120" t="str">
        <f>IFERROR(__xludf.DUMMYFUNCTION("""COMPUTED_VALUE"""),"Papua New Guinea")</f>
        <v>Papua New Guinea</v>
      </c>
      <c r="E5372" s="135"/>
      <c r="F5372" s="31"/>
    </row>
    <row r="5373">
      <c r="A5373" s="134" t="str">
        <f>IFERROR(__xludf.DUMMYFUNCTION("""COMPUTED_VALUE"""),"Minlaton")</f>
        <v>Minlaton</v>
      </c>
      <c r="B5373" s="120" t="str">
        <f>IFERROR(__xludf.DUMMYFUNCTION("""COMPUTED_VALUE"""),"XML")</f>
        <v>XML</v>
      </c>
      <c r="C5373" s="120" t="str">
        <f>IFERROR(__xludf.DUMMYFUNCTION("""COMPUTED_VALUE"""),"Minlaton")</f>
        <v>Minlaton</v>
      </c>
      <c r="D5373" s="120" t="str">
        <f>IFERROR(__xludf.DUMMYFUNCTION("""COMPUTED_VALUE"""),"Australia")</f>
        <v>Australia</v>
      </c>
      <c r="E5373" s="135"/>
      <c r="F5373" s="31"/>
    </row>
    <row r="5374">
      <c r="A5374" s="134" t="str">
        <f>IFERROR(__xludf.DUMMYFUNCTION("""COMPUTED_VALUE"""),"Minna")</f>
        <v>Minna</v>
      </c>
      <c r="B5374" s="120" t="str">
        <f>IFERROR(__xludf.DUMMYFUNCTION("""COMPUTED_VALUE"""),"MXJ")</f>
        <v>MXJ</v>
      </c>
      <c r="C5374" s="120" t="str">
        <f>IFERROR(__xludf.DUMMYFUNCTION("""COMPUTED_VALUE"""),"Minna")</f>
        <v>Minna</v>
      </c>
      <c r="D5374" s="120" t="str">
        <f>IFERROR(__xludf.DUMMYFUNCTION("""COMPUTED_VALUE"""),"Nigeria")</f>
        <v>Nigeria</v>
      </c>
      <c r="E5374" s="135"/>
      <c r="F5374" s="31"/>
    </row>
    <row r="5375">
      <c r="A5375" s="134" t="str">
        <f>IFERROR(__xludf.DUMMYFUNCTION("""COMPUTED_VALUE"""),"Minneapolis")</f>
        <v>Minneapolis</v>
      </c>
      <c r="B5375" s="120" t="str">
        <f>IFERROR(__xludf.DUMMYFUNCTION("""COMPUTED_VALUE"""),"MIC")</f>
        <v>MIC</v>
      </c>
      <c r="C5375" s="120" t="str">
        <f>IFERROR(__xludf.DUMMYFUNCTION("""COMPUTED_VALUE"""),"Crystal")</f>
        <v>Crystal</v>
      </c>
      <c r="D5375" s="120" t="str">
        <f>IFERROR(__xludf.DUMMYFUNCTION("""COMPUTED_VALUE"""),"United States")</f>
        <v>United States</v>
      </c>
      <c r="E5375" s="135"/>
      <c r="F5375" s="31"/>
    </row>
    <row r="5376">
      <c r="A5376" s="134" t="str">
        <f>IFERROR(__xludf.DUMMYFUNCTION("""COMPUTED_VALUE"""),"Minneapolis")</f>
        <v>Minneapolis</v>
      </c>
      <c r="B5376" s="120" t="str">
        <f>IFERROR(__xludf.DUMMYFUNCTION("""COMPUTED_VALUE"""),"JDT")</f>
        <v>JDT</v>
      </c>
      <c r="C5376" s="120" t="str">
        <f>IFERROR(__xludf.DUMMYFUNCTION("""COMPUTED_VALUE"""),"Downtown Heliport")</f>
        <v>Downtown Heliport</v>
      </c>
      <c r="D5376" s="120" t="str">
        <f>IFERROR(__xludf.DUMMYFUNCTION("""COMPUTED_VALUE"""),"United States")</f>
        <v>United States</v>
      </c>
      <c r="E5376" s="135"/>
      <c r="F5376" s="31"/>
    </row>
    <row r="5377">
      <c r="A5377" s="134" t="str">
        <f>IFERROR(__xludf.DUMMYFUNCTION("""COMPUTED_VALUE"""),"Minneapolis")</f>
        <v>Minneapolis</v>
      </c>
      <c r="B5377" s="120" t="str">
        <f>IFERROR(__xludf.DUMMYFUNCTION("""COMPUTED_VALUE"""),"FCM")</f>
        <v>FCM</v>
      </c>
      <c r="C5377" s="120" t="str">
        <f>IFERROR(__xludf.DUMMYFUNCTION("""COMPUTED_VALUE"""),"Flying Cloud")</f>
        <v>Flying Cloud</v>
      </c>
      <c r="D5377" s="120" t="str">
        <f>IFERROR(__xludf.DUMMYFUNCTION("""COMPUTED_VALUE"""),"United States")</f>
        <v>United States</v>
      </c>
      <c r="E5377" s="135"/>
      <c r="F5377" s="31"/>
    </row>
    <row r="5378">
      <c r="A5378" s="134" t="str">
        <f>IFERROR(__xludf.DUMMYFUNCTION("""COMPUTED_VALUE"""),"Minneapolis")</f>
        <v>Minneapolis</v>
      </c>
      <c r="B5378" s="120" t="str">
        <f>IFERROR(__xludf.DUMMYFUNCTION("""COMPUTED_VALUE"""),"MSP")</f>
        <v>MSP</v>
      </c>
      <c r="C5378" s="120" t="str">
        <f>IFERROR(__xludf.DUMMYFUNCTION("""COMPUTED_VALUE"""),"St Paul Intl")</f>
        <v>St Paul Intl</v>
      </c>
      <c r="D5378" s="120" t="str">
        <f>IFERROR(__xludf.DUMMYFUNCTION("""COMPUTED_VALUE"""),"United States")</f>
        <v>United States</v>
      </c>
      <c r="E5378" s="135"/>
      <c r="F5378" s="31"/>
    </row>
    <row r="5379">
      <c r="A5379" s="134" t="str">
        <f>IFERROR(__xludf.DUMMYFUNCTION("""COMPUTED_VALUE"""),"Minneriya")</f>
        <v>Minneriya</v>
      </c>
      <c r="B5379" s="120" t="str">
        <f>IFERROR(__xludf.DUMMYFUNCTION("""COMPUTED_VALUE"""),"MNH")</f>
        <v>MNH</v>
      </c>
      <c r="C5379" s="120" t="str">
        <f>IFERROR(__xludf.DUMMYFUNCTION("""COMPUTED_VALUE"""),"Minneriya")</f>
        <v>Minneriya</v>
      </c>
      <c r="D5379" s="120" t="str">
        <f>IFERROR(__xludf.DUMMYFUNCTION("""COMPUTED_VALUE"""),"Sri Lanka")</f>
        <v>Sri Lanka</v>
      </c>
      <c r="E5379" s="135"/>
      <c r="F5379" s="31"/>
    </row>
    <row r="5380">
      <c r="A5380" s="134" t="str">
        <f>IFERROR(__xludf.DUMMYFUNCTION("""COMPUTED_VALUE"""),"Minnipa")</f>
        <v>Minnipa</v>
      </c>
      <c r="B5380" s="120" t="str">
        <f>IFERROR(__xludf.DUMMYFUNCTION("""COMPUTED_VALUE"""),"MIN")</f>
        <v>MIN</v>
      </c>
      <c r="C5380" s="120" t="str">
        <f>IFERROR(__xludf.DUMMYFUNCTION("""COMPUTED_VALUE"""),"Minnipa")</f>
        <v>Minnipa</v>
      </c>
      <c r="D5380" s="120" t="str">
        <f>IFERROR(__xludf.DUMMYFUNCTION("""COMPUTED_VALUE"""),"Australia")</f>
        <v>Australia</v>
      </c>
      <c r="E5380" s="135"/>
      <c r="F5380" s="31"/>
    </row>
    <row r="5381">
      <c r="A5381" s="134" t="str">
        <f>IFERROR(__xludf.DUMMYFUNCTION("""COMPUTED_VALUE"""),"Minocqua")</f>
        <v>Minocqua</v>
      </c>
      <c r="B5381" s="120" t="str">
        <f>IFERROR(__xludf.DUMMYFUNCTION("""COMPUTED_VALUE"""),"ARV")</f>
        <v>ARV</v>
      </c>
      <c r="C5381" s="120" t="str">
        <f>IFERROR(__xludf.DUMMYFUNCTION("""COMPUTED_VALUE"""),"Noble F. Lee")</f>
        <v>Noble F. Lee</v>
      </c>
      <c r="D5381" s="120" t="str">
        <f>IFERROR(__xludf.DUMMYFUNCTION("""COMPUTED_VALUE"""),"United States")</f>
        <v>United States</v>
      </c>
      <c r="E5381" s="135"/>
      <c r="F5381" s="31"/>
    </row>
    <row r="5382">
      <c r="A5382" s="134" t="str">
        <f>IFERROR(__xludf.DUMMYFUNCTION("""COMPUTED_VALUE"""),"Minot")</f>
        <v>Minot</v>
      </c>
      <c r="B5382" s="120" t="str">
        <f>IFERROR(__xludf.DUMMYFUNCTION("""COMPUTED_VALUE"""),"MOT")</f>
        <v>MOT</v>
      </c>
      <c r="C5382" s="120" t="str">
        <f>IFERROR(__xludf.DUMMYFUNCTION("""COMPUTED_VALUE"""),"International")</f>
        <v>International</v>
      </c>
      <c r="D5382" s="120" t="str">
        <f>IFERROR(__xludf.DUMMYFUNCTION("""COMPUTED_VALUE"""),"United States")</f>
        <v>United States</v>
      </c>
      <c r="E5382" s="135"/>
      <c r="F5382" s="31"/>
    </row>
    <row r="5383">
      <c r="A5383" s="134" t="str">
        <f>IFERROR(__xludf.DUMMYFUNCTION("""COMPUTED_VALUE"""),"Minot")</f>
        <v>Minot</v>
      </c>
      <c r="B5383" s="120" t="str">
        <f>IFERROR(__xludf.DUMMYFUNCTION("""COMPUTED_VALUE"""),"MIB")</f>
        <v>MIB</v>
      </c>
      <c r="C5383" s="120" t="str">
        <f>IFERROR(__xludf.DUMMYFUNCTION("""COMPUTED_VALUE"""),"Minot AFB")</f>
        <v>Minot AFB</v>
      </c>
      <c r="D5383" s="120" t="str">
        <f>IFERROR(__xludf.DUMMYFUNCTION("""COMPUTED_VALUE"""),"United States")</f>
        <v>United States</v>
      </c>
      <c r="E5383" s="135"/>
      <c r="F5383" s="31"/>
    </row>
    <row r="5384">
      <c r="A5384" s="134" t="str">
        <f>IFERROR(__xludf.DUMMYFUNCTION("""COMPUTED_VALUE"""),"Minsk")</f>
        <v>Minsk</v>
      </c>
      <c r="B5384" s="120" t="str">
        <f>IFERROR(__xludf.DUMMYFUNCTION("""COMPUTED_VALUE"""),"MHP")</f>
        <v>MHP</v>
      </c>
      <c r="C5384" s="120" t="str">
        <f>IFERROR(__xludf.DUMMYFUNCTION("""COMPUTED_VALUE"""),"Minsk International 1")</f>
        <v>Minsk International 1</v>
      </c>
      <c r="D5384" s="120" t="str">
        <f>IFERROR(__xludf.DUMMYFUNCTION("""COMPUTED_VALUE"""),"Belarus")</f>
        <v>Belarus</v>
      </c>
      <c r="E5384" s="135"/>
      <c r="F5384" s="31"/>
    </row>
    <row r="5385">
      <c r="A5385" s="134" t="str">
        <f>IFERROR(__xludf.DUMMYFUNCTION("""COMPUTED_VALUE"""),"Minsk")</f>
        <v>Minsk</v>
      </c>
      <c r="B5385" s="120" t="str">
        <f>IFERROR(__xludf.DUMMYFUNCTION("""COMPUTED_VALUE"""),"MSQ")</f>
        <v>MSQ</v>
      </c>
      <c r="C5385" s="120" t="str">
        <f>IFERROR(__xludf.DUMMYFUNCTION("""COMPUTED_VALUE"""),"Minsk International 2")</f>
        <v>Minsk International 2</v>
      </c>
      <c r="D5385" s="120" t="str">
        <f>IFERROR(__xludf.DUMMYFUNCTION("""COMPUTED_VALUE"""),"Belarus")</f>
        <v>Belarus</v>
      </c>
      <c r="E5385" s="135"/>
      <c r="F5385" s="31"/>
    </row>
    <row r="5386">
      <c r="A5386" s="134" t="str">
        <f>IFERROR(__xludf.DUMMYFUNCTION("""COMPUTED_VALUE"""),"Minto")</f>
        <v>Minto</v>
      </c>
      <c r="B5386" s="120" t="str">
        <f>IFERROR(__xludf.DUMMYFUNCTION("""COMPUTED_VALUE"""),"MNT")</f>
        <v>MNT</v>
      </c>
      <c r="C5386" s="120" t="str">
        <f>IFERROR(__xludf.DUMMYFUNCTION("""COMPUTED_VALUE"""),"Minto")</f>
        <v>Minto</v>
      </c>
      <c r="D5386" s="120" t="str">
        <f>IFERROR(__xludf.DUMMYFUNCTION("""COMPUTED_VALUE"""),"United States")</f>
        <v>United States</v>
      </c>
      <c r="E5386" s="135"/>
      <c r="F5386" s="31"/>
    </row>
    <row r="5387">
      <c r="A5387" s="134" t="str">
        <f>IFERROR(__xludf.DUMMYFUNCTION("""COMPUTED_VALUE"""),"Minvoul")</f>
        <v>Minvoul</v>
      </c>
      <c r="B5387" s="120" t="str">
        <f>IFERROR(__xludf.DUMMYFUNCTION("""COMPUTED_VALUE"""),"MVX")</f>
        <v>MVX</v>
      </c>
      <c r="C5387" s="120" t="str">
        <f>IFERROR(__xludf.DUMMYFUNCTION("""COMPUTED_VALUE"""),"Minvoul")</f>
        <v>Minvoul</v>
      </c>
      <c r="D5387" s="120" t="str">
        <f>IFERROR(__xludf.DUMMYFUNCTION("""COMPUTED_VALUE"""),"Gabon")</f>
        <v>Gabon</v>
      </c>
      <c r="E5387" s="135"/>
      <c r="F5387" s="31"/>
    </row>
    <row r="5388">
      <c r="A5388" s="134" t="str">
        <f>IFERROR(__xludf.DUMMYFUNCTION("""COMPUTED_VALUE"""),"Miquelon")</f>
        <v>Miquelon</v>
      </c>
      <c r="B5388" s="120" t="str">
        <f>IFERROR(__xludf.DUMMYFUNCTION("""COMPUTED_VALUE"""),"MQC")</f>
        <v>MQC</v>
      </c>
      <c r="C5388" s="120" t="str">
        <f>IFERROR(__xludf.DUMMYFUNCTION("""COMPUTED_VALUE"""),"Miquelon Aprt")</f>
        <v>Miquelon Aprt</v>
      </c>
      <c r="D5388" s="120" t="str">
        <f>IFERROR(__xludf.DUMMYFUNCTION("""COMPUTED_VALUE"""),"St. Pierre and Miquelon")</f>
        <v>St. Pierre and Miquelon</v>
      </c>
      <c r="E5388" s="135"/>
      <c r="F5388" s="31"/>
    </row>
    <row r="5389">
      <c r="A5389" s="134" t="str">
        <f>IFERROR(__xludf.DUMMYFUNCTION("""COMPUTED_VALUE"""),"Miracema Do Norte")</f>
        <v>Miracema Do Norte</v>
      </c>
      <c r="B5389" s="120" t="str">
        <f>IFERROR(__xludf.DUMMYFUNCTION("""COMPUTED_VALUE"""),"NTM")</f>
        <v>NTM</v>
      </c>
      <c r="C5389" s="120" t="str">
        <f>IFERROR(__xludf.DUMMYFUNCTION("""COMPUTED_VALUE"""),"Miracema Do Norte")</f>
        <v>Miracema Do Norte</v>
      </c>
      <c r="D5389" s="120" t="str">
        <f>IFERROR(__xludf.DUMMYFUNCTION("""COMPUTED_VALUE"""),"Brazil")</f>
        <v>Brazil</v>
      </c>
      <c r="E5389" s="135"/>
      <c r="F5389" s="31"/>
    </row>
    <row r="5390">
      <c r="A5390" s="134" t="str">
        <f>IFERROR(__xludf.DUMMYFUNCTION("""COMPUTED_VALUE"""),"Miraflores")</f>
        <v>Miraflores</v>
      </c>
      <c r="B5390" s="120" t="str">
        <f>IFERROR(__xludf.DUMMYFUNCTION("""COMPUTED_VALUE"""),"MFS")</f>
        <v>MFS</v>
      </c>
      <c r="C5390" s="120" t="str">
        <f>IFERROR(__xludf.DUMMYFUNCTION("""COMPUTED_VALUE"""),"Miraflores")</f>
        <v>Miraflores</v>
      </c>
      <c r="D5390" s="120" t="str">
        <f>IFERROR(__xludf.DUMMYFUNCTION("""COMPUTED_VALUE"""),"Colombia")</f>
        <v>Colombia</v>
      </c>
      <c r="E5390" s="135"/>
      <c r="F5390" s="31"/>
    </row>
    <row r="5391">
      <c r="A5391" s="134" t="str">
        <f>IFERROR(__xludf.DUMMYFUNCTION("""COMPUTED_VALUE"""),"Miramar")</f>
        <v>Miramar</v>
      </c>
      <c r="B5391" s="120" t="str">
        <f>IFERROR(__xludf.DUMMYFUNCTION("""COMPUTED_VALUE"""),"MJR")</f>
        <v>MJR</v>
      </c>
      <c r="C5391" s="120" t="str">
        <f>IFERROR(__xludf.DUMMYFUNCTION("""COMPUTED_VALUE"""),"Miramar")</f>
        <v>Miramar</v>
      </c>
      <c r="D5391" s="120" t="str">
        <f>IFERROR(__xludf.DUMMYFUNCTION("""COMPUTED_VALUE"""),"Argentina")</f>
        <v>Argentina</v>
      </c>
      <c r="E5391" s="135"/>
      <c r="F5391" s="31"/>
    </row>
    <row r="5392">
      <c r="A5392" s="134" t="str">
        <f>IFERROR(__xludf.DUMMYFUNCTION("""COMPUTED_VALUE"""),"Miramichi")</f>
        <v>Miramichi</v>
      </c>
      <c r="B5392" s="120" t="str">
        <f>IFERROR(__xludf.DUMMYFUNCTION("""COMPUTED_VALUE"""),"YCH")</f>
        <v>YCH</v>
      </c>
      <c r="C5392" s="120" t="str">
        <f>IFERROR(__xludf.DUMMYFUNCTION("""COMPUTED_VALUE"""),"Miramichi")</f>
        <v>Miramichi</v>
      </c>
      <c r="D5392" s="120" t="str">
        <f>IFERROR(__xludf.DUMMYFUNCTION("""COMPUTED_VALUE"""),"Canada")</f>
        <v>Canada</v>
      </c>
      <c r="E5392" s="135"/>
      <c r="F5392" s="31"/>
    </row>
    <row r="5393">
      <c r="A5393" s="134" t="str">
        <f>IFERROR(__xludf.DUMMYFUNCTION("""COMPUTED_VALUE"""),"Miranda Downs")</f>
        <v>Miranda Downs</v>
      </c>
      <c r="B5393" s="120" t="str">
        <f>IFERROR(__xludf.DUMMYFUNCTION("""COMPUTED_VALUE"""),"MWY")</f>
        <v>MWY</v>
      </c>
      <c r="C5393" s="120" t="str">
        <f>IFERROR(__xludf.DUMMYFUNCTION("""COMPUTED_VALUE"""),"Miranda Downs")</f>
        <v>Miranda Downs</v>
      </c>
      <c r="D5393" s="120" t="str">
        <f>IFERROR(__xludf.DUMMYFUNCTION("""COMPUTED_VALUE"""),"Australia")</f>
        <v>Australia</v>
      </c>
      <c r="E5393" s="135"/>
      <c r="F5393" s="31"/>
    </row>
    <row r="5394">
      <c r="A5394" s="134" t="str">
        <f>IFERROR(__xludf.DUMMYFUNCTION("""COMPUTED_VALUE"""),"Mirgorod")</f>
        <v>Mirgorod</v>
      </c>
      <c r="B5394" s="120" t="str">
        <f>IFERROR(__xludf.DUMMYFUNCTION("""COMPUTED_VALUE"""),"MXR")</f>
        <v>MXR</v>
      </c>
      <c r="C5394" s="120" t="str">
        <f>IFERROR(__xludf.DUMMYFUNCTION("""COMPUTED_VALUE"""),"Mirgorod")</f>
        <v>Mirgorod</v>
      </c>
      <c r="D5394" s="120" t="str">
        <f>IFERROR(__xludf.DUMMYFUNCTION("""COMPUTED_VALUE"""),"Ukraine")</f>
        <v>Ukraine</v>
      </c>
      <c r="E5394" s="135"/>
      <c r="F5394" s="31"/>
    </row>
    <row r="5395">
      <c r="A5395" s="134" t="str">
        <f>IFERROR(__xludf.DUMMYFUNCTION("""COMPUTED_VALUE"""),"Miri")</f>
        <v>Miri</v>
      </c>
      <c r="B5395" s="120" t="str">
        <f>IFERROR(__xludf.DUMMYFUNCTION("""COMPUTED_VALUE"""),"MYY")</f>
        <v>MYY</v>
      </c>
      <c r="C5395" s="120" t="str">
        <f>IFERROR(__xludf.DUMMYFUNCTION("""COMPUTED_VALUE"""),"Miri")</f>
        <v>Miri</v>
      </c>
      <c r="D5395" s="120" t="str">
        <f>IFERROR(__xludf.DUMMYFUNCTION("""COMPUTED_VALUE"""),"Malaysia")</f>
        <v>Malaysia</v>
      </c>
      <c r="E5395" s="135"/>
      <c r="F5395" s="31"/>
    </row>
    <row r="5396">
      <c r="A5396" s="134" t="str">
        <f>IFERROR(__xludf.DUMMYFUNCTION("""COMPUTED_VALUE"""),"Miriti")</f>
        <v>Miriti</v>
      </c>
      <c r="B5396" s="120" t="str">
        <f>IFERROR(__xludf.DUMMYFUNCTION("""COMPUTED_VALUE"""),"MIX")</f>
        <v>MIX</v>
      </c>
      <c r="C5396" s="120" t="str">
        <f>IFERROR(__xludf.DUMMYFUNCTION("""COMPUTED_VALUE"""),"Miriti")</f>
        <v>Miriti</v>
      </c>
      <c r="D5396" s="120" t="str">
        <f>IFERROR(__xludf.DUMMYFUNCTION("""COMPUTED_VALUE"""),"Colombia")</f>
        <v>Colombia</v>
      </c>
      <c r="E5396" s="135"/>
      <c r="F5396" s="31"/>
    </row>
    <row r="5397">
      <c r="A5397" s="134" t="str">
        <f>IFERROR(__xludf.DUMMYFUNCTION("""COMPUTED_VALUE"""),"Mirnyj")</f>
        <v>Mirnyj</v>
      </c>
      <c r="B5397" s="120" t="str">
        <f>IFERROR(__xludf.DUMMYFUNCTION("""COMPUTED_VALUE"""),"MJZ")</f>
        <v>MJZ</v>
      </c>
      <c r="C5397" s="120" t="str">
        <f>IFERROR(__xludf.DUMMYFUNCTION("""COMPUTED_VALUE"""),"Mirnyj")</f>
        <v>Mirnyj</v>
      </c>
      <c r="D5397" s="120" t="str">
        <f>IFERROR(__xludf.DUMMYFUNCTION("""COMPUTED_VALUE"""),"Russia")</f>
        <v>Russia</v>
      </c>
      <c r="E5397" s="135"/>
      <c r="F5397" s="31"/>
    </row>
    <row r="5398">
      <c r="A5398" s="134" t="str">
        <f>IFERROR(__xludf.DUMMYFUNCTION("""COMPUTED_VALUE"""),"Mirpur Khas")</f>
        <v>Mirpur Khas</v>
      </c>
      <c r="B5398" s="120" t="str">
        <f>IFERROR(__xludf.DUMMYFUNCTION("""COMPUTED_VALUE"""),"MPD")</f>
        <v>MPD</v>
      </c>
      <c r="C5398" s="120" t="str">
        <f>IFERROR(__xludf.DUMMYFUNCTION("""COMPUTED_VALUE"""),"Mirpur Khas")</f>
        <v>Mirpur Khas</v>
      </c>
      <c r="D5398" s="120" t="str">
        <f>IFERROR(__xludf.DUMMYFUNCTION("""COMPUTED_VALUE"""),"Pakistan")</f>
        <v>Pakistan</v>
      </c>
      <c r="E5398" s="135"/>
      <c r="F5398" s="31"/>
    </row>
    <row r="5399">
      <c r="A5399" s="134" t="str">
        <f>IFERROR(__xludf.DUMMYFUNCTION("""COMPUTED_VALUE"""),"Misawa")</f>
        <v>Misawa</v>
      </c>
      <c r="B5399" s="120" t="str">
        <f>IFERROR(__xludf.DUMMYFUNCTION("""COMPUTED_VALUE"""),"MSJ")</f>
        <v>MSJ</v>
      </c>
      <c r="C5399" s="120" t="str">
        <f>IFERROR(__xludf.DUMMYFUNCTION("""COMPUTED_VALUE"""),"Misawa")</f>
        <v>Misawa</v>
      </c>
      <c r="D5399" s="120" t="str">
        <f>IFERROR(__xludf.DUMMYFUNCTION("""COMPUTED_VALUE"""),"Japan")</f>
        <v>Japan</v>
      </c>
      <c r="E5399" s="135"/>
      <c r="F5399" s="31"/>
    </row>
    <row r="5400">
      <c r="A5400" s="134" t="str">
        <f>IFERROR(__xludf.DUMMYFUNCTION("""COMPUTED_VALUE"""),"Misima Island")</f>
        <v>Misima Island</v>
      </c>
      <c r="B5400" s="120" t="str">
        <f>IFERROR(__xludf.DUMMYFUNCTION("""COMPUTED_VALUE"""),"MIS")</f>
        <v>MIS</v>
      </c>
      <c r="C5400" s="120" t="str">
        <f>IFERROR(__xludf.DUMMYFUNCTION("""COMPUTED_VALUE"""),"Misima Island")</f>
        <v>Misima Island</v>
      </c>
      <c r="D5400" s="120" t="str">
        <f>IFERROR(__xludf.DUMMYFUNCTION("""COMPUTED_VALUE"""),"Papua New Guinea")</f>
        <v>Papua New Guinea</v>
      </c>
      <c r="E5400" s="135"/>
      <c r="F5400" s="31"/>
    </row>
    <row r="5401">
      <c r="A5401" s="134" t="str">
        <f>IFERROR(__xludf.DUMMYFUNCTION("""COMPUTED_VALUE"""),"Miskolc")</f>
        <v>Miskolc</v>
      </c>
      <c r="B5401" s="120" t="str">
        <f>IFERROR(__xludf.DUMMYFUNCTION("""COMPUTED_VALUE"""),"MCQ")</f>
        <v>MCQ</v>
      </c>
      <c r="C5401" s="120" t="str">
        <f>IFERROR(__xludf.DUMMYFUNCTION("""COMPUTED_VALUE"""),"Miskolc")</f>
        <v>Miskolc</v>
      </c>
      <c r="D5401" s="120" t="str">
        <f>IFERROR(__xludf.DUMMYFUNCTION("""COMPUTED_VALUE"""),"Hungary")</f>
        <v>Hungary</v>
      </c>
      <c r="E5401" s="135"/>
      <c r="F5401" s="31"/>
    </row>
    <row r="5402">
      <c r="A5402" s="134" t="str">
        <f>IFERROR(__xludf.DUMMYFUNCTION("""COMPUTED_VALUE"""),"Misrak Gashamo")</f>
        <v>Misrak Gashamo</v>
      </c>
      <c r="B5402" s="120" t="str">
        <f>IFERROR(__xludf.DUMMYFUNCTION("""COMPUTED_VALUE"""),"MHJ")</f>
        <v>MHJ</v>
      </c>
      <c r="C5402" s="120" t="str">
        <f>IFERROR(__xludf.DUMMYFUNCTION("""COMPUTED_VALUE"""),"Misrak Gashamo")</f>
        <v>Misrak Gashamo</v>
      </c>
      <c r="D5402" s="120" t="str">
        <f>IFERROR(__xludf.DUMMYFUNCTION("""COMPUTED_VALUE"""),"Ethiopia")</f>
        <v>Ethiopia</v>
      </c>
      <c r="E5402" s="135"/>
      <c r="F5402" s="31"/>
    </row>
    <row r="5403">
      <c r="A5403" s="134" t="str">
        <f>IFERROR(__xludf.DUMMYFUNCTION("""COMPUTED_VALUE"""),"Mission")</f>
        <v>Mission</v>
      </c>
      <c r="B5403" s="120" t="str">
        <f>IFERROR(__xludf.DUMMYFUNCTION("""COMPUTED_VALUE"""),"MFE")</f>
        <v>MFE</v>
      </c>
      <c r="C5403" s="120" t="str">
        <f>IFERROR(__xludf.DUMMYFUNCTION("""COMPUTED_VALUE"""),"Mission")</f>
        <v>Mission</v>
      </c>
      <c r="D5403" s="120" t="str">
        <f>IFERROR(__xludf.DUMMYFUNCTION("""COMPUTED_VALUE"""),"United States")</f>
        <v>United States</v>
      </c>
      <c r="E5403" s="135"/>
      <c r="F5403" s="31"/>
    </row>
    <row r="5404">
      <c r="A5404" s="134" t="str">
        <f>IFERROR(__xludf.DUMMYFUNCTION("""COMPUTED_VALUE"""),"Missoula")</f>
        <v>Missoula</v>
      </c>
      <c r="B5404" s="120" t="str">
        <f>IFERROR(__xludf.DUMMYFUNCTION("""COMPUTED_VALUE"""),"MSO")</f>
        <v>MSO</v>
      </c>
      <c r="C5404" s="120" t="str">
        <f>IFERROR(__xludf.DUMMYFUNCTION("""COMPUTED_VALUE"""),"Johnson-Bell Field")</f>
        <v>Johnson-Bell Field</v>
      </c>
      <c r="D5404" s="120" t="str">
        <f>IFERROR(__xludf.DUMMYFUNCTION("""COMPUTED_VALUE"""),"United States")</f>
        <v>United States</v>
      </c>
      <c r="E5404" s="135"/>
      <c r="F5404" s="31"/>
    </row>
    <row r="5405">
      <c r="A5405" s="134" t="str">
        <f>IFERROR(__xludf.DUMMYFUNCTION("""COMPUTED_VALUE"""),"Misurata")</f>
        <v>Misurata</v>
      </c>
      <c r="B5405" s="120" t="str">
        <f>IFERROR(__xludf.DUMMYFUNCTION("""COMPUTED_VALUE"""),"MRA")</f>
        <v>MRA</v>
      </c>
      <c r="C5405" s="120" t="str">
        <f>IFERROR(__xludf.DUMMYFUNCTION("""COMPUTED_VALUE"""),"Misurata")</f>
        <v>Misurata</v>
      </c>
      <c r="D5405" s="120" t="str">
        <f>IFERROR(__xludf.DUMMYFUNCTION("""COMPUTED_VALUE"""),"Libya")</f>
        <v>Libya</v>
      </c>
      <c r="E5405" s="135"/>
      <c r="F5405" s="31"/>
    </row>
    <row r="5406">
      <c r="A5406" s="134" t="str">
        <f>IFERROR(__xludf.DUMMYFUNCTION("""COMPUTED_VALUE"""),"Mitchell")</f>
        <v>Mitchell</v>
      </c>
      <c r="B5406" s="120" t="str">
        <f>IFERROR(__xludf.DUMMYFUNCTION("""COMPUTED_VALUE"""),"MTQ")</f>
        <v>MTQ</v>
      </c>
      <c r="C5406" s="120" t="str">
        <f>IFERROR(__xludf.DUMMYFUNCTION("""COMPUTED_VALUE"""),"Mitchell")</f>
        <v>Mitchell</v>
      </c>
      <c r="D5406" s="120" t="str">
        <f>IFERROR(__xludf.DUMMYFUNCTION("""COMPUTED_VALUE"""),"Australia")</f>
        <v>Australia</v>
      </c>
      <c r="E5406" s="135"/>
      <c r="F5406" s="31"/>
    </row>
    <row r="5407">
      <c r="A5407" s="134" t="str">
        <f>IFERROR(__xludf.DUMMYFUNCTION("""COMPUTED_VALUE"""),"Mitchell")</f>
        <v>Mitchell</v>
      </c>
      <c r="B5407" s="120" t="str">
        <f>IFERROR(__xludf.DUMMYFUNCTION("""COMPUTED_VALUE"""),"MHE")</f>
        <v>MHE</v>
      </c>
      <c r="C5407" s="120" t="str">
        <f>IFERROR(__xludf.DUMMYFUNCTION("""COMPUTED_VALUE"""),"Municipal")</f>
        <v>Municipal</v>
      </c>
      <c r="D5407" s="120" t="str">
        <f>IFERROR(__xludf.DUMMYFUNCTION("""COMPUTED_VALUE"""),"United States")</f>
        <v>United States</v>
      </c>
      <c r="E5407" s="135"/>
      <c r="F5407" s="31"/>
    </row>
    <row r="5408">
      <c r="A5408" s="134" t="str">
        <f>IFERROR(__xludf.DUMMYFUNCTION("""COMPUTED_VALUE"""),"Mitchell Plateau")</f>
        <v>Mitchell Plateau</v>
      </c>
      <c r="B5408" s="120" t="str">
        <f>IFERROR(__xludf.DUMMYFUNCTION("""COMPUTED_VALUE"""),"MIH")</f>
        <v>MIH</v>
      </c>
      <c r="C5408" s="120" t="str">
        <f>IFERROR(__xludf.DUMMYFUNCTION("""COMPUTED_VALUE"""),"Mitchell Plateau")</f>
        <v>Mitchell Plateau</v>
      </c>
      <c r="D5408" s="120" t="str">
        <f>IFERROR(__xludf.DUMMYFUNCTION("""COMPUTED_VALUE"""),"Australia")</f>
        <v>Australia</v>
      </c>
      <c r="E5408" s="135"/>
      <c r="F5408" s="31"/>
    </row>
    <row r="5409">
      <c r="A5409" s="134" t="str">
        <f>IFERROR(__xludf.DUMMYFUNCTION("""COMPUTED_VALUE"""),"Mitchell River")</f>
        <v>Mitchell River</v>
      </c>
      <c r="B5409" s="120" t="str">
        <f>IFERROR(__xludf.DUMMYFUNCTION("""COMPUTED_VALUE"""),"MXQ")</f>
        <v>MXQ</v>
      </c>
      <c r="C5409" s="120" t="str">
        <f>IFERROR(__xludf.DUMMYFUNCTION("""COMPUTED_VALUE"""),"Mitchell River")</f>
        <v>Mitchell River</v>
      </c>
      <c r="D5409" s="120" t="str">
        <f>IFERROR(__xludf.DUMMYFUNCTION("""COMPUTED_VALUE"""),"Australia")</f>
        <v>Australia</v>
      </c>
      <c r="E5409" s="135"/>
      <c r="F5409" s="31"/>
    </row>
    <row r="5410">
      <c r="A5410" s="134" t="str">
        <f>IFERROR(__xludf.DUMMYFUNCTION("""COMPUTED_VALUE"""),"Mitiaro Island")</f>
        <v>Mitiaro Island</v>
      </c>
      <c r="B5410" s="120" t="str">
        <f>IFERROR(__xludf.DUMMYFUNCTION("""COMPUTED_VALUE"""),"MOI")</f>
        <v>MOI</v>
      </c>
      <c r="C5410" s="120" t="str">
        <f>IFERROR(__xludf.DUMMYFUNCTION("""COMPUTED_VALUE"""),"Mitiaro Island")</f>
        <v>Mitiaro Island</v>
      </c>
      <c r="D5410" s="120" t="str">
        <f>IFERROR(__xludf.DUMMYFUNCTION("""COMPUTED_VALUE"""),"Cook Islands")</f>
        <v>Cook Islands</v>
      </c>
      <c r="E5410" s="135"/>
      <c r="F5410" s="31"/>
    </row>
    <row r="5411">
      <c r="A5411" s="134" t="str">
        <f>IFERROR(__xludf.DUMMYFUNCTION("""COMPUTED_VALUE"""),"Mitiga")</f>
        <v>Mitiga</v>
      </c>
      <c r="B5411" s="120" t="str">
        <f>IFERROR(__xludf.DUMMYFUNCTION("""COMPUTED_VALUE"""),"MJI")</f>
        <v>MJI</v>
      </c>
      <c r="C5411" s="120" t="str">
        <f>IFERROR(__xludf.DUMMYFUNCTION("""COMPUTED_VALUE"""),"Mitiga")</f>
        <v>Mitiga</v>
      </c>
      <c r="D5411" s="120" t="str">
        <f>IFERROR(__xludf.DUMMYFUNCTION("""COMPUTED_VALUE"""),"Libya")</f>
        <v>Libya</v>
      </c>
      <c r="E5411" s="135"/>
      <c r="F5411" s="31"/>
    </row>
    <row r="5412">
      <c r="A5412" s="134" t="str">
        <f>IFERROR(__xludf.DUMMYFUNCTION("""COMPUTED_VALUE"""),"Mitspeh Ramon")</f>
        <v>Mitspeh Ramon</v>
      </c>
      <c r="B5412" s="120" t="str">
        <f>IFERROR(__xludf.DUMMYFUNCTION("""COMPUTED_VALUE"""),"MIP")</f>
        <v>MIP</v>
      </c>
      <c r="C5412" s="120" t="str">
        <f>IFERROR(__xludf.DUMMYFUNCTION("""COMPUTED_VALUE"""),"Mitspeh Ramon")</f>
        <v>Mitspeh Ramon</v>
      </c>
      <c r="D5412" s="120" t="str">
        <f>IFERROR(__xludf.DUMMYFUNCTION("""COMPUTED_VALUE"""),"Israel")</f>
        <v>Israel</v>
      </c>
      <c r="E5412" s="135"/>
      <c r="F5412" s="31"/>
    </row>
    <row r="5413">
      <c r="A5413" s="134" t="str">
        <f>IFERROR(__xludf.DUMMYFUNCTION("""COMPUTED_VALUE"""),"Mittiebah")</f>
        <v>Mittiebah</v>
      </c>
      <c r="B5413" s="120" t="str">
        <f>IFERROR(__xludf.DUMMYFUNCTION("""COMPUTED_VALUE"""),"MIY")</f>
        <v>MIY</v>
      </c>
      <c r="C5413" s="120" t="str">
        <f>IFERROR(__xludf.DUMMYFUNCTION("""COMPUTED_VALUE"""),"Mittiebah")</f>
        <v>Mittiebah</v>
      </c>
      <c r="D5413" s="120" t="str">
        <f>IFERROR(__xludf.DUMMYFUNCTION("""COMPUTED_VALUE"""),"Australia")</f>
        <v>Australia</v>
      </c>
      <c r="E5413" s="135"/>
      <c r="F5413" s="31"/>
    </row>
    <row r="5414">
      <c r="A5414" s="134" t="str">
        <f>IFERROR(__xludf.DUMMYFUNCTION("""COMPUTED_VALUE"""),"Mitu")</f>
        <v>Mitu</v>
      </c>
      <c r="B5414" s="120" t="str">
        <f>IFERROR(__xludf.DUMMYFUNCTION("""COMPUTED_VALUE"""),"MVP")</f>
        <v>MVP</v>
      </c>
      <c r="C5414" s="120" t="str">
        <f>IFERROR(__xludf.DUMMYFUNCTION("""COMPUTED_VALUE"""),"Mitu")</f>
        <v>Mitu</v>
      </c>
      <c r="D5414" s="120" t="str">
        <f>IFERROR(__xludf.DUMMYFUNCTION("""COMPUTED_VALUE"""),"Colombia")</f>
        <v>Colombia</v>
      </c>
      <c r="E5414" s="135"/>
      <c r="F5414" s="31"/>
    </row>
    <row r="5415">
      <c r="A5415" s="134" t="str">
        <f>IFERROR(__xludf.DUMMYFUNCTION("""COMPUTED_VALUE"""),"Mitzic")</f>
        <v>Mitzic</v>
      </c>
      <c r="B5415" s="120" t="str">
        <f>IFERROR(__xludf.DUMMYFUNCTION("""COMPUTED_VALUE"""),"MZC")</f>
        <v>MZC</v>
      </c>
      <c r="C5415" s="120" t="str">
        <f>IFERROR(__xludf.DUMMYFUNCTION("""COMPUTED_VALUE"""),"Mitzic")</f>
        <v>Mitzic</v>
      </c>
      <c r="D5415" s="120" t="str">
        <f>IFERROR(__xludf.DUMMYFUNCTION("""COMPUTED_VALUE"""),"Gabon")</f>
        <v>Gabon</v>
      </c>
      <c r="E5415" s="135"/>
      <c r="F5415" s="31"/>
    </row>
    <row r="5416">
      <c r="A5416" s="134" t="str">
        <f>IFERROR(__xludf.DUMMYFUNCTION("""COMPUTED_VALUE"""),"Miyake Jima")</f>
        <v>Miyake Jima</v>
      </c>
      <c r="B5416" s="120" t="str">
        <f>IFERROR(__xludf.DUMMYFUNCTION("""COMPUTED_VALUE"""),"MYE")</f>
        <v>MYE</v>
      </c>
      <c r="C5416" s="120" t="str">
        <f>IFERROR(__xludf.DUMMYFUNCTION("""COMPUTED_VALUE"""),"Miyake Jima")</f>
        <v>Miyake Jima</v>
      </c>
      <c r="D5416" s="120" t="str">
        <f>IFERROR(__xludf.DUMMYFUNCTION("""COMPUTED_VALUE"""),"Japan")</f>
        <v>Japan</v>
      </c>
      <c r="E5416" s="135"/>
      <c r="F5416" s="31"/>
    </row>
    <row r="5417">
      <c r="A5417" s="134" t="str">
        <f>IFERROR(__xludf.DUMMYFUNCTION("""COMPUTED_VALUE"""),"Miyako Jima")</f>
        <v>Miyako Jima</v>
      </c>
      <c r="B5417" s="120" t="str">
        <f>IFERROR(__xludf.DUMMYFUNCTION("""COMPUTED_VALUE"""),"MMY")</f>
        <v>MMY</v>
      </c>
      <c r="C5417" s="120" t="str">
        <f>IFERROR(__xludf.DUMMYFUNCTION("""COMPUTED_VALUE"""),"Hirara")</f>
        <v>Hirara</v>
      </c>
      <c r="D5417" s="120" t="str">
        <f>IFERROR(__xludf.DUMMYFUNCTION("""COMPUTED_VALUE"""),"Japan")</f>
        <v>Japan</v>
      </c>
      <c r="E5417" s="135"/>
      <c r="F5417" s="31"/>
    </row>
    <row r="5418">
      <c r="A5418" s="134" t="str">
        <f>IFERROR(__xludf.DUMMYFUNCTION("""COMPUTED_VALUE"""),"Miyanmin")</f>
        <v>Miyanmin</v>
      </c>
      <c r="B5418" s="120" t="str">
        <f>IFERROR(__xludf.DUMMYFUNCTION("""COMPUTED_VALUE"""),"MPX")</f>
        <v>MPX</v>
      </c>
      <c r="C5418" s="120" t="str">
        <f>IFERROR(__xludf.DUMMYFUNCTION("""COMPUTED_VALUE"""),"Miyanmin")</f>
        <v>Miyanmin</v>
      </c>
      <c r="D5418" s="120" t="str">
        <f>IFERROR(__xludf.DUMMYFUNCTION("""COMPUTED_VALUE"""),"Papua New Guinea")</f>
        <v>Papua New Guinea</v>
      </c>
      <c r="E5418" s="135"/>
      <c r="F5418" s="31"/>
    </row>
    <row r="5419">
      <c r="A5419" s="134" t="str">
        <f>IFERROR(__xludf.DUMMYFUNCTION("""COMPUTED_VALUE"""),"Miyazaki")</f>
        <v>Miyazaki</v>
      </c>
      <c r="B5419" s="120" t="str">
        <f>IFERROR(__xludf.DUMMYFUNCTION("""COMPUTED_VALUE"""),"KMI")</f>
        <v>KMI</v>
      </c>
      <c r="C5419" s="120" t="str">
        <f>IFERROR(__xludf.DUMMYFUNCTION("""COMPUTED_VALUE"""),"Miyazaki")</f>
        <v>Miyazaki</v>
      </c>
      <c r="D5419" s="120" t="str">
        <f>IFERROR(__xludf.DUMMYFUNCTION("""COMPUTED_VALUE"""),"Japan")</f>
        <v>Japan</v>
      </c>
      <c r="E5419" s="135"/>
      <c r="F5419" s="31"/>
    </row>
    <row r="5420">
      <c r="A5420" s="134" t="str">
        <f>IFERROR(__xludf.DUMMYFUNCTION("""COMPUTED_VALUE"""),"Mizan Teferi")</f>
        <v>Mizan Teferi</v>
      </c>
      <c r="B5420" s="120" t="str">
        <f>IFERROR(__xludf.DUMMYFUNCTION("""COMPUTED_VALUE"""),"MTF")</f>
        <v>MTF</v>
      </c>
      <c r="C5420" s="120" t="str">
        <f>IFERROR(__xludf.DUMMYFUNCTION("""COMPUTED_VALUE"""),"Mizan Teferi")</f>
        <v>Mizan Teferi</v>
      </c>
      <c r="D5420" s="120" t="str">
        <f>IFERROR(__xludf.DUMMYFUNCTION("""COMPUTED_VALUE"""),"Ethiopia")</f>
        <v>Ethiopia</v>
      </c>
      <c r="E5420" s="135"/>
      <c r="F5420" s="31"/>
    </row>
    <row r="5421">
      <c r="A5421" s="134" t="str">
        <f>IFERROR(__xludf.DUMMYFUNCTION("""COMPUTED_VALUE"""),"Mkambati")</f>
        <v>Mkambati</v>
      </c>
      <c r="B5421" s="120" t="str">
        <f>IFERROR(__xludf.DUMMYFUNCTION("""COMPUTED_VALUE"""),"MBM")</f>
        <v>MBM</v>
      </c>
      <c r="C5421" s="120" t="str">
        <f>IFERROR(__xludf.DUMMYFUNCTION("""COMPUTED_VALUE"""),"Mkambati")</f>
        <v>Mkambati</v>
      </c>
      <c r="D5421" s="120" t="str">
        <f>IFERROR(__xludf.DUMMYFUNCTION("""COMPUTED_VALUE"""),"South Africa")</f>
        <v>South Africa</v>
      </c>
      <c r="E5421" s="135"/>
      <c r="F5421" s="31"/>
    </row>
    <row r="5422">
      <c r="A5422" s="134" t="str">
        <f>IFERROR(__xludf.DUMMYFUNCTION("""COMPUTED_VALUE"""),"Mkuze")</f>
        <v>Mkuze</v>
      </c>
      <c r="B5422" s="120" t="str">
        <f>IFERROR(__xludf.DUMMYFUNCTION("""COMPUTED_VALUE"""),"MZQ")</f>
        <v>MZQ</v>
      </c>
      <c r="C5422" s="120" t="str">
        <f>IFERROR(__xludf.DUMMYFUNCTION("""COMPUTED_VALUE"""),"Mkuze")</f>
        <v>Mkuze</v>
      </c>
      <c r="D5422" s="120" t="str">
        <f>IFERROR(__xludf.DUMMYFUNCTION("""COMPUTED_VALUE"""),"South Africa")</f>
        <v>South Africa</v>
      </c>
      <c r="E5422" s="135"/>
      <c r="F5422" s="31"/>
    </row>
    <row r="5423">
      <c r="A5423" s="134" t="str">
        <f>IFERROR(__xludf.DUMMYFUNCTION("""COMPUTED_VALUE"""),"Mmabatho")</f>
        <v>Mmabatho</v>
      </c>
      <c r="B5423" s="120" t="str">
        <f>IFERROR(__xludf.DUMMYFUNCTION("""COMPUTED_VALUE"""),"MBD")</f>
        <v>MBD</v>
      </c>
      <c r="C5423" s="120" t="str">
        <f>IFERROR(__xludf.DUMMYFUNCTION("""COMPUTED_VALUE"""),"International")</f>
        <v>International</v>
      </c>
      <c r="D5423" s="120" t="str">
        <f>IFERROR(__xludf.DUMMYFUNCTION("""COMPUTED_VALUE"""),"South Africa")</f>
        <v>South Africa</v>
      </c>
      <c r="E5423" s="135"/>
      <c r="F5423" s="31"/>
    </row>
    <row r="5424">
      <c r="A5424" s="134" t="str">
        <f>IFERROR(__xludf.DUMMYFUNCTION("""COMPUTED_VALUE"""),"Mo I Rana")</f>
        <v>Mo I Rana</v>
      </c>
      <c r="B5424" s="120" t="str">
        <f>IFERROR(__xludf.DUMMYFUNCTION("""COMPUTED_VALUE"""),"MQN")</f>
        <v>MQN</v>
      </c>
      <c r="C5424" s="120" t="str">
        <f>IFERROR(__xludf.DUMMYFUNCTION("""COMPUTED_VALUE"""),"Mo I Rana")</f>
        <v>Mo I Rana</v>
      </c>
      <c r="D5424" s="120" t="str">
        <f>IFERROR(__xludf.DUMMYFUNCTION("""COMPUTED_VALUE"""),"Norway")</f>
        <v>Norway</v>
      </c>
      <c r="E5424" s="135"/>
      <c r="F5424" s="31"/>
    </row>
    <row r="5425">
      <c r="A5425" s="134" t="str">
        <f>IFERROR(__xludf.DUMMYFUNCTION("""COMPUTED_VALUE"""),"Moa")</f>
        <v>Moa</v>
      </c>
      <c r="B5425" s="120" t="str">
        <f>IFERROR(__xludf.DUMMYFUNCTION("""COMPUTED_VALUE"""),"MOA")</f>
        <v>MOA</v>
      </c>
      <c r="C5425" s="120" t="str">
        <f>IFERROR(__xludf.DUMMYFUNCTION("""COMPUTED_VALUE"""),"Orestes Acosta")</f>
        <v>Orestes Acosta</v>
      </c>
      <c r="D5425" s="120" t="str">
        <f>IFERROR(__xludf.DUMMYFUNCTION("""COMPUTED_VALUE"""),"Cuba")</f>
        <v>Cuba</v>
      </c>
      <c r="E5425" s="135"/>
      <c r="F5425" s="31"/>
    </row>
    <row r="5426">
      <c r="A5426" s="134" t="str">
        <f>IFERROR(__xludf.DUMMYFUNCTION("""COMPUTED_VALUE"""),"Moab")</f>
        <v>Moab</v>
      </c>
      <c r="B5426" s="120" t="str">
        <f>IFERROR(__xludf.DUMMYFUNCTION("""COMPUTED_VALUE"""),"CNY")</f>
        <v>CNY</v>
      </c>
      <c r="C5426" s="120" t="str">
        <f>IFERROR(__xludf.DUMMYFUNCTION("""COMPUTED_VALUE"""),"Canyonlands Field")</f>
        <v>Canyonlands Field</v>
      </c>
      <c r="D5426" s="120" t="str">
        <f>IFERROR(__xludf.DUMMYFUNCTION("""COMPUTED_VALUE"""),"United States")</f>
        <v>United States</v>
      </c>
      <c r="E5426" s="135"/>
      <c r="F5426" s="31"/>
    </row>
    <row r="5427">
      <c r="A5427" s="134" t="str">
        <f>IFERROR(__xludf.DUMMYFUNCTION("""COMPUTED_VALUE"""),"Moabi")</f>
        <v>Moabi</v>
      </c>
      <c r="B5427" s="120" t="str">
        <f>IFERROR(__xludf.DUMMYFUNCTION("""COMPUTED_VALUE"""),"MGX")</f>
        <v>MGX</v>
      </c>
      <c r="C5427" s="120" t="str">
        <f>IFERROR(__xludf.DUMMYFUNCTION("""COMPUTED_VALUE"""),"Moabi")</f>
        <v>Moabi</v>
      </c>
      <c r="D5427" s="120" t="str">
        <f>IFERROR(__xludf.DUMMYFUNCTION("""COMPUTED_VALUE"""),"Gabon")</f>
        <v>Gabon</v>
      </c>
      <c r="E5427" s="135"/>
      <c r="F5427" s="31"/>
    </row>
    <row r="5428">
      <c r="A5428" s="134" t="str">
        <f>IFERROR(__xludf.DUMMYFUNCTION("""COMPUTED_VALUE"""),"Moala")</f>
        <v>Moala</v>
      </c>
      <c r="B5428" s="120" t="str">
        <f>IFERROR(__xludf.DUMMYFUNCTION("""COMPUTED_VALUE"""),"MFJ")</f>
        <v>MFJ</v>
      </c>
      <c r="C5428" s="120" t="str">
        <f>IFERROR(__xludf.DUMMYFUNCTION("""COMPUTED_VALUE"""),"Moala")</f>
        <v>Moala</v>
      </c>
      <c r="D5428" s="120" t="str">
        <f>IFERROR(__xludf.DUMMYFUNCTION("""COMPUTED_VALUE"""),"Fiji")</f>
        <v>Fiji</v>
      </c>
      <c r="E5428" s="135"/>
      <c r="F5428" s="31"/>
    </row>
    <row r="5429">
      <c r="A5429" s="134" t="str">
        <f>IFERROR(__xludf.DUMMYFUNCTION("""COMPUTED_VALUE"""),"Moanamani")</f>
        <v>Moanamani</v>
      </c>
      <c r="B5429" s="120" t="str">
        <f>IFERROR(__xludf.DUMMYFUNCTION("""COMPUTED_VALUE"""),"ONI")</f>
        <v>ONI</v>
      </c>
      <c r="C5429" s="120" t="str">
        <f>IFERROR(__xludf.DUMMYFUNCTION("""COMPUTED_VALUE"""),"Moanamani")</f>
        <v>Moanamani</v>
      </c>
      <c r="D5429" s="120" t="str">
        <f>IFERROR(__xludf.DUMMYFUNCTION("""COMPUTED_VALUE"""),"Indonesia")</f>
        <v>Indonesia</v>
      </c>
      <c r="E5429" s="135"/>
      <c r="F5429" s="31"/>
    </row>
    <row r="5430">
      <c r="A5430" s="134" t="str">
        <f>IFERROR(__xludf.DUMMYFUNCTION("""COMPUTED_VALUE"""),"Moanda")</f>
        <v>Moanda</v>
      </c>
      <c r="B5430" s="120" t="str">
        <f>IFERROR(__xludf.DUMMYFUNCTION("""COMPUTED_VALUE"""),"MNB")</f>
        <v>MNB</v>
      </c>
      <c r="C5430" s="120" t="str">
        <f>IFERROR(__xludf.DUMMYFUNCTION("""COMPUTED_VALUE"""),"Moanda")</f>
        <v>Moanda</v>
      </c>
      <c r="D5430" s="120" t="str">
        <f>IFERROR(__xludf.DUMMYFUNCTION("""COMPUTED_VALUE"""),"Zaire")</f>
        <v>Zaire</v>
      </c>
      <c r="E5430" s="135"/>
      <c r="F5430" s="31"/>
    </row>
    <row r="5431">
      <c r="A5431" s="134" t="str">
        <f>IFERROR(__xludf.DUMMYFUNCTION("""COMPUTED_VALUE"""),"Moanda")</f>
        <v>Moanda</v>
      </c>
      <c r="B5431" s="120" t="str">
        <f>IFERROR(__xludf.DUMMYFUNCTION("""COMPUTED_VALUE"""),"MFF")</f>
        <v>MFF</v>
      </c>
      <c r="C5431" s="120" t="str">
        <f>IFERROR(__xludf.DUMMYFUNCTION("""COMPUTED_VALUE"""),"Moanda")</f>
        <v>Moanda</v>
      </c>
      <c r="D5431" s="120" t="str">
        <f>IFERROR(__xludf.DUMMYFUNCTION("""COMPUTED_VALUE"""),"Gabon")</f>
        <v>Gabon</v>
      </c>
      <c r="E5431" s="135"/>
      <c r="F5431" s="31"/>
    </row>
    <row r="5432">
      <c r="A5432" s="134" t="str">
        <f>IFERROR(__xludf.DUMMYFUNCTION("""COMPUTED_VALUE"""),"Moba")</f>
        <v>Moba</v>
      </c>
      <c r="B5432" s="120" t="str">
        <f>IFERROR(__xludf.DUMMYFUNCTION("""COMPUTED_VALUE"""),"BDV")</f>
        <v>BDV</v>
      </c>
      <c r="C5432" s="120" t="str">
        <f>IFERROR(__xludf.DUMMYFUNCTION("""COMPUTED_VALUE"""),"Moba")</f>
        <v>Moba</v>
      </c>
      <c r="D5432" s="120" t="str">
        <f>IFERROR(__xludf.DUMMYFUNCTION("""COMPUTED_VALUE"""),"Zaire")</f>
        <v>Zaire</v>
      </c>
      <c r="E5432" s="135"/>
      <c r="F5432" s="31"/>
    </row>
    <row r="5433">
      <c r="A5433" s="134" t="str">
        <f>IFERROR(__xludf.DUMMYFUNCTION("""COMPUTED_VALUE"""),"Moberly")</f>
        <v>Moberly</v>
      </c>
      <c r="B5433" s="120" t="str">
        <f>IFERROR(__xludf.DUMMYFUNCTION("""COMPUTED_VALUE"""),"MBY")</f>
        <v>MBY</v>
      </c>
      <c r="C5433" s="120" t="str">
        <f>IFERROR(__xludf.DUMMYFUNCTION("""COMPUTED_VALUE"""),"Moberly")</f>
        <v>Moberly</v>
      </c>
      <c r="D5433" s="120" t="str">
        <f>IFERROR(__xludf.DUMMYFUNCTION("""COMPUTED_VALUE"""),"United States")</f>
        <v>United States</v>
      </c>
      <c r="E5433" s="135"/>
      <c r="F5433" s="31"/>
    </row>
    <row r="5434">
      <c r="A5434" s="134" t="str">
        <f>IFERROR(__xludf.DUMMYFUNCTION("""COMPUTED_VALUE"""),"Mobile")</f>
        <v>Mobile</v>
      </c>
      <c r="B5434" s="120" t="str">
        <f>IFERROR(__xludf.DUMMYFUNCTION("""COMPUTED_VALUE"""),"BFM")</f>
        <v>BFM</v>
      </c>
      <c r="C5434" s="120" t="str">
        <f>IFERROR(__xludf.DUMMYFUNCTION("""COMPUTED_VALUE"""),"Mob Aerospace")</f>
        <v>Mob Aerospace</v>
      </c>
      <c r="D5434" s="120" t="str">
        <f>IFERROR(__xludf.DUMMYFUNCTION("""COMPUTED_VALUE"""),"United States")</f>
        <v>United States</v>
      </c>
      <c r="E5434" s="135"/>
      <c r="F5434" s="31"/>
    </row>
    <row r="5435">
      <c r="A5435" s="134" t="str">
        <f>IFERROR(__xludf.DUMMYFUNCTION("""COMPUTED_VALUE"""),"Mobile")</f>
        <v>Mobile</v>
      </c>
      <c r="B5435" s="120" t="str">
        <f>IFERROR(__xludf.DUMMYFUNCTION("""COMPUTED_VALUE"""),"MOB")</f>
        <v>MOB</v>
      </c>
      <c r="C5435" s="120" t="str">
        <f>IFERROR(__xludf.DUMMYFUNCTION("""COMPUTED_VALUE"""),"Mobile Regional Arpt")</f>
        <v>Mobile Regional Arpt</v>
      </c>
      <c r="D5435" s="120" t="str">
        <f>IFERROR(__xludf.DUMMYFUNCTION("""COMPUTED_VALUE"""),"United States")</f>
        <v>United States</v>
      </c>
      <c r="E5435" s="135"/>
      <c r="F5435" s="31"/>
    </row>
    <row r="5436">
      <c r="A5436" s="134" t="str">
        <f>IFERROR(__xludf.DUMMYFUNCTION("""COMPUTED_VALUE"""),"Mobridge")</f>
        <v>Mobridge</v>
      </c>
      <c r="B5436" s="120" t="str">
        <f>IFERROR(__xludf.DUMMYFUNCTION("""COMPUTED_VALUE"""),"MBG")</f>
        <v>MBG</v>
      </c>
      <c r="C5436" s="120" t="str">
        <f>IFERROR(__xludf.DUMMYFUNCTION("""COMPUTED_VALUE"""),"Mobridge")</f>
        <v>Mobridge</v>
      </c>
      <c r="D5436" s="120" t="str">
        <f>IFERROR(__xludf.DUMMYFUNCTION("""COMPUTED_VALUE"""),"United States")</f>
        <v>United States</v>
      </c>
      <c r="E5436" s="135"/>
      <c r="F5436" s="31"/>
    </row>
    <row r="5437">
      <c r="A5437" s="134" t="str">
        <f>IFERROR(__xludf.DUMMYFUNCTION("""COMPUTED_VALUE"""),"Mocimboa Praia")</f>
        <v>Mocimboa Praia</v>
      </c>
      <c r="B5437" s="120" t="str">
        <f>IFERROR(__xludf.DUMMYFUNCTION("""COMPUTED_VALUE"""),"MZB")</f>
        <v>MZB</v>
      </c>
      <c r="C5437" s="120" t="str">
        <f>IFERROR(__xludf.DUMMYFUNCTION("""COMPUTED_VALUE"""),"Mocimboa Praia")</f>
        <v>Mocimboa Praia</v>
      </c>
      <c r="D5437" s="120" t="str">
        <f>IFERROR(__xludf.DUMMYFUNCTION("""COMPUTED_VALUE"""),"Mozambique")</f>
        <v>Mozambique</v>
      </c>
      <c r="E5437" s="135"/>
      <c r="F5437" s="31"/>
    </row>
    <row r="5438">
      <c r="A5438" s="134" t="str">
        <f>IFERROR(__xludf.DUMMYFUNCTION("""COMPUTED_VALUE"""),"Modena")</f>
        <v>Modena</v>
      </c>
      <c r="B5438" s="120" t="str">
        <f>IFERROR(__xludf.DUMMYFUNCTION("""COMPUTED_VALUE"""),"ZMO")</f>
        <v>ZMO</v>
      </c>
      <c r="C5438" s="120" t="str">
        <f>IFERROR(__xludf.DUMMYFUNCTION("""COMPUTED_VALUE"""),"Bus Station")</f>
        <v>Bus Station</v>
      </c>
      <c r="D5438" s="120" t="str">
        <f>IFERROR(__xludf.DUMMYFUNCTION("""COMPUTED_VALUE"""),"Italy")</f>
        <v>Italy</v>
      </c>
      <c r="E5438" s="135"/>
      <c r="F5438" s="31"/>
    </row>
    <row r="5439">
      <c r="A5439" s="134" t="str">
        <f>IFERROR(__xludf.DUMMYFUNCTION("""COMPUTED_VALUE"""),"Modesto")</f>
        <v>Modesto</v>
      </c>
      <c r="B5439" s="120" t="str">
        <f>IFERROR(__xludf.DUMMYFUNCTION("""COMPUTED_VALUE"""),"MOD")</f>
        <v>MOD</v>
      </c>
      <c r="C5439" s="120" t="str">
        <f>IFERROR(__xludf.DUMMYFUNCTION("""COMPUTED_VALUE"""),"Municipal")</f>
        <v>Municipal</v>
      </c>
      <c r="D5439" s="120" t="str">
        <f>IFERROR(__xludf.DUMMYFUNCTION("""COMPUTED_VALUE"""),"United States")</f>
        <v>United States</v>
      </c>
      <c r="E5439" s="135"/>
      <c r="F5439" s="31"/>
    </row>
    <row r="5440">
      <c r="A5440" s="134" t="str">
        <f>IFERROR(__xludf.DUMMYFUNCTION("""COMPUTED_VALUE"""),"Moelv")</f>
        <v>Moelv</v>
      </c>
      <c r="B5440" s="120" t="str">
        <f>IFERROR(__xludf.DUMMYFUNCTION("""COMPUTED_VALUE"""),"XUJ")</f>
        <v>XUJ</v>
      </c>
      <c r="C5440" s="120" t="str">
        <f>IFERROR(__xludf.DUMMYFUNCTION("""COMPUTED_VALUE"""),"Moelv Railway")</f>
        <v>Moelv Railway</v>
      </c>
      <c r="D5440" s="120" t="str">
        <f>IFERROR(__xludf.DUMMYFUNCTION("""COMPUTED_VALUE"""),"Norway")</f>
        <v>Norway</v>
      </c>
      <c r="E5440" s="135"/>
      <c r="F5440" s="31"/>
    </row>
    <row r="5441">
      <c r="A5441" s="134" t="str">
        <f>IFERROR(__xludf.DUMMYFUNCTION("""COMPUTED_VALUE"""),"Moengo")</f>
        <v>Moengo</v>
      </c>
      <c r="B5441" s="120" t="str">
        <f>IFERROR(__xludf.DUMMYFUNCTION("""COMPUTED_VALUE"""),"MOJ")</f>
        <v>MOJ</v>
      </c>
      <c r="C5441" s="120" t="str">
        <f>IFERROR(__xludf.DUMMYFUNCTION("""COMPUTED_VALUE"""),"Moengo")</f>
        <v>Moengo</v>
      </c>
      <c r="D5441" s="120" t="str">
        <f>IFERROR(__xludf.DUMMYFUNCTION("""COMPUTED_VALUE"""),"Suriname")</f>
        <v>Suriname</v>
      </c>
      <c r="E5441" s="135"/>
      <c r="F5441" s="31"/>
    </row>
    <row r="5442">
      <c r="A5442" s="134" t="str">
        <f>IFERROR(__xludf.DUMMYFUNCTION("""COMPUTED_VALUE"""),"Mogadishu")</f>
        <v>Mogadishu</v>
      </c>
      <c r="B5442" s="120" t="str">
        <f>IFERROR(__xludf.DUMMYFUNCTION("""COMPUTED_VALUE"""),"MGQ")</f>
        <v>MGQ</v>
      </c>
      <c r="C5442" s="120" t="str">
        <f>IFERROR(__xludf.DUMMYFUNCTION("""COMPUTED_VALUE"""),"International")</f>
        <v>International</v>
      </c>
      <c r="D5442" s="120" t="str">
        <f>IFERROR(__xludf.DUMMYFUNCTION("""COMPUTED_VALUE"""),"Somalia")</f>
        <v>Somalia</v>
      </c>
      <c r="E5442" s="135"/>
      <c r="F5442" s="31"/>
    </row>
    <row r="5443">
      <c r="A5443" s="134" t="str">
        <f>IFERROR(__xludf.DUMMYFUNCTION("""COMPUTED_VALUE"""),"Mogilev")</f>
        <v>Mogilev</v>
      </c>
      <c r="B5443" s="120" t="str">
        <f>IFERROR(__xludf.DUMMYFUNCTION("""COMPUTED_VALUE"""),"MVQ")</f>
        <v>MVQ</v>
      </c>
      <c r="C5443" s="120" t="str">
        <f>IFERROR(__xludf.DUMMYFUNCTION("""COMPUTED_VALUE"""),"Mogilev")</f>
        <v>Mogilev</v>
      </c>
      <c r="D5443" s="120" t="str">
        <f>IFERROR(__xludf.DUMMYFUNCTION("""COMPUTED_VALUE"""),"Belarus")</f>
        <v>Belarus</v>
      </c>
      <c r="E5443" s="135"/>
      <c r="F5443" s="31"/>
    </row>
    <row r="5444">
      <c r="A5444" s="134" t="str">
        <f>IFERROR(__xludf.DUMMYFUNCTION("""COMPUTED_VALUE"""),"Mohanbari")</f>
        <v>Mohanbari</v>
      </c>
      <c r="B5444" s="120" t="str">
        <f>IFERROR(__xludf.DUMMYFUNCTION("""COMPUTED_VALUE"""),"MOH")</f>
        <v>MOH</v>
      </c>
      <c r="C5444" s="120" t="str">
        <f>IFERROR(__xludf.DUMMYFUNCTION("""COMPUTED_VALUE"""),"Mohanbari")</f>
        <v>Mohanbari</v>
      </c>
      <c r="D5444" s="120" t="str">
        <f>IFERROR(__xludf.DUMMYFUNCTION("""COMPUTED_VALUE"""),"India")</f>
        <v>India</v>
      </c>
      <c r="E5444" s="135"/>
      <c r="F5444" s="31"/>
    </row>
    <row r="5445">
      <c r="A5445" s="134" t="str">
        <f>IFERROR(__xludf.DUMMYFUNCTION("""COMPUTED_VALUE"""),"Moheli")</f>
        <v>Moheli</v>
      </c>
      <c r="B5445" s="120" t="str">
        <f>IFERROR(__xludf.DUMMYFUNCTION("""COMPUTED_VALUE"""),"NWA")</f>
        <v>NWA</v>
      </c>
      <c r="C5445" s="120" t="str">
        <f>IFERROR(__xludf.DUMMYFUNCTION("""COMPUTED_VALUE"""),"Moheli")</f>
        <v>Moheli</v>
      </c>
      <c r="D5445" s="120" t="str">
        <f>IFERROR(__xludf.DUMMYFUNCTION("""COMPUTED_VALUE"""),"Comoros")</f>
        <v>Comoros</v>
      </c>
      <c r="E5445" s="135"/>
      <c r="F5445" s="31"/>
    </row>
    <row r="5446">
      <c r="A5446" s="134" t="str">
        <f>IFERROR(__xludf.DUMMYFUNCTION("""COMPUTED_VALUE"""),"Mohenjodaro")</f>
        <v>Mohenjodaro</v>
      </c>
      <c r="B5446" s="120" t="str">
        <f>IFERROR(__xludf.DUMMYFUNCTION("""COMPUTED_VALUE"""),"MJD")</f>
        <v>MJD</v>
      </c>
      <c r="C5446" s="120" t="str">
        <f>IFERROR(__xludf.DUMMYFUNCTION("""COMPUTED_VALUE"""),"Mohenjodaro")</f>
        <v>Mohenjodaro</v>
      </c>
      <c r="D5446" s="120" t="str">
        <f>IFERROR(__xludf.DUMMYFUNCTION("""COMPUTED_VALUE"""),"Pakistan")</f>
        <v>Pakistan</v>
      </c>
      <c r="E5446" s="135"/>
      <c r="F5446" s="31"/>
    </row>
    <row r="5447">
      <c r="A5447" s="134" t="str">
        <f>IFERROR(__xludf.DUMMYFUNCTION("""COMPUTED_VALUE"""),"Mojave")</f>
        <v>Mojave</v>
      </c>
      <c r="B5447" s="120" t="str">
        <f>IFERROR(__xludf.DUMMYFUNCTION("""COMPUTED_VALUE"""),"MHV")</f>
        <v>MHV</v>
      </c>
      <c r="C5447" s="120" t="str">
        <f>IFERROR(__xludf.DUMMYFUNCTION("""COMPUTED_VALUE"""),"Kern County")</f>
        <v>Kern County</v>
      </c>
      <c r="D5447" s="120" t="str">
        <f>IFERROR(__xludf.DUMMYFUNCTION("""COMPUTED_VALUE"""),"United States")</f>
        <v>United States</v>
      </c>
      <c r="E5447" s="135"/>
      <c r="F5447" s="31"/>
    </row>
    <row r="5448">
      <c r="A5448" s="134" t="str">
        <f>IFERROR(__xludf.DUMMYFUNCTION("""COMPUTED_VALUE"""),"Mokhotlong")</f>
        <v>Mokhotlong</v>
      </c>
      <c r="B5448" s="120" t="str">
        <f>IFERROR(__xludf.DUMMYFUNCTION("""COMPUTED_VALUE"""),"MKH")</f>
        <v>MKH</v>
      </c>
      <c r="C5448" s="120" t="str">
        <f>IFERROR(__xludf.DUMMYFUNCTION("""COMPUTED_VALUE"""),"Mokhotlong")</f>
        <v>Mokhotlong</v>
      </c>
      <c r="D5448" s="120" t="str">
        <f>IFERROR(__xludf.DUMMYFUNCTION("""COMPUTED_VALUE"""),"Lesotho")</f>
        <v>Lesotho</v>
      </c>
      <c r="E5448" s="135"/>
      <c r="F5448" s="31"/>
    </row>
    <row r="5449">
      <c r="A5449" s="134" t="str">
        <f>IFERROR(__xludf.DUMMYFUNCTION("""COMPUTED_VALUE"""),"Moki")</f>
        <v>Moki</v>
      </c>
      <c r="B5449" s="120" t="str">
        <f>IFERROR(__xludf.DUMMYFUNCTION("""COMPUTED_VALUE"""),"MJJ")</f>
        <v>MJJ</v>
      </c>
      <c r="C5449" s="120" t="str">
        <f>IFERROR(__xludf.DUMMYFUNCTION("""COMPUTED_VALUE"""),"Moki")</f>
        <v>Moki</v>
      </c>
      <c r="D5449" s="120" t="str">
        <f>IFERROR(__xludf.DUMMYFUNCTION("""COMPUTED_VALUE"""),"Papua New Guinea")</f>
        <v>Papua New Guinea</v>
      </c>
      <c r="E5449" s="135"/>
      <c r="F5449" s="31"/>
    </row>
    <row r="5450">
      <c r="A5450" s="134" t="str">
        <f>IFERROR(__xludf.DUMMYFUNCTION("""COMPUTED_VALUE"""),"Mokpo")</f>
        <v>Mokpo</v>
      </c>
      <c r="B5450" s="120" t="str">
        <f>IFERROR(__xludf.DUMMYFUNCTION("""COMPUTED_VALUE"""),"MPK")</f>
        <v>MPK</v>
      </c>
      <c r="C5450" s="120" t="str">
        <f>IFERROR(__xludf.DUMMYFUNCTION("""COMPUTED_VALUE"""),"Mokpo")</f>
        <v>Mokpo</v>
      </c>
      <c r="D5450" s="120" t="str">
        <f>IFERROR(__xludf.DUMMYFUNCTION("""COMPUTED_VALUE"""),"Korea (South)")</f>
        <v>Korea (South)</v>
      </c>
      <c r="E5450" s="135"/>
      <c r="F5450" s="31"/>
    </row>
    <row r="5451">
      <c r="A5451" s="134" t="str">
        <f>IFERROR(__xludf.DUMMYFUNCTION("""COMPUTED_VALUE"""),"Mokuti Lodge")</f>
        <v>Mokuti Lodge</v>
      </c>
      <c r="B5451" s="120" t="str">
        <f>IFERROR(__xludf.DUMMYFUNCTION("""COMPUTED_VALUE"""),"OKU")</f>
        <v>OKU</v>
      </c>
      <c r="C5451" s="120" t="str">
        <f>IFERROR(__xludf.DUMMYFUNCTION("""COMPUTED_VALUE"""),"Mokuti Lodge")</f>
        <v>Mokuti Lodge</v>
      </c>
      <c r="D5451" s="120" t="str">
        <f>IFERROR(__xludf.DUMMYFUNCTION("""COMPUTED_VALUE"""),"Namibia")</f>
        <v>Namibia</v>
      </c>
      <c r="E5451" s="135"/>
      <c r="F5451" s="31"/>
    </row>
    <row r="5452">
      <c r="A5452" s="134" t="str">
        <f>IFERROR(__xludf.DUMMYFUNCTION("""COMPUTED_VALUE"""),"Molde")</f>
        <v>Molde</v>
      </c>
      <c r="B5452" s="120" t="str">
        <f>IFERROR(__xludf.DUMMYFUNCTION("""COMPUTED_VALUE"""),"MOL")</f>
        <v>MOL</v>
      </c>
      <c r="C5452" s="120" t="str">
        <f>IFERROR(__xludf.DUMMYFUNCTION("""COMPUTED_VALUE"""),"Aro")</f>
        <v>Aro</v>
      </c>
      <c r="D5452" s="120" t="str">
        <f>IFERROR(__xludf.DUMMYFUNCTION("""COMPUTED_VALUE"""),"Norway")</f>
        <v>Norway</v>
      </c>
      <c r="E5452" s="135"/>
      <c r="F5452" s="31"/>
    </row>
    <row r="5453">
      <c r="A5453" s="134" t="str">
        <f>IFERROR(__xludf.DUMMYFUNCTION("""COMPUTED_VALUE"""),"Moline")</f>
        <v>Moline</v>
      </c>
      <c r="B5453" s="120" t="str">
        <f>IFERROR(__xludf.DUMMYFUNCTION("""COMPUTED_VALUE"""),"MLI")</f>
        <v>MLI</v>
      </c>
      <c r="C5453" s="120" t="str">
        <f>IFERROR(__xludf.DUMMYFUNCTION("""COMPUTED_VALUE"""),"Quad-City")</f>
        <v>Quad-City</v>
      </c>
      <c r="D5453" s="120" t="str">
        <f>IFERROR(__xludf.DUMMYFUNCTION("""COMPUTED_VALUE"""),"United States")</f>
        <v>United States</v>
      </c>
      <c r="E5453" s="135"/>
      <c r="F5453" s="31"/>
    </row>
    <row r="5454">
      <c r="A5454" s="134" t="str">
        <f>IFERROR(__xludf.DUMMYFUNCTION("""COMPUTED_VALUE"""),"Moma")</f>
        <v>Moma</v>
      </c>
      <c r="B5454" s="120" t="str">
        <f>IFERROR(__xludf.DUMMYFUNCTION("""COMPUTED_VALUE"""),"MMW")</f>
        <v>MMW</v>
      </c>
      <c r="C5454" s="120" t="str">
        <f>IFERROR(__xludf.DUMMYFUNCTION("""COMPUTED_VALUE"""),"Moma")</f>
        <v>Moma</v>
      </c>
      <c r="D5454" s="120" t="str">
        <f>IFERROR(__xludf.DUMMYFUNCTION("""COMPUTED_VALUE"""),"Mozambique")</f>
        <v>Mozambique</v>
      </c>
      <c r="E5454" s="135"/>
      <c r="F5454" s="31"/>
    </row>
    <row r="5455">
      <c r="A5455" s="134" t="str">
        <f>IFERROR(__xludf.DUMMYFUNCTION("""COMPUTED_VALUE"""),"Mombasa")</f>
        <v>Mombasa</v>
      </c>
      <c r="B5455" s="120" t="str">
        <f>IFERROR(__xludf.DUMMYFUNCTION("""COMPUTED_VALUE"""),"MBA")</f>
        <v>MBA</v>
      </c>
      <c r="C5455" s="120" t="str">
        <f>IFERROR(__xludf.DUMMYFUNCTION("""COMPUTED_VALUE"""),"Moi International")</f>
        <v>Moi International</v>
      </c>
      <c r="D5455" s="120" t="str">
        <f>IFERROR(__xludf.DUMMYFUNCTION("""COMPUTED_VALUE"""),"Kenya")</f>
        <v>Kenya</v>
      </c>
      <c r="E5455" s="135"/>
      <c r="F5455" s="31"/>
    </row>
    <row r="5456">
      <c r="A5456" s="134" t="str">
        <f>IFERROR(__xludf.DUMMYFUNCTION("""COMPUTED_VALUE"""),"Momeik")</f>
        <v>Momeik</v>
      </c>
      <c r="B5456" s="120" t="str">
        <f>IFERROR(__xludf.DUMMYFUNCTION("""COMPUTED_VALUE"""),"MOE")</f>
        <v>MOE</v>
      </c>
      <c r="C5456" s="120" t="str">
        <f>IFERROR(__xludf.DUMMYFUNCTION("""COMPUTED_VALUE"""),"Momeik")</f>
        <v>Momeik</v>
      </c>
      <c r="D5456" s="120" t="str">
        <f>IFERROR(__xludf.DUMMYFUNCTION("""COMPUTED_VALUE"""),"Myanmar")</f>
        <v>Myanmar</v>
      </c>
      <c r="E5456" s="135"/>
      <c r="F5456" s="31"/>
    </row>
    <row r="5457">
      <c r="A5457" s="134" t="str">
        <f>IFERROR(__xludf.DUMMYFUNCTION("""COMPUTED_VALUE"""),"Mompos")</f>
        <v>Mompos</v>
      </c>
      <c r="B5457" s="120" t="str">
        <f>IFERROR(__xludf.DUMMYFUNCTION("""COMPUTED_VALUE"""),"MMP")</f>
        <v>MMP</v>
      </c>
      <c r="C5457" s="120" t="str">
        <f>IFERROR(__xludf.DUMMYFUNCTION("""COMPUTED_VALUE"""),"Mompos")</f>
        <v>Mompos</v>
      </c>
      <c r="D5457" s="120" t="str">
        <f>IFERROR(__xludf.DUMMYFUNCTION("""COMPUTED_VALUE"""),"Colombia")</f>
        <v>Colombia</v>
      </c>
      <c r="E5457" s="135"/>
      <c r="F5457" s="31"/>
    </row>
    <row r="5458">
      <c r="A5458" s="134" t="str">
        <f>IFERROR(__xludf.DUMMYFUNCTION("""COMPUTED_VALUE"""),"Monahans")</f>
        <v>Monahans</v>
      </c>
      <c r="B5458" s="120" t="str">
        <f>IFERROR(__xludf.DUMMYFUNCTION("""COMPUTED_VALUE"""),"MIF")</f>
        <v>MIF</v>
      </c>
      <c r="C5458" s="120" t="str">
        <f>IFERROR(__xludf.DUMMYFUNCTION("""COMPUTED_VALUE"""),"Roy Hurd Memorial")</f>
        <v>Roy Hurd Memorial</v>
      </c>
      <c r="D5458" s="120" t="str">
        <f>IFERROR(__xludf.DUMMYFUNCTION("""COMPUTED_VALUE"""),"United States")</f>
        <v>United States</v>
      </c>
      <c r="E5458" s="135"/>
      <c r="F5458" s="31"/>
    </row>
    <row r="5459">
      <c r="A5459" s="134" t="str">
        <f>IFERROR(__xludf.DUMMYFUNCTION("""COMPUTED_VALUE"""),"Monbetsu")</f>
        <v>Monbetsu</v>
      </c>
      <c r="B5459" s="120" t="str">
        <f>IFERROR(__xludf.DUMMYFUNCTION("""COMPUTED_VALUE"""),"MBE")</f>
        <v>MBE</v>
      </c>
      <c r="C5459" s="120" t="str">
        <f>IFERROR(__xludf.DUMMYFUNCTION("""COMPUTED_VALUE"""),"Monbetsu")</f>
        <v>Monbetsu</v>
      </c>
      <c r="D5459" s="120" t="str">
        <f>IFERROR(__xludf.DUMMYFUNCTION("""COMPUTED_VALUE"""),"Japan")</f>
        <v>Japan</v>
      </c>
      <c r="E5459" s="135"/>
      <c r="F5459" s="31"/>
    </row>
    <row r="5460">
      <c r="A5460" s="134" t="str">
        <f>IFERROR(__xludf.DUMMYFUNCTION("""COMPUTED_VALUE"""),"Monclova")</f>
        <v>Monclova</v>
      </c>
      <c r="B5460" s="120" t="str">
        <f>IFERROR(__xludf.DUMMYFUNCTION("""COMPUTED_VALUE"""),"LOV")</f>
        <v>LOV</v>
      </c>
      <c r="C5460" s="120" t="str">
        <f>IFERROR(__xludf.DUMMYFUNCTION("""COMPUTED_VALUE"""),"Monclova")</f>
        <v>Monclova</v>
      </c>
      <c r="D5460" s="120" t="str">
        <f>IFERROR(__xludf.DUMMYFUNCTION("""COMPUTED_VALUE"""),"Mexico")</f>
        <v>Mexico</v>
      </c>
      <c r="E5460" s="135"/>
      <c r="F5460" s="31"/>
    </row>
    <row r="5461">
      <c r="A5461" s="134" t="str">
        <f>IFERROR(__xludf.DUMMYFUNCTION("""COMPUTED_VALUE"""),"Monfort")</f>
        <v>Monfort</v>
      </c>
      <c r="B5461" s="120" t="str">
        <f>IFERROR(__xludf.DUMMYFUNCTION("""COMPUTED_VALUE"""),"MFB")</f>
        <v>MFB</v>
      </c>
      <c r="C5461" s="120" t="str">
        <f>IFERROR(__xludf.DUMMYFUNCTION("""COMPUTED_VALUE"""),"Monfort")</f>
        <v>Monfort</v>
      </c>
      <c r="D5461" s="120" t="str">
        <f>IFERROR(__xludf.DUMMYFUNCTION("""COMPUTED_VALUE"""),"Colombia")</f>
        <v>Colombia</v>
      </c>
      <c r="E5461" s="135"/>
      <c r="F5461" s="31"/>
    </row>
    <row r="5462">
      <c r="A5462" s="134" t="str">
        <f>IFERROR(__xludf.DUMMYFUNCTION("""COMPUTED_VALUE"""),"Mong Hsat")</f>
        <v>Mong Hsat</v>
      </c>
      <c r="B5462" s="120" t="str">
        <f>IFERROR(__xludf.DUMMYFUNCTION("""COMPUTED_VALUE"""),"MOG")</f>
        <v>MOG</v>
      </c>
      <c r="C5462" s="120" t="str">
        <f>IFERROR(__xludf.DUMMYFUNCTION("""COMPUTED_VALUE"""),"Mong Hsat")</f>
        <v>Mong Hsat</v>
      </c>
      <c r="D5462" s="120" t="str">
        <f>IFERROR(__xludf.DUMMYFUNCTION("""COMPUTED_VALUE"""),"Myanmar")</f>
        <v>Myanmar</v>
      </c>
      <c r="E5462" s="135"/>
      <c r="F5462" s="31"/>
    </row>
    <row r="5463">
      <c r="A5463" s="134" t="str">
        <f>IFERROR(__xludf.DUMMYFUNCTION("""COMPUTED_VALUE"""),"Mong Ton")</f>
        <v>Mong Ton</v>
      </c>
      <c r="B5463" s="120" t="str">
        <f>IFERROR(__xludf.DUMMYFUNCTION("""COMPUTED_VALUE"""),"MGK")</f>
        <v>MGK</v>
      </c>
      <c r="C5463" s="120" t="str">
        <f>IFERROR(__xludf.DUMMYFUNCTION("""COMPUTED_VALUE"""),"Mong Ton")</f>
        <v>Mong Ton</v>
      </c>
      <c r="D5463" s="120" t="str">
        <f>IFERROR(__xludf.DUMMYFUNCTION("""COMPUTED_VALUE"""),"Myanmar")</f>
        <v>Myanmar</v>
      </c>
      <c r="E5463" s="135"/>
      <c r="F5463" s="31"/>
    </row>
    <row r="5464">
      <c r="A5464" s="134" t="str">
        <f>IFERROR(__xludf.DUMMYFUNCTION("""COMPUTED_VALUE"""),"Mongo")</f>
        <v>Mongo</v>
      </c>
      <c r="B5464" s="120" t="str">
        <f>IFERROR(__xludf.DUMMYFUNCTION("""COMPUTED_VALUE"""),"MVO")</f>
        <v>MVO</v>
      </c>
      <c r="C5464" s="120" t="str">
        <f>IFERROR(__xludf.DUMMYFUNCTION("""COMPUTED_VALUE"""),"Mongo")</f>
        <v>Mongo</v>
      </c>
      <c r="D5464" s="120" t="str">
        <f>IFERROR(__xludf.DUMMYFUNCTION("""COMPUTED_VALUE"""),"Chad")</f>
        <v>Chad</v>
      </c>
      <c r="E5464" s="135"/>
      <c r="F5464" s="31"/>
    </row>
    <row r="5465">
      <c r="A5465" s="134" t="str">
        <f>IFERROR(__xludf.DUMMYFUNCTION("""COMPUTED_VALUE"""),"Mongu")</f>
        <v>Mongu</v>
      </c>
      <c r="B5465" s="120" t="str">
        <f>IFERROR(__xludf.DUMMYFUNCTION("""COMPUTED_VALUE"""),"MNR")</f>
        <v>MNR</v>
      </c>
      <c r="C5465" s="120" t="str">
        <f>IFERROR(__xludf.DUMMYFUNCTION("""COMPUTED_VALUE"""),"Mongu")</f>
        <v>Mongu</v>
      </c>
      <c r="D5465" s="120" t="str">
        <f>IFERROR(__xludf.DUMMYFUNCTION("""COMPUTED_VALUE"""),"Zambia")</f>
        <v>Zambia</v>
      </c>
      <c r="E5465" s="135"/>
      <c r="F5465" s="31"/>
    </row>
    <row r="5466">
      <c r="A5466" s="134" t="str">
        <f>IFERROR(__xludf.DUMMYFUNCTION("""COMPUTED_VALUE"""),"Monkey Bay")</f>
        <v>Monkey Bay</v>
      </c>
      <c r="B5466" s="120" t="str">
        <f>IFERROR(__xludf.DUMMYFUNCTION("""COMPUTED_VALUE"""),"MYZ")</f>
        <v>MYZ</v>
      </c>
      <c r="C5466" s="120" t="str">
        <f>IFERROR(__xludf.DUMMYFUNCTION("""COMPUTED_VALUE"""),"Monkey Bay")</f>
        <v>Monkey Bay</v>
      </c>
      <c r="D5466" s="120" t="str">
        <f>IFERROR(__xludf.DUMMYFUNCTION("""COMPUTED_VALUE"""),"Malawi")</f>
        <v>Malawi</v>
      </c>
      <c r="E5466" s="135"/>
      <c r="F5466" s="31"/>
    </row>
    <row r="5467">
      <c r="A5467" s="134" t="str">
        <f>IFERROR(__xludf.DUMMYFUNCTION("""COMPUTED_VALUE"""),"Monkey Mia")</f>
        <v>Monkey Mia</v>
      </c>
      <c r="B5467" s="120" t="str">
        <f>IFERROR(__xludf.DUMMYFUNCTION("""COMPUTED_VALUE"""),"MJK")</f>
        <v>MJK</v>
      </c>
      <c r="C5467" s="120" t="str">
        <f>IFERROR(__xludf.DUMMYFUNCTION("""COMPUTED_VALUE"""),"Shark Bay")</f>
        <v>Shark Bay</v>
      </c>
      <c r="D5467" s="120" t="str">
        <f>IFERROR(__xludf.DUMMYFUNCTION("""COMPUTED_VALUE"""),"Australia")</f>
        <v>Australia</v>
      </c>
      <c r="E5467" s="135"/>
      <c r="F5467" s="31"/>
    </row>
    <row r="5468">
      <c r="A5468" s="134" t="str">
        <f>IFERROR(__xludf.DUMMYFUNCTION("""COMPUTED_VALUE"""),"Monkey Mountain")</f>
        <v>Monkey Mountain</v>
      </c>
      <c r="B5468" s="120" t="str">
        <f>IFERROR(__xludf.DUMMYFUNCTION("""COMPUTED_VALUE"""),"MYM")</f>
        <v>MYM</v>
      </c>
      <c r="C5468" s="120" t="str">
        <f>IFERROR(__xludf.DUMMYFUNCTION("""COMPUTED_VALUE"""),"Monkey Mountain")</f>
        <v>Monkey Mountain</v>
      </c>
      <c r="D5468" s="120" t="str">
        <f>IFERROR(__xludf.DUMMYFUNCTION("""COMPUTED_VALUE"""),"Guyana")</f>
        <v>Guyana</v>
      </c>
      <c r="E5468" s="135"/>
      <c r="F5468" s="31"/>
    </row>
    <row r="5469">
      <c r="A5469" s="134" t="str">
        <f>IFERROR(__xludf.DUMMYFUNCTION("""COMPUTED_VALUE"""),"Monkira")</f>
        <v>Monkira</v>
      </c>
      <c r="B5469" s="120" t="str">
        <f>IFERROR(__xludf.DUMMYFUNCTION("""COMPUTED_VALUE"""),"ONR")</f>
        <v>ONR</v>
      </c>
      <c r="C5469" s="120" t="str">
        <f>IFERROR(__xludf.DUMMYFUNCTION("""COMPUTED_VALUE"""),"Monkira")</f>
        <v>Monkira</v>
      </c>
      <c r="D5469" s="120" t="str">
        <f>IFERROR(__xludf.DUMMYFUNCTION("""COMPUTED_VALUE"""),"Australia")</f>
        <v>Australia</v>
      </c>
      <c r="E5469" s="135"/>
      <c r="F5469" s="31"/>
    </row>
    <row r="5470">
      <c r="A5470" s="134" t="str">
        <f>IFERROR(__xludf.DUMMYFUNCTION("""COMPUTED_VALUE"""),"Mono")</f>
        <v>Mono</v>
      </c>
      <c r="B5470" s="120" t="str">
        <f>IFERROR(__xludf.DUMMYFUNCTION("""COMPUTED_VALUE"""),"MNY")</f>
        <v>MNY</v>
      </c>
      <c r="C5470" s="120" t="str">
        <f>IFERROR(__xludf.DUMMYFUNCTION("""COMPUTED_VALUE"""),"Mono")</f>
        <v>Mono</v>
      </c>
      <c r="D5470" s="120" t="str">
        <f>IFERROR(__xludf.DUMMYFUNCTION("""COMPUTED_VALUE"""),"Solomon Islands")</f>
        <v>Solomon Islands</v>
      </c>
      <c r="E5470" s="135"/>
      <c r="F5470" s="31"/>
    </row>
    <row r="5471">
      <c r="A5471" s="134" t="str">
        <f>IFERROR(__xludf.DUMMYFUNCTION("""COMPUTED_VALUE"""),"Monroe")</f>
        <v>Monroe</v>
      </c>
      <c r="B5471" s="120" t="str">
        <f>IFERROR(__xludf.DUMMYFUNCTION("""COMPUTED_VALUE"""),"MLU")</f>
        <v>MLU</v>
      </c>
      <c r="C5471" s="120" t="str">
        <f>IFERROR(__xludf.DUMMYFUNCTION("""COMPUTED_VALUE"""),"Municipal")</f>
        <v>Municipal</v>
      </c>
      <c r="D5471" s="120" t="str">
        <f>IFERROR(__xludf.DUMMYFUNCTION("""COMPUTED_VALUE"""),"United States")</f>
        <v>United States</v>
      </c>
      <c r="E5471" s="135"/>
      <c r="F5471" s="31"/>
    </row>
    <row r="5472">
      <c r="A5472" s="134" t="str">
        <f>IFERROR(__xludf.DUMMYFUNCTION("""COMPUTED_VALUE"""),"Monroe")</f>
        <v>Monroe</v>
      </c>
      <c r="B5472" s="120" t="str">
        <f>IFERROR(__xludf.DUMMYFUNCTION("""COMPUTED_VALUE"""),"MVC")</f>
        <v>MVC</v>
      </c>
      <c r="C5472" s="120" t="str">
        <f>IFERROR(__xludf.DUMMYFUNCTION("""COMPUTED_VALUE"""),"Monroe - Walton County")</f>
        <v>Monroe - Walton County</v>
      </c>
      <c r="D5472" s="120" t="str">
        <f>IFERROR(__xludf.DUMMYFUNCTION("""COMPUTED_VALUE"""),"United States")</f>
        <v>United States</v>
      </c>
      <c r="E5472" s="135"/>
      <c r="F5472" s="31"/>
    </row>
    <row r="5473">
      <c r="A5473" s="134" t="str">
        <f>IFERROR(__xludf.DUMMYFUNCTION("""COMPUTED_VALUE"""),"Monrovia")</f>
        <v>Monrovia</v>
      </c>
      <c r="B5473" s="120" t="str">
        <f>IFERROR(__xludf.DUMMYFUNCTION("""COMPUTED_VALUE"""),"ROB")</f>
        <v>ROB</v>
      </c>
      <c r="C5473" s="120" t="str">
        <f>IFERROR(__xludf.DUMMYFUNCTION("""COMPUTED_VALUE"""),"Roberts Intl")</f>
        <v>Roberts Intl</v>
      </c>
      <c r="D5473" s="120" t="str">
        <f>IFERROR(__xludf.DUMMYFUNCTION("""COMPUTED_VALUE"""),"Liberia")</f>
        <v>Liberia</v>
      </c>
      <c r="E5473" s="135"/>
      <c r="F5473" s="31"/>
    </row>
    <row r="5474">
      <c r="A5474" s="134" t="str">
        <f>IFERROR(__xludf.DUMMYFUNCTION("""COMPUTED_VALUE"""),"Monrovia")</f>
        <v>Monrovia</v>
      </c>
      <c r="B5474" s="120" t="str">
        <f>IFERROR(__xludf.DUMMYFUNCTION("""COMPUTED_VALUE"""),"MLW")</f>
        <v>MLW</v>
      </c>
      <c r="C5474" s="120" t="str">
        <f>IFERROR(__xludf.DUMMYFUNCTION("""COMPUTED_VALUE"""),"Sprigg Payne")</f>
        <v>Sprigg Payne</v>
      </c>
      <c r="D5474" s="120" t="str">
        <f>IFERROR(__xludf.DUMMYFUNCTION("""COMPUTED_VALUE"""),"Liberia")</f>
        <v>Liberia</v>
      </c>
      <c r="E5474" s="135"/>
      <c r="F5474" s="31"/>
    </row>
    <row r="5475">
      <c r="A5475" s="134" t="str">
        <f>IFERROR(__xludf.DUMMYFUNCTION("""COMPUTED_VALUE"""),"Mont Joli")</f>
        <v>Mont Joli</v>
      </c>
      <c r="B5475" s="120" t="str">
        <f>IFERROR(__xludf.DUMMYFUNCTION("""COMPUTED_VALUE"""),"YYY")</f>
        <v>YYY</v>
      </c>
      <c r="C5475" s="120" t="str">
        <f>IFERROR(__xludf.DUMMYFUNCTION("""COMPUTED_VALUE"""),"Mont Joli")</f>
        <v>Mont Joli</v>
      </c>
      <c r="D5475" s="120" t="str">
        <f>IFERROR(__xludf.DUMMYFUNCTION("""COMPUTED_VALUE"""),"Canada")</f>
        <v>Canada</v>
      </c>
      <c r="E5475" s="135"/>
      <c r="F5475" s="31"/>
    </row>
    <row r="5476">
      <c r="A5476" s="134" t="str">
        <f>IFERROR(__xludf.DUMMYFUNCTION("""COMPUTED_VALUE"""),"Mont Tremblant")</f>
        <v>Mont Tremblant</v>
      </c>
      <c r="B5476" s="120" t="str">
        <f>IFERROR(__xludf.DUMMYFUNCTION("""COMPUTED_VALUE"""),"YTM")</f>
        <v>YTM</v>
      </c>
      <c r="C5476" s="120" t="str">
        <f>IFERROR(__xludf.DUMMYFUNCTION("""COMPUTED_VALUE"""),"La Macaza")</f>
        <v>La Macaza</v>
      </c>
      <c r="D5476" s="120" t="str">
        <f>IFERROR(__xludf.DUMMYFUNCTION("""COMPUTED_VALUE"""),"Canada")</f>
        <v>Canada</v>
      </c>
      <c r="E5476" s="135"/>
      <c r="F5476" s="31"/>
    </row>
    <row r="5477">
      <c r="A5477" s="134" t="str">
        <f>IFERROR(__xludf.DUMMYFUNCTION("""COMPUTED_VALUE"""),"Montagne Harbor")</f>
        <v>Montagne Harbor</v>
      </c>
      <c r="B5477" s="120" t="str">
        <f>IFERROR(__xludf.DUMMYFUNCTION("""COMPUTED_VALUE"""),"YMF")</f>
        <v>YMF</v>
      </c>
      <c r="C5477" s="120" t="str">
        <f>IFERROR(__xludf.DUMMYFUNCTION("""COMPUTED_VALUE"""),"Montagne Harbor")</f>
        <v>Montagne Harbor</v>
      </c>
      <c r="D5477" s="120" t="str">
        <f>IFERROR(__xludf.DUMMYFUNCTION("""COMPUTED_VALUE"""),"Canada")</f>
        <v>Canada</v>
      </c>
      <c r="E5477" s="135"/>
      <c r="F5477" s="31"/>
    </row>
    <row r="5478">
      <c r="A5478" s="134" t="str">
        <f>IFERROR(__xludf.DUMMYFUNCTION("""COMPUTED_VALUE"""),"Montague")</f>
        <v>Montague</v>
      </c>
      <c r="B5478" s="120" t="str">
        <f>IFERROR(__xludf.DUMMYFUNCTION("""COMPUTED_VALUE"""),"SIY")</f>
        <v>SIY</v>
      </c>
      <c r="C5478" s="120" t="str">
        <f>IFERROR(__xludf.DUMMYFUNCTION("""COMPUTED_VALUE"""),"Siskiyou County")</f>
        <v>Siskiyou County</v>
      </c>
      <c r="D5478" s="120" t="str">
        <f>IFERROR(__xludf.DUMMYFUNCTION("""COMPUTED_VALUE"""),"United States")</f>
        <v>United States</v>
      </c>
      <c r="E5478" s="135"/>
      <c r="F5478" s="31"/>
    </row>
    <row r="5479">
      <c r="A5479" s="134" t="str">
        <f>IFERROR(__xludf.DUMMYFUNCTION("""COMPUTED_VALUE"""),"Montauk")</f>
        <v>Montauk</v>
      </c>
      <c r="B5479" s="120" t="str">
        <f>IFERROR(__xludf.DUMMYFUNCTION("""COMPUTED_VALUE"""),"MTP")</f>
        <v>MTP</v>
      </c>
      <c r="C5479" s="120" t="str">
        <f>IFERROR(__xludf.DUMMYFUNCTION("""COMPUTED_VALUE"""),"Sky Portal")</f>
        <v>Sky Portal</v>
      </c>
      <c r="D5479" s="120" t="str">
        <f>IFERROR(__xludf.DUMMYFUNCTION("""COMPUTED_VALUE"""),"United States")</f>
        <v>United States</v>
      </c>
      <c r="E5479" s="135"/>
      <c r="F5479" s="31"/>
    </row>
    <row r="5480">
      <c r="A5480" s="134" t="str">
        <f>IFERROR(__xludf.DUMMYFUNCTION("""COMPUTED_VALUE"""),"Monte Alegre")</f>
        <v>Monte Alegre</v>
      </c>
      <c r="B5480" s="120" t="str">
        <f>IFERROR(__xludf.DUMMYFUNCTION("""COMPUTED_VALUE"""),"MTE")</f>
        <v>MTE</v>
      </c>
      <c r="C5480" s="120" t="str">
        <f>IFERROR(__xludf.DUMMYFUNCTION("""COMPUTED_VALUE"""),"Monte Alegre")</f>
        <v>Monte Alegre</v>
      </c>
      <c r="D5480" s="120" t="str">
        <f>IFERROR(__xludf.DUMMYFUNCTION("""COMPUTED_VALUE"""),"Brazil")</f>
        <v>Brazil</v>
      </c>
      <c r="E5480" s="135"/>
      <c r="F5480" s="31"/>
    </row>
    <row r="5481">
      <c r="A5481" s="134" t="str">
        <f>IFERROR(__xludf.DUMMYFUNCTION("""COMPUTED_VALUE"""),"Monte Carlo")</f>
        <v>Monte Carlo</v>
      </c>
      <c r="B5481" s="120" t="str">
        <f>IFERROR(__xludf.DUMMYFUNCTION("""COMPUTED_VALUE"""),"MCM")</f>
        <v>MCM</v>
      </c>
      <c r="C5481" s="120" t="str">
        <f>IFERROR(__xludf.DUMMYFUNCTION("""COMPUTED_VALUE"""),"Heliport")</f>
        <v>Heliport</v>
      </c>
      <c r="D5481" s="120" t="str">
        <f>IFERROR(__xludf.DUMMYFUNCTION("""COMPUTED_VALUE"""),"Monaco")</f>
        <v>Monaco</v>
      </c>
      <c r="E5481" s="135"/>
      <c r="F5481" s="31"/>
    </row>
    <row r="5482">
      <c r="A5482" s="134" t="str">
        <f>IFERROR(__xludf.DUMMYFUNCTION("""COMPUTED_VALUE"""),"Monte Caseros")</f>
        <v>Monte Caseros</v>
      </c>
      <c r="B5482" s="120" t="str">
        <f>IFERROR(__xludf.DUMMYFUNCTION("""COMPUTED_VALUE"""),"MCS")</f>
        <v>MCS</v>
      </c>
      <c r="C5482" s="120" t="str">
        <f>IFERROR(__xludf.DUMMYFUNCTION("""COMPUTED_VALUE"""),"Monte Caseros")</f>
        <v>Monte Caseros</v>
      </c>
      <c r="D5482" s="120" t="str">
        <f>IFERROR(__xludf.DUMMYFUNCTION("""COMPUTED_VALUE"""),"Argentina")</f>
        <v>Argentina</v>
      </c>
      <c r="E5482" s="135"/>
      <c r="F5482" s="31"/>
    </row>
    <row r="5483">
      <c r="A5483" s="134" t="str">
        <f>IFERROR(__xludf.DUMMYFUNCTION("""COMPUTED_VALUE"""),"Monte Dourado")</f>
        <v>Monte Dourado</v>
      </c>
      <c r="B5483" s="120" t="str">
        <f>IFERROR(__xludf.DUMMYFUNCTION("""COMPUTED_VALUE"""),"MEU")</f>
        <v>MEU</v>
      </c>
      <c r="C5483" s="120" t="str">
        <f>IFERROR(__xludf.DUMMYFUNCTION("""COMPUTED_VALUE"""),"Monte Dourado")</f>
        <v>Monte Dourado</v>
      </c>
      <c r="D5483" s="120" t="str">
        <f>IFERROR(__xludf.DUMMYFUNCTION("""COMPUTED_VALUE"""),"Brazil")</f>
        <v>Brazil</v>
      </c>
      <c r="E5483" s="135"/>
      <c r="F5483" s="31"/>
    </row>
    <row r="5484">
      <c r="A5484" s="134" t="str">
        <f>IFERROR(__xludf.DUMMYFUNCTION("""COMPUTED_VALUE"""),"Monte Libano")</f>
        <v>Monte Libano</v>
      </c>
      <c r="B5484" s="120" t="str">
        <f>IFERROR(__xludf.DUMMYFUNCTION("""COMPUTED_VALUE"""),"MTB")</f>
        <v>MTB</v>
      </c>
      <c r="C5484" s="120" t="str">
        <f>IFERROR(__xludf.DUMMYFUNCTION("""COMPUTED_VALUE"""),"Monte Libano")</f>
        <v>Monte Libano</v>
      </c>
      <c r="D5484" s="120" t="str">
        <f>IFERROR(__xludf.DUMMYFUNCTION("""COMPUTED_VALUE"""),"Colombia")</f>
        <v>Colombia</v>
      </c>
      <c r="E5484" s="135"/>
      <c r="F5484" s="31"/>
    </row>
    <row r="5485">
      <c r="A5485" s="134" t="str">
        <f>IFERROR(__xludf.DUMMYFUNCTION("""COMPUTED_VALUE"""),"Monteagudo")</f>
        <v>Monteagudo</v>
      </c>
      <c r="B5485" s="120" t="str">
        <f>IFERROR(__xludf.DUMMYFUNCTION("""COMPUTED_VALUE"""),"MHW")</f>
        <v>MHW</v>
      </c>
      <c r="C5485" s="120" t="str">
        <f>IFERROR(__xludf.DUMMYFUNCTION("""COMPUTED_VALUE"""),"Monteagudo")</f>
        <v>Monteagudo</v>
      </c>
      <c r="D5485" s="120" t="str">
        <f>IFERROR(__xludf.DUMMYFUNCTION("""COMPUTED_VALUE"""),"Bolivia")</f>
        <v>Bolivia</v>
      </c>
      <c r="E5485" s="135"/>
      <c r="F5485" s="31"/>
    </row>
    <row r="5486">
      <c r="A5486" s="134" t="str">
        <f>IFERROR(__xludf.DUMMYFUNCTION("""COMPUTED_VALUE"""),"Montego Bay")</f>
        <v>Montego Bay</v>
      </c>
      <c r="B5486" s="120" t="str">
        <f>IFERROR(__xludf.DUMMYFUNCTION("""COMPUTED_VALUE"""),"MBJ")</f>
        <v>MBJ</v>
      </c>
      <c r="C5486" s="120" t="str">
        <f>IFERROR(__xludf.DUMMYFUNCTION("""COMPUTED_VALUE"""),"Sangster International")</f>
        <v>Sangster International</v>
      </c>
      <c r="D5486" s="120" t="str">
        <f>IFERROR(__xludf.DUMMYFUNCTION("""COMPUTED_VALUE"""),"Jamaica")</f>
        <v>Jamaica</v>
      </c>
      <c r="E5486" s="135"/>
      <c r="F5486" s="31"/>
    </row>
    <row r="5487">
      <c r="A5487" s="134" t="str">
        <f>IFERROR(__xludf.DUMMYFUNCTION("""COMPUTED_VALUE"""),"Montepuez")</f>
        <v>Montepuez</v>
      </c>
      <c r="B5487" s="120" t="str">
        <f>IFERROR(__xludf.DUMMYFUNCTION("""COMPUTED_VALUE"""),"MTU")</f>
        <v>MTU</v>
      </c>
      <c r="C5487" s="120" t="str">
        <f>IFERROR(__xludf.DUMMYFUNCTION("""COMPUTED_VALUE"""),"Montepuez")</f>
        <v>Montepuez</v>
      </c>
      <c r="D5487" s="120" t="str">
        <f>IFERROR(__xludf.DUMMYFUNCTION("""COMPUTED_VALUE"""),"Mozambique")</f>
        <v>Mozambique</v>
      </c>
      <c r="E5487" s="135"/>
      <c r="F5487" s="31"/>
    </row>
    <row r="5488">
      <c r="A5488" s="134" t="str">
        <f>IFERROR(__xludf.DUMMYFUNCTION("""COMPUTED_VALUE"""),"Chicago")</f>
        <v>Chicago</v>
      </c>
      <c r="B5488" s="120" t="str">
        <f>IFERROR(__xludf.DUMMYFUNCTION("""COMPUTED_VALUE"""),"OAR")</f>
        <v>OAR</v>
      </c>
      <c r="C5488" s="120" t="str">
        <f>IFERROR(__xludf.DUMMYFUNCTION("""COMPUTED_VALUE"""),"Ohara International")</f>
        <v>Ohara International</v>
      </c>
      <c r="D5488" s="120" t="str">
        <f>IFERROR(__xludf.DUMMYFUNCTION("""COMPUTED_VALUE"""),"United States")</f>
        <v>United States</v>
      </c>
      <c r="E5488" s="135"/>
      <c r="F5488" s="31"/>
    </row>
    <row r="5489">
      <c r="A5489" s="134" t="str">
        <f>IFERROR(__xludf.DUMMYFUNCTION("""COMPUTED_VALUE"""),"Monterey")</f>
        <v>Monterey</v>
      </c>
      <c r="B5489" s="120" t="str">
        <f>IFERROR(__xludf.DUMMYFUNCTION("""COMPUTED_VALUE"""),"MRY")</f>
        <v>MRY</v>
      </c>
      <c r="C5489" s="120" t="str">
        <f>IFERROR(__xludf.DUMMYFUNCTION("""COMPUTED_VALUE"""),"Monterey Peninsula")</f>
        <v>Monterey Peninsula</v>
      </c>
      <c r="D5489" s="120" t="str">
        <f>IFERROR(__xludf.DUMMYFUNCTION("""COMPUTED_VALUE"""),"United States")</f>
        <v>United States</v>
      </c>
      <c r="E5489" s="135"/>
      <c r="F5489" s="31"/>
    </row>
    <row r="5490">
      <c r="A5490" s="134" t="str">
        <f>IFERROR(__xludf.DUMMYFUNCTION("""COMPUTED_VALUE"""),"Monteria")</f>
        <v>Monteria</v>
      </c>
      <c r="B5490" s="120" t="str">
        <f>IFERROR(__xludf.DUMMYFUNCTION("""COMPUTED_VALUE"""),"MTR")</f>
        <v>MTR</v>
      </c>
      <c r="C5490" s="120" t="str">
        <f>IFERROR(__xludf.DUMMYFUNCTION("""COMPUTED_VALUE"""),"S. Jeronimo")</f>
        <v>S. Jeronimo</v>
      </c>
      <c r="D5490" s="120" t="str">
        <f>IFERROR(__xludf.DUMMYFUNCTION("""COMPUTED_VALUE"""),"Colombia")</f>
        <v>Colombia</v>
      </c>
      <c r="E5490" s="135"/>
      <c r="F5490" s="31"/>
    </row>
    <row r="5491">
      <c r="A5491" s="134" t="str">
        <f>IFERROR(__xludf.DUMMYFUNCTION("""COMPUTED_VALUE"""),"Monterrey")</f>
        <v>Monterrey</v>
      </c>
      <c r="B5491" s="120" t="str">
        <f>IFERROR(__xludf.DUMMYFUNCTION("""COMPUTED_VALUE"""),"MOY")</f>
        <v>MOY</v>
      </c>
      <c r="C5491" s="120" t="str">
        <f>IFERROR(__xludf.DUMMYFUNCTION("""COMPUTED_VALUE"""),"Monterrey")</f>
        <v>Monterrey</v>
      </c>
      <c r="D5491" s="120" t="str">
        <f>IFERROR(__xludf.DUMMYFUNCTION("""COMPUTED_VALUE"""),"Colombia")</f>
        <v>Colombia</v>
      </c>
      <c r="E5491" s="135"/>
      <c r="F5491" s="31"/>
    </row>
    <row r="5492">
      <c r="A5492" s="134" t="str">
        <f>IFERROR(__xludf.DUMMYFUNCTION("""COMPUTED_VALUE"""),"Monterrey")</f>
        <v>Monterrey</v>
      </c>
      <c r="B5492" s="120" t="str">
        <f>IFERROR(__xludf.DUMMYFUNCTION("""COMPUTED_VALUE"""),"NTR")</f>
        <v>NTR</v>
      </c>
      <c r="C5492" s="120" t="str">
        <f>IFERROR(__xludf.DUMMYFUNCTION("""COMPUTED_VALUE"""),"Aeropuerto Del Norte")</f>
        <v>Aeropuerto Del Norte</v>
      </c>
      <c r="D5492" s="120" t="str">
        <f>IFERROR(__xludf.DUMMYFUNCTION("""COMPUTED_VALUE"""),"Mexico")</f>
        <v>Mexico</v>
      </c>
      <c r="E5492" s="135"/>
      <c r="F5492" s="31"/>
    </row>
    <row r="5493">
      <c r="A5493" s="134" t="str">
        <f>IFERROR(__xludf.DUMMYFUNCTION("""COMPUTED_VALUE"""),"Monterrey")</f>
        <v>Monterrey</v>
      </c>
      <c r="B5493" s="120" t="str">
        <f>IFERROR(__xludf.DUMMYFUNCTION("""COMPUTED_VALUE"""),"MTY")</f>
        <v>MTY</v>
      </c>
      <c r="C5493" s="120" t="str">
        <f>IFERROR(__xludf.DUMMYFUNCTION("""COMPUTED_VALUE"""),"Gen Mariano Escobedo")</f>
        <v>Gen Mariano Escobedo</v>
      </c>
      <c r="D5493" s="120" t="str">
        <f>IFERROR(__xludf.DUMMYFUNCTION("""COMPUTED_VALUE"""),"Mexico")</f>
        <v>Mexico</v>
      </c>
      <c r="E5493" s="135"/>
      <c r="F5493" s="31"/>
    </row>
    <row r="5494">
      <c r="A5494" s="134" t="str">
        <f>IFERROR(__xludf.DUMMYFUNCTION("""COMPUTED_VALUE"""),"Montes Claros")</f>
        <v>Montes Claros</v>
      </c>
      <c r="B5494" s="120" t="str">
        <f>IFERROR(__xludf.DUMMYFUNCTION("""COMPUTED_VALUE"""),"MOC")</f>
        <v>MOC</v>
      </c>
      <c r="C5494" s="120" t="str">
        <f>IFERROR(__xludf.DUMMYFUNCTION("""COMPUTED_VALUE"""),"Montes Claros")</f>
        <v>Montes Claros</v>
      </c>
      <c r="D5494" s="120" t="str">
        <f>IFERROR(__xludf.DUMMYFUNCTION("""COMPUTED_VALUE"""),"Brazil")</f>
        <v>Brazil</v>
      </c>
      <c r="E5494" s="135"/>
      <c r="F5494" s="31"/>
    </row>
    <row r="5495">
      <c r="A5495" s="134" t="str">
        <f>IFERROR(__xludf.DUMMYFUNCTION("""COMPUTED_VALUE"""),"Montevideo")</f>
        <v>Montevideo</v>
      </c>
      <c r="B5495" s="120" t="str">
        <f>IFERROR(__xludf.DUMMYFUNCTION("""COMPUTED_VALUE"""),"MVE")</f>
        <v>MVE</v>
      </c>
      <c r="C5495" s="120" t="str">
        <f>IFERROR(__xludf.DUMMYFUNCTION("""COMPUTED_VALUE"""),"Municipal")</f>
        <v>Municipal</v>
      </c>
      <c r="D5495" s="120" t="str">
        <f>IFERROR(__xludf.DUMMYFUNCTION("""COMPUTED_VALUE"""),"MINNESOTA""")</f>
        <v>MINNESOTA"</v>
      </c>
      <c r="E5495" s="135"/>
      <c r="F5495" s="31"/>
    </row>
    <row r="5496">
      <c r="A5496" s="134" t="str">
        <f>IFERROR(__xludf.DUMMYFUNCTION("""COMPUTED_VALUE"""),"Montevideo")</f>
        <v>Montevideo</v>
      </c>
      <c r="B5496" s="120" t="str">
        <f>IFERROR(__xludf.DUMMYFUNCTION("""COMPUTED_VALUE"""),"MVD")</f>
        <v>MVD</v>
      </c>
      <c r="C5496" s="120" t="str">
        <f>IFERROR(__xludf.DUMMYFUNCTION("""COMPUTED_VALUE"""),"Carrasco International Airport")</f>
        <v>Carrasco International Airport</v>
      </c>
      <c r="D5496" s="120" t="str">
        <f>IFERROR(__xludf.DUMMYFUNCTION("""COMPUTED_VALUE"""),"Uruguay")</f>
        <v>Uruguay</v>
      </c>
      <c r="E5496" s="135"/>
      <c r="F5496" s="31"/>
    </row>
    <row r="5497">
      <c r="A5497" s="134" t="str">
        <f>IFERROR(__xludf.DUMMYFUNCTION("""COMPUTED_VALUE"""),"Montgomery")</f>
        <v>Montgomery</v>
      </c>
      <c r="B5497" s="120" t="str">
        <f>IFERROR(__xludf.DUMMYFUNCTION("""COMPUTED_VALUE"""),"MGM")</f>
        <v>MGM</v>
      </c>
      <c r="C5497" s="120" t="str">
        <f>IFERROR(__xludf.DUMMYFUNCTION("""COMPUTED_VALUE"""),"Dannelly Fld")</f>
        <v>Dannelly Fld</v>
      </c>
      <c r="D5497" s="120" t="str">
        <f>IFERROR(__xludf.DUMMYFUNCTION("""COMPUTED_VALUE"""),"United States")</f>
        <v>United States</v>
      </c>
      <c r="E5497" s="135"/>
      <c r="F5497" s="31"/>
    </row>
    <row r="5498">
      <c r="A5498" s="134" t="str">
        <f>IFERROR(__xludf.DUMMYFUNCTION("""COMPUTED_VALUE"""),"Montgomery")</f>
        <v>Montgomery</v>
      </c>
      <c r="B5498" s="120" t="str">
        <f>IFERROR(__xludf.DUMMYFUNCTION("""COMPUTED_VALUE"""),"GUN")</f>
        <v>GUN</v>
      </c>
      <c r="C5498" s="120" t="str">
        <f>IFERROR(__xludf.DUMMYFUNCTION("""COMPUTED_VALUE"""),"Gunter AFB")</f>
        <v>Gunter AFB</v>
      </c>
      <c r="D5498" s="120" t="str">
        <f>IFERROR(__xludf.DUMMYFUNCTION("""COMPUTED_VALUE"""),"United States")</f>
        <v>United States</v>
      </c>
      <c r="E5498" s="135"/>
      <c r="F5498" s="31"/>
    </row>
    <row r="5499">
      <c r="A5499" s="134" t="str">
        <f>IFERROR(__xludf.DUMMYFUNCTION("""COMPUTED_VALUE"""),"Montgomery")</f>
        <v>Montgomery</v>
      </c>
      <c r="B5499" s="120" t="str">
        <f>IFERROR(__xludf.DUMMYFUNCTION("""COMPUTED_VALUE"""),"MXF")</f>
        <v>MXF</v>
      </c>
      <c r="C5499" s="120" t="str">
        <f>IFERROR(__xludf.DUMMYFUNCTION("""COMPUTED_VALUE"""),"Maxwell AFB")</f>
        <v>Maxwell AFB</v>
      </c>
      <c r="D5499" s="120" t="str">
        <f>IFERROR(__xludf.DUMMYFUNCTION("""COMPUTED_VALUE"""),"United States")</f>
        <v>United States</v>
      </c>
      <c r="E5499" s="135"/>
      <c r="F5499" s="31"/>
    </row>
    <row r="5500">
      <c r="A5500" s="134" t="str">
        <f>IFERROR(__xludf.DUMMYFUNCTION("""COMPUTED_VALUE"""),"Montgomery")</f>
        <v>Montgomery</v>
      </c>
      <c r="B5500" s="120" t="str">
        <f>IFERROR(__xludf.DUMMYFUNCTION("""COMPUTED_VALUE"""),"MGJ")</f>
        <v>MGJ</v>
      </c>
      <c r="C5500" s="120" t="str">
        <f>IFERROR(__xludf.DUMMYFUNCTION("""COMPUTED_VALUE"""),"Orange County")</f>
        <v>Orange County</v>
      </c>
      <c r="D5500" s="120" t="str">
        <f>IFERROR(__xludf.DUMMYFUNCTION("""COMPUTED_VALUE"""),"United States")</f>
        <v>United States</v>
      </c>
      <c r="E5500" s="135"/>
      <c r="F5500" s="31"/>
    </row>
    <row r="5501">
      <c r="A5501" s="134" t="str">
        <f>IFERROR(__xludf.DUMMYFUNCTION("""COMPUTED_VALUE"""),"Monticello")</f>
        <v>Monticello</v>
      </c>
      <c r="B5501" s="120" t="str">
        <f>IFERROR(__xludf.DUMMYFUNCTION("""COMPUTED_VALUE"""),"MXO")</f>
        <v>MXO</v>
      </c>
      <c r="C5501" s="120" t="str">
        <f>IFERROR(__xludf.DUMMYFUNCTION("""COMPUTED_VALUE"""),"Municipal")</f>
        <v>Municipal</v>
      </c>
      <c r="D5501" s="120" t="str">
        <f>IFERROR(__xludf.DUMMYFUNCTION("""COMPUTED_VALUE"""),"United States")</f>
        <v>United States</v>
      </c>
      <c r="E5501" s="135"/>
      <c r="F5501" s="31"/>
    </row>
    <row r="5502">
      <c r="A5502" s="134" t="str">
        <f>IFERROR(__xludf.DUMMYFUNCTION("""COMPUTED_VALUE"""),"Monticello")</f>
        <v>Monticello</v>
      </c>
      <c r="B5502" s="120" t="str">
        <f>IFERROR(__xludf.DUMMYFUNCTION("""COMPUTED_VALUE"""),"MSV")</f>
        <v>MSV</v>
      </c>
      <c r="C5502" s="120" t="str">
        <f>IFERROR(__xludf.DUMMYFUNCTION("""COMPUTED_VALUE"""),"Sullivan County Intl")</f>
        <v>Sullivan County Intl</v>
      </c>
      <c r="D5502" s="120" t="str">
        <f>IFERROR(__xludf.DUMMYFUNCTION("""COMPUTED_VALUE"""),"United States")</f>
        <v>United States</v>
      </c>
      <c r="E5502" s="135"/>
      <c r="F5502" s="31"/>
    </row>
    <row r="5503">
      <c r="A5503" s="134" t="str">
        <f>IFERROR(__xludf.DUMMYFUNCTION("""COMPUTED_VALUE"""),"Monticello")</f>
        <v>Monticello</v>
      </c>
      <c r="B5503" s="120" t="str">
        <f>IFERROR(__xludf.DUMMYFUNCTION("""COMPUTED_VALUE"""),"MXC")</f>
        <v>MXC</v>
      </c>
      <c r="C5503" s="120" t="str">
        <f>IFERROR(__xludf.DUMMYFUNCTION("""COMPUTED_VALUE"""),"San Juan County")</f>
        <v>San Juan County</v>
      </c>
      <c r="D5503" s="120" t="str">
        <f>IFERROR(__xludf.DUMMYFUNCTION("""COMPUTED_VALUE"""),"United States")</f>
        <v>United States</v>
      </c>
      <c r="E5503" s="135"/>
      <c r="F5503" s="31"/>
    </row>
    <row r="5504">
      <c r="A5504" s="134" t="str">
        <f>IFERROR(__xludf.DUMMYFUNCTION("""COMPUTED_VALUE"""),"Montilla")</f>
        <v>Montilla</v>
      </c>
      <c r="B5504" s="120" t="str">
        <f>IFERROR(__xludf.DUMMYFUNCTION("""COMPUTED_VALUE"""),"OZU")</f>
        <v>OZU</v>
      </c>
      <c r="C5504" s="120" t="str">
        <f>IFERROR(__xludf.DUMMYFUNCTION("""COMPUTED_VALUE"""),"Montilla")</f>
        <v>Montilla</v>
      </c>
      <c r="D5504" s="120" t="str">
        <f>IFERROR(__xludf.DUMMYFUNCTION("""COMPUTED_VALUE"""),"Spain")</f>
        <v>Spain</v>
      </c>
      <c r="E5504" s="135"/>
      <c r="F5504" s="31"/>
    </row>
    <row r="5505">
      <c r="A5505" s="134" t="str">
        <f>IFERROR(__xludf.DUMMYFUNCTION("""COMPUTED_VALUE"""),"Montlucon")</f>
        <v>Montlucon</v>
      </c>
      <c r="B5505" s="120" t="str">
        <f>IFERROR(__xludf.DUMMYFUNCTION("""COMPUTED_VALUE"""),"MCU")</f>
        <v>MCU</v>
      </c>
      <c r="C5505" s="120" t="str">
        <f>IFERROR(__xludf.DUMMYFUNCTION("""COMPUTED_VALUE"""),"Gueret (Lepaud)")</f>
        <v>Gueret (Lepaud)</v>
      </c>
      <c r="D5505" s="120" t="str">
        <f>IFERROR(__xludf.DUMMYFUNCTION("""COMPUTED_VALUE"""),"France")</f>
        <v>France</v>
      </c>
      <c r="E5505" s="135"/>
      <c r="F5505" s="31"/>
    </row>
    <row r="5506">
      <c r="A5506" s="134" t="str">
        <f>IFERROR(__xludf.DUMMYFUNCTION("""COMPUTED_VALUE"""),"Monto")</f>
        <v>Monto</v>
      </c>
      <c r="B5506" s="120" t="str">
        <f>IFERROR(__xludf.DUMMYFUNCTION("""COMPUTED_VALUE"""),"MNQ")</f>
        <v>MNQ</v>
      </c>
      <c r="C5506" s="120" t="str">
        <f>IFERROR(__xludf.DUMMYFUNCTION("""COMPUTED_VALUE"""),"Monto")</f>
        <v>Monto</v>
      </c>
      <c r="D5506" s="120" t="str">
        <f>IFERROR(__xludf.DUMMYFUNCTION("""COMPUTED_VALUE"""),"Australia")</f>
        <v>Australia</v>
      </c>
      <c r="E5506" s="135"/>
      <c r="F5506" s="31"/>
    </row>
    <row r="5507">
      <c r="A5507" s="134" t="str">
        <f>IFERROR(__xludf.DUMMYFUNCTION("""COMPUTED_VALUE"""),"Montpelier")</f>
        <v>Montpelier</v>
      </c>
      <c r="B5507" s="120" t="str">
        <f>IFERROR(__xludf.DUMMYFUNCTION("""COMPUTED_VALUE"""),"MPV")</f>
        <v>MPV</v>
      </c>
      <c r="C5507" s="120" t="str">
        <f>IFERROR(__xludf.DUMMYFUNCTION("""COMPUTED_VALUE"""),"Edward F Knapp State")</f>
        <v>Edward F Knapp State</v>
      </c>
      <c r="D5507" s="120" t="str">
        <f>IFERROR(__xludf.DUMMYFUNCTION("""COMPUTED_VALUE"""),"United States")</f>
        <v>United States</v>
      </c>
      <c r="E5507" s="135"/>
      <c r="F5507" s="31"/>
    </row>
    <row r="5508">
      <c r="A5508" s="134" t="str">
        <f>IFERROR(__xludf.DUMMYFUNCTION("""COMPUTED_VALUE"""),"Montpellier")</f>
        <v>Montpellier</v>
      </c>
      <c r="B5508" s="120" t="str">
        <f>IFERROR(__xludf.DUMMYFUNCTION("""COMPUTED_VALUE"""),"MPL")</f>
        <v>MPL</v>
      </c>
      <c r="C5508" s="120" t="str">
        <f>IFERROR(__xludf.DUMMYFUNCTION("""COMPUTED_VALUE"""),"Montpellier Méditerranée")</f>
        <v>Montpellier Méditerranée</v>
      </c>
      <c r="D5508" s="120" t="str">
        <f>IFERROR(__xludf.DUMMYFUNCTION("""COMPUTED_VALUE"""),"France")</f>
        <v>France</v>
      </c>
      <c r="E5508" s="135"/>
      <c r="F5508" s="31"/>
    </row>
    <row r="5509">
      <c r="A5509" s="134" t="str">
        <f>IFERROR(__xludf.DUMMYFUNCTION("""COMPUTED_VALUE"""),"Montpellier")</f>
        <v>Montpellier</v>
      </c>
      <c r="B5509" s="120" t="str">
        <f>IFERROR(__xludf.DUMMYFUNCTION("""COMPUTED_VALUE"""),"XPJ")</f>
        <v>XPJ</v>
      </c>
      <c r="C5509" s="120" t="str">
        <f>IFERROR(__xludf.DUMMYFUNCTION("""COMPUTED_VALUE"""),"Montpellier Railway")</f>
        <v>Montpellier Railway</v>
      </c>
      <c r="D5509" s="120" t="str">
        <f>IFERROR(__xludf.DUMMYFUNCTION("""COMPUTED_VALUE"""),"France")</f>
        <v>France</v>
      </c>
      <c r="E5509" s="135"/>
      <c r="F5509" s="31"/>
    </row>
    <row r="5510">
      <c r="A5510" s="134" t="str">
        <f>IFERROR(__xludf.DUMMYFUNCTION("""COMPUTED_VALUE"""),"Montreal")</f>
        <v>Montreal</v>
      </c>
      <c r="B5510" s="120" t="str">
        <f>IFERROR(__xludf.DUMMYFUNCTION("""COMPUTED_VALUE"""),"YMX")</f>
        <v>YMX</v>
      </c>
      <c r="C5510" s="120" t="str">
        <f>IFERROR(__xludf.DUMMYFUNCTION("""COMPUTED_VALUE"""),"Mirabel")</f>
        <v>Mirabel</v>
      </c>
      <c r="D5510" s="120" t="str">
        <f>IFERROR(__xludf.DUMMYFUNCTION("""COMPUTED_VALUE"""),"Canada")</f>
        <v>Canada</v>
      </c>
      <c r="E5510" s="135"/>
      <c r="F5510" s="31"/>
    </row>
    <row r="5511">
      <c r="A5511" s="134" t="str">
        <f>IFERROR(__xludf.DUMMYFUNCTION("""COMPUTED_VALUE"""),"Montreal")</f>
        <v>Montreal</v>
      </c>
      <c r="B5511" s="120" t="str">
        <f>IFERROR(__xludf.DUMMYFUNCTION("""COMPUTED_VALUE"""),"YUL")</f>
        <v>YUL</v>
      </c>
      <c r="C5511" s="120" t="str">
        <f>IFERROR(__xludf.DUMMYFUNCTION("""COMPUTED_VALUE"""),"Montreal International Airport")</f>
        <v>Montreal International Airport</v>
      </c>
      <c r="D5511" s="120" t="str">
        <f>IFERROR(__xludf.DUMMYFUNCTION("""COMPUTED_VALUE"""),"Canada")</f>
        <v>Canada</v>
      </c>
      <c r="E5511" s="135"/>
      <c r="F5511" s="31"/>
    </row>
    <row r="5512">
      <c r="A5512" s="134" t="str">
        <f>IFERROR(__xludf.DUMMYFUNCTION("""COMPUTED_VALUE"""),"Montreal")</f>
        <v>Montreal</v>
      </c>
      <c r="B5512" s="120" t="str">
        <f>IFERROR(__xludf.DUMMYFUNCTION("""COMPUTED_VALUE"""),"YHU")</f>
        <v>YHU</v>
      </c>
      <c r="C5512" s="120" t="str">
        <f>IFERROR(__xludf.DUMMYFUNCTION("""COMPUTED_VALUE"""),"St Hubert")</f>
        <v>St Hubert</v>
      </c>
      <c r="D5512" s="120" t="str">
        <f>IFERROR(__xludf.DUMMYFUNCTION("""COMPUTED_VALUE"""),"Canada")</f>
        <v>Canada</v>
      </c>
      <c r="E5512" s="135"/>
      <c r="F5512" s="31"/>
    </row>
    <row r="5513">
      <c r="A5513" s="134" t="str">
        <f>IFERROR(__xludf.DUMMYFUNCTION("""COMPUTED_VALUE"""),"Montreal")</f>
        <v>Montreal</v>
      </c>
      <c r="B5513" s="120" t="str">
        <f>IFERROR(__xludf.DUMMYFUNCTION("""COMPUTED_VALUE"""),"XLM")</f>
        <v>XLM</v>
      </c>
      <c r="C5513" s="120" t="str">
        <f>IFERROR(__xludf.DUMMYFUNCTION("""COMPUTED_VALUE"""),"St Lambert Rail Svce.")</f>
        <v>St Lambert Rail Svce.</v>
      </c>
      <c r="D5513" s="120" t="str">
        <f>IFERROR(__xludf.DUMMYFUNCTION("""COMPUTED_VALUE"""),"Canada")</f>
        <v>Canada</v>
      </c>
      <c r="E5513" s="135"/>
      <c r="F5513" s="31"/>
    </row>
    <row r="5514">
      <c r="A5514" s="134" t="str">
        <f>IFERROR(__xludf.DUMMYFUNCTION("""COMPUTED_VALUE"""),"Montrose")</f>
        <v>Montrose</v>
      </c>
      <c r="B5514" s="120" t="str">
        <f>IFERROR(__xludf.DUMMYFUNCTION("""COMPUTED_VALUE"""),"MTJ")</f>
        <v>MTJ</v>
      </c>
      <c r="C5514" s="120" t="str">
        <f>IFERROR(__xludf.DUMMYFUNCTION("""COMPUTED_VALUE"""),"Montrose County")</f>
        <v>Montrose County</v>
      </c>
      <c r="D5514" s="120" t="str">
        <f>IFERROR(__xludf.DUMMYFUNCTION("""COMPUTED_VALUE"""),"United States")</f>
        <v>United States</v>
      </c>
      <c r="E5514" s="135"/>
      <c r="F5514" s="31"/>
    </row>
    <row r="5515">
      <c r="A5515" s="134" t="str">
        <f>IFERROR(__xludf.DUMMYFUNCTION("""COMPUTED_VALUE"""),"Montserrat")</f>
        <v>Montserrat</v>
      </c>
      <c r="B5515" s="120" t="str">
        <f>IFERROR(__xludf.DUMMYFUNCTION("""COMPUTED_VALUE"""),"MNI")</f>
        <v>MNI</v>
      </c>
      <c r="C5515" s="120" t="str">
        <f>IFERROR(__xludf.DUMMYFUNCTION("""COMPUTED_VALUE"""),"Bramble")</f>
        <v>Bramble</v>
      </c>
      <c r="D5515" s="120" t="str">
        <f>IFERROR(__xludf.DUMMYFUNCTION("""COMPUTED_VALUE"""),"Montserrat")</f>
        <v>Montserrat</v>
      </c>
      <c r="E5515" s="135"/>
      <c r="F5515" s="31"/>
    </row>
    <row r="5516">
      <c r="A5516" s="134" t="str">
        <f>IFERROR(__xludf.DUMMYFUNCTION("""COMPUTED_VALUE"""),"Montvale")</f>
        <v>Montvale</v>
      </c>
      <c r="B5516" s="120" t="str">
        <f>IFERROR(__xludf.DUMMYFUNCTION("""COMPUTED_VALUE"""),"QMV")</f>
        <v>QMV</v>
      </c>
      <c r="C5516" s="120" t="str">
        <f>IFERROR(__xludf.DUMMYFUNCTION("""COMPUTED_VALUE"""),"Montvale")</f>
        <v>Montvale</v>
      </c>
      <c r="D5516" s="120" t="str">
        <f>IFERROR(__xludf.DUMMYFUNCTION("""COMPUTED_VALUE"""),"United States")</f>
        <v>United States</v>
      </c>
      <c r="E5516" s="135"/>
      <c r="F5516" s="31"/>
    </row>
    <row r="5517">
      <c r="A5517" s="134" t="str">
        <f>IFERROR(__xludf.DUMMYFUNCTION("""COMPUTED_VALUE"""),"Monument Valley Gldngs")</f>
        <v>Monument Valley Gldngs</v>
      </c>
      <c r="B5517" s="120" t="str">
        <f>IFERROR(__xludf.DUMMYFUNCTION("""COMPUTED_VALUE"""),"GMV")</f>
        <v>GMV</v>
      </c>
      <c r="C5517" s="120" t="str">
        <f>IFERROR(__xludf.DUMMYFUNCTION("""COMPUTED_VALUE"""),"Monument Valley")</f>
        <v>Monument Valley</v>
      </c>
      <c r="D5517" s="120" t="str">
        <f>IFERROR(__xludf.DUMMYFUNCTION("""COMPUTED_VALUE"""),"United States")</f>
        <v>United States</v>
      </c>
      <c r="E5517" s="135"/>
      <c r="F5517" s="31"/>
    </row>
    <row r="5518">
      <c r="A5518" s="134" t="str">
        <f>IFERROR(__xludf.DUMMYFUNCTION("""COMPUTED_VALUE"""),"Moolawatana")</f>
        <v>Moolawatana</v>
      </c>
      <c r="B5518" s="120" t="str">
        <f>IFERROR(__xludf.DUMMYFUNCTION("""COMPUTED_VALUE"""),"MWT")</f>
        <v>MWT</v>
      </c>
      <c r="C5518" s="120" t="str">
        <f>IFERROR(__xludf.DUMMYFUNCTION("""COMPUTED_VALUE"""),"Moolawatana")</f>
        <v>Moolawatana</v>
      </c>
      <c r="D5518" s="120" t="str">
        <f>IFERROR(__xludf.DUMMYFUNCTION("""COMPUTED_VALUE"""),"Australia")</f>
        <v>Australia</v>
      </c>
      <c r="E5518" s="135"/>
      <c r="F5518" s="31"/>
    </row>
    <row r="5519">
      <c r="A5519" s="134" t="str">
        <f>IFERROR(__xludf.DUMMYFUNCTION("""COMPUTED_VALUE"""),"Moomba")</f>
        <v>Moomba</v>
      </c>
      <c r="B5519" s="120" t="str">
        <f>IFERROR(__xludf.DUMMYFUNCTION("""COMPUTED_VALUE"""),"MOO")</f>
        <v>MOO</v>
      </c>
      <c r="C5519" s="120" t="str">
        <f>IFERROR(__xludf.DUMMYFUNCTION("""COMPUTED_VALUE"""),"Moomba")</f>
        <v>Moomba</v>
      </c>
      <c r="D5519" s="120" t="str">
        <f>IFERROR(__xludf.DUMMYFUNCTION("""COMPUTED_VALUE"""),"Australia")</f>
        <v>Australia</v>
      </c>
      <c r="E5519" s="135"/>
      <c r="F5519" s="31"/>
    </row>
    <row r="5520">
      <c r="A5520" s="134" t="str">
        <f>IFERROR(__xludf.DUMMYFUNCTION("""COMPUTED_VALUE"""),"Moorabbin")</f>
        <v>Moorabbin</v>
      </c>
      <c r="B5520" s="120" t="str">
        <f>IFERROR(__xludf.DUMMYFUNCTION("""COMPUTED_VALUE"""),"MBW")</f>
        <v>MBW</v>
      </c>
      <c r="C5520" s="120" t="str">
        <f>IFERROR(__xludf.DUMMYFUNCTION("""COMPUTED_VALUE"""),"Moorabbin")</f>
        <v>Moorabbin</v>
      </c>
      <c r="D5520" s="120" t="str">
        <f>IFERROR(__xludf.DUMMYFUNCTION("""COMPUTED_VALUE"""),"Australia")</f>
        <v>Australia</v>
      </c>
      <c r="E5520" s="135"/>
      <c r="F5520" s="31"/>
    </row>
    <row r="5521">
      <c r="A5521" s="134" t="str">
        <f>IFERROR(__xludf.DUMMYFUNCTION("""COMPUTED_VALUE"""),"Mooraberree")</f>
        <v>Mooraberree</v>
      </c>
      <c r="B5521" s="120" t="str">
        <f>IFERROR(__xludf.DUMMYFUNCTION("""COMPUTED_VALUE"""),"OOR")</f>
        <v>OOR</v>
      </c>
      <c r="C5521" s="120" t="str">
        <f>IFERROR(__xludf.DUMMYFUNCTION("""COMPUTED_VALUE"""),"Mooraberree")</f>
        <v>Mooraberree</v>
      </c>
      <c r="D5521" s="120" t="str">
        <f>IFERROR(__xludf.DUMMYFUNCTION("""COMPUTED_VALUE"""),"Australia")</f>
        <v>Australia</v>
      </c>
      <c r="E5521" s="135"/>
      <c r="F5521" s="31"/>
    </row>
    <row r="5522">
      <c r="A5522" s="134" t="str">
        <f>IFERROR(__xludf.DUMMYFUNCTION("""COMPUTED_VALUE"""),"Moorea")</f>
        <v>Moorea</v>
      </c>
      <c r="B5522" s="120" t="str">
        <f>IFERROR(__xludf.DUMMYFUNCTION("""COMPUTED_VALUE"""),"MOZ")</f>
        <v>MOZ</v>
      </c>
      <c r="C5522" s="120" t="str">
        <f>IFERROR(__xludf.DUMMYFUNCTION("""COMPUTED_VALUE"""),"Temae")</f>
        <v>Temae</v>
      </c>
      <c r="D5522" s="120" t="str">
        <f>IFERROR(__xludf.DUMMYFUNCTION("""COMPUTED_VALUE"""),"French Polynesia")</f>
        <v>French Polynesia</v>
      </c>
      <c r="E5522" s="135"/>
      <c r="F5522" s="31"/>
    </row>
    <row r="5523">
      <c r="A5523" s="134" t="str">
        <f>IFERROR(__xludf.DUMMYFUNCTION("""COMPUTED_VALUE"""),"Moose Jaw")</f>
        <v>Moose Jaw</v>
      </c>
      <c r="B5523" s="120" t="str">
        <f>IFERROR(__xludf.DUMMYFUNCTION("""COMPUTED_VALUE"""),"YMJ")</f>
        <v>YMJ</v>
      </c>
      <c r="C5523" s="120" t="str">
        <f>IFERROR(__xludf.DUMMYFUNCTION("""COMPUTED_VALUE"""),"Moose Jaw / Air Vice Marshal C. M. Mcewen Airport")</f>
        <v>Moose Jaw / Air Vice Marshal C. M. Mcewen Airport</v>
      </c>
      <c r="D5523" s="120" t="str">
        <f>IFERROR(__xludf.DUMMYFUNCTION("""COMPUTED_VALUE"""),"Canada")</f>
        <v>Canada</v>
      </c>
      <c r="E5523" s="135"/>
      <c r="F5523" s="31"/>
    </row>
    <row r="5524">
      <c r="A5524" s="134" t="str">
        <f>IFERROR(__xludf.DUMMYFUNCTION("""COMPUTED_VALUE"""),"Moose Lake")</f>
        <v>Moose Lake</v>
      </c>
      <c r="B5524" s="120" t="str">
        <f>IFERROR(__xludf.DUMMYFUNCTION("""COMPUTED_VALUE"""),"YAD")</f>
        <v>YAD</v>
      </c>
      <c r="C5524" s="120" t="str">
        <f>IFERROR(__xludf.DUMMYFUNCTION("""COMPUTED_VALUE"""),"Moose Lake")</f>
        <v>Moose Lake</v>
      </c>
      <c r="D5524" s="120" t="str">
        <f>IFERROR(__xludf.DUMMYFUNCTION("""COMPUTED_VALUE"""),"Canada")</f>
        <v>Canada</v>
      </c>
      <c r="E5524" s="135"/>
      <c r="F5524" s="31"/>
    </row>
    <row r="5525">
      <c r="A5525" s="134" t="str">
        <f>IFERROR(__xludf.DUMMYFUNCTION("""COMPUTED_VALUE"""),"Moosonee")</f>
        <v>Moosonee</v>
      </c>
      <c r="B5525" s="120" t="str">
        <f>IFERROR(__xludf.DUMMYFUNCTION("""COMPUTED_VALUE"""),"YMO")</f>
        <v>YMO</v>
      </c>
      <c r="C5525" s="120" t="str">
        <f>IFERROR(__xludf.DUMMYFUNCTION("""COMPUTED_VALUE"""),"Moosonee")</f>
        <v>Moosonee</v>
      </c>
      <c r="D5525" s="120" t="str">
        <f>IFERROR(__xludf.DUMMYFUNCTION("""COMPUTED_VALUE"""),"Canada")</f>
        <v>Canada</v>
      </c>
      <c r="E5525" s="135"/>
      <c r="F5525" s="31"/>
    </row>
    <row r="5526">
      <c r="A5526" s="134" t="str">
        <f>IFERROR(__xludf.DUMMYFUNCTION("""COMPUTED_VALUE"""),"Mopti")</f>
        <v>Mopti</v>
      </c>
      <c r="B5526" s="120" t="str">
        <f>IFERROR(__xludf.DUMMYFUNCTION("""COMPUTED_VALUE"""),"MZI")</f>
        <v>MZI</v>
      </c>
      <c r="C5526" s="120" t="str">
        <f>IFERROR(__xludf.DUMMYFUNCTION("""COMPUTED_VALUE"""),"Mopti")</f>
        <v>Mopti</v>
      </c>
      <c r="D5526" s="120" t="str">
        <f>IFERROR(__xludf.DUMMYFUNCTION("""COMPUTED_VALUE"""),"Mali")</f>
        <v>Mali</v>
      </c>
      <c r="E5526" s="135"/>
      <c r="F5526" s="31"/>
    </row>
    <row r="5527">
      <c r="A5527" s="134" t="str">
        <f>IFERROR(__xludf.DUMMYFUNCTION("""COMPUTED_VALUE"""),"Mora")</f>
        <v>Mora</v>
      </c>
      <c r="B5527" s="120" t="str">
        <f>IFERROR(__xludf.DUMMYFUNCTION("""COMPUTED_VALUE"""),"MXX")</f>
        <v>MXX</v>
      </c>
      <c r="C5527" s="120" t="str">
        <f>IFERROR(__xludf.DUMMYFUNCTION("""COMPUTED_VALUE"""),"Mora")</f>
        <v>Mora</v>
      </c>
      <c r="D5527" s="120" t="str">
        <f>IFERROR(__xludf.DUMMYFUNCTION("""COMPUTED_VALUE"""),"Sweden")</f>
        <v>Sweden</v>
      </c>
      <c r="E5527" s="135"/>
      <c r="F5527" s="31"/>
    </row>
    <row r="5528">
      <c r="A5528" s="134" t="str">
        <f>IFERROR(__xludf.DUMMYFUNCTION("""COMPUTED_VALUE"""),"Morafenobe")</f>
        <v>Morafenobe</v>
      </c>
      <c r="B5528" s="120" t="str">
        <f>IFERROR(__xludf.DUMMYFUNCTION("""COMPUTED_VALUE"""),"TVA")</f>
        <v>TVA</v>
      </c>
      <c r="C5528" s="120" t="str">
        <f>IFERROR(__xludf.DUMMYFUNCTION("""COMPUTED_VALUE"""),"Morafenobe")</f>
        <v>Morafenobe</v>
      </c>
      <c r="D5528" s="120" t="str">
        <f>IFERROR(__xludf.DUMMYFUNCTION("""COMPUTED_VALUE"""),"Madagascar")</f>
        <v>Madagascar</v>
      </c>
      <c r="E5528" s="135"/>
      <c r="F5528" s="31"/>
    </row>
    <row r="5529">
      <c r="A5529" s="134" t="str">
        <f>IFERROR(__xludf.DUMMYFUNCTION("""COMPUTED_VALUE"""),"Moranbah")</f>
        <v>Moranbah</v>
      </c>
      <c r="B5529" s="120" t="str">
        <f>IFERROR(__xludf.DUMMYFUNCTION("""COMPUTED_VALUE"""),"MOV")</f>
        <v>MOV</v>
      </c>
      <c r="C5529" s="120" t="str">
        <f>IFERROR(__xludf.DUMMYFUNCTION("""COMPUTED_VALUE"""),"Moranbah")</f>
        <v>Moranbah</v>
      </c>
      <c r="D5529" s="120" t="str">
        <f>IFERROR(__xludf.DUMMYFUNCTION("""COMPUTED_VALUE"""),"Australia")</f>
        <v>Australia</v>
      </c>
      <c r="E5529" s="135"/>
      <c r="F5529" s="31"/>
    </row>
    <row r="5530">
      <c r="A5530" s="134" t="str">
        <f>IFERROR(__xludf.DUMMYFUNCTION("""COMPUTED_VALUE"""),"Morawa")</f>
        <v>Morawa</v>
      </c>
      <c r="B5530" s="120" t="str">
        <f>IFERROR(__xludf.DUMMYFUNCTION("""COMPUTED_VALUE"""),"MWB")</f>
        <v>MWB</v>
      </c>
      <c r="C5530" s="120" t="str">
        <f>IFERROR(__xludf.DUMMYFUNCTION("""COMPUTED_VALUE"""),"Morawa")</f>
        <v>Morawa</v>
      </c>
      <c r="D5530" s="120" t="str">
        <f>IFERROR(__xludf.DUMMYFUNCTION("""COMPUTED_VALUE"""),"Australia")</f>
        <v>Australia</v>
      </c>
      <c r="E5530" s="135"/>
      <c r="F5530" s="31"/>
    </row>
    <row r="5531">
      <c r="A5531" s="134" t="str">
        <f>IFERROR(__xludf.DUMMYFUNCTION("""COMPUTED_VALUE"""),"Moree")</f>
        <v>Moree</v>
      </c>
      <c r="B5531" s="120" t="str">
        <f>IFERROR(__xludf.DUMMYFUNCTION("""COMPUTED_VALUE"""),"MRZ")</f>
        <v>MRZ</v>
      </c>
      <c r="C5531" s="120" t="str">
        <f>IFERROR(__xludf.DUMMYFUNCTION("""COMPUTED_VALUE"""),"Moree")</f>
        <v>Moree</v>
      </c>
      <c r="D5531" s="120" t="str">
        <f>IFERROR(__xludf.DUMMYFUNCTION("""COMPUTED_VALUE"""),"Australia")</f>
        <v>Australia</v>
      </c>
      <c r="E5531" s="135"/>
      <c r="F5531" s="31"/>
    </row>
    <row r="5532">
      <c r="A5532" s="134" t="str">
        <f>IFERROR(__xludf.DUMMYFUNCTION("""COMPUTED_VALUE"""),"Morehead")</f>
        <v>Morehead</v>
      </c>
      <c r="B5532" s="120" t="str">
        <f>IFERROR(__xludf.DUMMYFUNCTION("""COMPUTED_VALUE"""),"MHY")</f>
        <v>MHY</v>
      </c>
      <c r="C5532" s="120" t="str">
        <f>IFERROR(__xludf.DUMMYFUNCTION("""COMPUTED_VALUE"""),"Morehead")</f>
        <v>Morehead</v>
      </c>
      <c r="D5532" s="120" t="str">
        <f>IFERROR(__xludf.DUMMYFUNCTION("""COMPUTED_VALUE"""),"Papua New Guinea")</f>
        <v>Papua New Guinea</v>
      </c>
      <c r="E5532" s="135"/>
      <c r="F5532" s="31"/>
    </row>
    <row r="5533">
      <c r="A5533" s="134" t="str">
        <f>IFERROR(__xludf.DUMMYFUNCTION("""COMPUTED_VALUE"""),"Morelia")</f>
        <v>Morelia</v>
      </c>
      <c r="B5533" s="120" t="str">
        <f>IFERROR(__xludf.DUMMYFUNCTION("""COMPUTED_VALUE"""),"MLM")</f>
        <v>MLM</v>
      </c>
      <c r="C5533" s="120" t="str">
        <f>IFERROR(__xludf.DUMMYFUNCTION("""COMPUTED_VALUE"""),"Morelia")</f>
        <v>Morelia</v>
      </c>
      <c r="D5533" s="120" t="str">
        <f>IFERROR(__xludf.DUMMYFUNCTION("""COMPUTED_VALUE"""),"Mexico")</f>
        <v>Mexico</v>
      </c>
      <c r="E5533" s="135"/>
      <c r="F5533" s="31"/>
    </row>
    <row r="5534">
      <c r="A5534" s="134" t="str">
        <f>IFERROR(__xludf.DUMMYFUNCTION("""COMPUTED_VALUE"""),"Moreton")</f>
        <v>Moreton</v>
      </c>
      <c r="B5534" s="120" t="str">
        <f>IFERROR(__xludf.DUMMYFUNCTION("""COMPUTED_VALUE"""),"MET")</f>
        <v>MET</v>
      </c>
      <c r="C5534" s="120" t="str">
        <f>IFERROR(__xludf.DUMMYFUNCTION("""COMPUTED_VALUE"""),"Moreton")</f>
        <v>Moreton</v>
      </c>
      <c r="D5534" s="120" t="str">
        <f>IFERROR(__xludf.DUMMYFUNCTION("""COMPUTED_VALUE"""),"Australia")</f>
        <v>Australia</v>
      </c>
      <c r="E5534" s="135"/>
      <c r="F5534" s="31"/>
    </row>
    <row r="5535">
      <c r="A5535" s="134" t="str">
        <f>IFERROR(__xludf.DUMMYFUNCTION("""COMPUTED_VALUE"""),"Morganton")</f>
        <v>Morganton</v>
      </c>
      <c r="B5535" s="120" t="str">
        <f>IFERROR(__xludf.DUMMYFUNCTION("""COMPUTED_VALUE"""),"MRN")</f>
        <v>MRN</v>
      </c>
      <c r="C5535" s="120" t="str">
        <f>IFERROR(__xludf.DUMMYFUNCTION("""COMPUTED_VALUE"""),"Lenoir")</f>
        <v>Lenoir</v>
      </c>
      <c r="D5535" s="120" t="str">
        <f>IFERROR(__xludf.DUMMYFUNCTION("""COMPUTED_VALUE"""),"United States")</f>
        <v>United States</v>
      </c>
      <c r="E5535" s="135"/>
      <c r="F5535" s="31"/>
    </row>
    <row r="5536">
      <c r="A5536" s="134" t="str">
        <f>IFERROR(__xludf.DUMMYFUNCTION("""COMPUTED_VALUE"""),"Morgantown")</f>
        <v>Morgantown</v>
      </c>
      <c r="B5536" s="120" t="str">
        <f>IFERROR(__xludf.DUMMYFUNCTION("""COMPUTED_VALUE"""),"MGW")</f>
        <v>MGW</v>
      </c>
      <c r="C5536" s="120" t="str">
        <f>IFERROR(__xludf.DUMMYFUNCTION("""COMPUTED_VALUE"""),"Morgantown")</f>
        <v>Morgantown</v>
      </c>
      <c r="D5536" s="120" t="str">
        <f>IFERROR(__xludf.DUMMYFUNCTION("""COMPUTED_VALUE"""),"United States")</f>
        <v>United States</v>
      </c>
      <c r="E5536" s="135"/>
      <c r="F5536" s="31"/>
    </row>
    <row r="5537">
      <c r="A5537" s="134" t="str">
        <f>IFERROR(__xludf.DUMMYFUNCTION("""COMPUTED_VALUE"""),"Morichal")</f>
        <v>Morichal</v>
      </c>
      <c r="B5537" s="120" t="str">
        <f>IFERROR(__xludf.DUMMYFUNCTION("""COMPUTED_VALUE"""),"MHF")</f>
        <v>MHF</v>
      </c>
      <c r="C5537" s="120" t="str">
        <f>IFERROR(__xludf.DUMMYFUNCTION("""COMPUTED_VALUE"""),"Morichal")</f>
        <v>Morichal</v>
      </c>
      <c r="D5537" s="120" t="str">
        <f>IFERROR(__xludf.DUMMYFUNCTION("""COMPUTED_VALUE"""),"Colombia")</f>
        <v>Colombia</v>
      </c>
      <c r="E5537" s="135"/>
      <c r="F5537" s="31"/>
    </row>
    <row r="5538">
      <c r="A5538" s="134" t="str">
        <f>IFERROR(__xludf.DUMMYFUNCTION("""COMPUTED_VALUE"""),"Morlaix")</f>
        <v>Morlaix</v>
      </c>
      <c r="B5538" s="120" t="str">
        <f>IFERROR(__xludf.DUMMYFUNCTION("""COMPUTED_VALUE"""),"MXN")</f>
        <v>MXN</v>
      </c>
      <c r="C5538" s="120" t="str">
        <f>IFERROR(__xludf.DUMMYFUNCTION("""COMPUTED_VALUE"""),"Morlaix")</f>
        <v>Morlaix</v>
      </c>
      <c r="D5538" s="120" t="str">
        <f>IFERROR(__xludf.DUMMYFUNCTION("""COMPUTED_VALUE"""),"France")</f>
        <v>France</v>
      </c>
      <c r="E5538" s="135"/>
      <c r="F5538" s="31"/>
    </row>
    <row r="5539">
      <c r="A5539" s="134" t="str">
        <f>IFERROR(__xludf.DUMMYFUNCTION("""COMPUTED_VALUE"""),"Morney")</f>
        <v>Morney</v>
      </c>
      <c r="B5539" s="120" t="str">
        <f>IFERROR(__xludf.DUMMYFUNCTION("""COMPUTED_VALUE"""),"OXY")</f>
        <v>OXY</v>
      </c>
      <c r="C5539" s="120" t="str">
        <f>IFERROR(__xludf.DUMMYFUNCTION("""COMPUTED_VALUE"""),"Morney")</f>
        <v>Morney</v>
      </c>
      <c r="D5539" s="120" t="str">
        <f>IFERROR(__xludf.DUMMYFUNCTION("""COMPUTED_VALUE"""),"Australia")</f>
        <v>Australia</v>
      </c>
      <c r="E5539" s="135"/>
      <c r="F5539" s="31"/>
    </row>
    <row r="5540">
      <c r="A5540" s="134" t="str">
        <f>IFERROR(__xludf.DUMMYFUNCTION("""COMPUTED_VALUE"""),"Mornington")</f>
        <v>Mornington</v>
      </c>
      <c r="B5540" s="120" t="str">
        <f>IFERROR(__xludf.DUMMYFUNCTION("""COMPUTED_VALUE"""),"ONG")</f>
        <v>ONG</v>
      </c>
      <c r="C5540" s="120" t="str">
        <f>IFERROR(__xludf.DUMMYFUNCTION("""COMPUTED_VALUE"""),"Mornington")</f>
        <v>Mornington</v>
      </c>
      <c r="D5540" s="120" t="str">
        <f>IFERROR(__xludf.DUMMYFUNCTION("""COMPUTED_VALUE"""),"Australia")</f>
        <v>Australia</v>
      </c>
      <c r="E5540" s="135"/>
      <c r="F5540" s="31"/>
    </row>
    <row r="5541">
      <c r="A5541" s="134" t="str">
        <f>IFERROR(__xludf.DUMMYFUNCTION("""COMPUTED_VALUE"""),"Moro")</f>
        <v>Moro</v>
      </c>
      <c r="B5541" s="120" t="str">
        <f>IFERROR(__xludf.DUMMYFUNCTION("""COMPUTED_VALUE"""),"MXH")</f>
        <v>MXH</v>
      </c>
      <c r="C5541" s="120" t="str">
        <f>IFERROR(__xludf.DUMMYFUNCTION("""COMPUTED_VALUE"""),"Moro")</f>
        <v>Moro</v>
      </c>
      <c r="D5541" s="120" t="str">
        <f>IFERROR(__xludf.DUMMYFUNCTION("""COMPUTED_VALUE"""),"Papua New Guinea")</f>
        <v>Papua New Guinea</v>
      </c>
      <c r="E5541" s="135"/>
      <c r="F5541" s="31"/>
    </row>
    <row r="5542">
      <c r="A5542" s="134" t="str">
        <f>IFERROR(__xludf.DUMMYFUNCTION("""COMPUTED_VALUE"""),"Moroak")</f>
        <v>Moroak</v>
      </c>
      <c r="B5542" s="120" t="str">
        <f>IFERROR(__xludf.DUMMYFUNCTION("""COMPUTED_VALUE"""),"MRT")</f>
        <v>MRT</v>
      </c>
      <c r="C5542" s="120" t="str">
        <f>IFERROR(__xludf.DUMMYFUNCTION("""COMPUTED_VALUE"""),"Moroak")</f>
        <v>Moroak</v>
      </c>
      <c r="D5542" s="120" t="str">
        <f>IFERROR(__xludf.DUMMYFUNCTION("""COMPUTED_VALUE"""),"Australia")</f>
        <v>Australia</v>
      </c>
      <c r="E5542" s="135"/>
      <c r="F5542" s="31"/>
    </row>
    <row r="5543">
      <c r="A5543" s="134" t="str">
        <f>IFERROR(__xludf.DUMMYFUNCTION("""COMPUTED_VALUE"""),"Morobe")</f>
        <v>Morobe</v>
      </c>
      <c r="B5543" s="120" t="str">
        <f>IFERROR(__xludf.DUMMYFUNCTION("""COMPUTED_VALUE"""),"OBM")</f>
        <v>OBM</v>
      </c>
      <c r="C5543" s="120" t="str">
        <f>IFERROR(__xludf.DUMMYFUNCTION("""COMPUTED_VALUE"""),"Morobe")</f>
        <v>Morobe</v>
      </c>
      <c r="D5543" s="120" t="str">
        <f>IFERROR(__xludf.DUMMYFUNCTION("""COMPUTED_VALUE"""),"Papua New Guinea")</f>
        <v>Papua New Guinea</v>
      </c>
      <c r="E5543" s="135"/>
      <c r="F5543" s="31"/>
    </row>
    <row r="5544">
      <c r="A5544" s="134" t="str">
        <f>IFERROR(__xludf.DUMMYFUNCTION("""COMPUTED_VALUE"""),"Morombe")</f>
        <v>Morombe</v>
      </c>
      <c r="B5544" s="120" t="str">
        <f>IFERROR(__xludf.DUMMYFUNCTION("""COMPUTED_VALUE"""),"MXM")</f>
        <v>MXM</v>
      </c>
      <c r="C5544" s="120" t="str">
        <f>IFERROR(__xludf.DUMMYFUNCTION("""COMPUTED_VALUE"""),"Morombe")</f>
        <v>Morombe</v>
      </c>
      <c r="D5544" s="120" t="str">
        <f>IFERROR(__xludf.DUMMYFUNCTION("""COMPUTED_VALUE"""),"Madagascar")</f>
        <v>Madagascar</v>
      </c>
      <c r="E5544" s="135"/>
      <c r="F5544" s="31"/>
    </row>
    <row r="5545">
      <c r="A5545" s="134" t="str">
        <f>IFERROR(__xludf.DUMMYFUNCTION("""COMPUTED_VALUE"""),"Moron")</f>
        <v>Moron</v>
      </c>
      <c r="B5545" s="120" t="str">
        <f>IFERROR(__xludf.DUMMYFUNCTION("""COMPUTED_VALUE"""),"OZP")</f>
        <v>OZP</v>
      </c>
      <c r="C5545" s="120" t="str">
        <f>IFERROR(__xludf.DUMMYFUNCTION("""COMPUTED_VALUE"""),"Moron")</f>
        <v>Moron</v>
      </c>
      <c r="D5545" s="120" t="str">
        <f>IFERROR(__xludf.DUMMYFUNCTION("""COMPUTED_VALUE"""),"Spain")</f>
        <v>Spain</v>
      </c>
      <c r="E5545" s="135"/>
      <c r="F5545" s="31"/>
    </row>
    <row r="5546">
      <c r="A5546" s="134" t="str">
        <f>IFERROR(__xludf.DUMMYFUNCTION("""COMPUTED_VALUE"""),"Moron")</f>
        <v>Moron</v>
      </c>
      <c r="B5546" s="120" t="str">
        <f>IFERROR(__xludf.DUMMYFUNCTION("""COMPUTED_VALUE"""),"MXV")</f>
        <v>MXV</v>
      </c>
      <c r="C5546" s="120" t="str">
        <f>IFERROR(__xludf.DUMMYFUNCTION("""COMPUTED_VALUE"""),"Moron")</f>
        <v>Moron</v>
      </c>
      <c r="D5546" s="120" t="str">
        <f>IFERROR(__xludf.DUMMYFUNCTION("""COMPUTED_VALUE"""),"Mongolia")</f>
        <v>Mongolia</v>
      </c>
      <c r="E5546" s="135"/>
      <c r="F5546" s="31"/>
    </row>
    <row r="5547">
      <c r="A5547" s="134" t="str">
        <f>IFERROR(__xludf.DUMMYFUNCTION("""COMPUTED_VALUE"""),"Morondava")</f>
        <v>Morondava</v>
      </c>
      <c r="B5547" s="120" t="str">
        <f>IFERROR(__xludf.DUMMYFUNCTION("""COMPUTED_VALUE"""),"MOQ")</f>
        <v>MOQ</v>
      </c>
      <c r="C5547" s="120" t="str">
        <f>IFERROR(__xludf.DUMMYFUNCTION("""COMPUTED_VALUE"""),"Morondava")</f>
        <v>Morondava</v>
      </c>
      <c r="D5547" s="120" t="str">
        <f>IFERROR(__xludf.DUMMYFUNCTION("""COMPUTED_VALUE"""),"Madagascar")</f>
        <v>Madagascar</v>
      </c>
      <c r="E5547" s="135"/>
      <c r="F5547" s="31"/>
    </row>
    <row r="5548">
      <c r="A5548" s="134" t="str">
        <f>IFERROR(__xludf.DUMMYFUNCTION("""COMPUTED_VALUE"""),"Moroni")</f>
        <v>Moroni</v>
      </c>
      <c r="B5548" s="120" t="str">
        <f>IFERROR(__xludf.DUMMYFUNCTION("""COMPUTED_VALUE"""),"YVA")</f>
        <v>YVA</v>
      </c>
      <c r="C5548" s="120" t="str">
        <f>IFERROR(__xludf.DUMMYFUNCTION("""COMPUTED_VALUE"""),"Iconi")</f>
        <v>Iconi</v>
      </c>
      <c r="D5548" s="120" t="str">
        <f>IFERROR(__xludf.DUMMYFUNCTION("""COMPUTED_VALUE"""),"Comoros")</f>
        <v>Comoros</v>
      </c>
      <c r="E5548" s="135"/>
      <c r="F5548" s="31"/>
    </row>
    <row r="5549">
      <c r="A5549" s="134" t="str">
        <f>IFERROR(__xludf.DUMMYFUNCTION("""COMPUTED_VALUE"""),"Moroni")</f>
        <v>Moroni</v>
      </c>
      <c r="B5549" s="120" t="str">
        <f>IFERROR(__xludf.DUMMYFUNCTION("""COMPUTED_VALUE"""),"HAH")</f>
        <v>HAH</v>
      </c>
      <c r="C5549" s="120" t="str">
        <f>IFERROR(__xludf.DUMMYFUNCTION("""COMPUTED_VALUE"""),"Prince Said Ibrahim In")</f>
        <v>Prince Said Ibrahim In</v>
      </c>
      <c r="D5549" s="120" t="str">
        <f>IFERROR(__xludf.DUMMYFUNCTION("""COMPUTED_VALUE"""),"Comoros")</f>
        <v>Comoros</v>
      </c>
      <c r="E5549" s="135"/>
      <c r="F5549" s="31"/>
    </row>
    <row r="5550">
      <c r="A5550" s="134" t="str">
        <f>IFERROR(__xludf.DUMMYFUNCTION("""COMPUTED_VALUE"""),"Pitu, Morotai Island")</f>
        <v>Pitu, Morotai Island</v>
      </c>
      <c r="B5550" s="120" t="str">
        <f>IFERROR(__xludf.DUMMYFUNCTION("""COMPUTED_VALUE"""),"OTI")</f>
        <v>OTI</v>
      </c>
      <c r="C5550" s="120" t="str">
        <f>IFERROR(__xludf.DUMMYFUNCTION("""COMPUTED_VALUE"""),"Morotai Island")</f>
        <v>Morotai Island</v>
      </c>
      <c r="D5550" s="120" t="str">
        <f>IFERROR(__xludf.DUMMYFUNCTION("""COMPUTED_VALUE"""),"Indonesia")</f>
        <v>Indonesia</v>
      </c>
      <c r="E5550" s="135"/>
      <c r="F5550" s="31"/>
    </row>
    <row r="5551">
      <c r="A5551" s="134" t="str">
        <f>IFERROR(__xludf.DUMMYFUNCTION("""COMPUTED_VALUE"""),"Morrilton")</f>
        <v>Morrilton</v>
      </c>
      <c r="B5551" s="120" t="str">
        <f>IFERROR(__xludf.DUMMYFUNCTION("""COMPUTED_VALUE"""),"MPJ")</f>
        <v>MPJ</v>
      </c>
      <c r="C5551" s="120" t="str">
        <f>IFERROR(__xludf.DUMMYFUNCTION("""COMPUTED_VALUE"""),"Petit Jean Park")</f>
        <v>Petit Jean Park</v>
      </c>
      <c r="D5551" s="120" t="str">
        <f>IFERROR(__xludf.DUMMYFUNCTION("""COMPUTED_VALUE"""),"United States")</f>
        <v>United States</v>
      </c>
      <c r="E5551" s="135"/>
      <c r="F5551" s="31"/>
    </row>
    <row r="5552">
      <c r="A5552" s="134" t="str">
        <f>IFERROR(__xludf.DUMMYFUNCTION("""COMPUTED_VALUE"""),"Morris")</f>
        <v>Morris</v>
      </c>
      <c r="B5552" s="120" t="str">
        <f>IFERROR(__xludf.DUMMYFUNCTION("""COMPUTED_VALUE"""),"MOX")</f>
        <v>MOX</v>
      </c>
      <c r="C5552" s="120" t="str">
        <f>IFERROR(__xludf.DUMMYFUNCTION("""COMPUTED_VALUE"""),"Municipal")</f>
        <v>Municipal</v>
      </c>
      <c r="D5552" s="120" t="str">
        <f>IFERROR(__xludf.DUMMYFUNCTION("""COMPUTED_VALUE"""),"United States")</f>
        <v>United States</v>
      </c>
      <c r="E5552" s="135"/>
      <c r="F5552" s="31"/>
    </row>
    <row r="5553">
      <c r="A5553" s="134" t="str">
        <f>IFERROR(__xludf.DUMMYFUNCTION("""COMPUTED_VALUE"""),"Morristown")</f>
        <v>Morristown</v>
      </c>
      <c r="B5553" s="120" t="str">
        <f>IFERROR(__xludf.DUMMYFUNCTION("""COMPUTED_VALUE"""),"MMU")</f>
        <v>MMU</v>
      </c>
      <c r="C5553" s="120" t="str">
        <f>IFERROR(__xludf.DUMMYFUNCTION("""COMPUTED_VALUE"""),"Municipal")</f>
        <v>Municipal</v>
      </c>
      <c r="D5553" s="120" t="str">
        <f>IFERROR(__xludf.DUMMYFUNCTION("""COMPUTED_VALUE"""),"United States")</f>
        <v>United States</v>
      </c>
      <c r="E5553" s="135"/>
      <c r="F5553" s="31"/>
    </row>
    <row r="5554">
      <c r="A5554" s="134" t="str">
        <f>IFERROR(__xludf.DUMMYFUNCTION("""COMPUTED_VALUE"""),"Morristown")</f>
        <v>Morristown</v>
      </c>
      <c r="B5554" s="120" t="str">
        <f>IFERROR(__xludf.DUMMYFUNCTION("""COMPUTED_VALUE"""),"MOR")</f>
        <v>MOR</v>
      </c>
      <c r="C5554" s="120" t="str">
        <f>IFERROR(__xludf.DUMMYFUNCTION("""COMPUTED_VALUE"""),"Moore-Murrell")</f>
        <v>Moore-Murrell</v>
      </c>
      <c r="D5554" s="120" t="str">
        <f>IFERROR(__xludf.DUMMYFUNCTION("""COMPUTED_VALUE"""),"United States")</f>
        <v>United States</v>
      </c>
      <c r="E5554" s="135"/>
      <c r="F5554" s="31"/>
    </row>
    <row r="5555">
      <c r="A5555" s="134" t="str">
        <f>IFERROR(__xludf.DUMMYFUNCTION("""COMPUTED_VALUE"""),"Moruya")</f>
        <v>Moruya</v>
      </c>
      <c r="B5555" s="120" t="str">
        <f>IFERROR(__xludf.DUMMYFUNCTION("""COMPUTED_VALUE"""),"MYA")</f>
        <v>MYA</v>
      </c>
      <c r="C5555" s="120" t="str">
        <f>IFERROR(__xludf.DUMMYFUNCTION("""COMPUTED_VALUE"""),"Moruya")</f>
        <v>Moruya</v>
      </c>
      <c r="D5555" s="120" t="str">
        <f>IFERROR(__xludf.DUMMYFUNCTION("""COMPUTED_VALUE"""),"Australia")</f>
        <v>Australia</v>
      </c>
      <c r="E5555" s="135"/>
      <c r="F5555" s="31"/>
    </row>
    <row r="5556">
      <c r="A5556" s="134" t="str">
        <f>IFERROR(__xludf.DUMMYFUNCTION("""COMPUTED_VALUE"""),"Moscow")</f>
        <v>Moscow</v>
      </c>
      <c r="B5556" s="120" t="str">
        <f>IFERROR(__xludf.DUMMYFUNCTION("""COMPUTED_VALUE"""),"BKA")</f>
        <v>BKA</v>
      </c>
      <c r="C5556" s="120" t="str">
        <f>IFERROR(__xludf.DUMMYFUNCTION("""COMPUTED_VALUE"""),"Bykovo")</f>
        <v>Bykovo</v>
      </c>
      <c r="D5556" s="120" t="str">
        <f>IFERROR(__xludf.DUMMYFUNCTION("""COMPUTED_VALUE"""),"Russia")</f>
        <v>Russia</v>
      </c>
      <c r="E5556" s="135"/>
      <c r="F5556" s="31"/>
    </row>
    <row r="5557">
      <c r="A5557" s="134" t="str">
        <f>IFERROR(__xludf.DUMMYFUNCTION("""COMPUTED_VALUE"""),"Moscow")</f>
        <v>Moscow</v>
      </c>
      <c r="B5557" s="120" t="str">
        <f>IFERROR(__xludf.DUMMYFUNCTION("""COMPUTED_VALUE"""),"DME")</f>
        <v>DME</v>
      </c>
      <c r="C5557" s="120" t="str">
        <f>IFERROR(__xludf.DUMMYFUNCTION("""COMPUTED_VALUE"""),"Domodedovo")</f>
        <v>Domodedovo</v>
      </c>
      <c r="D5557" s="120" t="str">
        <f>IFERROR(__xludf.DUMMYFUNCTION("""COMPUTED_VALUE"""),"Russia")</f>
        <v>Russia</v>
      </c>
      <c r="E5557" s="135"/>
      <c r="F5557" s="31"/>
    </row>
    <row r="5558">
      <c r="A5558" s="134" t="str">
        <f>IFERROR(__xludf.DUMMYFUNCTION("""COMPUTED_VALUE"""),"Moscow")</f>
        <v>Moscow</v>
      </c>
      <c r="B5558" s="120" t="str">
        <f>IFERROR(__xludf.DUMMYFUNCTION("""COMPUTED_VALUE"""),"ZKD")</f>
        <v>ZKD</v>
      </c>
      <c r="C5558" s="120" t="str">
        <f>IFERROR(__xludf.DUMMYFUNCTION("""COMPUTED_VALUE"""),"Leningradskiy Rail Stn")</f>
        <v>Leningradskiy Rail Stn</v>
      </c>
      <c r="D5558" s="120" t="str">
        <f>IFERROR(__xludf.DUMMYFUNCTION("""COMPUTED_VALUE"""),"Russia")</f>
        <v>Russia</v>
      </c>
      <c r="E5558" s="135"/>
      <c r="F5558" s="31"/>
    </row>
    <row r="5559">
      <c r="A5559" s="134" t="str">
        <f>IFERROR(__xludf.DUMMYFUNCTION("""COMPUTED_VALUE"""),"Moscow")</f>
        <v>Moscow</v>
      </c>
      <c r="B5559" s="120" t="str">
        <f>IFERROR(__xludf.DUMMYFUNCTION("""COMPUTED_VALUE"""),"XRK")</f>
        <v>XRK</v>
      </c>
      <c r="C5559" s="120" t="str">
        <f>IFERROR(__xludf.DUMMYFUNCTION("""COMPUTED_VALUE"""),"Paveletskiy Rail Stn.")</f>
        <v>Paveletskiy Rail Stn.</v>
      </c>
      <c r="D5559" s="120" t="str">
        <f>IFERROR(__xludf.DUMMYFUNCTION("""COMPUTED_VALUE"""),"Russia")</f>
        <v>Russia</v>
      </c>
      <c r="E5559" s="135"/>
      <c r="F5559" s="31"/>
    </row>
    <row r="5560">
      <c r="A5560" s="134" t="str">
        <f>IFERROR(__xludf.DUMMYFUNCTION("""COMPUTED_VALUE"""),"Moscow")</f>
        <v>Moscow</v>
      </c>
      <c r="B5560" s="120" t="str">
        <f>IFERROR(__xludf.DUMMYFUNCTION("""COMPUTED_VALUE"""),"SVO")</f>
        <v>SVO</v>
      </c>
      <c r="C5560" s="120" t="str">
        <f>IFERROR(__xludf.DUMMYFUNCTION("""COMPUTED_VALUE"""),"Sheremetyevo")</f>
        <v>Sheremetyevo</v>
      </c>
      <c r="D5560" s="120" t="str">
        <f>IFERROR(__xludf.DUMMYFUNCTION("""COMPUTED_VALUE"""),"Russia")</f>
        <v>Russia</v>
      </c>
      <c r="E5560" s="135"/>
      <c r="F5560" s="31"/>
    </row>
    <row r="5561">
      <c r="A5561" s="134" t="str">
        <f>IFERROR(__xludf.DUMMYFUNCTION("""COMPUTED_VALUE"""),"Moscow")</f>
        <v>Moscow</v>
      </c>
      <c r="B5561" s="120" t="str">
        <f>IFERROR(__xludf.DUMMYFUNCTION("""COMPUTED_VALUE"""),"VKO")</f>
        <v>VKO</v>
      </c>
      <c r="C5561" s="120" t="str">
        <f>IFERROR(__xludf.DUMMYFUNCTION("""COMPUTED_VALUE"""),"Vnukovo")</f>
        <v>Vnukovo</v>
      </c>
      <c r="D5561" s="120" t="str">
        <f>IFERROR(__xludf.DUMMYFUNCTION("""COMPUTED_VALUE"""),"Russia")</f>
        <v>Russia</v>
      </c>
      <c r="E5561" s="135"/>
      <c r="F5561" s="31"/>
    </row>
    <row r="5562">
      <c r="A5562" s="134" t="str">
        <f>IFERROR(__xludf.DUMMYFUNCTION("""COMPUTED_VALUE"""),"Moser Bay")</f>
        <v>Moser Bay</v>
      </c>
      <c r="B5562" s="120" t="str">
        <f>IFERROR(__xludf.DUMMYFUNCTION("""COMPUTED_VALUE"""),"KMY")</f>
        <v>KMY</v>
      </c>
      <c r="C5562" s="120" t="str">
        <f>IFERROR(__xludf.DUMMYFUNCTION("""COMPUTED_VALUE"""),"Moser Bay")</f>
        <v>Moser Bay</v>
      </c>
      <c r="D5562" s="120" t="str">
        <f>IFERROR(__xludf.DUMMYFUNCTION("""COMPUTED_VALUE"""),"United States")</f>
        <v>United States</v>
      </c>
      <c r="E5562" s="135"/>
      <c r="F5562" s="31"/>
    </row>
    <row r="5563">
      <c r="A5563" s="134" t="str">
        <f>IFERROR(__xludf.DUMMYFUNCTION("""COMPUTED_VALUE"""),"Moses Lake")</f>
        <v>Moses Lake</v>
      </c>
      <c r="B5563" s="120" t="str">
        <f>IFERROR(__xludf.DUMMYFUNCTION("""COMPUTED_VALUE"""),"MWH")</f>
        <v>MWH</v>
      </c>
      <c r="C5563" s="120" t="str">
        <f>IFERROR(__xludf.DUMMYFUNCTION("""COMPUTED_VALUE"""),"Grant County")</f>
        <v>Grant County</v>
      </c>
      <c r="D5563" s="120" t="str">
        <f>IFERROR(__xludf.DUMMYFUNCTION("""COMPUTED_VALUE"""),"United States")</f>
        <v>United States</v>
      </c>
      <c r="E5563" s="135"/>
      <c r="F5563" s="31"/>
    </row>
    <row r="5564">
      <c r="A5564" s="134" t="str">
        <f>IFERROR(__xludf.DUMMYFUNCTION("""COMPUTED_VALUE"""),"Moses Lake")</f>
        <v>Moses Lake</v>
      </c>
      <c r="B5564" s="120" t="str">
        <f>IFERROR(__xludf.DUMMYFUNCTION("""COMPUTED_VALUE"""),"LRN")</f>
        <v>LRN</v>
      </c>
      <c r="C5564" s="120" t="str">
        <f>IFERROR(__xludf.DUMMYFUNCTION("""COMPUTED_VALUE"""),"Larson AFB")</f>
        <v>Larson AFB</v>
      </c>
      <c r="D5564" s="120" t="str">
        <f>IFERROR(__xludf.DUMMYFUNCTION("""COMPUTED_VALUE"""),"United States")</f>
        <v>United States</v>
      </c>
      <c r="E5564" s="135"/>
      <c r="F5564" s="31"/>
    </row>
    <row r="5565">
      <c r="A5565" s="134" t="str">
        <f>IFERROR(__xludf.DUMMYFUNCTION("""COMPUTED_VALUE"""),"Moses Point")</f>
        <v>Moses Point</v>
      </c>
      <c r="B5565" s="120" t="str">
        <f>IFERROR(__xludf.DUMMYFUNCTION("""COMPUTED_VALUE"""),"MOS")</f>
        <v>MOS</v>
      </c>
      <c r="C5565" s="120" t="str">
        <f>IFERROR(__xludf.DUMMYFUNCTION("""COMPUTED_VALUE"""),"Intermediate")</f>
        <v>Intermediate</v>
      </c>
      <c r="D5565" s="120" t="str">
        <f>IFERROR(__xludf.DUMMYFUNCTION("""COMPUTED_VALUE"""),"United States")</f>
        <v>United States</v>
      </c>
      <c r="E5565" s="135"/>
      <c r="F5565" s="31"/>
    </row>
    <row r="5566">
      <c r="A5566" s="134" t="str">
        <f>IFERROR(__xludf.DUMMYFUNCTION("""COMPUTED_VALUE"""),"Mosjoen")</f>
        <v>Mosjoen</v>
      </c>
      <c r="B5566" s="120" t="str">
        <f>IFERROR(__xludf.DUMMYFUNCTION("""COMPUTED_VALUE"""),"MJF")</f>
        <v>MJF</v>
      </c>
      <c r="C5566" s="120" t="str">
        <f>IFERROR(__xludf.DUMMYFUNCTION("""COMPUTED_VALUE"""),"Kjaerstad")</f>
        <v>Kjaerstad</v>
      </c>
      <c r="D5566" s="120" t="str">
        <f>IFERROR(__xludf.DUMMYFUNCTION("""COMPUTED_VALUE"""),"Norway")</f>
        <v>Norway</v>
      </c>
      <c r="E5566" s="135"/>
      <c r="F5566" s="31"/>
    </row>
    <row r="5567">
      <c r="A5567" s="134" t="str">
        <f>IFERROR(__xludf.DUMMYFUNCTION("""COMPUTED_VALUE"""),"Mosquera")</f>
        <v>Mosquera</v>
      </c>
      <c r="B5567" s="120" t="str">
        <f>IFERROR(__xludf.DUMMYFUNCTION("""COMPUTED_VALUE"""),"MQR")</f>
        <v>MQR</v>
      </c>
      <c r="C5567" s="120" t="str">
        <f>IFERROR(__xludf.DUMMYFUNCTION("""COMPUTED_VALUE"""),"Mosquera")</f>
        <v>Mosquera</v>
      </c>
      <c r="D5567" s="120" t="str">
        <f>IFERROR(__xludf.DUMMYFUNCTION("""COMPUTED_VALUE"""),"Colombia")</f>
        <v>Colombia</v>
      </c>
      <c r="E5567" s="135"/>
      <c r="F5567" s="31"/>
    </row>
    <row r="5568">
      <c r="A5568" s="134" t="str">
        <f>IFERROR(__xludf.DUMMYFUNCTION("""COMPUTED_VALUE"""),"Mossel Bay")</f>
        <v>Mossel Bay</v>
      </c>
      <c r="B5568" s="120" t="str">
        <f>IFERROR(__xludf.DUMMYFUNCTION("""COMPUTED_VALUE"""),"MZY")</f>
        <v>MZY</v>
      </c>
      <c r="C5568" s="120" t="str">
        <f>IFERROR(__xludf.DUMMYFUNCTION("""COMPUTED_VALUE"""),"Mossel Bay")</f>
        <v>Mossel Bay</v>
      </c>
      <c r="D5568" s="120" t="str">
        <f>IFERROR(__xludf.DUMMYFUNCTION("""COMPUTED_VALUE"""),"South Africa")</f>
        <v>South Africa</v>
      </c>
      <c r="E5568" s="135"/>
      <c r="F5568" s="31"/>
    </row>
    <row r="5569">
      <c r="A5569" s="134" t="str">
        <f>IFERROR(__xludf.DUMMYFUNCTION("""COMPUTED_VALUE"""),"Mossendjo")</f>
        <v>Mossendjo</v>
      </c>
      <c r="B5569" s="120" t="str">
        <f>IFERROR(__xludf.DUMMYFUNCTION("""COMPUTED_VALUE"""),"MSX")</f>
        <v>MSX</v>
      </c>
      <c r="C5569" s="120" t="str">
        <f>IFERROR(__xludf.DUMMYFUNCTION("""COMPUTED_VALUE"""),"Mossendjo")</f>
        <v>Mossendjo</v>
      </c>
      <c r="D5569" s="120" t="str">
        <f>IFERROR(__xludf.DUMMYFUNCTION("""COMPUTED_VALUE"""),"Congo")</f>
        <v>Congo</v>
      </c>
      <c r="E5569" s="135"/>
      <c r="F5569" s="31"/>
    </row>
    <row r="5570">
      <c r="A5570" s="134" t="str">
        <f>IFERROR(__xludf.DUMMYFUNCTION("""COMPUTED_VALUE"""),"Mossoro")</f>
        <v>Mossoro</v>
      </c>
      <c r="B5570" s="120" t="str">
        <f>IFERROR(__xludf.DUMMYFUNCTION("""COMPUTED_VALUE"""),"MVF")</f>
        <v>MVF</v>
      </c>
      <c r="C5570" s="120" t="str">
        <f>IFERROR(__xludf.DUMMYFUNCTION("""COMPUTED_VALUE"""),"Dixsept Rosado")</f>
        <v>Dixsept Rosado</v>
      </c>
      <c r="D5570" s="120" t="str">
        <f>IFERROR(__xludf.DUMMYFUNCTION("""COMPUTED_VALUE"""),"Brazil")</f>
        <v>Brazil</v>
      </c>
      <c r="E5570" s="135"/>
      <c r="F5570" s="31"/>
    </row>
    <row r="5571">
      <c r="A5571" s="134" t="str">
        <f>IFERROR(__xludf.DUMMYFUNCTION("""COMPUTED_VALUE"""),"Mostaganem")</f>
        <v>Mostaganem</v>
      </c>
      <c r="B5571" s="120" t="str">
        <f>IFERROR(__xludf.DUMMYFUNCTION("""COMPUTED_VALUE"""),"MQV")</f>
        <v>MQV</v>
      </c>
      <c r="C5571" s="120" t="str">
        <f>IFERROR(__xludf.DUMMYFUNCTION("""COMPUTED_VALUE"""),"Mostaganem")</f>
        <v>Mostaganem</v>
      </c>
      <c r="D5571" s="120" t="str">
        <f>IFERROR(__xludf.DUMMYFUNCTION("""COMPUTED_VALUE"""),"Algeria")</f>
        <v>Algeria</v>
      </c>
      <c r="E5571" s="135"/>
      <c r="F5571" s="31"/>
    </row>
    <row r="5572">
      <c r="A5572" s="134" t="str">
        <f>IFERROR(__xludf.DUMMYFUNCTION("""COMPUTED_VALUE"""),"Mostar")</f>
        <v>Mostar</v>
      </c>
      <c r="B5572" s="120" t="str">
        <f>IFERROR(__xludf.DUMMYFUNCTION("""COMPUTED_VALUE"""),"OMO")</f>
        <v>OMO</v>
      </c>
      <c r="C5572" s="120" t="str">
        <f>IFERROR(__xludf.DUMMYFUNCTION("""COMPUTED_VALUE"""),"Mostar")</f>
        <v>Mostar</v>
      </c>
      <c r="D5572" s="120" t="str">
        <f>IFERROR(__xludf.DUMMYFUNCTION("""COMPUTED_VALUE"""),"Bosnia and Herzegovina")</f>
        <v>Bosnia and Herzegovina</v>
      </c>
      <c r="E5572" s="135"/>
      <c r="F5572" s="31"/>
    </row>
    <row r="5573">
      <c r="A5573" s="134" t="str">
        <f>IFERROR(__xludf.DUMMYFUNCTION("""COMPUTED_VALUE"""),"Mosteiros")</f>
        <v>Mosteiros</v>
      </c>
      <c r="B5573" s="120" t="str">
        <f>IFERROR(__xludf.DUMMYFUNCTION("""COMPUTED_VALUE"""),"MTI")</f>
        <v>MTI</v>
      </c>
      <c r="C5573" s="120" t="str">
        <f>IFERROR(__xludf.DUMMYFUNCTION("""COMPUTED_VALUE"""),"Mosteiros")</f>
        <v>Mosteiros</v>
      </c>
      <c r="D5573" s="120" t="str">
        <f>IFERROR(__xludf.DUMMYFUNCTION("""COMPUTED_VALUE"""),"Cape Verde")</f>
        <v>Cape Verde</v>
      </c>
      <c r="E5573" s="135"/>
      <c r="F5573" s="31"/>
    </row>
    <row r="5574">
      <c r="A5574" s="134" t="str">
        <f>IFERROR(__xludf.DUMMYFUNCTION("""COMPUTED_VALUE"""),"Mostyn")</f>
        <v>Mostyn</v>
      </c>
      <c r="B5574" s="120" t="str">
        <f>IFERROR(__xludf.DUMMYFUNCTION("""COMPUTED_VALUE"""),"MZS")</f>
        <v>MZS</v>
      </c>
      <c r="C5574" s="120" t="str">
        <f>IFERROR(__xludf.DUMMYFUNCTION("""COMPUTED_VALUE"""),"Mostyn")</f>
        <v>Mostyn</v>
      </c>
      <c r="D5574" s="120" t="str">
        <f>IFERROR(__xludf.DUMMYFUNCTION("""COMPUTED_VALUE"""),"Malaysia")</f>
        <v>Malaysia</v>
      </c>
      <c r="E5574" s="135"/>
      <c r="F5574" s="31"/>
    </row>
    <row r="5575">
      <c r="A5575" s="134" t="str">
        <f>IFERROR(__xludf.DUMMYFUNCTION("""COMPUTED_VALUE"""),"Mosul")</f>
        <v>Mosul</v>
      </c>
      <c r="B5575" s="120" t="str">
        <f>IFERROR(__xludf.DUMMYFUNCTION("""COMPUTED_VALUE"""),"OSM")</f>
        <v>OSM</v>
      </c>
      <c r="C5575" s="120" t="str">
        <f>IFERROR(__xludf.DUMMYFUNCTION("""COMPUTED_VALUE"""),"Mosul")</f>
        <v>Mosul</v>
      </c>
      <c r="D5575" s="120" t="str">
        <f>IFERROR(__xludf.DUMMYFUNCTION("""COMPUTED_VALUE"""),"Iraq")</f>
        <v>Iraq</v>
      </c>
      <c r="E5575" s="135"/>
      <c r="F5575" s="31"/>
    </row>
    <row r="5576">
      <c r="A5576" s="134" t="str">
        <f>IFERROR(__xludf.DUMMYFUNCTION("""COMPUTED_VALUE"""),"Mota")</f>
        <v>Mota</v>
      </c>
      <c r="B5576" s="120" t="str">
        <f>IFERROR(__xludf.DUMMYFUNCTION("""COMPUTED_VALUE"""),"OTA")</f>
        <v>OTA</v>
      </c>
      <c r="C5576" s="120" t="str">
        <f>IFERROR(__xludf.DUMMYFUNCTION("""COMPUTED_VALUE"""),"Mota")</f>
        <v>Mota</v>
      </c>
      <c r="D5576" s="120" t="str">
        <f>IFERROR(__xludf.DUMMYFUNCTION("""COMPUTED_VALUE"""),"Ethiopia")</f>
        <v>Ethiopia</v>
      </c>
      <c r="E5576" s="135"/>
      <c r="F5576" s="31"/>
    </row>
    <row r="5577">
      <c r="A5577" s="134" t="str">
        <f>IFERROR(__xludf.DUMMYFUNCTION("""COMPUTED_VALUE"""),"Mota Lava")</f>
        <v>Mota Lava</v>
      </c>
      <c r="B5577" s="120" t="str">
        <f>IFERROR(__xludf.DUMMYFUNCTION("""COMPUTED_VALUE"""),"MTV")</f>
        <v>MTV</v>
      </c>
      <c r="C5577" s="120" t="str">
        <f>IFERROR(__xludf.DUMMYFUNCTION("""COMPUTED_VALUE"""),"Mota Lava")</f>
        <v>Mota Lava</v>
      </c>
      <c r="D5577" s="120" t="str">
        <f>IFERROR(__xludf.DUMMYFUNCTION("""COMPUTED_VALUE"""),"Vanuatu")</f>
        <v>Vanuatu</v>
      </c>
      <c r="E5577" s="135"/>
      <c r="F5577" s="31"/>
    </row>
    <row r="5578">
      <c r="A5578" s="134" t="str">
        <f>IFERROR(__xludf.DUMMYFUNCTION("""COMPUTED_VALUE"""),"Motswari")</f>
        <v>Motswari</v>
      </c>
      <c r="B5578" s="120" t="str">
        <f>IFERROR(__xludf.DUMMYFUNCTION("""COMPUTED_VALUE"""),"MWR")</f>
        <v>MWR</v>
      </c>
      <c r="C5578" s="120" t="str">
        <f>IFERROR(__xludf.DUMMYFUNCTION("""COMPUTED_VALUE"""),"Motswari Airfield")</f>
        <v>Motswari Airfield</v>
      </c>
      <c r="D5578" s="120" t="str">
        <f>IFERROR(__xludf.DUMMYFUNCTION("""COMPUTED_VALUE"""),"South Africa")</f>
        <v>South Africa</v>
      </c>
      <c r="E5578" s="135"/>
      <c r="F5578" s="31"/>
    </row>
    <row r="5579">
      <c r="A5579" s="134" t="str">
        <f>IFERROR(__xludf.DUMMYFUNCTION("""COMPUTED_VALUE"""),"Motueka")</f>
        <v>Motueka</v>
      </c>
      <c r="B5579" s="120" t="str">
        <f>IFERROR(__xludf.DUMMYFUNCTION("""COMPUTED_VALUE"""),"MZP")</f>
        <v>MZP</v>
      </c>
      <c r="C5579" s="120" t="str">
        <f>IFERROR(__xludf.DUMMYFUNCTION("""COMPUTED_VALUE"""),"Motueka")</f>
        <v>Motueka</v>
      </c>
      <c r="D5579" s="120" t="str">
        <f>IFERROR(__xludf.DUMMYFUNCTION("""COMPUTED_VALUE"""),"New Zealand (Aotearoa)")</f>
        <v>New Zealand (Aotearoa)</v>
      </c>
      <c r="E5579" s="135"/>
      <c r="F5579" s="31"/>
    </row>
    <row r="5580">
      <c r="A5580" s="134" t="str">
        <f>IFERROR(__xludf.DUMMYFUNCTION("""COMPUTED_VALUE"""),"Moudjeria")</f>
        <v>Moudjeria</v>
      </c>
      <c r="B5580" s="120" t="str">
        <f>IFERROR(__xludf.DUMMYFUNCTION("""COMPUTED_VALUE"""),"MOM")</f>
        <v>MOM</v>
      </c>
      <c r="C5580" s="120" t="str">
        <f>IFERROR(__xludf.DUMMYFUNCTION("""COMPUTED_VALUE"""),"Moudjeria")</f>
        <v>Moudjeria</v>
      </c>
      <c r="D5580" s="120" t="str">
        <f>IFERROR(__xludf.DUMMYFUNCTION("""COMPUTED_VALUE"""),"Mauritania")</f>
        <v>Mauritania</v>
      </c>
      <c r="E5580" s="135"/>
      <c r="F5580" s="31"/>
    </row>
    <row r="5581">
      <c r="A5581" s="134" t="str">
        <f>IFERROR(__xludf.DUMMYFUNCTION("""COMPUTED_VALUE"""),"Mougulu")</f>
        <v>Mougulu</v>
      </c>
      <c r="B5581" s="120" t="str">
        <f>IFERROR(__xludf.DUMMYFUNCTION("""COMPUTED_VALUE"""),"GUV")</f>
        <v>GUV</v>
      </c>
      <c r="C5581" s="120" t="str">
        <f>IFERROR(__xludf.DUMMYFUNCTION("""COMPUTED_VALUE"""),"Mougulu")</f>
        <v>Mougulu</v>
      </c>
      <c r="D5581" s="120" t="str">
        <f>IFERROR(__xludf.DUMMYFUNCTION("""COMPUTED_VALUE"""),"Papua New Guinea")</f>
        <v>Papua New Guinea</v>
      </c>
      <c r="E5581" s="135"/>
      <c r="F5581" s="31"/>
    </row>
    <row r="5582">
      <c r="A5582" s="134" t="str">
        <f>IFERROR(__xludf.DUMMYFUNCTION("""COMPUTED_VALUE"""),"Mouila")</f>
        <v>Mouila</v>
      </c>
      <c r="B5582" s="120" t="str">
        <f>IFERROR(__xludf.DUMMYFUNCTION("""COMPUTED_VALUE"""),"MJL")</f>
        <v>MJL</v>
      </c>
      <c r="C5582" s="120" t="str">
        <f>IFERROR(__xludf.DUMMYFUNCTION("""COMPUTED_VALUE"""),"Mouila")</f>
        <v>Mouila</v>
      </c>
      <c r="D5582" s="120" t="str">
        <f>IFERROR(__xludf.DUMMYFUNCTION("""COMPUTED_VALUE"""),"Gabon")</f>
        <v>Gabon</v>
      </c>
      <c r="E5582" s="135"/>
      <c r="F5582" s="31"/>
    </row>
    <row r="5583">
      <c r="A5583" s="134" t="str">
        <f>IFERROR(__xludf.DUMMYFUNCTION("""COMPUTED_VALUE"""),"Mould Bay")</f>
        <v>Mould Bay</v>
      </c>
      <c r="B5583" s="120" t="str">
        <f>IFERROR(__xludf.DUMMYFUNCTION("""COMPUTED_VALUE"""),"YMD")</f>
        <v>YMD</v>
      </c>
      <c r="C5583" s="120" t="str">
        <f>IFERROR(__xludf.DUMMYFUNCTION("""COMPUTED_VALUE"""),"Mould Bay")</f>
        <v>Mould Bay</v>
      </c>
      <c r="D5583" s="120" t="str">
        <f>IFERROR(__xludf.DUMMYFUNCTION("""COMPUTED_VALUE"""),"Canada")</f>
        <v>Canada</v>
      </c>
      <c r="E5583" s="135"/>
      <c r="F5583" s="31"/>
    </row>
    <row r="5584">
      <c r="A5584" s="134" t="str">
        <f>IFERROR(__xludf.DUMMYFUNCTION("""COMPUTED_VALUE"""),"Moultrie")</f>
        <v>Moultrie</v>
      </c>
      <c r="B5584" s="120" t="str">
        <f>IFERROR(__xludf.DUMMYFUNCTION("""COMPUTED_VALUE"""),"MUL")</f>
        <v>MUL</v>
      </c>
      <c r="C5584" s="120" t="str">
        <f>IFERROR(__xludf.DUMMYFUNCTION("""COMPUTED_VALUE"""),"Spence")</f>
        <v>Spence</v>
      </c>
      <c r="D5584" s="120" t="str">
        <f>IFERROR(__xludf.DUMMYFUNCTION("""COMPUTED_VALUE"""),"United States")</f>
        <v>United States</v>
      </c>
      <c r="E5584" s="135"/>
      <c r="F5584" s="31"/>
    </row>
    <row r="5585">
      <c r="A5585" s="134" t="str">
        <f>IFERROR(__xludf.DUMMYFUNCTION("""COMPUTED_VALUE"""),"Moultrie")</f>
        <v>Moultrie</v>
      </c>
      <c r="B5585" s="120" t="str">
        <f>IFERROR(__xludf.DUMMYFUNCTION("""COMPUTED_VALUE"""),"MGR")</f>
        <v>MGR</v>
      </c>
      <c r="C5585" s="120" t="str">
        <f>IFERROR(__xludf.DUMMYFUNCTION("""COMPUTED_VALUE"""),"Thomasville")</f>
        <v>Thomasville</v>
      </c>
      <c r="D5585" s="120" t="str">
        <f>IFERROR(__xludf.DUMMYFUNCTION("""COMPUTED_VALUE"""),"United States")</f>
        <v>United States</v>
      </c>
      <c r="E5585" s="135"/>
      <c r="F5585" s="31"/>
    </row>
    <row r="5586">
      <c r="A5586" s="134" t="str">
        <f>IFERROR(__xludf.DUMMYFUNCTION("""COMPUTED_VALUE"""),"Moundou")</f>
        <v>Moundou</v>
      </c>
      <c r="B5586" s="120" t="str">
        <f>IFERROR(__xludf.DUMMYFUNCTION("""COMPUTED_VALUE"""),"MQQ")</f>
        <v>MQQ</v>
      </c>
      <c r="C5586" s="120" t="str">
        <f>IFERROR(__xludf.DUMMYFUNCTION("""COMPUTED_VALUE"""),"Moundou")</f>
        <v>Moundou</v>
      </c>
      <c r="D5586" s="120" t="str">
        <f>IFERROR(__xludf.DUMMYFUNCTION("""COMPUTED_VALUE"""),"Chad")</f>
        <v>Chad</v>
      </c>
      <c r="E5586" s="135"/>
      <c r="F5586" s="31"/>
    </row>
    <row r="5587">
      <c r="A5587" s="134" t="str">
        <f>IFERROR(__xludf.DUMMYFUNCTION("""COMPUTED_VALUE"""),"Mount Aue")</f>
        <v>Mount Aue</v>
      </c>
      <c r="B5587" s="120" t="str">
        <f>IFERROR(__xludf.DUMMYFUNCTION("""COMPUTED_VALUE"""),"UAE")</f>
        <v>UAE</v>
      </c>
      <c r="C5587" s="120" t="str">
        <f>IFERROR(__xludf.DUMMYFUNCTION("""COMPUTED_VALUE"""),"Mount Aue")</f>
        <v>Mount Aue</v>
      </c>
      <c r="D5587" s="120" t="str">
        <f>IFERROR(__xludf.DUMMYFUNCTION("""COMPUTED_VALUE"""),"Papua New Guinea")</f>
        <v>Papua New Guinea</v>
      </c>
      <c r="E5587" s="135"/>
      <c r="F5587" s="31"/>
    </row>
    <row r="5588">
      <c r="A5588" s="134" t="str">
        <f>IFERROR(__xludf.DUMMYFUNCTION("""COMPUTED_VALUE"""),"Mount Buffalo")</f>
        <v>Mount Buffalo</v>
      </c>
      <c r="B5588" s="120" t="str">
        <f>IFERROR(__xludf.DUMMYFUNCTION("""COMPUTED_VALUE"""),"MBF")</f>
        <v>MBF</v>
      </c>
      <c r="C5588" s="120" t="str">
        <f>IFERROR(__xludf.DUMMYFUNCTION("""COMPUTED_VALUE"""),"Mount Buffalo")</f>
        <v>Mount Buffalo</v>
      </c>
      <c r="D5588" s="120" t="str">
        <f>IFERROR(__xludf.DUMMYFUNCTION("""COMPUTED_VALUE"""),"Australia")</f>
        <v>Australia</v>
      </c>
      <c r="E5588" s="135"/>
      <c r="F5588" s="31"/>
    </row>
    <row r="5589">
      <c r="A5589" s="134" t="str">
        <f>IFERROR(__xludf.DUMMYFUNCTION("""COMPUTED_VALUE"""),"Mount Cook")</f>
        <v>Mount Cook</v>
      </c>
      <c r="B5589" s="120" t="str">
        <f>IFERROR(__xludf.DUMMYFUNCTION("""COMPUTED_VALUE"""),"GTN")</f>
        <v>GTN</v>
      </c>
      <c r="C5589" s="120" t="str">
        <f>IFERROR(__xludf.DUMMYFUNCTION("""COMPUTED_VALUE"""),"Glentanner")</f>
        <v>Glentanner</v>
      </c>
      <c r="D5589" s="120" t="str">
        <f>IFERROR(__xludf.DUMMYFUNCTION("""COMPUTED_VALUE"""),"New Zealand (Aotearoa)")</f>
        <v>New Zealand (Aotearoa)</v>
      </c>
      <c r="E5589" s="135"/>
      <c r="F5589" s="31"/>
    </row>
    <row r="5590">
      <c r="A5590" s="134" t="str">
        <f>IFERROR(__xludf.DUMMYFUNCTION("""COMPUTED_VALUE"""),"Mount Cook")</f>
        <v>Mount Cook</v>
      </c>
      <c r="B5590" s="120" t="str">
        <f>IFERROR(__xludf.DUMMYFUNCTION("""COMPUTED_VALUE"""),"MON")</f>
        <v>MON</v>
      </c>
      <c r="C5590" s="120" t="str">
        <f>IFERROR(__xludf.DUMMYFUNCTION("""COMPUTED_VALUE"""),"Mount Cook Airport")</f>
        <v>Mount Cook Airport</v>
      </c>
      <c r="D5590" s="120" t="str">
        <f>IFERROR(__xludf.DUMMYFUNCTION("""COMPUTED_VALUE"""),"New Zealand (Aotearoa)")</f>
        <v>New Zealand (Aotearoa)</v>
      </c>
      <c r="E5590" s="135"/>
      <c r="F5590" s="31"/>
    </row>
    <row r="5591">
      <c r="A5591" s="134" t="str">
        <f>IFERROR(__xludf.DUMMYFUNCTION("""COMPUTED_VALUE"""),"Mount Cook")</f>
        <v>Mount Cook</v>
      </c>
      <c r="B5591" s="120" t="str">
        <f>IFERROR(__xludf.DUMMYFUNCTION("""COMPUTED_VALUE"""),"TWZ")</f>
        <v>TWZ</v>
      </c>
      <c r="C5591" s="120" t="str">
        <f>IFERROR(__xludf.DUMMYFUNCTION("""COMPUTED_VALUE"""),"Pukaki/Twizel")</f>
        <v>Pukaki/Twizel</v>
      </c>
      <c r="D5591" s="120" t="str">
        <f>IFERROR(__xludf.DUMMYFUNCTION("""COMPUTED_VALUE"""),"New Zealand (Aotearoa)")</f>
        <v>New Zealand (Aotearoa)</v>
      </c>
      <c r="E5591" s="135"/>
      <c r="F5591" s="31"/>
    </row>
    <row r="5592">
      <c r="A5592" s="134" t="str">
        <f>IFERROR(__xludf.DUMMYFUNCTION("""COMPUTED_VALUE"""),"Mount Etjo Lodge")</f>
        <v>Mount Etjo Lodge</v>
      </c>
      <c r="B5592" s="120" t="str">
        <f>IFERROR(__xludf.DUMMYFUNCTION("""COMPUTED_VALUE"""),"MJO")</f>
        <v>MJO</v>
      </c>
      <c r="C5592" s="120" t="str">
        <f>IFERROR(__xludf.DUMMYFUNCTION("""COMPUTED_VALUE"""),"Mount Etjo Lodge")</f>
        <v>Mount Etjo Lodge</v>
      </c>
      <c r="D5592" s="120" t="str">
        <f>IFERROR(__xludf.DUMMYFUNCTION("""COMPUTED_VALUE"""),"Namibia")</f>
        <v>Namibia</v>
      </c>
      <c r="E5592" s="135"/>
      <c r="F5592" s="31"/>
    </row>
    <row r="5593">
      <c r="A5593" s="134" t="str">
        <f>IFERROR(__xludf.DUMMYFUNCTION("""COMPUTED_VALUE"""),"Mount Full Stop")</f>
        <v>Mount Full Stop</v>
      </c>
      <c r="B5593" s="120" t="str">
        <f>IFERROR(__xludf.DUMMYFUNCTION("""COMPUTED_VALUE"""),"MFL")</f>
        <v>MFL</v>
      </c>
      <c r="C5593" s="120" t="str">
        <f>IFERROR(__xludf.DUMMYFUNCTION("""COMPUTED_VALUE"""),"Mount Full Stop")</f>
        <v>Mount Full Stop</v>
      </c>
      <c r="D5593" s="120" t="str">
        <f>IFERROR(__xludf.DUMMYFUNCTION("""COMPUTED_VALUE"""),"Australia")</f>
        <v>Australia</v>
      </c>
      <c r="E5593" s="135"/>
      <c r="F5593" s="31"/>
    </row>
    <row r="5594">
      <c r="A5594" s="134" t="str">
        <f>IFERROR(__xludf.DUMMYFUNCTION("""COMPUTED_VALUE"""),"Mount Gambier")</f>
        <v>Mount Gambier</v>
      </c>
      <c r="B5594" s="120" t="str">
        <f>IFERROR(__xludf.DUMMYFUNCTION("""COMPUTED_VALUE"""),"MGB")</f>
        <v>MGB</v>
      </c>
      <c r="C5594" s="120" t="str">
        <f>IFERROR(__xludf.DUMMYFUNCTION("""COMPUTED_VALUE"""),"Mount Gambier")</f>
        <v>Mount Gambier</v>
      </c>
      <c r="D5594" s="120" t="str">
        <f>IFERROR(__xludf.DUMMYFUNCTION("""COMPUTED_VALUE"""),"Australia")</f>
        <v>Australia</v>
      </c>
      <c r="E5594" s="135"/>
      <c r="F5594" s="31"/>
    </row>
    <row r="5595">
      <c r="A5595" s="134" t="str">
        <f>IFERROR(__xludf.DUMMYFUNCTION("""COMPUTED_VALUE"""),"Mount Gunson")</f>
        <v>Mount Gunson</v>
      </c>
      <c r="B5595" s="120" t="str">
        <f>IFERROR(__xludf.DUMMYFUNCTION("""COMPUTED_VALUE"""),"GSN")</f>
        <v>GSN</v>
      </c>
      <c r="C5595" s="120" t="str">
        <f>IFERROR(__xludf.DUMMYFUNCTION("""COMPUTED_VALUE"""),"Mount Gunson")</f>
        <v>Mount Gunson</v>
      </c>
      <c r="D5595" s="120" t="str">
        <f>IFERROR(__xludf.DUMMYFUNCTION("""COMPUTED_VALUE"""),"Australia")</f>
        <v>Australia</v>
      </c>
      <c r="E5595" s="135"/>
      <c r="F5595" s="31"/>
    </row>
    <row r="5596">
      <c r="A5596" s="134" t="str">
        <f>IFERROR(__xludf.DUMMYFUNCTION("""COMPUTED_VALUE"""),"Mount Hagen")</f>
        <v>Mount Hagen</v>
      </c>
      <c r="B5596" s="120" t="str">
        <f>IFERROR(__xludf.DUMMYFUNCTION("""COMPUTED_VALUE"""),"HGU")</f>
        <v>HGU</v>
      </c>
      <c r="C5596" s="120" t="str">
        <f>IFERROR(__xludf.DUMMYFUNCTION("""COMPUTED_VALUE"""),"Kagamuga")</f>
        <v>Kagamuga</v>
      </c>
      <c r="D5596" s="120" t="str">
        <f>IFERROR(__xludf.DUMMYFUNCTION("""COMPUTED_VALUE"""),"Papua New Guinea")</f>
        <v>Papua New Guinea</v>
      </c>
      <c r="E5596" s="135"/>
      <c r="F5596" s="31"/>
    </row>
    <row r="5597">
      <c r="A5597" s="134" t="str">
        <f>IFERROR(__xludf.DUMMYFUNCTION("""COMPUTED_VALUE"""),"Mount Holly")</f>
        <v>Mount Holly</v>
      </c>
      <c r="B5597" s="120" t="str">
        <f>IFERROR(__xludf.DUMMYFUNCTION("""COMPUTED_VALUE"""),"LLY")</f>
        <v>LLY</v>
      </c>
      <c r="C5597" s="120" t="str">
        <f>IFERROR(__xludf.DUMMYFUNCTION("""COMPUTED_VALUE"""),"Burlington County")</f>
        <v>Burlington County</v>
      </c>
      <c r="D5597" s="120" t="str">
        <f>IFERROR(__xludf.DUMMYFUNCTION("""COMPUTED_VALUE"""),"United States")</f>
        <v>United States</v>
      </c>
      <c r="E5597" s="135"/>
      <c r="F5597" s="31"/>
    </row>
    <row r="5598">
      <c r="A5598" s="134" t="str">
        <f>IFERROR(__xludf.DUMMYFUNCTION("""COMPUTED_VALUE"""),"Mount Hotham")</f>
        <v>Mount Hotham</v>
      </c>
      <c r="B5598" s="120" t="str">
        <f>IFERROR(__xludf.DUMMYFUNCTION("""COMPUTED_VALUE"""),"MHU")</f>
        <v>MHU</v>
      </c>
      <c r="C5598" s="120" t="str">
        <f>IFERROR(__xludf.DUMMYFUNCTION("""COMPUTED_VALUE"""),"Mount Hotham")</f>
        <v>Mount Hotham</v>
      </c>
      <c r="D5598" s="120" t="str">
        <f>IFERROR(__xludf.DUMMYFUNCTION("""COMPUTED_VALUE"""),"Australia")</f>
        <v>Australia</v>
      </c>
      <c r="E5598" s="135"/>
      <c r="F5598" s="31"/>
    </row>
    <row r="5599">
      <c r="A5599" s="134" t="str">
        <f>IFERROR(__xludf.DUMMYFUNCTION("""COMPUTED_VALUE"""),"Mount House")</f>
        <v>Mount House</v>
      </c>
      <c r="B5599" s="120" t="str">
        <f>IFERROR(__xludf.DUMMYFUNCTION("""COMPUTED_VALUE"""),"MHO")</f>
        <v>MHO</v>
      </c>
      <c r="C5599" s="120" t="str">
        <f>IFERROR(__xludf.DUMMYFUNCTION("""COMPUTED_VALUE"""),"Mount House")</f>
        <v>Mount House</v>
      </c>
      <c r="D5599" s="120" t="str">
        <f>IFERROR(__xludf.DUMMYFUNCTION("""COMPUTED_VALUE"""),"Australia")</f>
        <v>Australia</v>
      </c>
      <c r="E5599" s="135"/>
      <c r="F5599" s="31"/>
    </row>
    <row r="5600">
      <c r="A5600" s="134" t="str">
        <f>IFERROR(__xludf.DUMMYFUNCTION("""COMPUTED_VALUE"""),"Mount Isa")</f>
        <v>Mount Isa</v>
      </c>
      <c r="B5600" s="120" t="str">
        <f>IFERROR(__xludf.DUMMYFUNCTION("""COMPUTED_VALUE"""),"ISA")</f>
        <v>ISA</v>
      </c>
      <c r="C5600" s="120" t="str">
        <f>IFERROR(__xludf.DUMMYFUNCTION("""COMPUTED_VALUE"""),"Mount Isa")</f>
        <v>Mount Isa</v>
      </c>
      <c r="D5600" s="120" t="str">
        <f>IFERROR(__xludf.DUMMYFUNCTION("""COMPUTED_VALUE"""),"Australia")</f>
        <v>Australia</v>
      </c>
      <c r="E5600" s="135"/>
      <c r="F5600" s="31"/>
    </row>
    <row r="5601">
      <c r="A5601" s="134" t="str">
        <f>IFERROR(__xludf.DUMMYFUNCTION("""COMPUTED_VALUE"""),"Mount Keith")</f>
        <v>Mount Keith</v>
      </c>
      <c r="B5601" s="120" t="str">
        <f>IFERROR(__xludf.DUMMYFUNCTION("""COMPUTED_VALUE"""),"WME")</f>
        <v>WME</v>
      </c>
      <c r="C5601" s="120" t="str">
        <f>IFERROR(__xludf.DUMMYFUNCTION("""COMPUTED_VALUE"""),"Mount Keith")</f>
        <v>Mount Keith</v>
      </c>
      <c r="D5601" s="120" t="str">
        <f>IFERROR(__xludf.DUMMYFUNCTION("""COMPUTED_VALUE"""),"Australia")</f>
        <v>Australia</v>
      </c>
      <c r="E5601" s="135"/>
      <c r="F5601" s="31"/>
    </row>
    <row r="5602">
      <c r="A5602" s="134" t="str">
        <f>IFERROR(__xludf.DUMMYFUNCTION("""COMPUTED_VALUE"""),"Mount Magnet")</f>
        <v>Mount Magnet</v>
      </c>
      <c r="B5602" s="120" t="str">
        <f>IFERROR(__xludf.DUMMYFUNCTION("""COMPUTED_VALUE"""),"MMG")</f>
        <v>MMG</v>
      </c>
      <c r="C5602" s="120" t="str">
        <f>IFERROR(__xludf.DUMMYFUNCTION("""COMPUTED_VALUE"""),"Mount Magnet")</f>
        <v>Mount Magnet</v>
      </c>
      <c r="D5602" s="120" t="str">
        <f>IFERROR(__xludf.DUMMYFUNCTION("""COMPUTED_VALUE"""),"Australia")</f>
        <v>Australia</v>
      </c>
      <c r="E5602" s="135"/>
      <c r="F5602" s="31"/>
    </row>
    <row r="5603">
      <c r="A5603" s="134" t="str">
        <f>IFERROR(__xludf.DUMMYFUNCTION("""COMPUTED_VALUE"""),"Mount Pleasant")</f>
        <v>Mount Pleasant</v>
      </c>
      <c r="B5603" s="120" t="str">
        <f>IFERROR(__xludf.DUMMYFUNCTION("""COMPUTED_VALUE"""),"MPN")</f>
        <v>MPN</v>
      </c>
      <c r="C5603" s="120" t="str">
        <f>IFERROR(__xludf.DUMMYFUNCTION("""COMPUTED_VALUE"""),"Mount Pleasant")</f>
        <v>Mount Pleasant</v>
      </c>
      <c r="D5603" s="120" t="str">
        <f>IFERROR(__xludf.DUMMYFUNCTION("""COMPUTED_VALUE"""),"Falkland Islands")</f>
        <v>Falkland Islands</v>
      </c>
      <c r="E5603" s="135"/>
      <c r="F5603" s="31"/>
    </row>
    <row r="5604">
      <c r="A5604" s="134" t="str">
        <f>IFERROR(__xludf.DUMMYFUNCTION("""COMPUTED_VALUE"""),"Mount Pleasant")</f>
        <v>Mount Pleasant</v>
      </c>
      <c r="B5604" s="120" t="str">
        <f>IFERROR(__xludf.DUMMYFUNCTION("""COMPUTED_VALUE"""),"MOP")</f>
        <v>MOP</v>
      </c>
      <c r="C5604" s="120" t="str">
        <f>IFERROR(__xludf.DUMMYFUNCTION("""COMPUTED_VALUE"""),"Municipal")</f>
        <v>Municipal</v>
      </c>
      <c r="D5604" s="120" t="str">
        <f>IFERROR(__xludf.DUMMYFUNCTION("""COMPUTED_VALUE"""),"United States")</f>
        <v>United States</v>
      </c>
      <c r="E5604" s="135"/>
      <c r="F5604" s="31"/>
    </row>
    <row r="5605">
      <c r="A5605" s="134" t="str">
        <f>IFERROR(__xludf.DUMMYFUNCTION("""COMPUTED_VALUE"""),"Mount Pleasant")</f>
        <v>Mount Pleasant</v>
      </c>
      <c r="B5605" s="120" t="str">
        <f>IFERROR(__xludf.DUMMYFUNCTION("""COMPUTED_VALUE"""),"MPS")</f>
        <v>MPS</v>
      </c>
      <c r="C5605" s="120" t="str">
        <f>IFERROR(__xludf.DUMMYFUNCTION("""COMPUTED_VALUE"""),"Mount Pleasant")</f>
        <v>Mount Pleasant</v>
      </c>
      <c r="D5605" s="120" t="str">
        <f>IFERROR(__xludf.DUMMYFUNCTION("""COMPUTED_VALUE"""),"United States")</f>
        <v>United States</v>
      </c>
      <c r="E5605" s="135"/>
      <c r="F5605" s="31"/>
    </row>
    <row r="5606">
      <c r="A5606" s="134" t="str">
        <f>IFERROR(__xludf.DUMMYFUNCTION("""COMPUTED_VALUE"""),"Mount Shasta")</f>
        <v>Mount Shasta</v>
      </c>
      <c r="B5606" s="120" t="str">
        <f>IFERROR(__xludf.DUMMYFUNCTION("""COMPUTED_VALUE"""),"MHS")</f>
        <v>MHS</v>
      </c>
      <c r="C5606" s="120" t="str">
        <f>IFERROR(__xludf.DUMMYFUNCTION("""COMPUTED_VALUE"""),"Rep")</f>
        <v>Rep</v>
      </c>
      <c r="D5606" s="120" t="str">
        <f>IFERROR(__xludf.DUMMYFUNCTION("""COMPUTED_VALUE"""),"United States")</f>
        <v>United States</v>
      </c>
      <c r="E5606" s="135"/>
      <c r="F5606" s="31"/>
    </row>
    <row r="5607">
      <c r="A5607" s="134" t="str">
        <f>IFERROR(__xludf.DUMMYFUNCTION("""COMPUTED_VALUE"""),"Mount Swan")</f>
        <v>Mount Swan</v>
      </c>
      <c r="B5607" s="120" t="str">
        <f>IFERROR(__xludf.DUMMYFUNCTION("""COMPUTED_VALUE"""),"MSF")</f>
        <v>MSF</v>
      </c>
      <c r="C5607" s="120" t="str">
        <f>IFERROR(__xludf.DUMMYFUNCTION("""COMPUTED_VALUE"""),"Mount Swan")</f>
        <v>Mount Swan</v>
      </c>
      <c r="D5607" s="120" t="str">
        <f>IFERROR(__xludf.DUMMYFUNCTION("""COMPUTED_VALUE"""),"Australia")</f>
        <v>Australia</v>
      </c>
      <c r="E5607" s="135"/>
      <c r="F5607" s="31"/>
    </row>
    <row r="5608">
      <c r="A5608" s="134" t="str">
        <f>IFERROR(__xludf.DUMMYFUNCTION("""COMPUTED_VALUE"""),"Mount Union")</f>
        <v>Mount Union</v>
      </c>
      <c r="B5608" s="120" t="str">
        <f>IFERROR(__xludf.DUMMYFUNCTION("""COMPUTED_VALUE"""),"MUU")</f>
        <v>MUU</v>
      </c>
      <c r="C5608" s="120" t="str">
        <f>IFERROR(__xludf.DUMMYFUNCTION("""COMPUTED_VALUE"""),"Mount Union")</f>
        <v>Mount Union</v>
      </c>
      <c r="D5608" s="120" t="str">
        <f>IFERROR(__xludf.DUMMYFUNCTION("""COMPUTED_VALUE"""),"United States")</f>
        <v>United States</v>
      </c>
      <c r="E5608" s="135"/>
      <c r="F5608" s="31"/>
    </row>
    <row r="5609">
      <c r="A5609" s="134" t="str">
        <f>IFERROR(__xludf.DUMMYFUNCTION("""COMPUTED_VALUE"""),"Mount Vernon")</f>
        <v>Mount Vernon</v>
      </c>
      <c r="B5609" s="120" t="str">
        <f>IFERROR(__xludf.DUMMYFUNCTION("""COMPUTED_VALUE"""),"MVW")</f>
        <v>MVW</v>
      </c>
      <c r="C5609" s="120" t="str">
        <f>IFERROR(__xludf.DUMMYFUNCTION("""COMPUTED_VALUE"""),"Skagit Regional")</f>
        <v>Skagit Regional</v>
      </c>
      <c r="D5609" s="120" t="str">
        <f>IFERROR(__xludf.DUMMYFUNCTION("""COMPUTED_VALUE"""),"United States")</f>
        <v>United States</v>
      </c>
      <c r="E5609" s="135"/>
      <c r="F5609" s="31"/>
    </row>
    <row r="5610">
      <c r="A5610" s="134" t="str">
        <f>IFERROR(__xludf.DUMMYFUNCTION("""COMPUTED_VALUE"""),"Mount Wilson")</f>
        <v>Mount Wilson</v>
      </c>
      <c r="B5610" s="120" t="str">
        <f>IFERROR(__xludf.DUMMYFUNCTION("""COMPUTED_VALUE"""),"MWS")</f>
        <v>MWS</v>
      </c>
      <c r="C5610" s="120" t="str">
        <f>IFERROR(__xludf.DUMMYFUNCTION("""COMPUTED_VALUE"""),"Mount Wilson")</f>
        <v>Mount Wilson</v>
      </c>
      <c r="D5610" s="120" t="str">
        <f>IFERROR(__xludf.DUMMYFUNCTION("""COMPUTED_VALUE"""),"United States")</f>
        <v>United States</v>
      </c>
      <c r="E5610" s="135"/>
      <c r="F5610" s="31"/>
    </row>
    <row r="5611">
      <c r="A5611" s="134" t="str">
        <f>IFERROR(__xludf.DUMMYFUNCTION("""COMPUTED_VALUE"""),"Mountain")</f>
        <v>Mountain</v>
      </c>
      <c r="B5611" s="120" t="str">
        <f>IFERROR(__xludf.DUMMYFUNCTION("""COMPUTED_VALUE"""),"MWP")</f>
        <v>MWP</v>
      </c>
      <c r="C5611" s="120" t="str">
        <f>IFERROR(__xludf.DUMMYFUNCTION("""COMPUTED_VALUE"""),"Mountain")</f>
        <v>Mountain</v>
      </c>
      <c r="D5611" s="120" t="str">
        <f>IFERROR(__xludf.DUMMYFUNCTION("""COMPUTED_VALUE"""),"Nepal")</f>
        <v>Nepal</v>
      </c>
      <c r="E5611" s="135"/>
      <c r="F5611" s="31"/>
    </row>
    <row r="5612">
      <c r="A5612" s="134" t="str">
        <f>IFERROR(__xludf.DUMMYFUNCTION("""COMPUTED_VALUE"""),"Mountain Home")</f>
        <v>Mountain Home</v>
      </c>
      <c r="B5612" s="120" t="str">
        <f>IFERROR(__xludf.DUMMYFUNCTION("""COMPUTED_VALUE"""),"WMH")</f>
        <v>WMH</v>
      </c>
      <c r="C5612" s="120" t="str">
        <f>IFERROR(__xludf.DUMMYFUNCTION("""COMPUTED_VALUE"""),"Mountain Home")</f>
        <v>Mountain Home</v>
      </c>
      <c r="D5612" s="120" t="str">
        <f>IFERROR(__xludf.DUMMYFUNCTION("""COMPUTED_VALUE"""),"United States")</f>
        <v>United States</v>
      </c>
      <c r="E5612" s="135"/>
      <c r="F5612" s="31"/>
    </row>
    <row r="5613">
      <c r="A5613" s="134" t="str">
        <f>IFERROR(__xludf.DUMMYFUNCTION("""COMPUTED_VALUE"""),"Mountain Home")</f>
        <v>Mountain Home</v>
      </c>
      <c r="B5613" s="120" t="str">
        <f>IFERROR(__xludf.DUMMYFUNCTION("""COMPUTED_VALUE"""),"MUO")</f>
        <v>MUO</v>
      </c>
      <c r="C5613" s="120" t="str">
        <f>IFERROR(__xludf.DUMMYFUNCTION("""COMPUTED_VALUE"""),"AFB")</f>
        <v>AFB</v>
      </c>
      <c r="D5613" s="120" t="str">
        <f>IFERROR(__xludf.DUMMYFUNCTION("""COMPUTED_VALUE"""),"United States")</f>
        <v>United States</v>
      </c>
      <c r="E5613" s="135"/>
      <c r="F5613" s="31"/>
    </row>
    <row r="5614">
      <c r="A5614" s="134" t="str">
        <f>IFERROR(__xludf.DUMMYFUNCTION("""COMPUTED_VALUE"""),"Mountain Valley")</f>
        <v>Mountain Valley</v>
      </c>
      <c r="B5614" s="120" t="str">
        <f>IFERROR(__xludf.DUMMYFUNCTION("""COMPUTED_VALUE"""),"MNV")</f>
        <v>MNV</v>
      </c>
      <c r="C5614" s="120" t="str">
        <f>IFERROR(__xludf.DUMMYFUNCTION("""COMPUTED_VALUE"""),"Mountain Valley")</f>
        <v>Mountain Valley</v>
      </c>
      <c r="D5614" s="120" t="str">
        <f>IFERROR(__xludf.DUMMYFUNCTION("""COMPUTED_VALUE"""),"Australia")</f>
        <v>Australia</v>
      </c>
      <c r="E5614" s="135"/>
      <c r="F5614" s="31"/>
    </row>
    <row r="5615">
      <c r="A5615" s="134" t="str">
        <f>IFERROR(__xludf.DUMMYFUNCTION("""COMPUTED_VALUE"""),"Mountain View")</f>
        <v>Mountain View</v>
      </c>
      <c r="B5615" s="120" t="str">
        <f>IFERROR(__xludf.DUMMYFUNCTION("""COMPUTED_VALUE"""),"NUQ")</f>
        <v>NUQ</v>
      </c>
      <c r="C5615" s="120" t="str">
        <f>IFERROR(__xludf.DUMMYFUNCTION("""COMPUTED_VALUE"""),"Moffett Field")</f>
        <v>Moffett Field</v>
      </c>
      <c r="D5615" s="120" t="str">
        <f>IFERROR(__xludf.DUMMYFUNCTION("""COMPUTED_VALUE"""),"United States")</f>
        <v>United States</v>
      </c>
      <c r="E5615" s="135"/>
      <c r="F5615" s="31"/>
    </row>
    <row r="5616">
      <c r="A5616" s="134" t="str">
        <f>IFERROR(__xludf.DUMMYFUNCTION("""COMPUTED_VALUE"""),"Mountain Village")</f>
        <v>Mountain Village</v>
      </c>
      <c r="B5616" s="120" t="str">
        <f>IFERROR(__xludf.DUMMYFUNCTION("""COMPUTED_VALUE"""),"MOU")</f>
        <v>MOU</v>
      </c>
      <c r="C5616" s="120" t="str">
        <f>IFERROR(__xludf.DUMMYFUNCTION("""COMPUTED_VALUE"""),"Mountain Village")</f>
        <v>Mountain Village</v>
      </c>
      <c r="D5616" s="120" t="str">
        <f>IFERROR(__xludf.DUMMYFUNCTION("""COMPUTED_VALUE"""),"United States")</f>
        <v>United States</v>
      </c>
      <c r="E5616" s="135"/>
      <c r="F5616" s="31"/>
    </row>
    <row r="5617">
      <c r="A5617" s="134" t="str">
        <f>IFERROR(__xludf.DUMMYFUNCTION("""COMPUTED_VALUE"""),"Mouscron")</f>
        <v>Mouscron</v>
      </c>
      <c r="B5617" s="120" t="str">
        <f>IFERROR(__xludf.DUMMYFUNCTION("""COMPUTED_VALUE"""),"MWW")</f>
        <v>MWW</v>
      </c>
      <c r="C5617" s="120" t="str">
        <f>IFERROR(__xludf.DUMMYFUNCTION("""COMPUTED_VALUE"""),"Mouscron")</f>
        <v>Mouscron</v>
      </c>
      <c r="D5617" s="120" t="str">
        <f>IFERROR(__xludf.DUMMYFUNCTION("""COMPUTED_VALUE"""),"Belgium")</f>
        <v>Belgium</v>
      </c>
      <c r="E5617" s="135"/>
      <c r="F5617" s="31"/>
    </row>
    <row r="5618">
      <c r="A5618" s="134" t="str">
        <f>IFERROR(__xludf.DUMMYFUNCTION("""COMPUTED_VALUE"""),"Mouyondzi")</f>
        <v>Mouyondzi</v>
      </c>
      <c r="B5618" s="120" t="str">
        <f>IFERROR(__xludf.DUMMYFUNCTION("""COMPUTED_VALUE"""),"MUY")</f>
        <v>MUY</v>
      </c>
      <c r="C5618" s="120" t="str">
        <f>IFERROR(__xludf.DUMMYFUNCTION("""COMPUTED_VALUE"""),"Mouyondzi")</f>
        <v>Mouyondzi</v>
      </c>
      <c r="D5618" s="120" t="str">
        <f>IFERROR(__xludf.DUMMYFUNCTION("""COMPUTED_VALUE"""),"Congo")</f>
        <v>Congo</v>
      </c>
      <c r="E5618" s="135"/>
      <c r="F5618" s="31"/>
    </row>
    <row r="5619">
      <c r="A5619" s="134" t="str">
        <f>IFERROR(__xludf.DUMMYFUNCTION("""COMPUTED_VALUE"""),"Moyale")</f>
        <v>Moyale</v>
      </c>
      <c r="B5619" s="120" t="str">
        <f>IFERROR(__xludf.DUMMYFUNCTION("""COMPUTED_VALUE"""),"MYS")</f>
        <v>MYS</v>
      </c>
      <c r="C5619" s="120" t="str">
        <f>IFERROR(__xludf.DUMMYFUNCTION("""COMPUTED_VALUE"""),"Moyale")</f>
        <v>Moyale</v>
      </c>
      <c r="D5619" s="120" t="str">
        <f>IFERROR(__xludf.DUMMYFUNCTION("""COMPUTED_VALUE"""),"Ethiopia")</f>
        <v>Ethiopia</v>
      </c>
      <c r="E5619" s="135"/>
      <c r="F5619" s="31"/>
    </row>
    <row r="5620">
      <c r="A5620" s="134" t="str">
        <f>IFERROR(__xludf.DUMMYFUNCTION("""COMPUTED_VALUE"""),"Moyale")</f>
        <v>Moyale</v>
      </c>
      <c r="B5620" s="120" t="str">
        <f>IFERROR(__xludf.DUMMYFUNCTION("""COMPUTED_VALUE"""),"OYL")</f>
        <v>OYL</v>
      </c>
      <c r="C5620" s="120" t="str">
        <f>IFERROR(__xludf.DUMMYFUNCTION("""COMPUTED_VALUE"""),"Moyale")</f>
        <v>Moyale</v>
      </c>
      <c r="D5620" s="120" t="str">
        <f>IFERROR(__xludf.DUMMYFUNCTION("""COMPUTED_VALUE"""),"Kenya")</f>
        <v>Kenya</v>
      </c>
      <c r="E5620" s="135"/>
      <c r="F5620" s="31"/>
    </row>
    <row r="5621">
      <c r="A5621" s="134" t="str">
        <f>IFERROR(__xludf.DUMMYFUNCTION("""COMPUTED_VALUE"""),"Moyo")</f>
        <v>Moyo</v>
      </c>
      <c r="B5621" s="120" t="str">
        <f>IFERROR(__xludf.DUMMYFUNCTION("""COMPUTED_VALUE"""),"OYG")</f>
        <v>OYG</v>
      </c>
      <c r="C5621" s="120" t="str">
        <f>IFERROR(__xludf.DUMMYFUNCTION("""COMPUTED_VALUE"""),"Moyo")</f>
        <v>Moyo</v>
      </c>
      <c r="D5621" s="120" t="str">
        <f>IFERROR(__xludf.DUMMYFUNCTION("""COMPUTED_VALUE"""),"Uganda")</f>
        <v>Uganda</v>
      </c>
      <c r="E5621" s="135"/>
      <c r="F5621" s="31"/>
    </row>
    <row r="5622">
      <c r="A5622" s="134" t="str">
        <f>IFERROR(__xludf.DUMMYFUNCTION("""COMPUTED_VALUE"""),"Moyobamba")</f>
        <v>Moyobamba</v>
      </c>
      <c r="B5622" s="120" t="str">
        <f>IFERROR(__xludf.DUMMYFUNCTION("""COMPUTED_VALUE"""),"MBP")</f>
        <v>MBP</v>
      </c>
      <c r="C5622" s="120" t="str">
        <f>IFERROR(__xludf.DUMMYFUNCTION("""COMPUTED_VALUE"""),"Moyobamba")</f>
        <v>Moyobamba</v>
      </c>
      <c r="D5622" s="120" t="str">
        <f>IFERROR(__xludf.DUMMYFUNCTION("""COMPUTED_VALUE"""),"Peru")</f>
        <v>Peru</v>
      </c>
      <c r="E5622" s="135"/>
      <c r="F5622" s="31"/>
    </row>
    <row r="5623">
      <c r="A5623" s="134" t="str">
        <f>IFERROR(__xludf.DUMMYFUNCTION("""COMPUTED_VALUE"""),"Mpacha")</f>
        <v>Mpacha</v>
      </c>
      <c r="B5623" s="120" t="str">
        <f>IFERROR(__xludf.DUMMYFUNCTION("""COMPUTED_VALUE"""),"MPA")</f>
        <v>MPA</v>
      </c>
      <c r="C5623" s="120" t="str">
        <f>IFERROR(__xludf.DUMMYFUNCTION("""COMPUTED_VALUE"""),"Mpacha")</f>
        <v>Mpacha</v>
      </c>
      <c r="D5623" s="120" t="str">
        <f>IFERROR(__xludf.DUMMYFUNCTION("""COMPUTED_VALUE"""),"Namibia")</f>
        <v>Namibia</v>
      </c>
      <c r="E5623" s="135"/>
      <c r="F5623" s="31"/>
    </row>
    <row r="5624">
      <c r="A5624" s="134" t="str">
        <f>IFERROR(__xludf.DUMMYFUNCTION("""COMPUTED_VALUE"""),"Mt Barnett")</f>
        <v>Mt Barnett</v>
      </c>
      <c r="B5624" s="120" t="str">
        <f>IFERROR(__xludf.DUMMYFUNCTION("""COMPUTED_VALUE"""),"MBN")</f>
        <v>MBN</v>
      </c>
      <c r="C5624" s="120" t="str">
        <f>IFERROR(__xludf.DUMMYFUNCTION("""COMPUTED_VALUE"""),"Mt Barnett")</f>
        <v>Mt Barnett</v>
      </c>
      <c r="D5624" s="120" t="str">
        <f>IFERROR(__xludf.DUMMYFUNCTION("""COMPUTED_VALUE"""),"Australia")</f>
        <v>Australia</v>
      </c>
      <c r="E5624" s="135"/>
      <c r="F5624" s="31"/>
    </row>
    <row r="5625">
      <c r="A5625" s="134" t="str">
        <f>IFERROR(__xludf.DUMMYFUNCTION("""COMPUTED_VALUE"""),"Mt Cavenagh")</f>
        <v>Mt Cavenagh</v>
      </c>
      <c r="B5625" s="120" t="str">
        <f>IFERROR(__xludf.DUMMYFUNCTION("""COMPUTED_VALUE"""),"MKV")</f>
        <v>MKV</v>
      </c>
      <c r="C5625" s="120" t="str">
        <f>IFERROR(__xludf.DUMMYFUNCTION("""COMPUTED_VALUE"""),"Mt Cavenagh")</f>
        <v>Mt Cavenagh</v>
      </c>
      <c r="D5625" s="120" t="str">
        <f>IFERROR(__xludf.DUMMYFUNCTION("""COMPUTED_VALUE"""),"Australia")</f>
        <v>Australia</v>
      </c>
      <c r="E5625" s="135"/>
      <c r="F5625" s="31"/>
    </row>
    <row r="5626">
      <c r="A5626" s="134" t="str">
        <f>IFERROR(__xludf.DUMMYFUNCTION("""COMPUTED_VALUE"""),"Mt Clemens")</f>
        <v>Mt Clemens</v>
      </c>
      <c r="B5626" s="120" t="str">
        <f>IFERROR(__xludf.DUMMYFUNCTION("""COMPUTED_VALUE"""),"NFB")</f>
        <v>NFB</v>
      </c>
      <c r="C5626" s="120" t="str">
        <f>IFERROR(__xludf.DUMMYFUNCTION("""COMPUTED_VALUE"""),"Detroit NAF")</f>
        <v>Detroit NAF</v>
      </c>
      <c r="D5626" s="120" t="str">
        <f>IFERROR(__xludf.DUMMYFUNCTION("""COMPUTED_VALUE"""),"United States")</f>
        <v>United States</v>
      </c>
      <c r="E5626" s="135"/>
      <c r="F5626" s="31"/>
    </row>
    <row r="5627">
      <c r="A5627" s="134" t="str">
        <f>IFERROR(__xludf.DUMMYFUNCTION("""COMPUTED_VALUE"""),"Mt Clemens")</f>
        <v>Mt Clemens</v>
      </c>
      <c r="B5627" s="120" t="str">
        <f>IFERROR(__xludf.DUMMYFUNCTION("""COMPUTED_VALUE"""),"MTC")</f>
        <v>MTC</v>
      </c>
      <c r="C5627" s="120" t="str">
        <f>IFERROR(__xludf.DUMMYFUNCTION("""COMPUTED_VALUE"""),"Selfridge ANGB")</f>
        <v>Selfridge ANGB</v>
      </c>
      <c r="D5627" s="120" t="str">
        <f>IFERROR(__xludf.DUMMYFUNCTION("""COMPUTED_VALUE"""),"United States")</f>
        <v>United States</v>
      </c>
      <c r="E5627" s="135"/>
      <c r="F5627" s="31"/>
    </row>
    <row r="5628">
      <c r="A5628" s="134" t="str">
        <f>IFERROR(__xludf.DUMMYFUNCTION("""COMPUTED_VALUE"""),"Mt Mckinley")</f>
        <v>Mt Mckinley</v>
      </c>
      <c r="B5628" s="120" t="str">
        <f>IFERROR(__xludf.DUMMYFUNCTION("""COMPUTED_VALUE"""),"MCL")</f>
        <v>MCL</v>
      </c>
      <c r="C5628" s="120" t="str">
        <f>IFERROR(__xludf.DUMMYFUNCTION("""COMPUTED_VALUE"""),"Mt Mckinley")</f>
        <v>Mt Mckinley</v>
      </c>
      <c r="D5628" s="120" t="str">
        <f>IFERROR(__xludf.DUMMYFUNCTION("""COMPUTED_VALUE"""),"United States")</f>
        <v>United States</v>
      </c>
      <c r="E5628" s="135"/>
      <c r="F5628" s="31"/>
    </row>
    <row r="5629">
      <c r="A5629" s="134" t="str">
        <f>IFERROR(__xludf.DUMMYFUNCTION("""COMPUTED_VALUE"""),"Mt Pleasant")</f>
        <v>Mt Pleasant</v>
      </c>
      <c r="B5629" s="120" t="str">
        <f>IFERROR(__xludf.DUMMYFUNCTION("""COMPUTED_VALUE"""),"MPZ")</f>
        <v>MPZ</v>
      </c>
      <c r="C5629" s="120" t="str">
        <f>IFERROR(__xludf.DUMMYFUNCTION("""COMPUTED_VALUE"""),"Municipal")</f>
        <v>Municipal</v>
      </c>
      <c r="D5629" s="120" t="str">
        <f>IFERROR(__xludf.DUMMYFUNCTION("""COMPUTED_VALUE"""),"United States")</f>
        <v>United States</v>
      </c>
      <c r="E5629" s="135"/>
      <c r="F5629" s="31"/>
    </row>
    <row r="5630">
      <c r="A5630" s="134" t="str">
        <f>IFERROR(__xludf.DUMMYFUNCTION("""COMPUTED_VALUE"""),"Mt Pleasant")</f>
        <v>Mt Pleasant</v>
      </c>
      <c r="B5630" s="120" t="str">
        <f>IFERROR(__xludf.DUMMYFUNCTION("""COMPUTED_VALUE"""),"MSD")</f>
        <v>MSD</v>
      </c>
      <c r="C5630" s="120" t="str">
        <f>IFERROR(__xludf.DUMMYFUNCTION("""COMPUTED_VALUE"""),"Mt Pleasant")</f>
        <v>Mt Pleasant</v>
      </c>
      <c r="D5630" s="120" t="str">
        <f>IFERROR(__xludf.DUMMYFUNCTION("""COMPUTED_VALUE"""),"United States")</f>
        <v>United States</v>
      </c>
      <c r="E5630" s="135"/>
      <c r="F5630" s="31"/>
    </row>
    <row r="5631">
      <c r="A5631" s="134" t="str">
        <f>IFERROR(__xludf.DUMMYFUNCTION("""COMPUTED_VALUE"""),"Mt Pocono")</f>
        <v>Mt Pocono</v>
      </c>
      <c r="B5631" s="120" t="str">
        <f>IFERROR(__xludf.DUMMYFUNCTION("""COMPUTED_VALUE"""),"MPO")</f>
        <v>MPO</v>
      </c>
      <c r="C5631" s="120" t="str">
        <f>IFERROR(__xludf.DUMMYFUNCTION("""COMPUTED_VALUE"""),"Mt Pocono")</f>
        <v>Mt Pocono</v>
      </c>
      <c r="D5631" s="120" t="str">
        <f>IFERROR(__xludf.DUMMYFUNCTION("""COMPUTED_VALUE"""),"United States")</f>
        <v>United States</v>
      </c>
      <c r="E5631" s="135"/>
      <c r="F5631" s="31"/>
    </row>
    <row r="5632">
      <c r="A5632" s="134" t="str">
        <f>IFERROR(__xludf.DUMMYFUNCTION("""COMPUTED_VALUE"""),"Mt Sandford")</f>
        <v>Mt Sandford</v>
      </c>
      <c r="B5632" s="120" t="str">
        <f>IFERROR(__xludf.DUMMYFUNCTION("""COMPUTED_VALUE"""),"MTD")</f>
        <v>MTD</v>
      </c>
      <c r="C5632" s="120" t="str">
        <f>IFERROR(__xludf.DUMMYFUNCTION("""COMPUTED_VALUE"""),"Mt Sandford")</f>
        <v>Mt Sandford</v>
      </c>
      <c r="D5632" s="120" t="str">
        <f>IFERROR(__xludf.DUMMYFUNCTION("""COMPUTED_VALUE"""),"Australia")</f>
        <v>Australia</v>
      </c>
      <c r="E5632" s="135"/>
      <c r="F5632" s="31"/>
    </row>
    <row r="5633">
      <c r="A5633" s="134" t="str">
        <f>IFERROR(__xludf.DUMMYFUNCTION("""COMPUTED_VALUE"""),"Mt Vernon")</f>
        <v>Mt Vernon</v>
      </c>
      <c r="B5633" s="120" t="str">
        <f>IFERROR(__xludf.DUMMYFUNCTION("""COMPUTED_VALUE"""),"MVN")</f>
        <v>MVN</v>
      </c>
      <c r="C5633" s="120" t="str">
        <f>IFERROR(__xludf.DUMMYFUNCTION("""COMPUTED_VALUE"""),"Mt Vernon-Outland")</f>
        <v>Mt Vernon-Outland</v>
      </c>
      <c r="D5633" s="120" t="str">
        <f>IFERROR(__xludf.DUMMYFUNCTION("""COMPUTED_VALUE"""),"United States")</f>
        <v>United States</v>
      </c>
      <c r="E5633" s="135"/>
      <c r="F5633" s="31"/>
    </row>
    <row r="5634">
      <c r="A5634" s="134" t="str">
        <f>IFERROR(__xludf.DUMMYFUNCTION("""COMPUTED_VALUE"""),"Mtwara")</f>
        <v>Mtwara</v>
      </c>
      <c r="B5634" s="120" t="str">
        <f>IFERROR(__xludf.DUMMYFUNCTION("""COMPUTED_VALUE"""),"MYW")</f>
        <v>MYW</v>
      </c>
      <c r="C5634" s="120" t="str">
        <f>IFERROR(__xludf.DUMMYFUNCTION("""COMPUTED_VALUE"""),"Mtwara")</f>
        <v>Mtwara</v>
      </c>
      <c r="D5634" s="120" t="str">
        <f>IFERROR(__xludf.DUMMYFUNCTION("""COMPUTED_VALUE"""),"Tanzania")</f>
        <v>Tanzania</v>
      </c>
      <c r="E5634" s="135"/>
      <c r="F5634" s="31"/>
    </row>
    <row r="5635">
      <c r="A5635" s="134" t="str">
        <f>IFERROR(__xludf.DUMMYFUNCTION("""COMPUTED_VALUE"""),"Muccan")</f>
        <v>Muccan</v>
      </c>
      <c r="B5635" s="120" t="str">
        <f>IFERROR(__xludf.DUMMYFUNCTION("""COMPUTED_VALUE"""),"MUQ")</f>
        <v>MUQ</v>
      </c>
      <c r="C5635" s="120" t="str">
        <f>IFERROR(__xludf.DUMMYFUNCTION("""COMPUTED_VALUE"""),"Muccan")</f>
        <v>Muccan</v>
      </c>
      <c r="D5635" s="120" t="str">
        <f>IFERROR(__xludf.DUMMYFUNCTION("""COMPUTED_VALUE"""),"Australia")</f>
        <v>Australia</v>
      </c>
      <c r="E5635" s="135"/>
      <c r="F5635" s="31"/>
    </row>
    <row r="5636">
      <c r="A5636" s="134" t="str">
        <f>IFERROR(__xludf.DUMMYFUNCTION("""COMPUTED_VALUE"""),"Mucuri")</f>
        <v>Mucuri</v>
      </c>
      <c r="B5636" s="120" t="str">
        <f>IFERROR(__xludf.DUMMYFUNCTION("""COMPUTED_VALUE"""),"MVS")</f>
        <v>MVS</v>
      </c>
      <c r="C5636" s="120" t="str">
        <f>IFERROR(__xludf.DUMMYFUNCTION("""COMPUTED_VALUE"""),"Aeroporto Max Feffer")</f>
        <v>Aeroporto Max Feffer</v>
      </c>
      <c r="D5636" s="120" t="str">
        <f>IFERROR(__xludf.DUMMYFUNCTION("""COMPUTED_VALUE"""),"Brazil")</f>
        <v>Brazil</v>
      </c>
      <c r="E5636" s="135"/>
      <c r="F5636" s="31"/>
    </row>
    <row r="5637">
      <c r="A5637" s="134" t="str">
        <f>IFERROR(__xludf.DUMMYFUNCTION("""COMPUTED_VALUE"""),"Mudanjiang")</f>
        <v>Mudanjiang</v>
      </c>
      <c r="B5637" s="120" t="str">
        <f>IFERROR(__xludf.DUMMYFUNCTION("""COMPUTED_VALUE"""),"MDG")</f>
        <v>MDG</v>
      </c>
      <c r="C5637" s="120" t="str">
        <f>IFERROR(__xludf.DUMMYFUNCTION("""COMPUTED_VALUE"""),"Mudanjiang")</f>
        <v>Mudanjiang</v>
      </c>
      <c r="D5637" s="120" t="str">
        <f>IFERROR(__xludf.DUMMYFUNCTION("""COMPUTED_VALUE"""),"China")</f>
        <v>China</v>
      </c>
      <c r="E5637" s="135"/>
      <c r="F5637" s="31"/>
    </row>
    <row r="5638">
      <c r="A5638" s="134" t="str">
        <f>IFERROR(__xludf.DUMMYFUNCTION("""COMPUTED_VALUE"""),"Mudgee")</f>
        <v>Mudgee</v>
      </c>
      <c r="B5638" s="120" t="str">
        <f>IFERROR(__xludf.DUMMYFUNCTION("""COMPUTED_VALUE"""),"DGE")</f>
        <v>DGE</v>
      </c>
      <c r="C5638" s="120" t="str">
        <f>IFERROR(__xludf.DUMMYFUNCTION("""COMPUTED_VALUE"""),"Mudgee")</f>
        <v>Mudgee</v>
      </c>
      <c r="D5638" s="120" t="str">
        <f>IFERROR(__xludf.DUMMYFUNCTION("""COMPUTED_VALUE"""),"Australia")</f>
        <v>Australia</v>
      </c>
      <c r="E5638" s="135"/>
      <c r="F5638" s="31"/>
    </row>
    <row r="5639">
      <c r="A5639" s="134" t="str">
        <f>IFERROR(__xludf.DUMMYFUNCTION("""COMPUTED_VALUE"""),"Mueda")</f>
        <v>Mueda</v>
      </c>
      <c r="B5639" s="120" t="str">
        <f>IFERROR(__xludf.DUMMYFUNCTION("""COMPUTED_VALUE"""),"MUD")</f>
        <v>MUD</v>
      </c>
      <c r="C5639" s="120" t="str">
        <f>IFERROR(__xludf.DUMMYFUNCTION("""COMPUTED_VALUE"""),"Mueda")</f>
        <v>Mueda</v>
      </c>
      <c r="D5639" s="120" t="str">
        <f>IFERROR(__xludf.DUMMYFUNCTION("""COMPUTED_VALUE"""),"Mozambique")</f>
        <v>Mozambique</v>
      </c>
      <c r="E5639" s="135"/>
      <c r="F5639" s="31"/>
    </row>
    <row r="5640">
      <c r="A5640" s="134" t="str">
        <f>IFERROR(__xludf.DUMMYFUNCTION("""COMPUTED_VALUE"""),"Muenster")</f>
        <v>Muenster</v>
      </c>
      <c r="B5640" s="120" t="str">
        <f>IFERROR(__xludf.DUMMYFUNCTION("""COMPUTED_VALUE"""),"FMO")</f>
        <v>FMO</v>
      </c>
      <c r="C5640" s="120" t="str">
        <f>IFERROR(__xludf.DUMMYFUNCTION("""COMPUTED_VALUE"""),"Muenster")</f>
        <v>Muenster</v>
      </c>
      <c r="D5640" s="120" t="str">
        <f>IFERROR(__xludf.DUMMYFUNCTION("""COMPUTED_VALUE"""),"Germany")</f>
        <v>Germany</v>
      </c>
      <c r="E5640" s="135"/>
      <c r="F5640" s="31"/>
    </row>
    <row r="5641">
      <c r="A5641" s="134" t="str">
        <f>IFERROR(__xludf.DUMMYFUNCTION("""COMPUTED_VALUE"""),"Mueo")</f>
        <v>Mueo</v>
      </c>
      <c r="B5641" s="120" t="str">
        <f>IFERROR(__xludf.DUMMYFUNCTION("""COMPUTED_VALUE"""),"PDC")</f>
        <v>PDC</v>
      </c>
      <c r="C5641" s="120" t="str">
        <f>IFERROR(__xludf.DUMMYFUNCTION("""COMPUTED_VALUE"""),"Mueo")</f>
        <v>Mueo</v>
      </c>
      <c r="D5641" s="120" t="str">
        <f>IFERROR(__xludf.DUMMYFUNCTION("""COMPUTED_VALUE"""),"New Caledonia")</f>
        <v>New Caledonia</v>
      </c>
      <c r="E5641" s="135"/>
      <c r="F5641" s="31"/>
    </row>
    <row r="5642">
      <c r="A5642" s="134" t="str">
        <f>IFERROR(__xludf.DUMMYFUNCTION("""COMPUTED_VALUE"""),"Muharraq")</f>
        <v>Muharraq</v>
      </c>
      <c r="B5642" s="120" t="str">
        <f>IFERROR(__xludf.DUMMYFUNCTION("""COMPUTED_VALUE"""),"GBQ")</f>
        <v>GBQ</v>
      </c>
      <c r="C5642" s="120" t="str">
        <f>IFERROR(__xludf.DUMMYFUNCTION("""COMPUTED_VALUE"""),"Muharraq")</f>
        <v>Muharraq</v>
      </c>
      <c r="D5642" s="120" t="str">
        <f>IFERROR(__xludf.DUMMYFUNCTION("""COMPUTED_VALUE"""),"Bahrain")</f>
        <v>Bahrain</v>
      </c>
      <c r="E5642" s="135"/>
      <c r="F5642" s="31"/>
    </row>
    <row r="5643">
      <c r="A5643" s="134" t="str">
        <f>IFERROR(__xludf.DUMMYFUNCTION("""COMPUTED_VALUE"""),"Mui")</f>
        <v>Mui</v>
      </c>
      <c r="B5643" s="120" t="str">
        <f>IFERROR(__xludf.DUMMYFUNCTION("""COMPUTED_VALUE"""),"MUJ")</f>
        <v>MUJ</v>
      </c>
      <c r="C5643" s="120" t="str">
        <f>IFERROR(__xludf.DUMMYFUNCTION("""COMPUTED_VALUE"""),"Mui")</f>
        <v>Mui</v>
      </c>
      <c r="D5643" s="120" t="str">
        <f>IFERROR(__xludf.DUMMYFUNCTION("""COMPUTED_VALUE"""),"Ethiopia")</f>
        <v>Ethiopia</v>
      </c>
      <c r="E5643" s="135"/>
      <c r="F5643" s="31"/>
    </row>
    <row r="5644">
      <c r="A5644" s="134" t="str">
        <f>IFERROR(__xludf.DUMMYFUNCTION("""COMPUTED_VALUE"""),"Mukah")</f>
        <v>Mukah</v>
      </c>
      <c r="B5644" s="120" t="str">
        <f>IFERROR(__xludf.DUMMYFUNCTION("""COMPUTED_VALUE"""),"MKM")</f>
        <v>MKM</v>
      </c>
      <c r="C5644" s="120" t="str">
        <f>IFERROR(__xludf.DUMMYFUNCTION("""COMPUTED_VALUE"""),"Mukah")</f>
        <v>Mukah</v>
      </c>
      <c r="D5644" s="120" t="str">
        <f>IFERROR(__xludf.DUMMYFUNCTION("""COMPUTED_VALUE"""),"Malaysia")</f>
        <v>Malaysia</v>
      </c>
      <c r="E5644" s="135"/>
      <c r="F5644" s="31"/>
    </row>
    <row r="5645">
      <c r="A5645" s="134" t="str">
        <f>IFERROR(__xludf.DUMMYFUNCTION("""COMPUTED_VALUE"""),"Mukalla")</f>
        <v>Mukalla</v>
      </c>
      <c r="B5645" s="120" t="str">
        <f>IFERROR(__xludf.DUMMYFUNCTION("""COMPUTED_VALUE"""),"MKX")</f>
        <v>MKX</v>
      </c>
      <c r="C5645" s="120" t="str">
        <f>IFERROR(__xludf.DUMMYFUNCTION("""COMPUTED_VALUE"""),"Mukalla")</f>
        <v>Mukalla</v>
      </c>
      <c r="D5645" s="120" t="str">
        <f>IFERROR(__xludf.DUMMYFUNCTION("""COMPUTED_VALUE"""),"Yemen")</f>
        <v>Yemen</v>
      </c>
      <c r="E5645" s="135"/>
      <c r="F5645" s="31"/>
    </row>
    <row r="5646">
      <c r="A5646" s="134" t="str">
        <f>IFERROR(__xludf.DUMMYFUNCTION("""COMPUTED_VALUE"""),"Mukeiras")</f>
        <v>Mukeiras</v>
      </c>
      <c r="B5646" s="120" t="str">
        <f>IFERROR(__xludf.DUMMYFUNCTION("""COMPUTED_VALUE"""),"UKR")</f>
        <v>UKR</v>
      </c>
      <c r="C5646" s="120" t="str">
        <f>IFERROR(__xludf.DUMMYFUNCTION("""COMPUTED_VALUE"""),"Mukeiras")</f>
        <v>Mukeiras</v>
      </c>
      <c r="D5646" s="120" t="str">
        <f>IFERROR(__xludf.DUMMYFUNCTION("""COMPUTED_VALUE"""),"Yemen")</f>
        <v>Yemen</v>
      </c>
      <c r="E5646" s="135"/>
      <c r="F5646" s="31"/>
    </row>
    <row r="5647">
      <c r="A5647" s="134" t="str">
        <f>IFERROR(__xludf.DUMMYFUNCTION("""COMPUTED_VALUE"""),"Muko-Muko")</f>
        <v>Muko-Muko</v>
      </c>
      <c r="B5647" s="120" t="str">
        <f>IFERROR(__xludf.DUMMYFUNCTION("""COMPUTED_VALUE"""),"MPC")</f>
        <v>MPC</v>
      </c>
      <c r="C5647" s="120" t="str">
        <f>IFERROR(__xludf.DUMMYFUNCTION("""COMPUTED_VALUE"""),"Muko-Muko")</f>
        <v>Muko-Muko</v>
      </c>
      <c r="D5647" s="120" t="str">
        <f>IFERROR(__xludf.DUMMYFUNCTION("""COMPUTED_VALUE"""),"Indonesia")</f>
        <v>Indonesia</v>
      </c>
      <c r="E5647" s="135"/>
      <c r="F5647" s="31"/>
    </row>
    <row r="5648">
      <c r="A5648" s="134" t="str">
        <f>IFERROR(__xludf.DUMMYFUNCTION("""COMPUTED_VALUE"""),"Mulatos")</f>
        <v>Mulatos</v>
      </c>
      <c r="B5648" s="120" t="str">
        <f>IFERROR(__xludf.DUMMYFUNCTION("""COMPUTED_VALUE"""),"ULS")</f>
        <v>ULS</v>
      </c>
      <c r="C5648" s="120" t="str">
        <f>IFERROR(__xludf.DUMMYFUNCTION("""COMPUTED_VALUE"""),"Mulatos")</f>
        <v>Mulatos</v>
      </c>
      <c r="D5648" s="120" t="str">
        <f>IFERROR(__xludf.DUMMYFUNCTION("""COMPUTED_VALUE"""),"Colombia")</f>
        <v>Colombia</v>
      </c>
      <c r="E5648" s="135"/>
      <c r="F5648" s="31"/>
    </row>
    <row r="5649">
      <c r="A5649" s="134" t="str">
        <f>IFERROR(__xludf.DUMMYFUNCTION("""COMPUTED_VALUE"""),"Mulatupo")</f>
        <v>Mulatupo</v>
      </c>
      <c r="B5649" s="120" t="str">
        <f>IFERROR(__xludf.DUMMYFUNCTION("""COMPUTED_VALUE"""),"MPP")</f>
        <v>MPP</v>
      </c>
      <c r="C5649" s="120" t="str">
        <f>IFERROR(__xludf.DUMMYFUNCTION("""COMPUTED_VALUE"""),"Mulatupo")</f>
        <v>Mulatupo</v>
      </c>
      <c r="D5649" s="120" t="str">
        <f>IFERROR(__xludf.DUMMYFUNCTION("""COMPUTED_VALUE"""),"Panama")</f>
        <v>Panama</v>
      </c>
      <c r="E5649" s="135"/>
      <c r="F5649" s="31"/>
    </row>
    <row r="5650">
      <c r="A5650" s="134" t="str">
        <f>IFERROR(__xludf.DUMMYFUNCTION("""COMPUTED_VALUE"""),"Mulege")</f>
        <v>Mulege</v>
      </c>
      <c r="B5650" s="120" t="str">
        <f>IFERROR(__xludf.DUMMYFUNCTION("""COMPUTED_VALUE"""),"MUG")</f>
        <v>MUG</v>
      </c>
      <c r="C5650" s="120" t="str">
        <f>IFERROR(__xludf.DUMMYFUNCTION("""COMPUTED_VALUE"""),"Mulege")</f>
        <v>Mulege</v>
      </c>
      <c r="D5650" s="120" t="str">
        <f>IFERROR(__xludf.DUMMYFUNCTION("""COMPUTED_VALUE"""),"Mexico")</f>
        <v>Mexico</v>
      </c>
      <c r="E5650" s="135"/>
      <c r="F5650" s="31"/>
    </row>
    <row r="5651">
      <c r="A5651" s="134" t="str">
        <f>IFERROR(__xludf.DUMMYFUNCTION("""COMPUTED_VALUE"""),"Mulga Park")</f>
        <v>Mulga Park</v>
      </c>
      <c r="B5651" s="120" t="str">
        <f>IFERROR(__xludf.DUMMYFUNCTION("""COMPUTED_VALUE"""),"MUP")</f>
        <v>MUP</v>
      </c>
      <c r="C5651" s="120" t="str">
        <f>IFERROR(__xludf.DUMMYFUNCTION("""COMPUTED_VALUE"""),"Mulga Park")</f>
        <v>Mulga Park</v>
      </c>
      <c r="D5651" s="120" t="str">
        <f>IFERROR(__xludf.DUMMYFUNCTION("""COMPUTED_VALUE"""),"Australia")</f>
        <v>Australia</v>
      </c>
      <c r="E5651" s="135"/>
      <c r="F5651" s="31"/>
    </row>
    <row r="5652">
      <c r="A5652" s="134" t="str">
        <f>IFERROR(__xludf.DUMMYFUNCTION("""COMPUTED_VALUE"""),"Basel Mulhouse Freiburg")</f>
        <v>Basel Mulhouse Freiburg</v>
      </c>
      <c r="B5652" s="120" t="str">
        <f>IFERROR(__xludf.DUMMYFUNCTION("""COMPUTED_VALUE"""),"MLH")</f>
        <v>MLH</v>
      </c>
      <c r="C5652" s="120" t="str">
        <f>IFERROR(__xludf.DUMMYFUNCTION("""COMPUTED_VALUE"""),"Euroairport")</f>
        <v>Euroairport</v>
      </c>
      <c r="D5652" s="120" t="str">
        <f>IFERROR(__xludf.DUMMYFUNCTION("""COMPUTED_VALUE"""),"France")</f>
        <v>France</v>
      </c>
      <c r="E5652" s="135"/>
      <c r="F5652" s="31"/>
    </row>
    <row r="5653">
      <c r="A5653" s="134" t="str">
        <f>IFERROR(__xludf.DUMMYFUNCTION("""COMPUTED_VALUE"""),"Mulia")</f>
        <v>Mulia</v>
      </c>
      <c r="B5653" s="120" t="str">
        <f>IFERROR(__xludf.DUMMYFUNCTION("""COMPUTED_VALUE"""),"LII")</f>
        <v>LII</v>
      </c>
      <c r="C5653" s="120" t="str">
        <f>IFERROR(__xludf.DUMMYFUNCTION("""COMPUTED_VALUE"""),"Mulia")</f>
        <v>Mulia</v>
      </c>
      <c r="D5653" s="120" t="str">
        <f>IFERROR(__xludf.DUMMYFUNCTION("""COMPUTED_VALUE"""),"Indonesia")</f>
        <v>Indonesia</v>
      </c>
      <c r="E5653" s="135"/>
      <c r="F5653" s="31"/>
    </row>
    <row r="5654">
      <c r="A5654" s="134" t="str">
        <f>IFERROR(__xludf.DUMMYFUNCTION("""COMPUTED_VALUE"""),"Mulka")</f>
        <v>Mulka</v>
      </c>
      <c r="B5654" s="120" t="str">
        <f>IFERROR(__xludf.DUMMYFUNCTION("""COMPUTED_VALUE"""),"MVK")</f>
        <v>MVK</v>
      </c>
      <c r="C5654" s="120" t="str">
        <f>IFERROR(__xludf.DUMMYFUNCTION("""COMPUTED_VALUE"""),"Mulka")</f>
        <v>Mulka</v>
      </c>
      <c r="D5654" s="120" t="str">
        <f>IFERROR(__xludf.DUMMYFUNCTION("""COMPUTED_VALUE"""),"Australia")</f>
        <v>Australia</v>
      </c>
      <c r="E5654" s="135"/>
      <c r="F5654" s="31"/>
    </row>
    <row r="5655">
      <c r="A5655" s="134" t="str">
        <f>IFERROR(__xludf.DUMMYFUNCTION("""COMPUTED_VALUE"""),"Mull")</f>
        <v>Mull</v>
      </c>
      <c r="B5655" s="120" t="str">
        <f>IFERROR(__xludf.DUMMYFUNCTION("""COMPUTED_VALUE"""),"ULL")</f>
        <v>ULL</v>
      </c>
      <c r="C5655" s="120" t="str">
        <f>IFERROR(__xludf.DUMMYFUNCTION("""COMPUTED_VALUE"""),"Mull")</f>
        <v>Mull</v>
      </c>
      <c r="D5655" s="120" t="str">
        <f>IFERROR(__xludf.DUMMYFUNCTION("""COMPUTED_VALUE"""),"United Kingdom")</f>
        <v>United Kingdom</v>
      </c>
      <c r="E5655" s="135"/>
      <c r="F5655" s="31"/>
    </row>
    <row r="5656">
      <c r="A5656" s="134" t="str">
        <f>IFERROR(__xludf.DUMMYFUNCTION("""COMPUTED_VALUE"""),"Mullen")</f>
        <v>Mullen</v>
      </c>
      <c r="B5656" s="120" t="str">
        <f>IFERROR(__xludf.DUMMYFUNCTION("""COMPUTED_VALUE"""),"MHN")</f>
        <v>MHN</v>
      </c>
      <c r="C5656" s="120" t="str">
        <f>IFERROR(__xludf.DUMMYFUNCTION("""COMPUTED_VALUE"""),"Mullen")</f>
        <v>Mullen</v>
      </c>
      <c r="D5656" s="120" t="str">
        <f>IFERROR(__xludf.DUMMYFUNCTION("""COMPUTED_VALUE"""),"United States")</f>
        <v>United States</v>
      </c>
      <c r="E5656" s="135"/>
      <c r="F5656" s="31"/>
    </row>
    <row r="5657">
      <c r="A5657" s="134" t="str">
        <f>IFERROR(__xludf.DUMMYFUNCTION("""COMPUTED_VALUE"""),"Mullewa")</f>
        <v>Mullewa</v>
      </c>
      <c r="B5657" s="120" t="str">
        <f>IFERROR(__xludf.DUMMYFUNCTION("""COMPUTED_VALUE"""),"MXU")</f>
        <v>MXU</v>
      </c>
      <c r="C5657" s="120" t="str">
        <f>IFERROR(__xludf.DUMMYFUNCTION("""COMPUTED_VALUE"""),"Mullewa")</f>
        <v>Mullewa</v>
      </c>
      <c r="D5657" s="120" t="str">
        <f>IFERROR(__xludf.DUMMYFUNCTION("""COMPUTED_VALUE"""),"Australia")</f>
        <v>Australia</v>
      </c>
      <c r="E5657" s="135"/>
      <c r="F5657" s="31"/>
    </row>
    <row r="5658">
      <c r="A5658" s="134" t="str">
        <f>IFERROR(__xludf.DUMMYFUNCTION("""COMPUTED_VALUE"""),"Multan")</f>
        <v>Multan</v>
      </c>
      <c r="B5658" s="120" t="str">
        <f>IFERROR(__xludf.DUMMYFUNCTION("""COMPUTED_VALUE"""),"MUX")</f>
        <v>MUX</v>
      </c>
      <c r="C5658" s="120" t="str">
        <f>IFERROR(__xludf.DUMMYFUNCTION("""COMPUTED_VALUE"""),"Multan")</f>
        <v>Multan</v>
      </c>
      <c r="D5658" s="120" t="str">
        <f>IFERROR(__xludf.DUMMYFUNCTION("""COMPUTED_VALUE"""),"Pakistan")</f>
        <v>Pakistan</v>
      </c>
      <c r="E5658" s="135"/>
      <c r="F5658" s="31"/>
    </row>
    <row r="5659">
      <c r="A5659" s="134" t="str">
        <f>IFERROR(__xludf.DUMMYFUNCTION("""COMPUTED_VALUE"""),"Mulu")</f>
        <v>Mulu</v>
      </c>
      <c r="B5659" s="120" t="str">
        <f>IFERROR(__xludf.DUMMYFUNCTION("""COMPUTED_VALUE"""),"MZV")</f>
        <v>MZV</v>
      </c>
      <c r="C5659" s="120" t="str">
        <f>IFERROR(__xludf.DUMMYFUNCTION("""COMPUTED_VALUE"""),"Mulu")</f>
        <v>Mulu</v>
      </c>
      <c r="D5659" s="120" t="str">
        <f>IFERROR(__xludf.DUMMYFUNCTION("""COMPUTED_VALUE"""),"Malaysia")</f>
        <v>Malaysia</v>
      </c>
      <c r="E5659" s="135"/>
      <c r="F5659" s="31"/>
    </row>
    <row r="5660">
      <c r="A5660" s="134" t="str">
        <f>IFERROR(__xludf.DUMMYFUNCTION("""COMPUTED_VALUE"""),"Mumbai")</f>
        <v>Mumbai</v>
      </c>
      <c r="B5660" s="120" t="str">
        <f>IFERROR(__xludf.DUMMYFUNCTION("""COMPUTED_VALUE"""),"BOM")</f>
        <v>BOM</v>
      </c>
      <c r="C5660" s="120" t="str">
        <f>IFERROR(__xludf.DUMMYFUNCTION("""COMPUTED_VALUE"""),"Chhatrapati Shivaji")</f>
        <v>Chhatrapati Shivaji</v>
      </c>
      <c r="D5660" s="120" t="str">
        <f>IFERROR(__xludf.DUMMYFUNCTION("""COMPUTED_VALUE"""),"India")</f>
        <v>India</v>
      </c>
      <c r="E5660" s="135"/>
      <c r="F5660" s="31"/>
    </row>
    <row r="5661">
      <c r="A5661" s="134" t="str">
        <f>IFERROR(__xludf.DUMMYFUNCTION("""COMPUTED_VALUE"""),"Mumias")</f>
        <v>Mumias</v>
      </c>
      <c r="B5661" s="120" t="str">
        <f>IFERROR(__xludf.DUMMYFUNCTION("""COMPUTED_VALUE"""),"MUM")</f>
        <v>MUM</v>
      </c>
      <c r="C5661" s="120" t="str">
        <f>IFERROR(__xludf.DUMMYFUNCTION("""COMPUTED_VALUE"""),"Mumias")</f>
        <v>Mumias</v>
      </c>
      <c r="D5661" s="120" t="str">
        <f>IFERROR(__xludf.DUMMYFUNCTION("""COMPUTED_VALUE"""),"Kenya")</f>
        <v>Kenya</v>
      </c>
      <c r="E5661" s="135"/>
      <c r="F5661" s="31"/>
    </row>
    <row r="5662">
      <c r="A5662" s="134" t="str">
        <f>IFERROR(__xludf.DUMMYFUNCTION("""COMPUTED_VALUE"""),"Munbil")</f>
        <v>Munbil</v>
      </c>
      <c r="B5662" s="120" t="str">
        <f>IFERROR(__xludf.DUMMYFUNCTION("""COMPUTED_VALUE"""),"LNF")</f>
        <v>LNF</v>
      </c>
      <c r="C5662" s="120" t="str">
        <f>IFERROR(__xludf.DUMMYFUNCTION("""COMPUTED_VALUE"""),"Munbil")</f>
        <v>Munbil</v>
      </c>
      <c r="D5662" s="120" t="str">
        <f>IFERROR(__xludf.DUMMYFUNCTION("""COMPUTED_VALUE"""),"Papua New Guinea")</f>
        <v>Papua New Guinea</v>
      </c>
      <c r="E5662" s="135"/>
      <c r="F5662" s="31"/>
    </row>
    <row r="5663">
      <c r="A5663" s="134" t="str">
        <f>IFERROR(__xludf.DUMMYFUNCTION("""COMPUTED_VALUE"""),"Muncie")</f>
        <v>Muncie</v>
      </c>
      <c r="B5663" s="120" t="str">
        <f>IFERROR(__xludf.DUMMYFUNCTION("""COMPUTED_VALUE"""),"MIE")</f>
        <v>MIE</v>
      </c>
      <c r="C5663" s="120" t="str">
        <f>IFERROR(__xludf.DUMMYFUNCTION("""COMPUTED_VALUE"""),"Delaware County")</f>
        <v>Delaware County</v>
      </c>
      <c r="D5663" s="120" t="str">
        <f>IFERROR(__xludf.DUMMYFUNCTION("""COMPUTED_VALUE"""),"United States")</f>
        <v>United States</v>
      </c>
      <c r="E5663" s="135"/>
      <c r="F5663" s="31"/>
    </row>
    <row r="5664">
      <c r="A5664" s="134" t="str">
        <f>IFERROR(__xludf.DUMMYFUNCTION("""COMPUTED_VALUE"""),"Munda")</f>
        <v>Munda</v>
      </c>
      <c r="B5664" s="120" t="str">
        <f>IFERROR(__xludf.DUMMYFUNCTION("""COMPUTED_VALUE"""),"MUA")</f>
        <v>MUA</v>
      </c>
      <c r="C5664" s="120" t="str">
        <f>IFERROR(__xludf.DUMMYFUNCTION("""COMPUTED_VALUE"""),"Munda")</f>
        <v>Munda</v>
      </c>
      <c r="D5664" s="120" t="str">
        <f>IFERROR(__xludf.DUMMYFUNCTION("""COMPUTED_VALUE"""),"Solomon Islands")</f>
        <v>Solomon Islands</v>
      </c>
      <c r="E5664" s="135"/>
      <c r="F5664" s="31"/>
    </row>
    <row r="5665">
      <c r="A5665" s="134" t="str">
        <f>IFERROR(__xludf.DUMMYFUNCTION("""COMPUTED_VALUE"""),"Munduku")</f>
        <v>Munduku</v>
      </c>
      <c r="B5665" s="120" t="str">
        <f>IFERROR(__xludf.DUMMYFUNCTION("""COMPUTED_VALUE"""),"MDM")</f>
        <v>MDM</v>
      </c>
      <c r="C5665" s="120" t="str">
        <f>IFERROR(__xludf.DUMMYFUNCTION("""COMPUTED_VALUE"""),"Munduku")</f>
        <v>Munduku</v>
      </c>
      <c r="D5665" s="120" t="str">
        <f>IFERROR(__xludf.DUMMYFUNCTION("""COMPUTED_VALUE"""),"Papua New Guinea")</f>
        <v>Papua New Guinea</v>
      </c>
      <c r="E5665" s="135"/>
      <c r="F5665" s="31"/>
    </row>
    <row r="5666">
      <c r="A5666" s="134" t="str">
        <f>IFERROR(__xludf.DUMMYFUNCTION("""COMPUTED_VALUE"""),"Mundulkiri")</f>
        <v>Mundulkiri</v>
      </c>
      <c r="B5666" s="120" t="str">
        <f>IFERROR(__xludf.DUMMYFUNCTION("""COMPUTED_VALUE"""),"MWV")</f>
        <v>MWV</v>
      </c>
      <c r="C5666" s="120" t="str">
        <f>IFERROR(__xludf.DUMMYFUNCTION("""COMPUTED_VALUE"""),"Mundulkiri")</f>
        <v>Mundulkiri</v>
      </c>
      <c r="D5666" s="120" t="str">
        <f>IFERROR(__xludf.DUMMYFUNCTION("""COMPUTED_VALUE"""),"Cambodia")</f>
        <v>Cambodia</v>
      </c>
      <c r="E5666" s="135"/>
      <c r="F5666" s="31"/>
    </row>
    <row r="5667">
      <c r="A5667" s="134" t="str">
        <f>IFERROR(__xludf.DUMMYFUNCTION("""COMPUTED_VALUE"""),"Mungeranie")</f>
        <v>Mungeranie</v>
      </c>
      <c r="B5667" s="120" t="str">
        <f>IFERROR(__xludf.DUMMYFUNCTION("""COMPUTED_VALUE"""),"MNE")</f>
        <v>MNE</v>
      </c>
      <c r="C5667" s="120" t="str">
        <f>IFERROR(__xludf.DUMMYFUNCTION("""COMPUTED_VALUE"""),"Mungeranie")</f>
        <v>Mungeranie</v>
      </c>
      <c r="D5667" s="120" t="str">
        <f>IFERROR(__xludf.DUMMYFUNCTION("""COMPUTED_VALUE"""),"Australia")</f>
        <v>Australia</v>
      </c>
      <c r="E5667" s="135"/>
      <c r="F5667" s="31"/>
    </row>
    <row r="5668">
      <c r="A5668" s="134" t="str">
        <f>IFERROR(__xludf.DUMMYFUNCTION("""COMPUTED_VALUE"""),"Augsburg")</f>
        <v>Augsburg</v>
      </c>
      <c r="B5668" s="120" t="str">
        <f>IFERROR(__xludf.DUMMYFUNCTION("""COMPUTED_VALUE"""),"AGB")</f>
        <v>AGB</v>
      </c>
      <c r="C5668" s="120" t="str">
        <f>IFERROR(__xludf.DUMMYFUNCTION("""COMPUTED_VALUE"""),"Augsburg - Muehlhausen")</f>
        <v>Augsburg - Muehlhausen</v>
      </c>
      <c r="D5668" s="120" t="str">
        <f>IFERROR(__xludf.DUMMYFUNCTION("""COMPUTED_VALUE"""),"Germany")</f>
        <v>Germany</v>
      </c>
      <c r="E5668" s="135"/>
      <c r="F5668" s="31"/>
    </row>
    <row r="5669">
      <c r="A5669" s="134" t="str">
        <f>IFERROR(__xludf.DUMMYFUNCTION("""COMPUTED_VALUE"""),"Munich")</f>
        <v>Munich</v>
      </c>
      <c r="B5669" s="120" t="str">
        <f>IFERROR(__xludf.DUMMYFUNCTION("""COMPUTED_VALUE"""),"MUC")</f>
        <v>MUC</v>
      </c>
      <c r="C5669" s="120" t="str">
        <f>IFERROR(__xludf.DUMMYFUNCTION("""COMPUTED_VALUE"""),"Franz Josef Strauss")</f>
        <v>Franz Josef Strauss</v>
      </c>
      <c r="D5669" s="120" t="str">
        <f>IFERROR(__xludf.DUMMYFUNCTION("""COMPUTED_VALUE"""),"Germany")</f>
        <v>Germany</v>
      </c>
      <c r="E5669" s="135"/>
      <c r="F5669" s="31"/>
    </row>
    <row r="5670">
      <c r="A5670" s="134" t="str">
        <f>IFERROR(__xludf.DUMMYFUNCTION("""COMPUTED_VALUE"""),"Muong Sai")</f>
        <v>Muong Sai</v>
      </c>
      <c r="B5670" s="120" t="str">
        <f>IFERROR(__xludf.DUMMYFUNCTION("""COMPUTED_VALUE"""),"UON")</f>
        <v>UON</v>
      </c>
      <c r="C5670" s="120" t="str">
        <f>IFERROR(__xludf.DUMMYFUNCTION("""COMPUTED_VALUE"""),"Muong Sai")</f>
        <v>Muong Sai</v>
      </c>
      <c r="D5670" s="120" t="str">
        <f>IFERROR(__xludf.DUMMYFUNCTION("""COMPUTED_VALUE"""),"Laos")</f>
        <v>Laos</v>
      </c>
      <c r="E5670" s="135"/>
      <c r="F5670" s="31"/>
    </row>
    <row r="5671">
      <c r="A5671" s="134" t="str">
        <f>IFERROR(__xludf.DUMMYFUNCTION("""COMPUTED_VALUE"""),"Murcia")</f>
        <v>Murcia</v>
      </c>
      <c r="B5671" s="120" t="str">
        <f>IFERROR(__xludf.DUMMYFUNCTION("""COMPUTED_VALUE"""),"MJV")</f>
        <v>MJV</v>
      </c>
      <c r="C5671" s="120" t="str">
        <f>IFERROR(__xludf.DUMMYFUNCTION("""COMPUTED_VALUE"""),"San Javier")</f>
        <v>San Javier</v>
      </c>
      <c r="D5671" s="120" t="str">
        <f>IFERROR(__xludf.DUMMYFUNCTION("""COMPUTED_VALUE"""),"Spain")</f>
        <v>Spain</v>
      </c>
      <c r="E5671" s="135"/>
      <c r="F5671" s="31"/>
    </row>
    <row r="5672">
      <c r="A5672" s="134" t="str">
        <f>IFERROR(__xludf.DUMMYFUNCTION("""COMPUTED_VALUE"""),"Murmansk")</f>
        <v>Murmansk</v>
      </c>
      <c r="B5672" s="120" t="str">
        <f>IFERROR(__xludf.DUMMYFUNCTION("""COMPUTED_VALUE"""),"MMK")</f>
        <v>MMK</v>
      </c>
      <c r="C5672" s="120" t="str">
        <f>IFERROR(__xludf.DUMMYFUNCTION("""COMPUTED_VALUE"""),"Murmansk")</f>
        <v>Murmansk</v>
      </c>
      <c r="D5672" s="120" t="str">
        <f>IFERROR(__xludf.DUMMYFUNCTION("""COMPUTED_VALUE"""),"Russia")</f>
        <v>Russia</v>
      </c>
      <c r="E5672" s="135"/>
      <c r="F5672" s="31"/>
    </row>
    <row r="5673">
      <c r="A5673" s="134" t="str">
        <f>IFERROR(__xludf.DUMMYFUNCTION("""COMPUTED_VALUE"""),"Murray")</f>
        <v>Murray</v>
      </c>
      <c r="B5673" s="120" t="str">
        <f>IFERROR(__xludf.DUMMYFUNCTION("""COMPUTED_VALUE"""),"CEY")</f>
        <v>CEY</v>
      </c>
      <c r="C5673" s="120" t="str">
        <f>IFERROR(__xludf.DUMMYFUNCTION("""COMPUTED_VALUE"""),"Calloway County")</f>
        <v>Calloway County</v>
      </c>
      <c r="D5673" s="120" t="str">
        <f>IFERROR(__xludf.DUMMYFUNCTION("""COMPUTED_VALUE"""),"United States")</f>
        <v>United States</v>
      </c>
      <c r="E5673" s="135"/>
      <c r="F5673" s="31"/>
    </row>
    <row r="5674">
      <c r="A5674" s="134" t="str">
        <f>IFERROR(__xludf.DUMMYFUNCTION("""COMPUTED_VALUE"""),"Murray Bay")</f>
        <v>Murray Bay</v>
      </c>
      <c r="B5674" s="120" t="str">
        <f>IFERROR(__xludf.DUMMYFUNCTION("""COMPUTED_VALUE"""),"YML")</f>
        <v>YML</v>
      </c>
      <c r="C5674" s="120" t="str">
        <f>IFERROR(__xludf.DUMMYFUNCTION("""COMPUTED_VALUE"""),"Charlevoix")</f>
        <v>Charlevoix</v>
      </c>
      <c r="D5674" s="120" t="str">
        <f>IFERROR(__xludf.DUMMYFUNCTION("""COMPUTED_VALUE"""),"Canada")</f>
        <v>Canada</v>
      </c>
      <c r="E5674" s="135"/>
      <c r="F5674" s="31"/>
    </row>
    <row r="5675">
      <c r="A5675" s="134" t="str">
        <f>IFERROR(__xludf.DUMMYFUNCTION("""COMPUTED_VALUE"""),"Murray Island")</f>
        <v>Murray Island</v>
      </c>
      <c r="B5675" s="120" t="str">
        <f>IFERROR(__xludf.DUMMYFUNCTION("""COMPUTED_VALUE"""),"MYI")</f>
        <v>MYI</v>
      </c>
      <c r="C5675" s="120" t="str">
        <f>IFERROR(__xludf.DUMMYFUNCTION("""COMPUTED_VALUE"""),"Murray Island")</f>
        <v>Murray Island</v>
      </c>
      <c r="D5675" s="120" t="str">
        <f>IFERROR(__xludf.DUMMYFUNCTION("""COMPUTED_VALUE"""),"Australia")</f>
        <v>Australia</v>
      </c>
      <c r="E5675" s="135"/>
      <c r="F5675" s="31"/>
    </row>
    <row r="5676">
      <c r="A5676" s="134" t="str">
        <f>IFERROR(__xludf.DUMMYFUNCTION("""COMPUTED_VALUE"""),"Murzuq")</f>
        <v>Murzuq</v>
      </c>
      <c r="B5676" s="120" t="str">
        <f>IFERROR(__xludf.DUMMYFUNCTION("""COMPUTED_VALUE"""),"QMQ")</f>
        <v>QMQ</v>
      </c>
      <c r="C5676" s="120" t="str">
        <f>IFERROR(__xludf.DUMMYFUNCTION("""COMPUTED_VALUE"""),"Murzuq")</f>
        <v>Murzuq</v>
      </c>
      <c r="D5676" s="120" t="str">
        <f>IFERROR(__xludf.DUMMYFUNCTION("""COMPUTED_VALUE"""),"Libya")</f>
        <v>Libya</v>
      </c>
      <c r="E5676" s="135"/>
      <c r="F5676" s="31"/>
    </row>
    <row r="5677">
      <c r="A5677" s="134" t="str">
        <f>IFERROR(__xludf.DUMMYFUNCTION("""COMPUTED_VALUE"""),"Mus")</f>
        <v>Mus</v>
      </c>
      <c r="B5677" s="120" t="str">
        <f>IFERROR(__xludf.DUMMYFUNCTION("""COMPUTED_VALUE"""),"MSR")</f>
        <v>MSR</v>
      </c>
      <c r="C5677" s="120" t="str">
        <f>IFERROR(__xludf.DUMMYFUNCTION("""COMPUTED_VALUE"""),"Mus")</f>
        <v>Mus</v>
      </c>
      <c r="D5677" s="120" t="str">
        <f>IFERROR(__xludf.DUMMYFUNCTION("""COMPUTED_VALUE"""),"Turkey")</f>
        <v>Turkey</v>
      </c>
      <c r="E5677" s="135"/>
      <c r="F5677" s="31"/>
    </row>
    <row r="5678">
      <c r="A5678" s="134" t="str">
        <f>IFERROR(__xludf.DUMMYFUNCTION("""COMPUTED_VALUE"""),"Muscat")</f>
        <v>Muscat</v>
      </c>
      <c r="B5678" s="120" t="str">
        <f>IFERROR(__xludf.DUMMYFUNCTION("""COMPUTED_VALUE"""),"MCT")</f>
        <v>MCT</v>
      </c>
      <c r="C5678" s="120" t="str">
        <f>IFERROR(__xludf.DUMMYFUNCTION("""COMPUTED_VALUE"""),"Seeb")</f>
        <v>Seeb</v>
      </c>
      <c r="D5678" s="120" t="str">
        <f>IFERROR(__xludf.DUMMYFUNCTION("""COMPUTED_VALUE"""),"Oman")</f>
        <v>Oman</v>
      </c>
      <c r="E5678" s="135"/>
      <c r="F5678" s="31"/>
    </row>
    <row r="5679">
      <c r="A5679" s="134" t="str">
        <f>IFERROR(__xludf.DUMMYFUNCTION("""COMPUTED_VALUE"""),"Muscatine")</f>
        <v>Muscatine</v>
      </c>
      <c r="B5679" s="120" t="str">
        <f>IFERROR(__xludf.DUMMYFUNCTION("""COMPUTED_VALUE"""),"MUT")</f>
        <v>MUT</v>
      </c>
      <c r="C5679" s="120" t="str">
        <f>IFERROR(__xludf.DUMMYFUNCTION("""COMPUTED_VALUE"""),"Muscatine")</f>
        <v>Muscatine</v>
      </c>
      <c r="D5679" s="120" t="str">
        <f>IFERROR(__xludf.DUMMYFUNCTION("""COMPUTED_VALUE"""),"United States")</f>
        <v>United States</v>
      </c>
      <c r="E5679" s="135"/>
      <c r="F5679" s="31"/>
    </row>
    <row r="5680">
      <c r="A5680" s="134" t="str">
        <f>IFERROR(__xludf.DUMMYFUNCTION("""COMPUTED_VALUE"""),"Musgrave")</f>
        <v>Musgrave</v>
      </c>
      <c r="B5680" s="120" t="str">
        <f>IFERROR(__xludf.DUMMYFUNCTION("""COMPUTED_VALUE"""),"MVU")</f>
        <v>MVU</v>
      </c>
      <c r="C5680" s="120" t="str">
        <f>IFERROR(__xludf.DUMMYFUNCTION("""COMPUTED_VALUE"""),"Musgrave")</f>
        <v>Musgrave</v>
      </c>
      <c r="D5680" s="120" t="str">
        <f>IFERROR(__xludf.DUMMYFUNCTION("""COMPUTED_VALUE"""),"Australia")</f>
        <v>Australia</v>
      </c>
      <c r="E5680" s="135"/>
      <c r="F5680" s="31"/>
    </row>
    <row r="5681">
      <c r="A5681" s="134" t="str">
        <f>IFERROR(__xludf.DUMMYFUNCTION("""COMPUTED_VALUE"""),"Musha")</f>
        <v>Musha</v>
      </c>
      <c r="B5681" s="120" t="str">
        <f>IFERROR(__xludf.DUMMYFUNCTION("""COMPUTED_VALUE"""),"MHI")</f>
        <v>MHI</v>
      </c>
      <c r="C5681" s="120" t="str">
        <f>IFERROR(__xludf.DUMMYFUNCTION("""COMPUTED_VALUE"""),"Musha")</f>
        <v>Musha</v>
      </c>
      <c r="D5681" s="120" t="str">
        <f>IFERROR(__xludf.DUMMYFUNCTION("""COMPUTED_VALUE"""),"Djibouti")</f>
        <v>Djibouti</v>
      </c>
      <c r="E5681" s="135"/>
      <c r="F5681" s="31"/>
    </row>
    <row r="5682">
      <c r="A5682" s="134" t="str">
        <f>IFERROR(__xludf.DUMMYFUNCTION("""COMPUTED_VALUE"""),"Muskegon")</f>
        <v>Muskegon</v>
      </c>
      <c r="B5682" s="120" t="str">
        <f>IFERROR(__xludf.DUMMYFUNCTION("""COMPUTED_VALUE"""),"MKG")</f>
        <v>MKG</v>
      </c>
      <c r="C5682" s="120" t="str">
        <f>IFERROR(__xludf.DUMMYFUNCTION("""COMPUTED_VALUE"""),"Muskegon")</f>
        <v>Muskegon</v>
      </c>
      <c r="D5682" s="120" t="str">
        <f>IFERROR(__xludf.DUMMYFUNCTION("""COMPUTED_VALUE"""),"United States")</f>
        <v>United States</v>
      </c>
      <c r="E5682" s="135"/>
      <c r="F5682" s="31"/>
    </row>
    <row r="5683">
      <c r="A5683" s="134" t="str">
        <f>IFERROR(__xludf.DUMMYFUNCTION("""COMPUTED_VALUE"""),"Muskogee")</f>
        <v>Muskogee</v>
      </c>
      <c r="B5683" s="120" t="str">
        <f>IFERROR(__xludf.DUMMYFUNCTION("""COMPUTED_VALUE"""),"MKO")</f>
        <v>MKO</v>
      </c>
      <c r="C5683" s="120" t="str">
        <f>IFERROR(__xludf.DUMMYFUNCTION("""COMPUTED_VALUE"""),"Davis Field")</f>
        <v>Davis Field</v>
      </c>
      <c r="D5683" s="120" t="str">
        <f>IFERROR(__xludf.DUMMYFUNCTION("""COMPUTED_VALUE"""),"United States")</f>
        <v>United States</v>
      </c>
      <c r="E5683" s="135"/>
      <c r="F5683" s="31"/>
    </row>
    <row r="5684">
      <c r="A5684" s="134" t="str">
        <f>IFERROR(__xludf.DUMMYFUNCTION("""COMPUTED_VALUE"""),"Muskogee")</f>
        <v>Muskogee</v>
      </c>
      <c r="B5684" s="120" t="str">
        <f>IFERROR(__xludf.DUMMYFUNCTION("""COMPUTED_VALUE"""),"HAX")</f>
        <v>HAX</v>
      </c>
      <c r="C5684" s="120" t="str">
        <f>IFERROR(__xludf.DUMMYFUNCTION("""COMPUTED_VALUE"""),"Hatbox Field")</f>
        <v>Hatbox Field</v>
      </c>
      <c r="D5684" s="120" t="str">
        <f>IFERROR(__xludf.DUMMYFUNCTION("""COMPUTED_VALUE"""),"United States")</f>
        <v>United States</v>
      </c>
      <c r="E5684" s="135"/>
      <c r="F5684" s="31"/>
    </row>
    <row r="5685">
      <c r="A5685" s="134" t="str">
        <f>IFERROR(__xludf.DUMMYFUNCTION("""COMPUTED_VALUE"""),"Muskoka")</f>
        <v>Muskoka</v>
      </c>
      <c r="B5685" s="120" t="str">
        <f>IFERROR(__xludf.DUMMYFUNCTION("""COMPUTED_VALUE"""),"YQA")</f>
        <v>YQA</v>
      </c>
      <c r="C5685" s="120" t="str">
        <f>IFERROR(__xludf.DUMMYFUNCTION("""COMPUTED_VALUE"""),"Muskoka")</f>
        <v>Muskoka</v>
      </c>
      <c r="D5685" s="120" t="str">
        <f>IFERROR(__xludf.DUMMYFUNCTION("""COMPUTED_VALUE"""),"Canada")</f>
        <v>Canada</v>
      </c>
      <c r="E5685" s="135"/>
      <c r="F5685" s="31"/>
    </row>
    <row r="5686">
      <c r="A5686" s="134" t="str">
        <f>IFERROR(__xludf.DUMMYFUNCTION("""COMPUTED_VALUE"""),"Muskrat Dam")</f>
        <v>Muskrat Dam</v>
      </c>
      <c r="B5686" s="120" t="str">
        <f>IFERROR(__xludf.DUMMYFUNCTION("""COMPUTED_VALUE"""),"MSA")</f>
        <v>MSA</v>
      </c>
      <c r="C5686" s="120" t="str">
        <f>IFERROR(__xludf.DUMMYFUNCTION("""COMPUTED_VALUE"""),"Muskrat Dam")</f>
        <v>Muskrat Dam</v>
      </c>
      <c r="D5686" s="120" t="str">
        <f>IFERROR(__xludf.DUMMYFUNCTION("""COMPUTED_VALUE"""),"Canada")</f>
        <v>Canada</v>
      </c>
      <c r="E5686" s="135"/>
      <c r="F5686" s="31"/>
    </row>
    <row r="5687">
      <c r="A5687" s="134" t="str">
        <f>IFERROR(__xludf.DUMMYFUNCTION("""COMPUTED_VALUE"""),"Musoma")</f>
        <v>Musoma</v>
      </c>
      <c r="B5687" s="120" t="str">
        <f>IFERROR(__xludf.DUMMYFUNCTION("""COMPUTED_VALUE"""),"MUZ")</f>
        <v>MUZ</v>
      </c>
      <c r="C5687" s="120" t="str">
        <f>IFERROR(__xludf.DUMMYFUNCTION("""COMPUTED_VALUE"""),"Musoma")</f>
        <v>Musoma</v>
      </c>
      <c r="D5687" s="120" t="str">
        <f>IFERROR(__xludf.DUMMYFUNCTION("""COMPUTED_VALUE"""),"Tanzania")</f>
        <v>Tanzania</v>
      </c>
      <c r="E5687" s="135"/>
      <c r="F5687" s="31"/>
    </row>
    <row r="5688">
      <c r="A5688" s="134" t="str">
        <f>IFERROR(__xludf.DUMMYFUNCTION("""COMPUTED_VALUE"""),"Mussau")</f>
        <v>Mussau</v>
      </c>
      <c r="B5688" s="120" t="str">
        <f>IFERROR(__xludf.DUMMYFUNCTION("""COMPUTED_VALUE"""),"MWU")</f>
        <v>MWU</v>
      </c>
      <c r="C5688" s="120" t="str">
        <f>IFERROR(__xludf.DUMMYFUNCTION("""COMPUTED_VALUE"""),"Mussau")</f>
        <v>Mussau</v>
      </c>
      <c r="D5688" s="120" t="str">
        <f>IFERROR(__xludf.DUMMYFUNCTION("""COMPUTED_VALUE"""),"Papua New Guinea")</f>
        <v>Papua New Guinea</v>
      </c>
      <c r="E5688" s="135"/>
      <c r="F5688" s="31"/>
    </row>
    <row r="5689">
      <c r="A5689" s="134" t="str">
        <f>IFERROR(__xludf.DUMMYFUNCTION("""COMPUTED_VALUE"""),"Mustique Island")</f>
        <v>Mustique Island</v>
      </c>
      <c r="B5689" s="120" t="str">
        <f>IFERROR(__xludf.DUMMYFUNCTION("""COMPUTED_VALUE"""),"MQS")</f>
        <v>MQS</v>
      </c>
      <c r="C5689" s="120" t="str">
        <f>IFERROR(__xludf.DUMMYFUNCTION("""COMPUTED_VALUE"""),"Mustique")</f>
        <v>Mustique</v>
      </c>
      <c r="D5689" s="120" t="str">
        <f>IFERROR(__xludf.DUMMYFUNCTION("""COMPUTED_VALUE"""),"Saint Vincent and the Grenadines")</f>
        <v>Saint Vincent and the Grenadines</v>
      </c>
      <c r="E5689" s="135"/>
      <c r="F5689" s="31"/>
    </row>
    <row r="5690">
      <c r="A5690" s="134" t="str">
        <f>IFERROR(__xludf.DUMMYFUNCTION("""COMPUTED_VALUE"""),"Mutare")</f>
        <v>Mutare</v>
      </c>
      <c r="B5690" s="120" t="str">
        <f>IFERROR(__xludf.DUMMYFUNCTION("""COMPUTED_VALUE"""),"UTA")</f>
        <v>UTA</v>
      </c>
      <c r="C5690" s="120" t="str">
        <f>IFERROR(__xludf.DUMMYFUNCTION("""COMPUTED_VALUE"""),"Mutare")</f>
        <v>Mutare</v>
      </c>
      <c r="D5690" s="120" t="str">
        <f>IFERROR(__xludf.DUMMYFUNCTION("""COMPUTED_VALUE"""),"Zimbabwe")</f>
        <v>Zimbabwe</v>
      </c>
      <c r="E5690" s="135"/>
      <c r="F5690" s="31"/>
    </row>
    <row r="5691">
      <c r="A5691" s="134" t="str">
        <f>IFERROR(__xludf.DUMMYFUNCTION("""COMPUTED_VALUE"""),"Muting")</f>
        <v>Muting</v>
      </c>
      <c r="B5691" s="120" t="str">
        <f>IFERROR(__xludf.DUMMYFUNCTION("""COMPUTED_VALUE"""),"MUF")</f>
        <v>MUF</v>
      </c>
      <c r="C5691" s="120" t="str">
        <f>IFERROR(__xludf.DUMMYFUNCTION("""COMPUTED_VALUE"""),"Muting")</f>
        <v>Muting</v>
      </c>
      <c r="D5691" s="120" t="str">
        <f>IFERROR(__xludf.DUMMYFUNCTION("""COMPUTED_VALUE"""),"Indonesia")</f>
        <v>Indonesia</v>
      </c>
      <c r="E5691" s="135"/>
      <c r="F5691" s="31"/>
    </row>
    <row r="5692">
      <c r="A5692" s="134" t="str">
        <f>IFERROR(__xludf.DUMMYFUNCTION("""COMPUTED_VALUE"""),"Muttaburra")</f>
        <v>Muttaburra</v>
      </c>
      <c r="B5692" s="120" t="str">
        <f>IFERROR(__xludf.DUMMYFUNCTION("""COMPUTED_VALUE"""),"UTB")</f>
        <v>UTB</v>
      </c>
      <c r="C5692" s="120" t="str">
        <f>IFERROR(__xludf.DUMMYFUNCTION("""COMPUTED_VALUE"""),"Muttaburra")</f>
        <v>Muttaburra</v>
      </c>
      <c r="D5692" s="120" t="str">
        <f>IFERROR(__xludf.DUMMYFUNCTION("""COMPUTED_VALUE"""),"Australia")</f>
        <v>Australia</v>
      </c>
      <c r="E5692" s="135"/>
      <c r="F5692" s="31"/>
    </row>
    <row r="5693">
      <c r="A5693" s="134" t="str">
        <f>IFERROR(__xludf.DUMMYFUNCTION("""COMPUTED_VALUE"""),"Muzaffarabad")</f>
        <v>Muzaffarabad</v>
      </c>
      <c r="B5693" s="120" t="str">
        <f>IFERROR(__xludf.DUMMYFUNCTION("""COMPUTED_VALUE"""),"MFG")</f>
        <v>MFG</v>
      </c>
      <c r="C5693" s="120" t="str">
        <f>IFERROR(__xludf.DUMMYFUNCTION("""COMPUTED_VALUE"""),"Muzaffarabad")</f>
        <v>Muzaffarabad</v>
      </c>
      <c r="D5693" s="120" t="str">
        <f>IFERROR(__xludf.DUMMYFUNCTION("""COMPUTED_VALUE"""),"Pakistan")</f>
        <v>Pakistan</v>
      </c>
      <c r="E5693" s="135"/>
      <c r="F5693" s="31"/>
    </row>
    <row r="5694">
      <c r="A5694" s="134" t="str">
        <f>IFERROR(__xludf.DUMMYFUNCTION("""COMPUTED_VALUE"""),"Muzaffarnagar")</f>
        <v>Muzaffarnagar</v>
      </c>
      <c r="B5694" s="120" t="str">
        <f>IFERROR(__xludf.DUMMYFUNCTION("""COMPUTED_VALUE"""),"MZA")</f>
        <v>MZA</v>
      </c>
      <c r="C5694" s="120" t="str">
        <f>IFERROR(__xludf.DUMMYFUNCTION("""COMPUTED_VALUE"""),"Muzaffarnagar")</f>
        <v>Muzaffarnagar</v>
      </c>
      <c r="D5694" s="120" t="str">
        <f>IFERROR(__xludf.DUMMYFUNCTION("""COMPUTED_VALUE"""),"India")</f>
        <v>India</v>
      </c>
      <c r="E5694" s="135"/>
      <c r="F5694" s="31"/>
    </row>
    <row r="5695">
      <c r="A5695" s="134" t="str">
        <f>IFERROR(__xludf.DUMMYFUNCTION("""COMPUTED_VALUE"""),"Muzaffarpur")</f>
        <v>Muzaffarpur</v>
      </c>
      <c r="B5695" s="120" t="str">
        <f>IFERROR(__xludf.DUMMYFUNCTION("""COMPUTED_VALUE"""),"MZU")</f>
        <v>MZU</v>
      </c>
      <c r="C5695" s="120" t="str">
        <f>IFERROR(__xludf.DUMMYFUNCTION("""COMPUTED_VALUE"""),"Muzaffarpur")</f>
        <v>Muzaffarpur</v>
      </c>
      <c r="D5695" s="120" t="str">
        <f>IFERROR(__xludf.DUMMYFUNCTION("""COMPUTED_VALUE"""),"India")</f>
        <v>India</v>
      </c>
      <c r="E5695" s="135"/>
      <c r="F5695" s="31"/>
    </row>
    <row r="5696">
      <c r="A5696" s="134" t="str">
        <f>IFERROR(__xludf.DUMMYFUNCTION("""COMPUTED_VALUE"""),"Mvuu Camp")</f>
        <v>Mvuu Camp</v>
      </c>
      <c r="B5696" s="120" t="str">
        <f>IFERROR(__xludf.DUMMYFUNCTION("""COMPUTED_VALUE"""),"VUU")</f>
        <v>VUU</v>
      </c>
      <c r="C5696" s="120" t="str">
        <f>IFERROR(__xludf.DUMMYFUNCTION("""COMPUTED_VALUE"""),"Mvuu Camp")</f>
        <v>Mvuu Camp</v>
      </c>
      <c r="D5696" s="120" t="str">
        <f>IFERROR(__xludf.DUMMYFUNCTION("""COMPUTED_VALUE"""),"Malawi")</f>
        <v>Malawi</v>
      </c>
      <c r="E5696" s="135"/>
      <c r="F5696" s="31"/>
    </row>
    <row r="5697">
      <c r="A5697" s="134" t="str">
        <f>IFERROR(__xludf.DUMMYFUNCTION("""COMPUTED_VALUE"""),"Mwadui")</f>
        <v>Mwadui</v>
      </c>
      <c r="B5697" s="120" t="str">
        <f>IFERROR(__xludf.DUMMYFUNCTION("""COMPUTED_VALUE"""),"MWN")</f>
        <v>MWN</v>
      </c>
      <c r="C5697" s="120" t="str">
        <f>IFERROR(__xludf.DUMMYFUNCTION("""COMPUTED_VALUE"""),"Mwadui")</f>
        <v>Mwadui</v>
      </c>
      <c r="D5697" s="120" t="str">
        <f>IFERROR(__xludf.DUMMYFUNCTION("""COMPUTED_VALUE"""),"Tanzania")</f>
        <v>Tanzania</v>
      </c>
      <c r="E5697" s="135"/>
      <c r="F5697" s="31"/>
    </row>
    <row r="5698">
      <c r="A5698" s="134" t="str">
        <f>IFERROR(__xludf.DUMMYFUNCTION("""COMPUTED_VALUE"""),"Mwanza")</f>
        <v>Mwanza</v>
      </c>
      <c r="B5698" s="120" t="str">
        <f>IFERROR(__xludf.DUMMYFUNCTION("""COMPUTED_VALUE"""),"MWZ")</f>
        <v>MWZ</v>
      </c>
      <c r="C5698" s="120" t="str">
        <f>IFERROR(__xludf.DUMMYFUNCTION("""COMPUTED_VALUE"""),"Mwanza")</f>
        <v>Mwanza</v>
      </c>
      <c r="D5698" s="120" t="str">
        <f>IFERROR(__xludf.DUMMYFUNCTION("""COMPUTED_VALUE"""),"Tanzania")</f>
        <v>Tanzania</v>
      </c>
      <c r="E5698" s="135"/>
      <c r="F5698" s="31"/>
    </row>
    <row r="5699">
      <c r="A5699" s="134" t="str">
        <f>IFERROR(__xludf.DUMMYFUNCTION("""COMPUTED_VALUE"""),"Mweka")</f>
        <v>Mweka</v>
      </c>
      <c r="B5699" s="120" t="str">
        <f>IFERROR(__xludf.DUMMYFUNCTION("""COMPUTED_VALUE"""),"MEW")</f>
        <v>MEW</v>
      </c>
      <c r="C5699" s="120" t="str">
        <f>IFERROR(__xludf.DUMMYFUNCTION("""COMPUTED_VALUE"""),"Mweka")</f>
        <v>Mweka</v>
      </c>
      <c r="D5699" s="120" t="str">
        <f>IFERROR(__xludf.DUMMYFUNCTION("""COMPUTED_VALUE"""),"Zaire")</f>
        <v>Zaire</v>
      </c>
      <c r="E5699" s="135"/>
      <c r="F5699" s="31"/>
    </row>
    <row r="5700">
      <c r="A5700" s="134" t="str">
        <f>IFERROR(__xludf.DUMMYFUNCTION("""COMPUTED_VALUE"""),"Myeik")</f>
        <v>Myeik</v>
      </c>
      <c r="B5700" s="120" t="str">
        <f>IFERROR(__xludf.DUMMYFUNCTION("""COMPUTED_VALUE"""),"MGZ")</f>
        <v>MGZ</v>
      </c>
      <c r="C5700" s="120" t="str">
        <f>IFERROR(__xludf.DUMMYFUNCTION("""COMPUTED_VALUE"""),"Myeik")</f>
        <v>Myeik</v>
      </c>
      <c r="D5700" s="120" t="str">
        <f>IFERROR(__xludf.DUMMYFUNCTION("""COMPUTED_VALUE"""),"Myanmar")</f>
        <v>Myanmar</v>
      </c>
      <c r="E5700" s="135"/>
      <c r="F5700" s="31"/>
    </row>
    <row r="5701">
      <c r="A5701" s="134" t="str">
        <f>IFERROR(__xludf.DUMMYFUNCTION("""COMPUTED_VALUE"""),"Myitkyina")</f>
        <v>Myitkyina</v>
      </c>
      <c r="B5701" s="120" t="str">
        <f>IFERROR(__xludf.DUMMYFUNCTION("""COMPUTED_VALUE"""),"MYT")</f>
        <v>MYT</v>
      </c>
      <c r="C5701" s="120" t="str">
        <f>IFERROR(__xludf.DUMMYFUNCTION("""COMPUTED_VALUE"""),"Myitkyina")</f>
        <v>Myitkyina</v>
      </c>
      <c r="D5701" s="120" t="str">
        <f>IFERROR(__xludf.DUMMYFUNCTION("""COMPUTED_VALUE"""),"Myanmar")</f>
        <v>Myanmar</v>
      </c>
      <c r="E5701" s="135"/>
      <c r="F5701" s="31"/>
    </row>
    <row r="5702">
      <c r="A5702" s="134" t="str">
        <f>IFERROR(__xludf.DUMMYFUNCTION("""COMPUTED_VALUE"""),"Myroodah")</f>
        <v>Myroodah</v>
      </c>
      <c r="B5702" s="120" t="str">
        <f>IFERROR(__xludf.DUMMYFUNCTION("""COMPUTED_VALUE"""),"MYO")</f>
        <v>MYO</v>
      </c>
      <c r="C5702" s="120" t="str">
        <f>IFERROR(__xludf.DUMMYFUNCTION("""COMPUTED_VALUE"""),"Myroodah")</f>
        <v>Myroodah</v>
      </c>
      <c r="D5702" s="120" t="str">
        <f>IFERROR(__xludf.DUMMYFUNCTION("""COMPUTED_VALUE"""),"Australia")</f>
        <v>Australia</v>
      </c>
      <c r="E5702" s="135"/>
      <c r="F5702" s="31"/>
    </row>
    <row r="5703">
      <c r="A5703" s="134" t="str">
        <f>IFERROR(__xludf.DUMMYFUNCTION("""COMPUTED_VALUE"""),"Myrtle Beach")</f>
        <v>Myrtle Beach</v>
      </c>
      <c r="B5703" s="120" t="str">
        <f>IFERROR(__xludf.DUMMYFUNCTION("""COMPUTED_VALUE"""),"CRE")</f>
        <v>CRE</v>
      </c>
      <c r="C5703" s="120" t="str">
        <f>IFERROR(__xludf.DUMMYFUNCTION("""COMPUTED_VALUE"""),"Grand Strand Airport")</f>
        <v>Grand Strand Airport</v>
      </c>
      <c r="D5703" s="120" t="str">
        <f>IFERROR(__xludf.DUMMYFUNCTION("""COMPUTED_VALUE"""),"United States")</f>
        <v>United States</v>
      </c>
      <c r="E5703" s="135"/>
      <c r="F5703" s="31"/>
    </row>
    <row r="5704">
      <c r="A5704" s="134" t="str">
        <f>IFERROR(__xludf.DUMMYFUNCTION("""COMPUTED_VALUE"""),"Myrtle Beach")</f>
        <v>Myrtle Beach</v>
      </c>
      <c r="B5704" s="120" t="str">
        <f>IFERROR(__xludf.DUMMYFUNCTION("""COMPUTED_VALUE"""),"MYR")</f>
        <v>MYR</v>
      </c>
      <c r="C5704" s="120" t="str">
        <f>IFERROR(__xludf.DUMMYFUNCTION("""COMPUTED_VALUE"""),"Myrtle Beach AFB")</f>
        <v>Myrtle Beach AFB</v>
      </c>
      <c r="D5704" s="120" t="str">
        <f>IFERROR(__xludf.DUMMYFUNCTION("""COMPUTED_VALUE"""),"United States")</f>
        <v>United States</v>
      </c>
      <c r="E5704" s="135"/>
      <c r="F5704" s="31"/>
    </row>
    <row r="5705">
      <c r="A5705" s="134" t="str">
        <f>IFERROR(__xludf.DUMMYFUNCTION("""COMPUTED_VALUE"""),"Mysore")</f>
        <v>Mysore</v>
      </c>
      <c r="B5705" s="120" t="str">
        <f>IFERROR(__xludf.DUMMYFUNCTION("""COMPUTED_VALUE"""),"MYQ")</f>
        <v>MYQ</v>
      </c>
      <c r="C5705" s="120" t="str">
        <f>IFERROR(__xludf.DUMMYFUNCTION("""COMPUTED_VALUE"""),"Mysore")</f>
        <v>Mysore</v>
      </c>
      <c r="D5705" s="120" t="str">
        <f>IFERROR(__xludf.DUMMYFUNCTION("""COMPUTED_VALUE"""),"India")</f>
        <v>India</v>
      </c>
      <c r="E5705" s="135"/>
      <c r="F5705" s="31"/>
    </row>
    <row r="5706">
      <c r="A5706" s="134" t="str">
        <f>IFERROR(__xludf.DUMMYFUNCTION("""COMPUTED_VALUE"""),"Mytilene")</f>
        <v>Mytilene</v>
      </c>
      <c r="B5706" s="120" t="str">
        <f>IFERROR(__xludf.DUMMYFUNCTION("""COMPUTED_VALUE"""),"MJT")</f>
        <v>MJT</v>
      </c>
      <c r="C5706" s="120" t="str">
        <f>IFERROR(__xludf.DUMMYFUNCTION("""COMPUTED_VALUE"""),"Mytilene")</f>
        <v>Mytilene</v>
      </c>
      <c r="D5706" s="120" t="str">
        <f>IFERROR(__xludf.DUMMYFUNCTION("""COMPUTED_VALUE"""),"Greece")</f>
        <v>Greece</v>
      </c>
      <c r="E5706" s="135"/>
      <c r="F5706" s="31"/>
    </row>
    <row r="5707">
      <c r="A5707" s="134" t="str">
        <f>IFERROR(__xludf.DUMMYFUNCTION("""COMPUTED_VALUE"""),"Myvatn")</f>
        <v>Myvatn</v>
      </c>
      <c r="B5707" s="120" t="str">
        <f>IFERROR(__xludf.DUMMYFUNCTION("""COMPUTED_VALUE"""),"MVA")</f>
        <v>MVA</v>
      </c>
      <c r="C5707" s="120" t="str">
        <f>IFERROR(__xludf.DUMMYFUNCTION("""COMPUTED_VALUE"""),"Reykiahlid")</f>
        <v>Reykiahlid</v>
      </c>
      <c r="D5707" s="120" t="str">
        <f>IFERROR(__xludf.DUMMYFUNCTION("""COMPUTED_VALUE"""),"Iceland")</f>
        <v>Iceland</v>
      </c>
      <c r="E5707" s="135"/>
      <c r="F5707" s="31"/>
    </row>
    <row r="5708">
      <c r="A5708" s="134" t="str">
        <f>IFERROR(__xludf.DUMMYFUNCTION("""COMPUTED_VALUE"""),"Mzamba(Wild Coast Sun)")</f>
        <v>Mzamba(Wild Coast Sun)</v>
      </c>
      <c r="B5708" s="120" t="str">
        <f>IFERROR(__xludf.DUMMYFUNCTION("""COMPUTED_VALUE"""),"MZF")</f>
        <v>MZF</v>
      </c>
      <c r="C5708" s="120" t="str">
        <f>IFERROR(__xludf.DUMMYFUNCTION("""COMPUTED_VALUE"""),"Mzamba(Wild Coast Sun)")</f>
        <v>Mzamba(Wild Coast Sun)</v>
      </c>
      <c r="D5708" s="120" t="str">
        <f>IFERROR(__xludf.DUMMYFUNCTION("""COMPUTED_VALUE"""),"South Africa")</f>
        <v>South Africa</v>
      </c>
      <c r="E5708" s="135"/>
      <c r="F5708" s="31"/>
    </row>
    <row r="5709">
      <c r="A5709" s="134" t="str">
        <f>IFERROR(__xludf.DUMMYFUNCTION("""COMPUTED_VALUE"""),"Mzuzu")</f>
        <v>Mzuzu</v>
      </c>
      <c r="B5709" s="120" t="str">
        <f>IFERROR(__xludf.DUMMYFUNCTION("""COMPUTED_VALUE"""),"ZZU")</f>
        <v>ZZU</v>
      </c>
      <c r="C5709" s="120" t="str">
        <f>IFERROR(__xludf.DUMMYFUNCTION("""COMPUTED_VALUE"""),"Mzuzu")</f>
        <v>Mzuzu</v>
      </c>
      <c r="D5709" s="120" t="str">
        <f>IFERROR(__xludf.DUMMYFUNCTION("""COMPUTED_VALUE"""),"Malawi")</f>
        <v>Malawi</v>
      </c>
      <c r="E5709" s="135"/>
      <c r="F5709" s="31"/>
    </row>
    <row r="5710">
      <c r="A5710" s="134" t="str">
        <f>IFERROR(__xludf.DUMMYFUNCTION("""COMPUTED_VALUE"""),"N. Sound/Virgin Gorda")</f>
        <v>N. Sound/Virgin Gorda</v>
      </c>
      <c r="B5710" s="120" t="str">
        <f>IFERROR(__xludf.DUMMYFUNCTION("""COMPUTED_VALUE"""),"NSX")</f>
        <v>NSX</v>
      </c>
      <c r="C5710" s="120" t="str">
        <f>IFERROR(__xludf.DUMMYFUNCTION("""COMPUTED_VALUE"""),"Hovercraft/Launch Pt")</f>
        <v>Hovercraft/Launch Pt</v>
      </c>
      <c r="D5710" s="120" t="str">
        <f>IFERROR(__xludf.DUMMYFUNCTION("""COMPUTED_VALUE"""),"Virgin Islands (British)")</f>
        <v>Virgin Islands (British)</v>
      </c>
      <c r="E5710" s="135"/>
      <c r="F5710" s="31"/>
    </row>
    <row r="5711">
      <c r="A5711" s="134" t="str">
        <f>IFERROR(__xludf.DUMMYFUNCTION("""COMPUTED_VALUE"""),"Naberevnye Chelny")</f>
        <v>Naberevnye Chelny</v>
      </c>
      <c r="B5711" s="120" t="str">
        <f>IFERROR(__xludf.DUMMYFUNCTION("""COMPUTED_VALUE"""),"NBC")</f>
        <v>NBC</v>
      </c>
      <c r="C5711" s="120" t="str">
        <f>IFERROR(__xludf.DUMMYFUNCTION("""COMPUTED_VALUE"""),"Naberevnye Chelny")</f>
        <v>Naberevnye Chelny</v>
      </c>
      <c r="D5711" s="120" t="str">
        <f>IFERROR(__xludf.DUMMYFUNCTION("""COMPUTED_VALUE"""),"Russia")</f>
        <v>Russia</v>
      </c>
      <c r="E5711" s="135"/>
      <c r="F5711" s="31"/>
    </row>
    <row r="5712">
      <c r="A5712" s="134" t="str">
        <f>IFERROR(__xludf.DUMMYFUNCTION("""COMPUTED_VALUE"""),"Nabire")</f>
        <v>Nabire</v>
      </c>
      <c r="B5712" s="120" t="str">
        <f>IFERROR(__xludf.DUMMYFUNCTION("""COMPUTED_VALUE"""),"NBX")</f>
        <v>NBX</v>
      </c>
      <c r="C5712" s="120" t="str">
        <f>IFERROR(__xludf.DUMMYFUNCTION("""COMPUTED_VALUE"""),"Nabire")</f>
        <v>Nabire</v>
      </c>
      <c r="D5712" s="120" t="str">
        <f>IFERROR(__xludf.DUMMYFUNCTION("""COMPUTED_VALUE"""),"Indonesia")</f>
        <v>Indonesia</v>
      </c>
      <c r="E5712" s="135"/>
      <c r="F5712" s="31"/>
    </row>
    <row r="5713">
      <c r="A5713" s="134" t="str">
        <f>IFERROR(__xludf.DUMMYFUNCTION("""COMPUTED_VALUE"""),"Nacala")</f>
        <v>Nacala</v>
      </c>
      <c r="B5713" s="120" t="str">
        <f>IFERROR(__xludf.DUMMYFUNCTION("""COMPUTED_VALUE"""),"MNC")</f>
        <v>MNC</v>
      </c>
      <c r="C5713" s="120" t="str">
        <f>IFERROR(__xludf.DUMMYFUNCTION("""COMPUTED_VALUE"""),"Nacala")</f>
        <v>Nacala</v>
      </c>
      <c r="D5713" s="120" t="str">
        <f>IFERROR(__xludf.DUMMYFUNCTION("""COMPUTED_VALUE"""),"Mozambique")</f>
        <v>Mozambique</v>
      </c>
      <c r="E5713" s="135"/>
      <c r="F5713" s="31"/>
    </row>
    <row r="5714">
      <c r="A5714" s="134" t="str">
        <f>IFERROR(__xludf.DUMMYFUNCTION("""COMPUTED_VALUE"""),"Nachingwea")</f>
        <v>Nachingwea</v>
      </c>
      <c r="B5714" s="120" t="str">
        <f>IFERROR(__xludf.DUMMYFUNCTION("""COMPUTED_VALUE"""),"NCH")</f>
        <v>NCH</v>
      </c>
      <c r="C5714" s="120" t="str">
        <f>IFERROR(__xludf.DUMMYFUNCTION("""COMPUTED_VALUE"""),"Nachingwea")</f>
        <v>Nachingwea</v>
      </c>
      <c r="D5714" s="120" t="str">
        <f>IFERROR(__xludf.DUMMYFUNCTION("""COMPUTED_VALUE"""),"Tanzania")</f>
        <v>Tanzania</v>
      </c>
      <c r="E5714" s="135"/>
      <c r="F5714" s="31"/>
    </row>
    <row r="5715">
      <c r="A5715" s="134" t="str">
        <f>IFERROR(__xludf.DUMMYFUNCTION("""COMPUTED_VALUE"""),"Nacogdoches")</f>
        <v>Nacogdoches</v>
      </c>
      <c r="B5715" s="120" t="str">
        <f>IFERROR(__xludf.DUMMYFUNCTION("""COMPUTED_VALUE"""),"OCH")</f>
        <v>OCH</v>
      </c>
      <c r="C5715" s="120" t="str">
        <f>IFERROR(__xludf.DUMMYFUNCTION("""COMPUTED_VALUE"""),"Nacogdoches")</f>
        <v>Nacogdoches</v>
      </c>
      <c r="D5715" s="120" t="str">
        <f>IFERROR(__xludf.DUMMYFUNCTION("""COMPUTED_VALUE"""),"United States")</f>
        <v>United States</v>
      </c>
      <c r="E5715" s="135"/>
      <c r="F5715" s="31"/>
    </row>
    <row r="5716">
      <c r="A5716" s="134" t="str">
        <f>IFERROR(__xludf.DUMMYFUNCTION("""COMPUTED_VALUE"""),"Nacogdoches")</f>
        <v>Nacogdoches</v>
      </c>
      <c r="B5716" s="120" t="str">
        <f>IFERROR(__xludf.DUMMYFUNCTION("""COMPUTED_VALUE"""),"LFK")</f>
        <v>LFK</v>
      </c>
      <c r="C5716" s="120" t="str">
        <f>IFERROR(__xludf.DUMMYFUNCTION("""COMPUTED_VALUE"""),"Lufkin Angelina County")</f>
        <v>Lufkin Angelina County</v>
      </c>
      <c r="D5716" s="120" t="str">
        <f>IFERROR(__xludf.DUMMYFUNCTION("""COMPUTED_VALUE"""),"United States")</f>
        <v>United States</v>
      </c>
      <c r="E5716" s="135"/>
      <c r="F5716" s="31"/>
    </row>
    <row r="5717">
      <c r="A5717" s="134" t="str">
        <f>IFERROR(__xludf.DUMMYFUNCTION("""COMPUTED_VALUE"""),"Nadi")</f>
        <v>Nadi</v>
      </c>
      <c r="B5717" s="120" t="str">
        <f>IFERROR(__xludf.DUMMYFUNCTION("""COMPUTED_VALUE"""),"NAN")</f>
        <v>NAN</v>
      </c>
      <c r="C5717" s="120" t="str">
        <f>IFERROR(__xludf.DUMMYFUNCTION("""COMPUTED_VALUE"""),"International")</f>
        <v>International</v>
      </c>
      <c r="D5717" s="120" t="str">
        <f>IFERROR(__xludf.DUMMYFUNCTION("""COMPUTED_VALUE"""),"Fiji")</f>
        <v>Fiji</v>
      </c>
      <c r="E5717" s="135"/>
      <c r="F5717" s="31"/>
    </row>
    <row r="5718">
      <c r="A5718" s="134" t="str">
        <f>IFERROR(__xludf.DUMMYFUNCTION("""COMPUTED_VALUE"""),"Nador")</f>
        <v>Nador</v>
      </c>
      <c r="B5718" s="120" t="str">
        <f>IFERROR(__xludf.DUMMYFUNCTION("""COMPUTED_VALUE"""),"NDR")</f>
        <v>NDR</v>
      </c>
      <c r="C5718" s="120" t="str">
        <f>IFERROR(__xludf.DUMMYFUNCTION("""COMPUTED_VALUE"""),"Nador")</f>
        <v>Nador</v>
      </c>
      <c r="D5718" s="120" t="str">
        <f>IFERROR(__xludf.DUMMYFUNCTION("""COMPUTED_VALUE"""),"Morocco")</f>
        <v>Morocco</v>
      </c>
      <c r="E5718" s="135"/>
      <c r="F5718" s="31"/>
    </row>
    <row r="5719">
      <c r="A5719" s="134" t="str">
        <f>IFERROR(__xludf.DUMMYFUNCTION("""COMPUTED_VALUE"""),"Nadunumu")</f>
        <v>Nadunumu</v>
      </c>
      <c r="B5719" s="120" t="str">
        <f>IFERROR(__xludf.DUMMYFUNCTION("""COMPUTED_VALUE"""),"NDN")</f>
        <v>NDN</v>
      </c>
      <c r="C5719" s="120" t="str">
        <f>IFERROR(__xludf.DUMMYFUNCTION("""COMPUTED_VALUE"""),"Nadunumu")</f>
        <v>Nadunumu</v>
      </c>
      <c r="D5719" s="120" t="str">
        <f>IFERROR(__xludf.DUMMYFUNCTION("""COMPUTED_VALUE"""),"Papua New Guinea")</f>
        <v>Papua New Guinea</v>
      </c>
      <c r="E5719" s="135"/>
      <c r="F5719" s="31"/>
    </row>
    <row r="5720">
      <c r="A5720" s="134" t="str">
        <f>IFERROR(__xludf.DUMMYFUNCTION("""COMPUTED_VALUE"""),"Nadym")</f>
        <v>Nadym</v>
      </c>
      <c r="B5720" s="120" t="str">
        <f>IFERROR(__xludf.DUMMYFUNCTION("""COMPUTED_VALUE"""),"NYM")</f>
        <v>NYM</v>
      </c>
      <c r="C5720" s="120" t="str">
        <f>IFERROR(__xludf.DUMMYFUNCTION("""COMPUTED_VALUE"""),"Nadym")</f>
        <v>Nadym</v>
      </c>
      <c r="D5720" s="120" t="str">
        <f>IFERROR(__xludf.DUMMYFUNCTION("""COMPUTED_VALUE"""),"Russia")</f>
        <v>Russia</v>
      </c>
      <c r="E5720" s="135"/>
      <c r="F5720" s="31"/>
    </row>
    <row r="5721">
      <c r="A5721" s="134" t="str">
        <f>IFERROR(__xludf.DUMMYFUNCTION("""COMPUTED_VALUE"""),"Nafoora")</f>
        <v>Nafoora</v>
      </c>
      <c r="B5721" s="120" t="str">
        <f>IFERROR(__xludf.DUMMYFUNCTION("""COMPUTED_VALUE"""),"NFR")</f>
        <v>NFR</v>
      </c>
      <c r="C5721" s="120" t="str">
        <f>IFERROR(__xludf.DUMMYFUNCTION("""COMPUTED_VALUE"""),"Nafoora")</f>
        <v>Nafoora</v>
      </c>
      <c r="D5721" s="120" t="str">
        <f>IFERROR(__xludf.DUMMYFUNCTION("""COMPUTED_VALUE"""),"Libya")</f>
        <v>Libya</v>
      </c>
      <c r="E5721" s="135"/>
      <c r="F5721" s="31"/>
    </row>
    <row r="5722">
      <c r="A5722" s="134" t="str">
        <f>IFERROR(__xludf.DUMMYFUNCTION("""COMPUTED_VALUE"""),"Naga")</f>
        <v>Naga</v>
      </c>
      <c r="B5722" s="120" t="str">
        <f>IFERROR(__xludf.DUMMYFUNCTION("""COMPUTED_VALUE"""),"WNP")</f>
        <v>WNP</v>
      </c>
      <c r="C5722" s="120" t="str">
        <f>IFERROR(__xludf.DUMMYFUNCTION("""COMPUTED_VALUE"""),"Naga")</f>
        <v>Naga</v>
      </c>
      <c r="D5722" s="120" t="str">
        <f>IFERROR(__xludf.DUMMYFUNCTION("""COMPUTED_VALUE"""),"Philippines")</f>
        <v>Philippines</v>
      </c>
      <c r="E5722" s="135"/>
      <c r="F5722" s="31"/>
    </row>
    <row r="5723">
      <c r="A5723" s="134" t="str">
        <f>IFERROR(__xludf.DUMMYFUNCTION("""COMPUTED_VALUE"""),"Nagasaki")</f>
        <v>Nagasaki</v>
      </c>
      <c r="B5723" s="120" t="str">
        <f>IFERROR(__xludf.DUMMYFUNCTION("""COMPUTED_VALUE"""),"NGS")</f>
        <v>NGS</v>
      </c>
      <c r="C5723" s="120" t="str">
        <f>IFERROR(__xludf.DUMMYFUNCTION("""COMPUTED_VALUE"""),"Nagasaki")</f>
        <v>Nagasaki</v>
      </c>
      <c r="D5723" s="120" t="str">
        <f>IFERROR(__xludf.DUMMYFUNCTION("""COMPUTED_VALUE"""),"Japan")</f>
        <v>Japan</v>
      </c>
      <c r="E5723" s="135"/>
      <c r="F5723" s="31"/>
    </row>
    <row r="5724">
      <c r="A5724" s="134" t="str">
        <f>IFERROR(__xludf.DUMMYFUNCTION("""COMPUTED_VALUE"""),"Nagoya")</f>
        <v>Nagoya</v>
      </c>
      <c r="B5724" s="120" t="str">
        <f>IFERROR(__xludf.DUMMYFUNCTION("""COMPUTED_VALUE"""),"NKM")</f>
        <v>NKM</v>
      </c>
      <c r="C5724" s="120" t="str">
        <f>IFERROR(__xludf.DUMMYFUNCTION("""COMPUTED_VALUE"""),"Komaki AFB")</f>
        <v>Komaki AFB</v>
      </c>
      <c r="D5724" s="120" t="str">
        <f>IFERROR(__xludf.DUMMYFUNCTION("""COMPUTED_VALUE"""),"Japan")</f>
        <v>Japan</v>
      </c>
      <c r="E5724" s="135"/>
      <c r="F5724" s="31"/>
    </row>
    <row r="5725">
      <c r="A5725" s="134" t="str">
        <f>IFERROR(__xludf.DUMMYFUNCTION("""COMPUTED_VALUE"""),"Nagpur")</f>
        <v>Nagpur</v>
      </c>
      <c r="B5725" s="120" t="str">
        <f>IFERROR(__xludf.DUMMYFUNCTION("""COMPUTED_VALUE"""),"NAG")</f>
        <v>NAG</v>
      </c>
      <c r="C5725" s="120" t="str">
        <f>IFERROR(__xludf.DUMMYFUNCTION("""COMPUTED_VALUE"""),"Sonegaon")</f>
        <v>Sonegaon</v>
      </c>
      <c r="D5725" s="120" t="str">
        <f>IFERROR(__xludf.DUMMYFUNCTION("""COMPUTED_VALUE"""),"India")</f>
        <v>India</v>
      </c>
      <c r="E5725" s="135"/>
      <c r="F5725" s="31"/>
    </row>
    <row r="5726">
      <c r="A5726" s="134" t="str">
        <f>IFERROR(__xludf.DUMMYFUNCTION("""COMPUTED_VALUE"""),"Naha")</f>
        <v>Naha</v>
      </c>
      <c r="B5726" s="120" t="str">
        <f>IFERROR(__xludf.DUMMYFUNCTION("""COMPUTED_VALUE"""),"NAH")</f>
        <v>NAH</v>
      </c>
      <c r="C5726" s="120" t="str">
        <f>IFERROR(__xludf.DUMMYFUNCTION("""COMPUTED_VALUE"""),"Naha")</f>
        <v>Naha</v>
      </c>
      <c r="D5726" s="120" t="str">
        <f>IFERROR(__xludf.DUMMYFUNCTION("""COMPUTED_VALUE"""),"Indonesia")</f>
        <v>Indonesia</v>
      </c>
      <c r="E5726" s="135"/>
      <c r="F5726" s="31"/>
    </row>
    <row r="5727">
      <c r="A5727" s="134" t="str">
        <f>IFERROR(__xludf.DUMMYFUNCTION("""COMPUTED_VALUE"""),"Nain")</f>
        <v>Nain</v>
      </c>
      <c r="B5727" s="120" t="str">
        <f>IFERROR(__xludf.DUMMYFUNCTION("""COMPUTED_VALUE"""),"YDP")</f>
        <v>YDP</v>
      </c>
      <c r="C5727" s="120" t="str">
        <f>IFERROR(__xludf.DUMMYFUNCTION("""COMPUTED_VALUE"""),"Nain")</f>
        <v>Nain</v>
      </c>
      <c r="D5727" s="120" t="str">
        <f>IFERROR(__xludf.DUMMYFUNCTION("""COMPUTED_VALUE"""),"Canada")</f>
        <v>Canada</v>
      </c>
      <c r="E5727" s="135"/>
      <c r="F5727" s="31"/>
    </row>
    <row r="5728">
      <c r="A5728" s="134" t="str">
        <f>IFERROR(__xludf.DUMMYFUNCTION("""COMPUTED_VALUE"""),"Nairobi")</f>
        <v>Nairobi</v>
      </c>
      <c r="B5728" s="120" t="str">
        <f>IFERROR(__xludf.DUMMYFUNCTION("""COMPUTED_VALUE"""),"NBO")</f>
        <v>NBO</v>
      </c>
      <c r="C5728" s="120" t="str">
        <f>IFERROR(__xludf.DUMMYFUNCTION("""COMPUTED_VALUE"""),"Jomo Kenyatta International")</f>
        <v>Jomo Kenyatta International</v>
      </c>
      <c r="D5728" s="120" t="str">
        <f>IFERROR(__xludf.DUMMYFUNCTION("""COMPUTED_VALUE"""),"Kenya")</f>
        <v>Kenya</v>
      </c>
      <c r="E5728" s="135"/>
      <c r="F5728" s="31"/>
    </row>
    <row r="5729">
      <c r="A5729" s="134" t="str">
        <f>IFERROR(__xludf.DUMMYFUNCTION("""COMPUTED_VALUE"""),"Nairobi")</f>
        <v>Nairobi</v>
      </c>
      <c r="B5729" s="120" t="str">
        <f>IFERROR(__xludf.DUMMYFUNCTION("""COMPUTED_VALUE"""),"WIL")</f>
        <v>WIL</v>
      </c>
      <c r="C5729" s="120" t="str">
        <f>IFERROR(__xludf.DUMMYFUNCTION("""COMPUTED_VALUE"""),"Wilson")</f>
        <v>Wilson</v>
      </c>
      <c r="D5729" s="120" t="str">
        <f>IFERROR(__xludf.DUMMYFUNCTION("""COMPUTED_VALUE"""),"Kenya")</f>
        <v>Kenya</v>
      </c>
      <c r="E5729" s="135"/>
      <c r="F5729" s="31"/>
    </row>
    <row r="5730">
      <c r="A5730" s="134" t="str">
        <f>IFERROR(__xludf.DUMMYFUNCTION("""COMPUTED_VALUE"""),"Nakashibetsu")</f>
        <v>Nakashibetsu</v>
      </c>
      <c r="B5730" s="120" t="str">
        <f>IFERROR(__xludf.DUMMYFUNCTION("""COMPUTED_VALUE"""),"SHB")</f>
        <v>SHB</v>
      </c>
      <c r="C5730" s="120" t="str">
        <f>IFERROR(__xludf.DUMMYFUNCTION("""COMPUTED_VALUE"""),"Nakashibetsu")</f>
        <v>Nakashibetsu</v>
      </c>
      <c r="D5730" s="120" t="str">
        <f>IFERROR(__xludf.DUMMYFUNCTION("""COMPUTED_VALUE"""),"Japan")</f>
        <v>Japan</v>
      </c>
      <c r="E5730" s="135"/>
      <c r="F5730" s="31"/>
    </row>
    <row r="5731">
      <c r="A5731" s="134" t="str">
        <f>IFERROR(__xludf.DUMMYFUNCTION("""COMPUTED_VALUE"""),"Nakhichevan")</f>
        <v>Nakhichevan</v>
      </c>
      <c r="B5731" s="120" t="str">
        <f>IFERROR(__xludf.DUMMYFUNCTION("""COMPUTED_VALUE"""),"NAJ")</f>
        <v>NAJ</v>
      </c>
      <c r="C5731" s="120" t="str">
        <f>IFERROR(__xludf.DUMMYFUNCTION("""COMPUTED_VALUE"""),"Nakhichevan")</f>
        <v>Nakhichevan</v>
      </c>
      <c r="D5731" s="120" t="str">
        <f>IFERROR(__xludf.DUMMYFUNCTION("""COMPUTED_VALUE"""),"Azerbaijan")</f>
        <v>Azerbaijan</v>
      </c>
      <c r="E5731" s="135"/>
      <c r="F5731" s="31"/>
    </row>
    <row r="5732">
      <c r="A5732" s="134" t="str">
        <f>IFERROR(__xludf.DUMMYFUNCTION("""COMPUTED_VALUE"""),"Nakhon Phanom")</f>
        <v>Nakhon Phanom</v>
      </c>
      <c r="B5732" s="120" t="str">
        <f>IFERROR(__xludf.DUMMYFUNCTION("""COMPUTED_VALUE"""),"KOP")</f>
        <v>KOP</v>
      </c>
      <c r="C5732" s="120" t="str">
        <f>IFERROR(__xludf.DUMMYFUNCTION("""COMPUTED_VALUE"""),"Nakhon Phanom")</f>
        <v>Nakhon Phanom</v>
      </c>
      <c r="D5732" s="120" t="str">
        <f>IFERROR(__xludf.DUMMYFUNCTION("""COMPUTED_VALUE"""),"Thailand")</f>
        <v>Thailand</v>
      </c>
      <c r="E5732" s="135"/>
      <c r="F5732" s="31"/>
    </row>
    <row r="5733">
      <c r="A5733" s="134" t="str">
        <f>IFERROR(__xludf.DUMMYFUNCTION("""COMPUTED_VALUE"""),"Nakhon Ratchasima")</f>
        <v>Nakhon Ratchasima</v>
      </c>
      <c r="B5733" s="120" t="str">
        <f>IFERROR(__xludf.DUMMYFUNCTION("""COMPUTED_VALUE"""),"NAK")</f>
        <v>NAK</v>
      </c>
      <c r="C5733" s="120" t="str">
        <f>IFERROR(__xludf.DUMMYFUNCTION("""COMPUTED_VALUE"""),"Nakhon Ratchasima")</f>
        <v>Nakhon Ratchasima</v>
      </c>
      <c r="D5733" s="120" t="str">
        <f>IFERROR(__xludf.DUMMYFUNCTION("""COMPUTED_VALUE"""),"Thailand")</f>
        <v>Thailand</v>
      </c>
      <c r="E5733" s="135"/>
      <c r="F5733" s="31"/>
    </row>
    <row r="5734">
      <c r="A5734" s="134" t="str">
        <f>IFERROR(__xludf.DUMMYFUNCTION("""COMPUTED_VALUE"""),"Nakhon Si Thammarat")</f>
        <v>Nakhon Si Thammarat</v>
      </c>
      <c r="B5734" s="120" t="str">
        <f>IFERROR(__xludf.DUMMYFUNCTION("""COMPUTED_VALUE"""),"NST")</f>
        <v>NST</v>
      </c>
      <c r="C5734" s="120" t="str">
        <f>IFERROR(__xludf.DUMMYFUNCTION("""COMPUTED_VALUE"""),"Nakhon Si Thammarat")</f>
        <v>Nakhon Si Thammarat</v>
      </c>
      <c r="D5734" s="120" t="str">
        <f>IFERROR(__xludf.DUMMYFUNCTION("""COMPUTED_VALUE"""),"Thailand")</f>
        <v>Thailand</v>
      </c>
      <c r="E5734" s="135"/>
      <c r="F5734" s="31"/>
    </row>
    <row r="5735">
      <c r="A5735" s="134" t="str">
        <f>IFERROR(__xludf.DUMMYFUNCTION("""COMPUTED_VALUE"""),"Nakina")</f>
        <v>Nakina</v>
      </c>
      <c r="B5735" s="120" t="str">
        <f>IFERROR(__xludf.DUMMYFUNCTION("""COMPUTED_VALUE"""),"YQN")</f>
        <v>YQN</v>
      </c>
      <c r="C5735" s="120" t="str">
        <f>IFERROR(__xludf.DUMMYFUNCTION("""COMPUTED_VALUE"""),"Nakina")</f>
        <v>Nakina</v>
      </c>
      <c r="D5735" s="120" t="str">
        <f>IFERROR(__xludf.DUMMYFUNCTION("""COMPUTED_VALUE"""),"Canada")</f>
        <v>Canada</v>
      </c>
      <c r="E5735" s="135"/>
      <c r="F5735" s="31"/>
    </row>
    <row r="5736">
      <c r="A5736" s="134" t="str">
        <f>IFERROR(__xludf.DUMMYFUNCTION("""COMPUTED_VALUE"""),"Naknek")</f>
        <v>Naknek</v>
      </c>
      <c r="B5736" s="120" t="str">
        <f>IFERROR(__xludf.DUMMYFUNCTION("""COMPUTED_VALUE"""),"NNK")</f>
        <v>NNK</v>
      </c>
      <c r="C5736" s="120" t="str">
        <f>IFERROR(__xludf.DUMMYFUNCTION("""COMPUTED_VALUE"""),"Naknek")</f>
        <v>Naknek</v>
      </c>
      <c r="D5736" s="120" t="str">
        <f>IFERROR(__xludf.DUMMYFUNCTION("""COMPUTED_VALUE"""),"United States")</f>
        <v>United States</v>
      </c>
      <c r="E5736" s="135"/>
      <c r="F5736" s="31"/>
    </row>
    <row r="5737">
      <c r="A5737" s="134" t="str">
        <f>IFERROR(__xludf.DUMMYFUNCTION("""COMPUTED_VALUE"""),"Nakolik River")</f>
        <v>Nakolik River</v>
      </c>
      <c r="B5737" s="120" t="str">
        <f>IFERROR(__xludf.DUMMYFUNCTION("""COMPUTED_VALUE"""),"NOL")</f>
        <v>NOL</v>
      </c>
      <c r="C5737" s="120" t="str">
        <f>IFERROR(__xludf.DUMMYFUNCTION("""COMPUTED_VALUE"""),"Nakolik River")</f>
        <v>Nakolik River</v>
      </c>
      <c r="D5737" s="120" t="str">
        <f>IFERROR(__xludf.DUMMYFUNCTION("""COMPUTED_VALUE"""),"United States")</f>
        <v>United States</v>
      </c>
      <c r="E5737" s="135"/>
      <c r="F5737" s="31"/>
    </row>
    <row r="5738">
      <c r="A5738" s="134" t="str">
        <f>IFERROR(__xludf.DUMMYFUNCTION("""COMPUTED_VALUE"""),"Nakuru")</f>
        <v>Nakuru</v>
      </c>
      <c r="B5738" s="120" t="str">
        <f>IFERROR(__xludf.DUMMYFUNCTION("""COMPUTED_VALUE"""),"NUU")</f>
        <v>NUU</v>
      </c>
      <c r="C5738" s="120" t="str">
        <f>IFERROR(__xludf.DUMMYFUNCTION("""COMPUTED_VALUE"""),"Nakuru")</f>
        <v>Nakuru</v>
      </c>
      <c r="D5738" s="120" t="str">
        <f>IFERROR(__xludf.DUMMYFUNCTION("""COMPUTED_VALUE"""),"Kenya")</f>
        <v>Kenya</v>
      </c>
      <c r="E5738" s="135"/>
      <c r="F5738" s="31"/>
    </row>
    <row r="5739">
      <c r="A5739" s="134" t="str">
        <f>IFERROR(__xludf.DUMMYFUNCTION("""COMPUTED_VALUE"""),"Nalchik")</f>
        <v>Nalchik</v>
      </c>
      <c r="B5739" s="120" t="str">
        <f>IFERROR(__xludf.DUMMYFUNCTION("""COMPUTED_VALUE"""),"NAL")</f>
        <v>NAL</v>
      </c>
      <c r="C5739" s="120" t="str">
        <f>IFERROR(__xludf.DUMMYFUNCTION("""COMPUTED_VALUE"""),"Nalchik")</f>
        <v>Nalchik</v>
      </c>
      <c r="D5739" s="120" t="str">
        <f>IFERROR(__xludf.DUMMYFUNCTION("""COMPUTED_VALUE"""),"Russia")</f>
        <v>Russia</v>
      </c>
      <c r="E5739" s="135"/>
      <c r="F5739" s="31"/>
    </row>
    <row r="5740">
      <c r="A5740" s="134" t="str">
        <f>IFERROR(__xludf.DUMMYFUNCTION("""COMPUTED_VALUE"""),"Namangan")</f>
        <v>Namangan</v>
      </c>
      <c r="B5740" s="120" t="str">
        <f>IFERROR(__xludf.DUMMYFUNCTION("""COMPUTED_VALUE"""),"NMA")</f>
        <v>NMA</v>
      </c>
      <c r="C5740" s="120" t="str">
        <f>IFERROR(__xludf.DUMMYFUNCTION("""COMPUTED_VALUE"""),"Namangan")</f>
        <v>Namangan</v>
      </c>
      <c r="D5740" s="120" t="str">
        <f>IFERROR(__xludf.DUMMYFUNCTION("""COMPUTED_VALUE"""),"Uzbekistan")</f>
        <v>Uzbekistan</v>
      </c>
      <c r="E5740" s="135"/>
      <c r="F5740" s="31"/>
    </row>
    <row r="5741">
      <c r="A5741" s="134" t="str">
        <f>IFERROR(__xludf.DUMMYFUNCTION("""COMPUTED_VALUE"""),"Namatanai")</f>
        <v>Namatanai</v>
      </c>
      <c r="B5741" s="120" t="str">
        <f>IFERROR(__xludf.DUMMYFUNCTION("""COMPUTED_VALUE"""),"ATN")</f>
        <v>ATN</v>
      </c>
      <c r="C5741" s="120" t="str">
        <f>IFERROR(__xludf.DUMMYFUNCTION("""COMPUTED_VALUE"""),"Namatanai")</f>
        <v>Namatanai</v>
      </c>
      <c r="D5741" s="120" t="str">
        <f>IFERROR(__xludf.DUMMYFUNCTION("""COMPUTED_VALUE"""),"Papua New Guinea")</f>
        <v>Papua New Guinea</v>
      </c>
      <c r="E5741" s="135"/>
      <c r="F5741" s="31"/>
    </row>
    <row r="5742">
      <c r="A5742" s="134" t="str">
        <f>IFERROR(__xludf.DUMMYFUNCTION("""COMPUTED_VALUE"""),"Nambaiyufa")</f>
        <v>Nambaiyufa</v>
      </c>
      <c r="B5742" s="120" t="str">
        <f>IFERROR(__xludf.DUMMYFUNCTION("""COMPUTED_VALUE"""),"NBA")</f>
        <v>NBA</v>
      </c>
      <c r="C5742" s="120" t="str">
        <f>IFERROR(__xludf.DUMMYFUNCTION("""COMPUTED_VALUE"""),"Nambaiyufa")</f>
        <v>Nambaiyufa</v>
      </c>
      <c r="D5742" s="120" t="str">
        <f>IFERROR(__xludf.DUMMYFUNCTION("""COMPUTED_VALUE"""),"Papua New Guinea")</f>
        <v>Papua New Guinea</v>
      </c>
      <c r="E5742" s="135"/>
      <c r="F5742" s="31"/>
    </row>
    <row r="5743">
      <c r="A5743" s="134" t="str">
        <f>IFERROR(__xludf.DUMMYFUNCTION("""COMPUTED_VALUE"""),"Nambour")</f>
        <v>Nambour</v>
      </c>
      <c r="B5743" s="120" t="str">
        <f>IFERROR(__xludf.DUMMYFUNCTION("""COMPUTED_VALUE"""),"NBR")</f>
        <v>NBR</v>
      </c>
      <c r="C5743" s="120" t="str">
        <f>IFERROR(__xludf.DUMMYFUNCTION("""COMPUTED_VALUE"""),"Nambour")</f>
        <v>Nambour</v>
      </c>
      <c r="D5743" s="120" t="str">
        <f>IFERROR(__xludf.DUMMYFUNCTION("""COMPUTED_VALUE"""),"Australia")</f>
        <v>Australia</v>
      </c>
      <c r="E5743" s="135"/>
      <c r="F5743" s="31"/>
    </row>
    <row r="5744">
      <c r="A5744" s="134" t="str">
        <f>IFERROR(__xludf.DUMMYFUNCTION("""COMPUTED_VALUE"""),"Nambucca Heads")</f>
        <v>Nambucca Heads</v>
      </c>
      <c r="B5744" s="120" t="str">
        <f>IFERROR(__xludf.DUMMYFUNCTION("""COMPUTED_VALUE"""),"NBH")</f>
        <v>NBH</v>
      </c>
      <c r="C5744" s="120" t="str">
        <f>IFERROR(__xludf.DUMMYFUNCTION("""COMPUTED_VALUE"""),"Nambucca Heads")</f>
        <v>Nambucca Heads</v>
      </c>
      <c r="D5744" s="120" t="str">
        <f>IFERROR(__xludf.DUMMYFUNCTION("""COMPUTED_VALUE"""),"Australia")</f>
        <v>Australia</v>
      </c>
      <c r="E5744" s="135"/>
      <c r="F5744" s="31"/>
    </row>
    <row r="5745">
      <c r="A5745" s="134" t="str">
        <f>IFERROR(__xludf.DUMMYFUNCTION("""COMPUTED_VALUE"""),"Namdrik Island")</f>
        <v>Namdrik Island</v>
      </c>
      <c r="B5745" s="120" t="str">
        <f>IFERROR(__xludf.DUMMYFUNCTION("""COMPUTED_VALUE"""),"NDK")</f>
        <v>NDK</v>
      </c>
      <c r="C5745" s="120" t="str">
        <f>IFERROR(__xludf.DUMMYFUNCTION("""COMPUTED_VALUE"""),"Namdrik Island")</f>
        <v>Namdrik Island</v>
      </c>
      <c r="D5745" s="120" t="str">
        <f>IFERROR(__xludf.DUMMYFUNCTION("""COMPUTED_VALUE"""),"Marshall Islands")</f>
        <v>Marshall Islands</v>
      </c>
      <c r="E5745" s="135"/>
      <c r="F5745" s="31"/>
    </row>
    <row r="5746">
      <c r="A5746" s="134" t="str">
        <f>IFERROR(__xludf.DUMMYFUNCTION("""COMPUTED_VALUE"""),"Namibe")</f>
        <v>Namibe</v>
      </c>
      <c r="B5746" s="120" t="str">
        <f>IFERROR(__xludf.DUMMYFUNCTION("""COMPUTED_VALUE"""),"MSZ")</f>
        <v>MSZ</v>
      </c>
      <c r="C5746" s="120" t="str">
        <f>IFERROR(__xludf.DUMMYFUNCTION("""COMPUTED_VALUE"""),"Namibe")</f>
        <v>Namibe</v>
      </c>
      <c r="D5746" s="120" t="str">
        <f>IFERROR(__xludf.DUMMYFUNCTION("""COMPUTED_VALUE"""),"Angola")</f>
        <v>Angola</v>
      </c>
      <c r="E5746" s="135"/>
      <c r="F5746" s="31"/>
    </row>
    <row r="5747">
      <c r="A5747" s="134" t="str">
        <f>IFERROR(__xludf.DUMMYFUNCTION("""COMPUTED_VALUE"""),"Namlea")</f>
        <v>Namlea</v>
      </c>
      <c r="B5747" s="120" t="str">
        <f>IFERROR(__xludf.DUMMYFUNCTION("""COMPUTED_VALUE"""),"NAM")</f>
        <v>NAM</v>
      </c>
      <c r="C5747" s="120" t="str">
        <f>IFERROR(__xludf.DUMMYFUNCTION("""COMPUTED_VALUE"""),"Namlea")</f>
        <v>Namlea</v>
      </c>
      <c r="D5747" s="120" t="str">
        <f>IFERROR(__xludf.DUMMYFUNCTION("""COMPUTED_VALUE"""),"Indonesia")</f>
        <v>Indonesia</v>
      </c>
      <c r="E5747" s="135"/>
      <c r="F5747" s="31"/>
    </row>
    <row r="5748">
      <c r="A5748" s="134" t="str">
        <f>IFERROR(__xludf.DUMMYFUNCTION("""COMPUTED_VALUE"""),"Nampula")</f>
        <v>Nampula</v>
      </c>
      <c r="B5748" s="120" t="str">
        <f>IFERROR(__xludf.DUMMYFUNCTION("""COMPUTED_VALUE"""),"APL")</f>
        <v>APL</v>
      </c>
      <c r="C5748" s="120" t="str">
        <f>IFERROR(__xludf.DUMMYFUNCTION("""COMPUTED_VALUE"""),"Nampula")</f>
        <v>Nampula</v>
      </c>
      <c r="D5748" s="120" t="str">
        <f>IFERROR(__xludf.DUMMYFUNCTION("""COMPUTED_VALUE"""),"Mozambique")</f>
        <v>Mozambique</v>
      </c>
      <c r="E5748" s="135"/>
      <c r="F5748" s="31"/>
    </row>
    <row r="5749">
      <c r="A5749" s="134" t="str">
        <f>IFERROR(__xludf.DUMMYFUNCTION("""COMPUTED_VALUE"""),"Namrole")</f>
        <v>Namrole</v>
      </c>
      <c r="B5749" s="120" t="str">
        <f>IFERROR(__xludf.DUMMYFUNCTION("""COMPUTED_VALUE"""),"NRE")</f>
        <v>NRE</v>
      </c>
      <c r="C5749" s="120" t="str">
        <f>IFERROR(__xludf.DUMMYFUNCTION("""COMPUTED_VALUE"""),"Namrole")</f>
        <v>Namrole</v>
      </c>
      <c r="D5749" s="120" t="str">
        <f>IFERROR(__xludf.DUMMYFUNCTION("""COMPUTED_VALUE"""),"Indonesia")</f>
        <v>Indonesia</v>
      </c>
      <c r="E5749" s="135"/>
      <c r="F5749" s="31"/>
    </row>
    <row r="5750">
      <c r="A5750" s="134" t="str">
        <f>IFERROR(__xludf.DUMMYFUNCTION("""COMPUTED_VALUE"""),"Namsang")</f>
        <v>Namsang</v>
      </c>
      <c r="B5750" s="120" t="str">
        <f>IFERROR(__xludf.DUMMYFUNCTION("""COMPUTED_VALUE"""),"NMS")</f>
        <v>NMS</v>
      </c>
      <c r="C5750" s="120" t="str">
        <f>IFERROR(__xludf.DUMMYFUNCTION("""COMPUTED_VALUE"""),"Namsang")</f>
        <v>Namsang</v>
      </c>
      <c r="D5750" s="120" t="str">
        <f>IFERROR(__xludf.DUMMYFUNCTION("""COMPUTED_VALUE"""),"Myanmar")</f>
        <v>Myanmar</v>
      </c>
      <c r="E5750" s="135"/>
      <c r="F5750" s="31"/>
    </row>
    <row r="5751">
      <c r="A5751" s="134" t="str">
        <f>IFERROR(__xludf.DUMMYFUNCTION("""COMPUTED_VALUE"""),"Namsos")</f>
        <v>Namsos</v>
      </c>
      <c r="B5751" s="120" t="str">
        <f>IFERROR(__xludf.DUMMYFUNCTION("""COMPUTED_VALUE"""),"OSY")</f>
        <v>OSY</v>
      </c>
      <c r="C5751" s="120" t="str">
        <f>IFERROR(__xludf.DUMMYFUNCTION("""COMPUTED_VALUE"""),"Namsos")</f>
        <v>Namsos</v>
      </c>
      <c r="D5751" s="120" t="str">
        <f>IFERROR(__xludf.DUMMYFUNCTION("""COMPUTED_VALUE"""),"Norway")</f>
        <v>Norway</v>
      </c>
      <c r="E5751" s="135"/>
      <c r="F5751" s="31"/>
    </row>
    <row r="5752">
      <c r="A5752" s="134" t="str">
        <f>IFERROR(__xludf.DUMMYFUNCTION("""COMPUTED_VALUE"""),"Namtu")</f>
        <v>Namtu</v>
      </c>
      <c r="B5752" s="120" t="str">
        <f>IFERROR(__xludf.DUMMYFUNCTION("""COMPUTED_VALUE"""),"NMT")</f>
        <v>NMT</v>
      </c>
      <c r="C5752" s="120" t="str">
        <f>IFERROR(__xludf.DUMMYFUNCTION("""COMPUTED_VALUE"""),"Namtu")</f>
        <v>Namtu</v>
      </c>
      <c r="D5752" s="120" t="str">
        <f>IFERROR(__xludf.DUMMYFUNCTION("""COMPUTED_VALUE"""),"Myanmar")</f>
        <v>Myanmar</v>
      </c>
      <c r="E5752" s="135"/>
      <c r="F5752" s="31"/>
    </row>
    <row r="5753">
      <c r="A5753" s="134" t="str">
        <f>IFERROR(__xludf.DUMMYFUNCTION("""COMPUTED_VALUE"""),"Namu")</f>
        <v>Namu</v>
      </c>
      <c r="B5753" s="120" t="str">
        <f>IFERROR(__xludf.DUMMYFUNCTION("""COMPUTED_VALUE"""),"ZNU")</f>
        <v>ZNU</v>
      </c>
      <c r="C5753" s="120" t="str">
        <f>IFERROR(__xludf.DUMMYFUNCTION("""COMPUTED_VALUE"""),"Namu")</f>
        <v>Namu</v>
      </c>
      <c r="D5753" s="120" t="str">
        <f>IFERROR(__xludf.DUMMYFUNCTION("""COMPUTED_VALUE"""),"Canada")</f>
        <v>Canada</v>
      </c>
      <c r="E5753" s="135"/>
      <c r="F5753" s="31"/>
    </row>
    <row r="5754">
      <c r="A5754" s="134" t="str">
        <f>IFERROR(__xludf.DUMMYFUNCTION("""COMPUTED_VALUE"""),"Namu")</f>
        <v>Namu</v>
      </c>
      <c r="B5754" s="120" t="str">
        <f>IFERROR(__xludf.DUMMYFUNCTION("""COMPUTED_VALUE"""),"NMU")</f>
        <v>NMU</v>
      </c>
      <c r="C5754" s="120" t="str">
        <f>IFERROR(__xludf.DUMMYFUNCTION("""COMPUTED_VALUE"""),"Namu")</f>
        <v>Namu</v>
      </c>
      <c r="D5754" s="120" t="str">
        <f>IFERROR(__xludf.DUMMYFUNCTION("""COMPUTED_VALUE"""),"Marshall Islands")</f>
        <v>Marshall Islands</v>
      </c>
      <c r="E5754" s="135"/>
      <c r="F5754" s="31"/>
    </row>
    <row r="5755">
      <c r="A5755" s="134" t="str">
        <f>IFERROR(__xludf.DUMMYFUNCTION("""COMPUTED_VALUE"""),"Namudi")</f>
        <v>Namudi</v>
      </c>
      <c r="B5755" s="120" t="str">
        <f>IFERROR(__xludf.DUMMYFUNCTION("""COMPUTED_VALUE"""),"NDI")</f>
        <v>NDI</v>
      </c>
      <c r="C5755" s="120" t="str">
        <f>IFERROR(__xludf.DUMMYFUNCTION("""COMPUTED_VALUE"""),"Namudi")</f>
        <v>Namudi</v>
      </c>
      <c r="D5755" s="120" t="str">
        <f>IFERROR(__xludf.DUMMYFUNCTION("""COMPUTED_VALUE"""),"Papua New Guinea")</f>
        <v>Papua New Guinea</v>
      </c>
      <c r="E5755" s="135"/>
      <c r="F5755" s="31"/>
    </row>
    <row r="5756">
      <c r="A5756" s="134" t="str">
        <f>IFERROR(__xludf.DUMMYFUNCTION("""COMPUTED_VALUE"""),"Namutoni")</f>
        <v>Namutoni</v>
      </c>
      <c r="B5756" s="120" t="str">
        <f>IFERROR(__xludf.DUMMYFUNCTION("""COMPUTED_VALUE"""),"NNI")</f>
        <v>NNI</v>
      </c>
      <c r="C5756" s="120" t="str">
        <f>IFERROR(__xludf.DUMMYFUNCTION("""COMPUTED_VALUE"""),"Namutoni")</f>
        <v>Namutoni</v>
      </c>
      <c r="D5756" s="120" t="str">
        <f>IFERROR(__xludf.DUMMYFUNCTION("""COMPUTED_VALUE"""),"Namibia")</f>
        <v>Namibia</v>
      </c>
      <c r="E5756" s="135"/>
      <c r="F5756" s="31"/>
    </row>
    <row r="5757">
      <c r="A5757" s="134" t="str">
        <f>IFERROR(__xludf.DUMMYFUNCTION("""COMPUTED_VALUE"""),"Nan")</f>
        <v>Nan</v>
      </c>
      <c r="B5757" s="120" t="str">
        <f>IFERROR(__xludf.DUMMYFUNCTION("""COMPUTED_VALUE"""),"NNT")</f>
        <v>NNT</v>
      </c>
      <c r="C5757" s="120" t="str">
        <f>IFERROR(__xludf.DUMMYFUNCTION("""COMPUTED_VALUE"""),"Nan")</f>
        <v>Nan</v>
      </c>
      <c r="D5757" s="120" t="str">
        <f>IFERROR(__xludf.DUMMYFUNCTION("""COMPUTED_VALUE"""),"Thailand")</f>
        <v>Thailand</v>
      </c>
      <c r="E5757" s="135"/>
      <c r="F5757" s="31"/>
    </row>
    <row r="5758">
      <c r="A5758" s="134" t="str">
        <f>IFERROR(__xludf.DUMMYFUNCTION("""COMPUTED_VALUE"""),"Nanaimo")</f>
        <v>Nanaimo</v>
      </c>
      <c r="B5758" s="120" t="str">
        <f>IFERROR(__xludf.DUMMYFUNCTION("""COMPUTED_VALUE"""),"ZNA")</f>
        <v>ZNA</v>
      </c>
      <c r="C5758" s="120" t="str">
        <f>IFERROR(__xludf.DUMMYFUNCTION("""COMPUTED_VALUE"""),"Harbour")</f>
        <v>Harbour</v>
      </c>
      <c r="D5758" s="120" t="str">
        <f>IFERROR(__xludf.DUMMYFUNCTION("""COMPUTED_VALUE"""),"Canada")</f>
        <v>Canada</v>
      </c>
      <c r="E5758" s="135"/>
      <c r="F5758" s="31"/>
    </row>
    <row r="5759">
      <c r="A5759" s="134" t="str">
        <f>IFERROR(__xludf.DUMMYFUNCTION("""COMPUTED_VALUE"""),"Nanaimo")</f>
        <v>Nanaimo</v>
      </c>
      <c r="B5759" s="120" t="str">
        <f>IFERROR(__xludf.DUMMYFUNCTION("""COMPUTED_VALUE"""),"YCD")</f>
        <v>YCD</v>
      </c>
      <c r="C5759" s="120" t="str">
        <f>IFERROR(__xludf.DUMMYFUNCTION("""COMPUTED_VALUE"""),"Nanaimo Arpt")</f>
        <v>Nanaimo Arpt</v>
      </c>
      <c r="D5759" s="120" t="str">
        <f>IFERROR(__xludf.DUMMYFUNCTION("""COMPUTED_VALUE"""),"Canada")</f>
        <v>Canada</v>
      </c>
      <c r="E5759" s="135"/>
      <c r="F5759" s="31"/>
    </row>
    <row r="5760">
      <c r="A5760" s="134" t="str">
        <f>IFERROR(__xludf.DUMMYFUNCTION("""COMPUTED_VALUE"""),"Nanchang")</f>
        <v>Nanchang</v>
      </c>
      <c r="B5760" s="120" t="str">
        <f>IFERROR(__xludf.DUMMYFUNCTION("""COMPUTED_VALUE"""),"KHN")</f>
        <v>KHN</v>
      </c>
      <c r="C5760" s="120" t="str">
        <f>IFERROR(__xludf.DUMMYFUNCTION("""COMPUTED_VALUE"""),"Nanchang")</f>
        <v>Nanchang</v>
      </c>
      <c r="D5760" s="120" t="str">
        <f>IFERROR(__xludf.DUMMYFUNCTION("""COMPUTED_VALUE"""),"China")</f>
        <v>China</v>
      </c>
      <c r="E5760" s="135"/>
      <c r="F5760" s="31"/>
    </row>
    <row r="5761">
      <c r="A5761" s="134" t="str">
        <f>IFERROR(__xludf.DUMMYFUNCTION("""COMPUTED_VALUE"""),"Nanchong")</f>
        <v>Nanchong</v>
      </c>
      <c r="B5761" s="120" t="str">
        <f>IFERROR(__xludf.DUMMYFUNCTION("""COMPUTED_VALUE"""),"NAO")</f>
        <v>NAO</v>
      </c>
      <c r="C5761" s="120" t="str">
        <f>IFERROR(__xludf.DUMMYFUNCTION("""COMPUTED_VALUE"""),"Nanchong")</f>
        <v>Nanchong</v>
      </c>
      <c r="D5761" s="120" t="str">
        <f>IFERROR(__xludf.DUMMYFUNCTION("""COMPUTED_VALUE"""),"China")</f>
        <v>China</v>
      </c>
      <c r="E5761" s="135"/>
      <c r="F5761" s="31"/>
    </row>
    <row r="5762">
      <c r="A5762" s="134" t="str">
        <f>IFERROR(__xludf.DUMMYFUNCTION("""COMPUTED_VALUE"""),"Nancy")</f>
        <v>Nancy</v>
      </c>
      <c r="B5762" s="120" t="str">
        <f>IFERROR(__xludf.DUMMYFUNCTION("""COMPUTED_VALUE"""),"ENC")</f>
        <v>ENC</v>
      </c>
      <c r="C5762" s="120" t="str">
        <f>IFERROR(__xludf.DUMMYFUNCTION("""COMPUTED_VALUE"""),"Essey")</f>
        <v>Essey</v>
      </c>
      <c r="D5762" s="120" t="str">
        <f>IFERROR(__xludf.DUMMYFUNCTION("""COMPUTED_VALUE"""),"France")</f>
        <v>France</v>
      </c>
      <c r="E5762" s="135"/>
      <c r="F5762" s="31"/>
    </row>
    <row r="5763">
      <c r="A5763" s="134" t="str">
        <f>IFERROR(__xludf.DUMMYFUNCTION("""COMPUTED_VALUE"""),"Nanded")</f>
        <v>Nanded</v>
      </c>
      <c r="B5763" s="120" t="str">
        <f>IFERROR(__xludf.DUMMYFUNCTION("""COMPUTED_VALUE"""),"NDC")</f>
        <v>NDC</v>
      </c>
      <c r="C5763" s="120" t="str">
        <f>IFERROR(__xludf.DUMMYFUNCTION("""COMPUTED_VALUE"""),"Nanded")</f>
        <v>Nanded</v>
      </c>
      <c r="D5763" s="120" t="str">
        <f>IFERROR(__xludf.DUMMYFUNCTION("""COMPUTED_VALUE"""),"India")</f>
        <v>India</v>
      </c>
      <c r="E5763" s="135"/>
      <c r="F5763" s="31"/>
    </row>
    <row r="5764">
      <c r="A5764" s="134" t="str">
        <f>IFERROR(__xludf.DUMMYFUNCTION("""COMPUTED_VALUE"""),"Nangade")</f>
        <v>Nangade</v>
      </c>
      <c r="B5764" s="120" t="str">
        <f>IFERROR(__xludf.DUMMYFUNCTION("""COMPUTED_VALUE"""),"NND")</f>
        <v>NND</v>
      </c>
      <c r="C5764" s="120" t="str">
        <f>IFERROR(__xludf.DUMMYFUNCTION("""COMPUTED_VALUE"""),"Nangade")</f>
        <v>Nangade</v>
      </c>
      <c r="D5764" s="120" t="str">
        <f>IFERROR(__xludf.DUMMYFUNCTION("""COMPUTED_VALUE"""),"Mozambique")</f>
        <v>Mozambique</v>
      </c>
      <c r="E5764" s="135"/>
      <c r="F5764" s="31"/>
    </row>
    <row r="5765">
      <c r="A5765" s="134" t="str">
        <f>IFERROR(__xludf.DUMMYFUNCTION("""COMPUTED_VALUE"""),"Nangan")</f>
        <v>Nangan</v>
      </c>
      <c r="B5765" s="120" t="str">
        <f>IFERROR(__xludf.DUMMYFUNCTION("""COMPUTED_VALUE"""),"LZN")</f>
        <v>LZN</v>
      </c>
      <c r="C5765" s="120" t="str">
        <f>IFERROR(__xludf.DUMMYFUNCTION("""COMPUTED_VALUE"""),"Nangan")</f>
        <v>Nangan</v>
      </c>
      <c r="D5765" s="120" t="str">
        <f>IFERROR(__xludf.DUMMYFUNCTION("""COMPUTED_VALUE"""),"Taiwan")</f>
        <v>Taiwan</v>
      </c>
      <c r="E5765" s="135"/>
      <c r="F5765" s="31"/>
    </row>
    <row r="5766">
      <c r="A5766" s="134" t="str">
        <f>IFERROR(__xludf.DUMMYFUNCTION("""COMPUTED_VALUE"""),"Nangapinoh")</f>
        <v>Nangapinoh</v>
      </c>
      <c r="B5766" s="120" t="str">
        <f>IFERROR(__xludf.DUMMYFUNCTION("""COMPUTED_VALUE"""),"NPO")</f>
        <v>NPO</v>
      </c>
      <c r="C5766" s="120" t="str">
        <f>IFERROR(__xludf.DUMMYFUNCTION("""COMPUTED_VALUE"""),"Nangapinoh")</f>
        <v>Nangapinoh</v>
      </c>
      <c r="D5766" s="120" t="str">
        <f>IFERROR(__xludf.DUMMYFUNCTION("""COMPUTED_VALUE"""),"Indonesia")</f>
        <v>Indonesia</v>
      </c>
      <c r="E5766" s="135"/>
      <c r="F5766" s="31"/>
    </row>
    <row r="5767">
      <c r="A5767" s="134" t="str">
        <f>IFERROR(__xludf.DUMMYFUNCTION("""COMPUTED_VALUE"""),"Nanhai")</f>
        <v>Nanhai</v>
      </c>
      <c r="B5767" s="120" t="str">
        <f>IFERROR(__xludf.DUMMYFUNCTION("""COMPUTED_VALUE"""),"ZEF")</f>
        <v>ZEF</v>
      </c>
      <c r="C5767" s="120" t="str">
        <f>IFERROR(__xludf.DUMMYFUNCTION("""COMPUTED_VALUE"""),"Nanhai Ferry")</f>
        <v>Nanhai Ferry</v>
      </c>
      <c r="D5767" s="120" t="str">
        <f>IFERROR(__xludf.DUMMYFUNCTION("""COMPUTED_VALUE"""),"China")</f>
        <v>China</v>
      </c>
      <c r="E5767" s="135"/>
      <c r="F5767" s="31"/>
    </row>
    <row r="5768">
      <c r="A5768" s="134" t="str">
        <f>IFERROR(__xludf.DUMMYFUNCTION("""COMPUTED_VALUE"""),"Nanisivik")</f>
        <v>Nanisivik</v>
      </c>
      <c r="B5768" s="120" t="str">
        <f>IFERROR(__xludf.DUMMYFUNCTION("""COMPUTED_VALUE"""),"YSR")</f>
        <v>YSR</v>
      </c>
      <c r="C5768" s="120" t="str">
        <f>IFERROR(__xludf.DUMMYFUNCTION("""COMPUTED_VALUE"""),"Nanisivik")</f>
        <v>Nanisivik</v>
      </c>
      <c r="D5768" s="120" t="str">
        <f>IFERROR(__xludf.DUMMYFUNCTION("""COMPUTED_VALUE"""),"Canada")</f>
        <v>Canada</v>
      </c>
      <c r="E5768" s="135"/>
      <c r="F5768" s="31"/>
    </row>
    <row r="5769">
      <c r="A5769" s="134" t="str">
        <f>IFERROR(__xludf.DUMMYFUNCTION("""COMPUTED_VALUE"""),"Nankina")</f>
        <v>Nankina</v>
      </c>
      <c r="B5769" s="120" t="str">
        <f>IFERROR(__xludf.DUMMYFUNCTION("""COMPUTED_VALUE"""),"NKN")</f>
        <v>NKN</v>
      </c>
      <c r="C5769" s="120" t="str">
        <f>IFERROR(__xludf.DUMMYFUNCTION("""COMPUTED_VALUE"""),"Nankina")</f>
        <v>Nankina</v>
      </c>
      <c r="D5769" s="120" t="str">
        <f>IFERROR(__xludf.DUMMYFUNCTION("""COMPUTED_VALUE"""),"Papua New Guinea")</f>
        <v>Papua New Guinea</v>
      </c>
      <c r="E5769" s="135"/>
      <c r="F5769" s="31"/>
    </row>
    <row r="5770">
      <c r="A5770" s="134" t="str">
        <f>IFERROR(__xludf.DUMMYFUNCTION("""COMPUTED_VALUE"""),"Nanking/nanjing")</f>
        <v>Nanking/nanjing</v>
      </c>
      <c r="B5770" s="120" t="str">
        <f>IFERROR(__xludf.DUMMYFUNCTION("""COMPUTED_VALUE"""),"NKG")</f>
        <v>NKG</v>
      </c>
      <c r="C5770" s="120" t="str">
        <f>IFERROR(__xludf.DUMMYFUNCTION("""COMPUTED_VALUE"""),"Nanking/nanjing")</f>
        <v>Nanking/nanjing</v>
      </c>
      <c r="D5770" s="120" t="str">
        <f>IFERROR(__xludf.DUMMYFUNCTION("""COMPUTED_VALUE"""),"China")</f>
        <v>China</v>
      </c>
      <c r="E5770" s="135"/>
      <c r="F5770" s="31"/>
    </row>
    <row r="5771">
      <c r="A5771" s="134" t="str">
        <f>IFERROR(__xludf.DUMMYFUNCTION("""COMPUTED_VALUE"""),"Nanning")</f>
        <v>Nanning</v>
      </c>
      <c r="B5771" s="120" t="str">
        <f>IFERROR(__xludf.DUMMYFUNCTION("""COMPUTED_VALUE"""),"NNG")</f>
        <v>NNG</v>
      </c>
      <c r="C5771" s="120" t="str">
        <f>IFERROR(__xludf.DUMMYFUNCTION("""COMPUTED_VALUE"""),"Nanning")</f>
        <v>Nanning</v>
      </c>
      <c r="D5771" s="120" t="str">
        <f>IFERROR(__xludf.DUMMYFUNCTION("""COMPUTED_VALUE"""),"China")</f>
        <v>China</v>
      </c>
      <c r="E5771" s="135"/>
      <c r="F5771" s="31"/>
    </row>
    <row r="5772">
      <c r="A5772" s="134" t="str">
        <f>IFERROR(__xludf.DUMMYFUNCTION("""COMPUTED_VALUE"""),"Nanortalik")</f>
        <v>Nanortalik</v>
      </c>
      <c r="B5772" s="120" t="str">
        <f>IFERROR(__xludf.DUMMYFUNCTION("""COMPUTED_VALUE"""),"JNN")</f>
        <v>JNN</v>
      </c>
      <c r="C5772" s="120" t="str">
        <f>IFERROR(__xludf.DUMMYFUNCTION("""COMPUTED_VALUE"""),"Nanortalik")</f>
        <v>Nanortalik</v>
      </c>
      <c r="D5772" s="120" t="str">
        <f>IFERROR(__xludf.DUMMYFUNCTION("""COMPUTED_VALUE"""),"Greenland")</f>
        <v>Greenland</v>
      </c>
      <c r="E5772" s="135"/>
      <c r="F5772" s="31"/>
    </row>
    <row r="5773">
      <c r="A5773" s="134" t="str">
        <f>IFERROR(__xludf.DUMMYFUNCTION("""COMPUTED_VALUE"""),"Nantes")</f>
        <v>Nantes</v>
      </c>
      <c r="B5773" s="120" t="str">
        <f>IFERROR(__xludf.DUMMYFUNCTION("""COMPUTED_VALUE"""),"NTE")</f>
        <v>NTE</v>
      </c>
      <c r="C5773" s="120" t="str">
        <f>IFERROR(__xludf.DUMMYFUNCTION("""COMPUTED_VALUE"""),"Nantes Atlantique")</f>
        <v>Nantes Atlantique</v>
      </c>
      <c r="D5773" s="120" t="str">
        <f>IFERROR(__xludf.DUMMYFUNCTION("""COMPUTED_VALUE"""),"France")</f>
        <v>France</v>
      </c>
      <c r="E5773" s="135"/>
      <c r="F5773" s="31"/>
    </row>
    <row r="5774">
      <c r="A5774" s="134" t="str">
        <f>IFERROR(__xludf.DUMMYFUNCTION("""COMPUTED_VALUE"""),"Nantong")</f>
        <v>Nantong</v>
      </c>
      <c r="B5774" s="120" t="str">
        <f>IFERROR(__xludf.DUMMYFUNCTION("""COMPUTED_VALUE"""),"NTG")</f>
        <v>NTG</v>
      </c>
      <c r="C5774" s="120" t="str">
        <f>IFERROR(__xludf.DUMMYFUNCTION("""COMPUTED_VALUE"""),"Nantong")</f>
        <v>Nantong</v>
      </c>
      <c r="D5774" s="120" t="str">
        <f>IFERROR(__xludf.DUMMYFUNCTION("""COMPUTED_VALUE"""),"China")</f>
        <v>China</v>
      </c>
      <c r="E5774" s="135"/>
      <c r="F5774" s="31"/>
    </row>
    <row r="5775">
      <c r="A5775" s="134" t="str">
        <f>IFERROR(__xludf.DUMMYFUNCTION("""COMPUTED_VALUE"""),"Nantucket")</f>
        <v>Nantucket</v>
      </c>
      <c r="B5775" s="120" t="str">
        <f>IFERROR(__xludf.DUMMYFUNCTION("""COMPUTED_VALUE"""),"ACK")</f>
        <v>ACK</v>
      </c>
      <c r="C5775" s="120" t="str">
        <f>IFERROR(__xludf.DUMMYFUNCTION("""COMPUTED_VALUE"""),"Nantucket Memorial")</f>
        <v>Nantucket Memorial</v>
      </c>
      <c r="D5775" s="120" t="str">
        <f>IFERROR(__xludf.DUMMYFUNCTION("""COMPUTED_VALUE"""),"United States")</f>
        <v>United States</v>
      </c>
      <c r="E5775" s="135"/>
      <c r="F5775" s="31"/>
    </row>
    <row r="5776">
      <c r="A5776" s="134" t="str">
        <f>IFERROR(__xludf.DUMMYFUNCTION("""COMPUTED_VALUE"""),"Nanuque")</f>
        <v>Nanuque</v>
      </c>
      <c r="B5776" s="120" t="str">
        <f>IFERROR(__xludf.DUMMYFUNCTION("""COMPUTED_VALUE"""),"NNU")</f>
        <v>NNU</v>
      </c>
      <c r="C5776" s="120" t="str">
        <f>IFERROR(__xludf.DUMMYFUNCTION("""COMPUTED_VALUE"""),"Nanuque")</f>
        <v>Nanuque</v>
      </c>
      <c r="D5776" s="120" t="str">
        <f>IFERROR(__xludf.DUMMYFUNCTION("""COMPUTED_VALUE"""),"Brazil")</f>
        <v>Brazil</v>
      </c>
      <c r="E5776" s="135"/>
      <c r="F5776" s="31"/>
    </row>
    <row r="5777">
      <c r="A5777" s="134" t="str">
        <f>IFERROR(__xludf.DUMMYFUNCTION("""COMPUTED_VALUE"""),"Nanwalek")</f>
        <v>Nanwalek</v>
      </c>
      <c r="B5777" s="120" t="str">
        <f>IFERROR(__xludf.DUMMYFUNCTION("""COMPUTED_VALUE"""),"KEB")</f>
        <v>KEB</v>
      </c>
      <c r="C5777" s="120" t="str">
        <f>IFERROR(__xludf.DUMMYFUNCTION("""COMPUTED_VALUE"""),"Nanwalek")</f>
        <v>Nanwalek</v>
      </c>
      <c r="D5777" s="120" t="str">
        <f>IFERROR(__xludf.DUMMYFUNCTION("""COMPUTED_VALUE"""),"United States")</f>
        <v>United States</v>
      </c>
      <c r="E5777" s="135"/>
      <c r="F5777" s="31"/>
    </row>
    <row r="5778">
      <c r="A5778" s="134" t="str">
        <f>IFERROR(__xludf.DUMMYFUNCTION("""COMPUTED_VALUE"""),"Nanyang")</f>
        <v>Nanyang</v>
      </c>
      <c r="B5778" s="120" t="str">
        <f>IFERROR(__xludf.DUMMYFUNCTION("""COMPUTED_VALUE"""),"NNY")</f>
        <v>NNY</v>
      </c>
      <c r="C5778" s="120" t="str">
        <f>IFERROR(__xludf.DUMMYFUNCTION("""COMPUTED_VALUE"""),"Nanyang")</f>
        <v>Nanyang</v>
      </c>
      <c r="D5778" s="120" t="str">
        <f>IFERROR(__xludf.DUMMYFUNCTION("""COMPUTED_VALUE"""),"China")</f>
        <v>China</v>
      </c>
      <c r="E5778" s="135"/>
      <c r="F5778" s="31"/>
    </row>
    <row r="5779">
      <c r="A5779" s="134" t="str">
        <f>IFERROR(__xludf.DUMMYFUNCTION("""COMPUTED_VALUE"""),"Nanyuki")</f>
        <v>Nanyuki</v>
      </c>
      <c r="B5779" s="120" t="str">
        <f>IFERROR(__xludf.DUMMYFUNCTION("""COMPUTED_VALUE"""),"NYK")</f>
        <v>NYK</v>
      </c>
      <c r="C5779" s="120" t="str">
        <f>IFERROR(__xludf.DUMMYFUNCTION("""COMPUTED_VALUE"""),"Nanyuki")</f>
        <v>Nanyuki</v>
      </c>
      <c r="D5779" s="120" t="str">
        <f>IFERROR(__xludf.DUMMYFUNCTION("""COMPUTED_VALUE"""),"Kenya")</f>
        <v>Kenya</v>
      </c>
      <c r="E5779" s="135"/>
      <c r="F5779" s="31"/>
    </row>
    <row r="5780">
      <c r="A5780" s="134" t="str">
        <f>IFERROR(__xludf.DUMMYFUNCTION("""COMPUTED_VALUE"""),"Naoro")</f>
        <v>Naoro</v>
      </c>
      <c r="B5780" s="120" t="str">
        <f>IFERROR(__xludf.DUMMYFUNCTION("""COMPUTED_VALUE"""),"NOO")</f>
        <v>NOO</v>
      </c>
      <c r="C5780" s="120" t="str">
        <f>IFERROR(__xludf.DUMMYFUNCTION("""COMPUTED_VALUE"""),"Naoro")</f>
        <v>Naoro</v>
      </c>
      <c r="D5780" s="120" t="str">
        <f>IFERROR(__xludf.DUMMYFUNCTION("""COMPUTED_VALUE"""),"Papua New Guinea")</f>
        <v>Papua New Guinea</v>
      </c>
      <c r="E5780" s="135"/>
      <c r="F5780" s="31"/>
    </row>
    <row r="5781">
      <c r="A5781" s="134" t="str">
        <f>IFERROR(__xludf.DUMMYFUNCTION("""COMPUTED_VALUE"""),"Napa")</f>
        <v>Napa</v>
      </c>
      <c r="B5781" s="120" t="str">
        <f>IFERROR(__xludf.DUMMYFUNCTION("""COMPUTED_VALUE"""),"APC")</f>
        <v>APC</v>
      </c>
      <c r="C5781" s="120" t="str">
        <f>IFERROR(__xludf.DUMMYFUNCTION("""COMPUTED_VALUE"""),"Napa County")</f>
        <v>Napa County</v>
      </c>
      <c r="D5781" s="120" t="str">
        <f>IFERROR(__xludf.DUMMYFUNCTION("""COMPUTED_VALUE"""),"United States")</f>
        <v>United States</v>
      </c>
      <c r="E5781" s="135"/>
      <c r="F5781" s="31"/>
    </row>
    <row r="5782">
      <c r="A5782" s="134" t="str">
        <f>IFERROR(__xludf.DUMMYFUNCTION("""COMPUTED_VALUE"""),"Napakiak")</f>
        <v>Napakiak</v>
      </c>
      <c r="B5782" s="120" t="str">
        <f>IFERROR(__xludf.DUMMYFUNCTION("""COMPUTED_VALUE"""),"WNA")</f>
        <v>WNA</v>
      </c>
      <c r="C5782" s="120" t="str">
        <f>IFERROR(__xludf.DUMMYFUNCTION("""COMPUTED_VALUE"""),"Napakiak SPB")</f>
        <v>Napakiak SPB</v>
      </c>
      <c r="D5782" s="120" t="str">
        <f>IFERROR(__xludf.DUMMYFUNCTION("""COMPUTED_VALUE"""),"United States")</f>
        <v>United States</v>
      </c>
      <c r="E5782" s="135"/>
      <c r="F5782" s="31"/>
    </row>
    <row r="5783">
      <c r="A5783" s="134" t="str">
        <f>IFERROR(__xludf.DUMMYFUNCTION("""COMPUTED_VALUE"""),"Napaskiak")</f>
        <v>Napaskiak</v>
      </c>
      <c r="B5783" s="120" t="str">
        <f>IFERROR(__xludf.DUMMYFUNCTION("""COMPUTED_VALUE"""),"PKA")</f>
        <v>PKA</v>
      </c>
      <c r="C5783" s="120" t="str">
        <f>IFERROR(__xludf.DUMMYFUNCTION("""COMPUTED_VALUE"""),"SPB")</f>
        <v>SPB</v>
      </c>
      <c r="D5783" s="120" t="str">
        <f>IFERROR(__xludf.DUMMYFUNCTION("""COMPUTED_VALUE"""),"United States")</f>
        <v>United States</v>
      </c>
      <c r="E5783" s="135"/>
      <c r="F5783" s="31"/>
    </row>
    <row r="5784">
      <c r="A5784" s="134" t="str">
        <f>IFERROR(__xludf.DUMMYFUNCTION("""COMPUTED_VALUE"""),"Napier-Hastings")</f>
        <v>Napier-Hastings</v>
      </c>
      <c r="B5784" s="120" t="str">
        <f>IFERROR(__xludf.DUMMYFUNCTION("""COMPUTED_VALUE"""),"NPE")</f>
        <v>NPE</v>
      </c>
      <c r="C5784" s="120" t="str">
        <f>IFERROR(__xludf.DUMMYFUNCTION("""COMPUTED_VALUE"""),"Hawkes Bay")</f>
        <v>Hawkes Bay</v>
      </c>
      <c r="D5784" s="120" t="str">
        <f>IFERROR(__xludf.DUMMYFUNCTION("""COMPUTED_VALUE"""),"New Zealand (Aotearoa)")</f>
        <v>New Zealand (Aotearoa)</v>
      </c>
      <c r="E5784" s="135"/>
      <c r="F5784" s="31"/>
    </row>
    <row r="5785">
      <c r="A5785" s="134" t="str">
        <f>IFERROR(__xludf.DUMMYFUNCTION("""COMPUTED_VALUE"""),"Naples")</f>
        <v>Naples</v>
      </c>
      <c r="B5785" s="120" t="str">
        <f>IFERROR(__xludf.DUMMYFUNCTION("""COMPUTED_VALUE"""),"APF")</f>
        <v>APF</v>
      </c>
      <c r="C5785" s="120" t="str">
        <f>IFERROR(__xludf.DUMMYFUNCTION("""COMPUTED_VALUE"""),"Naples")</f>
        <v>Naples</v>
      </c>
      <c r="D5785" s="120" t="str">
        <f>IFERROR(__xludf.DUMMYFUNCTION("""COMPUTED_VALUE"""),"United States")</f>
        <v>United States</v>
      </c>
      <c r="E5785" s="135"/>
      <c r="F5785" s="31"/>
    </row>
    <row r="5786">
      <c r="A5786" s="134" t="str">
        <f>IFERROR(__xludf.DUMMYFUNCTION("""COMPUTED_VALUE"""),"Naples")</f>
        <v>Naples</v>
      </c>
      <c r="B5786" s="120" t="str">
        <f>IFERROR(__xludf.DUMMYFUNCTION("""COMPUTED_VALUE"""),"NAP")</f>
        <v>NAP</v>
      </c>
      <c r="C5786" s="120" t="str">
        <f>IFERROR(__xludf.DUMMYFUNCTION("""COMPUTED_VALUE"""),"Capodichino")</f>
        <v>Capodichino</v>
      </c>
      <c r="D5786" s="120" t="str">
        <f>IFERROR(__xludf.DUMMYFUNCTION("""COMPUTED_VALUE"""),"Italy")</f>
        <v>Italy</v>
      </c>
      <c r="E5786" s="135"/>
      <c r="F5786" s="31"/>
    </row>
    <row r="5787">
      <c r="A5787" s="134" t="str">
        <f>IFERROR(__xludf.DUMMYFUNCTION("""COMPUTED_VALUE"""),"Naples")</f>
        <v>Naples</v>
      </c>
      <c r="B5787" s="120" t="str">
        <f>IFERROR(__xludf.DUMMYFUNCTION("""COMPUTED_VALUE"""),"ZMF")</f>
        <v>ZMF</v>
      </c>
      <c r="C5787" s="120" t="str">
        <f>IFERROR(__xludf.DUMMYFUNCTION("""COMPUTED_VALUE"""),"Beverello Harbor")</f>
        <v>Beverello Harbor</v>
      </c>
      <c r="D5787" s="120" t="str">
        <f>IFERROR(__xludf.DUMMYFUNCTION("""COMPUTED_VALUE"""),"Italy")</f>
        <v>Italy</v>
      </c>
      <c r="E5787" s="135"/>
      <c r="F5787" s="31"/>
    </row>
    <row r="5788">
      <c r="A5788" s="134" t="str">
        <f>IFERROR(__xludf.DUMMYFUNCTION("""COMPUTED_VALUE"""),"Naples")</f>
        <v>Naples</v>
      </c>
      <c r="B5788" s="120" t="str">
        <f>IFERROR(__xludf.DUMMYFUNCTION("""COMPUTED_VALUE"""),"ZMJ")</f>
        <v>ZMJ</v>
      </c>
      <c r="C5788" s="120" t="str">
        <f>IFERROR(__xludf.DUMMYFUNCTION("""COMPUTED_VALUE"""),"Mergellina Harbour")</f>
        <v>Mergellina Harbour</v>
      </c>
      <c r="D5788" s="120" t="str">
        <f>IFERROR(__xludf.DUMMYFUNCTION("""COMPUTED_VALUE"""),"Italy")</f>
        <v>Italy</v>
      </c>
      <c r="E5788" s="135"/>
      <c r="F5788" s="31"/>
    </row>
    <row r="5789">
      <c r="A5789" s="134" t="str">
        <f>IFERROR(__xludf.DUMMYFUNCTION("""COMPUTED_VALUE"""),"Naples")</f>
        <v>Naples</v>
      </c>
      <c r="B5789" s="120" t="str">
        <f>IFERROR(__xludf.DUMMYFUNCTION("""COMPUTED_VALUE"""),"ZMI")</f>
        <v>ZMI</v>
      </c>
      <c r="C5789" s="120" t="str">
        <f>IFERROR(__xludf.DUMMYFUNCTION("""COMPUTED_VALUE"""),"Mergellina Railway Svc")</f>
        <v>Mergellina Railway Svc</v>
      </c>
      <c r="D5789" s="120" t="str">
        <f>IFERROR(__xludf.DUMMYFUNCTION("""COMPUTED_VALUE"""),"Italy")</f>
        <v>Italy</v>
      </c>
      <c r="E5789" s="135"/>
      <c r="F5789" s="31"/>
    </row>
    <row r="5790">
      <c r="A5790" s="134" t="str">
        <f>IFERROR(__xludf.DUMMYFUNCTION("""COMPUTED_VALUE"""),"Nappa Merry")</f>
        <v>Nappa Merry</v>
      </c>
      <c r="B5790" s="120" t="str">
        <f>IFERROR(__xludf.DUMMYFUNCTION("""COMPUTED_VALUE"""),"NMR")</f>
        <v>NMR</v>
      </c>
      <c r="C5790" s="120" t="str">
        <f>IFERROR(__xludf.DUMMYFUNCTION("""COMPUTED_VALUE"""),"Nappa Merry")</f>
        <v>Nappa Merry</v>
      </c>
      <c r="D5790" s="120" t="str">
        <f>IFERROR(__xludf.DUMMYFUNCTION("""COMPUTED_VALUE"""),"Australia")</f>
        <v>Australia</v>
      </c>
      <c r="E5790" s="135"/>
      <c r="F5790" s="31"/>
    </row>
    <row r="5791">
      <c r="A5791" s="134" t="str">
        <f>IFERROR(__xludf.DUMMYFUNCTION("""COMPUTED_VALUE"""),"Napperby")</f>
        <v>Napperby</v>
      </c>
      <c r="B5791" s="120" t="str">
        <f>IFERROR(__xludf.DUMMYFUNCTION("""COMPUTED_VALUE"""),"NPP")</f>
        <v>NPP</v>
      </c>
      <c r="C5791" s="120" t="str">
        <f>IFERROR(__xludf.DUMMYFUNCTION("""COMPUTED_VALUE"""),"Napperby")</f>
        <v>Napperby</v>
      </c>
      <c r="D5791" s="120" t="str">
        <f>IFERROR(__xludf.DUMMYFUNCTION("""COMPUTED_VALUE"""),"Australia")</f>
        <v>Australia</v>
      </c>
      <c r="E5791" s="135"/>
      <c r="F5791" s="31"/>
    </row>
    <row r="5792">
      <c r="A5792" s="134" t="str">
        <f>IFERROR(__xludf.DUMMYFUNCTION("""COMPUTED_VALUE"""),"Napuka Island")</f>
        <v>Napuka Island</v>
      </c>
      <c r="B5792" s="120" t="str">
        <f>IFERROR(__xludf.DUMMYFUNCTION("""COMPUTED_VALUE"""),"NAU")</f>
        <v>NAU</v>
      </c>
      <c r="C5792" s="120" t="str">
        <f>IFERROR(__xludf.DUMMYFUNCTION("""COMPUTED_VALUE"""),"Napuka Island")</f>
        <v>Napuka Island</v>
      </c>
      <c r="D5792" s="120" t="str">
        <f>IFERROR(__xludf.DUMMYFUNCTION("""COMPUTED_VALUE"""),"French Polynesia")</f>
        <v>French Polynesia</v>
      </c>
      <c r="E5792" s="135"/>
      <c r="F5792" s="31"/>
    </row>
    <row r="5793">
      <c r="A5793" s="134" t="str">
        <f>IFERROR(__xludf.DUMMYFUNCTION("""COMPUTED_VALUE"""),"Nara")</f>
        <v>Nara</v>
      </c>
      <c r="B5793" s="120" t="str">
        <f>IFERROR(__xludf.DUMMYFUNCTION("""COMPUTED_VALUE"""),"NRM")</f>
        <v>NRM</v>
      </c>
      <c r="C5793" s="120" t="str">
        <f>IFERROR(__xludf.DUMMYFUNCTION("""COMPUTED_VALUE"""),"Nara")</f>
        <v>Nara</v>
      </c>
      <c r="D5793" s="120" t="str">
        <f>IFERROR(__xludf.DUMMYFUNCTION("""COMPUTED_VALUE"""),"Mali")</f>
        <v>Mali</v>
      </c>
      <c r="E5793" s="135"/>
      <c r="F5793" s="31"/>
    </row>
    <row r="5794">
      <c r="A5794" s="134" t="str">
        <f>IFERROR(__xludf.DUMMYFUNCTION("""COMPUTED_VALUE"""),"Naracoorte")</f>
        <v>Naracoorte</v>
      </c>
      <c r="B5794" s="120" t="str">
        <f>IFERROR(__xludf.DUMMYFUNCTION("""COMPUTED_VALUE"""),"NAC")</f>
        <v>NAC</v>
      </c>
      <c r="C5794" s="120" t="str">
        <f>IFERROR(__xludf.DUMMYFUNCTION("""COMPUTED_VALUE"""),"Naracoorte")</f>
        <v>Naracoorte</v>
      </c>
      <c r="D5794" s="120" t="str">
        <f>IFERROR(__xludf.DUMMYFUNCTION("""COMPUTED_VALUE"""),"Australia")</f>
        <v>Australia</v>
      </c>
      <c r="E5794" s="135"/>
      <c r="F5794" s="31"/>
    </row>
    <row r="5795">
      <c r="A5795" s="134" t="str">
        <f>IFERROR(__xludf.DUMMYFUNCTION("""COMPUTED_VALUE"""),"Narathiwat")</f>
        <v>Narathiwat</v>
      </c>
      <c r="B5795" s="120" t="str">
        <f>IFERROR(__xludf.DUMMYFUNCTION("""COMPUTED_VALUE"""),"NAW")</f>
        <v>NAW</v>
      </c>
      <c r="C5795" s="120" t="str">
        <f>IFERROR(__xludf.DUMMYFUNCTION("""COMPUTED_VALUE"""),"Narathiwat")</f>
        <v>Narathiwat</v>
      </c>
      <c r="D5795" s="120" t="str">
        <f>IFERROR(__xludf.DUMMYFUNCTION("""COMPUTED_VALUE"""),"Thailand")</f>
        <v>Thailand</v>
      </c>
      <c r="E5795" s="135"/>
      <c r="F5795" s="31"/>
    </row>
    <row r="5796">
      <c r="A5796" s="134" t="str">
        <f>IFERROR(__xludf.DUMMYFUNCTION("""COMPUTED_VALUE"""),"Nare")</f>
        <v>Nare</v>
      </c>
      <c r="B5796" s="120" t="str">
        <f>IFERROR(__xludf.DUMMYFUNCTION("""COMPUTED_VALUE"""),"NAR")</f>
        <v>NAR</v>
      </c>
      <c r="C5796" s="120" t="str">
        <f>IFERROR(__xludf.DUMMYFUNCTION("""COMPUTED_VALUE"""),"Nare")</f>
        <v>Nare</v>
      </c>
      <c r="D5796" s="120" t="str">
        <f>IFERROR(__xludf.DUMMYFUNCTION("""COMPUTED_VALUE"""),"Colombia")</f>
        <v>Colombia</v>
      </c>
      <c r="E5796" s="135"/>
      <c r="F5796" s="31"/>
    </row>
    <row r="5797">
      <c r="A5797" s="134" t="str">
        <f>IFERROR(__xludf.DUMMYFUNCTION("""COMPUTED_VALUE"""),"Nargana")</f>
        <v>Nargana</v>
      </c>
      <c r="B5797" s="120" t="str">
        <f>IFERROR(__xludf.DUMMYFUNCTION("""COMPUTED_VALUE"""),"NGN")</f>
        <v>NGN</v>
      </c>
      <c r="C5797" s="120" t="str">
        <f>IFERROR(__xludf.DUMMYFUNCTION("""COMPUTED_VALUE"""),"Nargana")</f>
        <v>Nargana</v>
      </c>
      <c r="D5797" s="120" t="str">
        <f>IFERROR(__xludf.DUMMYFUNCTION("""COMPUTED_VALUE"""),"Panama")</f>
        <v>Panama</v>
      </c>
      <c r="E5797" s="135"/>
      <c r="F5797" s="31"/>
    </row>
    <row r="5798">
      <c r="A5798" s="134" t="str">
        <f>IFERROR(__xludf.DUMMYFUNCTION("""COMPUTED_VALUE"""),"Narrabri")</f>
        <v>Narrabri</v>
      </c>
      <c r="B5798" s="120" t="str">
        <f>IFERROR(__xludf.DUMMYFUNCTION("""COMPUTED_VALUE"""),"NAA")</f>
        <v>NAA</v>
      </c>
      <c r="C5798" s="120" t="str">
        <f>IFERROR(__xludf.DUMMYFUNCTION("""COMPUTED_VALUE"""),"Narrabri")</f>
        <v>Narrabri</v>
      </c>
      <c r="D5798" s="120" t="str">
        <f>IFERROR(__xludf.DUMMYFUNCTION("""COMPUTED_VALUE"""),"Australia")</f>
        <v>Australia</v>
      </c>
      <c r="E5798" s="135"/>
      <c r="F5798" s="31"/>
    </row>
    <row r="5799">
      <c r="A5799" s="134" t="str">
        <f>IFERROR(__xludf.DUMMYFUNCTION("""COMPUTED_VALUE"""),"Narrandera")</f>
        <v>Narrandera</v>
      </c>
      <c r="B5799" s="120" t="str">
        <f>IFERROR(__xludf.DUMMYFUNCTION("""COMPUTED_VALUE"""),"NRA")</f>
        <v>NRA</v>
      </c>
      <c r="C5799" s="120" t="str">
        <f>IFERROR(__xludf.DUMMYFUNCTION("""COMPUTED_VALUE"""),"Narrandera")</f>
        <v>Narrandera</v>
      </c>
      <c r="D5799" s="120" t="str">
        <f>IFERROR(__xludf.DUMMYFUNCTION("""COMPUTED_VALUE"""),"Australia")</f>
        <v>Australia</v>
      </c>
      <c r="E5799" s="135"/>
      <c r="F5799" s="31"/>
    </row>
    <row r="5800">
      <c r="A5800" s="134" t="str">
        <f>IFERROR(__xludf.DUMMYFUNCTION("""COMPUTED_VALUE"""),"Narrogin")</f>
        <v>Narrogin</v>
      </c>
      <c r="B5800" s="120" t="str">
        <f>IFERROR(__xludf.DUMMYFUNCTION("""COMPUTED_VALUE"""),"NRG")</f>
        <v>NRG</v>
      </c>
      <c r="C5800" s="120" t="str">
        <f>IFERROR(__xludf.DUMMYFUNCTION("""COMPUTED_VALUE"""),"Narrogin")</f>
        <v>Narrogin</v>
      </c>
      <c r="D5800" s="120" t="str">
        <f>IFERROR(__xludf.DUMMYFUNCTION("""COMPUTED_VALUE"""),"Australia")</f>
        <v>Australia</v>
      </c>
      <c r="E5800" s="135"/>
      <c r="F5800" s="31"/>
    </row>
    <row r="5801">
      <c r="A5801" s="134" t="str">
        <f>IFERROR(__xludf.DUMMYFUNCTION("""COMPUTED_VALUE"""),"Narsaq")</f>
        <v>Narsaq</v>
      </c>
      <c r="B5801" s="120" t="str">
        <f>IFERROR(__xludf.DUMMYFUNCTION("""COMPUTED_VALUE"""),"JNS")</f>
        <v>JNS</v>
      </c>
      <c r="C5801" s="120" t="str">
        <f>IFERROR(__xludf.DUMMYFUNCTION("""COMPUTED_VALUE"""),"Heliport")</f>
        <v>Heliport</v>
      </c>
      <c r="D5801" s="120" t="str">
        <f>IFERROR(__xludf.DUMMYFUNCTION("""COMPUTED_VALUE"""),"Greenland")</f>
        <v>Greenland</v>
      </c>
      <c r="E5801" s="135"/>
      <c r="F5801" s="31"/>
    </row>
    <row r="5802">
      <c r="A5802" s="134" t="str">
        <f>IFERROR(__xludf.DUMMYFUNCTION("""COMPUTED_VALUE"""),"Narsarsuaq")</f>
        <v>Narsarsuaq</v>
      </c>
      <c r="B5802" s="120" t="str">
        <f>IFERROR(__xludf.DUMMYFUNCTION("""COMPUTED_VALUE"""),"UAK")</f>
        <v>UAK</v>
      </c>
      <c r="C5802" s="120" t="str">
        <f>IFERROR(__xludf.DUMMYFUNCTION("""COMPUTED_VALUE"""),"Narsarsuaq")</f>
        <v>Narsarsuaq</v>
      </c>
      <c r="D5802" s="120" t="str">
        <f>IFERROR(__xludf.DUMMYFUNCTION("""COMPUTED_VALUE"""),"Greenland")</f>
        <v>Greenland</v>
      </c>
      <c r="E5802" s="135"/>
      <c r="F5802" s="31"/>
    </row>
    <row r="5803">
      <c r="A5803" s="134" t="str">
        <f>IFERROR(__xludf.DUMMYFUNCTION("""COMPUTED_VALUE"""),"Narvik")</f>
        <v>Narvik</v>
      </c>
      <c r="B5803" s="120" t="str">
        <f>IFERROR(__xludf.DUMMYFUNCTION("""COMPUTED_VALUE"""),"NVK")</f>
        <v>NVK</v>
      </c>
      <c r="C5803" s="120" t="str">
        <f>IFERROR(__xludf.DUMMYFUNCTION("""COMPUTED_VALUE"""),"Framnes")</f>
        <v>Framnes</v>
      </c>
      <c r="D5803" s="120" t="str">
        <f>IFERROR(__xludf.DUMMYFUNCTION("""COMPUTED_VALUE"""),"Norway")</f>
        <v>Norway</v>
      </c>
      <c r="E5803" s="135"/>
      <c r="F5803" s="31"/>
    </row>
    <row r="5804">
      <c r="A5804" s="134" t="str">
        <f>IFERROR(__xludf.DUMMYFUNCTION("""COMPUTED_VALUE"""),"Naryan-Mar")</f>
        <v>Naryan-Mar</v>
      </c>
      <c r="B5804" s="120" t="str">
        <f>IFERROR(__xludf.DUMMYFUNCTION("""COMPUTED_VALUE"""),"NNM")</f>
        <v>NNM</v>
      </c>
      <c r="C5804" s="120" t="str">
        <f>IFERROR(__xludf.DUMMYFUNCTION("""COMPUTED_VALUE"""),"Naryan-Mar")</f>
        <v>Naryan-Mar</v>
      </c>
      <c r="D5804" s="120" t="str">
        <f>IFERROR(__xludf.DUMMYFUNCTION("""COMPUTED_VALUE"""),"Russia")</f>
        <v>Russia</v>
      </c>
      <c r="E5804" s="135"/>
      <c r="F5804" s="31"/>
    </row>
    <row r="5805">
      <c r="A5805" s="134" t="str">
        <f>IFERROR(__xludf.DUMMYFUNCTION("""COMPUTED_VALUE"""),"Nashua")</f>
        <v>Nashua</v>
      </c>
      <c r="B5805" s="120" t="str">
        <f>IFERROR(__xludf.DUMMYFUNCTION("""COMPUTED_VALUE"""),"ASH")</f>
        <v>ASH</v>
      </c>
      <c r="C5805" s="120" t="str">
        <f>IFERROR(__xludf.DUMMYFUNCTION("""COMPUTED_VALUE"""),"Boire Field")</f>
        <v>Boire Field</v>
      </c>
      <c r="D5805" s="120" t="str">
        <f>IFERROR(__xludf.DUMMYFUNCTION("""COMPUTED_VALUE"""),"United States")</f>
        <v>United States</v>
      </c>
      <c r="E5805" s="135"/>
      <c r="F5805" s="31"/>
    </row>
    <row r="5806">
      <c r="A5806" s="134" t="str">
        <f>IFERROR(__xludf.DUMMYFUNCTION("""COMPUTED_VALUE"""),"Nashville")</f>
        <v>Nashville</v>
      </c>
      <c r="B5806" s="120" t="str">
        <f>IFERROR(__xludf.DUMMYFUNCTION("""COMPUTED_VALUE"""),"BNA")</f>
        <v>BNA</v>
      </c>
      <c r="C5806" s="120" t="str">
        <f>IFERROR(__xludf.DUMMYFUNCTION("""COMPUTED_VALUE"""),"Metropolitan")</f>
        <v>Metropolitan</v>
      </c>
      <c r="D5806" s="120" t="str">
        <f>IFERROR(__xludf.DUMMYFUNCTION("""COMPUTED_VALUE"""),"United States")</f>
        <v>United States</v>
      </c>
      <c r="E5806" s="135"/>
      <c r="F5806" s="31"/>
    </row>
    <row r="5807">
      <c r="A5807" s="134" t="str">
        <f>IFERROR(__xludf.DUMMYFUNCTION("""COMPUTED_VALUE"""),"Nasik")</f>
        <v>Nasik</v>
      </c>
      <c r="B5807" s="120" t="str">
        <f>IFERROR(__xludf.DUMMYFUNCTION("""COMPUTED_VALUE"""),"ISK")</f>
        <v>ISK</v>
      </c>
      <c r="C5807" s="120" t="str">
        <f>IFERROR(__xludf.DUMMYFUNCTION("""COMPUTED_VALUE"""),"Gandhinagar Arpt")</f>
        <v>Gandhinagar Arpt</v>
      </c>
      <c r="D5807" s="120" t="str">
        <f>IFERROR(__xludf.DUMMYFUNCTION("""COMPUTED_VALUE"""),"India")</f>
        <v>India</v>
      </c>
      <c r="E5807" s="135"/>
      <c r="F5807" s="31"/>
    </row>
    <row r="5808">
      <c r="A5808" s="134" t="str">
        <f>IFERROR(__xludf.DUMMYFUNCTION("""COMPUTED_VALUE"""),"Nasiriyah")</f>
        <v>Nasiriyah</v>
      </c>
      <c r="B5808" s="120" t="str">
        <f>IFERROR(__xludf.DUMMYFUNCTION("""COMPUTED_VALUE"""),"XNH")</f>
        <v>XNH</v>
      </c>
      <c r="C5808" s="120" t="str">
        <f>IFERROR(__xludf.DUMMYFUNCTION("""COMPUTED_VALUE"""),"Nasiriyah")</f>
        <v>Nasiriyah</v>
      </c>
      <c r="D5808" s="120" t="str">
        <f>IFERROR(__xludf.DUMMYFUNCTION("""COMPUTED_VALUE"""),"Iraq")</f>
        <v>Iraq</v>
      </c>
      <c r="E5808" s="135"/>
      <c r="F5808" s="31"/>
    </row>
    <row r="5809">
      <c r="A5809" s="134" t="str">
        <f>IFERROR(__xludf.DUMMYFUNCTION("""COMPUTED_VALUE"""),"Nassau")</f>
        <v>Nassau</v>
      </c>
      <c r="B5809" s="120" t="str">
        <f>IFERROR(__xludf.DUMMYFUNCTION("""COMPUTED_VALUE"""),"NAS")</f>
        <v>NAS</v>
      </c>
      <c r="C5809" s="120" t="str">
        <f>IFERROR(__xludf.DUMMYFUNCTION("""COMPUTED_VALUE"""),"Intl")</f>
        <v>Intl</v>
      </c>
      <c r="D5809" s="120" t="str">
        <f>IFERROR(__xludf.DUMMYFUNCTION("""COMPUTED_VALUE"""),"Bahamas")</f>
        <v>Bahamas</v>
      </c>
      <c r="E5809" s="135"/>
      <c r="F5809" s="31"/>
    </row>
    <row r="5810">
      <c r="A5810" s="134" t="str">
        <f>IFERROR(__xludf.DUMMYFUNCTION("""COMPUTED_VALUE"""),"Nassau")</f>
        <v>Nassau</v>
      </c>
      <c r="B5810" s="120" t="str">
        <f>IFERROR(__xludf.DUMMYFUNCTION("""COMPUTED_VALUE"""),"PID")</f>
        <v>PID</v>
      </c>
      <c r="C5810" s="120" t="str">
        <f>IFERROR(__xludf.DUMMYFUNCTION("""COMPUTED_VALUE"""),"Paradise Island")</f>
        <v>Paradise Island</v>
      </c>
      <c r="D5810" s="120" t="str">
        <f>IFERROR(__xludf.DUMMYFUNCTION("""COMPUTED_VALUE"""),"Bahamas")</f>
        <v>Bahamas</v>
      </c>
      <c r="E5810" s="135"/>
      <c r="F5810" s="31"/>
    </row>
    <row r="5811">
      <c r="A5811" s="134" t="str">
        <f>IFERROR(__xludf.DUMMYFUNCTION("""COMPUTED_VALUE"""),"Nassau")</f>
        <v>Nassau</v>
      </c>
      <c r="B5811" s="120" t="str">
        <f>IFERROR(__xludf.DUMMYFUNCTION("""COMPUTED_VALUE"""),"WZY")</f>
        <v>WZY</v>
      </c>
      <c r="C5811" s="120" t="str">
        <f>IFERROR(__xludf.DUMMYFUNCTION("""COMPUTED_VALUE"""),"Seaplane Base")</f>
        <v>Seaplane Base</v>
      </c>
      <c r="D5811" s="120" t="str">
        <f>IFERROR(__xludf.DUMMYFUNCTION("""COMPUTED_VALUE"""),"Bahamas")</f>
        <v>Bahamas</v>
      </c>
      <c r="E5811" s="135"/>
      <c r="F5811" s="31"/>
    </row>
    <row r="5812">
      <c r="A5812" s="134" t="str">
        <f>IFERROR(__xludf.DUMMYFUNCTION("""COMPUTED_VALUE"""),"Natadola")</f>
        <v>Natadola</v>
      </c>
      <c r="B5812" s="120" t="str">
        <f>IFERROR(__xludf.DUMMYFUNCTION("""COMPUTED_VALUE"""),"NTA")</f>
        <v>NTA</v>
      </c>
      <c r="C5812" s="120" t="str">
        <f>IFERROR(__xludf.DUMMYFUNCTION("""COMPUTED_VALUE"""),"Natadola")</f>
        <v>Natadola</v>
      </c>
      <c r="D5812" s="120" t="str">
        <f>IFERROR(__xludf.DUMMYFUNCTION("""COMPUTED_VALUE"""),"Fiji")</f>
        <v>Fiji</v>
      </c>
      <c r="E5812" s="135"/>
      <c r="F5812" s="31"/>
    </row>
    <row r="5813">
      <c r="A5813" s="134" t="str">
        <f>IFERROR(__xludf.DUMMYFUNCTION("""COMPUTED_VALUE"""),"Natal")</f>
        <v>Natal</v>
      </c>
      <c r="B5813" s="120" t="str">
        <f>IFERROR(__xludf.DUMMYFUNCTION("""COMPUTED_VALUE"""),"NAT")</f>
        <v>NAT</v>
      </c>
      <c r="C5813" s="120" t="str">
        <f>IFERROR(__xludf.DUMMYFUNCTION("""COMPUTED_VALUE"""),"Augusto Severo")</f>
        <v>Augusto Severo</v>
      </c>
      <c r="D5813" s="120" t="str">
        <f>IFERROR(__xludf.DUMMYFUNCTION("""COMPUTED_VALUE"""),"Brazil")</f>
        <v>Brazil</v>
      </c>
      <c r="E5813" s="135"/>
      <c r="F5813" s="31"/>
    </row>
    <row r="5814">
      <c r="A5814" s="134" t="str">
        <f>IFERROR(__xludf.DUMMYFUNCTION("""COMPUTED_VALUE"""),"Natashquan")</f>
        <v>Natashquan</v>
      </c>
      <c r="B5814" s="120" t="str">
        <f>IFERROR(__xludf.DUMMYFUNCTION("""COMPUTED_VALUE"""),"YNA")</f>
        <v>YNA</v>
      </c>
      <c r="C5814" s="120" t="str">
        <f>IFERROR(__xludf.DUMMYFUNCTION("""COMPUTED_VALUE"""),"Natashquan")</f>
        <v>Natashquan</v>
      </c>
      <c r="D5814" s="120" t="str">
        <f>IFERROR(__xludf.DUMMYFUNCTION("""COMPUTED_VALUE"""),"Canada")</f>
        <v>Canada</v>
      </c>
      <c r="E5814" s="135"/>
      <c r="F5814" s="31"/>
    </row>
    <row r="5815">
      <c r="A5815" s="134" t="str">
        <f>IFERROR(__xludf.DUMMYFUNCTION("""COMPUTED_VALUE"""),"Natchez")</f>
        <v>Natchez</v>
      </c>
      <c r="B5815" s="120" t="str">
        <f>IFERROR(__xludf.DUMMYFUNCTION("""COMPUTED_VALUE"""),"HEZ")</f>
        <v>HEZ</v>
      </c>
      <c r="C5815" s="120" t="str">
        <f>IFERROR(__xludf.DUMMYFUNCTION("""COMPUTED_VALUE"""),"Hardy-Anders")</f>
        <v>Hardy-Anders</v>
      </c>
      <c r="D5815" s="120" t="str">
        <f>IFERROR(__xludf.DUMMYFUNCTION("""COMPUTED_VALUE"""),"United States")</f>
        <v>United States</v>
      </c>
      <c r="E5815" s="135"/>
      <c r="F5815" s="31"/>
    </row>
    <row r="5816">
      <c r="A5816" s="134" t="str">
        <f>IFERROR(__xludf.DUMMYFUNCTION("""COMPUTED_VALUE"""),"Nationaltheatret")</f>
        <v>Nationaltheatret</v>
      </c>
      <c r="B5816" s="120" t="str">
        <f>IFERROR(__xludf.DUMMYFUNCTION("""COMPUTED_VALUE"""),"ZZN")</f>
        <v>ZZN</v>
      </c>
      <c r="C5816" s="120" t="str">
        <f>IFERROR(__xludf.DUMMYFUNCTION("""COMPUTED_VALUE"""),"Nationaltheatret")</f>
        <v>Nationaltheatret</v>
      </c>
      <c r="D5816" s="120" t="str">
        <f>IFERROR(__xludf.DUMMYFUNCTION("""COMPUTED_VALUE"""),"Norway")</f>
        <v>Norway</v>
      </c>
      <c r="E5816" s="135"/>
      <c r="F5816" s="31"/>
    </row>
    <row r="5817">
      <c r="A5817" s="134" t="str">
        <f>IFERROR(__xludf.DUMMYFUNCTION("""COMPUTED_VALUE"""),"Natitingou")</f>
        <v>Natitingou</v>
      </c>
      <c r="B5817" s="120" t="str">
        <f>IFERROR(__xludf.DUMMYFUNCTION("""COMPUTED_VALUE"""),"NAE")</f>
        <v>NAE</v>
      </c>
      <c r="C5817" s="120" t="str">
        <f>IFERROR(__xludf.DUMMYFUNCTION("""COMPUTED_VALUE"""),"Natitingou")</f>
        <v>Natitingou</v>
      </c>
      <c r="D5817" s="120" t="str">
        <f>IFERROR(__xludf.DUMMYFUNCTION("""COMPUTED_VALUE"""),"Benin")</f>
        <v>Benin</v>
      </c>
      <c r="E5817" s="135"/>
      <c r="F5817" s="31"/>
    </row>
    <row r="5818">
      <c r="A5818" s="134" t="str">
        <f>IFERROR(__xludf.DUMMYFUNCTION("""COMPUTED_VALUE"""),"Natuashish")</f>
        <v>Natuashish</v>
      </c>
      <c r="B5818" s="120" t="str">
        <f>IFERROR(__xludf.DUMMYFUNCTION("""COMPUTED_VALUE"""),"YNP")</f>
        <v>YNP</v>
      </c>
      <c r="C5818" s="120" t="str">
        <f>IFERROR(__xludf.DUMMYFUNCTION("""COMPUTED_VALUE"""),"Natuashish")</f>
        <v>Natuashish</v>
      </c>
      <c r="D5818" s="120" t="str">
        <f>IFERROR(__xludf.DUMMYFUNCTION("""COMPUTED_VALUE"""),"Canada")</f>
        <v>Canada</v>
      </c>
      <c r="E5818" s="135"/>
      <c r="F5818" s="31"/>
    </row>
    <row r="5819">
      <c r="A5819" s="134" t="str">
        <f>IFERROR(__xludf.DUMMYFUNCTION("""COMPUTED_VALUE"""),"Natuna Ranai")</f>
        <v>Natuna Ranai</v>
      </c>
      <c r="B5819" s="120" t="str">
        <f>IFERROR(__xludf.DUMMYFUNCTION("""COMPUTED_VALUE"""),"NTX")</f>
        <v>NTX</v>
      </c>
      <c r="C5819" s="120" t="str">
        <f>IFERROR(__xludf.DUMMYFUNCTION("""COMPUTED_VALUE"""),"Natuna Ranai")</f>
        <v>Natuna Ranai</v>
      </c>
      <c r="D5819" s="120" t="str">
        <f>IFERROR(__xludf.DUMMYFUNCTION("""COMPUTED_VALUE"""),"Indonesia")</f>
        <v>Indonesia</v>
      </c>
      <c r="E5819" s="135"/>
      <c r="F5819" s="31"/>
    </row>
    <row r="5820">
      <c r="A5820" s="134" t="str">
        <f>IFERROR(__xludf.DUMMYFUNCTION("""COMPUTED_VALUE"""),"Naukiti")</f>
        <v>Naukiti</v>
      </c>
      <c r="B5820" s="120" t="str">
        <f>IFERROR(__xludf.DUMMYFUNCTION("""COMPUTED_VALUE"""),"NKI")</f>
        <v>NKI</v>
      </c>
      <c r="C5820" s="120" t="str">
        <f>IFERROR(__xludf.DUMMYFUNCTION("""COMPUTED_VALUE"""),"Naukiti")</f>
        <v>Naukiti</v>
      </c>
      <c r="D5820" s="120" t="str">
        <f>IFERROR(__xludf.DUMMYFUNCTION("""COMPUTED_VALUE"""),"United States")</f>
        <v>United States</v>
      </c>
      <c r="E5820" s="135"/>
      <c r="F5820" s="31"/>
    </row>
    <row r="5821">
      <c r="A5821" s="134" t="str">
        <f>IFERROR(__xludf.DUMMYFUNCTION("""COMPUTED_VALUE"""),"Nauru Island")</f>
        <v>Nauru Island</v>
      </c>
      <c r="B5821" s="120" t="str">
        <f>IFERROR(__xludf.DUMMYFUNCTION("""COMPUTED_VALUE"""),"INU")</f>
        <v>INU</v>
      </c>
      <c r="C5821" s="120" t="str">
        <f>IFERROR(__xludf.DUMMYFUNCTION("""COMPUTED_VALUE"""),"International")</f>
        <v>International</v>
      </c>
      <c r="D5821" s="120" t="str">
        <f>IFERROR(__xludf.DUMMYFUNCTION("""COMPUTED_VALUE"""),"Nauru")</f>
        <v>Nauru</v>
      </c>
      <c r="E5821" s="135"/>
      <c r="F5821" s="31"/>
    </row>
    <row r="5822">
      <c r="A5822" s="134" t="str">
        <f>IFERROR(__xludf.DUMMYFUNCTION("""COMPUTED_VALUE"""),"Navegantes")</f>
        <v>Navegantes</v>
      </c>
      <c r="B5822" s="120" t="str">
        <f>IFERROR(__xludf.DUMMYFUNCTION("""COMPUTED_VALUE"""),"NVT")</f>
        <v>NVT</v>
      </c>
      <c r="C5822" s="120" t="str">
        <f>IFERROR(__xludf.DUMMYFUNCTION("""COMPUTED_VALUE"""),"Navegantes")</f>
        <v>Navegantes</v>
      </c>
      <c r="D5822" s="120" t="str">
        <f>IFERROR(__xludf.DUMMYFUNCTION("""COMPUTED_VALUE"""),"Brazil")</f>
        <v>Brazil</v>
      </c>
      <c r="E5822" s="135"/>
      <c r="F5822" s="31"/>
    </row>
    <row r="5823">
      <c r="A5823" s="134" t="str">
        <f>IFERROR(__xludf.DUMMYFUNCTION("""COMPUTED_VALUE"""),"Navoi")</f>
        <v>Navoi</v>
      </c>
      <c r="B5823" s="120" t="str">
        <f>IFERROR(__xludf.DUMMYFUNCTION("""COMPUTED_VALUE"""),"NVI")</f>
        <v>NVI</v>
      </c>
      <c r="C5823" s="120" t="str">
        <f>IFERROR(__xludf.DUMMYFUNCTION("""COMPUTED_VALUE"""),"Navoi")</f>
        <v>Navoi</v>
      </c>
      <c r="D5823" s="120" t="str">
        <f>IFERROR(__xludf.DUMMYFUNCTION("""COMPUTED_VALUE"""),"Uzbekistan")</f>
        <v>Uzbekistan</v>
      </c>
      <c r="E5823" s="135"/>
      <c r="F5823" s="31"/>
    </row>
    <row r="5824">
      <c r="A5824" s="134" t="str">
        <f>IFERROR(__xludf.DUMMYFUNCTION("""COMPUTED_VALUE"""),"Nawabshah")</f>
        <v>Nawabshah</v>
      </c>
      <c r="B5824" s="120" t="str">
        <f>IFERROR(__xludf.DUMMYFUNCTION("""COMPUTED_VALUE"""),"WNS")</f>
        <v>WNS</v>
      </c>
      <c r="C5824" s="120" t="str">
        <f>IFERROR(__xludf.DUMMYFUNCTION("""COMPUTED_VALUE"""),"Nawabshah")</f>
        <v>Nawabshah</v>
      </c>
      <c r="D5824" s="120" t="str">
        <f>IFERROR(__xludf.DUMMYFUNCTION("""COMPUTED_VALUE"""),"Pakistan")</f>
        <v>Pakistan</v>
      </c>
      <c r="E5824" s="135"/>
      <c r="F5824" s="31"/>
    </row>
    <row r="5825">
      <c r="A5825" s="134" t="str">
        <f>IFERROR(__xludf.DUMMYFUNCTION("""COMPUTED_VALUE"""),"Naxos")</f>
        <v>Naxos</v>
      </c>
      <c r="B5825" s="120" t="str">
        <f>IFERROR(__xludf.DUMMYFUNCTION("""COMPUTED_VALUE"""),"JNX")</f>
        <v>JNX</v>
      </c>
      <c r="C5825" s="120" t="str">
        <f>IFERROR(__xludf.DUMMYFUNCTION("""COMPUTED_VALUE"""),"Naxos Airport")</f>
        <v>Naxos Airport</v>
      </c>
      <c r="D5825" s="120" t="str">
        <f>IFERROR(__xludf.DUMMYFUNCTION("""COMPUTED_VALUE"""),"Greece")</f>
        <v>Greece</v>
      </c>
      <c r="E5825" s="135"/>
      <c r="F5825" s="31"/>
    </row>
    <row r="5826">
      <c r="A5826" s="134" t="str">
        <f>IFERROR(__xludf.DUMMYFUNCTION("""COMPUTED_VALUE"""),"Ndalatandos")</f>
        <v>Ndalatandos</v>
      </c>
      <c r="B5826" s="120" t="str">
        <f>IFERROR(__xludf.DUMMYFUNCTION("""COMPUTED_VALUE"""),"NDF")</f>
        <v>NDF</v>
      </c>
      <c r="C5826" s="120" t="str">
        <f>IFERROR(__xludf.DUMMYFUNCTION("""COMPUTED_VALUE"""),"Ndalatandos")</f>
        <v>Ndalatandos</v>
      </c>
      <c r="D5826" s="120" t="str">
        <f>IFERROR(__xludf.DUMMYFUNCTION("""COMPUTED_VALUE"""),"Angola")</f>
        <v>Angola</v>
      </c>
      <c r="E5826" s="135"/>
      <c r="F5826" s="31"/>
    </row>
    <row r="5827">
      <c r="A5827" s="134" t="str">
        <f>IFERROR(__xludf.DUMMYFUNCTION("""COMPUTED_VALUE"""),"Ndele")</f>
        <v>Ndele</v>
      </c>
      <c r="B5827" s="120" t="str">
        <f>IFERROR(__xludf.DUMMYFUNCTION("""COMPUTED_VALUE"""),"NDL")</f>
        <v>NDL</v>
      </c>
      <c r="C5827" s="120" t="str">
        <f>IFERROR(__xludf.DUMMYFUNCTION("""COMPUTED_VALUE"""),"Ndele")</f>
        <v>Ndele</v>
      </c>
      <c r="D5827" s="120" t="str">
        <f>IFERROR(__xludf.DUMMYFUNCTION("""COMPUTED_VALUE"""),"Central African Republic")</f>
        <v>Central African Republic</v>
      </c>
      <c r="E5827" s="135"/>
      <c r="F5827" s="31"/>
    </row>
    <row r="5828">
      <c r="A5828" s="134" t="str">
        <f>IFERROR(__xludf.DUMMYFUNCTION("""COMPUTED_VALUE"""),"Ndende")</f>
        <v>Ndende</v>
      </c>
      <c r="B5828" s="120" t="str">
        <f>IFERROR(__xludf.DUMMYFUNCTION("""COMPUTED_VALUE"""),"KDN")</f>
        <v>KDN</v>
      </c>
      <c r="C5828" s="120" t="str">
        <f>IFERROR(__xludf.DUMMYFUNCTION("""COMPUTED_VALUE"""),"Ndende")</f>
        <v>Ndende</v>
      </c>
      <c r="D5828" s="120" t="str">
        <f>IFERROR(__xludf.DUMMYFUNCTION("""COMPUTED_VALUE"""),"Gabon")</f>
        <v>Gabon</v>
      </c>
      <c r="E5828" s="135"/>
      <c r="F5828" s="31"/>
    </row>
    <row r="5829">
      <c r="A5829" s="134" t="str">
        <f>IFERROR(__xludf.DUMMYFUNCTION("""COMPUTED_VALUE"""),"Ndjamena")</f>
        <v>Ndjamena</v>
      </c>
      <c r="B5829" s="120" t="str">
        <f>IFERROR(__xludf.DUMMYFUNCTION("""COMPUTED_VALUE"""),"NDJ")</f>
        <v>NDJ</v>
      </c>
      <c r="C5829" s="120" t="str">
        <f>IFERROR(__xludf.DUMMYFUNCTION("""COMPUTED_VALUE"""),"Ndjamena")</f>
        <v>Ndjamena</v>
      </c>
      <c r="D5829" s="120" t="str">
        <f>IFERROR(__xludf.DUMMYFUNCTION("""COMPUTED_VALUE"""),"Chad")</f>
        <v>Chad</v>
      </c>
      <c r="E5829" s="135"/>
      <c r="F5829" s="31"/>
    </row>
    <row r="5830">
      <c r="A5830" s="134" t="str">
        <f>IFERROR(__xludf.DUMMYFUNCTION("""COMPUTED_VALUE"""),"Ndola")</f>
        <v>Ndola</v>
      </c>
      <c r="B5830" s="120" t="str">
        <f>IFERROR(__xludf.DUMMYFUNCTION("""COMPUTED_VALUE"""),"NLA")</f>
        <v>NLA</v>
      </c>
      <c r="C5830" s="120" t="str">
        <f>IFERROR(__xludf.DUMMYFUNCTION("""COMPUTED_VALUE"""),"Ndola")</f>
        <v>Ndola</v>
      </c>
      <c r="D5830" s="120" t="str">
        <f>IFERROR(__xludf.DUMMYFUNCTION("""COMPUTED_VALUE"""),"Zambia")</f>
        <v>Zambia</v>
      </c>
      <c r="E5830" s="135"/>
      <c r="F5830" s="31"/>
    </row>
    <row r="5831">
      <c r="A5831" s="134" t="str">
        <f>IFERROR(__xludf.DUMMYFUNCTION("""COMPUTED_VALUE"""),"Necochea")</f>
        <v>Necochea</v>
      </c>
      <c r="B5831" s="120" t="str">
        <f>IFERROR(__xludf.DUMMYFUNCTION("""COMPUTED_VALUE"""),"NEC")</f>
        <v>NEC</v>
      </c>
      <c r="C5831" s="120" t="str">
        <f>IFERROR(__xludf.DUMMYFUNCTION("""COMPUTED_VALUE"""),"Necochea")</f>
        <v>Necochea</v>
      </c>
      <c r="D5831" s="120" t="str">
        <f>IFERROR(__xludf.DUMMYFUNCTION("""COMPUTED_VALUE"""),"Argentina")</f>
        <v>Argentina</v>
      </c>
      <c r="E5831" s="135"/>
      <c r="F5831" s="31"/>
    </row>
    <row r="5832">
      <c r="A5832" s="134" t="str">
        <f>IFERROR(__xludf.DUMMYFUNCTION("""COMPUTED_VALUE"""),"Necocli")</f>
        <v>Necocli</v>
      </c>
      <c r="B5832" s="120" t="str">
        <f>IFERROR(__xludf.DUMMYFUNCTION("""COMPUTED_VALUE"""),"NCI")</f>
        <v>NCI</v>
      </c>
      <c r="C5832" s="120" t="str">
        <f>IFERROR(__xludf.DUMMYFUNCTION("""COMPUTED_VALUE"""),"Necocli")</f>
        <v>Necocli</v>
      </c>
      <c r="D5832" s="120" t="str">
        <f>IFERROR(__xludf.DUMMYFUNCTION("""COMPUTED_VALUE"""),"Colombia")</f>
        <v>Colombia</v>
      </c>
      <c r="E5832" s="135"/>
      <c r="F5832" s="31"/>
    </row>
    <row r="5833">
      <c r="A5833" s="134" t="str">
        <f>IFERROR(__xludf.DUMMYFUNCTION("""COMPUTED_VALUE"""),"Needles")</f>
        <v>Needles</v>
      </c>
      <c r="B5833" s="120" t="str">
        <f>IFERROR(__xludf.DUMMYFUNCTION("""COMPUTED_VALUE"""),"EED")</f>
        <v>EED</v>
      </c>
      <c r="C5833" s="120" t="str">
        <f>IFERROR(__xludf.DUMMYFUNCTION("""COMPUTED_VALUE"""),"Needles")</f>
        <v>Needles</v>
      </c>
      <c r="D5833" s="120" t="str">
        <f>IFERROR(__xludf.DUMMYFUNCTION("""COMPUTED_VALUE"""),"United States")</f>
        <v>United States</v>
      </c>
      <c r="E5833" s="135"/>
      <c r="F5833" s="31"/>
    </row>
    <row r="5834">
      <c r="A5834" s="134" t="str">
        <f>IFERROR(__xludf.DUMMYFUNCTION("""COMPUTED_VALUE"""),"Neerlerit Inaat")</f>
        <v>Neerlerit Inaat</v>
      </c>
      <c r="B5834" s="120" t="str">
        <f>IFERROR(__xludf.DUMMYFUNCTION("""COMPUTED_VALUE"""),"CNP")</f>
        <v>CNP</v>
      </c>
      <c r="C5834" s="120" t="str">
        <f>IFERROR(__xludf.DUMMYFUNCTION("""COMPUTED_VALUE"""),"Neerlerit Inaat")</f>
        <v>Neerlerit Inaat</v>
      </c>
      <c r="D5834" s="120" t="str">
        <f>IFERROR(__xludf.DUMMYFUNCTION("""COMPUTED_VALUE"""),"Greenland")</f>
        <v>Greenland</v>
      </c>
      <c r="E5834" s="135"/>
      <c r="F5834" s="31"/>
    </row>
    <row r="5835">
      <c r="A5835" s="134" t="str">
        <f>IFERROR(__xludf.DUMMYFUNCTION("""COMPUTED_VALUE"""),"Neftekamsk")</f>
        <v>Neftekamsk</v>
      </c>
      <c r="B5835" s="120" t="str">
        <f>IFERROR(__xludf.DUMMYFUNCTION("""COMPUTED_VALUE"""),"NEF")</f>
        <v>NEF</v>
      </c>
      <c r="C5835" s="120" t="str">
        <f>IFERROR(__xludf.DUMMYFUNCTION("""COMPUTED_VALUE"""),"Neftekamsk")</f>
        <v>Neftekamsk</v>
      </c>
      <c r="D5835" s="120" t="str">
        <f>IFERROR(__xludf.DUMMYFUNCTION("""COMPUTED_VALUE"""),"Russia")</f>
        <v>Russia</v>
      </c>
      <c r="E5835" s="135"/>
      <c r="F5835" s="31"/>
    </row>
    <row r="5836">
      <c r="A5836" s="134" t="str">
        <f>IFERROR(__xludf.DUMMYFUNCTION("""COMPUTED_VALUE"""),"Nefteyugansk")</f>
        <v>Nefteyugansk</v>
      </c>
      <c r="B5836" s="120" t="str">
        <f>IFERROR(__xludf.DUMMYFUNCTION("""COMPUTED_VALUE"""),"NFG")</f>
        <v>NFG</v>
      </c>
      <c r="C5836" s="120" t="str">
        <f>IFERROR(__xludf.DUMMYFUNCTION("""COMPUTED_VALUE"""),"Nefteyugansk")</f>
        <v>Nefteyugansk</v>
      </c>
      <c r="D5836" s="120" t="str">
        <f>IFERROR(__xludf.DUMMYFUNCTION("""COMPUTED_VALUE"""),"Russia")</f>
        <v>Russia</v>
      </c>
      <c r="E5836" s="135"/>
      <c r="F5836" s="31"/>
    </row>
    <row r="5837">
      <c r="A5837" s="134" t="str">
        <f>IFERROR(__xludf.DUMMYFUNCTION("""COMPUTED_VALUE"""),"Negage")</f>
        <v>Negage</v>
      </c>
      <c r="B5837" s="120" t="str">
        <f>IFERROR(__xludf.DUMMYFUNCTION("""COMPUTED_VALUE"""),"GXG")</f>
        <v>GXG</v>
      </c>
      <c r="C5837" s="120" t="str">
        <f>IFERROR(__xludf.DUMMYFUNCTION("""COMPUTED_VALUE"""),"Negage")</f>
        <v>Negage</v>
      </c>
      <c r="D5837" s="120" t="str">
        <f>IFERROR(__xludf.DUMMYFUNCTION("""COMPUTED_VALUE"""),"Angola")</f>
        <v>Angola</v>
      </c>
      <c r="E5837" s="135"/>
      <c r="F5837" s="31"/>
    </row>
    <row r="5838">
      <c r="A5838" s="134" t="str">
        <f>IFERROR(__xludf.DUMMYFUNCTION("""COMPUTED_VALUE"""),"Negarbo")</f>
        <v>Negarbo</v>
      </c>
      <c r="B5838" s="120" t="str">
        <f>IFERROR(__xludf.DUMMYFUNCTION("""COMPUTED_VALUE"""),"GBF")</f>
        <v>GBF</v>
      </c>
      <c r="C5838" s="120" t="str">
        <f>IFERROR(__xludf.DUMMYFUNCTION("""COMPUTED_VALUE"""),"Negarbo")</f>
        <v>Negarbo</v>
      </c>
      <c r="D5838" s="120" t="str">
        <f>IFERROR(__xludf.DUMMYFUNCTION("""COMPUTED_VALUE"""),"Papua New Guinea")</f>
        <v>Papua New Guinea</v>
      </c>
      <c r="E5838" s="135"/>
      <c r="F5838" s="31"/>
    </row>
    <row r="5839">
      <c r="A5839" s="134" t="str">
        <f>IFERROR(__xludf.DUMMYFUNCTION("""COMPUTED_VALUE"""),"Negginan")</f>
        <v>Negginan</v>
      </c>
      <c r="B5839" s="120" t="str">
        <f>IFERROR(__xludf.DUMMYFUNCTION("""COMPUTED_VALUE"""),"ZNG")</f>
        <v>ZNG</v>
      </c>
      <c r="C5839" s="120" t="str">
        <f>IFERROR(__xludf.DUMMYFUNCTION("""COMPUTED_VALUE"""),"Negginan")</f>
        <v>Negginan</v>
      </c>
      <c r="D5839" s="120" t="str">
        <f>IFERROR(__xludf.DUMMYFUNCTION("""COMPUTED_VALUE"""),"Canada")</f>
        <v>Canada</v>
      </c>
      <c r="E5839" s="135"/>
      <c r="F5839" s="31"/>
    </row>
    <row r="5840">
      <c r="A5840" s="134" t="str">
        <f>IFERROR(__xludf.DUMMYFUNCTION("""COMPUTED_VALUE"""),"Neghelli")</f>
        <v>Neghelli</v>
      </c>
      <c r="B5840" s="120" t="str">
        <f>IFERROR(__xludf.DUMMYFUNCTION("""COMPUTED_VALUE"""),"EGL")</f>
        <v>EGL</v>
      </c>
      <c r="C5840" s="120" t="str">
        <f>IFERROR(__xludf.DUMMYFUNCTION("""COMPUTED_VALUE"""),"Neghelli")</f>
        <v>Neghelli</v>
      </c>
      <c r="D5840" s="120" t="str">
        <f>IFERROR(__xludf.DUMMYFUNCTION("""COMPUTED_VALUE"""),"Ethiopia")</f>
        <v>Ethiopia</v>
      </c>
      <c r="E5840" s="135"/>
      <c r="F5840" s="31"/>
    </row>
    <row r="5841">
      <c r="A5841" s="134" t="str">
        <f>IFERROR(__xludf.DUMMYFUNCTION("""COMPUTED_VALUE"""),"Negril")</f>
        <v>Negril</v>
      </c>
      <c r="B5841" s="120" t="str">
        <f>IFERROR(__xludf.DUMMYFUNCTION("""COMPUTED_VALUE"""),"NEG")</f>
        <v>NEG</v>
      </c>
      <c r="C5841" s="120" t="str">
        <f>IFERROR(__xludf.DUMMYFUNCTION("""COMPUTED_VALUE"""),"Negril")</f>
        <v>Negril</v>
      </c>
      <c r="D5841" s="120" t="str">
        <f>IFERROR(__xludf.DUMMYFUNCTION("""COMPUTED_VALUE"""),"Jamaica")</f>
        <v>Jamaica</v>
      </c>
      <c r="E5841" s="135"/>
      <c r="F5841" s="31"/>
    </row>
    <row r="5842">
      <c r="A5842" s="134" t="str">
        <f>IFERROR(__xludf.DUMMYFUNCTION("""COMPUTED_VALUE"""),"Neiva")</f>
        <v>Neiva</v>
      </c>
      <c r="B5842" s="120" t="str">
        <f>IFERROR(__xludf.DUMMYFUNCTION("""COMPUTED_VALUE"""),"NVA")</f>
        <v>NVA</v>
      </c>
      <c r="C5842" s="120" t="str">
        <f>IFERROR(__xludf.DUMMYFUNCTION("""COMPUTED_VALUE"""),"La Marguita")</f>
        <v>La Marguita</v>
      </c>
      <c r="D5842" s="120" t="str">
        <f>IFERROR(__xludf.DUMMYFUNCTION("""COMPUTED_VALUE"""),"Colombia")</f>
        <v>Colombia</v>
      </c>
      <c r="E5842" s="135"/>
      <c r="F5842" s="31"/>
    </row>
    <row r="5843">
      <c r="A5843" s="134" t="str">
        <f>IFERROR(__xludf.DUMMYFUNCTION("""COMPUTED_VALUE"""),"Nejjo")</f>
        <v>Nejjo</v>
      </c>
      <c r="B5843" s="120" t="str">
        <f>IFERROR(__xludf.DUMMYFUNCTION("""COMPUTED_VALUE"""),"NEJ")</f>
        <v>NEJ</v>
      </c>
      <c r="C5843" s="120" t="str">
        <f>IFERROR(__xludf.DUMMYFUNCTION("""COMPUTED_VALUE"""),"Nejjo")</f>
        <v>Nejjo</v>
      </c>
      <c r="D5843" s="120" t="str">
        <f>IFERROR(__xludf.DUMMYFUNCTION("""COMPUTED_VALUE"""),"Ethiopia")</f>
        <v>Ethiopia</v>
      </c>
      <c r="E5843" s="135"/>
      <c r="F5843" s="31"/>
    </row>
    <row r="5844">
      <c r="A5844" s="134" t="str">
        <f>IFERROR(__xludf.DUMMYFUNCTION("""COMPUTED_VALUE"""),"Nejran")</f>
        <v>Nejran</v>
      </c>
      <c r="B5844" s="120" t="str">
        <f>IFERROR(__xludf.DUMMYFUNCTION("""COMPUTED_VALUE"""),"EAM")</f>
        <v>EAM</v>
      </c>
      <c r="C5844" s="120" t="str">
        <f>IFERROR(__xludf.DUMMYFUNCTION("""COMPUTED_VALUE"""),"Nejran")</f>
        <v>Nejran</v>
      </c>
      <c r="D5844" s="120" t="str">
        <f>IFERROR(__xludf.DUMMYFUNCTION("""COMPUTED_VALUE"""),"Saudi Arabia")</f>
        <v>Saudi Arabia</v>
      </c>
      <c r="E5844" s="135"/>
      <c r="F5844" s="31"/>
    </row>
    <row r="5845">
      <c r="A5845" s="134" t="str">
        <f>IFERROR(__xludf.DUMMYFUNCTION("""COMPUTED_VALUE"""),"Nekemt")</f>
        <v>Nekemt</v>
      </c>
      <c r="B5845" s="120" t="str">
        <f>IFERROR(__xludf.DUMMYFUNCTION("""COMPUTED_VALUE"""),"NEK")</f>
        <v>NEK</v>
      </c>
      <c r="C5845" s="120" t="str">
        <f>IFERROR(__xludf.DUMMYFUNCTION("""COMPUTED_VALUE"""),"Nekemt")</f>
        <v>Nekemt</v>
      </c>
      <c r="D5845" s="120" t="str">
        <f>IFERROR(__xludf.DUMMYFUNCTION("""COMPUTED_VALUE"""),"Ethiopia")</f>
        <v>Ethiopia</v>
      </c>
      <c r="E5845" s="135"/>
      <c r="F5845" s="31"/>
    </row>
    <row r="5846">
      <c r="A5846" s="134" t="str">
        <f>IFERROR(__xludf.DUMMYFUNCTION("""COMPUTED_VALUE"""),"Nelson")</f>
        <v>Nelson</v>
      </c>
      <c r="B5846" s="120" t="str">
        <f>IFERROR(__xludf.DUMMYFUNCTION("""COMPUTED_VALUE"""),"NSN")</f>
        <v>NSN</v>
      </c>
      <c r="C5846" s="120" t="str">
        <f>IFERROR(__xludf.DUMMYFUNCTION("""COMPUTED_VALUE"""),"Nelson")</f>
        <v>Nelson</v>
      </c>
      <c r="D5846" s="120" t="str">
        <f>IFERROR(__xludf.DUMMYFUNCTION("""COMPUTED_VALUE"""),"New Zealand (Aotearoa)")</f>
        <v>New Zealand (Aotearoa)</v>
      </c>
      <c r="E5846" s="135"/>
      <c r="F5846" s="31"/>
    </row>
    <row r="5847">
      <c r="A5847" s="134" t="str">
        <f>IFERROR(__xludf.DUMMYFUNCTION("""COMPUTED_VALUE"""),"Nelson Lagoon")</f>
        <v>Nelson Lagoon</v>
      </c>
      <c r="B5847" s="120" t="str">
        <f>IFERROR(__xludf.DUMMYFUNCTION("""COMPUTED_VALUE"""),"NLG")</f>
        <v>NLG</v>
      </c>
      <c r="C5847" s="120" t="str">
        <f>IFERROR(__xludf.DUMMYFUNCTION("""COMPUTED_VALUE"""),"Nelson Lagoon")</f>
        <v>Nelson Lagoon</v>
      </c>
      <c r="D5847" s="120" t="str">
        <f>IFERROR(__xludf.DUMMYFUNCTION("""COMPUTED_VALUE"""),"United States")</f>
        <v>United States</v>
      </c>
      <c r="E5847" s="135"/>
      <c r="F5847" s="31"/>
    </row>
    <row r="5848">
      <c r="A5848" s="134" t="str">
        <f>IFERROR(__xludf.DUMMYFUNCTION("""COMPUTED_VALUE"""),"Nelspruit")</f>
        <v>Nelspruit</v>
      </c>
      <c r="B5848" s="120" t="str">
        <f>IFERROR(__xludf.DUMMYFUNCTION("""COMPUTED_VALUE"""),"NLP")</f>
        <v>NLP</v>
      </c>
      <c r="C5848" s="120" t="str">
        <f>IFERROR(__xludf.DUMMYFUNCTION("""COMPUTED_VALUE"""),"Nelspruit International")</f>
        <v>Nelspruit International</v>
      </c>
      <c r="D5848" s="120" t="str">
        <f>IFERROR(__xludf.DUMMYFUNCTION("""COMPUTED_VALUE"""),"South Africa")</f>
        <v>South Africa</v>
      </c>
      <c r="E5848" s="135"/>
      <c r="F5848" s="31"/>
    </row>
    <row r="5849">
      <c r="A5849" s="134" t="str">
        <f>IFERROR(__xludf.DUMMYFUNCTION("""COMPUTED_VALUE"""),"Nelspruit")</f>
        <v>Nelspruit</v>
      </c>
      <c r="B5849" s="120" t="str">
        <f>IFERROR(__xludf.DUMMYFUNCTION("""COMPUTED_VALUE"""),"MQP")</f>
        <v>MQP</v>
      </c>
      <c r="C5849" s="120" t="str">
        <f>IFERROR(__xludf.DUMMYFUNCTION("""COMPUTED_VALUE"""),"Kruger Mpumalanga")</f>
        <v>Kruger Mpumalanga</v>
      </c>
      <c r="D5849" s="120" t="str">
        <f>IFERROR(__xludf.DUMMYFUNCTION("""COMPUTED_VALUE"""),"South Africa")</f>
        <v>South Africa</v>
      </c>
      <c r="E5849" s="135"/>
      <c r="F5849" s="31"/>
    </row>
    <row r="5850">
      <c r="A5850" s="134" t="str">
        <f>IFERROR(__xludf.DUMMYFUNCTION("""COMPUTED_VALUE"""),"Nema")</f>
        <v>Nema</v>
      </c>
      <c r="B5850" s="120" t="str">
        <f>IFERROR(__xludf.DUMMYFUNCTION("""COMPUTED_VALUE"""),"EMN")</f>
        <v>EMN</v>
      </c>
      <c r="C5850" s="120" t="str">
        <f>IFERROR(__xludf.DUMMYFUNCTION("""COMPUTED_VALUE"""),"Nema")</f>
        <v>Nema</v>
      </c>
      <c r="D5850" s="120" t="str">
        <f>IFERROR(__xludf.DUMMYFUNCTION("""COMPUTED_VALUE"""),"Mauritania")</f>
        <v>Mauritania</v>
      </c>
      <c r="E5850" s="135"/>
      <c r="F5850" s="31"/>
    </row>
    <row r="5851">
      <c r="A5851" s="134" t="str">
        <f>IFERROR(__xludf.DUMMYFUNCTION("""COMPUTED_VALUE"""),"Nemiscau")</f>
        <v>Nemiscau</v>
      </c>
      <c r="B5851" s="120" t="str">
        <f>IFERROR(__xludf.DUMMYFUNCTION("""COMPUTED_VALUE"""),"YNS")</f>
        <v>YNS</v>
      </c>
      <c r="C5851" s="120" t="str">
        <f>IFERROR(__xludf.DUMMYFUNCTION("""COMPUTED_VALUE"""),"Nemiscau")</f>
        <v>Nemiscau</v>
      </c>
      <c r="D5851" s="120" t="str">
        <f>IFERROR(__xludf.DUMMYFUNCTION("""COMPUTED_VALUE"""),"Canada")</f>
        <v>Canada</v>
      </c>
      <c r="E5851" s="135"/>
      <c r="F5851" s="31"/>
    </row>
    <row r="5852">
      <c r="A5852" s="134" t="str">
        <f>IFERROR(__xludf.DUMMYFUNCTION("""COMPUTED_VALUE"""),"Nenana")</f>
        <v>Nenana</v>
      </c>
      <c r="B5852" s="120" t="str">
        <f>IFERROR(__xludf.DUMMYFUNCTION("""COMPUTED_VALUE"""),"ENN")</f>
        <v>ENN</v>
      </c>
      <c r="C5852" s="120" t="str">
        <f>IFERROR(__xludf.DUMMYFUNCTION("""COMPUTED_VALUE"""),"Municipal")</f>
        <v>Municipal</v>
      </c>
      <c r="D5852" s="120" t="str">
        <f>IFERROR(__xludf.DUMMYFUNCTION("""COMPUTED_VALUE"""),"United States")</f>
        <v>United States</v>
      </c>
      <c r="E5852" s="135"/>
      <c r="F5852" s="31"/>
    </row>
    <row r="5853">
      <c r="A5853" s="134" t="str">
        <f>IFERROR(__xludf.DUMMYFUNCTION("""COMPUTED_VALUE"""),"Neosho")</f>
        <v>Neosho</v>
      </c>
      <c r="B5853" s="120" t="str">
        <f>IFERROR(__xludf.DUMMYFUNCTION("""COMPUTED_VALUE"""),"EOS")</f>
        <v>EOS</v>
      </c>
      <c r="C5853" s="120" t="str">
        <f>IFERROR(__xludf.DUMMYFUNCTION("""COMPUTED_VALUE"""),"Neosho")</f>
        <v>Neosho</v>
      </c>
      <c r="D5853" s="120" t="str">
        <f>IFERROR(__xludf.DUMMYFUNCTION("""COMPUTED_VALUE"""),"United States")</f>
        <v>United States</v>
      </c>
      <c r="E5853" s="135"/>
      <c r="F5853" s="31"/>
    </row>
    <row r="5854">
      <c r="A5854" s="134" t="str">
        <f>IFERROR(__xludf.DUMMYFUNCTION("""COMPUTED_VALUE"""),"Nepalganj")</f>
        <v>Nepalganj</v>
      </c>
      <c r="B5854" s="120" t="str">
        <f>IFERROR(__xludf.DUMMYFUNCTION("""COMPUTED_VALUE"""),"KEP")</f>
        <v>KEP</v>
      </c>
      <c r="C5854" s="120" t="str">
        <f>IFERROR(__xludf.DUMMYFUNCTION("""COMPUTED_VALUE"""),"Nepalganj")</f>
        <v>Nepalganj</v>
      </c>
      <c r="D5854" s="120" t="str">
        <f>IFERROR(__xludf.DUMMYFUNCTION("""COMPUTED_VALUE"""),"Nepal")</f>
        <v>Nepal</v>
      </c>
      <c r="E5854" s="135"/>
      <c r="F5854" s="31"/>
    </row>
    <row r="5855">
      <c r="A5855" s="134" t="str">
        <f>IFERROR(__xludf.DUMMYFUNCTION("""COMPUTED_VALUE"""),"Nephi")</f>
        <v>Nephi</v>
      </c>
      <c r="B5855" s="120" t="str">
        <f>IFERROR(__xludf.DUMMYFUNCTION("""COMPUTED_VALUE"""),"NPH")</f>
        <v>NPH</v>
      </c>
      <c r="C5855" s="120" t="str">
        <f>IFERROR(__xludf.DUMMYFUNCTION("""COMPUTED_VALUE"""),"Nephi")</f>
        <v>Nephi</v>
      </c>
      <c r="D5855" s="120" t="str">
        <f>IFERROR(__xludf.DUMMYFUNCTION("""COMPUTED_VALUE"""),"United States")</f>
        <v>United States</v>
      </c>
      <c r="E5855" s="135"/>
      <c r="F5855" s="31"/>
    </row>
    <row r="5856">
      <c r="A5856" s="134" t="str">
        <f>IFERROR(__xludf.DUMMYFUNCTION("""COMPUTED_VALUE"""),"Neryungri")</f>
        <v>Neryungri</v>
      </c>
      <c r="B5856" s="120" t="str">
        <f>IFERROR(__xludf.DUMMYFUNCTION("""COMPUTED_VALUE"""),"NER")</f>
        <v>NER</v>
      </c>
      <c r="C5856" s="120" t="str">
        <f>IFERROR(__xludf.DUMMYFUNCTION("""COMPUTED_VALUE"""),"Neryungri")</f>
        <v>Neryungri</v>
      </c>
      <c r="D5856" s="120" t="str">
        <f>IFERROR(__xludf.DUMMYFUNCTION("""COMPUTED_VALUE"""),"Russia")</f>
        <v>Russia</v>
      </c>
      <c r="E5856" s="135"/>
      <c r="F5856" s="31"/>
    </row>
    <row r="5857">
      <c r="A5857" s="134" t="str">
        <f>IFERROR(__xludf.DUMMYFUNCTION("""COMPUTED_VALUE"""),"Nesbyen")</f>
        <v>Nesbyen</v>
      </c>
      <c r="B5857" s="120" t="str">
        <f>IFERROR(__xludf.DUMMYFUNCTION("""COMPUTED_VALUE"""),"XUL")</f>
        <v>XUL</v>
      </c>
      <c r="C5857" s="120" t="str">
        <f>IFERROR(__xludf.DUMMYFUNCTION("""COMPUTED_VALUE"""),"Nesbyen Railway")</f>
        <v>Nesbyen Railway</v>
      </c>
      <c r="D5857" s="120" t="str">
        <f>IFERROR(__xludf.DUMMYFUNCTION("""COMPUTED_VALUE"""),"Norway")</f>
        <v>Norway</v>
      </c>
      <c r="E5857" s="135"/>
      <c r="F5857" s="31"/>
    </row>
    <row r="5858">
      <c r="A5858" s="134" t="str">
        <f>IFERROR(__xludf.DUMMYFUNCTION("""COMPUTED_VALUE"""),"Neslandsvatn")</f>
        <v>Neslandsvatn</v>
      </c>
      <c r="B5858" s="120" t="str">
        <f>IFERROR(__xludf.DUMMYFUNCTION("""COMPUTED_VALUE"""),"XUM")</f>
        <v>XUM</v>
      </c>
      <c r="C5858" s="120" t="str">
        <f>IFERROR(__xludf.DUMMYFUNCTION("""COMPUTED_VALUE"""),"Neslandsvatn Railway")</f>
        <v>Neslandsvatn Railway</v>
      </c>
      <c r="D5858" s="120" t="str">
        <f>IFERROR(__xludf.DUMMYFUNCTION("""COMPUTED_VALUE"""),"Norway")</f>
        <v>Norway</v>
      </c>
      <c r="E5858" s="135"/>
      <c r="F5858" s="31"/>
    </row>
    <row r="5859">
      <c r="A5859" s="134" t="str">
        <f>IFERROR(__xludf.DUMMYFUNCTION("""COMPUTED_VALUE"""),"Neubrandenburg")</f>
        <v>Neubrandenburg</v>
      </c>
      <c r="B5859" s="120" t="str">
        <f>IFERROR(__xludf.DUMMYFUNCTION("""COMPUTED_VALUE"""),"FNB")</f>
        <v>FNB</v>
      </c>
      <c r="C5859" s="120" t="str">
        <f>IFERROR(__xludf.DUMMYFUNCTION("""COMPUTED_VALUE"""),"Neubrandenburg")</f>
        <v>Neubrandenburg</v>
      </c>
      <c r="D5859" s="120" t="str">
        <f>IFERROR(__xludf.DUMMYFUNCTION("""COMPUTED_VALUE"""),"Germany")</f>
        <v>Germany</v>
      </c>
      <c r="E5859" s="135"/>
      <c r="F5859" s="31"/>
    </row>
    <row r="5860">
      <c r="A5860" s="134" t="str">
        <f>IFERROR(__xludf.DUMMYFUNCTION("""COMPUTED_VALUE"""),"Neumuenster")</f>
        <v>Neumuenster</v>
      </c>
      <c r="B5860" s="120" t="str">
        <f>IFERROR(__xludf.DUMMYFUNCTION("""COMPUTED_VALUE"""),"EUM")</f>
        <v>EUM</v>
      </c>
      <c r="C5860" s="120" t="str">
        <f>IFERROR(__xludf.DUMMYFUNCTION("""COMPUTED_VALUE"""),"Neumuenster")</f>
        <v>Neumuenster</v>
      </c>
      <c r="D5860" s="120" t="str">
        <f>IFERROR(__xludf.DUMMYFUNCTION("""COMPUTED_VALUE"""),"Germany")</f>
        <v>Germany</v>
      </c>
      <c r="E5860" s="135"/>
      <c r="F5860" s="31"/>
    </row>
    <row r="5861">
      <c r="A5861" s="134" t="str">
        <f>IFERROR(__xludf.DUMMYFUNCTION("""COMPUTED_VALUE"""),"Neuquen")</f>
        <v>Neuquen</v>
      </c>
      <c r="B5861" s="120" t="str">
        <f>IFERROR(__xludf.DUMMYFUNCTION("""COMPUTED_VALUE"""),"NQN")</f>
        <v>NQN</v>
      </c>
      <c r="C5861" s="120" t="str">
        <f>IFERROR(__xludf.DUMMYFUNCTION("""COMPUTED_VALUE"""),"Neuquen")</f>
        <v>Neuquen</v>
      </c>
      <c r="D5861" s="120" t="str">
        <f>IFERROR(__xludf.DUMMYFUNCTION("""COMPUTED_VALUE"""),"Argentina")</f>
        <v>Argentina</v>
      </c>
      <c r="E5861" s="135"/>
      <c r="F5861" s="31"/>
    </row>
    <row r="5862">
      <c r="A5862" s="134" t="str">
        <f>IFERROR(__xludf.DUMMYFUNCTION("""COMPUTED_VALUE"""),"Nevada")</f>
        <v>Nevada</v>
      </c>
      <c r="B5862" s="120" t="str">
        <f>IFERROR(__xludf.DUMMYFUNCTION("""COMPUTED_VALUE"""),"NVD")</f>
        <v>NVD</v>
      </c>
      <c r="C5862" s="120" t="str">
        <f>IFERROR(__xludf.DUMMYFUNCTION("""COMPUTED_VALUE"""),"Nevada")</f>
        <v>Nevada</v>
      </c>
      <c r="D5862" s="120" t="str">
        <f>IFERROR(__xludf.DUMMYFUNCTION("""COMPUTED_VALUE"""),"United States")</f>
        <v>United States</v>
      </c>
      <c r="E5862" s="135"/>
      <c r="F5862" s="31"/>
    </row>
    <row r="5863">
      <c r="A5863" s="134" t="str">
        <f>IFERROR(__xludf.DUMMYFUNCTION("""COMPUTED_VALUE"""),"Nevers")</f>
        <v>Nevers</v>
      </c>
      <c r="B5863" s="120" t="str">
        <f>IFERROR(__xludf.DUMMYFUNCTION("""COMPUTED_VALUE"""),"NVS")</f>
        <v>NVS</v>
      </c>
      <c r="C5863" s="120" t="str">
        <f>IFERROR(__xludf.DUMMYFUNCTION("""COMPUTED_VALUE"""),"Nevers")</f>
        <v>Nevers</v>
      </c>
      <c r="D5863" s="120" t="str">
        <f>IFERROR(__xludf.DUMMYFUNCTION("""COMPUTED_VALUE"""),"France")</f>
        <v>France</v>
      </c>
      <c r="E5863" s="135"/>
      <c r="F5863" s="31"/>
    </row>
    <row r="5864">
      <c r="A5864" s="134" t="str">
        <f>IFERROR(__xludf.DUMMYFUNCTION("""COMPUTED_VALUE"""),"Nevis")</f>
        <v>Nevis</v>
      </c>
      <c r="B5864" s="120" t="str">
        <f>IFERROR(__xludf.DUMMYFUNCTION("""COMPUTED_VALUE"""),"NEV")</f>
        <v>NEV</v>
      </c>
      <c r="C5864" s="120" t="str">
        <f>IFERROR(__xludf.DUMMYFUNCTION("""COMPUTED_VALUE"""),"Newcastle")</f>
        <v>Newcastle</v>
      </c>
      <c r="D5864" s="120" t="str">
        <f>IFERROR(__xludf.DUMMYFUNCTION("""COMPUTED_VALUE"""),"Saint Kitts and Nevis")</f>
        <v>Saint Kitts and Nevis</v>
      </c>
      <c r="E5864" s="135"/>
      <c r="F5864" s="31"/>
    </row>
    <row r="5865">
      <c r="A5865" s="134" t="str">
        <f>IFERROR(__xludf.DUMMYFUNCTION("""COMPUTED_VALUE"""),"Nevsehir")</f>
        <v>Nevsehir</v>
      </c>
      <c r="B5865" s="120" t="str">
        <f>IFERROR(__xludf.DUMMYFUNCTION("""COMPUTED_VALUE"""),"NAV")</f>
        <v>NAV</v>
      </c>
      <c r="C5865" s="120" t="str">
        <f>IFERROR(__xludf.DUMMYFUNCTION("""COMPUTED_VALUE"""),"Nevsehir")</f>
        <v>Nevsehir</v>
      </c>
      <c r="D5865" s="120" t="str">
        <f>IFERROR(__xludf.DUMMYFUNCTION("""COMPUTED_VALUE"""),"Turkey")</f>
        <v>Turkey</v>
      </c>
      <c r="E5865" s="135"/>
      <c r="F5865" s="31"/>
    </row>
    <row r="5866">
      <c r="A5866" s="134" t="str">
        <f>IFERROR(__xludf.DUMMYFUNCTION("""COMPUTED_VALUE"""),"New Bedford")</f>
        <v>New Bedford</v>
      </c>
      <c r="B5866" s="120" t="str">
        <f>IFERROR(__xludf.DUMMYFUNCTION("""COMPUTED_VALUE"""),"EWB")</f>
        <v>EWB</v>
      </c>
      <c r="C5866" s="120" t="str">
        <f>IFERROR(__xludf.DUMMYFUNCTION("""COMPUTED_VALUE"""),"New Bedford")</f>
        <v>New Bedford</v>
      </c>
      <c r="D5866" s="120" t="str">
        <f>IFERROR(__xludf.DUMMYFUNCTION("""COMPUTED_VALUE"""),"United States")</f>
        <v>United States</v>
      </c>
      <c r="E5866" s="135"/>
      <c r="F5866" s="31"/>
    </row>
    <row r="5867">
      <c r="A5867" s="134" t="str">
        <f>IFERROR(__xludf.DUMMYFUNCTION("""COMPUTED_VALUE"""),"New Bern")</f>
        <v>New Bern</v>
      </c>
      <c r="B5867" s="120" t="str">
        <f>IFERROR(__xludf.DUMMYFUNCTION("""COMPUTED_VALUE"""),"EWN")</f>
        <v>EWN</v>
      </c>
      <c r="C5867" s="120" t="str">
        <f>IFERROR(__xludf.DUMMYFUNCTION("""COMPUTED_VALUE"""),"Simmons Nott")</f>
        <v>Simmons Nott</v>
      </c>
      <c r="D5867" s="120" t="str">
        <f>IFERROR(__xludf.DUMMYFUNCTION("""COMPUTED_VALUE"""),"United States")</f>
        <v>United States</v>
      </c>
      <c r="E5867" s="135"/>
      <c r="F5867" s="31"/>
    </row>
    <row r="5868">
      <c r="A5868" s="134" t="str">
        <f>IFERROR(__xludf.DUMMYFUNCTION("""COMPUTED_VALUE"""),"New Bight")</f>
        <v>New Bight</v>
      </c>
      <c r="B5868" s="120" t="str">
        <f>IFERROR(__xludf.DUMMYFUNCTION("""COMPUTED_VALUE"""),"NET")</f>
        <v>NET</v>
      </c>
      <c r="C5868" s="120" t="str">
        <f>IFERROR(__xludf.DUMMYFUNCTION("""COMPUTED_VALUE"""),"New Bight")</f>
        <v>New Bight</v>
      </c>
      <c r="D5868" s="120" t="str">
        <f>IFERROR(__xludf.DUMMYFUNCTION("""COMPUTED_VALUE"""),"Bahamas")</f>
        <v>Bahamas</v>
      </c>
      <c r="E5868" s="135"/>
      <c r="F5868" s="31"/>
    </row>
    <row r="5869">
      <c r="A5869" s="134" t="str">
        <f>IFERROR(__xludf.DUMMYFUNCTION("""COMPUTED_VALUE"""),"New Chenega")</f>
        <v>New Chenega</v>
      </c>
      <c r="B5869" s="120" t="str">
        <f>IFERROR(__xludf.DUMMYFUNCTION("""COMPUTED_VALUE"""),"NCN")</f>
        <v>NCN</v>
      </c>
      <c r="C5869" s="120" t="str">
        <f>IFERROR(__xludf.DUMMYFUNCTION("""COMPUTED_VALUE"""),"New Chenega")</f>
        <v>New Chenega</v>
      </c>
      <c r="D5869" s="120" t="str">
        <f>IFERROR(__xludf.DUMMYFUNCTION("""COMPUTED_VALUE"""),"United States")</f>
        <v>United States</v>
      </c>
      <c r="E5869" s="135"/>
      <c r="F5869" s="31"/>
    </row>
    <row r="5870">
      <c r="A5870" s="134" t="str">
        <f>IFERROR(__xludf.DUMMYFUNCTION("""COMPUTED_VALUE"""),"New Halfa")</f>
        <v>New Halfa</v>
      </c>
      <c r="B5870" s="120" t="str">
        <f>IFERROR(__xludf.DUMMYFUNCTION("""COMPUTED_VALUE"""),"NHF")</f>
        <v>NHF</v>
      </c>
      <c r="C5870" s="120" t="str">
        <f>IFERROR(__xludf.DUMMYFUNCTION("""COMPUTED_VALUE"""),"New Halfa")</f>
        <v>New Halfa</v>
      </c>
      <c r="D5870" s="120" t="str">
        <f>IFERROR(__xludf.DUMMYFUNCTION("""COMPUTED_VALUE"""),"Sudan")</f>
        <v>Sudan</v>
      </c>
      <c r="E5870" s="135"/>
      <c r="F5870" s="31"/>
    </row>
    <row r="5871">
      <c r="A5871" s="134" t="str">
        <f>IFERROR(__xludf.DUMMYFUNCTION("""COMPUTED_VALUE"""),"New Haven")</f>
        <v>New Haven</v>
      </c>
      <c r="B5871" s="120" t="str">
        <f>IFERROR(__xludf.DUMMYFUNCTION("""COMPUTED_VALUE"""),"HVN")</f>
        <v>HVN</v>
      </c>
      <c r="C5871" s="120" t="str">
        <f>IFERROR(__xludf.DUMMYFUNCTION("""COMPUTED_VALUE"""),"New Haven")</f>
        <v>New Haven</v>
      </c>
      <c r="D5871" s="120" t="str">
        <f>IFERROR(__xludf.DUMMYFUNCTION("""COMPUTED_VALUE"""),"United States")</f>
        <v>United States</v>
      </c>
      <c r="E5871" s="135"/>
      <c r="F5871" s="31"/>
    </row>
    <row r="5872">
      <c r="A5872" s="134" t="str">
        <f>IFERROR(__xludf.DUMMYFUNCTION("""COMPUTED_VALUE"""),"New Haven")</f>
        <v>New Haven</v>
      </c>
      <c r="B5872" s="120" t="str">
        <f>IFERROR(__xludf.DUMMYFUNCTION("""COMPUTED_VALUE"""),"ZVE")</f>
        <v>ZVE</v>
      </c>
      <c r="C5872" s="120" t="str">
        <f>IFERROR(__xludf.DUMMYFUNCTION("""COMPUTED_VALUE"""),"New Haven Rail")</f>
        <v>New Haven Rail</v>
      </c>
      <c r="D5872" s="120" t="str">
        <f>IFERROR(__xludf.DUMMYFUNCTION("""COMPUTED_VALUE"""),"United States")</f>
        <v>United States</v>
      </c>
      <c r="E5872" s="135"/>
      <c r="F5872" s="31"/>
    </row>
    <row r="5873">
      <c r="A5873" s="134" t="str">
        <f>IFERROR(__xludf.DUMMYFUNCTION("""COMPUTED_VALUE"""),"New Iberia")</f>
        <v>New Iberia</v>
      </c>
      <c r="B5873" s="120" t="str">
        <f>IFERROR(__xludf.DUMMYFUNCTION("""COMPUTED_VALUE"""),"ARA")</f>
        <v>ARA</v>
      </c>
      <c r="C5873" s="120" t="str">
        <f>IFERROR(__xludf.DUMMYFUNCTION("""COMPUTED_VALUE"""),"Acadiana Regional")</f>
        <v>Acadiana Regional</v>
      </c>
      <c r="D5873" s="120" t="str">
        <f>IFERROR(__xludf.DUMMYFUNCTION("""COMPUTED_VALUE"""),"United States")</f>
        <v>United States</v>
      </c>
      <c r="E5873" s="135"/>
      <c r="F5873" s="31"/>
    </row>
    <row r="5874">
      <c r="A5874" s="134" t="str">
        <f>IFERROR(__xludf.DUMMYFUNCTION("""COMPUTED_VALUE"""),"New Iberia")</f>
        <v>New Iberia</v>
      </c>
      <c r="B5874" s="120" t="str">
        <f>IFERROR(__xludf.DUMMYFUNCTION("""COMPUTED_VALUE"""),"LFT")</f>
        <v>LFT</v>
      </c>
      <c r="C5874" s="120" t="str">
        <f>IFERROR(__xludf.DUMMYFUNCTION("""COMPUTED_VALUE"""),"Lafayette Regional")</f>
        <v>Lafayette Regional</v>
      </c>
      <c r="D5874" s="120" t="str">
        <f>IFERROR(__xludf.DUMMYFUNCTION("""COMPUTED_VALUE"""),"United States")</f>
        <v>United States</v>
      </c>
      <c r="E5874" s="135"/>
      <c r="F5874" s="31"/>
    </row>
    <row r="5875">
      <c r="A5875" s="134" t="str">
        <f>IFERROR(__xludf.DUMMYFUNCTION("""COMPUTED_VALUE"""),"New Koliganek")</f>
        <v>New Koliganek</v>
      </c>
      <c r="B5875" s="120" t="str">
        <f>IFERROR(__xludf.DUMMYFUNCTION("""COMPUTED_VALUE"""),"KGK")</f>
        <v>KGK</v>
      </c>
      <c r="C5875" s="120" t="str">
        <f>IFERROR(__xludf.DUMMYFUNCTION("""COMPUTED_VALUE"""),"New Koliganek")</f>
        <v>New Koliganek</v>
      </c>
      <c r="D5875" s="120" t="str">
        <f>IFERROR(__xludf.DUMMYFUNCTION("""COMPUTED_VALUE"""),"United States")</f>
        <v>United States</v>
      </c>
      <c r="E5875" s="135"/>
      <c r="F5875" s="31"/>
    </row>
    <row r="5876">
      <c r="A5876" s="134" t="str">
        <f>IFERROR(__xludf.DUMMYFUNCTION("""COMPUTED_VALUE"""),"New London")</f>
        <v>New London</v>
      </c>
      <c r="B5876" s="120" t="str">
        <f>IFERROR(__xludf.DUMMYFUNCTION("""COMPUTED_VALUE"""),"GON")</f>
        <v>GON</v>
      </c>
      <c r="C5876" s="120" t="str">
        <f>IFERROR(__xludf.DUMMYFUNCTION("""COMPUTED_VALUE"""),"New London")</f>
        <v>New London</v>
      </c>
      <c r="D5876" s="120" t="str">
        <f>IFERROR(__xludf.DUMMYFUNCTION("""COMPUTED_VALUE"""),"United States")</f>
        <v>United States</v>
      </c>
      <c r="E5876" s="135"/>
      <c r="F5876" s="31"/>
    </row>
    <row r="5877">
      <c r="A5877" s="134" t="str">
        <f>IFERROR(__xludf.DUMMYFUNCTION("""COMPUTED_VALUE"""),"New Moon")</f>
        <v>New Moon</v>
      </c>
      <c r="B5877" s="120" t="str">
        <f>IFERROR(__xludf.DUMMYFUNCTION("""COMPUTED_VALUE"""),"NMP")</f>
        <v>NMP</v>
      </c>
      <c r="C5877" s="120" t="str">
        <f>IFERROR(__xludf.DUMMYFUNCTION("""COMPUTED_VALUE"""),"New Moon")</f>
        <v>New Moon</v>
      </c>
      <c r="D5877" s="120" t="str">
        <f>IFERROR(__xludf.DUMMYFUNCTION("""COMPUTED_VALUE"""),"Australia")</f>
        <v>Australia</v>
      </c>
      <c r="E5877" s="135"/>
      <c r="F5877" s="31"/>
    </row>
    <row r="5878">
      <c r="A5878" s="134" t="str">
        <f>IFERROR(__xludf.DUMMYFUNCTION("""COMPUTED_VALUE"""),"New Orleans")</f>
        <v>New Orleans</v>
      </c>
      <c r="B5878" s="120" t="str">
        <f>IFERROR(__xludf.DUMMYFUNCTION("""COMPUTED_VALUE"""),"NEW")</f>
        <v>NEW</v>
      </c>
      <c r="C5878" s="120" t="str">
        <f>IFERROR(__xludf.DUMMYFUNCTION("""COMPUTED_VALUE"""),"Lakefront")</f>
        <v>Lakefront</v>
      </c>
      <c r="D5878" s="120" t="str">
        <f>IFERROR(__xludf.DUMMYFUNCTION("""COMPUTED_VALUE"""),"United States")</f>
        <v>United States</v>
      </c>
      <c r="E5878" s="135"/>
      <c r="F5878" s="31"/>
    </row>
    <row r="5879">
      <c r="A5879" s="134" t="str">
        <f>IFERROR(__xludf.DUMMYFUNCTION("""COMPUTED_VALUE"""),"New Orleans")</f>
        <v>New Orleans</v>
      </c>
      <c r="B5879" s="120" t="str">
        <f>IFERROR(__xludf.DUMMYFUNCTION("""COMPUTED_VALUE"""),"NBG")</f>
        <v>NBG</v>
      </c>
      <c r="C5879" s="120" t="str">
        <f>IFERROR(__xludf.DUMMYFUNCTION("""COMPUTED_VALUE"""),"NAS/Alvin Callendar")</f>
        <v>NAS/Alvin Callendar</v>
      </c>
      <c r="D5879" s="120" t="str">
        <f>IFERROR(__xludf.DUMMYFUNCTION("""COMPUTED_VALUE"""),"United States")</f>
        <v>United States</v>
      </c>
      <c r="E5879" s="135"/>
      <c r="F5879" s="31"/>
    </row>
    <row r="5880">
      <c r="A5880" s="134" t="str">
        <f>IFERROR(__xludf.DUMMYFUNCTION("""COMPUTED_VALUE"""),"New Philadelphia")</f>
        <v>New Philadelphia</v>
      </c>
      <c r="B5880" s="120" t="str">
        <f>IFERROR(__xludf.DUMMYFUNCTION("""COMPUTED_VALUE"""),"PHD")</f>
        <v>PHD</v>
      </c>
      <c r="C5880" s="120" t="str">
        <f>IFERROR(__xludf.DUMMYFUNCTION("""COMPUTED_VALUE"""),"Harry Clever")</f>
        <v>Harry Clever</v>
      </c>
      <c r="D5880" s="120" t="str">
        <f>IFERROR(__xludf.DUMMYFUNCTION("""COMPUTED_VALUE"""),"United States")</f>
        <v>United States</v>
      </c>
      <c r="E5880" s="135"/>
      <c r="F5880" s="31"/>
    </row>
    <row r="5881">
      <c r="A5881" s="134" t="str">
        <f>IFERROR(__xludf.DUMMYFUNCTION("""COMPUTED_VALUE"""),"New Plymouth")</f>
        <v>New Plymouth</v>
      </c>
      <c r="B5881" s="120" t="str">
        <f>IFERROR(__xludf.DUMMYFUNCTION("""COMPUTED_VALUE"""),"NPL")</f>
        <v>NPL</v>
      </c>
      <c r="C5881" s="120" t="str">
        <f>IFERROR(__xludf.DUMMYFUNCTION("""COMPUTED_VALUE"""),"New Plymouth")</f>
        <v>New Plymouth</v>
      </c>
      <c r="D5881" s="120" t="str">
        <f>IFERROR(__xludf.DUMMYFUNCTION("""COMPUTED_VALUE"""),"New Zealand (Aotearoa)")</f>
        <v>New Zealand (Aotearoa)</v>
      </c>
      <c r="E5881" s="135"/>
      <c r="F5881" s="31"/>
    </row>
    <row r="5882">
      <c r="A5882" s="134" t="str">
        <f>IFERROR(__xludf.DUMMYFUNCTION("""COMPUTED_VALUE"""),"New Richmond")</f>
        <v>New Richmond</v>
      </c>
      <c r="B5882" s="120" t="str">
        <f>IFERROR(__xludf.DUMMYFUNCTION("""COMPUTED_VALUE"""),"RNH")</f>
        <v>RNH</v>
      </c>
      <c r="C5882" s="120" t="str">
        <f>IFERROR(__xludf.DUMMYFUNCTION("""COMPUTED_VALUE"""),"Municipal")</f>
        <v>Municipal</v>
      </c>
      <c r="D5882" s="120" t="str">
        <f>IFERROR(__xludf.DUMMYFUNCTION("""COMPUTED_VALUE"""),"United States")</f>
        <v>United States</v>
      </c>
      <c r="E5882" s="135"/>
      <c r="F5882" s="31"/>
    </row>
    <row r="5883">
      <c r="A5883" s="134" t="str">
        <f>IFERROR(__xludf.DUMMYFUNCTION("""COMPUTED_VALUE"""),"New Stuyahok")</f>
        <v>New Stuyahok</v>
      </c>
      <c r="B5883" s="120" t="str">
        <f>IFERROR(__xludf.DUMMYFUNCTION("""COMPUTED_VALUE"""),"KNW")</f>
        <v>KNW</v>
      </c>
      <c r="C5883" s="120" t="str">
        <f>IFERROR(__xludf.DUMMYFUNCTION("""COMPUTED_VALUE"""),"New Stuyahok")</f>
        <v>New Stuyahok</v>
      </c>
      <c r="D5883" s="120" t="str">
        <f>IFERROR(__xludf.DUMMYFUNCTION("""COMPUTED_VALUE"""),"United States")</f>
        <v>United States</v>
      </c>
      <c r="E5883" s="135"/>
      <c r="F5883" s="31"/>
    </row>
    <row r="5884">
      <c r="A5884" s="134" t="str">
        <f>IFERROR(__xludf.DUMMYFUNCTION("""COMPUTED_VALUE"""),"New Ulm")</f>
        <v>New Ulm</v>
      </c>
      <c r="B5884" s="120" t="str">
        <f>IFERROR(__xludf.DUMMYFUNCTION("""COMPUTED_VALUE"""),"ULM")</f>
        <v>ULM</v>
      </c>
      <c r="C5884" s="120" t="str">
        <f>IFERROR(__xludf.DUMMYFUNCTION("""COMPUTED_VALUE"""),"New Ulm")</f>
        <v>New Ulm</v>
      </c>
      <c r="D5884" s="120" t="str">
        <f>IFERROR(__xludf.DUMMYFUNCTION("""COMPUTED_VALUE"""),"United States")</f>
        <v>United States</v>
      </c>
      <c r="E5884" s="135"/>
      <c r="F5884" s="31"/>
    </row>
    <row r="5885">
      <c r="A5885" s="134" t="str">
        <f>IFERROR(__xludf.DUMMYFUNCTION("""COMPUTED_VALUE"""),"New Westminster")</f>
        <v>New Westminster</v>
      </c>
      <c r="B5885" s="120" t="str">
        <f>IFERROR(__xludf.DUMMYFUNCTION("""COMPUTED_VALUE"""),"YBD")</f>
        <v>YBD</v>
      </c>
      <c r="C5885" s="120" t="str">
        <f>IFERROR(__xludf.DUMMYFUNCTION("""COMPUTED_VALUE"""),"New Westminster")</f>
        <v>New Westminster</v>
      </c>
      <c r="D5885" s="120" t="str">
        <f>IFERROR(__xludf.DUMMYFUNCTION("""COMPUTED_VALUE"""),"Canada")</f>
        <v>Canada</v>
      </c>
      <c r="E5885" s="135"/>
      <c r="F5885" s="31"/>
    </row>
    <row r="5886">
      <c r="A5886" s="134" t="str">
        <f>IFERROR(__xludf.DUMMYFUNCTION("""COMPUTED_VALUE"""),"New York")</f>
        <v>New York</v>
      </c>
      <c r="B5886" s="120" t="str">
        <f>IFERROR(__xludf.DUMMYFUNCTION("""COMPUTED_VALUE"""),"NBP")</f>
        <v>NBP</v>
      </c>
      <c r="C5886" s="120" t="str">
        <f>IFERROR(__xludf.DUMMYFUNCTION("""COMPUTED_VALUE"""),"Battery Pk City/N. Cov")</f>
        <v>Battery Pk City/N. Cov</v>
      </c>
      <c r="D5886" s="120" t="str">
        <f>IFERROR(__xludf.DUMMYFUNCTION("""COMPUTED_VALUE"""),"United States")</f>
        <v>United States</v>
      </c>
      <c r="E5886" s="135"/>
      <c r="F5886" s="31"/>
    </row>
    <row r="5887">
      <c r="A5887" s="134" t="str">
        <f>IFERROR(__xludf.DUMMYFUNCTION("""COMPUTED_VALUE"""),"New York")</f>
        <v>New York</v>
      </c>
      <c r="B5887" s="120" t="str">
        <f>IFERROR(__xludf.DUMMYFUNCTION("""COMPUTED_VALUE"""),"JRB")</f>
        <v>JRB</v>
      </c>
      <c r="C5887" s="120" t="str">
        <f>IFERROR(__xludf.DUMMYFUNCTION("""COMPUTED_VALUE"""),"Downtown Manhattan H/P")</f>
        <v>Downtown Manhattan H/P</v>
      </c>
      <c r="D5887" s="120" t="str">
        <f>IFERROR(__xludf.DUMMYFUNCTION("""COMPUTED_VALUE"""),"United States")</f>
        <v>United States</v>
      </c>
      <c r="E5887" s="135"/>
      <c r="F5887" s="31"/>
    </row>
    <row r="5888">
      <c r="A5888" s="134" t="str">
        <f>IFERROR(__xludf.DUMMYFUNCTION("""COMPUTED_VALUE"""),"New York")</f>
        <v>New York</v>
      </c>
      <c r="B5888" s="120" t="str">
        <f>IFERROR(__xludf.DUMMYFUNCTION("""COMPUTED_VALUE"""),"TSS")</f>
        <v>TSS</v>
      </c>
      <c r="C5888" s="120" t="str">
        <f>IFERROR(__xludf.DUMMYFUNCTION("""COMPUTED_VALUE"""),"East 34th St Heliport")</f>
        <v>East 34th St Heliport</v>
      </c>
      <c r="D5888" s="120" t="str">
        <f>IFERROR(__xludf.DUMMYFUNCTION("""COMPUTED_VALUE"""),"United States")</f>
        <v>United States</v>
      </c>
      <c r="E5888" s="135"/>
      <c r="F5888" s="31"/>
    </row>
    <row r="5889">
      <c r="A5889" s="134" t="str">
        <f>IFERROR(__xludf.DUMMYFUNCTION("""COMPUTED_VALUE"""),"New York")</f>
        <v>New York</v>
      </c>
      <c r="B5889" s="120" t="str">
        <f>IFERROR(__xludf.DUMMYFUNCTION("""COMPUTED_VALUE"""),"NES")</f>
        <v>NES</v>
      </c>
      <c r="C5889" s="120" t="str">
        <f>IFERROR(__xludf.DUMMYFUNCTION("""COMPUTED_VALUE"""),"East 34th St Landing")</f>
        <v>East 34th St Landing</v>
      </c>
      <c r="D5889" s="120" t="str">
        <f>IFERROR(__xludf.DUMMYFUNCTION("""COMPUTED_VALUE"""),"United States")</f>
        <v>United States</v>
      </c>
      <c r="E5889" s="135"/>
      <c r="F5889" s="31"/>
    </row>
    <row r="5890">
      <c r="A5890" s="134" t="str">
        <f>IFERROR(__xludf.DUMMYFUNCTION("""COMPUTED_VALUE"""),"New York")</f>
        <v>New York</v>
      </c>
      <c r="B5890" s="120" t="str">
        <f>IFERROR(__xludf.DUMMYFUNCTION("""COMPUTED_VALUE"""),"JRE")</f>
        <v>JRE</v>
      </c>
      <c r="C5890" s="120" t="str">
        <f>IFERROR(__xludf.DUMMYFUNCTION("""COMPUTED_VALUE"""),"East 60th Street H/P")</f>
        <v>East 60th Street H/P</v>
      </c>
      <c r="D5890" s="120" t="str">
        <f>IFERROR(__xludf.DUMMYFUNCTION("""COMPUTED_VALUE"""),"United States")</f>
        <v>United States</v>
      </c>
      <c r="E5890" s="135"/>
      <c r="F5890" s="31"/>
    </row>
    <row r="5891">
      <c r="A5891" s="134" t="str">
        <f>IFERROR(__xludf.DUMMYFUNCTION("""COMPUTED_VALUE"""),"New York")</f>
        <v>New York</v>
      </c>
      <c r="B5891" s="120" t="str">
        <f>IFERROR(__xludf.DUMMYFUNCTION("""COMPUTED_VALUE"""),"FLU")</f>
        <v>FLU</v>
      </c>
      <c r="C5891" s="120" t="str">
        <f>IFERROR(__xludf.DUMMYFUNCTION("""COMPUTED_VALUE"""),"Flushing")</f>
        <v>Flushing</v>
      </c>
      <c r="D5891" s="120" t="str">
        <f>IFERROR(__xludf.DUMMYFUNCTION("""COMPUTED_VALUE"""),"United States")</f>
        <v>United States</v>
      </c>
      <c r="E5891" s="135"/>
      <c r="F5891" s="31"/>
    </row>
    <row r="5892">
      <c r="A5892" s="134" t="str">
        <f>IFERROR(__xludf.DUMMYFUNCTION("""COMPUTED_VALUE"""),"New York")</f>
        <v>New York</v>
      </c>
      <c r="B5892" s="120" t="str">
        <f>IFERROR(__xludf.DUMMYFUNCTION("""COMPUTED_VALUE"""),"JFK")</f>
        <v>JFK</v>
      </c>
      <c r="C5892" s="120" t="str">
        <f>IFERROR(__xludf.DUMMYFUNCTION("""COMPUTED_VALUE"""),"John F Kennedy Intl")</f>
        <v>John F Kennedy Intl</v>
      </c>
      <c r="D5892" s="120" t="str">
        <f>IFERROR(__xludf.DUMMYFUNCTION("""COMPUTED_VALUE"""),"United States")</f>
        <v>United States</v>
      </c>
      <c r="E5892" s="135"/>
      <c r="F5892" s="31"/>
    </row>
    <row r="5893">
      <c r="A5893" s="134" t="str">
        <f>IFERROR(__xludf.DUMMYFUNCTION("""COMPUTED_VALUE"""),"New York")</f>
        <v>New York</v>
      </c>
      <c r="B5893" s="120" t="str">
        <f>IFERROR(__xludf.DUMMYFUNCTION("""COMPUTED_VALUE"""),"LGA")</f>
        <v>LGA</v>
      </c>
      <c r="C5893" s="120" t="str">
        <f>IFERROR(__xludf.DUMMYFUNCTION("""COMPUTED_VALUE"""),"La Guardia")</f>
        <v>La Guardia</v>
      </c>
      <c r="D5893" s="120" t="str">
        <f>IFERROR(__xludf.DUMMYFUNCTION("""COMPUTED_VALUE"""),"United States")</f>
        <v>United States</v>
      </c>
      <c r="E5893" s="135"/>
      <c r="F5893" s="31"/>
    </row>
    <row r="5894">
      <c r="A5894" s="134" t="str">
        <f>IFERROR(__xludf.DUMMYFUNCTION("""COMPUTED_VALUE"""),"New York")</f>
        <v>New York</v>
      </c>
      <c r="B5894" s="120" t="str">
        <f>IFERROR(__xludf.DUMMYFUNCTION("""COMPUTED_VALUE"""),"QNY")</f>
        <v>QNY</v>
      </c>
      <c r="C5894" s="120" t="str">
        <f>IFERROR(__xludf.DUMMYFUNCTION("""COMPUTED_VALUE"""),"Marine Air Terminal")</f>
        <v>Marine Air Terminal</v>
      </c>
      <c r="D5894" s="120" t="str">
        <f>IFERROR(__xludf.DUMMYFUNCTION("""COMPUTED_VALUE"""),"United States")</f>
        <v>United States</v>
      </c>
      <c r="E5894" s="135"/>
      <c r="F5894" s="31"/>
    </row>
    <row r="5895">
      <c r="A5895" s="134" t="str">
        <f>IFERROR(__xludf.DUMMYFUNCTION("""COMPUTED_VALUE"""),"New York")</f>
        <v>New York</v>
      </c>
      <c r="B5895" s="120" t="str">
        <f>IFERROR(__xludf.DUMMYFUNCTION("""COMPUTED_VALUE"""),"ZYP")</f>
        <v>ZYP</v>
      </c>
      <c r="C5895" s="120" t="str">
        <f>IFERROR(__xludf.DUMMYFUNCTION("""COMPUTED_VALUE"""),"New York Penn STN")</f>
        <v>New York Penn STN</v>
      </c>
      <c r="D5895" s="120" t="str">
        <f>IFERROR(__xludf.DUMMYFUNCTION("""COMPUTED_VALUE"""),"United States")</f>
        <v>United States</v>
      </c>
      <c r="E5895" s="135"/>
      <c r="F5895" s="31"/>
    </row>
    <row r="5896">
      <c r="A5896" s="134" t="str">
        <f>IFERROR(__xludf.DUMMYFUNCTION("""COMPUTED_VALUE"""),"New York")</f>
        <v>New York</v>
      </c>
      <c r="B5896" s="120" t="str">
        <f>IFERROR(__xludf.DUMMYFUNCTION("""COMPUTED_VALUE"""),"NWS")</f>
        <v>NWS</v>
      </c>
      <c r="C5896" s="120" t="str">
        <f>IFERROR(__xludf.DUMMYFUNCTION("""COMPUTED_VALUE"""),"Pier 11/Wall St. SPB")</f>
        <v>Pier 11/Wall St. SPB</v>
      </c>
      <c r="D5896" s="120" t="str">
        <f>IFERROR(__xludf.DUMMYFUNCTION("""COMPUTED_VALUE"""),"United States")</f>
        <v>United States</v>
      </c>
      <c r="E5896" s="135"/>
      <c r="F5896" s="31"/>
    </row>
    <row r="5897">
      <c r="A5897" s="134" t="str">
        <f>IFERROR(__xludf.DUMMYFUNCTION("""COMPUTED_VALUE"""),"New York")</f>
        <v>New York</v>
      </c>
      <c r="B5897" s="120" t="str">
        <f>IFERROR(__xludf.DUMMYFUNCTION("""COMPUTED_VALUE"""),"JRA")</f>
        <v>JRA</v>
      </c>
      <c r="C5897" s="120" t="str">
        <f>IFERROR(__xludf.DUMMYFUNCTION("""COMPUTED_VALUE"""),"West 30th St Heliport")</f>
        <v>West 30th St Heliport</v>
      </c>
      <c r="D5897" s="120" t="str">
        <f>IFERROR(__xludf.DUMMYFUNCTION("""COMPUTED_VALUE"""),"United States")</f>
        <v>United States</v>
      </c>
      <c r="E5897" s="135"/>
      <c r="F5897" s="31"/>
    </row>
    <row r="5898">
      <c r="A5898" s="134" t="str">
        <f>IFERROR(__xludf.DUMMYFUNCTION("""COMPUTED_VALUE"""),"New York")</f>
        <v>New York</v>
      </c>
      <c r="B5898" s="120" t="str">
        <f>IFERROR(__xludf.DUMMYFUNCTION("""COMPUTED_VALUE"""),"WTC")</f>
        <v>WTC</v>
      </c>
      <c r="C5898" s="120" t="str">
        <f>IFERROR(__xludf.DUMMYFUNCTION("""COMPUTED_VALUE"""),"World Trade Center")</f>
        <v>World Trade Center</v>
      </c>
      <c r="D5898" s="120" t="str">
        <f>IFERROR(__xludf.DUMMYFUNCTION("""COMPUTED_VALUE"""),"United States")</f>
        <v>United States</v>
      </c>
      <c r="E5898" s="135"/>
      <c r="F5898" s="31"/>
    </row>
    <row r="5899">
      <c r="A5899" s="134" t="str">
        <f>IFERROR(__xludf.DUMMYFUNCTION("""COMPUTED_VALUE"""),"Newark")</f>
        <v>Newark</v>
      </c>
      <c r="B5899" s="120" t="str">
        <f>IFERROR(__xludf.DUMMYFUNCTION("""COMPUTED_VALUE"""),"ZME")</f>
        <v>ZME</v>
      </c>
      <c r="C5899" s="120" t="str">
        <f>IFERROR(__xludf.DUMMYFUNCTION("""COMPUTED_VALUE"""),"Metropark Rail")</f>
        <v>Metropark Rail</v>
      </c>
      <c r="D5899" s="120" t="str">
        <f>IFERROR(__xludf.DUMMYFUNCTION("""COMPUTED_VALUE"""),"United States")</f>
        <v>United States</v>
      </c>
      <c r="E5899" s="135"/>
      <c r="F5899" s="31"/>
    </row>
    <row r="5900">
      <c r="A5900" s="134" t="str">
        <f>IFERROR(__xludf.DUMMYFUNCTION("""COMPUTED_VALUE"""),"Newark")</f>
        <v>Newark</v>
      </c>
      <c r="B5900" s="120" t="str">
        <f>IFERROR(__xludf.DUMMYFUNCTION("""COMPUTED_VALUE"""),"ZRP")</f>
        <v>ZRP</v>
      </c>
      <c r="C5900" s="120" t="str">
        <f>IFERROR(__xludf.DUMMYFUNCTION("""COMPUTED_VALUE"""),"Newark NJ Rail")</f>
        <v>Newark NJ Rail</v>
      </c>
      <c r="D5900" s="120" t="str">
        <f>IFERROR(__xludf.DUMMYFUNCTION("""COMPUTED_VALUE"""),"United States")</f>
        <v>United States</v>
      </c>
      <c r="E5900" s="135"/>
      <c r="F5900" s="31"/>
    </row>
    <row r="5901">
      <c r="A5901" s="134" t="str">
        <f>IFERROR(__xludf.DUMMYFUNCTION("""COMPUTED_VALUE"""),"Newburgh")</f>
        <v>Newburgh</v>
      </c>
      <c r="B5901" s="120" t="str">
        <f>IFERROR(__xludf.DUMMYFUNCTION("""COMPUTED_VALUE"""),"SWF")</f>
        <v>SWF</v>
      </c>
      <c r="C5901" s="120" t="str">
        <f>IFERROR(__xludf.DUMMYFUNCTION("""COMPUTED_VALUE"""),"Stewart")</f>
        <v>Stewart</v>
      </c>
      <c r="D5901" s="120" t="str">
        <f>IFERROR(__xludf.DUMMYFUNCTION("""COMPUTED_VALUE"""),"United States")</f>
        <v>United States</v>
      </c>
      <c r="E5901" s="135"/>
      <c r="F5901" s="31"/>
    </row>
    <row r="5902">
      <c r="A5902" s="134" t="str">
        <f>IFERROR(__xludf.DUMMYFUNCTION("""COMPUTED_VALUE"""),"Newbury")</f>
        <v>Newbury</v>
      </c>
      <c r="B5902" s="120" t="str">
        <f>IFERROR(__xludf.DUMMYFUNCTION("""COMPUTED_VALUE"""),"EWY")</f>
        <v>EWY</v>
      </c>
      <c r="C5902" s="120" t="str">
        <f>IFERROR(__xludf.DUMMYFUNCTION("""COMPUTED_VALUE"""),"Greenham RAF")</f>
        <v>Greenham RAF</v>
      </c>
      <c r="D5902" s="120" t="str">
        <f>IFERROR(__xludf.DUMMYFUNCTION("""COMPUTED_VALUE"""),"United Kingdom")</f>
        <v>United Kingdom</v>
      </c>
      <c r="E5902" s="135"/>
      <c r="F5902" s="31"/>
    </row>
    <row r="5903">
      <c r="A5903" s="134" t="str">
        <f>IFERROR(__xludf.DUMMYFUNCTION("""COMPUTED_VALUE"""),"Newcastle")</f>
        <v>Newcastle</v>
      </c>
      <c r="B5903" s="120" t="str">
        <f>IFERROR(__xludf.DUMMYFUNCTION("""COMPUTED_VALUE"""),"NCL")</f>
        <v>NCL</v>
      </c>
      <c r="C5903" s="120" t="str">
        <f>IFERROR(__xludf.DUMMYFUNCTION("""COMPUTED_VALUE"""),"Newcastle Airport")</f>
        <v>Newcastle Airport</v>
      </c>
      <c r="D5903" s="120" t="str">
        <f>IFERROR(__xludf.DUMMYFUNCTION("""COMPUTED_VALUE"""),"United Kingdom")</f>
        <v>United Kingdom</v>
      </c>
      <c r="E5903" s="135"/>
      <c r="F5903" s="31"/>
    </row>
    <row r="5904">
      <c r="A5904" s="134" t="str">
        <f>IFERROR(__xludf.DUMMYFUNCTION("""COMPUTED_VALUE"""),"Newcastle")</f>
        <v>Newcastle</v>
      </c>
      <c r="B5904" s="120" t="str">
        <f>IFERROR(__xludf.DUMMYFUNCTION("""COMPUTED_VALUE"""),"BEO")</f>
        <v>BEO</v>
      </c>
      <c r="C5904" s="120" t="str">
        <f>IFERROR(__xludf.DUMMYFUNCTION("""COMPUTED_VALUE"""),"Belmont")</f>
        <v>Belmont</v>
      </c>
      <c r="D5904" s="120" t="str">
        <f>IFERROR(__xludf.DUMMYFUNCTION("""COMPUTED_VALUE"""),"Australia")</f>
        <v>Australia</v>
      </c>
      <c r="E5904" s="135"/>
      <c r="F5904" s="31"/>
    </row>
    <row r="5905">
      <c r="A5905" s="134" t="str">
        <f>IFERROR(__xludf.DUMMYFUNCTION("""COMPUTED_VALUE"""),"Newcastle")</f>
        <v>Newcastle</v>
      </c>
      <c r="B5905" s="120" t="str">
        <f>IFERROR(__xludf.DUMMYFUNCTION("""COMPUTED_VALUE"""),"NTL")</f>
        <v>NTL</v>
      </c>
      <c r="C5905" s="120" t="str">
        <f>IFERROR(__xludf.DUMMYFUNCTION("""COMPUTED_VALUE"""),"Williamtown")</f>
        <v>Williamtown</v>
      </c>
      <c r="D5905" s="120" t="str">
        <f>IFERROR(__xludf.DUMMYFUNCTION("""COMPUTED_VALUE"""),"Australia")</f>
        <v>Australia</v>
      </c>
      <c r="E5905" s="135"/>
      <c r="F5905" s="31"/>
    </row>
    <row r="5906">
      <c r="A5906" s="134" t="str">
        <f>IFERROR(__xludf.DUMMYFUNCTION("""COMPUTED_VALUE"""),"Newcastle")</f>
        <v>Newcastle</v>
      </c>
      <c r="B5906" s="120" t="str">
        <f>IFERROR(__xludf.DUMMYFUNCTION("""COMPUTED_VALUE"""),"ECS")</f>
        <v>ECS</v>
      </c>
      <c r="C5906" s="120" t="str">
        <f>IFERROR(__xludf.DUMMYFUNCTION("""COMPUTED_VALUE"""),"Mondell")</f>
        <v>Mondell</v>
      </c>
      <c r="D5906" s="120" t="str">
        <f>IFERROR(__xludf.DUMMYFUNCTION("""COMPUTED_VALUE"""),"United States")</f>
        <v>United States</v>
      </c>
      <c r="E5906" s="135"/>
      <c r="F5906" s="31"/>
    </row>
    <row r="5907">
      <c r="A5907" s="134" t="str">
        <f>IFERROR(__xludf.DUMMYFUNCTION("""COMPUTED_VALUE"""),"Newcastle")</f>
        <v>Newcastle</v>
      </c>
      <c r="B5907" s="120" t="str">
        <f>IFERROR(__xludf.DUMMYFUNCTION("""COMPUTED_VALUE"""),"NCS")</f>
        <v>NCS</v>
      </c>
      <c r="C5907" s="120" t="str">
        <f>IFERROR(__xludf.DUMMYFUNCTION("""COMPUTED_VALUE"""),"Newcastle")</f>
        <v>Newcastle</v>
      </c>
      <c r="D5907" s="120" t="str">
        <f>IFERROR(__xludf.DUMMYFUNCTION("""COMPUTED_VALUE"""),"South Africa")</f>
        <v>South Africa</v>
      </c>
      <c r="E5907" s="135"/>
      <c r="F5907" s="31"/>
    </row>
    <row r="5908">
      <c r="A5908" s="134" t="str">
        <f>IFERROR(__xludf.DUMMYFUNCTION("""COMPUTED_VALUE"""),"Newman")</f>
        <v>Newman</v>
      </c>
      <c r="B5908" s="120" t="str">
        <f>IFERROR(__xludf.DUMMYFUNCTION("""COMPUTED_VALUE"""),"ZNE")</f>
        <v>ZNE</v>
      </c>
      <c r="C5908" s="120" t="str">
        <f>IFERROR(__xludf.DUMMYFUNCTION("""COMPUTED_VALUE"""),"Newman")</f>
        <v>Newman</v>
      </c>
      <c r="D5908" s="120" t="str">
        <f>IFERROR(__xludf.DUMMYFUNCTION("""COMPUTED_VALUE"""),"Australia")</f>
        <v>Australia</v>
      </c>
      <c r="E5908" s="135"/>
      <c r="F5908" s="31"/>
    </row>
    <row r="5909">
      <c r="A5909" s="134" t="str">
        <f>IFERROR(__xludf.DUMMYFUNCTION("""COMPUTED_VALUE"""),"Newport")</f>
        <v>Newport</v>
      </c>
      <c r="B5909" s="120" t="str">
        <f>IFERROR(__xludf.DUMMYFUNCTION("""COMPUTED_VALUE"""),"NWH")</f>
        <v>NWH</v>
      </c>
      <c r="C5909" s="120" t="str">
        <f>IFERROR(__xludf.DUMMYFUNCTION("""COMPUTED_VALUE"""),"Parlin Field")</f>
        <v>Parlin Field</v>
      </c>
      <c r="D5909" s="120" t="str">
        <f>IFERROR(__xludf.DUMMYFUNCTION("""COMPUTED_VALUE"""),"United States")</f>
        <v>United States</v>
      </c>
      <c r="E5909" s="135"/>
      <c r="F5909" s="31"/>
    </row>
    <row r="5910">
      <c r="A5910" s="134" t="str">
        <f>IFERROR(__xludf.DUMMYFUNCTION("""COMPUTED_VALUE"""),"Newport")</f>
        <v>Newport</v>
      </c>
      <c r="B5910" s="120" t="str">
        <f>IFERROR(__xludf.DUMMYFUNCTION("""COMPUTED_VALUE"""),"ONP")</f>
        <v>ONP</v>
      </c>
      <c r="C5910" s="120" t="str">
        <f>IFERROR(__xludf.DUMMYFUNCTION("""COMPUTED_VALUE"""),"Newport")</f>
        <v>Newport</v>
      </c>
      <c r="D5910" s="120" t="str">
        <f>IFERROR(__xludf.DUMMYFUNCTION("""COMPUTED_VALUE"""),"United States")</f>
        <v>United States</v>
      </c>
      <c r="E5910" s="135"/>
      <c r="F5910" s="31"/>
    </row>
    <row r="5911">
      <c r="A5911" s="134" t="str">
        <f>IFERROR(__xludf.DUMMYFUNCTION("""COMPUTED_VALUE"""),"Newport")</f>
        <v>Newport</v>
      </c>
      <c r="B5911" s="120" t="str">
        <f>IFERROR(__xludf.DUMMYFUNCTION("""COMPUTED_VALUE"""),"NPT")</f>
        <v>NPT</v>
      </c>
      <c r="C5911" s="120" t="str">
        <f>IFERROR(__xludf.DUMMYFUNCTION("""COMPUTED_VALUE"""),"State")</f>
        <v>State</v>
      </c>
      <c r="D5911" s="120" t="str">
        <f>IFERROR(__xludf.DUMMYFUNCTION("""COMPUTED_VALUE"""),"United States")</f>
        <v>United States</v>
      </c>
      <c r="E5911" s="135"/>
      <c r="F5911" s="31"/>
    </row>
    <row r="5912">
      <c r="A5912" s="134" t="str">
        <f>IFERROR(__xludf.DUMMYFUNCTION("""COMPUTED_VALUE"""),"Newport")</f>
        <v>Newport</v>
      </c>
      <c r="B5912" s="120" t="str">
        <f>IFERROR(__xludf.DUMMYFUNCTION("""COMPUTED_VALUE"""),"EFK")</f>
        <v>EFK</v>
      </c>
      <c r="C5912" s="120" t="str">
        <f>IFERROR(__xludf.DUMMYFUNCTION("""COMPUTED_VALUE"""),"Newport")</f>
        <v>Newport</v>
      </c>
      <c r="D5912" s="120" t="str">
        <f>IFERROR(__xludf.DUMMYFUNCTION("""COMPUTED_VALUE"""),"United States")</f>
        <v>United States</v>
      </c>
      <c r="E5912" s="135"/>
      <c r="F5912" s="31"/>
    </row>
    <row r="5913">
      <c r="A5913" s="134" t="str">
        <f>IFERROR(__xludf.DUMMYFUNCTION("""COMPUTED_VALUE"""),"Newport Beach")</f>
        <v>Newport Beach</v>
      </c>
      <c r="B5913" s="120" t="str">
        <f>IFERROR(__xludf.DUMMYFUNCTION("""COMPUTED_VALUE"""),"JNP")</f>
        <v>JNP</v>
      </c>
      <c r="C5913" s="120" t="str">
        <f>IFERROR(__xludf.DUMMYFUNCTION("""COMPUTED_VALUE"""),"Heliport")</f>
        <v>Heliport</v>
      </c>
      <c r="D5913" s="120" t="str">
        <f>IFERROR(__xludf.DUMMYFUNCTION("""COMPUTED_VALUE"""),"United States")</f>
        <v>United States</v>
      </c>
      <c r="E5913" s="135"/>
      <c r="F5913" s="31"/>
    </row>
    <row r="5914">
      <c r="A5914" s="134" t="str">
        <f>IFERROR(__xludf.DUMMYFUNCTION("""COMPUTED_VALUE"""),"Newquay")</f>
        <v>Newquay</v>
      </c>
      <c r="B5914" s="120" t="str">
        <f>IFERROR(__xludf.DUMMYFUNCTION("""COMPUTED_VALUE"""),"NQY")</f>
        <v>NQY</v>
      </c>
      <c r="C5914" s="120" t="str">
        <f>IFERROR(__xludf.DUMMYFUNCTION("""COMPUTED_VALUE"""),"St Mawgan")</f>
        <v>St Mawgan</v>
      </c>
      <c r="D5914" s="120" t="str">
        <f>IFERROR(__xludf.DUMMYFUNCTION("""COMPUTED_VALUE"""),"United Kingdom")</f>
        <v>United Kingdom</v>
      </c>
      <c r="E5914" s="135"/>
      <c r="F5914" s="31"/>
    </row>
    <row r="5915">
      <c r="A5915" s="134" t="str">
        <f>IFERROR(__xludf.DUMMYFUNCTION("""COMPUTED_VALUE"""),"Newry")</f>
        <v>Newry</v>
      </c>
      <c r="B5915" s="120" t="str">
        <f>IFERROR(__xludf.DUMMYFUNCTION("""COMPUTED_VALUE"""),"NRY")</f>
        <v>NRY</v>
      </c>
      <c r="C5915" s="120" t="str">
        <f>IFERROR(__xludf.DUMMYFUNCTION("""COMPUTED_VALUE"""),"Newry")</f>
        <v>Newry</v>
      </c>
      <c r="D5915" s="120" t="str">
        <f>IFERROR(__xludf.DUMMYFUNCTION("""COMPUTED_VALUE"""),"Australia")</f>
        <v>Australia</v>
      </c>
      <c r="E5915" s="135"/>
      <c r="F5915" s="31"/>
    </row>
    <row r="5916">
      <c r="A5916" s="134" t="str">
        <f>IFERROR(__xludf.DUMMYFUNCTION("""COMPUTED_VALUE"""),"Newtok")</f>
        <v>Newtok</v>
      </c>
      <c r="B5916" s="120" t="str">
        <f>IFERROR(__xludf.DUMMYFUNCTION("""COMPUTED_VALUE"""),"WWT")</f>
        <v>WWT</v>
      </c>
      <c r="C5916" s="120" t="str">
        <f>IFERROR(__xludf.DUMMYFUNCTION("""COMPUTED_VALUE"""),"Newtok")</f>
        <v>Newtok</v>
      </c>
      <c r="D5916" s="120" t="str">
        <f>IFERROR(__xludf.DUMMYFUNCTION("""COMPUTED_VALUE"""),"United States")</f>
        <v>United States</v>
      </c>
      <c r="E5916" s="135"/>
      <c r="F5916" s="31"/>
    </row>
    <row r="5917">
      <c r="A5917" s="134" t="str">
        <f>IFERROR(__xludf.DUMMYFUNCTION("""COMPUTED_VALUE"""),"Newton")</f>
        <v>Newton</v>
      </c>
      <c r="B5917" s="120" t="str">
        <f>IFERROR(__xludf.DUMMYFUNCTION("""COMPUTED_VALUE"""),"TNU")</f>
        <v>TNU</v>
      </c>
      <c r="C5917" s="120" t="str">
        <f>IFERROR(__xludf.DUMMYFUNCTION("""COMPUTED_VALUE"""),"Municipal")</f>
        <v>Municipal</v>
      </c>
      <c r="D5917" s="120" t="str">
        <f>IFERROR(__xludf.DUMMYFUNCTION("""COMPUTED_VALUE"""),"United States")</f>
        <v>United States</v>
      </c>
      <c r="E5917" s="135"/>
      <c r="F5917" s="31"/>
    </row>
    <row r="5918">
      <c r="A5918" s="134" t="str">
        <f>IFERROR(__xludf.DUMMYFUNCTION("""COMPUTED_VALUE"""),"Newton")</f>
        <v>Newton</v>
      </c>
      <c r="B5918" s="120" t="str">
        <f>IFERROR(__xludf.DUMMYFUNCTION("""COMPUTED_VALUE"""),"EWK")</f>
        <v>EWK</v>
      </c>
      <c r="C5918" s="120" t="str">
        <f>IFERROR(__xludf.DUMMYFUNCTION("""COMPUTED_VALUE"""),"City-County")</f>
        <v>City-County</v>
      </c>
      <c r="D5918" s="120" t="str">
        <f>IFERROR(__xludf.DUMMYFUNCTION("""COMPUTED_VALUE"""),"United States")</f>
        <v>United States</v>
      </c>
      <c r="E5918" s="135"/>
      <c r="F5918" s="31"/>
    </row>
    <row r="5919">
      <c r="A5919" s="134" t="str">
        <f>IFERROR(__xludf.DUMMYFUNCTION("""COMPUTED_VALUE"""),"Neyveli")</f>
        <v>Neyveli</v>
      </c>
      <c r="B5919" s="120" t="str">
        <f>IFERROR(__xludf.DUMMYFUNCTION("""COMPUTED_VALUE"""),"NVY")</f>
        <v>NVY</v>
      </c>
      <c r="C5919" s="120" t="str">
        <f>IFERROR(__xludf.DUMMYFUNCTION("""COMPUTED_VALUE"""),"Neyveli")</f>
        <v>Neyveli</v>
      </c>
      <c r="D5919" s="120" t="str">
        <f>IFERROR(__xludf.DUMMYFUNCTION("""COMPUTED_VALUE"""),"India")</f>
        <v>India</v>
      </c>
      <c r="E5919" s="135"/>
      <c r="F5919" s="31"/>
    </row>
    <row r="5920">
      <c r="A5920" s="134" t="str">
        <f>IFERROR(__xludf.DUMMYFUNCTION("""COMPUTED_VALUE"""),"Ngala")</f>
        <v>Ngala</v>
      </c>
      <c r="B5920" s="120" t="str">
        <f>IFERROR(__xludf.DUMMYFUNCTION("""COMPUTED_VALUE"""),"NGL")</f>
        <v>NGL</v>
      </c>
      <c r="C5920" s="120" t="str">
        <f>IFERROR(__xludf.DUMMYFUNCTION("""COMPUTED_VALUE"""),"Ngala Airfield")</f>
        <v>Ngala Airfield</v>
      </c>
      <c r="D5920" s="120" t="str">
        <f>IFERROR(__xludf.DUMMYFUNCTION("""COMPUTED_VALUE"""),"South Africa")</f>
        <v>South Africa</v>
      </c>
      <c r="E5920" s="135"/>
      <c r="F5920" s="31"/>
    </row>
    <row r="5921">
      <c r="A5921" s="134" t="str">
        <f>IFERROR(__xludf.DUMMYFUNCTION("""COMPUTED_VALUE"""),"Ngaoundere")</f>
        <v>Ngaoundere</v>
      </c>
      <c r="B5921" s="120" t="str">
        <f>IFERROR(__xludf.DUMMYFUNCTION("""COMPUTED_VALUE"""),"NGE")</f>
        <v>NGE</v>
      </c>
      <c r="C5921" s="120" t="str">
        <f>IFERROR(__xludf.DUMMYFUNCTION("""COMPUTED_VALUE"""),"Ngaoundere")</f>
        <v>Ngaoundere</v>
      </c>
      <c r="D5921" s="120" t="str">
        <f>IFERROR(__xludf.DUMMYFUNCTION("""COMPUTED_VALUE"""),"Cameroon")</f>
        <v>Cameroon</v>
      </c>
      <c r="E5921" s="135"/>
      <c r="F5921" s="31"/>
    </row>
    <row r="5922">
      <c r="A5922" s="134" t="str">
        <f>IFERROR(__xludf.DUMMYFUNCTION("""COMPUTED_VALUE"""),"Ngau Island")</f>
        <v>Ngau Island</v>
      </c>
      <c r="B5922" s="120" t="str">
        <f>IFERROR(__xludf.DUMMYFUNCTION("""COMPUTED_VALUE"""),"NGI")</f>
        <v>NGI</v>
      </c>
      <c r="C5922" s="120" t="str">
        <f>IFERROR(__xludf.DUMMYFUNCTION("""COMPUTED_VALUE"""),"Ngau Island")</f>
        <v>Ngau Island</v>
      </c>
      <c r="D5922" s="120" t="str">
        <f>IFERROR(__xludf.DUMMYFUNCTION("""COMPUTED_VALUE"""),"Fiji")</f>
        <v>Fiji</v>
      </c>
      <c r="E5922" s="135"/>
      <c r="F5922" s="31"/>
    </row>
    <row r="5923">
      <c r="A5923" s="134" t="str">
        <f>IFERROR(__xludf.DUMMYFUNCTION("""COMPUTED_VALUE"""),"Ngiva")</f>
        <v>Ngiva</v>
      </c>
      <c r="B5923" s="120" t="str">
        <f>IFERROR(__xludf.DUMMYFUNCTION("""COMPUTED_VALUE"""),"NGV")</f>
        <v>NGV</v>
      </c>
      <c r="C5923" s="120" t="str">
        <f>IFERROR(__xludf.DUMMYFUNCTION("""COMPUTED_VALUE"""),"Ngiva")</f>
        <v>Ngiva</v>
      </c>
      <c r="D5923" s="120" t="str">
        <f>IFERROR(__xludf.DUMMYFUNCTION("""COMPUTED_VALUE"""),"Angola")</f>
        <v>Angola</v>
      </c>
      <c r="E5923" s="135"/>
      <c r="F5923" s="31"/>
    </row>
    <row r="5924">
      <c r="A5924" s="134" t="str">
        <f>IFERROR(__xludf.DUMMYFUNCTION("""COMPUTED_VALUE"""),"Ngoma")</f>
        <v>Ngoma</v>
      </c>
      <c r="B5924" s="120" t="str">
        <f>IFERROR(__xludf.DUMMYFUNCTION("""COMPUTED_VALUE"""),"ZGM")</f>
        <v>ZGM</v>
      </c>
      <c r="C5924" s="120" t="str">
        <f>IFERROR(__xludf.DUMMYFUNCTION("""COMPUTED_VALUE"""),"Ngoma")</f>
        <v>Ngoma</v>
      </c>
      <c r="D5924" s="120" t="str">
        <f>IFERROR(__xludf.DUMMYFUNCTION("""COMPUTED_VALUE"""),"Zambia")</f>
        <v>Zambia</v>
      </c>
      <c r="E5924" s="135"/>
      <c r="F5924" s="31"/>
    </row>
    <row r="5925">
      <c r="A5925" s="134" t="str">
        <f>IFERROR(__xludf.DUMMYFUNCTION("""COMPUTED_VALUE"""),"Ngukurr")</f>
        <v>Ngukurr</v>
      </c>
      <c r="B5925" s="120" t="str">
        <f>IFERROR(__xludf.DUMMYFUNCTION("""COMPUTED_VALUE"""),"RPM")</f>
        <v>RPM</v>
      </c>
      <c r="C5925" s="120" t="str">
        <f>IFERROR(__xludf.DUMMYFUNCTION("""COMPUTED_VALUE"""),"Ngukurr")</f>
        <v>Ngukurr</v>
      </c>
      <c r="D5925" s="120" t="str">
        <f>IFERROR(__xludf.DUMMYFUNCTION("""COMPUTED_VALUE"""),"Australia")</f>
        <v>Australia</v>
      </c>
      <c r="E5925" s="135"/>
      <c r="F5925" s="31"/>
    </row>
    <row r="5926">
      <c r="A5926" s="134" t="str">
        <f>IFERROR(__xludf.DUMMYFUNCTION("""COMPUTED_VALUE"""),"Nha Trang")</f>
        <v>Nha Trang</v>
      </c>
      <c r="B5926" s="120" t="str">
        <f>IFERROR(__xludf.DUMMYFUNCTION("""COMPUTED_VALUE"""),"NHA")</f>
        <v>NHA</v>
      </c>
      <c r="C5926" s="120" t="str">
        <f>IFERROR(__xludf.DUMMYFUNCTION("""COMPUTED_VALUE"""),"Nha Trang")</f>
        <v>Nha Trang</v>
      </c>
      <c r="D5926" s="120" t="str">
        <f>IFERROR(__xludf.DUMMYFUNCTION("""COMPUTED_VALUE"""),"Vietnam")</f>
        <v>Vietnam</v>
      </c>
      <c r="E5926" s="135"/>
      <c r="F5926" s="31"/>
    </row>
    <row r="5927">
      <c r="A5927" s="134" t="str">
        <f>IFERROR(__xludf.DUMMYFUNCTION("""COMPUTED_VALUE"""),"Nha Trang")</f>
        <v>Nha Trang</v>
      </c>
      <c r="B5927" s="120" t="str">
        <f>IFERROR(__xludf.DUMMYFUNCTION("""COMPUTED_VALUE"""),"CXR")</f>
        <v>CXR</v>
      </c>
      <c r="C5927" s="120" t="str">
        <f>IFERROR(__xludf.DUMMYFUNCTION("""COMPUTED_VALUE"""),"Cam Ranh")</f>
        <v>Cam Ranh</v>
      </c>
      <c r="D5927" s="120" t="str">
        <f>IFERROR(__xludf.DUMMYFUNCTION("""COMPUTED_VALUE"""),"Vietnam")</f>
        <v>Vietnam</v>
      </c>
      <c r="E5927" s="135"/>
      <c r="F5927" s="31"/>
    </row>
    <row r="5928">
      <c r="A5928" s="134" t="str">
        <f>IFERROR(__xludf.DUMMYFUNCTION("""COMPUTED_VALUE"""),"Niagara Falls")</f>
        <v>Niagara Falls</v>
      </c>
      <c r="B5928" s="120" t="str">
        <f>IFERROR(__xludf.DUMMYFUNCTION("""COMPUTED_VALUE"""),"IAG")</f>
        <v>IAG</v>
      </c>
      <c r="C5928" s="120" t="str">
        <f>IFERROR(__xludf.DUMMYFUNCTION("""COMPUTED_VALUE"""),"International")</f>
        <v>International</v>
      </c>
      <c r="D5928" s="120" t="str">
        <f>IFERROR(__xludf.DUMMYFUNCTION("""COMPUTED_VALUE"""),"United States")</f>
        <v>United States</v>
      </c>
      <c r="E5928" s="135"/>
      <c r="F5928" s="31"/>
    </row>
    <row r="5929">
      <c r="A5929" s="134" t="str">
        <f>IFERROR(__xludf.DUMMYFUNCTION("""COMPUTED_VALUE"""),"Niamey")</f>
        <v>Niamey</v>
      </c>
      <c r="B5929" s="120" t="str">
        <f>IFERROR(__xludf.DUMMYFUNCTION("""COMPUTED_VALUE"""),"NIM")</f>
        <v>NIM</v>
      </c>
      <c r="C5929" s="120" t="str">
        <f>IFERROR(__xludf.DUMMYFUNCTION("""COMPUTED_VALUE"""),"Niamey")</f>
        <v>Niamey</v>
      </c>
      <c r="D5929" s="120" t="str">
        <f>IFERROR(__xludf.DUMMYFUNCTION("""COMPUTED_VALUE"""),"Niger")</f>
        <v>Niger</v>
      </c>
      <c r="E5929" s="135"/>
      <c r="F5929" s="31"/>
    </row>
    <row r="5930">
      <c r="A5930" s="134" t="str">
        <f>IFERROR(__xludf.DUMMYFUNCTION("""COMPUTED_VALUE"""),"Niamtougou")</f>
        <v>Niamtougou</v>
      </c>
      <c r="B5930" s="120" t="str">
        <f>IFERROR(__xludf.DUMMYFUNCTION("""COMPUTED_VALUE"""),"LRL")</f>
        <v>LRL</v>
      </c>
      <c r="C5930" s="120" t="str">
        <f>IFERROR(__xludf.DUMMYFUNCTION("""COMPUTED_VALUE"""),"Niamtougou")</f>
        <v>Niamtougou</v>
      </c>
      <c r="D5930" s="120" t="str">
        <f>IFERROR(__xludf.DUMMYFUNCTION("""COMPUTED_VALUE"""),"Togo")</f>
        <v>Togo</v>
      </c>
      <c r="E5930" s="135"/>
      <c r="F5930" s="31"/>
    </row>
    <row r="5931">
      <c r="A5931" s="134" t="str">
        <f>IFERROR(__xludf.DUMMYFUNCTION("""COMPUTED_VALUE"""),"Niaqornaarsuk")</f>
        <v>Niaqornaarsuk</v>
      </c>
      <c r="B5931" s="120" t="str">
        <f>IFERROR(__xludf.DUMMYFUNCTION("""COMPUTED_VALUE"""),"QMK")</f>
        <v>QMK</v>
      </c>
      <c r="C5931" s="120" t="str">
        <f>IFERROR(__xludf.DUMMYFUNCTION("""COMPUTED_VALUE"""),"Heliport")</f>
        <v>Heliport</v>
      </c>
      <c r="D5931" s="120" t="str">
        <f>IFERROR(__xludf.DUMMYFUNCTION("""COMPUTED_VALUE"""),"Greenland")</f>
        <v>Greenland</v>
      </c>
      <c r="E5931" s="135"/>
      <c r="F5931" s="31"/>
    </row>
    <row r="5932">
      <c r="A5932" s="134" t="str">
        <f>IFERROR(__xludf.DUMMYFUNCTION("""COMPUTED_VALUE"""),"Niblack")</f>
        <v>Niblack</v>
      </c>
      <c r="B5932" s="120" t="str">
        <f>IFERROR(__xludf.DUMMYFUNCTION("""COMPUTED_VALUE"""),"NIE")</f>
        <v>NIE</v>
      </c>
      <c r="C5932" s="120" t="str">
        <f>IFERROR(__xludf.DUMMYFUNCTION("""COMPUTED_VALUE"""),"Niblack")</f>
        <v>Niblack</v>
      </c>
      <c r="D5932" s="120" t="str">
        <f>IFERROR(__xludf.DUMMYFUNCTION("""COMPUTED_VALUE"""),"United States")</f>
        <v>United States</v>
      </c>
      <c r="E5932" s="135"/>
      <c r="F5932" s="31"/>
    </row>
    <row r="5933">
      <c r="A5933" s="134" t="str">
        <f>IFERROR(__xludf.DUMMYFUNCTION("""COMPUTED_VALUE"""),"Nicaro")</f>
        <v>Nicaro</v>
      </c>
      <c r="B5933" s="120" t="str">
        <f>IFERROR(__xludf.DUMMYFUNCTION("""COMPUTED_VALUE"""),"ICR")</f>
        <v>ICR</v>
      </c>
      <c r="C5933" s="120" t="str">
        <f>IFERROR(__xludf.DUMMYFUNCTION("""COMPUTED_VALUE"""),"Nicaro")</f>
        <v>Nicaro</v>
      </c>
      <c r="D5933" s="120" t="str">
        <f>IFERROR(__xludf.DUMMYFUNCTION("""COMPUTED_VALUE"""),"Cuba")</f>
        <v>Cuba</v>
      </c>
      <c r="E5933" s="135"/>
      <c r="F5933" s="31"/>
    </row>
    <row r="5934">
      <c r="A5934" s="134" t="str">
        <f>IFERROR(__xludf.DUMMYFUNCTION("""COMPUTED_VALUE"""),"Nichen Cove")</f>
        <v>Nichen Cove</v>
      </c>
      <c r="B5934" s="120" t="str">
        <f>IFERROR(__xludf.DUMMYFUNCTION("""COMPUTED_VALUE"""),"NKV")</f>
        <v>NKV</v>
      </c>
      <c r="C5934" s="120" t="str">
        <f>IFERROR(__xludf.DUMMYFUNCTION("""COMPUTED_VALUE"""),"Nichen Cove")</f>
        <v>Nichen Cove</v>
      </c>
      <c r="D5934" s="120" t="str">
        <f>IFERROR(__xludf.DUMMYFUNCTION("""COMPUTED_VALUE"""),"United States")</f>
        <v>United States</v>
      </c>
      <c r="E5934" s="135"/>
      <c r="F5934" s="31"/>
    </row>
    <row r="5935">
      <c r="A5935" s="134" t="str">
        <f>IFERROR(__xludf.DUMMYFUNCTION("""COMPUTED_VALUE"""),"Nicholson")</f>
        <v>Nicholson</v>
      </c>
      <c r="B5935" s="120" t="str">
        <f>IFERROR(__xludf.DUMMYFUNCTION("""COMPUTED_VALUE"""),"NLS")</f>
        <v>NLS</v>
      </c>
      <c r="C5935" s="120" t="str">
        <f>IFERROR(__xludf.DUMMYFUNCTION("""COMPUTED_VALUE"""),"Nicholson")</f>
        <v>Nicholson</v>
      </c>
      <c r="D5935" s="120" t="str">
        <f>IFERROR(__xludf.DUMMYFUNCTION("""COMPUTED_VALUE"""),"Australia")</f>
        <v>Australia</v>
      </c>
      <c r="E5935" s="135"/>
      <c r="F5935" s="31"/>
    </row>
    <row r="5936">
      <c r="A5936" s="134" t="str">
        <f>IFERROR(__xludf.DUMMYFUNCTION("""COMPUTED_VALUE"""),"Nicosia")</f>
        <v>Nicosia</v>
      </c>
      <c r="B5936" s="120" t="str">
        <f>IFERROR(__xludf.DUMMYFUNCTION("""COMPUTED_VALUE"""),"NIC")</f>
        <v>NIC</v>
      </c>
      <c r="C5936" s="120" t="str">
        <f>IFERROR(__xludf.DUMMYFUNCTION("""COMPUTED_VALUE"""),"Nicosia")</f>
        <v>Nicosia</v>
      </c>
      <c r="D5936" s="120" t="str">
        <f>IFERROR(__xludf.DUMMYFUNCTION("""COMPUTED_VALUE"""),"Cyprus")</f>
        <v>Cyprus</v>
      </c>
      <c r="E5936" s="135"/>
      <c r="F5936" s="31"/>
    </row>
    <row r="5937">
      <c r="A5937" s="134" t="str">
        <f>IFERROR(__xludf.DUMMYFUNCTION("""COMPUTED_VALUE"""),"Nicoya")</f>
        <v>Nicoya</v>
      </c>
      <c r="B5937" s="120" t="str">
        <f>IFERROR(__xludf.DUMMYFUNCTION("""COMPUTED_VALUE"""),"NCT")</f>
        <v>NCT</v>
      </c>
      <c r="C5937" s="120" t="str">
        <f>IFERROR(__xludf.DUMMYFUNCTION("""COMPUTED_VALUE"""),"Guanacaste")</f>
        <v>Guanacaste</v>
      </c>
      <c r="D5937" s="120" t="str">
        <f>IFERROR(__xludf.DUMMYFUNCTION("""COMPUTED_VALUE"""),"Costa Rica")</f>
        <v>Costa Rica</v>
      </c>
      <c r="E5937" s="135"/>
      <c r="F5937" s="31"/>
    </row>
    <row r="5938">
      <c r="A5938" s="134" t="str">
        <f>IFERROR(__xludf.DUMMYFUNCTION("""COMPUTED_VALUE"""),"Nieuw Nickerie")</f>
        <v>Nieuw Nickerie</v>
      </c>
      <c r="B5938" s="120" t="str">
        <f>IFERROR(__xludf.DUMMYFUNCTION("""COMPUTED_VALUE"""),"ICK")</f>
        <v>ICK</v>
      </c>
      <c r="C5938" s="120" t="str">
        <f>IFERROR(__xludf.DUMMYFUNCTION("""COMPUTED_VALUE"""),"Nieuw Nickerie")</f>
        <v>Nieuw Nickerie</v>
      </c>
      <c r="D5938" s="120" t="str">
        <f>IFERROR(__xludf.DUMMYFUNCTION("""COMPUTED_VALUE"""),"Suriname")</f>
        <v>Suriname</v>
      </c>
      <c r="E5938" s="135"/>
      <c r="F5938" s="31"/>
    </row>
    <row r="5939">
      <c r="A5939" s="134" t="str">
        <f>IFERROR(__xludf.DUMMYFUNCTION("""COMPUTED_VALUE"""),"Nifty")</f>
        <v>Nifty</v>
      </c>
      <c r="B5939" s="120" t="str">
        <f>IFERROR(__xludf.DUMMYFUNCTION("""COMPUTED_VALUE"""),"NIF")</f>
        <v>NIF</v>
      </c>
      <c r="C5939" s="120" t="str">
        <f>IFERROR(__xludf.DUMMYFUNCTION("""COMPUTED_VALUE"""),"Nifty")</f>
        <v>Nifty</v>
      </c>
      <c r="D5939" s="120" t="str">
        <f>IFERROR(__xludf.DUMMYFUNCTION("""COMPUTED_VALUE"""),"Australia")</f>
        <v>Australia</v>
      </c>
      <c r="E5939" s="135"/>
      <c r="F5939" s="31"/>
    </row>
    <row r="5940">
      <c r="A5940" s="134" t="str">
        <f>IFERROR(__xludf.DUMMYFUNCTION("""COMPUTED_VALUE"""),"Nightmute")</f>
        <v>Nightmute</v>
      </c>
      <c r="B5940" s="120" t="str">
        <f>IFERROR(__xludf.DUMMYFUNCTION("""COMPUTED_VALUE"""),"NME")</f>
        <v>NME</v>
      </c>
      <c r="C5940" s="120" t="str">
        <f>IFERROR(__xludf.DUMMYFUNCTION("""COMPUTED_VALUE"""),"Nightmute")</f>
        <v>Nightmute</v>
      </c>
      <c r="D5940" s="120" t="str">
        <f>IFERROR(__xludf.DUMMYFUNCTION("""COMPUTED_VALUE"""),"United States")</f>
        <v>United States</v>
      </c>
      <c r="E5940" s="135"/>
      <c r="F5940" s="31"/>
    </row>
    <row r="5941">
      <c r="A5941" s="134" t="str">
        <f>IFERROR(__xludf.DUMMYFUNCTION("""COMPUTED_VALUE"""),"Niigata")</f>
        <v>Niigata</v>
      </c>
      <c r="B5941" s="120" t="str">
        <f>IFERROR(__xludf.DUMMYFUNCTION("""COMPUTED_VALUE"""),"KIJ")</f>
        <v>KIJ</v>
      </c>
      <c r="C5941" s="120" t="str">
        <f>IFERROR(__xludf.DUMMYFUNCTION("""COMPUTED_VALUE"""),"Niigata")</f>
        <v>Niigata</v>
      </c>
      <c r="D5941" s="120" t="str">
        <f>IFERROR(__xludf.DUMMYFUNCTION("""COMPUTED_VALUE"""),"Japan")</f>
        <v>Japan</v>
      </c>
      <c r="E5941" s="135"/>
      <c r="F5941" s="31"/>
    </row>
    <row r="5942">
      <c r="A5942" s="134" t="str">
        <f>IFERROR(__xludf.DUMMYFUNCTION("""COMPUTED_VALUE"""),"Niihama")</f>
        <v>Niihama</v>
      </c>
      <c r="B5942" s="120" t="str">
        <f>IFERROR(__xludf.DUMMYFUNCTION("""COMPUTED_VALUE"""),"IHA")</f>
        <v>IHA</v>
      </c>
      <c r="C5942" s="120" t="str">
        <f>IFERROR(__xludf.DUMMYFUNCTION("""COMPUTED_VALUE"""),"Niihama")</f>
        <v>Niihama</v>
      </c>
      <c r="D5942" s="120" t="str">
        <f>IFERROR(__xludf.DUMMYFUNCTION("""COMPUTED_VALUE"""),"Japan")</f>
        <v>Japan</v>
      </c>
      <c r="E5942" s="135"/>
      <c r="F5942" s="31"/>
    </row>
    <row r="5943">
      <c r="A5943" s="134" t="str">
        <f>IFERROR(__xludf.DUMMYFUNCTION("""COMPUTED_VALUE"""),"Nikolaev")</f>
        <v>Nikolaev</v>
      </c>
      <c r="B5943" s="120" t="str">
        <f>IFERROR(__xludf.DUMMYFUNCTION("""COMPUTED_VALUE"""),"NLV")</f>
        <v>NLV</v>
      </c>
      <c r="C5943" s="120" t="str">
        <f>IFERROR(__xludf.DUMMYFUNCTION("""COMPUTED_VALUE"""),"Nikolaev")</f>
        <v>Nikolaev</v>
      </c>
      <c r="D5943" s="120" t="str">
        <f>IFERROR(__xludf.DUMMYFUNCTION("""COMPUTED_VALUE"""),"Ukraine")</f>
        <v>Ukraine</v>
      </c>
      <c r="E5943" s="135"/>
      <c r="F5943" s="31"/>
    </row>
    <row r="5944">
      <c r="A5944" s="134" t="str">
        <f>IFERROR(__xludf.DUMMYFUNCTION("""COMPUTED_VALUE"""),"Nikolai")</f>
        <v>Nikolai</v>
      </c>
      <c r="B5944" s="120" t="str">
        <f>IFERROR(__xludf.DUMMYFUNCTION("""COMPUTED_VALUE"""),"NIB")</f>
        <v>NIB</v>
      </c>
      <c r="C5944" s="120" t="str">
        <f>IFERROR(__xludf.DUMMYFUNCTION("""COMPUTED_VALUE"""),"Nikolai")</f>
        <v>Nikolai</v>
      </c>
      <c r="D5944" s="120" t="str">
        <f>IFERROR(__xludf.DUMMYFUNCTION("""COMPUTED_VALUE"""),"United States")</f>
        <v>United States</v>
      </c>
      <c r="E5944" s="135"/>
      <c r="F5944" s="31"/>
    </row>
    <row r="5945">
      <c r="A5945" s="134" t="str">
        <f>IFERROR(__xludf.DUMMYFUNCTION("""COMPUTED_VALUE"""),"Nikolski")</f>
        <v>Nikolski</v>
      </c>
      <c r="B5945" s="120" t="str">
        <f>IFERROR(__xludf.DUMMYFUNCTION("""COMPUTED_VALUE"""),"IKO")</f>
        <v>IKO</v>
      </c>
      <c r="C5945" s="120" t="str">
        <f>IFERROR(__xludf.DUMMYFUNCTION("""COMPUTED_VALUE"""),"Nikolski AFS")</f>
        <v>Nikolski AFS</v>
      </c>
      <c r="D5945" s="120" t="str">
        <f>IFERROR(__xludf.DUMMYFUNCTION("""COMPUTED_VALUE"""),"United States")</f>
        <v>United States</v>
      </c>
      <c r="E5945" s="135"/>
      <c r="F5945" s="31"/>
    </row>
    <row r="5946">
      <c r="A5946" s="134" t="str">
        <f>IFERROR(__xludf.DUMMYFUNCTION("""COMPUTED_VALUE"""),"Nikunau")</f>
        <v>Nikunau</v>
      </c>
      <c r="B5946" s="120" t="str">
        <f>IFERROR(__xludf.DUMMYFUNCTION("""COMPUTED_VALUE"""),"NIG")</f>
        <v>NIG</v>
      </c>
      <c r="C5946" s="120" t="str">
        <f>IFERROR(__xludf.DUMMYFUNCTION("""COMPUTED_VALUE"""),"Nikunau")</f>
        <v>Nikunau</v>
      </c>
      <c r="D5946" s="120" t="str">
        <f>IFERROR(__xludf.DUMMYFUNCTION("""COMPUTED_VALUE"""),"Kiribati")</f>
        <v>Kiribati</v>
      </c>
      <c r="E5946" s="135"/>
      <c r="F5946" s="31"/>
    </row>
    <row r="5947">
      <c r="A5947" s="134" t="str">
        <f>IFERROR(__xludf.DUMMYFUNCTION("""COMPUTED_VALUE"""),"Niles")</f>
        <v>Niles</v>
      </c>
      <c r="B5947" s="120" t="str">
        <f>IFERROR(__xludf.DUMMYFUNCTION("""COMPUTED_VALUE"""),"NLE")</f>
        <v>NLE</v>
      </c>
      <c r="C5947" s="120" t="str">
        <f>IFERROR(__xludf.DUMMYFUNCTION("""COMPUTED_VALUE"""),"Jerry Tyler Memorial")</f>
        <v>Jerry Tyler Memorial</v>
      </c>
      <c r="D5947" s="120" t="str">
        <f>IFERROR(__xludf.DUMMYFUNCTION("""COMPUTED_VALUE"""),"United States")</f>
        <v>United States</v>
      </c>
      <c r="E5947" s="135"/>
      <c r="F5947" s="31"/>
    </row>
    <row r="5948">
      <c r="A5948" s="134" t="str">
        <f>IFERROR(__xludf.DUMMYFUNCTION("""COMPUTED_VALUE"""),"Nimba")</f>
        <v>Nimba</v>
      </c>
      <c r="B5948" s="120" t="str">
        <f>IFERROR(__xludf.DUMMYFUNCTION("""COMPUTED_VALUE"""),"NIA")</f>
        <v>NIA</v>
      </c>
      <c r="C5948" s="120" t="str">
        <f>IFERROR(__xludf.DUMMYFUNCTION("""COMPUTED_VALUE"""),"Nimba")</f>
        <v>Nimba</v>
      </c>
      <c r="D5948" s="120" t="str">
        <f>IFERROR(__xludf.DUMMYFUNCTION("""COMPUTED_VALUE"""),"Liberia")</f>
        <v>Liberia</v>
      </c>
      <c r="E5948" s="135"/>
      <c r="F5948" s="31"/>
    </row>
    <row r="5949">
      <c r="A5949" s="134" t="str">
        <f>IFERROR(__xludf.DUMMYFUNCTION("""COMPUTED_VALUE"""),"Nimes")</f>
        <v>Nimes</v>
      </c>
      <c r="B5949" s="120" t="str">
        <f>IFERROR(__xludf.DUMMYFUNCTION("""COMPUTED_VALUE"""),"FNI")</f>
        <v>FNI</v>
      </c>
      <c r="C5949" s="120" t="str">
        <f>IFERROR(__xludf.DUMMYFUNCTION("""COMPUTED_VALUE"""),"Garons")</f>
        <v>Garons</v>
      </c>
      <c r="D5949" s="120" t="str">
        <f>IFERROR(__xludf.DUMMYFUNCTION("""COMPUTED_VALUE"""),"France")</f>
        <v>France</v>
      </c>
      <c r="E5949" s="135"/>
      <c r="F5949" s="31"/>
    </row>
    <row r="5950">
      <c r="A5950" s="134" t="str">
        <f>IFERROR(__xludf.DUMMYFUNCTION("""COMPUTED_VALUE"""),"Nimes")</f>
        <v>Nimes</v>
      </c>
      <c r="B5950" s="120" t="str">
        <f>IFERROR(__xludf.DUMMYFUNCTION("""COMPUTED_VALUE"""),"ZYN")</f>
        <v>ZYN</v>
      </c>
      <c r="C5950" s="120" t="str">
        <f>IFERROR(__xludf.DUMMYFUNCTION("""COMPUTED_VALUE"""),"Railway")</f>
        <v>Railway</v>
      </c>
      <c r="D5950" s="120" t="str">
        <f>IFERROR(__xludf.DUMMYFUNCTION("""COMPUTED_VALUE"""),"France")</f>
        <v>France</v>
      </c>
      <c r="E5950" s="135"/>
      <c r="F5950" s="31"/>
    </row>
    <row r="5951">
      <c r="A5951" s="134" t="str">
        <f>IFERROR(__xludf.DUMMYFUNCTION("""COMPUTED_VALUE"""),"Nimroz")</f>
        <v>Nimroz</v>
      </c>
      <c r="B5951" s="120" t="str">
        <f>IFERROR(__xludf.DUMMYFUNCTION("""COMPUTED_VALUE"""),"IMZ")</f>
        <v>IMZ</v>
      </c>
      <c r="C5951" s="120" t="str">
        <f>IFERROR(__xludf.DUMMYFUNCTION("""COMPUTED_VALUE"""),"Nimroz")</f>
        <v>Nimroz</v>
      </c>
      <c r="D5951" s="120" t="str">
        <f>IFERROR(__xludf.DUMMYFUNCTION("""COMPUTED_VALUE"""),"Afghanistan")</f>
        <v>Afghanistan</v>
      </c>
      <c r="E5951" s="135"/>
      <c r="F5951" s="31"/>
    </row>
    <row r="5952">
      <c r="A5952" s="134" t="str">
        <f>IFERROR(__xludf.DUMMYFUNCTION("""COMPUTED_VALUE"""),"Ningbo")</f>
        <v>Ningbo</v>
      </c>
      <c r="B5952" s="120" t="str">
        <f>IFERROR(__xludf.DUMMYFUNCTION("""COMPUTED_VALUE"""),"NGB")</f>
        <v>NGB</v>
      </c>
      <c r="C5952" s="120" t="str">
        <f>IFERROR(__xludf.DUMMYFUNCTION("""COMPUTED_VALUE"""),"Ningbo")</f>
        <v>Ningbo</v>
      </c>
      <c r="D5952" s="120" t="str">
        <f>IFERROR(__xludf.DUMMYFUNCTION("""COMPUTED_VALUE"""),"China")</f>
        <v>China</v>
      </c>
      <c r="E5952" s="135"/>
      <c r="F5952" s="31"/>
    </row>
    <row r="5953">
      <c r="A5953" s="134" t="str">
        <f>IFERROR(__xludf.DUMMYFUNCTION("""COMPUTED_VALUE"""),"Ningerum")</f>
        <v>Ningerum</v>
      </c>
      <c r="B5953" s="120" t="str">
        <f>IFERROR(__xludf.DUMMYFUNCTION("""COMPUTED_VALUE"""),"NGR")</f>
        <v>NGR</v>
      </c>
      <c r="C5953" s="120" t="str">
        <f>IFERROR(__xludf.DUMMYFUNCTION("""COMPUTED_VALUE"""),"Ningerum")</f>
        <v>Ningerum</v>
      </c>
      <c r="D5953" s="120" t="str">
        <f>IFERROR(__xludf.DUMMYFUNCTION("""COMPUTED_VALUE"""),"Papua New Guinea")</f>
        <v>Papua New Guinea</v>
      </c>
      <c r="E5953" s="135"/>
      <c r="F5953" s="31"/>
    </row>
    <row r="5954">
      <c r="A5954" s="134" t="str">
        <f>IFERROR(__xludf.DUMMYFUNCTION("""COMPUTED_VALUE"""),"Ninilchik")</f>
        <v>Ninilchik</v>
      </c>
      <c r="B5954" s="120" t="str">
        <f>IFERROR(__xludf.DUMMYFUNCTION("""COMPUTED_VALUE"""),"NIN")</f>
        <v>NIN</v>
      </c>
      <c r="C5954" s="120" t="str">
        <f>IFERROR(__xludf.DUMMYFUNCTION("""COMPUTED_VALUE"""),"Ninilchik")</f>
        <v>Ninilchik</v>
      </c>
      <c r="D5954" s="120" t="str">
        <f>IFERROR(__xludf.DUMMYFUNCTION("""COMPUTED_VALUE"""),"United States")</f>
        <v>United States</v>
      </c>
      <c r="E5954" s="135"/>
      <c r="F5954" s="31"/>
    </row>
    <row r="5955">
      <c r="A5955" s="134" t="str">
        <f>IFERROR(__xludf.DUMMYFUNCTION("""COMPUTED_VALUE"""),"Nioki")</f>
        <v>Nioki</v>
      </c>
      <c r="B5955" s="120" t="str">
        <f>IFERROR(__xludf.DUMMYFUNCTION("""COMPUTED_VALUE"""),"NIO")</f>
        <v>NIO</v>
      </c>
      <c r="C5955" s="120" t="str">
        <f>IFERROR(__xludf.DUMMYFUNCTION("""COMPUTED_VALUE"""),"Nioki")</f>
        <v>Nioki</v>
      </c>
      <c r="D5955" s="120" t="str">
        <f>IFERROR(__xludf.DUMMYFUNCTION("""COMPUTED_VALUE"""),"Zaire")</f>
        <v>Zaire</v>
      </c>
      <c r="E5955" s="135"/>
      <c r="F5955" s="31"/>
    </row>
    <row r="5956">
      <c r="A5956" s="134" t="str">
        <f>IFERROR(__xludf.DUMMYFUNCTION("""COMPUTED_VALUE"""),"Niokolo Koba")</f>
        <v>Niokolo Koba</v>
      </c>
      <c r="B5956" s="120" t="str">
        <f>IFERROR(__xludf.DUMMYFUNCTION("""COMPUTED_VALUE"""),"NIK")</f>
        <v>NIK</v>
      </c>
      <c r="C5956" s="120" t="str">
        <f>IFERROR(__xludf.DUMMYFUNCTION("""COMPUTED_VALUE"""),"Niokolo Koba")</f>
        <v>Niokolo Koba</v>
      </c>
      <c r="D5956" s="120" t="str">
        <f>IFERROR(__xludf.DUMMYFUNCTION("""COMPUTED_VALUE"""),"Senegal")</f>
        <v>Senegal</v>
      </c>
      <c r="E5956" s="135"/>
      <c r="F5956" s="31"/>
    </row>
    <row r="5957">
      <c r="A5957" s="134" t="str">
        <f>IFERROR(__xludf.DUMMYFUNCTION("""COMPUTED_VALUE"""),"Nioro")</f>
        <v>Nioro</v>
      </c>
      <c r="B5957" s="120" t="str">
        <f>IFERROR(__xludf.DUMMYFUNCTION("""COMPUTED_VALUE"""),"NIX")</f>
        <v>NIX</v>
      </c>
      <c r="C5957" s="120" t="str">
        <f>IFERROR(__xludf.DUMMYFUNCTION("""COMPUTED_VALUE"""),"Nioro")</f>
        <v>Nioro</v>
      </c>
      <c r="D5957" s="120" t="str">
        <f>IFERROR(__xludf.DUMMYFUNCTION("""COMPUTED_VALUE"""),"Mali")</f>
        <v>Mali</v>
      </c>
      <c r="E5957" s="135"/>
      <c r="F5957" s="31"/>
    </row>
    <row r="5958">
      <c r="A5958" s="134" t="str">
        <f>IFERROR(__xludf.DUMMYFUNCTION("""COMPUTED_VALUE"""),"Niort")</f>
        <v>Niort</v>
      </c>
      <c r="B5958" s="120" t="str">
        <f>IFERROR(__xludf.DUMMYFUNCTION("""COMPUTED_VALUE"""),"NIT")</f>
        <v>NIT</v>
      </c>
      <c r="C5958" s="120" t="str">
        <f>IFERROR(__xludf.DUMMYFUNCTION("""COMPUTED_VALUE"""),"Niort")</f>
        <v>Niort</v>
      </c>
      <c r="D5958" s="120" t="str">
        <f>IFERROR(__xludf.DUMMYFUNCTION("""COMPUTED_VALUE"""),"France")</f>
        <v>France</v>
      </c>
      <c r="E5958" s="135"/>
      <c r="F5958" s="31"/>
    </row>
    <row r="5959">
      <c r="A5959" s="134" t="str">
        <f>IFERROR(__xludf.DUMMYFUNCTION("""COMPUTED_VALUE"""),"Nipa")</f>
        <v>Nipa</v>
      </c>
      <c r="B5959" s="120" t="str">
        <f>IFERROR(__xludf.DUMMYFUNCTION("""COMPUTED_VALUE"""),"NPG")</f>
        <v>NPG</v>
      </c>
      <c r="C5959" s="120" t="str">
        <f>IFERROR(__xludf.DUMMYFUNCTION("""COMPUTED_VALUE"""),"Nipa")</f>
        <v>Nipa</v>
      </c>
      <c r="D5959" s="120" t="str">
        <f>IFERROR(__xludf.DUMMYFUNCTION("""COMPUTED_VALUE"""),"Papua New Guinea")</f>
        <v>Papua New Guinea</v>
      </c>
      <c r="E5959" s="135"/>
      <c r="F5959" s="31"/>
    </row>
    <row r="5960">
      <c r="A5960" s="134" t="str">
        <f>IFERROR(__xludf.DUMMYFUNCTION("""COMPUTED_VALUE"""),"Niquelandia")</f>
        <v>Niquelandia</v>
      </c>
      <c r="B5960" s="120" t="str">
        <f>IFERROR(__xludf.DUMMYFUNCTION("""COMPUTED_VALUE"""),"NQL")</f>
        <v>NQL</v>
      </c>
      <c r="C5960" s="120" t="str">
        <f>IFERROR(__xludf.DUMMYFUNCTION("""COMPUTED_VALUE"""),"Niquelandia")</f>
        <v>Niquelandia</v>
      </c>
      <c r="D5960" s="120" t="str">
        <f>IFERROR(__xludf.DUMMYFUNCTION("""COMPUTED_VALUE"""),"Brazil")</f>
        <v>Brazil</v>
      </c>
      <c r="E5960" s="135"/>
      <c r="F5960" s="31"/>
    </row>
    <row r="5961">
      <c r="A5961" s="134" t="str">
        <f>IFERROR(__xludf.DUMMYFUNCTION("""COMPUTED_VALUE"""),"Nis")</f>
        <v>Nis</v>
      </c>
      <c r="B5961" s="120" t="str">
        <f>IFERROR(__xludf.DUMMYFUNCTION("""COMPUTED_VALUE"""),"INI")</f>
        <v>INI</v>
      </c>
      <c r="C5961" s="120" t="str">
        <f>IFERROR(__xludf.DUMMYFUNCTION("""COMPUTED_VALUE"""),"Nis")</f>
        <v>Nis</v>
      </c>
      <c r="D5961" s="120" t="str">
        <f>IFERROR(__xludf.DUMMYFUNCTION("""COMPUTED_VALUE"""),"Serbia")</f>
        <v>Serbia</v>
      </c>
      <c r="E5961" s="135"/>
      <c r="F5961" s="31"/>
    </row>
    <row r="5962">
      <c r="A5962" s="134" t="str">
        <f>IFERROR(__xludf.DUMMYFUNCTION("""COMPUTED_VALUE"""),"Nishinoomote")</f>
        <v>Nishinoomote</v>
      </c>
      <c r="B5962" s="120" t="str">
        <f>IFERROR(__xludf.DUMMYFUNCTION("""COMPUTED_VALUE"""),"IIN")</f>
        <v>IIN</v>
      </c>
      <c r="C5962" s="120" t="str">
        <f>IFERROR(__xludf.DUMMYFUNCTION("""COMPUTED_VALUE"""),"Nishinoomote")</f>
        <v>Nishinoomote</v>
      </c>
      <c r="D5962" s="120" t="str">
        <f>IFERROR(__xludf.DUMMYFUNCTION("""COMPUTED_VALUE"""),"Japan")</f>
        <v>Japan</v>
      </c>
      <c r="E5962" s="135"/>
      <c r="F5962" s="31"/>
    </row>
    <row r="5963">
      <c r="A5963" s="134" t="str">
        <f>IFERROR(__xludf.DUMMYFUNCTION("""COMPUTED_VALUE"""),"Nissan Island")</f>
        <v>Nissan Island</v>
      </c>
      <c r="B5963" s="120" t="str">
        <f>IFERROR(__xludf.DUMMYFUNCTION("""COMPUTED_VALUE"""),"IIS")</f>
        <v>IIS</v>
      </c>
      <c r="C5963" s="120" t="str">
        <f>IFERROR(__xludf.DUMMYFUNCTION("""COMPUTED_VALUE"""),"Nissan Island")</f>
        <v>Nissan Island</v>
      </c>
      <c r="D5963" s="120" t="str">
        <f>IFERROR(__xludf.DUMMYFUNCTION("""COMPUTED_VALUE"""),"Papua New Guinea")</f>
        <v>Papua New Guinea</v>
      </c>
      <c r="E5963" s="135"/>
      <c r="F5963" s="31"/>
    </row>
    <row r="5964">
      <c r="A5964" s="134" t="str">
        <f>IFERROR(__xludf.DUMMYFUNCTION("""COMPUTED_VALUE"""),"Nitchequon")</f>
        <v>Nitchequon</v>
      </c>
      <c r="B5964" s="120" t="str">
        <f>IFERROR(__xludf.DUMMYFUNCTION("""COMPUTED_VALUE"""),"YNI")</f>
        <v>YNI</v>
      </c>
      <c r="C5964" s="120" t="str">
        <f>IFERROR(__xludf.DUMMYFUNCTION("""COMPUTED_VALUE"""),"Nitchequon")</f>
        <v>Nitchequon</v>
      </c>
      <c r="D5964" s="120" t="str">
        <f>IFERROR(__xludf.DUMMYFUNCTION("""COMPUTED_VALUE"""),"Canada")</f>
        <v>Canada</v>
      </c>
      <c r="E5964" s="135"/>
      <c r="F5964" s="31"/>
    </row>
    <row r="5965">
      <c r="A5965" s="134" t="str">
        <f>IFERROR(__xludf.DUMMYFUNCTION("""COMPUTED_VALUE"""),"Niuatoputapu")</f>
        <v>Niuatoputapu</v>
      </c>
      <c r="B5965" s="120" t="str">
        <f>IFERROR(__xludf.DUMMYFUNCTION("""COMPUTED_VALUE"""),"NTT")</f>
        <v>NTT</v>
      </c>
      <c r="C5965" s="120" t="str">
        <f>IFERROR(__xludf.DUMMYFUNCTION("""COMPUTED_VALUE"""),"Kuini Lavenia")</f>
        <v>Kuini Lavenia</v>
      </c>
      <c r="D5965" s="120" t="str">
        <f>IFERROR(__xludf.DUMMYFUNCTION("""COMPUTED_VALUE"""),"Tonga")</f>
        <v>Tonga</v>
      </c>
      <c r="E5965" s="135"/>
      <c r="F5965" s="31"/>
    </row>
    <row r="5966">
      <c r="A5966" s="134" t="str">
        <f>IFERROR(__xludf.DUMMYFUNCTION("""COMPUTED_VALUE"""),"Niue Island")</f>
        <v>Niue Island</v>
      </c>
      <c r="B5966" s="120" t="str">
        <f>IFERROR(__xludf.DUMMYFUNCTION("""COMPUTED_VALUE"""),"IUE")</f>
        <v>IUE</v>
      </c>
      <c r="C5966" s="120" t="str">
        <f>IFERROR(__xludf.DUMMYFUNCTION("""COMPUTED_VALUE"""),"Hanan")</f>
        <v>Hanan</v>
      </c>
      <c r="D5966" s="120" t="str">
        <f>IFERROR(__xludf.DUMMYFUNCTION("""COMPUTED_VALUE"""),"Niue")</f>
        <v>Niue</v>
      </c>
      <c r="E5966" s="135"/>
      <c r="F5966" s="31"/>
    </row>
    <row r="5967">
      <c r="A5967" s="134" t="str">
        <f>IFERROR(__xludf.DUMMYFUNCTION("""COMPUTED_VALUE"""),"Nizhnevartovsk")</f>
        <v>Nizhnevartovsk</v>
      </c>
      <c r="B5967" s="120" t="str">
        <f>IFERROR(__xludf.DUMMYFUNCTION("""COMPUTED_VALUE"""),"NJC")</f>
        <v>NJC</v>
      </c>
      <c r="C5967" s="120" t="str">
        <f>IFERROR(__xludf.DUMMYFUNCTION("""COMPUTED_VALUE"""),"Nizhnevartovsk")</f>
        <v>Nizhnevartovsk</v>
      </c>
      <c r="D5967" s="120" t="str">
        <f>IFERROR(__xludf.DUMMYFUNCTION("""COMPUTED_VALUE"""),"Russia")</f>
        <v>Russia</v>
      </c>
      <c r="E5967" s="135"/>
      <c r="F5967" s="31"/>
    </row>
    <row r="5968">
      <c r="A5968" s="134" t="str">
        <f>IFERROR(__xludf.DUMMYFUNCTION("""COMPUTED_VALUE"""),"Nizhniy Novgorod")</f>
        <v>Nizhniy Novgorod</v>
      </c>
      <c r="B5968" s="120" t="str">
        <f>IFERROR(__xludf.DUMMYFUNCTION("""COMPUTED_VALUE"""),"GOJ")</f>
        <v>GOJ</v>
      </c>
      <c r="C5968" s="120" t="str">
        <f>IFERROR(__xludf.DUMMYFUNCTION("""COMPUTED_VALUE"""),"Nizhniy Novgorod")</f>
        <v>Nizhniy Novgorod</v>
      </c>
      <c r="D5968" s="120" t="str">
        <f>IFERROR(__xludf.DUMMYFUNCTION("""COMPUTED_VALUE"""),"Russia")</f>
        <v>Russia</v>
      </c>
      <c r="E5968" s="135"/>
      <c r="F5968" s="31"/>
    </row>
    <row r="5969">
      <c r="A5969" s="134" t="str">
        <f>IFERROR(__xludf.DUMMYFUNCTION("""COMPUTED_VALUE"""),"Njombe")</f>
        <v>Njombe</v>
      </c>
      <c r="B5969" s="120" t="str">
        <f>IFERROR(__xludf.DUMMYFUNCTION("""COMPUTED_VALUE"""),"JOM")</f>
        <v>JOM</v>
      </c>
      <c r="C5969" s="120" t="str">
        <f>IFERROR(__xludf.DUMMYFUNCTION("""COMPUTED_VALUE"""),"Njombe")</f>
        <v>Njombe</v>
      </c>
      <c r="D5969" s="120" t="str">
        <f>IFERROR(__xludf.DUMMYFUNCTION("""COMPUTED_VALUE"""),"Tanzania")</f>
        <v>Tanzania</v>
      </c>
      <c r="E5969" s="135"/>
      <c r="F5969" s="31"/>
    </row>
    <row r="5970">
      <c r="A5970" s="134" t="str">
        <f>IFERROR(__xludf.DUMMYFUNCTION("""COMPUTED_VALUE"""),"Nkan")</f>
        <v>Nkan</v>
      </c>
      <c r="B5970" s="120" t="str">
        <f>IFERROR(__xludf.DUMMYFUNCTION("""COMPUTED_VALUE"""),"NKA")</f>
        <v>NKA</v>
      </c>
      <c r="C5970" s="120" t="str">
        <f>IFERROR(__xludf.DUMMYFUNCTION("""COMPUTED_VALUE"""),"Nkan")</f>
        <v>Nkan</v>
      </c>
      <c r="D5970" s="120" t="str">
        <f>IFERROR(__xludf.DUMMYFUNCTION("""COMPUTED_VALUE"""),"Gabon")</f>
        <v>Gabon</v>
      </c>
      <c r="E5970" s="135"/>
      <c r="F5970" s="31"/>
    </row>
    <row r="5971">
      <c r="A5971" s="134" t="str">
        <f>IFERROR(__xludf.DUMMYFUNCTION("""COMPUTED_VALUE"""),"Nkaus")</f>
        <v>Nkaus</v>
      </c>
      <c r="B5971" s="120" t="str">
        <f>IFERROR(__xludf.DUMMYFUNCTION("""COMPUTED_VALUE"""),"NKU")</f>
        <v>NKU</v>
      </c>
      <c r="C5971" s="120" t="str">
        <f>IFERROR(__xludf.DUMMYFUNCTION("""COMPUTED_VALUE"""),"Nkaus")</f>
        <v>Nkaus</v>
      </c>
      <c r="D5971" s="120" t="str">
        <f>IFERROR(__xludf.DUMMYFUNCTION("""COMPUTED_VALUE"""),"Lesotho")</f>
        <v>Lesotho</v>
      </c>
      <c r="E5971" s="135"/>
      <c r="F5971" s="31"/>
    </row>
    <row r="5972">
      <c r="A5972" s="134" t="str">
        <f>IFERROR(__xludf.DUMMYFUNCTION("""COMPUTED_VALUE"""),"Nkayi")</f>
        <v>Nkayi</v>
      </c>
      <c r="B5972" s="120" t="str">
        <f>IFERROR(__xludf.DUMMYFUNCTION("""COMPUTED_VALUE"""),"NKY")</f>
        <v>NKY</v>
      </c>
      <c r="C5972" s="120" t="str">
        <f>IFERROR(__xludf.DUMMYFUNCTION("""COMPUTED_VALUE"""),"Nkayi")</f>
        <v>Nkayi</v>
      </c>
      <c r="D5972" s="120" t="str">
        <f>IFERROR(__xludf.DUMMYFUNCTION("""COMPUTED_VALUE"""),"Congo")</f>
        <v>Congo</v>
      </c>
      <c r="E5972" s="135"/>
      <c r="F5972" s="31"/>
    </row>
    <row r="5973">
      <c r="A5973" s="134" t="str">
        <f>IFERROR(__xludf.DUMMYFUNCTION("""COMPUTED_VALUE"""),"Nkolo")</f>
        <v>Nkolo</v>
      </c>
      <c r="B5973" s="120" t="str">
        <f>IFERROR(__xludf.DUMMYFUNCTION("""COMPUTED_VALUE"""),"NKL")</f>
        <v>NKL</v>
      </c>
      <c r="C5973" s="120" t="str">
        <f>IFERROR(__xludf.DUMMYFUNCTION("""COMPUTED_VALUE"""),"Nkolo")</f>
        <v>Nkolo</v>
      </c>
      <c r="D5973" s="120" t="str">
        <f>IFERROR(__xludf.DUMMYFUNCTION("""COMPUTED_VALUE"""),"Zaire")</f>
        <v>Zaire</v>
      </c>
      <c r="E5973" s="135"/>
      <c r="F5973" s="31"/>
    </row>
    <row r="5974">
      <c r="A5974" s="134" t="str">
        <f>IFERROR(__xludf.DUMMYFUNCTION("""COMPUTED_VALUE"""),"Nkongsamba")</f>
        <v>Nkongsamba</v>
      </c>
      <c r="B5974" s="120" t="str">
        <f>IFERROR(__xludf.DUMMYFUNCTION("""COMPUTED_VALUE"""),"NKS")</f>
        <v>NKS</v>
      </c>
      <c r="C5974" s="120" t="str">
        <f>IFERROR(__xludf.DUMMYFUNCTION("""COMPUTED_VALUE"""),"Nkongsamba")</f>
        <v>Nkongsamba</v>
      </c>
      <c r="D5974" s="120" t="str">
        <f>IFERROR(__xludf.DUMMYFUNCTION("""COMPUTED_VALUE"""),"Cameroon")</f>
        <v>Cameroon</v>
      </c>
      <c r="E5974" s="135"/>
      <c r="F5974" s="31"/>
    </row>
    <row r="5975">
      <c r="A5975" s="134" t="str">
        <f>IFERROR(__xludf.DUMMYFUNCTION("""COMPUTED_VALUE"""),"Noatak")</f>
        <v>Noatak</v>
      </c>
      <c r="B5975" s="120" t="str">
        <f>IFERROR(__xludf.DUMMYFUNCTION("""COMPUTED_VALUE"""),"WTK")</f>
        <v>WTK</v>
      </c>
      <c r="C5975" s="120" t="str">
        <f>IFERROR(__xludf.DUMMYFUNCTION("""COMPUTED_VALUE"""),"Noatak")</f>
        <v>Noatak</v>
      </c>
      <c r="D5975" s="120" t="str">
        <f>IFERROR(__xludf.DUMMYFUNCTION("""COMPUTED_VALUE"""),"United States")</f>
        <v>United States</v>
      </c>
      <c r="E5975" s="135"/>
      <c r="F5975" s="31"/>
    </row>
    <row r="5976">
      <c r="A5976" s="134" t="str">
        <f>IFERROR(__xludf.DUMMYFUNCTION("""COMPUTED_VALUE"""),"Nogales")</f>
        <v>Nogales</v>
      </c>
      <c r="B5976" s="120" t="str">
        <f>IFERROR(__xludf.DUMMYFUNCTION("""COMPUTED_VALUE"""),"OLS")</f>
        <v>OLS</v>
      </c>
      <c r="C5976" s="120" t="str">
        <f>IFERROR(__xludf.DUMMYFUNCTION("""COMPUTED_VALUE"""),"International")</f>
        <v>International</v>
      </c>
      <c r="D5976" s="120" t="str">
        <f>IFERROR(__xludf.DUMMYFUNCTION("""COMPUTED_VALUE"""),"United States")</f>
        <v>United States</v>
      </c>
      <c r="E5976" s="135"/>
      <c r="F5976" s="31"/>
    </row>
    <row r="5977">
      <c r="A5977" s="134" t="str">
        <f>IFERROR(__xludf.DUMMYFUNCTION("""COMPUTED_VALUE"""),"Nogales")</f>
        <v>Nogales</v>
      </c>
      <c r="B5977" s="120" t="str">
        <f>IFERROR(__xludf.DUMMYFUNCTION("""COMPUTED_VALUE"""),"NOG")</f>
        <v>NOG</v>
      </c>
      <c r="C5977" s="120" t="str">
        <f>IFERROR(__xludf.DUMMYFUNCTION("""COMPUTED_VALUE"""),"Nogales")</f>
        <v>Nogales</v>
      </c>
      <c r="D5977" s="120" t="str">
        <f>IFERROR(__xludf.DUMMYFUNCTION("""COMPUTED_VALUE"""),"Mexico")</f>
        <v>Mexico</v>
      </c>
      <c r="E5977" s="135"/>
      <c r="F5977" s="31"/>
    </row>
    <row r="5978">
      <c r="A5978" s="134" t="str">
        <f>IFERROR(__xludf.DUMMYFUNCTION("""COMPUTED_VALUE"""),"Nojabrxsk")</f>
        <v>Nojabrxsk</v>
      </c>
      <c r="B5978" s="120" t="str">
        <f>IFERROR(__xludf.DUMMYFUNCTION("""COMPUTED_VALUE"""),"NOJ")</f>
        <v>NOJ</v>
      </c>
      <c r="C5978" s="120" t="str">
        <f>IFERROR(__xludf.DUMMYFUNCTION("""COMPUTED_VALUE"""),"Nojabrxsk")</f>
        <v>Nojabrxsk</v>
      </c>
      <c r="D5978" s="120" t="str">
        <f>IFERROR(__xludf.DUMMYFUNCTION("""COMPUTED_VALUE"""),"Russia")</f>
        <v>Russia</v>
      </c>
      <c r="E5978" s="135"/>
      <c r="F5978" s="31"/>
    </row>
    <row r="5979">
      <c r="A5979" s="134" t="str">
        <f>IFERROR(__xludf.DUMMYFUNCTION("""COMPUTED_VALUE"""),"Nojeh")</f>
        <v>Nojeh</v>
      </c>
      <c r="B5979" s="120" t="str">
        <f>IFERROR(__xludf.DUMMYFUNCTION("""COMPUTED_VALUE"""),"NUJ")</f>
        <v>NUJ</v>
      </c>
      <c r="C5979" s="120" t="str">
        <f>IFERROR(__xludf.DUMMYFUNCTION("""COMPUTED_VALUE"""),"Nojeh")</f>
        <v>Nojeh</v>
      </c>
      <c r="D5979" s="120" t="str">
        <f>IFERROR(__xludf.DUMMYFUNCTION("""COMPUTED_VALUE"""),"Iran")</f>
        <v>Iran</v>
      </c>
      <c r="E5979" s="135"/>
      <c r="F5979" s="31"/>
    </row>
    <row r="5980">
      <c r="A5980" s="134" t="str">
        <f>IFERROR(__xludf.DUMMYFUNCTION("""COMPUTED_VALUE"""),"Nomad River")</f>
        <v>Nomad River</v>
      </c>
      <c r="B5980" s="120" t="str">
        <f>IFERROR(__xludf.DUMMYFUNCTION("""COMPUTED_VALUE"""),"NOM")</f>
        <v>NOM</v>
      </c>
      <c r="C5980" s="120" t="str">
        <f>IFERROR(__xludf.DUMMYFUNCTION("""COMPUTED_VALUE"""),"Nomad River")</f>
        <v>Nomad River</v>
      </c>
      <c r="D5980" s="120" t="str">
        <f>IFERROR(__xludf.DUMMYFUNCTION("""COMPUTED_VALUE"""),"Papua New Guinea")</f>
        <v>Papua New Guinea</v>
      </c>
      <c r="E5980" s="135"/>
      <c r="F5980" s="31"/>
    </row>
    <row r="5981">
      <c r="A5981" s="134" t="str">
        <f>IFERROR(__xludf.DUMMYFUNCTION("""COMPUTED_VALUE"""),"Nomane")</f>
        <v>Nomane</v>
      </c>
      <c r="B5981" s="120" t="str">
        <f>IFERROR(__xludf.DUMMYFUNCTION("""COMPUTED_VALUE"""),"NMN")</f>
        <v>NMN</v>
      </c>
      <c r="C5981" s="120" t="str">
        <f>IFERROR(__xludf.DUMMYFUNCTION("""COMPUTED_VALUE"""),"Nomane")</f>
        <v>Nomane</v>
      </c>
      <c r="D5981" s="120" t="str">
        <f>IFERROR(__xludf.DUMMYFUNCTION("""COMPUTED_VALUE"""),"Papua New Guinea")</f>
        <v>Papua New Guinea</v>
      </c>
      <c r="E5981" s="135"/>
      <c r="F5981" s="31"/>
    </row>
    <row r="5982">
      <c r="A5982" s="134" t="str">
        <f>IFERROR(__xludf.DUMMYFUNCTION("""COMPUTED_VALUE"""),"Nome")</f>
        <v>Nome</v>
      </c>
      <c r="B5982" s="120" t="str">
        <f>IFERROR(__xludf.DUMMYFUNCTION("""COMPUTED_VALUE"""),"OME")</f>
        <v>OME</v>
      </c>
      <c r="C5982" s="120" t="str">
        <f>IFERROR(__xludf.DUMMYFUNCTION("""COMPUTED_VALUE"""),"Nome")</f>
        <v>Nome</v>
      </c>
      <c r="D5982" s="120" t="str">
        <f>IFERROR(__xludf.DUMMYFUNCTION("""COMPUTED_VALUE"""),"United States")</f>
        <v>United States</v>
      </c>
      <c r="E5982" s="135"/>
      <c r="F5982" s="31"/>
    </row>
    <row r="5983">
      <c r="A5983" s="134" t="str">
        <f>IFERROR(__xludf.DUMMYFUNCTION("""COMPUTED_VALUE"""),"Nondalton")</f>
        <v>Nondalton</v>
      </c>
      <c r="B5983" s="120" t="str">
        <f>IFERROR(__xludf.DUMMYFUNCTION("""COMPUTED_VALUE"""),"NNL")</f>
        <v>NNL</v>
      </c>
      <c r="C5983" s="120" t="str">
        <f>IFERROR(__xludf.DUMMYFUNCTION("""COMPUTED_VALUE"""),"Nondalton")</f>
        <v>Nondalton</v>
      </c>
      <c r="D5983" s="120" t="str">
        <f>IFERROR(__xludf.DUMMYFUNCTION("""COMPUTED_VALUE"""),"United States")</f>
        <v>United States</v>
      </c>
      <c r="E5983" s="135"/>
      <c r="F5983" s="31"/>
    </row>
    <row r="5984">
      <c r="A5984" s="134" t="str">
        <f>IFERROR(__xludf.DUMMYFUNCTION("""COMPUTED_VALUE"""),"Nonouti")</f>
        <v>Nonouti</v>
      </c>
      <c r="B5984" s="120" t="str">
        <f>IFERROR(__xludf.DUMMYFUNCTION("""COMPUTED_VALUE"""),"NON")</f>
        <v>NON</v>
      </c>
      <c r="C5984" s="120" t="str">
        <f>IFERROR(__xludf.DUMMYFUNCTION("""COMPUTED_VALUE"""),"Nonouti")</f>
        <v>Nonouti</v>
      </c>
      <c r="D5984" s="120" t="str">
        <f>IFERROR(__xludf.DUMMYFUNCTION("""COMPUTED_VALUE"""),"Kiribati")</f>
        <v>Kiribati</v>
      </c>
      <c r="E5984" s="135"/>
      <c r="F5984" s="31"/>
    </row>
    <row r="5985">
      <c r="A5985" s="134" t="str">
        <f>IFERROR(__xludf.DUMMYFUNCTION("""COMPUTED_VALUE"""),"Noonkanbah")</f>
        <v>Noonkanbah</v>
      </c>
      <c r="B5985" s="120" t="str">
        <f>IFERROR(__xludf.DUMMYFUNCTION("""COMPUTED_VALUE"""),"NKB")</f>
        <v>NKB</v>
      </c>
      <c r="C5985" s="120" t="str">
        <f>IFERROR(__xludf.DUMMYFUNCTION("""COMPUTED_VALUE"""),"Noonkanbah")</f>
        <v>Noonkanbah</v>
      </c>
      <c r="D5985" s="120" t="str">
        <f>IFERROR(__xludf.DUMMYFUNCTION("""COMPUTED_VALUE"""),"Australia")</f>
        <v>Australia</v>
      </c>
      <c r="E5985" s="135"/>
      <c r="F5985" s="31"/>
    </row>
    <row r="5986">
      <c r="A5986" s="134" t="str">
        <f>IFERROR(__xludf.DUMMYFUNCTION("""COMPUTED_VALUE"""),"Noorvik")</f>
        <v>Noorvik</v>
      </c>
      <c r="B5986" s="120" t="str">
        <f>IFERROR(__xludf.DUMMYFUNCTION("""COMPUTED_VALUE"""),"ORV")</f>
        <v>ORV</v>
      </c>
      <c r="C5986" s="120" t="str">
        <f>IFERROR(__xludf.DUMMYFUNCTION("""COMPUTED_VALUE"""),"Curtis Memorial")</f>
        <v>Curtis Memorial</v>
      </c>
      <c r="D5986" s="120" t="str">
        <f>IFERROR(__xludf.DUMMYFUNCTION("""COMPUTED_VALUE"""),"United States")</f>
        <v>United States</v>
      </c>
      <c r="E5986" s="135"/>
      <c r="F5986" s="31"/>
    </row>
    <row r="5987">
      <c r="A5987" s="134" t="str">
        <f>IFERROR(__xludf.DUMMYFUNCTION("""COMPUTED_VALUE"""),"Noosa")</f>
        <v>Noosa</v>
      </c>
      <c r="B5987" s="120" t="str">
        <f>IFERROR(__xludf.DUMMYFUNCTION("""COMPUTED_VALUE"""),"NSA")</f>
        <v>NSA</v>
      </c>
      <c r="C5987" s="120" t="str">
        <f>IFERROR(__xludf.DUMMYFUNCTION("""COMPUTED_VALUE"""),"Noosa")</f>
        <v>Noosa</v>
      </c>
      <c r="D5987" s="120" t="str">
        <f>IFERROR(__xludf.DUMMYFUNCTION("""COMPUTED_VALUE"""),"Australia")</f>
        <v>Australia</v>
      </c>
      <c r="E5987" s="135"/>
      <c r="F5987" s="31"/>
    </row>
    <row r="5988">
      <c r="A5988" s="134" t="str">
        <f>IFERROR(__xludf.DUMMYFUNCTION("""COMPUTED_VALUE"""),"Noosaville")</f>
        <v>Noosaville</v>
      </c>
      <c r="B5988" s="120" t="str">
        <f>IFERROR(__xludf.DUMMYFUNCTION("""COMPUTED_VALUE"""),"NSV")</f>
        <v>NSV</v>
      </c>
      <c r="C5988" s="120" t="str">
        <f>IFERROR(__xludf.DUMMYFUNCTION("""COMPUTED_VALUE"""),"Noosaville")</f>
        <v>Noosaville</v>
      </c>
      <c r="D5988" s="120" t="str">
        <f>IFERROR(__xludf.DUMMYFUNCTION("""COMPUTED_VALUE"""),"Australia")</f>
        <v>Australia</v>
      </c>
      <c r="E5988" s="135"/>
      <c r="F5988" s="31"/>
    </row>
    <row r="5989">
      <c r="A5989" s="134" t="str">
        <f>IFERROR(__xludf.DUMMYFUNCTION("""COMPUTED_VALUE"""),"Nootka Sound")</f>
        <v>Nootka Sound</v>
      </c>
      <c r="B5989" s="120" t="str">
        <f>IFERROR(__xludf.DUMMYFUNCTION("""COMPUTED_VALUE"""),"YNK")</f>
        <v>YNK</v>
      </c>
      <c r="C5989" s="120" t="str">
        <f>IFERROR(__xludf.DUMMYFUNCTION("""COMPUTED_VALUE"""),"Nootka Sound")</f>
        <v>Nootka Sound</v>
      </c>
      <c r="D5989" s="120" t="str">
        <f>IFERROR(__xludf.DUMMYFUNCTION("""COMPUTED_VALUE"""),"Canada")</f>
        <v>Canada</v>
      </c>
      <c r="E5989" s="135"/>
      <c r="F5989" s="31"/>
    </row>
    <row r="5990">
      <c r="A5990" s="134" t="str">
        <f>IFERROR(__xludf.DUMMYFUNCTION("""COMPUTED_VALUE"""),"Nordagutu")</f>
        <v>Nordagutu</v>
      </c>
      <c r="B5990" s="120" t="str">
        <f>IFERROR(__xludf.DUMMYFUNCTION("""COMPUTED_VALUE"""),"XUO")</f>
        <v>XUO</v>
      </c>
      <c r="C5990" s="120" t="str">
        <f>IFERROR(__xludf.DUMMYFUNCTION("""COMPUTED_VALUE"""),"Nordagutu Railway")</f>
        <v>Nordagutu Railway</v>
      </c>
      <c r="D5990" s="120" t="str">
        <f>IFERROR(__xludf.DUMMYFUNCTION("""COMPUTED_VALUE"""),"Norway")</f>
        <v>Norway</v>
      </c>
      <c r="E5990" s="135"/>
      <c r="F5990" s="31"/>
    </row>
    <row r="5991">
      <c r="A5991" s="134" t="str">
        <f>IFERROR(__xludf.DUMMYFUNCTION("""COMPUTED_VALUE"""),"Norddeich")</f>
        <v>Norddeich</v>
      </c>
      <c r="B5991" s="120" t="str">
        <f>IFERROR(__xludf.DUMMYFUNCTION("""COMPUTED_VALUE"""),"NOE")</f>
        <v>NOE</v>
      </c>
      <c r="C5991" s="120" t="str">
        <f>IFERROR(__xludf.DUMMYFUNCTION("""COMPUTED_VALUE"""),"Norddeich")</f>
        <v>Norddeich</v>
      </c>
      <c r="D5991" s="120" t="str">
        <f>IFERROR(__xludf.DUMMYFUNCTION("""COMPUTED_VALUE"""),"Germany")</f>
        <v>Germany</v>
      </c>
      <c r="E5991" s="135"/>
      <c r="F5991" s="31"/>
    </row>
    <row r="5992">
      <c r="A5992" s="134" t="str">
        <f>IFERROR(__xludf.DUMMYFUNCTION("""COMPUTED_VALUE"""),"Norden")</f>
        <v>Norden</v>
      </c>
      <c r="B5992" s="120" t="str">
        <f>IFERROR(__xludf.DUMMYFUNCTION("""COMPUTED_VALUE"""),"NOD")</f>
        <v>NOD</v>
      </c>
      <c r="C5992" s="120" t="str">
        <f>IFERROR(__xludf.DUMMYFUNCTION("""COMPUTED_VALUE"""),"Norden")</f>
        <v>Norden</v>
      </c>
      <c r="D5992" s="120" t="str">
        <f>IFERROR(__xludf.DUMMYFUNCTION("""COMPUTED_VALUE"""),"Germany")</f>
        <v>Germany</v>
      </c>
      <c r="E5992" s="135"/>
      <c r="F5992" s="31"/>
    </row>
    <row r="5993">
      <c r="A5993" s="134" t="str">
        <f>IFERROR(__xludf.DUMMYFUNCTION("""COMPUTED_VALUE"""),"Norderney")</f>
        <v>Norderney</v>
      </c>
      <c r="B5993" s="120" t="str">
        <f>IFERROR(__xludf.DUMMYFUNCTION("""COMPUTED_VALUE"""),"NRD")</f>
        <v>NRD</v>
      </c>
      <c r="C5993" s="120" t="str">
        <f>IFERROR(__xludf.DUMMYFUNCTION("""COMPUTED_VALUE"""),"Norderney")</f>
        <v>Norderney</v>
      </c>
      <c r="D5993" s="120" t="str">
        <f>IFERROR(__xludf.DUMMYFUNCTION("""COMPUTED_VALUE"""),"Germany")</f>
        <v>Germany</v>
      </c>
      <c r="E5993" s="135"/>
      <c r="F5993" s="31"/>
    </row>
    <row r="5994">
      <c r="A5994" s="134" t="str">
        <f>IFERROR(__xludf.DUMMYFUNCTION("""COMPUTED_VALUE"""),"Nordfjordur")</f>
        <v>Nordfjordur</v>
      </c>
      <c r="B5994" s="120" t="str">
        <f>IFERROR(__xludf.DUMMYFUNCTION("""COMPUTED_VALUE"""),"NOR")</f>
        <v>NOR</v>
      </c>
      <c r="C5994" s="120" t="str">
        <f>IFERROR(__xludf.DUMMYFUNCTION("""COMPUTED_VALUE"""),"Nordfjordur")</f>
        <v>Nordfjordur</v>
      </c>
      <c r="D5994" s="120" t="str">
        <f>IFERROR(__xludf.DUMMYFUNCTION("""COMPUTED_VALUE"""),"Iceland")</f>
        <v>Iceland</v>
      </c>
      <c r="E5994" s="135"/>
      <c r="F5994" s="31"/>
    </row>
    <row r="5995">
      <c r="A5995" s="134" t="str">
        <f>IFERROR(__xludf.DUMMYFUNCTION("""COMPUTED_VALUE"""),"Nordholz-Spieka")</f>
        <v>Nordholz-Spieka</v>
      </c>
      <c r="B5995" s="120" t="str">
        <f>IFERROR(__xludf.DUMMYFUNCTION("""COMPUTED_VALUE"""),"NDZ")</f>
        <v>NDZ</v>
      </c>
      <c r="C5995" s="120" t="str">
        <f>IFERROR(__xludf.DUMMYFUNCTION("""COMPUTED_VALUE"""),"Cuxhaven")</f>
        <v>Cuxhaven</v>
      </c>
      <c r="D5995" s="120" t="str">
        <f>IFERROR(__xludf.DUMMYFUNCTION("""COMPUTED_VALUE"""),"Germany")</f>
        <v>Germany</v>
      </c>
      <c r="E5995" s="135"/>
      <c r="F5995" s="31"/>
    </row>
    <row r="5996">
      <c r="A5996" s="134" t="str">
        <f>IFERROR(__xludf.DUMMYFUNCTION("""COMPUTED_VALUE"""),"Norfolk")</f>
        <v>Norfolk</v>
      </c>
      <c r="B5996" s="120" t="str">
        <f>IFERROR(__xludf.DUMMYFUNCTION("""COMPUTED_VALUE"""),"OFK")</f>
        <v>OFK</v>
      </c>
      <c r="C5996" s="120" t="str">
        <f>IFERROR(__xludf.DUMMYFUNCTION("""COMPUTED_VALUE"""),"Stefan Field")</f>
        <v>Stefan Field</v>
      </c>
      <c r="D5996" s="120" t="str">
        <f>IFERROR(__xludf.DUMMYFUNCTION("""COMPUTED_VALUE"""),"United States")</f>
        <v>United States</v>
      </c>
      <c r="E5996" s="135"/>
      <c r="F5996" s="31"/>
    </row>
    <row r="5997">
      <c r="A5997" s="134" t="str">
        <f>IFERROR(__xludf.DUMMYFUNCTION("""COMPUTED_VALUE"""),"Norfolk")</f>
        <v>Norfolk</v>
      </c>
      <c r="B5997" s="120" t="str">
        <f>IFERROR(__xludf.DUMMYFUNCTION("""COMPUTED_VALUE"""),"ORF")</f>
        <v>ORF</v>
      </c>
      <c r="C5997" s="120" t="str">
        <f>IFERROR(__xludf.DUMMYFUNCTION("""COMPUTED_VALUE"""),"International")</f>
        <v>International</v>
      </c>
      <c r="D5997" s="120" t="str">
        <f>IFERROR(__xludf.DUMMYFUNCTION("""COMPUTED_VALUE"""),"United States")</f>
        <v>United States</v>
      </c>
      <c r="E5997" s="135"/>
      <c r="F5997" s="31"/>
    </row>
    <row r="5998">
      <c r="A5998" s="134" t="str">
        <f>IFERROR(__xludf.DUMMYFUNCTION("""COMPUTED_VALUE"""),"Norfolk")</f>
        <v>Norfolk</v>
      </c>
      <c r="B5998" s="120" t="str">
        <f>IFERROR(__xludf.DUMMYFUNCTION("""COMPUTED_VALUE"""),"NGU")</f>
        <v>NGU</v>
      </c>
      <c r="C5998" s="120" t="str">
        <f>IFERROR(__xludf.DUMMYFUNCTION("""COMPUTED_VALUE"""),"Nas Chambers")</f>
        <v>Nas Chambers</v>
      </c>
      <c r="D5998" s="120" t="str">
        <f>IFERROR(__xludf.DUMMYFUNCTION("""COMPUTED_VALUE"""),"United States")</f>
        <v>United States</v>
      </c>
      <c r="E5998" s="135"/>
      <c r="F5998" s="31"/>
    </row>
    <row r="5999">
      <c r="A5999" s="134" t="str">
        <f>IFERROR(__xludf.DUMMYFUNCTION("""COMPUTED_VALUE"""),"Norfolk Island")</f>
        <v>Norfolk Island</v>
      </c>
      <c r="B5999" s="120" t="str">
        <f>IFERROR(__xludf.DUMMYFUNCTION("""COMPUTED_VALUE"""),"NLK")</f>
        <v>NLK</v>
      </c>
      <c r="C5999" s="120" t="str">
        <f>IFERROR(__xludf.DUMMYFUNCTION("""COMPUTED_VALUE"""),"Norfolk Island")</f>
        <v>Norfolk Island</v>
      </c>
      <c r="D5999" s="120" t="str">
        <f>IFERROR(__xludf.DUMMYFUNCTION("""COMPUTED_VALUE"""),"Norfolk Island")</f>
        <v>Norfolk Island</v>
      </c>
      <c r="E5999" s="135"/>
      <c r="F5999" s="31"/>
    </row>
    <row r="6000">
      <c r="A6000" s="134" t="str">
        <f>IFERROR(__xludf.DUMMYFUNCTION("""COMPUTED_VALUE"""),"Norman")</f>
        <v>Norman</v>
      </c>
      <c r="B6000" s="120" t="str">
        <f>IFERROR(__xludf.DUMMYFUNCTION("""COMPUTED_VALUE"""),"OUN")</f>
        <v>OUN</v>
      </c>
      <c r="C6000" s="120" t="str">
        <f>IFERROR(__xludf.DUMMYFUNCTION("""COMPUTED_VALUE"""),"Max Westheimer")</f>
        <v>Max Westheimer</v>
      </c>
      <c r="D6000" s="120" t="str">
        <f>IFERROR(__xludf.DUMMYFUNCTION("""COMPUTED_VALUE"""),"United States")</f>
        <v>United States</v>
      </c>
      <c r="E6000" s="135"/>
      <c r="F6000" s="31"/>
    </row>
    <row r="6001">
      <c r="A6001" s="134" t="str">
        <f>IFERROR(__xludf.DUMMYFUNCTION("""COMPUTED_VALUE"""),"Norman Wells")</f>
        <v>Norman Wells</v>
      </c>
      <c r="B6001" s="120" t="str">
        <f>IFERROR(__xludf.DUMMYFUNCTION("""COMPUTED_VALUE"""),"YVQ")</f>
        <v>YVQ</v>
      </c>
      <c r="C6001" s="120" t="str">
        <f>IFERROR(__xludf.DUMMYFUNCTION("""COMPUTED_VALUE"""),"Norman Wells")</f>
        <v>Norman Wells</v>
      </c>
      <c r="D6001" s="120" t="str">
        <f>IFERROR(__xludf.DUMMYFUNCTION("""COMPUTED_VALUE"""),"Canada")</f>
        <v>Canada</v>
      </c>
      <c r="E6001" s="135"/>
      <c r="F6001" s="31"/>
    </row>
    <row r="6002">
      <c r="A6002" s="134" t="str">
        <f>IFERROR(__xludf.DUMMYFUNCTION("""COMPUTED_VALUE"""),"Normanton")</f>
        <v>Normanton</v>
      </c>
      <c r="B6002" s="120" t="str">
        <f>IFERROR(__xludf.DUMMYFUNCTION("""COMPUTED_VALUE"""),"NTN")</f>
        <v>NTN</v>
      </c>
      <c r="C6002" s="120" t="str">
        <f>IFERROR(__xludf.DUMMYFUNCTION("""COMPUTED_VALUE"""),"Normanton")</f>
        <v>Normanton</v>
      </c>
      <c r="D6002" s="120" t="str">
        <f>IFERROR(__xludf.DUMMYFUNCTION("""COMPUTED_VALUE"""),"Australia")</f>
        <v>Australia</v>
      </c>
      <c r="E6002" s="135"/>
      <c r="F6002" s="31"/>
    </row>
    <row r="6003">
      <c r="A6003" s="134" t="str">
        <f>IFERROR(__xludf.DUMMYFUNCTION("""COMPUTED_VALUE"""),"Norridgewock")</f>
        <v>Norridgewock</v>
      </c>
      <c r="B6003" s="120" t="str">
        <f>IFERROR(__xludf.DUMMYFUNCTION("""COMPUTED_VALUE"""),"OWK")</f>
        <v>OWK</v>
      </c>
      <c r="C6003" s="120" t="str">
        <f>IFERROR(__xludf.DUMMYFUNCTION("""COMPUTED_VALUE"""),"Central Maine")</f>
        <v>Central Maine</v>
      </c>
      <c r="D6003" s="120" t="str">
        <f>IFERROR(__xludf.DUMMYFUNCTION("""COMPUTED_VALUE"""),"United States")</f>
        <v>United States</v>
      </c>
      <c r="E6003" s="135"/>
      <c r="F6003" s="31"/>
    </row>
    <row r="6004">
      <c r="A6004" s="134" t="str">
        <f>IFERROR(__xludf.DUMMYFUNCTION("""COMPUTED_VALUE"""),"Norrkoping")</f>
        <v>Norrkoping</v>
      </c>
      <c r="B6004" s="120" t="str">
        <f>IFERROR(__xludf.DUMMYFUNCTION("""COMPUTED_VALUE"""),"NRK")</f>
        <v>NRK</v>
      </c>
      <c r="C6004" s="120" t="str">
        <f>IFERROR(__xludf.DUMMYFUNCTION("""COMPUTED_VALUE"""),"Kungsangen")</f>
        <v>Kungsangen</v>
      </c>
      <c r="D6004" s="120" t="str">
        <f>IFERROR(__xludf.DUMMYFUNCTION("""COMPUTED_VALUE"""),"Sweden")</f>
        <v>Sweden</v>
      </c>
      <c r="E6004" s="135"/>
      <c r="F6004" s="31"/>
    </row>
    <row r="6005">
      <c r="A6005" s="134" t="str">
        <f>IFERROR(__xludf.DUMMYFUNCTION("""COMPUTED_VALUE"""),"Norseman")</f>
        <v>Norseman</v>
      </c>
      <c r="B6005" s="120" t="str">
        <f>IFERROR(__xludf.DUMMYFUNCTION("""COMPUTED_VALUE"""),"NSM")</f>
        <v>NSM</v>
      </c>
      <c r="C6005" s="120" t="str">
        <f>IFERROR(__xludf.DUMMYFUNCTION("""COMPUTED_VALUE"""),"Norseman")</f>
        <v>Norseman</v>
      </c>
      <c r="D6005" s="120" t="str">
        <f>IFERROR(__xludf.DUMMYFUNCTION("""COMPUTED_VALUE"""),"Australia")</f>
        <v>Australia</v>
      </c>
      <c r="E6005" s="135"/>
      <c r="F6005" s="31"/>
    </row>
    <row r="6006">
      <c r="A6006" s="134" t="str">
        <f>IFERROR(__xludf.DUMMYFUNCTION("""COMPUTED_VALUE"""),"Norsup")</f>
        <v>Norsup</v>
      </c>
      <c r="B6006" s="120" t="str">
        <f>IFERROR(__xludf.DUMMYFUNCTION("""COMPUTED_VALUE"""),"NUS")</f>
        <v>NUS</v>
      </c>
      <c r="C6006" s="120" t="str">
        <f>IFERROR(__xludf.DUMMYFUNCTION("""COMPUTED_VALUE"""),"Norsup")</f>
        <v>Norsup</v>
      </c>
      <c r="D6006" s="120" t="str">
        <f>IFERROR(__xludf.DUMMYFUNCTION("""COMPUTED_VALUE"""),"Vanuatu")</f>
        <v>Vanuatu</v>
      </c>
      <c r="E6006" s="135"/>
      <c r="F6006" s="31"/>
    </row>
    <row r="6007">
      <c r="A6007" s="134" t="str">
        <f>IFERROR(__xludf.DUMMYFUNCTION("""COMPUTED_VALUE"""),"North Battleford")</f>
        <v>North Battleford</v>
      </c>
      <c r="B6007" s="120" t="str">
        <f>IFERROR(__xludf.DUMMYFUNCTION("""COMPUTED_VALUE"""),"YQW")</f>
        <v>YQW</v>
      </c>
      <c r="C6007" s="120" t="str">
        <f>IFERROR(__xludf.DUMMYFUNCTION("""COMPUTED_VALUE"""),"North Battleford")</f>
        <v>North Battleford</v>
      </c>
      <c r="D6007" s="120" t="str">
        <f>IFERROR(__xludf.DUMMYFUNCTION("""COMPUTED_VALUE"""),"Canada")</f>
        <v>Canada</v>
      </c>
      <c r="E6007" s="135"/>
      <c r="F6007" s="31"/>
    </row>
    <row r="6008">
      <c r="A6008" s="134" t="str">
        <f>IFERROR(__xludf.DUMMYFUNCTION("""COMPUTED_VALUE"""),"North Bay")</f>
        <v>North Bay</v>
      </c>
      <c r="B6008" s="120" t="str">
        <f>IFERROR(__xludf.DUMMYFUNCTION("""COMPUTED_VALUE"""),"YYB")</f>
        <v>YYB</v>
      </c>
      <c r="C6008" s="120" t="str">
        <f>IFERROR(__xludf.DUMMYFUNCTION("""COMPUTED_VALUE"""),"North Bay")</f>
        <v>North Bay</v>
      </c>
      <c r="D6008" s="120" t="str">
        <f>IFERROR(__xludf.DUMMYFUNCTION("""COMPUTED_VALUE"""),"Canada")</f>
        <v>Canada</v>
      </c>
      <c r="E6008" s="135"/>
      <c r="F6008" s="31"/>
    </row>
    <row r="6009">
      <c r="A6009" s="134" t="str">
        <f>IFERROR(__xludf.DUMMYFUNCTION("""COMPUTED_VALUE"""),"North Bend")</f>
        <v>North Bend</v>
      </c>
      <c r="B6009" s="120" t="str">
        <f>IFERROR(__xludf.DUMMYFUNCTION("""COMPUTED_VALUE"""),"OTH")</f>
        <v>OTH</v>
      </c>
      <c r="C6009" s="120" t="str">
        <f>IFERROR(__xludf.DUMMYFUNCTION("""COMPUTED_VALUE"""),"North Bend")</f>
        <v>North Bend</v>
      </c>
      <c r="D6009" s="120" t="str">
        <f>IFERROR(__xludf.DUMMYFUNCTION("""COMPUTED_VALUE"""),"United States")</f>
        <v>United States</v>
      </c>
      <c r="E6009" s="135"/>
      <c r="F6009" s="31"/>
    </row>
    <row r="6010">
      <c r="A6010" s="134" t="str">
        <f>IFERROR(__xludf.DUMMYFUNCTION("""COMPUTED_VALUE"""),"North Caicos")</f>
        <v>North Caicos</v>
      </c>
      <c r="B6010" s="120" t="str">
        <f>IFERROR(__xludf.DUMMYFUNCTION("""COMPUTED_VALUE"""),"NCA")</f>
        <v>NCA</v>
      </c>
      <c r="C6010" s="120" t="str">
        <f>IFERROR(__xludf.DUMMYFUNCTION("""COMPUTED_VALUE"""),"North Caicos")</f>
        <v>North Caicos</v>
      </c>
      <c r="D6010" s="120" t="str">
        <f>IFERROR(__xludf.DUMMYFUNCTION("""COMPUTED_VALUE"""),"Turks and Caicos Islands")</f>
        <v>Turks and Caicos Islands</v>
      </c>
      <c r="E6010" s="135"/>
      <c r="F6010" s="31"/>
    </row>
    <row r="6011">
      <c r="A6011" s="134" t="str">
        <f>IFERROR(__xludf.DUMMYFUNCTION("""COMPUTED_VALUE"""),"North Eleuthera")</f>
        <v>North Eleuthera</v>
      </c>
      <c r="B6011" s="120" t="str">
        <f>IFERROR(__xludf.DUMMYFUNCTION("""COMPUTED_VALUE"""),"ELH")</f>
        <v>ELH</v>
      </c>
      <c r="C6011" s="120" t="str">
        <f>IFERROR(__xludf.DUMMYFUNCTION("""COMPUTED_VALUE"""),"International")</f>
        <v>International</v>
      </c>
      <c r="D6011" s="120" t="str">
        <f>IFERROR(__xludf.DUMMYFUNCTION("""COMPUTED_VALUE"""),"Bahamas")</f>
        <v>Bahamas</v>
      </c>
      <c r="E6011" s="135"/>
      <c r="F6011" s="31"/>
    </row>
    <row r="6012">
      <c r="A6012" s="134" t="str">
        <f>IFERROR(__xludf.DUMMYFUNCTION("""COMPUTED_VALUE"""),"North Platte")</f>
        <v>North Platte</v>
      </c>
      <c r="B6012" s="120" t="str">
        <f>IFERROR(__xludf.DUMMYFUNCTION("""COMPUTED_VALUE"""),"LBF")</f>
        <v>LBF</v>
      </c>
      <c r="C6012" s="120" t="str">
        <f>IFERROR(__xludf.DUMMYFUNCTION("""COMPUTED_VALUE"""),"Lee Bird Field")</f>
        <v>Lee Bird Field</v>
      </c>
      <c r="D6012" s="120" t="str">
        <f>IFERROR(__xludf.DUMMYFUNCTION("""COMPUTED_VALUE"""),"United States")</f>
        <v>United States</v>
      </c>
      <c r="E6012" s="135"/>
      <c r="F6012" s="31"/>
    </row>
    <row r="6013">
      <c r="A6013" s="134" t="str">
        <f>IFERROR(__xludf.DUMMYFUNCTION("""COMPUTED_VALUE"""),"North Ronaldsay")</f>
        <v>North Ronaldsay</v>
      </c>
      <c r="B6013" s="120" t="str">
        <f>IFERROR(__xludf.DUMMYFUNCTION("""COMPUTED_VALUE"""),"NRL")</f>
        <v>NRL</v>
      </c>
      <c r="C6013" s="120" t="str">
        <f>IFERROR(__xludf.DUMMYFUNCTION("""COMPUTED_VALUE"""),"North Ronaldsay")</f>
        <v>North Ronaldsay</v>
      </c>
      <c r="D6013" s="120" t="str">
        <f>IFERROR(__xludf.DUMMYFUNCTION("""COMPUTED_VALUE"""),"United Kingdom")</f>
        <v>United Kingdom</v>
      </c>
      <c r="E6013" s="135"/>
      <c r="F6013" s="31"/>
    </row>
    <row r="6014">
      <c r="A6014" s="134" t="str">
        <f>IFERROR(__xludf.DUMMYFUNCTION("""COMPUTED_VALUE"""),"North Spirit Lake")</f>
        <v>North Spirit Lake</v>
      </c>
      <c r="B6014" s="120" t="str">
        <f>IFERROR(__xludf.DUMMYFUNCTION("""COMPUTED_VALUE"""),"YNO")</f>
        <v>YNO</v>
      </c>
      <c r="C6014" s="120" t="str">
        <f>IFERROR(__xludf.DUMMYFUNCTION("""COMPUTED_VALUE"""),"North Spirit Lake")</f>
        <v>North Spirit Lake</v>
      </c>
      <c r="D6014" s="120" t="str">
        <f>IFERROR(__xludf.DUMMYFUNCTION("""COMPUTED_VALUE"""),"Canada")</f>
        <v>Canada</v>
      </c>
      <c r="E6014" s="135"/>
      <c r="F6014" s="31"/>
    </row>
    <row r="6015">
      <c r="A6015" s="134" t="str">
        <f>IFERROR(__xludf.DUMMYFUNCTION("""COMPUTED_VALUE"""),"Northampton")</f>
        <v>Northampton</v>
      </c>
      <c r="B6015" s="120" t="str">
        <f>IFERROR(__xludf.DUMMYFUNCTION("""COMPUTED_VALUE"""),"ORM")</f>
        <v>ORM</v>
      </c>
      <c r="C6015" s="120" t="str">
        <f>IFERROR(__xludf.DUMMYFUNCTION("""COMPUTED_VALUE"""),"Northampton")</f>
        <v>Northampton</v>
      </c>
      <c r="D6015" s="120" t="str">
        <f>IFERROR(__xludf.DUMMYFUNCTION("""COMPUTED_VALUE"""),"United Kingdom")</f>
        <v>United Kingdom</v>
      </c>
      <c r="E6015" s="135"/>
      <c r="F6015" s="31"/>
    </row>
    <row r="6016">
      <c r="A6016" s="134" t="str">
        <f>IFERROR(__xludf.DUMMYFUNCTION("""COMPUTED_VALUE"""),"Northbrook")</f>
        <v>Northbrook</v>
      </c>
      <c r="B6016" s="120" t="str">
        <f>IFERROR(__xludf.DUMMYFUNCTION("""COMPUTED_VALUE"""),"OBK")</f>
        <v>OBK</v>
      </c>
      <c r="C6016" s="120" t="str">
        <f>IFERROR(__xludf.DUMMYFUNCTION("""COMPUTED_VALUE"""),"Sky Harbor")</f>
        <v>Sky Harbor</v>
      </c>
      <c r="D6016" s="120" t="str">
        <f>IFERROR(__xludf.DUMMYFUNCTION("""COMPUTED_VALUE"""),"United States")</f>
        <v>United States</v>
      </c>
      <c r="E6016" s="135"/>
      <c r="F6016" s="31"/>
    </row>
    <row r="6017">
      <c r="A6017" s="134" t="str">
        <f>IFERROR(__xludf.DUMMYFUNCTION("""COMPUTED_VALUE"""),"Northeast Cape")</f>
        <v>Northeast Cape</v>
      </c>
      <c r="B6017" s="120" t="str">
        <f>IFERROR(__xludf.DUMMYFUNCTION("""COMPUTED_VALUE"""),"OHC")</f>
        <v>OHC</v>
      </c>
      <c r="C6017" s="120" t="str">
        <f>IFERROR(__xludf.DUMMYFUNCTION("""COMPUTED_VALUE"""),"AFS")</f>
        <v>AFS</v>
      </c>
      <c r="D6017" s="120" t="str">
        <f>IFERROR(__xludf.DUMMYFUNCTION("""COMPUTED_VALUE"""),"United States")</f>
        <v>United States</v>
      </c>
      <c r="E6017" s="135"/>
      <c r="F6017" s="31"/>
    </row>
    <row r="6018">
      <c r="A6018" s="134" t="str">
        <f>IFERROR(__xludf.DUMMYFUNCTION("""COMPUTED_VALUE"""),"Northolt")</f>
        <v>Northolt</v>
      </c>
      <c r="B6018" s="120" t="str">
        <f>IFERROR(__xludf.DUMMYFUNCTION("""COMPUTED_VALUE"""),"NHT")</f>
        <v>NHT</v>
      </c>
      <c r="C6018" s="120" t="str">
        <f>IFERROR(__xludf.DUMMYFUNCTION("""COMPUTED_VALUE"""),"Northolt")</f>
        <v>Northolt</v>
      </c>
      <c r="D6018" s="120" t="str">
        <f>IFERROR(__xludf.DUMMYFUNCTION("""COMPUTED_VALUE"""),"United Kingdom")</f>
        <v>United Kingdom</v>
      </c>
      <c r="E6018" s="135"/>
      <c r="F6018" s="31"/>
    </row>
    <row r="6019">
      <c r="A6019" s="134" t="str">
        <f>IFERROR(__xludf.DUMMYFUNCTION("""COMPUTED_VALUE"""),"Northway")</f>
        <v>Northway</v>
      </c>
      <c r="B6019" s="120" t="str">
        <f>IFERROR(__xludf.DUMMYFUNCTION("""COMPUTED_VALUE"""),"ORT")</f>
        <v>ORT</v>
      </c>
      <c r="C6019" s="120" t="str">
        <f>IFERROR(__xludf.DUMMYFUNCTION("""COMPUTED_VALUE"""),"Northway")</f>
        <v>Northway</v>
      </c>
      <c r="D6019" s="120" t="str">
        <f>IFERROR(__xludf.DUMMYFUNCTION("""COMPUTED_VALUE"""),"United States")</f>
        <v>United States</v>
      </c>
      <c r="E6019" s="135"/>
      <c r="F6019" s="31"/>
    </row>
    <row r="6020">
      <c r="A6020" s="134" t="str">
        <f>IFERROR(__xludf.DUMMYFUNCTION("""COMPUTED_VALUE"""),"Norwalk")</f>
        <v>Norwalk</v>
      </c>
      <c r="B6020" s="120" t="str">
        <f>IFERROR(__xludf.DUMMYFUNCTION("""COMPUTED_VALUE"""),"ORQ")</f>
        <v>ORQ</v>
      </c>
      <c r="C6020" s="120" t="str">
        <f>IFERROR(__xludf.DUMMYFUNCTION("""COMPUTED_VALUE"""),"Heliport")</f>
        <v>Heliport</v>
      </c>
      <c r="D6020" s="120" t="str">
        <f>IFERROR(__xludf.DUMMYFUNCTION("""COMPUTED_VALUE"""),"United States")</f>
        <v>United States</v>
      </c>
      <c r="E6020" s="135"/>
      <c r="F6020" s="31"/>
    </row>
    <row r="6021">
      <c r="A6021" s="134" t="str">
        <f>IFERROR(__xludf.DUMMYFUNCTION("""COMPUTED_VALUE"""),"Norway House")</f>
        <v>Norway House</v>
      </c>
      <c r="B6021" s="120" t="str">
        <f>IFERROR(__xludf.DUMMYFUNCTION("""COMPUTED_VALUE"""),"YNE")</f>
        <v>YNE</v>
      </c>
      <c r="C6021" s="120" t="str">
        <f>IFERROR(__xludf.DUMMYFUNCTION("""COMPUTED_VALUE"""),"Norway House")</f>
        <v>Norway House</v>
      </c>
      <c r="D6021" s="120" t="str">
        <f>IFERROR(__xludf.DUMMYFUNCTION("""COMPUTED_VALUE"""),"Canada")</f>
        <v>Canada</v>
      </c>
      <c r="E6021" s="135"/>
      <c r="F6021" s="31"/>
    </row>
    <row r="6022">
      <c r="A6022" s="134" t="str">
        <f>IFERROR(__xludf.DUMMYFUNCTION("""COMPUTED_VALUE"""),"Norwich")</f>
        <v>Norwich</v>
      </c>
      <c r="B6022" s="120" t="str">
        <f>IFERROR(__xludf.DUMMYFUNCTION("""COMPUTED_VALUE"""),"NWI")</f>
        <v>NWI</v>
      </c>
      <c r="C6022" s="120" t="str">
        <f>IFERROR(__xludf.DUMMYFUNCTION("""COMPUTED_VALUE"""),"Norwich Arpt")</f>
        <v>Norwich Arpt</v>
      </c>
      <c r="D6022" s="120" t="str">
        <f>IFERROR(__xludf.DUMMYFUNCTION("""COMPUTED_VALUE"""),"United Kingdom")</f>
        <v>United Kingdom</v>
      </c>
      <c r="E6022" s="135"/>
      <c r="F6022" s="31"/>
    </row>
    <row r="6023">
      <c r="A6023" s="134" t="str">
        <f>IFERROR(__xludf.DUMMYFUNCTION("""COMPUTED_VALUE"""),"Norwich")</f>
        <v>Norwich</v>
      </c>
      <c r="B6023" s="120" t="str">
        <f>IFERROR(__xludf.DUMMYFUNCTION("""COMPUTED_VALUE"""),"OIC")</f>
        <v>OIC</v>
      </c>
      <c r="C6023" s="120" t="str">
        <f>IFERROR(__xludf.DUMMYFUNCTION("""COMPUTED_VALUE"""),"Eaton")</f>
        <v>Eaton</v>
      </c>
      <c r="D6023" s="120" t="str">
        <f>IFERROR(__xludf.DUMMYFUNCTION("""COMPUTED_VALUE"""),"United States")</f>
        <v>United States</v>
      </c>
      <c r="E6023" s="135"/>
      <c r="F6023" s="31"/>
    </row>
    <row r="6024">
      <c r="A6024" s="134" t="str">
        <f>IFERROR(__xludf.DUMMYFUNCTION("""COMPUTED_VALUE"""),"Norwood")</f>
        <v>Norwood</v>
      </c>
      <c r="B6024" s="120" t="str">
        <f>IFERROR(__xludf.DUMMYFUNCTION("""COMPUTED_VALUE"""),"OWD")</f>
        <v>OWD</v>
      </c>
      <c r="C6024" s="120" t="str">
        <f>IFERROR(__xludf.DUMMYFUNCTION("""COMPUTED_VALUE"""),"Memorial")</f>
        <v>Memorial</v>
      </c>
      <c r="D6024" s="120" t="str">
        <f>IFERROR(__xludf.DUMMYFUNCTION("""COMPUTED_VALUE"""),"United States")</f>
        <v>United States</v>
      </c>
      <c r="E6024" s="135"/>
      <c r="F6024" s="31"/>
    </row>
    <row r="6025">
      <c r="A6025" s="134" t="str">
        <f>IFERROR(__xludf.DUMMYFUNCTION("""COMPUTED_VALUE"""),"Nosara Beach")</f>
        <v>Nosara Beach</v>
      </c>
      <c r="B6025" s="120" t="str">
        <f>IFERROR(__xludf.DUMMYFUNCTION("""COMPUTED_VALUE"""),"NOB")</f>
        <v>NOB</v>
      </c>
      <c r="C6025" s="120" t="str">
        <f>IFERROR(__xludf.DUMMYFUNCTION("""COMPUTED_VALUE"""),"Nosara Beach")</f>
        <v>Nosara Beach</v>
      </c>
      <c r="D6025" s="120" t="str">
        <f>IFERROR(__xludf.DUMMYFUNCTION("""COMPUTED_VALUE"""),"Costa Rica")</f>
        <v>Costa Rica</v>
      </c>
      <c r="E6025" s="135"/>
      <c r="F6025" s="31"/>
    </row>
    <row r="6026">
      <c r="A6026" s="134" t="str">
        <f>IFERROR(__xludf.DUMMYFUNCTION("""COMPUTED_VALUE"""),"Nossi-be")</f>
        <v>Nossi-be</v>
      </c>
      <c r="B6026" s="120" t="str">
        <f>IFERROR(__xludf.DUMMYFUNCTION("""COMPUTED_VALUE"""),"NOS")</f>
        <v>NOS</v>
      </c>
      <c r="C6026" s="120" t="str">
        <f>IFERROR(__xludf.DUMMYFUNCTION("""COMPUTED_VALUE"""),"Fascene")</f>
        <v>Fascene</v>
      </c>
      <c r="D6026" s="120" t="str">
        <f>IFERROR(__xludf.DUMMYFUNCTION("""COMPUTED_VALUE"""),"Madagascar")</f>
        <v>Madagascar</v>
      </c>
      <c r="E6026" s="135"/>
      <c r="F6026" s="31"/>
    </row>
    <row r="6027">
      <c r="A6027" s="134" t="str">
        <f>IFERROR(__xludf.DUMMYFUNCTION("""COMPUTED_VALUE"""),"Notodden")</f>
        <v>Notodden</v>
      </c>
      <c r="B6027" s="120" t="str">
        <f>IFERROR(__xludf.DUMMYFUNCTION("""COMPUTED_VALUE"""),"NTB")</f>
        <v>NTB</v>
      </c>
      <c r="C6027" s="120" t="str">
        <f>IFERROR(__xludf.DUMMYFUNCTION("""COMPUTED_VALUE"""),"Notodden")</f>
        <v>Notodden</v>
      </c>
      <c r="D6027" s="120" t="str">
        <f>IFERROR(__xludf.DUMMYFUNCTION("""COMPUTED_VALUE"""),"Norway")</f>
        <v>Norway</v>
      </c>
      <c r="E6027" s="135"/>
      <c r="F6027" s="31"/>
    </row>
    <row r="6028">
      <c r="A6028" s="134" t="str">
        <f>IFERROR(__xludf.DUMMYFUNCTION("""COMPUTED_VALUE"""),"Nottingham")</f>
        <v>Nottingham</v>
      </c>
      <c r="B6028" s="120" t="str">
        <f>IFERROR(__xludf.DUMMYFUNCTION("""COMPUTED_VALUE"""),"NQT")</f>
        <v>NQT</v>
      </c>
      <c r="C6028" s="120" t="str">
        <f>IFERROR(__xludf.DUMMYFUNCTION("""COMPUTED_VALUE"""),"Nottingham Airport")</f>
        <v>Nottingham Airport</v>
      </c>
      <c r="D6028" s="120" t="str">
        <f>IFERROR(__xludf.DUMMYFUNCTION("""COMPUTED_VALUE"""),"United Kingdom")</f>
        <v>United Kingdom</v>
      </c>
      <c r="E6028" s="135"/>
      <c r="F6028" s="31"/>
    </row>
    <row r="6029">
      <c r="A6029" s="134" t="str">
        <f>IFERROR(__xludf.DUMMYFUNCTION("""COMPUTED_VALUE"""),"Nottingham")</f>
        <v>Nottingham</v>
      </c>
      <c r="B6029" s="120" t="str">
        <f>IFERROR(__xludf.DUMMYFUNCTION("""COMPUTED_VALUE"""),"EMA")</f>
        <v>EMA</v>
      </c>
      <c r="C6029" s="120" t="str">
        <f>IFERROR(__xludf.DUMMYFUNCTION("""COMPUTED_VALUE"""),"Nottingham E. Midlands")</f>
        <v>Nottingham E. Midlands</v>
      </c>
      <c r="D6029" s="120" t="str">
        <f>IFERROR(__xludf.DUMMYFUNCTION("""COMPUTED_VALUE"""),"United Kingdom")</f>
        <v>United Kingdom</v>
      </c>
      <c r="E6029" s="135"/>
      <c r="F6029" s="31"/>
    </row>
    <row r="6030">
      <c r="A6030" s="134" t="str">
        <f>IFERROR(__xludf.DUMMYFUNCTION("""COMPUTED_VALUE"""),"Nottingham")</f>
        <v>Nottingham</v>
      </c>
      <c r="B6030" s="120" t="str">
        <f>IFERROR(__xludf.DUMMYFUNCTION("""COMPUTED_VALUE"""),"XQI")</f>
        <v>XQI</v>
      </c>
      <c r="C6030" s="120" t="str">
        <f>IFERROR(__xludf.DUMMYFUNCTION("""COMPUTED_VALUE"""),"Railway Station")</f>
        <v>Railway Station</v>
      </c>
      <c r="D6030" s="120" t="str">
        <f>IFERROR(__xludf.DUMMYFUNCTION("""COMPUTED_VALUE"""),"United Kingdom")</f>
        <v>United Kingdom</v>
      </c>
      <c r="E6030" s="135"/>
      <c r="F6030" s="31"/>
    </row>
    <row r="6031">
      <c r="A6031" s="134" t="str">
        <f>IFERROR(__xludf.DUMMYFUNCTION("""COMPUTED_VALUE"""),"Nottingham")</f>
        <v>Nottingham</v>
      </c>
      <c r="B6031" s="120" t="str">
        <f>IFERROR(__xludf.DUMMYFUNCTION("""COMPUTED_VALUE"""),"XQH")</f>
        <v>XQH</v>
      </c>
      <c r="C6031" s="120" t="str">
        <f>IFERROR(__xludf.DUMMYFUNCTION("""COMPUTED_VALUE"""),"Railway Station")</f>
        <v>Railway Station</v>
      </c>
      <c r="D6031" s="120" t="str">
        <f>IFERROR(__xludf.DUMMYFUNCTION("""COMPUTED_VALUE"""),"United Kingdom")</f>
        <v>United Kingdom</v>
      </c>
      <c r="E6031" s="135"/>
      <c r="F6031" s="31"/>
    </row>
    <row r="6032">
      <c r="A6032" s="134" t="str">
        <f>IFERROR(__xludf.DUMMYFUNCTION("""COMPUTED_VALUE"""),"Nouadhibou")</f>
        <v>Nouadhibou</v>
      </c>
      <c r="B6032" s="120" t="str">
        <f>IFERROR(__xludf.DUMMYFUNCTION("""COMPUTED_VALUE"""),"NDB")</f>
        <v>NDB</v>
      </c>
      <c r="C6032" s="120" t="str">
        <f>IFERROR(__xludf.DUMMYFUNCTION("""COMPUTED_VALUE"""),"Nouadhibou")</f>
        <v>Nouadhibou</v>
      </c>
      <c r="D6032" s="120" t="str">
        <f>IFERROR(__xludf.DUMMYFUNCTION("""COMPUTED_VALUE"""),"Mauritania")</f>
        <v>Mauritania</v>
      </c>
      <c r="E6032" s="135"/>
      <c r="F6032" s="31"/>
    </row>
    <row r="6033">
      <c r="A6033" s="134" t="str">
        <f>IFERROR(__xludf.DUMMYFUNCTION("""COMPUTED_VALUE"""),"Nouakchott")</f>
        <v>Nouakchott</v>
      </c>
      <c r="B6033" s="120" t="str">
        <f>IFERROR(__xludf.DUMMYFUNCTION("""COMPUTED_VALUE"""),"NKC")</f>
        <v>NKC</v>
      </c>
      <c r="C6033" s="120" t="str">
        <f>IFERROR(__xludf.DUMMYFUNCTION("""COMPUTED_VALUE"""),"Nouakchott")</f>
        <v>Nouakchott</v>
      </c>
      <c r="D6033" s="120" t="str">
        <f>IFERROR(__xludf.DUMMYFUNCTION("""COMPUTED_VALUE"""),"Mauritania")</f>
        <v>Mauritania</v>
      </c>
      <c r="E6033" s="135"/>
      <c r="F6033" s="31"/>
    </row>
    <row r="6034">
      <c r="A6034" s="134" t="str">
        <f>IFERROR(__xludf.DUMMYFUNCTION("""COMPUTED_VALUE"""),"Noumea")</f>
        <v>Noumea</v>
      </c>
      <c r="B6034" s="120" t="str">
        <f>IFERROR(__xludf.DUMMYFUNCTION("""COMPUTED_VALUE"""),"GEA")</f>
        <v>GEA</v>
      </c>
      <c r="C6034" s="120" t="str">
        <f>IFERROR(__xludf.DUMMYFUNCTION("""COMPUTED_VALUE"""),"Magenta")</f>
        <v>Magenta</v>
      </c>
      <c r="D6034" s="120" t="str">
        <f>IFERROR(__xludf.DUMMYFUNCTION("""COMPUTED_VALUE"""),"New Caledonia")</f>
        <v>New Caledonia</v>
      </c>
      <c r="E6034" s="135"/>
      <c r="F6034" s="31"/>
    </row>
    <row r="6035">
      <c r="A6035" s="134" t="str">
        <f>IFERROR(__xludf.DUMMYFUNCTION("""COMPUTED_VALUE"""),"Noumea")</f>
        <v>Noumea</v>
      </c>
      <c r="B6035" s="120" t="str">
        <f>IFERROR(__xludf.DUMMYFUNCTION("""COMPUTED_VALUE"""),"NOU")</f>
        <v>NOU</v>
      </c>
      <c r="C6035" s="120" t="str">
        <f>IFERROR(__xludf.DUMMYFUNCTION("""COMPUTED_VALUE"""),"Tontouta")</f>
        <v>Tontouta</v>
      </c>
      <c r="D6035" s="120" t="str">
        <f>IFERROR(__xludf.DUMMYFUNCTION("""COMPUTED_VALUE"""),"New Caledonia")</f>
        <v>New Caledonia</v>
      </c>
      <c r="E6035" s="135"/>
      <c r="F6035" s="31"/>
    </row>
    <row r="6036">
      <c r="A6036" s="134" t="str">
        <f>IFERROR(__xludf.DUMMYFUNCTION("""COMPUTED_VALUE"""),"Nouna")</f>
        <v>Nouna</v>
      </c>
      <c r="B6036" s="120" t="str">
        <f>IFERROR(__xludf.DUMMYFUNCTION("""COMPUTED_VALUE"""),"XNU")</f>
        <v>XNU</v>
      </c>
      <c r="C6036" s="120" t="str">
        <f>IFERROR(__xludf.DUMMYFUNCTION("""COMPUTED_VALUE"""),"Nouna")</f>
        <v>Nouna</v>
      </c>
      <c r="D6036" s="120" t="str">
        <f>IFERROR(__xludf.DUMMYFUNCTION("""COMPUTED_VALUE"""),"Burkina Faso")</f>
        <v>Burkina Faso</v>
      </c>
      <c r="E6036" s="135"/>
      <c r="F6036" s="31"/>
    </row>
    <row r="6037">
      <c r="A6037" s="134" t="str">
        <f>IFERROR(__xludf.DUMMYFUNCTION("""COMPUTED_VALUE"""),"Nova Xavantina")</f>
        <v>Nova Xavantina</v>
      </c>
      <c r="B6037" s="120" t="str">
        <f>IFERROR(__xludf.DUMMYFUNCTION("""COMPUTED_VALUE"""),"NOK")</f>
        <v>NOK</v>
      </c>
      <c r="C6037" s="120" t="str">
        <f>IFERROR(__xludf.DUMMYFUNCTION("""COMPUTED_VALUE"""),"Nova Xavantina")</f>
        <v>Nova Xavantina</v>
      </c>
      <c r="D6037" s="120" t="str">
        <f>IFERROR(__xludf.DUMMYFUNCTION("""COMPUTED_VALUE"""),"Brazil")</f>
        <v>Brazil</v>
      </c>
      <c r="E6037" s="135"/>
      <c r="F6037" s="31"/>
    </row>
    <row r="6038">
      <c r="A6038" s="134" t="str">
        <f>IFERROR(__xludf.DUMMYFUNCTION("""COMPUTED_VALUE"""),"Novato")</f>
        <v>Novato</v>
      </c>
      <c r="B6038" s="120" t="str">
        <f>IFERROR(__xludf.DUMMYFUNCTION("""COMPUTED_VALUE"""),"NOT")</f>
        <v>NOT</v>
      </c>
      <c r="C6038" s="120" t="str">
        <f>IFERROR(__xludf.DUMMYFUNCTION("""COMPUTED_VALUE"""),"Novato")</f>
        <v>Novato</v>
      </c>
      <c r="D6038" s="120" t="str">
        <f>IFERROR(__xludf.DUMMYFUNCTION("""COMPUTED_VALUE"""),"United States")</f>
        <v>United States</v>
      </c>
      <c r="E6038" s="135"/>
      <c r="F6038" s="31"/>
    </row>
    <row r="6039">
      <c r="A6039" s="134" t="str">
        <f>IFERROR(__xludf.DUMMYFUNCTION("""COMPUTED_VALUE"""),"Novgorod")</f>
        <v>Novgorod</v>
      </c>
      <c r="B6039" s="120" t="str">
        <f>IFERROR(__xludf.DUMMYFUNCTION("""COMPUTED_VALUE"""),"NVR")</f>
        <v>NVR</v>
      </c>
      <c r="C6039" s="120" t="str">
        <f>IFERROR(__xludf.DUMMYFUNCTION("""COMPUTED_VALUE"""),"Novgorod")</f>
        <v>Novgorod</v>
      </c>
      <c r="D6039" s="120" t="str">
        <f>IFERROR(__xludf.DUMMYFUNCTION("""COMPUTED_VALUE"""),"Russia")</f>
        <v>Russia</v>
      </c>
      <c r="E6039" s="135"/>
      <c r="F6039" s="31"/>
    </row>
    <row r="6040">
      <c r="A6040" s="134" t="str">
        <f>IFERROR(__xludf.DUMMYFUNCTION("""COMPUTED_VALUE"""),"Aripuana")</f>
        <v>Aripuana</v>
      </c>
      <c r="B6040" s="120" t="str">
        <f>IFERROR(__xludf.DUMMYFUNCTION("""COMPUTED_VALUE"""),"NVP")</f>
        <v>NVP</v>
      </c>
      <c r="C6040" s="120" t="str">
        <f>IFERROR(__xludf.DUMMYFUNCTION("""COMPUTED_VALUE"""),"Novo Aripuana")</f>
        <v>Novo Aripuana</v>
      </c>
      <c r="D6040" s="120" t="str">
        <f>IFERROR(__xludf.DUMMYFUNCTION("""COMPUTED_VALUE"""),"Brazil")</f>
        <v>Brazil</v>
      </c>
      <c r="E6040" s="135"/>
      <c r="F6040" s="31"/>
    </row>
    <row r="6041">
      <c r="A6041" s="134" t="str">
        <f>IFERROR(__xludf.DUMMYFUNCTION("""COMPUTED_VALUE"""),"Novokuznetsk")</f>
        <v>Novokuznetsk</v>
      </c>
      <c r="B6041" s="120" t="str">
        <f>IFERROR(__xludf.DUMMYFUNCTION("""COMPUTED_VALUE"""),"NOZ")</f>
        <v>NOZ</v>
      </c>
      <c r="C6041" s="120" t="str">
        <f>IFERROR(__xludf.DUMMYFUNCTION("""COMPUTED_VALUE"""),"Novokuznetsk")</f>
        <v>Novokuznetsk</v>
      </c>
      <c r="D6041" s="120" t="str">
        <f>IFERROR(__xludf.DUMMYFUNCTION("""COMPUTED_VALUE"""),"Russia")</f>
        <v>Russia</v>
      </c>
      <c r="E6041" s="135"/>
      <c r="F6041" s="31"/>
    </row>
    <row r="6042">
      <c r="A6042" s="134" t="str">
        <f>IFERROR(__xludf.DUMMYFUNCTION("""COMPUTED_VALUE"""),"Novorossijsk")</f>
        <v>Novorossijsk</v>
      </c>
      <c r="B6042" s="120" t="str">
        <f>IFERROR(__xludf.DUMMYFUNCTION("""COMPUTED_VALUE"""),"NOI")</f>
        <v>NOI</v>
      </c>
      <c r="C6042" s="120" t="str">
        <f>IFERROR(__xludf.DUMMYFUNCTION("""COMPUTED_VALUE"""),"Novorossijsk")</f>
        <v>Novorossijsk</v>
      </c>
      <c r="D6042" s="120" t="str">
        <f>IFERROR(__xludf.DUMMYFUNCTION("""COMPUTED_VALUE"""),"Russia")</f>
        <v>Russia</v>
      </c>
      <c r="E6042" s="135"/>
      <c r="F6042" s="31"/>
    </row>
    <row r="6043">
      <c r="A6043" s="134" t="str">
        <f>IFERROR(__xludf.DUMMYFUNCTION("""COMPUTED_VALUE"""),"Novosibirsk")</f>
        <v>Novosibirsk</v>
      </c>
      <c r="B6043" s="120" t="str">
        <f>IFERROR(__xludf.DUMMYFUNCTION("""COMPUTED_VALUE"""),"OVB")</f>
        <v>OVB</v>
      </c>
      <c r="C6043" s="120" t="str">
        <f>IFERROR(__xludf.DUMMYFUNCTION("""COMPUTED_VALUE"""),"Tolmachevo")</f>
        <v>Tolmachevo</v>
      </c>
      <c r="D6043" s="120" t="str">
        <f>IFERROR(__xludf.DUMMYFUNCTION("""COMPUTED_VALUE"""),"Russia")</f>
        <v>Russia</v>
      </c>
      <c r="E6043" s="135"/>
      <c r="F6043" s="31"/>
    </row>
    <row r="6044">
      <c r="A6044" s="134" t="str">
        <f>IFERROR(__xludf.DUMMYFUNCTION("""COMPUTED_VALUE"""),"Novy Urengoy")</f>
        <v>Novy Urengoy</v>
      </c>
      <c r="B6044" s="120" t="str">
        <f>IFERROR(__xludf.DUMMYFUNCTION("""COMPUTED_VALUE"""),"NUX")</f>
        <v>NUX</v>
      </c>
      <c r="C6044" s="120" t="str">
        <f>IFERROR(__xludf.DUMMYFUNCTION("""COMPUTED_VALUE"""),"Novy Urengoy")</f>
        <v>Novy Urengoy</v>
      </c>
      <c r="D6044" s="120" t="str">
        <f>IFERROR(__xludf.DUMMYFUNCTION("""COMPUTED_VALUE"""),"Russia")</f>
        <v>Russia</v>
      </c>
      <c r="E6044" s="135"/>
      <c r="F6044" s="31"/>
    </row>
    <row r="6045">
      <c r="A6045" s="134" t="str">
        <f>IFERROR(__xludf.DUMMYFUNCTION("""COMPUTED_VALUE"""),"Now Shahr")</f>
        <v>Now Shahr</v>
      </c>
      <c r="B6045" s="120" t="str">
        <f>IFERROR(__xludf.DUMMYFUNCTION("""COMPUTED_VALUE"""),"NSH")</f>
        <v>NSH</v>
      </c>
      <c r="C6045" s="120" t="str">
        <f>IFERROR(__xludf.DUMMYFUNCTION("""COMPUTED_VALUE"""),"Now Shahr")</f>
        <v>Now Shahr</v>
      </c>
      <c r="D6045" s="120" t="str">
        <f>IFERROR(__xludf.DUMMYFUNCTION("""COMPUTED_VALUE"""),"Iran")</f>
        <v>Iran</v>
      </c>
      <c r="E6045" s="135"/>
      <c r="F6045" s="31"/>
    </row>
    <row r="6046">
      <c r="A6046" s="134" t="str">
        <f>IFERROR(__xludf.DUMMYFUNCTION("""COMPUTED_VALUE"""),"Nowata")</f>
        <v>Nowata</v>
      </c>
      <c r="B6046" s="120" t="str">
        <f>IFERROR(__xludf.DUMMYFUNCTION("""COMPUTED_VALUE"""),"NWT")</f>
        <v>NWT</v>
      </c>
      <c r="C6046" s="120" t="str">
        <f>IFERROR(__xludf.DUMMYFUNCTION("""COMPUTED_VALUE"""),"Nowata")</f>
        <v>Nowata</v>
      </c>
      <c r="D6046" s="120" t="str">
        <f>IFERROR(__xludf.DUMMYFUNCTION("""COMPUTED_VALUE"""),"Papua New Guinea")</f>
        <v>Papua New Guinea</v>
      </c>
      <c r="E6046" s="135"/>
      <c r="F6046" s="31"/>
    </row>
    <row r="6047">
      <c r="A6047" s="134" t="str">
        <f>IFERROR(__xludf.DUMMYFUNCTION("""COMPUTED_VALUE"""),"Nowra")</f>
        <v>Nowra</v>
      </c>
      <c r="B6047" s="120" t="str">
        <f>IFERROR(__xludf.DUMMYFUNCTION("""COMPUTED_VALUE"""),"NOA")</f>
        <v>NOA</v>
      </c>
      <c r="C6047" s="120" t="str">
        <f>IFERROR(__xludf.DUMMYFUNCTION("""COMPUTED_VALUE"""),"Nowra")</f>
        <v>Nowra</v>
      </c>
      <c r="D6047" s="120" t="str">
        <f>IFERROR(__xludf.DUMMYFUNCTION("""COMPUTED_VALUE"""),"Australia")</f>
        <v>Australia</v>
      </c>
      <c r="E6047" s="135"/>
      <c r="F6047" s="31"/>
    </row>
    <row r="6048">
      <c r="A6048" s="134" t="str">
        <f>IFERROR(__xludf.DUMMYFUNCTION("""COMPUTED_VALUE"""),"Nueva Casas Grandes")</f>
        <v>Nueva Casas Grandes</v>
      </c>
      <c r="B6048" s="120" t="str">
        <f>IFERROR(__xludf.DUMMYFUNCTION("""COMPUTED_VALUE"""),"NCG")</f>
        <v>NCG</v>
      </c>
      <c r="C6048" s="120" t="str">
        <f>IFERROR(__xludf.DUMMYFUNCTION("""COMPUTED_VALUE"""),"Nueva Casas Grandes")</f>
        <v>Nueva Casas Grandes</v>
      </c>
      <c r="D6048" s="120" t="str">
        <f>IFERROR(__xludf.DUMMYFUNCTION("""COMPUTED_VALUE"""),"Mexico")</f>
        <v>Mexico</v>
      </c>
      <c r="E6048" s="135"/>
      <c r="F6048" s="31"/>
    </row>
    <row r="6049">
      <c r="A6049" s="134" t="str">
        <f>IFERROR(__xludf.DUMMYFUNCTION("""COMPUTED_VALUE"""),"Nueva Gerona")</f>
        <v>Nueva Gerona</v>
      </c>
      <c r="B6049" s="120" t="str">
        <f>IFERROR(__xludf.DUMMYFUNCTION("""COMPUTED_VALUE"""),"GER")</f>
        <v>GER</v>
      </c>
      <c r="C6049" s="120" t="str">
        <f>IFERROR(__xludf.DUMMYFUNCTION("""COMPUTED_VALUE"""),"Rafael Cabrera")</f>
        <v>Rafael Cabrera</v>
      </c>
      <c r="D6049" s="120" t="str">
        <f>IFERROR(__xludf.DUMMYFUNCTION("""COMPUTED_VALUE"""),"Cuba")</f>
        <v>Cuba</v>
      </c>
      <c r="E6049" s="135"/>
      <c r="F6049" s="31"/>
    </row>
    <row r="6050">
      <c r="A6050" s="134" t="str">
        <f>IFERROR(__xludf.DUMMYFUNCTION("""COMPUTED_VALUE"""),"Nueva Guinea")</f>
        <v>Nueva Guinea</v>
      </c>
      <c r="B6050" s="120" t="str">
        <f>IFERROR(__xludf.DUMMYFUNCTION("""COMPUTED_VALUE"""),"NVG")</f>
        <v>NVG</v>
      </c>
      <c r="C6050" s="120" t="str">
        <f>IFERROR(__xludf.DUMMYFUNCTION("""COMPUTED_VALUE"""),"Nueva Guinea")</f>
        <v>Nueva Guinea</v>
      </c>
      <c r="D6050" s="120" t="str">
        <f>IFERROR(__xludf.DUMMYFUNCTION("""COMPUTED_VALUE"""),"Nicaragua")</f>
        <v>Nicaragua</v>
      </c>
      <c r="E6050" s="135"/>
      <c r="F6050" s="31"/>
    </row>
    <row r="6051">
      <c r="A6051" s="134" t="str">
        <f>IFERROR(__xludf.DUMMYFUNCTION("""COMPUTED_VALUE"""),"Nuevo Laredo")</f>
        <v>Nuevo Laredo</v>
      </c>
      <c r="B6051" s="120" t="str">
        <f>IFERROR(__xludf.DUMMYFUNCTION("""COMPUTED_VALUE"""),"NLD")</f>
        <v>NLD</v>
      </c>
      <c r="C6051" s="120" t="str">
        <f>IFERROR(__xludf.DUMMYFUNCTION("""COMPUTED_VALUE"""),"Intl Quetzalcoatl")</f>
        <v>Intl Quetzalcoatl</v>
      </c>
      <c r="D6051" s="120" t="str">
        <f>IFERROR(__xludf.DUMMYFUNCTION("""COMPUTED_VALUE"""),"Mexico")</f>
        <v>Mexico</v>
      </c>
      <c r="E6051" s="135"/>
      <c r="F6051" s="31"/>
    </row>
    <row r="6052">
      <c r="A6052" s="134" t="str">
        <f>IFERROR(__xludf.DUMMYFUNCTION("""COMPUTED_VALUE"""),"Nuguria")</f>
        <v>Nuguria</v>
      </c>
      <c r="B6052" s="120" t="str">
        <f>IFERROR(__xludf.DUMMYFUNCTION("""COMPUTED_VALUE"""),"NUG")</f>
        <v>NUG</v>
      </c>
      <c r="C6052" s="120" t="str">
        <f>IFERROR(__xludf.DUMMYFUNCTION("""COMPUTED_VALUE"""),"Nuguria")</f>
        <v>Nuguria</v>
      </c>
      <c r="D6052" s="120" t="str">
        <f>IFERROR(__xludf.DUMMYFUNCTION("""COMPUTED_VALUE"""),"Papua New Guinea")</f>
        <v>Papua New Guinea</v>
      </c>
      <c r="E6052" s="135"/>
      <c r="F6052" s="31"/>
    </row>
    <row r="6053">
      <c r="A6053" s="134" t="str">
        <f>IFERROR(__xludf.DUMMYFUNCTION("""COMPUTED_VALUE"""),"Nuiqsut")</f>
        <v>Nuiqsut</v>
      </c>
      <c r="B6053" s="120" t="str">
        <f>IFERROR(__xludf.DUMMYFUNCTION("""COMPUTED_VALUE"""),"NUI")</f>
        <v>NUI</v>
      </c>
      <c r="C6053" s="120" t="str">
        <f>IFERROR(__xludf.DUMMYFUNCTION("""COMPUTED_VALUE"""),"Nuiqsut")</f>
        <v>Nuiqsut</v>
      </c>
      <c r="D6053" s="120" t="str">
        <f>IFERROR(__xludf.DUMMYFUNCTION("""COMPUTED_VALUE"""),"United States")</f>
        <v>United States</v>
      </c>
      <c r="E6053" s="135"/>
      <c r="F6053" s="31"/>
    </row>
    <row r="6054">
      <c r="A6054" s="134" t="str">
        <f>IFERROR(__xludf.DUMMYFUNCTION("""COMPUTED_VALUE"""),"Nuku")</f>
        <v>Nuku</v>
      </c>
      <c r="B6054" s="120" t="str">
        <f>IFERROR(__xludf.DUMMYFUNCTION("""COMPUTED_VALUE"""),"UKU")</f>
        <v>UKU</v>
      </c>
      <c r="C6054" s="120" t="str">
        <f>IFERROR(__xludf.DUMMYFUNCTION("""COMPUTED_VALUE"""),"Nuku")</f>
        <v>Nuku</v>
      </c>
      <c r="D6054" s="120" t="str">
        <f>IFERROR(__xludf.DUMMYFUNCTION("""COMPUTED_VALUE"""),"Papua New Guinea")</f>
        <v>Papua New Guinea</v>
      </c>
      <c r="E6054" s="135"/>
      <c r="F6054" s="31"/>
    </row>
    <row r="6055">
      <c r="A6055" s="134" t="str">
        <f>IFERROR(__xludf.DUMMYFUNCTION("""COMPUTED_VALUE"""),"Nuku Hiva")</f>
        <v>Nuku Hiva</v>
      </c>
      <c r="B6055" s="120" t="str">
        <f>IFERROR(__xludf.DUMMYFUNCTION("""COMPUTED_VALUE"""),"NHV")</f>
        <v>NHV</v>
      </c>
      <c r="C6055" s="120" t="str">
        <f>IFERROR(__xludf.DUMMYFUNCTION("""COMPUTED_VALUE"""),"Nuku Hiva")</f>
        <v>Nuku Hiva</v>
      </c>
      <c r="D6055" s="120" t="str">
        <f>IFERROR(__xludf.DUMMYFUNCTION("""COMPUTED_VALUE"""),"French Polynesia")</f>
        <v>French Polynesia</v>
      </c>
      <c r="E6055" s="135"/>
      <c r="F6055" s="31"/>
    </row>
    <row r="6056">
      <c r="A6056" s="134" t="str">
        <f>IFERROR(__xludf.DUMMYFUNCTION("""COMPUTED_VALUE"""),"Nukus")</f>
        <v>Nukus</v>
      </c>
      <c r="B6056" s="120" t="str">
        <f>IFERROR(__xludf.DUMMYFUNCTION("""COMPUTED_VALUE"""),"NCU")</f>
        <v>NCU</v>
      </c>
      <c r="C6056" s="120" t="str">
        <f>IFERROR(__xludf.DUMMYFUNCTION("""COMPUTED_VALUE"""),"Nukus")</f>
        <v>Nukus</v>
      </c>
      <c r="D6056" s="120" t="str">
        <f>IFERROR(__xludf.DUMMYFUNCTION("""COMPUTED_VALUE"""),"Uzbekistan")</f>
        <v>Uzbekistan</v>
      </c>
      <c r="E6056" s="135"/>
      <c r="F6056" s="31"/>
    </row>
    <row r="6057">
      <c r="A6057" s="134" t="str">
        <f>IFERROR(__xludf.DUMMYFUNCTION("""COMPUTED_VALUE"""),"Nukutavake")</f>
        <v>Nukutavake</v>
      </c>
      <c r="B6057" s="120" t="str">
        <f>IFERROR(__xludf.DUMMYFUNCTION("""COMPUTED_VALUE"""),"NUK")</f>
        <v>NUK</v>
      </c>
      <c r="C6057" s="120" t="str">
        <f>IFERROR(__xludf.DUMMYFUNCTION("""COMPUTED_VALUE"""),"Nukutavake")</f>
        <v>Nukutavake</v>
      </c>
      <c r="D6057" s="120" t="str">
        <f>IFERROR(__xludf.DUMMYFUNCTION("""COMPUTED_VALUE"""),"French Polynesia")</f>
        <v>French Polynesia</v>
      </c>
      <c r="E6057" s="135"/>
      <c r="F6057" s="31"/>
    </row>
    <row r="6058">
      <c r="A6058" s="134" t="str">
        <f>IFERROR(__xludf.DUMMYFUNCTION("""COMPUTED_VALUE"""),"Nulato")</f>
        <v>Nulato</v>
      </c>
      <c r="B6058" s="120" t="str">
        <f>IFERROR(__xludf.DUMMYFUNCTION("""COMPUTED_VALUE"""),"NUL")</f>
        <v>NUL</v>
      </c>
      <c r="C6058" s="120" t="str">
        <f>IFERROR(__xludf.DUMMYFUNCTION("""COMPUTED_VALUE"""),"Nulato")</f>
        <v>Nulato</v>
      </c>
      <c r="D6058" s="120" t="str">
        <f>IFERROR(__xludf.DUMMYFUNCTION("""COMPUTED_VALUE"""),"United States")</f>
        <v>United States</v>
      </c>
      <c r="E6058" s="135"/>
      <c r="F6058" s="31"/>
    </row>
    <row r="6059">
      <c r="A6059" s="134" t="str">
        <f>IFERROR(__xludf.DUMMYFUNCTION("""COMPUTED_VALUE"""),"Nullagine")</f>
        <v>Nullagine</v>
      </c>
      <c r="B6059" s="120" t="str">
        <f>IFERROR(__xludf.DUMMYFUNCTION("""COMPUTED_VALUE"""),"NLL")</f>
        <v>NLL</v>
      </c>
      <c r="C6059" s="120" t="str">
        <f>IFERROR(__xludf.DUMMYFUNCTION("""COMPUTED_VALUE"""),"Nullagine")</f>
        <v>Nullagine</v>
      </c>
      <c r="D6059" s="120" t="str">
        <f>IFERROR(__xludf.DUMMYFUNCTION("""COMPUTED_VALUE"""),"Australia")</f>
        <v>Australia</v>
      </c>
      <c r="E6059" s="135"/>
      <c r="F6059" s="31"/>
    </row>
    <row r="6060">
      <c r="A6060" s="134" t="str">
        <f>IFERROR(__xludf.DUMMYFUNCTION("""COMPUTED_VALUE"""),"Nullarbor")</f>
        <v>Nullarbor</v>
      </c>
      <c r="B6060" s="120" t="str">
        <f>IFERROR(__xludf.DUMMYFUNCTION("""COMPUTED_VALUE"""),"NUR")</f>
        <v>NUR</v>
      </c>
      <c r="C6060" s="120" t="str">
        <f>IFERROR(__xludf.DUMMYFUNCTION("""COMPUTED_VALUE"""),"Nullarbor")</f>
        <v>Nullarbor</v>
      </c>
      <c r="D6060" s="120" t="str">
        <f>IFERROR(__xludf.DUMMYFUNCTION("""COMPUTED_VALUE"""),"Australia")</f>
        <v>Australia</v>
      </c>
      <c r="E6060" s="135"/>
      <c r="F6060" s="31"/>
    </row>
    <row r="6061">
      <c r="A6061" s="134" t="str">
        <f>IFERROR(__xludf.DUMMYFUNCTION("""COMPUTED_VALUE"""),"Numbulwar")</f>
        <v>Numbulwar</v>
      </c>
      <c r="B6061" s="120" t="str">
        <f>IFERROR(__xludf.DUMMYFUNCTION("""COMPUTED_VALUE"""),"NUB")</f>
        <v>NUB</v>
      </c>
      <c r="C6061" s="120" t="str">
        <f>IFERROR(__xludf.DUMMYFUNCTION("""COMPUTED_VALUE"""),"Numbulwar")</f>
        <v>Numbulwar</v>
      </c>
      <c r="D6061" s="120" t="str">
        <f>IFERROR(__xludf.DUMMYFUNCTION("""COMPUTED_VALUE"""),"Australia")</f>
        <v>Australia</v>
      </c>
      <c r="E6061" s="135"/>
      <c r="F6061" s="31"/>
    </row>
    <row r="6062">
      <c r="A6062" s="134" t="str">
        <f>IFERROR(__xludf.DUMMYFUNCTION("""COMPUTED_VALUE"""),"Numfoor")</f>
        <v>Numfoor</v>
      </c>
      <c r="B6062" s="120" t="str">
        <f>IFERROR(__xludf.DUMMYFUNCTION("""COMPUTED_VALUE"""),"FOO")</f>
        <v>FOO</v>
      </c>
      <c r="C6062" s="120" t="str">
        <f>IFERROR(__xludf.DUMMYFUNCTION("""COMPUTED_VALUE"""),"Numfoor")</f>
        <v>Numfoor</v>
      </c>
      <c r="D6062" s="120" t="str">
        <f>IFERROR(__xludf.DUMMYFUNCTION("""COMPUTED_VALUE"""),"Indonesia")</f>
        <v>Indonesia</v>
      </c>
      <c r="E6062" s="135"/>
      <c r="F6062" s="31"/>
    </row>
    <row r="6063">
      <c r="A6063" s="134" t="str">
        <f>IFERROR(__xludf.DUMMYFUNCTION("""COMPUTED_VALUE"""),"Nunapitchuk")</f>
        <v>Nunapitchuk</v>
      </c>
      <c r="B6063" s="120" t="str">
        <f>IFERROR(__xludf.DUMMYFUNCTION("""COMPUTED_VALUE"""),"NUP")</f>
        <v>NUP</v>
      </c>
      <c r="C6063" s="120" t="str">
        <f>IFERROR(__xludf.DUMMYFUNCTION("""COMPUTED_VALUE"""),"Nunapitchuk")</f>
        <v>Nunapitchuk</v>
      </c>
      <c r="D6063" s="120" t="str">
        <f>IFERROR(__xludf.DUMMYFUNCTION("""COMPUTED_VALUE"""),"United States")</f>
        <v>United States</v>
      </c>
      <c r="E6063" s="135"/>
      <c r="F6063" s="31"/>
    </row>
    <row r="6064">
      <c r="A6064" s="134" t="str">
        <f>IFERROR(__xludf.DUMMYFUNCTION("""COMPUTED_VALUE"""),"Nunchia")</f>
        <v>Nunchia</v>
      </c>
      <c r="B6064" s="120" t="str">
        <f>IFERROR(__xludf.DUMMYFUNCTION("""COMPUTED_VALUE"""),"NUH")</f>
        <v>NUH</v>
      </c>
      <c r="C6064" s="120" t="str">
        <f>IFERROR(__xludf.DUMMYFUNCTION("""COMPUTED_VALUE"""),"Nunchia")</f>
        <v>Nunchia</v>
      </c>
      <c r="D6064" s="120" t="str">
        <f>IFERROR(__xludf.DUMMYFUNCTION("""COMPUTED_VALUE"""),"Colombia")</f>
        <v>Colombia</v>
      </c>
      <c r="E6064" s="135"/>
      <c r="F6064" s="31"/>
    </row>
    <row r="6065">
      <c r="A6065" s="134" t="str">
        <f>IFERROR(__xludf.DUMMYFUNCTION("""COMPUTED_VALUE"""),"Nunukan")</f>
        <v>Nunukan</v>
      </c>
      <c r="B6065" s="120" t="str">
        <f>IFERROR(__xludf.DUMMYFUNCTION("""COMPUTED_VALUE"""),"NNX")</f>
        <v>NNX</v>
      </c>
      <c r="C6065" s="120" t="str">
        <f>IFERROR(__xludf.DUMMYFUNCTION("""COMPUTED_VALUE"""),"Nunukan")</f>
        <v>Nunukan</v>
      </c>
      <c r="D6065" s="120" t="str">
        <f>IFERROR(__xludf.DUMMYFUNCTION("""COMPUTED_VALUE"""),"Indonesia")</f>
        <v>Indonesia</v>
      </c>
      <c r="E6065" s="135"/>
      <c r="F6065" s="31"/>
    </row>
    <row r="6066">
      <c r="A6066" s="134" t="str">
        <f>IFERROR(__xludf.DUMMYFUNCTION("""COMPUTED_VALUE"""),"Nuqui")</f>
        <v>Nuqui</v>
      </c>
      <c r="B6066" s="120" t="str">
        <f>IFERROR(__xludf.DUMMYFUNCTION("""COMPUTED_VALUE"""),"NQU")</f>
        <v>NQU</v>
      </c>
      <c r="C6066" s="120" t="str">
        <f>IFERROR(__xludf.DUMMYFUNCTION("""COMPUTED_VALUE"""),"Nuqui")</f>
        <v>Nuqui</v>
      </c>
      <c r="D6066" s="120" t="str">
        <f>IFERROR(__xludf.DUMMYFUNCTION("""COMPUTED_VALUE"""),"Colombia")</f>
        <v>Colombia</v>
      </c>
      <c r="E6066" s="135"/>
      <c r="F6066" s="31"/>
    </row>
    <row r="6067">
      <c r="A6067" s="134" t="str">
        <f>IFERROR(__xludf.DUMMYFUNCTION("""COMPUTED_VALUE"""),"Nushki")</f>
        <v>Nushki</v>
      </c>
      <c r="B6067" s="120" t="str">
        <f>IFERROR(__xludf.DUMMYFUNCTION("""COMPUTED_VALUE"""),"NHS")</f>
        <v>NHS</v>
      </c>
      <c r="C6067" s="120" t="str">
        <f>IFERROR(__xludf.DUMMYFUNCTION("""COMPUTED_VALUE"""),"Nushki")</f>
        <v>Nushki</v>
      </c>
      <c r="D6067" s="120" t="str">
        <f>IFERROR(__xludf.DUMMYFUNCTION("""COMPUTED_VALUE"""),"Pakistan")</f>
        <v>Pakistan</v>
      </c>
      <c r="E6067" s="135"/>
      <c r="F6067" s="31"/>
    </row>
    <row r="6068">
      <c r="A6068" s="134" t="str">
        <f>IFERROR(__xludf.DUMMYFUNCTION("""COMPUTED_VALUE"""),"Nutuve")</f>
        <v>Nutuve</v>
      </c>
      <c r="B6068" s="120" t="str">
        <f>IFERROR(__xludf.DUMMYFUNCTION("""COMPUTED_VALUE"""),"NUT")</f>
        <v>NUT</v>
      </c>
      <c r="C6068" s="120" t="str">
        <f>IFERROR(__xludf.DUMMYFUNCTION("""COMPUTED_VALUE"""),"Nutuve")</f>
        <v>Nutuve</v>
      </c>
      <c r="D6068" s="120" t="str">
        <f>IFERROR(__xludf.DUMMYFUNCTION("""COMPUTED_VALUE"""),"Papua New Guinea")</f>
        <v>Papua New Guinea</v>
      </c>
      <c r="E6068" s="135"/>
      <c r="F6068" s="31"/>
    </row>
    <row r="6069">
      <c r="A6069" s="134" t="str">
        <f>IFERROR(__xludf.DUMMYFUNCTION("""COMPUTED_VALUE"""),"Nutwood Downs")</f>
        <v>Nutwood Downs</v>
      </c>
      <c r="B6069" s="120" t="str">
        <f>IFERROR(__xludf.DUMMYFUNCTION("""COMPUTED_VALUE"""),"UTD")</f>
        <v>UTD</v>
      </c>
      <c r="C6069" s="120" t="str">
        <f>IFERROR(__xludf.DUMMYFUNCTION("""COMPUTED_VALUE"""),"Nutwood Downs")</f>
        <v>Nutwood Downs</v>
      </c>
      <c r="D6069" s="120" t="str">
        <f>IFERROR(__xludf.DUMMYFUNCTION("""COMPUTED_VALUE"""),"Australia")</f>
        <v>Australia</v>
      </c>
      <c r="E6069" s="135"/>
      <c r="F6069" s="31"/>
    </row>
    <row r="6070">
      <c r="A6070" s="134" t="str">
        <f>IFERROR(__xludf.DUMMYFUNCTION("""COMPUTED_VALUE"""),"Nuuk")</f>
        <v>Nuuk</v>
      </c>
      <c r="B6070" s="120" t="str">
        <f>IFERROR(__xludf.DUMMYFUNCTION("""COMPUTED_VALUE"""),"GOH")</f>
        <v>GOH</v>
      </c>
      <c r="C6070" s="120" t="str">
        <f>IFERROR(__xludf.DUMMYFUNCTION("""COMPUTED_VALUE"""),"Nuuk")</f>
        <v>Nuuk</v>
      </c>
      <c r="D6070" s="120" t="str">
        <f>IFERROR(__xludf.DUMMYFUNCTION("""COMPUTED_VALUE"""),"Greenland")</f>
        <v>Greenland</v>
      </c>
      <c r="E6070" s="135"/>
      <c r="F6070" s="31"/>
    </row>
    <row r="6071">
      <c r="A6071" s="134" t="str">
        <f>IFERROR(__xludf.DUMMYFUNCTION("""COMPUTED_VALUE"""),"Nyac")</f>
        <v>Nyac</v>
      </c>
      <c r="B6071" s="120" t="str">
        <f>IFERROR(__xludf.DUMMYFUNCTION("""COMPUTED_VALUE"""),"ZNC")</f>
        <v>ZNC</v>
      </c>
      <c r="C6071" s="120" t="str">
        <f>IFERROR(__xludf.DUMMYFUNCTION("""COMPUTED_VALUE"""),"Nyac")</f>
        <v>Nyac</v>
      </c>
      <c r="D6071" s="120" t="str">
        <f>IFERROR(__xludf.DUMMYFUNCTION("""COMPUTED_VALUE"""),"United States")</f>
        <v>United States</v>
      </c>
      <c r="E6071" s="135"/>
      <c r="F6071" s="31"/>
    </row>
    <row r="6072">
      <c r="A6072" s="134" t="str">
        <f>IFERROR(__xludf.DUMMYFUNCTION("""COMPUTED_VALUE"""),"Nyala")</f>
        <v>Nyala</v>
      </c>
      <c r="B6072" s="120" t="str">
        <f>IFERROR(__xludf.DUMMYFUNCTION("""COMPUTED_VALUE"""),"UYL")</f>
        <v>UYL</v>
      </c>
      <c r="C6072" s="120" t="str">
        <f>IFERROR(__xludf.DUMMYFUNCTION("""COMPUTED_VALUE"""),"Nyala")</f>
        <v>Nyala</v>
      </c>
      <c r="D6072" s="120" t="str">
        <f>IFERROR(__xludf.DUMMYFUNCTION("""COMPUTED_VALUE"""),"Sudan")</f>
        <v>Sudan</v>
      </c>
      <c r="E6072" s="135"/>
      <c r="F6072" s="31"/>
    </row>
    <row r="6073">
      <c r="A6073" s="134" t="str">
        <f>IFERROR(__xludf.DUMMYFUNCTION("""COMPUTED_VALUE"""),"Nyaung-u")</f>
        <v>Nyaung-u</v>
      </c>
      <c r="B6073" s="120" t="str">
        <f>IFERROR(__xludf.DUMMYFUNCTION("""COMPUTED_VALUE"""),"NYU")</f>
        <v>NYU</v>
      </c>
      <c r="C6073" s="120" t="str">
        <f>IFERROR(__xludf.DUMMYFUNCTION("""COMPUTED_VALUE"""),"Nyaung-u")</f>
        <v>Nyaung-u</v>
      </c>
      <c r="D6073" s="120" t="str">
        <f>IFERROR(__xludf.DUMMYFUNCTION("""COMPUTED_VALUE"""),"Myanmar")</f>
        <v>Myanmar</v>
      </c>
      <c r="E6073" s="135"/>
      <c r="F6073" s="31"/>
    </row>
    <row r="6074">
      <c r="A6074" s="134" t="str">
        <f>IFERROR(__xludf.DUMMYFUNCTION("""COMPUTED_VALUE"""),"Nyeri")</f>
        <v>Nyeri</v>
      </c>
      <c r="B6074" s="120" t="str">
        <f>IFERROR(__xludf.DUMMYFUNCTION("""COMPUTED_VALUE"""),"NYE")</f>
        <v>NYE</v>
      </c>
      <c r="C6074" s="120" t="str">
        <f>IFERROR(__xludf.DUMMYFUNCTION("""COMPUTED_VALUE"""),"Nyeri")</f>
        <v>Nyeri</v>
      </c>
      <c r="D6074" s="120" t="str">
        <f>IFERROR(__xludf.DUMMYFUNCTION("""COMPUTED_VALUE"""),"Kenya")</f>
        <v>Kenya</v>
      </c>
      <c r="E6074" s="135"/>
      <c r="F6074" s="31"/>
    </row>
    <row r="6075">
      <c r="A6075" s="134" t="str">
        <f>IFERROR(__xludf.DUMMYFUNCTION("""COMPUTED_VALUE"""),"Nykoping")</f>
        <v>Nykoping</v>
      </c>
      <c r="B6075" s="120" t="str">
        <f>IFERROR(__xludf.DUMMYFUNCTION("""COMPUTED_VALUE"""),"XWZ")</f>
        <v>XWZ</v>
      </c>
      <c r="C6075" s="120" t="str">
        <f>IFERROR(__xludf.DUMMYFUNCTION("""COMPUTED_VALUE"""),"Nykoping")</f>
        <v>Nykoping</v>
      </c>
      <c r="D6075" s="120" t="str">
        <f>IFERROR(__xludf.DUMMYFUNCTION("""COMPUTED_VALUE"""),"Sweden")</f>
        <v>Sweden</v>
      </c>
      <c r="E6075" s="135"/>
      <c r="F6075" s="31"/>
    </row>
    <row r="6076">
      <c r="A6076" s="134" t="str">
        <f>IFERROR(__xludf.DUMMYFUNCTION("""COMPUTED_VALUE"""),"Nyngan")</f>
        <v>Nyngan</v>
      </c>
      <c r="B6076" s="120" t="str">
        <f>IFERROR(__xludf.DUMMYFUNCTION("""COMPUTED_VALUE"""),"NYN")</f>
        <v>NYN</v>
      </c>
      <c r="C6076" s="120" t="str">
        <f>IFERROR(__xludf.DUMMYFUNCTION("""COMPUTED_VALUE"""),"Nyngan")</f>
        <v>Nyngan</v>
      </c>
      <c r="D6076" s="120" t="str">
        <f>IFERROR(__xludf.DUMMYFUNCTION("""COMPUTED_VALUE"""),"Australia")</f>
        <v>Australia</v>
      </c>
      <c r="E6076" s="135"/>
      <c r="F6076" s="31"/>
    </row>
    <row r="6077">
      <c r="A6077" s="134" t="str">
        <f>IFERROR(__xludf.DUMMYFUNCTION("""COMPUTED_VALUE"""),"Nzagi")</f>
        <v>Nzagi</v>
      </c>
      <c r="B6077" s="120" t="str">
        <f>IFERROR(__xludf.DUMMYFUNCTION("""COMPUTED_VALUE"""),"NZA")</f>
        <v>NZA</v>
      </c>
      <c r="C6077" s="120" t="str">
        <f>IFERROR(__xludf.DUMMYFUNCTION("""COMPUTED_VALUE"""),"Nzagi")</f>
        <v>Nzagi</v>
      </c>
      <c r="D6077" s="120" t="str">
        <f>IFERROR(__xludf.DUMMYFUNCTION("""COMPUTED_VALUE"""),"Angola")</f>
        <v>Angola</v>
      </c>
      <c r="E6077" s="135"/>
      <c r="F6077" s="31"/>
    </row>
    <row r="6078">
      <c r="A6078" s="134" t="str">
        <f>IFERROR(__xludf.DUMMYFUNCTION("""COMPUTED_VALUE"""),"Nzerekore")</f>
        <v>Nzerekore</v>
      </c>
      <c r="B6078" s="120" t="str">
        <f>IFERROR(__xludf.DUMMYFUNCTION("""COMPUTED_VALUE"""),"NZE")</f>
        <v>NZE</v>
      </c>
      <c r="C6078" s="120" t="str">
        <f>IFERROR(__xludf.DUMMYFUNCTION("""COMPUTED_VALUE"""),"Nzerekore")</f>
        <v>Nzerekore</v>
      </c>
      <c r="D6078" s="120" t="str">
        <f>IFERROR(__xludf.DUMMYFUNCTION("""COMPUTED_VALUE"""),"Guinea")</f>
        <v>Guinea</v>
      </c>
      <c r="E6078" s="135"/>
      <c r="F6078" s="31"/>
    </row>
    <row r="6079">
      <c r="A6079" s="134" t="str">
        <f>IFERROR(__xludf.DUMMYFUNCTION("""COMPUTED_VALUE"""),"Nzoia")</f>
        <v>Nzoia</v>
      </c>
      <c r="B6079" s="120" t="str">
        <f>IFERROR(__xludf.DUMMYFUNCTION("""COMPUTED_VALUE"""),"NZO")</f>
        <v>NZO</v>
      </c>
      <c r="C6079" s="120" t="str">
        <f>IFERROR(__xludf.DUMMYFUNCTION("""COMPUTED_VALUE"""),"Nzoia")</f>
        <v>Nzoia</v>
      </c>
      <c r="D6079" s="120" t="str">
        <f>IFERROR(__xludf.DUMMYFUNCTION("""COMPUTED_VALUE"""),"Kenya")</f>
        <v>Kenya</v>
      </c>
      <c r="E6079" s="135"/>
      <c r="F6079" s="31"/>
    </row>
    <row r="6080">
      <c r="A6080" s="134" t="str">
        <f>IFERROR(__xludf.DUMMYFUNCTION("""COMPUTED_VALUE"""),"Oahu")</f>
        <v>Oahu</v>
      </c>
      <c r="B6080" s="120" t="str">
        <f>IFERROR(__xludf.DUMMYFUNCTION("""COMPUTED_VALUE"""),"HDH")</f>
        <v>HDH</v>
      </c>
      <c r="C6080" s="120" t="str">
        <f>IFERROR(__xludf.DUMMYFUNCTION("""COMPUTED_VALUE"""),"Dillingham Airfield")</f>
        <v>Dillingham Airfield</v>
      </c>
      <c r="D6080" s="120" t="str">
        <f>IFERROR(__xludf.DUMMYFUNCTION("""COMPUTED_VALUE"""),"United States")</f>
        <v>United States</v>
      </c>
      <c r="E6080" s="135"/>
      <c r="F6080" s="31"/>
    </row>
    <row r="6081">
      <c r="A6081" s="134" t="str">
        <f>IFERROR(__xludf.DUMMYFUNCTION("""COMPUTED_VALUE"""),"Oak Harbor")</f>
        <v>Oak Harbor</v>
      </c>
      <c r="B6081" s="120" t="str">
        <f>IFERROR(__xludf.DUMMYFUNCTION("""COMPUTED_VALUE"""),"ODW")</f>
        <v>ODW</v>
      </c>
      <c r="C6081" s="120" t="str">
        <f>IFERROR(__xludf.DUMMYFUNCTION("""COMPUTED_VALUE"""),"Oak Harbor")</f>
        <v>Oak Harbor</v>
      </c>
      <c r="D6081" s="120" t="str">
        <f>IFERROR(__xludf.DUMMYFUNCTION("""COMPUTED_VALUE"""),"United States")</f>
        <v>United States</v>
      </c>
      <c r="E6081" s="135"/>
      <c r="F6081" s="31"/>
    </row>
    <row r="6082">
      <c r="A6082" s="134" t="str">
        <f>IFERROR(__xludf.DUMMYFUNCTION("""COMPUTED_VALUE"""),"Oakey")</f>
        <v>Oakey</v>
      </c>
      <c r="B6082" s="120" t="str">
        <f>IFERROR(__xludf.DUMMYFUNCTION("""COMPUTED_VALUE"""),"OKY")</f>
        <v>OKY</v>
      </c>
      <c r="C6082" s="120" t="str">
        <f>IFERROR(__xludf.DUMMYFUNCTION("""COMPUTED_VALUE"""),"Oakey")</f>
        <v>Oakey</v>
      </c>
      <c r="D6082" s="120" t="str">
        <f>IFERROR(__xludf.DUMMYFUNCTION("""COMPUTED_VALUE"""),"Australia")</f>
        <v>Australia</v>
      </c>
      <c r="E6082" s="135"/>
      <c r="F6082" s="31"/>
    </row>
    <row r="6083">
      <c r="A6083" s="134" t="str">
        <f>IFERROR(__xludf.DUMMYFUNCTION("""COMPUTED_VALUE"""),"Oakham")</f>
        <v>Oakham</v>
      </c>
      <c r="B6083" s="120" t="str">
        <f>IFERROR(__xludf.DUMMYFUNCTION("""COMPUTED_VALUE"""),"OKH")</f>
        <v>OKH</v>
      </c>
      <c r="C6083" s="120" t="str">
        <f>IFERROR(__xludf.DUMMYFUNCTION("""COMPUTED_VALUE"""),"Cottesmor RAF")</f>
        <v>Cottesmor RAF</v>
      </c>
      <c r="D6083" s="120" t="str">
        <f>IFERROR(__xludf.DUMMYFUNCTION("""COMPUTED_VALUE"""),"United Kingdom")</f>
        <v>United Kingdom</v>
      </c>
      <c r="E6083" s="135"/>
      <c r="F6083" s="31"/>
    </row>
    <row r="6084">
      <c r="A6084" s="134" t="str">
        <f>IFERROR(__xludf.DUMMYFUNCTION("""COMPUTED_VALUE"""),"Oakland")</f>
        <v>Oakland</v>
      </c>
      <c r="B6084" s="120" t="str">
        <f>IFERROR(__xludf.DUMMYFUNCTION("""COMPUTED_VALUE"""),"JCE")</f>
        <v>JCE</v>
      </c>
      <c r="C6084" s="120" t="str">
        <f>IFERROR(__xludf.DUMMYFUNCTION("""COMPUTED_VALUE"""),"Convention Center H/P")</f>
        <v>Convention Center H/P</v>
      </c>
      <c r="D6084" s="120" t="str">
        <f>IFERROR(__xludf.DUMMYFUNCTION("""COMPUTED_VALUE"""),"United States")</f>
        <v>United States</v>
      </c>
      <c r="E6084" s="135"/>
      <c r="F6084" s="31"/>
    </row>
    <row r="6085">
      <c r="A6085" s="134" t="str">
        <f>IFERROR(__xludf.DUMMYFUNCTION("""COMPUTED_VALUE"""),"Oakland")</f>
        <v>Oakland</v>
      </c>
      <c r="B6085" s="120" t="str">
        <f>IFERROR(__xludf.DUMMYFUNCTION("""COMPUTED_VALUE"""),"OAK")</f>
        <v>OAK</v>
      </c>
      <c r="C6085" s="120" t="str">
        <f>IFERROR(__xludf.DUMMYFUNCTION("""COMPUTED_VALUE"""),"Metropolitan Oak Intl")</f>
        <v>Metropolitan Oak Intl</v>
      </c>
      <c r="D6085" s="120" t="str">
        <f>IFERROR(__xludf.DUMMYFUNCTION("""COMPUTED_VALUE"""),"United States")</f>
        <v>United States</v>
      </c>
      <c r="E6085" s="135"/>
      <c r="F6085" s="31"/>
    </row>
    <row r="6086">
      <c r="A6086" s="134" t="str">
        <f>IFERROR(__xludf.DUMMYFUNCTION("""COMPUTED_VALUE"""),"Oakland")</f>
        <v>Oakland</v>
      </c>
      <c r="B6086" s="120" t="str">
        <f>IFERROR(__xludf.DUMMYFUNCTION("""COMPUTED_VALUE"""),"OBT")</f>
        <v>OBT</v>
      </c>
      <c r="C6086" s="120" t="str">
        <f>IFERROR(__xludf.DUMMYFUNCTION("""COMPUTED_VALUE"""),"Oakland/Coliseum Stat")</f>
        <v>Oakland/Coliseum Stat</v>
      </c>
      <c r="D6086" s="120" t="str">
        <f>IFERROR(__xludf.DUMMYFUNCTION("""COMPUTED_VALUE"""),"United States")</f>
        <v>United States</v>
      </c>
      <c r="E6086" s="135"/>
      <c r="F6086" s="31"/>
    </row>
    <row r="6087">
      <c r="A6087" s="134" t="str">
        <f>IFERROR(__xludf.DUMMYFUNCTION("""COMPUTED_VALUE"""),"Oaktown")</f>
        <v>Oaktown</v>
      </c>
      <c r="B6087" s="120" t="str">
        <f>IFERROR(__xludf.DUMMYFUNCTION("""COMPUTED_VALUE"""),"OTN")</f>
        <v>OTN</v>
      </c>
      <c r="C6087" s="120" t="str">
        <f>IFERROR(__xludf.DUMMYFUNCTION("""COMPUTED_VALUE"""),"Green")</f>
        <v>Green</v>
      </c>
      <c r="D6087" s="120" t="str">
        <f>IFERROR(__xludf.DUMMYFUNCTION("""COMPUTED_VALUE"""),"United States")</f>
        <v>United States</v>
      </c>
      <c r="E6087" s="135"/>
      <c r="F6087" s="31"/>
    </row>
    <row r="6088">
      <c r="A6088" s="134" t="str">
        <f>IFERROR(__xludf.DUMMYFUNCTION("""COMPUTED_VALUE"""),"Oamaru")</f>
        <v>Oamaru</v>
      </c>
      <c r="B6088" s="120" t="str">
        <f>IFERROR(__xludf.DUMMYFUNCTION("""COMPUTED_VALUE"""),"OAM")</f>
        <v>OAM</v>
      </c>
      <c r="C6088" s="120" t="str">
        <f>IFERROR(__xludf.DUMMYFUNCTION("""COMPUTED_VALUE"""),"Oamaru")</f>
        <v>Oamaru</v>
      </c>
      <c r="D6088" s="120" t="str">
        <f>IFERROR(__xludf.DUMMYFUNCTION("""COMPUTED_VALUE"""),"New Zealand (Aotearoa)")</f>
        <v>New Zealand (Aotearoa)</v>
      </c>
      <c r="E6088" s="135"/>
      <c r="F6088" s="31"/>
    </row>
    <row r="6089">
      <c r="A6089" s="134" t="str">
        <f>IFERROR(__xludf.DUMMYFUNCTION("""COMPUTED_VALUE"""),"Oaxaca")</f>
        <v>Oaxaca</v>
      </c>
      <c r="B6089" s="120" t="str">
        <f>IFERROR(__xludf.DUMMYFUNCTION("""COMPUTED_VALUE"""),"OAX")</f>
        <v>OAX</v>
      </c>
      <c r="C6089" s="120" t="str">
        <f>IFERROR(__xludf.DUMMYFUNCTION("""COMPUTED_VALUE"""),"Xoxocotlan")</f>
        <v>Xoxocotlan</v>
      </c>
      <c r="D6089" s="120" t="str">
        <f>IFERROR(__xludf.DUMMYFUNCTION("""COMPUTED_VALUE"""),"Mexico")</f>
        <v>Mexico</v>
      </c>
      <c r="E6089" s="135"/>
      <c r="F6089" s="31"/>
    </row>
    <row r="6090">
      <c r="A6090" s="134" t="str">
        <f>IFERROR(__xludf.DUMMYFUNCTION("""COMPUTED_VALUE"""),"Oban")</f>
        <v>Oban</v>
      </c>
      <c r="B6090" s="120" t="str">
        <f>IFERROR(__xludf.DUMMYFUNCTION("""COMPUTED_VALUE"""),"OBN")</f>
        <v>OBN</v>
      </c>
      <c r="C6090" s="120" t="str">
        <f>IFERROR(__xludf.DUMMYFUNCTION("""COMPUTED_VALUE"""),"Oban Airport")</f>
        <v>Oban Airport</v>
      </c>
      <c r="D6090" s="120" t="str">
        <f>IFERROR(__xludf.DUMMYFUNCTION("""COMPUTED_VALUE"""),"United Kingdom")</f>
        <v>United Kingdom</v>
      </c>
      <c r="E6090" s="135"/>
      <c r="F6090" s="31"/>
    </row>
    <row r="6091">
      <c r="A6091" s="134" t="str">
        <f>IFERROR(__xludf.DUMMYFUNCTION("""COMPUTED_VALUE"""),"Oban")</f>
        <v>Oban</v>
      </c>
      <c r="B6091" s="120" t="str">
        <f>IFERROR(__xludf.DUMMYFUNCTION("""COMPUTED_VALUE"""),"OHP")</f>
        <v>OHP</v>
      </c>
      <c r="C6091" s="120" t="str">
        <f>IFERROR(__xludf.DUMMYFUNCTION("""COMPUTED_VALUE"""),"Heliport")</f>
        <v>Heliport</v>
      </c>
      <c r="D6091" s="120" t="str">
        <f>IFERROR(__xludf.DUMMYFUNCTION("""COMPUTED_VALUE"""),"United Kingdom")</f>
        <v>United Kingdom</v>
      </c>
      <c r="E6091" s="135"/>
      <c r="F6091" s="31"/>
    </row>
    <row r="6092">
      <c r="A6092" s="134" t="str">
        <f>IFERROR(__xludf.DUMMYFUNCTION("""COMPUTED_VALUE"""),"Oban")</f>
        <v>Oban</v>
      </c>
      <c r="B6092" s="120" t="str">
        <f>IFERROR(__xludf.DUMMYFUNCTION("""COMPUTED_VALUE"""),"OBA")</f>
        <v>OBA</v>
      </c>
      <c r="C6092" s="120" t="str">
        <f>IFERROR(__xludf.DUMMYFUNCTION("""COMPUTED_VALUE"""),"Oban")</f>
        <v>Oban</v>
      </c>
      <c r="D6092" s="120" t="str">
        <f>IFERROR(__xludf.DUMMYFUNCTION("""COMPUTED_VALUE"""),"Australia")</f>
        <v>Australia</v>
      </c>
      <c r="E6092" s="135"/>
      <c r="F6092" s="31"/>
    </row>
    <row r="6093">
      <c r="A6093" s="134" t="str">
        <f>IFERROR(__xludf.DUMMYFUNCTION("""COMPUTED_VALUE"""),"Obano")</f>
        <v>Obano</v>
      </c>
      <c r="B6093" s="120" t="str">
        <f>IFERROR(__xludf.DUMMYFUNCTION("""COMPUTED_VALUE"""),"OBD")</f>
        <v>OBD</v>
      </c>
      <c r="C6093" s="120" t="str">
        <f>IFERROR(__xludf.DUMMYFUNCTION("""COMPUTED_VALUE"""),"Obano")</f>
        <v>Obano</v>
      </c>
      <c r="D6093" s="120" t="str">
        <f>IFERROR(__xludf.DUMMYFUNCTION("""COMPUTED_VALUE"""),"Indonesia")</f>
        <v>Indonesia</v>
      </c>
      <c r="E6093" s="135"/>
      <c r="F6093" s="31"/>
    </row>
    <row r="6094">
      <c r="A6094" s="134" t="str">
        <f>IFERROR(__xludf.DUMMYFUNCTION("""COMPUTED_VALUE"""),"Obbia")</f>
        <v>Obbia</v>
      </c>
      <c r="B6094" s="120" t="str">
        <f>IFERROR(__xludf.DUMMYFUNCTION("""COMPUTED_VALUE"""),"CMO")</f>
        <v>CMO</v>
      </c>
      <c r="C6094" s="120" t="str">
        <f>IFERROR(__xludf.DUMMYFUNCTION("""COMPUTED_VALUE"""),"Obbia")</f>
        <v>Obbia</v>
      </c>
      <c r="D6094" s="120" t="str">
        <f>IFERROR(__xludf.DUMMYFUNCTION("""COMPUTED_VALUE"""),"Somalia")</f>
        <v>Somalia</v>
      </c>
      <c r="E6094" s="135"/>
      <c r="F6094" s="31"/>
    </row>
    <row r="6095">
      <c r="A6095" s="134" t="str">
        <f>IFERROR(__xludf.DUMMYFUNCTION("""COMPUTED_VALUE"""),"Oberpfaffenhofen")</f>
        <v>Oberpfaffenhofen</v>
      </c>
      <c r="B6095" s="120" t="str">
        <f>IFERROR(__xludf.DUMMYFUNCTION("""COMPUTED_VALUE"""),"OBF")</f>
        <v>OBF</v>
      </c>
      <c r="C6095" s="120" t="str">
        <f>IFERROR(__xludf.DUMMYFUNCTION("""COMPUTED_VALUE"""),"Oberpfaffenhofen")</f>
        <v>Oberpfaffenhofen</v>
      </c>
      <c r="D6095" s="120" t="str">
        <f>IFERROR(__xludf.DUMMYFUNCTION("""COMPUTED_VALUE"""),"Germany")</f>
        <v>Germany</v>
      </c>
      <c r="E6095" s="135"/>
      <c r="F6095" s="31"/>
    </row>
    <row r="6096">
      <c r="A6096" s="134" t="str">
        <f>IFERROR(__xludf.DUMMYFUNCTION("""COMPUTED_VALUE"""),"Obidos")</f>
        <v>Obidos</v>
      </c>
      <c r="B6096" s="120" t="str">
        <f>IFERROR(__xludf.DUMMYFUNCTION("""COMPUTED_VALUE"""),"OBI")</f>
        <v>OBI</v>
      </c>
      <c r="C6096" s="120" t="str">
        <f>IFERROR(__xludf.DUMMYFUNCTION("""COMPUTED_VALUE"""),"Obidos")</f>
        <v>Obidos</v>
      </c>
      <c r="D6096" s="120" t="str">
        <f>IFERROR(__xludf.DUMMYFUNCTION("""COMPUTED_VALUE"""),"Brazil")</f>
        <v>Brazil</v>
      </c>
      <c r="E6096" s="135"/>
      <c r="F6096" s="31"/>
    </row>
    <row r="6097">
      <c r="A6097" s="134" t="str">
        <f>IFERROR(__xludf.DUMMYFUNCTION("""COMPUTED_VALUE"""),"Obihiro")</f>
        <v>Obihiro</v>
      </c>
      <c r="B6097" s="120" t="str">
        <f>IFERROR(__xludf.DUMMYFUNCTION("""COMPUTED_VALUE"""),"OBO")</f>
        <v>OBO</v>
      </c>
      <c r="C6097" s="120" t="str">
        <f>IFERROR(__xludf.DUMMYFUNCTION("""COMPUTED_VALUE"""),"Obihiro")</f>
        <v>Obihiro</v>
      </c>
      <c r="D6097" s="120" t="str">
        <f>IFERROR(__xludf.DUMMYFUNCTION("""COMPUTED_VALUE"""),"Japan")</f>
        <v>Japan</v>
      </c>
      <c r="E6097" s="135"/>
      <c r="F6097" s="31"/>
    </row>
    <row r="6098">
      <c r="A6098" s="134" t="str">
        <f>IFERROR(__xludf.DUMMYFUNCTION("""COMPUTED_VALUE"""),"Obo")</f>
        <v>Obo</v>
      </c>
      <c r="B6098" s="120" t="str">
        <f>IFERROR(__xludf.DUMMYFUNCTION("""COMPUTED_VALUE"""),"OBX")</f>
        <v>OBX</v>
      </c>
      <c r="C6098" s="120" t="str">
        <f>IFERROR(__xludf.DUMMYFUNCTION("""COMPUTED_VALUE"""),"Obo")</f>
        <v>Obo</v>
      </c>
      <c r="D6098" s="120" t="str">
        <f>IFERROR(__xludf.DUMMYFUNCTION("""COMPUTED_VALUE"""),"Papua New Guinea")</f>
        <v>Papua New Guinea</v>
      </c>
      <c r="E6098" s="135"/>
      <c r="F6098" s="31"/>
    </row>
    <row r="6099">
      <c r="A6099" s="134" t="str">
        <f>IFERROR(__xludf.DUMMYFUNCTION("""COMPUTED_VALUE"""),"Obock")</f>
        <v>Obock</v>
      </c>
      <c r="B6099" s="120" t="str">
        <f>IFERROR(__xludf.DUMMYFUNCTION("""COMPUTED_VALUE"""),"OBC")</f>
        <v>OBC</v>
      </c>
      <c r="C6099" s="120" t="str">
        <f>IFERROR(__xludf.DUMMYFUNCTION("""COMPUTED_VALUE"""),"Obock")</f>
        <v>Obock</v>
      </c>
      <c r="D6099" s="120" t="str">
        <f>IFERROR(__xludf.DUMMYFUNCTION("""COMPUTED_VALUE"""),"Djibouti")</f>
        <v>Djibouti</v>
      </c>
      <c r="E6099" s="135"/>
      <c r="F6099" s="31"/>
    </row>
    <row r="6100">
      <c r="A6100" s="134" t="str">
        <f>IFERROR(__xludf.DUMMYFUNCTION("""COMPUTED_VALUE"""),"Obre Lake")</f>
        <v>Obre Lake</v>
      </c>
      <c r="B6100" s="120" t="str">
        <f>IFERROR(__xludf.DUMMYFUNCTION("""COMPUTED_VALUE"""),"YDW")</f>
        <v>YDW</v>
      </c>
      <c r="C6100" s="120" t="str">
        <f>IFERROR(__xludf.DUMMYFUNCTION("""COMPUTED_VALUE"""),"Obre Lake")</f>
        <v>Obre Lake</v>
      </c>
      <c r="D6100" s="120" t="str">
        <f>IFERROR(__xludf.DUMMYFUNCTION("""COMPUTED_VALUE"""),"Canada")</f>
        <v>Canada</v>
      </c>
      <c r="E6100" s="135"/>
      <c r="F6100" s="31"/>
    </row>
    <row r="6101">
      <c r="A6101" s="134" t="str">
        <f>IFERROR(__xludf.DUMMYFUNCTION("""COMPUTED_VALUE"""),"Ocala")</f>
        <v>Ocala</v>
      </c>
      <c r="B6101" s="120" t="str">
        <f>IFERROR(__xludf.DUMMYFUNCTION("""COMPUTED_VALUE"""),"OCF")</f>
        <v>OCF</v>
      </c>
      <c r="C6101" s="120" t="str">
        <f>IFERROR(__xludf.DUMMYFUNCTION("""COMPUTED_VALUE"""),"Taylor Field")</f>
        <v>Taylor Field</v>
      </c>
      <c r="D6101" s="120" t="str">
        <f>IFERROR(__xludf.DUMMYFUNCTION("""COMPUTED_VALUE"""),"United States")</f>
        <v>United States</v>
      </c>
      <c r="E6101" s="135"/>
      <c r="F6101" s="31"/>
    </row>
    <row r="6102">
      <c r="A6102" s="134" t="str">
        <f>IFERROR(__xludf.DUMMYFUNCTION("""COMPUTED_VALUE"""),"Ocana")</f>
        <v>Ocana</v>
      </c>
      <c r="B6102" s="120" t="str">
        <f>IFERROR(__xludf.DUMMYFUNCTION("""COMPUTED_VALUE"""),"OCV")</f>
        <v>OCV</v>
      </c>
      <c r="C6102" s="120" t="str">
        <f>IFERROR(__xludf.DUMMYFUNCTION("""COMPUTED_VALUE"""),"Aguasclaras")</f>
        <v>Aguasclaras</v>
      </c>
      <c r="D6102" s="120" t="str">
        <f>IFERROR(__xludf.DUMMYFUNCTION("""COMPUTED_VALUE"""),"Colombia")</f>
        <v>Colombia</v>
      </c>
      <c r="E6102" s="135"/>
      <c r="F6102" s="31"/>
    </row>
    <row r="6103">
      <c r="A6103" s="134" t="str">
        <f>IFERROR(__xludf.DUMMYFUNCTION("""COMPUTED_VALUE"""),"Ocean City")</f>
        <v>Ocean City</v>
      </c>
      <c r="B6103" s="120" t="str">
        <f>IFERROR(__xludf.DUMMYFUNCTION("""COMPUTED_VALUE"""),"OCE")</f>
        <v>OCE</v>
      </c>
      <c r="C6103" s="120" t="str">
        <f>IFERROR(__xludf.DUMMYFUNCTION("""COMPUTED_VALUE"""),"Municipal")</f>
        <v>Municipal</v>
      </c>
      <c r="D6103" s="120" t="str">
        <f>IFERROR(__xludf.DUMMYFUNCTION("""COMPUTED_VALUE"""),"United States")</f>
        <v>United States</v>
      </c>
      <c r="E6103" s="135"/>
      <c r="F6103" s="31"/>
    </row>
    <row r="6104">
      <c r="A6104" s="134" t="str">
        <f>IFERROR(__xludf.DUMMYFUNCTION("""COMPUTED_VALUE"""),"Ocean Falls")</f>
        <v>Ocean Falls</v>
      </c>
      <c r="B6104" s="120" t="str">
        <f>IFERROR(__xludf.DUMMYFUNCTION("""COMPUTED_VALUE"""),"ZOF")</f>
        <v>ZOF</v>
      </c>
      <c r="C6104" s="120" t="str">
        <f>IFERROR(__xludf.DUMMYFUNCTION("""COMPUTED_VALUE"""),"Ocean Falls")</f>
        <v>Ocean Falls</v>
      </c>
      <c r="D6104" s="120" t="str">
        <f>IFERROR(__xludf.DUMMYFUNCTION("""COMPUTED_VALUE"""),"Canada")</f>
        <v>Canada</v>
      </c>
      <c r="E6104" s="135"/>
      <c r="F6104" s="31"/>
    </row>
    <row r="6105">
      <c r="A6105" s="134" t="str">
        <f>IFERROR(__xludf.DUMMYFUNCTION("""COMPUTED_VALUE"""),"Ocean Reef")</f>
        <v>Ocean Reef</v>
      </c>
      <c r="B6105" s="120" t="str">
        <f>IFERROR(__xludf.DUMMYFUNCTION("""COMPUTED_VALUE"""),"OCA")</f>
        <v>OCA</v>
      </c>
      <c r="C6105" s="120" t="str">
        <f>IFERROR(__xludf.DUMMYFUNCTION("""COMPUTED_VALUE"""),"Ocean Reef")</f>
        <v>Ocean Reef</v>
      </c>
      <c r="D6105" s="120" t="str">
        <f>IFERROR(__xludf.DUMMYFUNCTION("""COMPUTED_VALUE"""),"United States")</f>
        <v>United States</v>
      </c>
      <c r="E6105" s="135"/>
      <c r="F6105" s="31"/>
    </row>
    <row r="6106">
      <c r="A6106" s="134" t="str">
        <f>IFERROR(__xludf.DUMMYFUNCTION("""COMPUTED_VALUE"""),"Oceana")</f>
        <v>Oceana</v>
      </c>
      <c r="B6106" s="120" t="str">
        <f>IFERROR(__xludf.DUMMYFUNCTION("""COMPUTED_VALUE"""),"NTU")</f>
        <v>NTU</v>
      </c>
      <c r="C6106" s="120" t="str">
        <f>IFERROR(__xludf.DUMMYFUNCTION("""COMPUTED_VALUE"""),"NAS")</f>
        <v>NAS</v>
      </c>
      <c r="D6106" s="120" t="str">
        <f>IFERROR(__xludf.DUMMYFUNCTION("""COMPUTED_VALUE"""),"United States")</f>
        <v>United States</v>
      </c>
      <c r="E6106" s="135"/>
      <c r="F6106" s="31"/>
    </row>
    <row r="6107">
      <c r="A6107" s="134" t="str">
        <f>IFERROR(__xludf.DUMMYFUNCTION("""COMPUTED_VALUE"""),"Oceanic")</f>
        <v>Oceanic</v>
      </c>
      <c r="B6107" s="120" t="str">
        <f>IFERROR(__xludf.DUMMYFUNCTION("""COMPUTED_VALUE"""),"OCI")</f>
        <v>OCI</v>
      </c>
      <c r="C6107" s="120" t="str">
        <f>IFERROR(__xludf.DUMMYFUNCTION("""COMPUTED_VALUE"""),"Oceanic")</f>
        <v>Oceanic</v>
      </c>
      <c r="D6107" s="120" t="str">
        <f>IFERROR(__xludf.DUMMYFUNCTION("""COMPUTED_VALUE"""),"United States")</f>
        <v>United States</v>
      </c>
      <c r="E6107" s="135"/>
      <c r="F6107" s="31"/>
    </row>
    <row r="6108">
      <c r="A6108" s="134" t="str">
        <f>IFERROR(__xludf.DUMMYFUNCTION("""COMPUTED_VALUE"""),"Oceanside")</f>
        <v>Oceanside</v>
      </c>
      <c r="B6108" s="120" t="str">
        <f>IFERROR(__xludf.DUMMYFUNCTION("""COMPUTED_VALUE"""),"OCN")</f>
        <v>OCN</v>
      </c>
      <c r="C6108" s="120" t="str">
        <f>IFERROR(__xludf.DUMMYFUNCTION("""COMPUTED_VALUE"""),"Municipal")</f>
        <v>Municipal</v>
      </c>
      <c r="D6108" s="120" t="str">
        <f>IFERROR(__xludf.DUMMYFUNCTION("""COMPUTED_VALUE"""),"United States")</f>
        <v>United States</v>
      </c>
      <c r="E6108" s="135"/>
      <c r="F6108" s="31"/>
    </row>
    <row r="6109">
      <c r="A6109" s="134" t="str">
        <f>IFERROR(__xludf.DUMMYFUNCTION("""COMPUTED_VALUE"""),"Ocho Rios")</f>
        <v>Ocho Rios</v>
      </c>
      <c r="B6109" s="120" t="str">
        <f>IFERROR(__xludf.DUMMYFUNCTION("""COMPUTED_VALUE"""),"OCJ")</f>
        <v>OCJ</v>
      </c>
      <c r="C6109" s="120" t="str">
        <f>IFERROR(__xludf.DUMMYFUNCTION("""COMPUTED_VALUE"""),"Boscobel")</f>
        <v>Boscobel</v>
      </c>
      <c r="D6109" s="120" t="str">
        <f>IFERROR(__xludf.DUMMYFUNCTION("""COMPUTED_VALUE"""),"Jamaica")</f>
        <v>Jamaica</v>
      </c>
      <c r="E6109" s="135"/>
      <c r="F6109" s="31"/>
    </row>
    <row r="6110">
      <c r="A6110" s="134" t="str">
        <f>IFERROR(__xludf.DUMMYFUNCTION("""COMPUTED_VALUE"""),"Ocussi")</f>
        <v>Ocussi</v>
      </c>
      <c r="B6110" s="120" t="str">
        <f>IFERROR(__xludf.DUMMYFUNCTION("""COMPUTED_VALUE"""),"OEC")</f>
        <v>OEC</v>
      </c>
      <c r="C6110" s="120" t="str">
        <f>IFERROR(__xludf.DUMMYFUNCTION("""COMPUTED_VALUE"""),"Ocussi")</f>
        <v>Ocussi</v>
      </c>
      <c r="D6110" s="120" t="str">
        <f>IFERROR(__xludf.DUMMYFUNCTION("""COMPUTED_VALUE"""),"Indonesia")</f>
        <v>Indonesia</v>
      </c>
      <c r="E6110" s="135"/>
      <c r="F6110" s="31"/>
    </row>
    <row r="6111">
      <c r="A6111" s="134" t="str">
        <f>IFERROR(__xludf.DUMMYFUNCTION("""COMPUTED_VALUE"""),"Odate Noshiro")</f>
        <v>Odate Noshiro</v>
      </c>
      <c r="B6111" s="120" t="str">
        <f>IFERROR(__xludf.DUMMYFUNCTION("""COMPUTED_VALUE"""),"ONJ")</f>
        <v>ONJ</v>
      </c>
      <c r="C6111" s="120" t="str">
        <f>IFERROR(__xludf.DUMMYFUNCTION("""COMPUTED_VALUE"""),"Odate Noshiro")</f>
        <v>Odate Noshiro</v>
      </c>
      <c r="D6111" s="120" t="str">
        <f>IFERROR(__xludf.DUMMYFUNCTION("""COMPUTED_VALUE"""),"Japan")</f>
        <v>Japan</v>
      </c>
      <c r="E6111" s="135"/>
      <c r="F6111" s="31"/>
    </row>
    <row r="6112">
      <c r="A6112" s="134" t="str">
        <f>IFERROR(__xludf.DUMMYFUNCTION("""COMPUTED_VALUE"""),"Oddor Meanche")</f>
        <v>Oddor Meanche</v>
      </c>
      <c r="B6112" s="120" t="str">
        <f>IFERROR(__xludf.DUMMYFUNCTION("""COMPUTED_VALUE"""),"OMY")</f>
        <v>OMY</v>
      </c>
      <c r="C6112" s="120" t="str">
        <f>IFERROR(__xludf.DUMMYFUNCTION("""COMPUTED_VALUE"""),"Oddor Meanche")</f>
        <v>Oddor Meanche</v>
      </c>
      <c r="D6112" s="120" t="str">
        <f>IFERROR(__xludf.DUMMYFUNCTION("""COMPUTED_VALUE"""),"Cambodia")</f>
        <v>Cambodia</v>
      </c>
      <c r="E6112" s="135"/>
      <c r="F6112" s="31"/>
    </row>
    <row r="6113">
      <c r="A6113" s="134" t="str">
        <f>IFERROR(__xludf.DUMMYFUNCTION("""COMPUTED_VALUE"""),"Odense")</f>
        <v>Odense</v>
      </c>
      <c r="B6113" s="120" t="str">
        <f>IFERROR(__xludf.DUMMYFUNCTION("""COMPUTED_VALUE"""),"ODE")</f>
        <v>ODE</v>
      </c>
      <c r="C6113" s="120" t="str">
        <f>IFERROR(__xludf.DUMMYFUNCTION("""COMPUTED_VALUE"""),"Beldringe")</f>
        <v>Beldringe</v>
      </c>
      <c r="D6113" s="120" t="str">
        <f>IFERROR(__xludf.DUMMYFUNCTION("""COMPUTED_VALUE"""),"Denmark")</f>
        <v>Denmark</v>
      </c>
      <c r="E6113" s="135"/>
      <c r="F6113" s="31"/>
    </row>
    <row r="6114">
      <c r="A6114" s="134" t="str">
        <f>IFERROR(__xludf.DUMMYFUNCTION("""COMPUTED_VALUE"""),"Odessa")</f>
        <v>Odessa</v>
      </c>
      <c r="B6114" s="120" t="str">
        <f>IFERROR(__xludf.DUMMYFUNCTION("""COMPUTED_VALUE"""),"ODS")</f>
        <v>ODS</v>
      </c>
      <c r="C6114" s="120" t="str">
        <f>IFERROR(__xludf.DUMMYFUNCTION("""COMPUTED_VALUE"""),"Central")</f>
        <v>Central</v>
      </c>
      <c r="D6114" s="120" t="str">
        <f>IFERROR(__xludf.DUMMYFUNCTION("""COMPUTED_VALUE"""),"Ukraine")</f>
        <v>Ukraine</v>
      </c>
      <c r="E6114" s="135"/>
      <c r="F6114" s="31"/>
    </row>
    <row r="6115">
      <c r="A6115" s="134" t="str">
        <f>IFERROR(__xludf.DUMMYFUNCTION("""COMPUTED_VALUE"""),"Odienne")</f>
        <v>Odienne</v>
      </c>
      <c r="B6115" s="120" t="str">
        <f>IFERROR(__xludf.DUMMYFUNCTION("""COMPUTED_VALUE"""),"KEO")</f>
        <v>KEO</v>
      </c>
      <c r="C6115" s="120" t="str">
        <f>IFERROR(__xludf.DUMMYFUNCTION("""COMPUTED_VALUE"""),"Odienne")</f>
        <v>Odienne</v>
      </c>
      <c r="D6115" s="120" t="str">
        <f>IFERROR(__xludf.DUMMYFUNCTION("""COMPUTED_VALUE"""),"Cote D'Ivoire (Ivory Coast)")</f>
        <v>Cote D'Ivoire (Ivory Coast)</v>
      </c>
      <c r="E6115" s="135"/>
      <c r="F6115" s="31"/>
    </row>
    <row r="6116">
      <c r="A6116" s="134" t="str">
        <f>IFERROR(__xludf.DUMMYFUNCTION("""COMPUTED_VALUE"""),"Odiham")</f>
        <v>Odiham</v>
      </c>
      <c r="B6116" s="120" t="str">
        <f>IFERROR(__xludf.DUMMYFUNCTION("""COMPUTED_VALUE"""),"ODH")</f>
        <v>ODH</v>
      </c>
      <c r="C6116" s="120" t="str">
        <f>IFERROR(__xludf.DUMMYFUNCTION("""COMPUTED_VALUE"""),"RAF Station")</f>
        <v>RAF Station</v>
      </c>
      <c r="D6116" s="120" t="str">
        <f>IFERROR(__xludf.DUMMYFUNCTION("""COMPUTED_VALUE"""),"United Kingdom")</f>
        <v>United Kingdom</v>
      </c>
      <c r="E6116" s="135"/>
      <c r="F6116" s="31"/>
    </row>
    <row r="6117">
      <c r="A6117" s="134" t="str">
        <f>IFERROR(__xludf.DUMMYFUNCTION("""COMPUTED_VALUE"""),"Oenpelli")</f>
        <v>Oenpelli</v>
      </c>
      <c r="B6117" s="120" t="str">
        <f>IFERROR(__xludf.DUMMYFUNCTION("""COMPUTED_VALUE"""),"OPI")</f>
        <v>OPI</v>
      </c>
      <c r="C6117" s="120" t="str">
        <f>IFERROR(__xludf.DUMMYFUNCTION("""COMPUTED_VALUE"""),"Oenpelli")</f>
        <v>Oenpelli</v>
      </c>
      <c r="D6117" s="120" t="str">
        <f>IFERROR(__xludf.DUMMYFUNCTION("""COMPUTED_VALUE"""),"Australia")</f>
        <v>Australia</v>
      </c>
      <c r="E6117" s="135"/>
      <c r="F6117" s="31"/>
    </row>
    <row r="6118">
      <c r="A6118" s="134" t="str">
        <f>IFERROR(__xludf.DUMMYFUNCTION("""COMPUTED_VALUE"""),"Ofu")</f>
        <v>Ofu</v>
      </c>
      <c r="B6118" s="120" t="str">
        <f>IFERROR(__xludf.DUMMYFUNCTION("""COMPUTED_VALUE"""),"OFU")</f>
        <v>OFU</v>
      </c>
      <c r="C6118" s="120" t="str">
        <f>IFERROR(__xludf.DUMMYFUNCTION("""COMPUTED_VALUE"""),"Ofu")</f>
        <v>Ofu</v>
      </c>
      <c r="D6118" s="120" t="str">
        <f>IFERROR(__xludf.DUMMYFUNCTION("""COMPUTED_VALUE"""),"American Samoa")</f>
        <v>American Samoa</v>
      </c>
      <c r="E6118" s="135"/>
      <c r="F6118" s="31"/>
    </row>
    <row r="6119">
      <c r="A6119" s="134" t="str">
        <f>IFERROR(__xludf.DUMMYFUNCTION("""COMPUTED_VALUE"""),"Ogallala")</f>
        <v>Ogallala</v>
      </c>
      <c r="B6119" s="120" t="str">
        <f>IFERROR(__xludf.DUMMYFUNCTION("""COMPUTED_VALUE"""),"OGA")</f>
        <v>OGA</v>
      </c>
      <c r="C6119" s="120" t="str">
        <f>IFERROR(__xludf.DUMMYFUNCTION("""COMPUTED_VALUE"""),"Searle Field")</f>
        <v>Searle Field</v>
      </c>
      <c r="D6119" s="120" t="str">
        <f>IFERROR(__xludf.DUMMYFUNCTION("""COMPUTED_VALUE"""),"United States")</f>
        <v>United States</v>
      </c>
      <c r="E6119" s="135"/>
      <c r="F6119" s="31"/>
    </row>
    <row r="6120">
      <c r="A6120" s="134" t="str">
        <f>IFERROR(__xludf.DUMMYFUNCTION("""COMPUTED_VALUE"""),"Ogden")</f>
        <v>Ogden</v>
      </c>
      <c r="B6120" s="120" t="str">
        <f>IFERROR(__xludf.DUMMYFUNCTION("""COMPUTED_VALUE"""),"HIF")</f>
        <v>HIF</v>
      </c>
      <c r="C6120" s="120" t="str">
        <f>IFERROR(__xludf.DUMMYFUNCTION("""COMPUTED_VALUE"""),"Hill AFB")</f>
        <v>Hill AFB</v>
      </c>
      <c r="D6120" s="120" t="str">
        <f>IFERROR(__xludf.DUMMYFUNCTION("""COMPUTED_VALUE"""),"United States")</f>
        <v>United States</v>
      </c>
      <c r="E6120" s="135"/>
      <c r="F6120" s="31"/>
    </row>
    <row r="6121">
      <c r="A6121" s="134" t="str">
        <f>IFERROR(__xludf.DUMMYFUNCTION("""COMPUTED_VALUE"""),"Ogden")</f>
        <v>Ogden</v>
      </c>
      <c r="B6121" s="120" t="str">
        <f>IFERROR(__xludf.DUMMYFUNCTION("""COMPUTED_VALUE"""),"OGD")</f>
        <v>OGD</v>
      </c>
      <c r="C6121" s="120" t="str">
        <f>IFERROR(__xludf.DUMMYFUNCTION("""COMPUTED_VALUE"""),"Municipal")</f>
        <v>Municipal</v>
      </c>
      <c r="D6121" s="120" t="str">
        <f>IFERROR(__xludf.DUMMYFUNCTION("""COMPUTED_VALUE"""),"United States")</f>
        <v>United States</v>
      </c>
      <c r="E6121" s="135"/>
      <c r="F6121" s="31"/>
    </row>
    <row r="6122">
      <c r="A6122" s="134" t="str">
        <f>IFERROR(__xludf.DUMMYFUNCTION("""COMPUTED_VALUE"""),"Ogdensburg")</f>
        <v>Ogdensburg</v>
      </c>
      <c r="B6122" s="120" t="str">
        <f>IFERROR(__xludf.DUMMYFUNCTION("""COMPUTED_VALUE"""),"OGS")</f>
        <v>OGS</v>
      </c>
      <c r="C6122" s="120" t="str">
        <f>IFERROR(__xludf.DUMMYFUNCTION("""COMPUTED_VALUE"""),"Ogdensburg")</f>
        <v>Ogdensburg</v>
      </c>
      <c r="D6122" s="120" t="str">
        <f>IFERROR(__xludf.DUMMYFUNCTION("""COMPUTED_VALUE"""),"United States")</f>
        <v>United States</v>
      </c>
      <c r="E6122" s="135"/>
      <c r="F6122" s="31"/>
    </row>
    <row r="6123">
      <c r="A6123" s="134" t="str">
        <f>IFERROR(__xludf.DUMMYFUNCTION("""COMPUTED_VALUE"""),"Ogeranang")</f>
        <v>Ogeranang</v>
      </c>
      <c r="B6123" s="120" t="str">
        <f>IFERROR(__xludf.DUMMYFUNCTION("""COMPUTED_VALUE"""),"OGE")</f>
        <v>OGE</v>
      </c>
      <c r="C6123" s="120" t="str">
        <f>IFERROR(__xludf.DUMMYFUNCTION("""COMPUTED_VALUE"""),"Ogeranang")</f>
        <v>Ogeranang</v>
      </c>
      <c r="D6123" s="120" t="str">
        <f>IFERROR(__xludf.DUMMYFUNCTION("""COMPUTED_VALUE"""),"Papua New Guinea")</f>
        <v>Papua New Guinea</v>
      </c>
      <c r="E6123" s="135"/>
      <c r="F6123" s="31"/>
    </row>
    <row r="6124">
      <c r="A6124" s="134" t="str">
        <f>IFERROR(__xludf.DUMMYFUNCTION("""COMPUTED_VALUE"""),"Ogle")</f>
        <v>Ogle</v>
      </c>
      <c r="B6124" s="120" t="str">
        <f>IFERROR(__xludf.DUMMYFUNCTION("""COMPUTED_VALUE"""),"OGL")</f>
        <v>OGL</v>
      </c>
      <c r="C6124" s="120" t="str">
        <f>IFERROR(__xludf.DUMMYFUNCTION("""COMPUTED_VALUE"""),"Ogle")</f>
        <v>Ogle</v>
      </c>
      <c r="D6124" s="120" t="str">
        <f>IFERROR(__xludf.DUMMYFUNCTION("""COMPUTED_VALUE"""),"Guyana")</f>
        <v>Guyana</v>
      </c>
      <c r="E6124" s="135"/>
      <c r="F6124" s="31"/>
    </row>
    <row r="6125">
      <c r="A6125" s="134" t="str">
        <f>IFERROR(__xludf.DUMMYFUNCTION("""COMPUTED_VALUE"""),"Ogoki")</f>
        <v>Ogoki</v>
      </c>
      <c r="B6125" s="120" t="str">
        <f>IFERROR(__xludf.DUMMYFUNCTION("""COMPUTED_VALUE"""),"YOG")</f>
        <v>YOG</v>
      </c>
      <c r="C6125" s="120" t="str">
        <f>IFERROR(__xludf.DUMMYFUNCTION("""COMPUTED_VALUE"""),"Ogoki")</f>
        <v>Ogoki</v>
      </c>
      <c r="D6125" s="120" t="str">
        <f>IFERROR(__xludf.DUMMYFUNCTION("""COMPUTED_VALUE"""),"Canada")</f>
        <v>Canada</v>
      </c>
      <c r="E6125" s="135"/>
      <c r="F6125" s="31"/>
    </row>
    <row r="6126">
      <c r="A6126" s="134" t="str">
        <f>IFERROR(__xludf.DUMMYFUNCTION("""COMPUTED_VALUE"""),"Ohakea")</f>
        <v>Ohakea</v>
      </c>
      <c r="B6126" s="120" t="str">
        <f>IFERROR(__xludf.DUMMYFUNCTION("""COMPUTED_VALUE"""),"OHA")</f>
        <v>OHA</v>
      </c>
      <c r="C6126" s="120" t="str">
        <f>IFERROR(__xludf.DUMMYFUNCTION("""COMPUTED_VALUE"""),"Royal Air Force Base")</f>
        <v>Royal Air Force Base</v>
      </c>
      <c r="D6126" s="120" t="str">
        <f>IFERROR(__xludf.DUMMYFUNCTION("""COMPUTED_VALUE"""),"New Zealand (Aotearoa)")</f>
        <v>New Zealand (Aotearoa)</v>
      </c>
      <c r="E6126" s="135"/>
      <c r="F6126" s="31"/>
    </row>
    <row r="6127">
      <c r="A6127" s="134" t="str">
        <f>IFERROR(__xludf.DUMMYFUNCTION("""COMPUTED_VALUE"""),"Ohrid")</f>
        <v>Ohrid</v>
      </c>
      <c r="B6127" s="120" t="str">
        <f>IFERROR(__xludf.DUMMYFUNCTION("""COMPUTED_VALUE"""),"OHD")</f>
        <v>OHD</v>
      </c>
      <c r="C6127" s="120" t="str">
        <f>IFERROR(__xludf.DUMMYFUNCTION("""COMPUTED_VALUE"""),"Ohrid")</f>
        <v>Ohrid</v>
      </c>
      <c r="D6127" s="120" t="str">
        <f>IFERROR(__xludf.DUMMYFUNCTION("""COMPUTED_VALUE"""),"Macedonia")</f>
        <v>Macedonia</v>
      </c>
      <c r="E6127" s="135"/>
      <c r="F6127" s="31"/>
    </row>
    <row r="6128">
      <c r="A6128" s="134" t="str">
        <f>IFERROR(__xludf.DUMMYFUNCTION("""COMPUTED_VALUE"""),"Oiapoque")</f>
        <v>Oiapoque</v>
      </c>
      <c r="B6128" s="120" t="str">
        <f>IFERROR(__xludf.DUMMYFUNCTION("""COMPUTED_VALUE"""),"OYK")</f>
        <v>OYK</v>
      </c>
      <c r="C6128" s="120" t="str">
        <f>IFERROR(__xludf.DUMMYFUNCTION("""COMPUTED_VALUE"""),"Oiapoque")</f>
        <v>Oiapoque</v>
      </c>
      <c r="D6128" s="120" t="str">
        <f>IFERROR(__xludf.DUMMYFUNCTION("""COMPUTED_VALUE"""),"Brazil")</f>
        <v>Brazil</v>
      </c>
      <c r="E6128" s="135"/>
      <c r="F6128" s="31"/>
    </row>
    <row r="6129">
      <c r="A6129" s="134" t="str">
        <f>IFERROR(__xludf.DUMMYFUNCTION("""COMPUTED_VALUE"""),"Oil City")</f>
        <v>Oil City</v>
      </c>
      <c r="B6129" s="120" t="str">
        <f>IFERROR(__xludf.DUMMYFUNCTION("""COMPUTED_VALUE"""),"OIL")</f>
        <v>OIL</v>
      </c>
      <c r="C6129" s="120" t="str">
        <f>IFERROR(__xludf.DUMMYFUNCTION("""COMPUTED_VALUE"""),"Splane Memorial")</f>
        <v>Splane Memorial</v>
      </c>
      <c r="D6129" s="120" t="str">
        <f>IFERROR(__xludf.DUMMYFUNCTION("""COMPUTED_VALUE"""),"United States")</f>
        <v>United States</v>
      </c>
      <c r="E6129" s="135"/>
      <c r="F6129" s="31"/>
    </row>
    <row r="6130">
      <c r="A6130" s="134" t="str">
        <f>IFERROR(__xludf.DUMMYFUNCTION("""COMPUTED_VALUE"""),"Oita")</f>
        <v>Oita</v>
      </c>
      <c r="B6130" s="120" t="str">
        <f>IFERROR(__xludf.DUMMYFUNCTION("""COMPUTED_VALUE"""),"OIT")</f>
        <v>OIT</v>
      </c>
      <c r="C6130" s="120" t="str">
        <f>IFERROR(__xludf.DUMMYFUNCTION("""COMPUTED_VALUE"""),"Oita")</f>
        <v>Oita</v>
      </c>
      <c r="D6130" s="120" t="str">
        <f>IFERROR(__xludf.DUMMYFUNCTION("""COMPUTED_VALUE"""),"Japan")</f>
        <v>Japan</v>
      </c>
      <c r="E6130" s="135"/>
      <c r="F6130" s="31"/>
    </row>
    <row r="6131">
      <c r="A6131" s="134" t="str">
        <f>IFERROR(__xludf.DUMMYFUNCTION("""COMPUTED_VALUE"""),"Okaba")</f>
        <v>Okaba</v>
      </c>
      <c r="B6131" s="120" t="str">
        <f>IFERROR(__xludf.DUMMYFUNCTION("""COMPUTED_VALUE"""),"OKQ")</f>
        <v>OKQ</v>
      </c>
      <c r="C6131" s="120" t="str">
        <f>IFERROR(__xludf.DUMMYFUNCTION("""COMPUTED_VALUE"""),"Okaba")</f>
        <v>Okaba</v>
      </c>
      <c r="D6131" s="120" t="str">
        <f>IFERROR(__xludf.DUMMYFUNCTION("""COMPUTED_VALUE"""),"Indonesia")</f>
        <v>Indonesia</v>
      </c>
      <c r="E6131" s="135"/>
      <c r="F6131" s="31"/>
    </row>
    <row r="6132">
      <c r="A6132" s="134" t="str">
        <f>IFERROR(__xludf.DUMMYFUNCTION("""COMPUTED_VALUE"""),"Okao")</f>
        <v>Okao</v>
      </c>
      <c r="B6132" s="120" t="str">
        <f>IFERROR(__xludf.DUMMYFUNCTION("""COMPUTED_VALUE"""),"OKV")</f>
        <v>OKV</v>
      </c>
      <c r="C6132" s="120" t="str">
        <f>IFERROR(__xludf.DUMMYFUNCTION("""COMPUTED_VALUE"""),"Okao")</f>
        <v>Okao</v>
      </c>
      <c r="D6132" s="120" t="str">
        <f>IFERROR(__xludf.DUMMYFUNCTION("""COMPUTED_VALUE"""),"Papua New Guinea")</f>
        <v>Papua New Guinea</v>
      </c>
      <c r="E6132" s="135"/>
      <c r="F6132" s="31"/>
    </row>
    <row r="6133">
      <c r="A6133" s="134" t="str">
        <f>IFERROR(__xludf.DUMMYFUNCTION("""COMPUTED_VALUE"""),"Okaukuejo")</f>
        <v>Okaukuejo</v>
      </c>
      <c r="B6133" s="120" t="str">
        <f>IFERROR(__xludf.DUMMYFUNCTION("""COMPUTED_VALUE"""),"OKF")</f>
        <v>OKF</v>
      </c>
      <c r="C6133" s="120" t="str">
        <f>IFERROR(__xludf.DUMMYFUNCTION("""COMPUTED_VALUE"""),"Okaukuejo")</f>
        <v>Okaukuejo</v>
      </c>
      <c r="D6133" s="120" t="str">
        <f>IFERROR(__xludf.DUMMYFUNCTION("""COMPUTED_VALUE"""),"Namibia")</f>
        <v>Namibia</v>
      </c>
      <c r="E6133" s="135"/>
      <c r="F6133" s="31"/>
    </row>
    <row r="6134">
      <c r="A6134" s="134" t="str">
        <f>IFERROR(__xludf.DUMMYFUNCTION("""COMPUTED_VALUE"""),"Okayama")</f>
        <v>Okayama</v>
      </c>
      <c r="B6134" s="120" t="str">
        <f>IFERROR(__xludf.DUMMYFUNCTION("""COMPUTED_VALUE"""),"OKJ")</f>
        <v>OKJ</v>
      </c>
      <c r="C6134" s="120" t="str">
        <f>IFERROR(__xludf.DUMMYFUNCTION("""COMPUTED_VALUE"""),"Okayama")</f>
        <v>Okayama</v>
      </c>
      <c r="D6134" s="120" t="str">
        <f>IFERROR(__xludf.DUMMYFUNCTION("""COMPUTED_VALUE"""),"Japan")</f>
        <v>Japan</v>
      </c>
      <c r="E6134" s="135"/>
      <c r="F6134" s="31"/>
    </row>
    <row r="6135">
      <c r="A6135" s="134" t="str">
        <f>IFERROR(__xludf.DUMMYFUNCTION("""COMPUTED_VALUE"""),"Okeechobee")</f>
        <v>Okeechobee</v>
      </c>
      <c r="B6135" s="120" t="str">
        <f>IFERROR(__xludf.DUMMYFUNCTION("""COMPUTED_VALUE"""),"OBE")</f>
        <v>OBE</v>
      </c>
      <c r="C6135" s="120" t="str">
        <f>IFERROR(__xludf.DUMMYFUNCTION("""COMPUTED_VALUE"""),"County")</f>
        <v>County</v>
      </c>
      <c r="D6135" s="120" t="str">
        <f>IFERROR(__xludf.DUMMYFUNCTION("""COMPUTED_VALUE"""),"United States")</f>
        <v>United States</v>
      </c>
      <c r="E6135" s="135"/>
      <c r="F6135" s="31"/>
    </row>
    <row r="6136">
      <c r="A6136" s="134" t="str">
        <f>IFERROR(__xludf.DUMMYFUNCTION("""COMPUTED_VALUE"""),"Okhotsk")</f>
        <v>Okhotsk</v>
      </c>
      <c r="B6136" s="120" t="str">
        <f>IFERROR(__xludf.DUMMYFUNCTION("""COMPUTED_VALUE"""),"OHO")</f>
        <v>OHO</v>
      </c>
      <c r="C6136" s="120" t="str">
        <f>IFERROR(__xludf.DUMMYFUNCTION("""COMPUTED_VALUE"""),"Okhotsk")</f>
        <v>Okhotsk</v>
      </c>
      <c r="D6136" s="120" t="str">
        <f>IFERROR(__xludf.DUMMYFUNCTION("""COMPUTED_VALUE"""),"Russia")</f>
        <v>Russia</v>
      </c>
      <c r="E6136" s="135"/>
      <c r="F6136" s="31"/>
    </row>
    <row r="6137">
      <c r="A6137" s="134" t="str">
        <f>IFERROR(__xludf.DUMMYFUNCTION("""COMPUTED_VALUE"""),"Oki Island")</f>
        <v>Oki Island</v>
      </c>
      <c r="B6137" s="120" t="str">
        <f>IFERROR(__xludf.DUMMYFUNCTION("""COMPUTED_VALUE"""),"OKI")</f>
        <v>OKI</v>
      </c>
      <c r="C6137" s="120" t="str">
        <f>IFERROR(__xludf.DUMMYFUNCTION("""COMPUTED_VALUE"""),"Oki Island")</f>
        <v>Oki Island</v>
      </c>
      <c r="D6137" s="120" t="str">
        <f>IFERROR(__xludf.DUMMYFUNCTION("""COMPUTED_VALUE"""),"Japan")</f>
        <v>Japan</v>
      </c>
      <c r="E6137" s="135"/>
      <c r="F6137" s="31"/>
    </row>
    <row r="6138">
      <c r="A6138" s="134" t="str">
        <f>IFERROR(__xludf.DUMMYFUNCTION("""COMPUTED_VALUE"""),"Okinawa")</f>
        <v>Okinawa</v>
      </c>
      <c r="B6138" s="120" t="str">
        <f>IFERROR(__xludf.DUMMYFUNCTION("""COMPUTED_VALUE"""),"DNA")</f>
        <v>DNA</v>
      </c>
      <c r="C6138" s="120" t="str">
        <f>IFERROR(__xludf.DUMMYFUNCTION("""COMPUTED_VALUE"""),"Kadena AFB")</f>
        <v>Kadena AFB</v>
      </c>
      <c r="D6138" s="120" t="str">
        <f>IFERROR(__xludf.DUMMYFUNCTION("""COMPUTED_VALUE"""),"Japan")</f>
        <v>Japan</v>
      </c>
      <c r="E6138" s="135"/>
      <c r="F6138" s="31"/>
    </row>
    <row r="6139">
      <c r="A6139" s="134" t="str">
        <f>IFERROR(__xludf.DUMMYFUNCTION("""COMPUTED_VALUE"""),"Okinawa")</f>
        <v>Okinawa</v>
      </c>
      <c r="B6139" s="120" t="str">
        <f>IFERROR(__xludf.DUMMYFUNCTION("""COMPUTED_VALUE"""),"OKA")</f>
        <v>OKA</v>
      </c>
      <c r="C6139" s="120" t="str">
        <f>IFERROR(__xludf.DUMMYFUNCTION("""COMPUTED_VALUE"""),"Naha")</f>
        <v>Naha</v>
      </c>
      <c r="D6139" s="120" t="str">
        <f>IFERROR(__xludf.DUMMYFUNCTION("""COMPUTED_VALUE"""),"Japan")</f>
        <v>Japan</v>
      </c>
      <c r="E6139" s="135"/>
      <c r="F6139" s="31"/>
    </row>
    <row r="6140">
      <c r="A6140" s="134" t="str">
        <f>IFERROR(__xludf.DUMMYFUNCTION("""COMPUTED_VALUE"""),"Okinawa")</f>
        <v>Okinawa</v>
      </c>
      <c r="B6140" s="120" t="str">
        <f>IFERROR(__xludf.DUMMYFUNCTION("""COMPUTED_VALUE"""),"AHA")</f>
        <v>AHA</v>
      </c>
      <c r="C6140" s="120" t="str">
        <f>IFERROR(__xludf.DUMMYFUNCTION("""COMPUTED_VALUE"""),"Naha AFB")</f>
        <v>Naha AFB</v>
      </c>
      <c r="D6140" s="120" t="str">
        <f>IFERROR(__xludf.DUMMYFUNCTION("""COMPUTED_VALUE"""),"Japan")</f>
        <v>Japan</v>
      </c>
      <c r="E6140" s="135"/>
      <c r="F6140" s="31"/>
    </row>
    <row r="6141">
      <c r="A6141" s="134" t="str">
        <f>IFERROR(__xludf.DUMMYFUNCTION("""COMPUTED_VALUE"""),"Okino Erabu")</f>
        <v>Okino Erabu</v>
      </c>
      <c r="B6141" s="120" t="str">
        <f>IFERROR(__xludf.DUMMYFUNCTION("""COMPUTED_VALUE"""),"OKE")</f>
        <v>OKE</v>
      </c>
      <c r="C6141" s="120" t="str">
        <f>IFERROR(__xludf.DUMMYFUNCTION("""COMPUTED_VALUE"""),"Okino Erabu")</f>
        <v>Okino Erabu</v>
      </c>
      <c r="D6141" s="120" t="str">
        <f>IFERROR(__xludf.DUMMYFUNCTION("""COMPUTED_VALUE"""),"Japan")</f>
        <v>Japan</v>
      </c>
      <c r="E6141" s="135"/>
      <c r="F6141" s="31"/>
    </row>
    <row r="6142">
      <c r="A6142" s="134" t="str">
        <f>IFERROR(__xludf.DUMMYFUNCTION("""COMPUTED_VALUE"""),"Oklahoma City")</f>
        <v>Oklahoma City</v>
      </c>
      <c r="B6142" s="120" t="str">
        <f>IFERROR(__xludf.DUMMYFUNCTION("""COMPUTED_VALUE"""),"DWN")</f>
        <v>DWN</v>
      </c>
      <c r="C6142" s="120" t="str">
        <f>IFERROR(__xludf.DUMMYFUNCTION("""COMPUTED_VALUE"""),"Downtown Airpark")</f>
        <v>Downtown Airpark</v>
      </c>
      <c r="D6142" s="120" t="str">
        <f>IFERROR(__xludf.DUMMYFUNCTION("""COMPUTED_VALUE"""),"United States")</f>
        <v>United States</v>
      </c>
      <c r="E6142" s="135"/>
      <c r="F6142" s="31"/>
    </row>
    <row r="6143">
      <c r="A6143" s="134" t="str">
        <f>IFERROR(__xludf.DUMMYFUNCTION("""COMPUTED_VALUE"""),"Oklahoma City")</f>
        <v>Oklahoma City</v>
      </c>
      <c r="B6143" s="120" t="str">
        <f>IFERROR(__xludf.DUMMYFUNCTION("""COMPUTED_VALUE"""),"TIK")</f>
        <v>TIK</v>
      </c>
      <c r="C6143" s="120" t="str">
        <f>IFERROR(__xludf.DUMMYFUNCTION("""COMPUTED_VALUE"""),"Tinker AFB")</f>
        <v>Tinker AFB</v>
      </c>
      <c r="D6143" s="120" t="str">
        <f>IFERROR(__xludf.DUMMYFUNCTION("""COMPUTED_VALUE"""),"United States")</f>
        <v>United States</v>
      </c>
      <c r="E6143" s="135"/>
      <c r="F6143" s="31"/>
    </row>
    <row r="6144">
      <c r="A6144" s="134" t="str">
        <f>IFERROR(__xludf.DUMMYFUNCTION("""COMPUTED_VALUE"""),"Oklahoma City")</f>
        <v>Oklahoma City</v>
      </c>
      <c r="B6144" s="120" t="str">
        <f>IFERROR(__xludf.DUMMYFUNCTION("""COMPUTED_VALUE"""),"PWA")</f>
        <v>PWA</v>
      </c>
      <c r="C6144" s="120" t="str">
        <f>IFERROR(__xludf.DUMMYFUNCTION("""COMPUTED_VALUE"""),"Wiley Post")</f>
        <v>Wiley Post</v>
      </c>
      <c r="D6144" s="120" t="str">
        <f>IFERROR(__xludf.DUMMYFUNCTION("""COMPUTED_VALUE"""),"United States")</f>
        <v>United States</v>
      </c>
      <c r="E6144" s="135"/>
      <c r="F6144" s="31"/>
    </row>
    <row r="6145">
      <c r="A6145" s="134" t="str">
        <f>IFERROR(__xludf.DUMMYFUNCTION("""COMPUTED_VALUE"""),"Oklahoma City")</f>
        <v>Oklahoma City</v>
      </c>
      <c r="B6145" s="120" t="str">
        <f>IFERROR(__xludf.DUMMYFUNCTION("""COMPUTED_VALUE"""),"OKC")</f>
        <v>OKC</v>
      </c>
      <c r="C6145" s="120" t="str">
        <f>IFERROR(__xludf.DUMMYFUNCTION("""COMPUTED_VALUE"""),"Will Rogers World")</f>
        <v>Will Rogers World</v>
      </c>
      <c r="D6145" s="120" t="str">
        <f>IFERROR(__xludf.DUMMYFUNCTION("""COMPUTED_VALUE"""),"United States")</f>
        <v>United States</v>
      </c>
      <c r="E6145" s="135"/>
      <c r="F6145" s="31"/>
    </row>
    <row r="6146">
      <c r="A6146" s="134" t="str">
        <f>IFERROR(__xludf.DUMMYFUNCTION("""COMPUTED_VALUE"""),"Okmulgee")</f>
        <v>Okmulgee</v>
      </c>
      <c r="B6146" s="120" t="str">
        <f>IFERROR(__xludf.DUMMYFUNCTION("""COMPUTED_VALUE"""),"OKM")</f>
        <v>OKM</v>
      </c>
      <c r="C6146" s="120" t="str">
        <f>IFERROR(__xludf.DUMMYFUNCTION("""COMPUTED_VALUE"""),"Okmulgee")</f>
        <v>Okmulgee</v>
      </c>
      <c r="D6146" s="120" t="str">
        <f>IFERROR(__xludf.DUMMYFUNCTION("""COMPUTED_VALUE"""),"United States")</f>
        <v>United States</v>
      </c>
      <c r="E6146" s="135"/>
      <c r="F6146" s="31"/>
    </row>
    <row r="6147">
      <c r="A6147" s="134" t="str">
        <f>IFERROR(__xludf.DUMMYFUNCTION("""COMPUTED_VALUE"""),"Okondja")</f>
        <v>Okondja</v>
      </c>
      <c r="B6147" s="120" t="str">
        <f>IFERROR(__xludf.DUMMYFUNCTION("""COMPUTED_VALUE"""),"OKN")</f>
        <v>OKN</v>
      </c>
      <c r="C6147" s="120" t="str">
        <f>IFERROR(__xludf.DUMMYFUNCTION("""COMPUTED_VALUE"""),"Okondja")</f>
        <v>Okondja</v>
      </c>
      <c r="D6147" s="120" t="str">
        <f>IFERROR(__xludf.DUMMYFUNCTION("""COMPUTED_VALUE"""),"Gabon")</f>
        <v>Gabon</v>
      </c>
      <c r="E6147" s="135"/>
      <c r="F6147" s="31"/>
    </row>
    <row r="6148">
      <c r="A6148" s="134" t="str">
        <f>IFERROR(__xludf.DUMMYFUNCTION("""COMPUTED_VALUE"""),"Okoyo")</f>
        <v>Okoyo</v>
      </c>
      <c r="B6148" s="120" t="str">
        <f>IFERROR(__xludf.DUMMYFUNCTION("""COMPUTED_VALUE"""),"OKG")</f>
        <v>OKG</v>
      </c>
      <c r="C6148" s="120" t="str">
        <f>IFERROR(__xludf.DUMMYFUNCTION("""COMPUTED_VALUE"""),"Okoyo")</f>
        <v>Okoyo</v>
      </c>
      <c r="D6148" s="120" t="str">
        <f>IFERROR(__xludf.DUMMYFUNCTION("""COMPUTED_VALUE"""),"Congo")</f>
        <v>Congo</v>
      </c>
      <c r="E6148" s="135"/>
      <c r="F6148" s="31"/>
    </row>
    <row r="6149">
      <c r="A6149" s="134" t="str">
        <f>IFERROR(__xludf.DUMMYFUNCTION("""COMPUTED_VALUE"""),"Oksapmin")</f>
        <v>Oksapmin</v>
      </c>
      <c r="B6149" s="120" t="str">
        <f>IFERROR(__xludf.DUMMYFUNCTION("""COMPUTED_VALUE"""),"OKP")</f>
        <v>OKP</v>
      </c>
      <c r="C6149" s="120" t="str">
        <f>IFERROR(__xludf.DUMMYFUNCTION("""COMPUTED_VALUE"""),"Oksapmin")</f>
        <v>Oksapmin</v>
      </c>
      <c r="D6149" s="120" t="str">
        <f>IFERROR(__xludf.DUMMYFUNCTION("""COMPUTED_VALUE"""),"Papua New Guinea")</f>
        <v>Papua New Guinea</v>
      </c>
      <c r="E6149" s="135"/>
      <c r="F6149" s="31"/>
    </row>
    <row r="6150">
      <c r="A6150" s="134" t="str">
        <f>IFERROR(__xludf.DUMMYFUNCTION("""COMPUTED_VALUE"""),"Oksibil")</f>
        <v>Oksibil</v>
      </c>
      <c r="B6150" s="120" t="str">
        <f>IFERROR(__xludf.DUMMYFUNCTION("""COMPUTED_VALUE"""),"OKL")</f>
        <v>OKL</v>
      </c>
      <c r="C6150" s="120" t="str">
        <f>IFERROR(__xludf.DUMMYFUNCTION("""COMPUTED_VALUE"""),"Oksibil")</f>
        <v>Oksibil</v>
      </c>
      <c r="D6150" s="120" t="str">
        <f>IFERROR(__xludf.DUMMYFUNCTION("""COMPUTED_VALUE"""),"Indonesia")</f>
        <v>Indonesia</v>
      </c>
      <c r="E6150" s="135"/>
      <c r="F6150" s="31"/>
    </row>
    <row r="6151">
      <c r="A6151" s="134" t="str">
        <f>IFERROR(__xludf.DUMMYFUNCTION("""COMPUTED_VALUE"""),"Oktiabrskij")</f>
        <v>Oktiabrskij</v>
      </c>
      <c r="B6151" s="120" t="str">
        <f>IFERROR(__xludf.DUMMYFUNCTION("""COMPUTED_VALUE"""),"OKT")</f>
        <v>OKT</v>
      </c>
      <c r="C6151" s="120" t="str">
        <f>IFERROR(__xludf.DUMMYFUNCTION("""COMPUTED_VALUE"""),"Oktiabrskij")</f>
        <v>Oktiabrskij</v>
      </c>
      <c r="D6151" s="120" t="str">
        <f>IFERROR(__xludf.DUMMYFUNCTION("""COMPUTED_VALUE"""),"Russia")</f>
        <v>Russia</v>
      </c>
      <c r="E6151" s="135"/>
      <c r="F6151" s="31"/>
    </row>
    <row r="6152">
      <c r="A6152" s="134" t="str">
        <f>IFERROR(__xludf.DUMMYFUNCTION("""COMPUTED_VALUE"""),"Okushiri")</f>
        <v>Okushiri</v>
      </c>
      <c r="B6152" s="120" t="str">
        <f>IFERROR(__xludf.DUMMYFUNCTION("""COMPUTED_VALUE"""),"OIR")</f>
        <v>OIR</v>
      </c>
      <c r="C6152" s="120" t="str">
        <f>IFERROR(__xludf.DUMMYFUNCTION("""COMPUTED_VALUE"""),"Okushiri")</f>
        <v>Okushiri</v>
      </c>
      <c r="D6152" s="120" t="str">
        <f>IFERROR(__xludf.DUMMYFUNCTION("""COMPUTED_VALUE"""),"Japan")</f>
        <v>Japan</v>
      </c>
      <c r="E6152" s="135"/>
      <c r="F6152" s="31"/>
    </row>
    <row r="6153">
      <c r="A6153" s="134" t="str">
        <f>IFERROR(__xludf.DUMMYFUNCTION("""COMPUTED_VALUE"""),"Olafsfjordur")</f>
        <v>Olafsfjordur</v>
      </c>
      <c r="B6153" s="120" t="str">
        <f>IFERROR(__xludf.DUMMYFUNCTION("""COMPUTED_VALUE"""),"OFJ")</f>
        <v>OFJ</v>
      </c>
      <c r="C6153" s="120" t="str">
        <f>IFERROR(__xludf.DUMMYFUNCTION("""COMPUTED_VALUE"""),"Olafsfjordur")</f>
        <v>Olafsfjordur</v>
      </c>
      <c r="D6153" s="120" t="str">
        <f>IFERROR(__xludf.DUMMYFUNCTION("""COMPUTED_VALUE"""),"Iceland")</f>
        <v>Iceland</v>
      </c>
      <c r="E6153" s="135"/>
      <c r="F6153" s="31"/>
    </row>
    <row r="6154">
      <c r="A6154" s="134" t="str">
        <f>IFERROR(__xludf.DUMMYFUNCTION("""COMPUTED_VALUE"""),"Olafsvik")</f>
        <v>Olafsvik</v>
      </c>
      <c r="B6154" s="120" t="str">
        <f>IFERROR(__xludf.DUMMYFUNCTION("""COMPUTED_VALUE"""),"OLI")</f>
        <v>OLI</v>
      </c>
      <c r="C6154" s="120" t="str">
        <f>IFERROR(__xludf.DUMMYFUNCTION("""COMPUTED_VALUE"""),"Rif")</f>
        <v>Rif</v>
      </c>
      <c r="D6154" s="120" t="str">
        <f>IFERROR(__xludf.DUMMYFUNCTION("""COMPUTED_VALUE"""),"Iceland")</f>
        <v>Iceland</v>
      </c>
      <c r="E6154" s="135"/>
      <c r="F6154" s="31"/>
    </row>
    <row r="6155">
      <c r="A6155" s="134" t="str">
        <f>IFERROR(__xludf.DUMMYFUNCTION("""COMPUTED_VALUE"""),"Olanchito")</f>
        <v>Olanchito</v>
      </c>
      <c r="B6155" s="120" t="str">
        <f>IFERROR(__xludf.DUMMYFUNCTION("""COMPUTED_VALUE"""),"OAN")</f>
        <v>OAN</v>
      </c>
      <c r="C6155" s="120" t="str">
        <f>IFERROR(__xludf.DUMMYFUNCTION("""COMPUTED_VALUE"""),"Olanchito")</f>
        <v>Olanchito</v>
      </c>
      <c r="D6155" s="120" t="str">
        <f>IFERROR(__xludf.DUMMYFUNCTION("""COMPUTED_VALUE"""),"Honduras")</f>
        <v>Honduras</v>
      </c>
      <c r="E6155" s="135"/>
      <c r="F6155" s="31"/>
    </row>
    <row r="6156">
      <c r="A6156" s="134" t="str">
        <f>IFERROR(__xludf.DUMMYFUNCTION("""COMPUTED_VALUE"""),"Olavarria")</f>
        <v>Olavarria</v>
      </c>
      <c r="B6156" s="120" t="str">
        <f>IFERROR(__xludf.DUMMYFUNCTION("""COMPUTED_VALUE"""),"OVR")</f>
        <v>OVR</v>
      </c>
      <c r="C6156" s="120" t="str">
        <f>IFERROR(__xludf.DUMMYFUNCTION("""COMPUTED_VALUE"""),"Olavarria")</f>
        <v>Olavarria</v>
      </c>
      <c r="D6156" s="120" t="str">
        <f>IFERROR(__xludf.DUMMYFUNCTION("""COMPUTED_VALUE"""),"Argentina")</f>
        <v>Argentina</v>
      </c>
      <c r="E6156" s="135"/>
      <c r="F6156" s="31"/>
    </row>
    <row r="6157">
      <c r="A6157" s="134" t="str">
        <f>IFERROR(__xludf.DUMMYFUNCTION("""COMPUTED_VALUE"""),"Olbia")</f>
        <v>Olbia</v>
      </c>
      <c r="B6157" s="120" t="str">
        <f>IFERROR(__xludf.DUMMYFUNCTION("""COMPUTED_VALUE"""),"OLB")</f>
        <v>OLB</v>
      </c>
      <c r="C6157" s="120" t="str">
        <f>IFERROR(__xludf.DUMMYFUNCTION("""COMPUTED_VALUE"""),"Costa Smeralda")</f>
        <v>Costa Smeralda</v>
      </c>
      <c r="D6157" s="120" t="str">
        <f>IFERROR(__xludf.DUMMYFUNCTION("""COMPUTED_VALUE"""),"Italy")</f>
        <v>Italy</v>
      </c>
      <c r="E6157" s="135"/>
      <c r="F6157" s="31"/>
    </row>
    <row r="6158">
      <c r="A6158" s="134" t="str">
        <f>IFERROR(__xludf.DUMMYFUNCTION("""COMPUTED_VALUE"""),"Old Crow")</f>
        <v>Old Crow</v>
      </c>
      <c r="B6158" s="120" t="str">
        <f>IFERROR(__xludf.DUMMYFUNCTION("""COMPUTED_VALUE"""),"YOC")</f>
        <v>YOC</v>
      </c>
      <c r="C6158" s="120" t="str">
        <f>IFERROR(__xludf.DUMMYFUNCTION("""COMPUTED_VALUE"""),"Old Crow")</f>
        <v>Old Crow</v>
      </c>
      <c r="D6158" s="120" t="str">
        <f>IFERROR(__xludf.DUMMYFUNCTION("""COMPUTED_VALUE"""),"Canada")</f>
        <v>Canada</v>
      </c>
      <c r="E6158" s="135"/>
      <c r="F6158" s="31"/>
    </row>
    <row r="6159">
      <c r="A6159" s="134" t="str">
        <f>IFERROR(__xludf.DUMMYFUNCTION("""COMPUTED_VALUE"""),"Old Fort Bay")</f>
        <v>Old Fort Bay</v>
      </c>
      <c r="B6159" s="120" t="str">
        <f>IFERROR(__xludf.DUMMYFUNCTION("""COMPUTED_VALUE"""),"ZFB")</f>
        <v>ZFB</v>
      </c>
      <c r="C6159" s="120" t="str">
        <f>IFERROR(__xludf.DUMMYFUNCTION("""COMPUTED_VALUE"""),"Old Fort Bay")</f>
        <v>Old Fort Bay</v>
      </c>
      <c r="D6159" s="120" t="str">
        <f>IFERROR(__xludf.DUMMYFUNCTION("""COMPUTED_VALUE"""),"Canada")</f>
        <v>Canada</v>
      </c>
      <c r="E6159" s="135"/>
      <c r="F6159" s="31"/>
    </row>
    <row r="6160">
      <c r="A6160" s="134" t="str">
        <f>IFERROR(__xludf.DUMMYFUNCTION("""COMPUTED_VALUE"""),"Old Harbor")</f>
        <v>Old Harbor</v>
      </c>
      <c r="B6160" s="120" t="str">
        <f>IFERROR(__xludf.DUMMYFUNCTION("""COMPUTED_VALUE"""),"OLH")</f>
        <v>OLH</v>
      </c>
      <c r="C6160" s="120" t="str">
        <f>IFERROR(__xludf.DUMMYFUNCTION("""COMPUTED_VALUE"""),"Old Harbor SPB")</f>
        <v>Old Harbor SPB</v>
      </c>
      <c r="D6160" s="120" t="str">
        <f>IFERROR(__xludf.DUMMYFUNCTION("""COMPUTED_VALUE"""),"United States")</f>
        <v>United States</v>
      </c>
      <c r="E6160" s="135"/>
      <c r="F6160" s="31"/>
    </row>
    <row r="6161">
      <c r="A6161" s="134" t="str">
        <f>IFERROR(__xludf.DUMMYFUNCTION("""COMPUTED_VALUE"""),"Old Town")</f>
        <v>Old Town</v>
      </c>
      <c r="B6161" s="120" t="str">
        <f>IFERROR(__xludf.DUMMYFUNCTION("""COMPUTED_VALUE"""),"OLD")</f>
        <v>OLD</v>
      </c>
      <c r="C6161" s="120" t="str">
        <f>IFERROR(__xludf.DUMMYFUNCTION("""COMPUTED_VALUE"""),"Old Town")</f>
        <v>Old Town</v>
      </c>
      <c r="D6161" s="120" t="str">
        <f>IFERROR(__xludf.DUMMYFUNCTION("""COMPUTED_VALUE"""),"United States")</f>
        <v>United States</v>
      </c>
      <c r="E6161" s="135"/>
      <c r="F6161" s="31"/>
    </row>
    <row r="6162">
      <c r="A6162" s="134" t="str">
        <f>IFERROR(__xludf.DUMMYFUNCTION("""COMPUTED_VALUE"""),"Olean")</f>
        <v>Olean</v>
      </c>
      <c r="B6162" s="120" t="str">
        <f>IFERROR(__xludf.DUMMYFUNCTION("""COMPUTED_VALUE"""),"OLE")</f>
        <v>OLE</v>
      </c>
      <c r="C6162" s="120" t="str">
        <f>IFERROR(__xludf.DUMMYFUNCTION("""COMPUTED_VALUE"""),"Municipal")</f>
        <v>Municipal</v>
      </c>
      <c r="D6162" s="120" t="str">
        <f>IFERROR(__xludf.DUMMYFUNCTION("""COMPUTED_VALUE"""),"United States")</f>
        <v>United States</v>
      </c>
      <c r="E6162" s="135"/>
      <c r="F6162" s="31"/>
    </row>
    <row r="6163">
      <c r="A6163" s="134" t="str">
        <f>IFERROR(__xludf.DUMMYFUNCTION("""COMPUTED_VALUE"""),"Olga Bay")</f>
        <v>Olga Bay</v>
      </c>
      <c r="B6163" s="120" t="str">
        <f>IFERROR(__xludf.DUMMYFUNCTION("""COMPUTED_VALUE"""),"KOY")</f>
        <v>KOY</v>
      </c>
      <c r="C6163" s="120" t="str">
        <f>IFERROR(__xludf.DUMMYFUNCTION("""COMPUTED_VALUE"""),"Olga Bay SPB")</f>
        <v>Olga Bay SPB</v>
      </c>
      <c r="D6163" s="120" t="str">
        <f>IFERROR(__xludf.DUMMYFUNCTION("""COMPUTED_VALUE"""),"United States")</f>
        <v>United States</v>
      </c>
      <c r="E6163" s="135"/>
      <c r="F6163" s="31"/>
    </row>
    <row r="6164">
      <c r="A6164" s="134" t="str">
        <f>IFERROR(__xludf.DUMMYFUNCTION("""COMPUTED_VALUE"""),"Olive Branch")</f>
        <v>Olive Branch</v>
      </c>
      <c r="B6164" s="120" t="str">
        <f>IFERROR(__xludf.DUMMYFUNCTION("""COMPUTED_VALUE"""),"OLV")</f>
        <v>OLV</v>
      </c>
      <c r="C6164" s="120" t="str">
        <f>IFERROR(__xludf.DUMMYFUNCTION("""COMPUTED_VALUE"""),"Olive Branch Arpt")</f>
        <v>Olive Branch Arpt</v>
      </c>
      <c r="D6164" s="120" t="str">
        <f>IFERROR(__xludf.DUMMYFUNCTION("""COMPUTED_VALUE"""),"United States")</f>
        <v>United States</v>
      </c>
      <c r="E6164" s="135"/>
      <c r="F6164" s="31"/>
    </row>
    <row r="6165">
      <c r="A6165" s="134" t="str">
        <f>IFERROR(__xludf.DUMMYFUNCTION("""COMPUTED_VALUE"""),"Olney")</f>
        <v>Olney</v>
      </c>
      <c r="B6165" s="120" t="str">
        <f>IFERROR(__xludf.DUMMYFUNCTION("""COMPUTED_VALUE"""),"OLY")</f>
        <v>OLY</v>
      </c>
      <c r="C6165" s="120" t="str">
        <f>IFERROR(__xludf.DUMMYFUNCTION("""COMPUTED_VALUE"""),"Olney-Noble")</f>
        <v>Olney-Noble</v>
      </c>
      <c r="D6165" s="120" t="str">
        <f>IFERROR(__xludf.DUMMYFUNCTION("""COMPUTED_VALUE"""),"United States")</f>
        <v>United States</v>
      </c>
      <c r="E6165" s="135"/>
      <c r="F6165" s="31"/>
    </row>
    <row r="6166">
      <c r="A6166" s="134" t="str">
        <f>IFERROR(__xludf.DUMMYFUNCTION("""COMPUTED_VALUE"""),"Olney")</f>
        <v>Olney</v>
      </c>
      <c r="B6166" s="120" t="str">
        <f>IFERROR(__xludf.DUMMYFUNCTION("""COMPUTED_VALUE"""),"ONY")</f>
        <v>ONY</v>
      </c>
      <c r="C6166" s="120" t="str">
        <f>IFERROR(__xludf.DUMMYFUNCTION("""COMPUTED_VALUE"""),"Olney")</f>
        <v>Olney</v>
      </c>
      <c r="D6166" s="120" t="str">
        <f>IFERROR(__xludf.DUMMYFUNCTION("""COMPUTED_VALUE"""),"United States")</f>
        <v>United States</v>
      </c>
      <c r="E6166" s="135"/>
      <c r="F6166" s="31"/>
    </row>
    <row r="6167">
      <c r="A6167" s="134" t="str">
        <f>IFERROR(__xludf.DUMMYFUNCTION("""COMPUTED_VALUE"""),"Olomouc")</f>
        <v>Olomouc</v>
      </c>
      <c r="B6167" s="120" t="str">
        <f>IFERROR(__xludf.DUMMYFUNCTION("""COMPUTED_VALUE"""),"OLO")</f>
        <v>OLO</v>
      </c>
      <c r="C6167" s="120" t="str">
        <f>IFERROR(__xludf.DUMMYFUNCTION("""COMPUTED_VALUE"""),"Olomouc")</f>
        <v>Olomouc</v>
      </c>
      <c r="D6167" s="120" t="str">
        <f>IFERROR(__xludf.DUMMYFUNCTION("""COMPUTED_VALUE"""),"Czech")</f>
        <v>Czech</v>
      </c>
      <c r="E6167" s="135"/>
      <c r="F6167" s="31"/>
    </row>
    <row r="6168">
      <c r="A6168" s="134" t="str">
        <f>IFERROR(__xludf.DUMMYFUNCTION("""COMPUTED_VALUE"""),"Olpoi")</f>
        <v>Olpoi</v>
      </c>
      <c r="B6168" s="120" t="str">
        <f>IFERROR(__xludf.DUMMYFUNCTION("""COMPUTED_VALUE"""),"OLJ")</f>
        <v>OLJ</v>
      </c>
      <c r="C6168" s="120" t="str">
        <f>IFERROR(__xludf.DUMMYFUNCTION("""COMPUTED_VALUE"""),"Olpoi")</f>
        <v>Olpoi</v>
      </c>
      <c r="D6168" s="120" t="str">
        <f>IFERROR(__xludf.DUMMYFUNCTION("""COMPUTED_VALUE"""),"Vanuatu")</f>
        <v>Vanuatu</v>
      </c>
      <c r="E6168" s="135"/>
      <c r="F6168" s="31"/>
    </row>
    <row r="6169">
      <c r="A6169" s="134" t="str">
        <f>IFERROR(__xludf.DUMMYFUNCTION("""COMPUTED_VALUE"""),"Olsobip")</f>
        <v>Olsobip</v>
      </c>
      <c r="B6169" s="120" t="str">
        <f>IFERROR(__xludf.DUMMYFUNCTION("""COMPUTED_VALUE"""),"OLQ")</f>
        <v>OLQ</v>
      </c>
      <c r="C6169" s="120" t="str">
        <f>IFERROR(__xludf.DUMMYFUNCTION("""COMPUTED_VALUE"""),"Olsobip")</f>
        <v>Olsobip</v>
      </c>
      <c r="D6169" s="120" t="str">
        <f>IFERROR(__xludf.DUMMYFUNCTION("""COMPUTED_VALUE"""),"Papua New Guinea")</f>
        <v>Papua New Guinea</v>
      </c>
      <c r="E6169" s="135"/>
      <c r="F6169" s="31"/>
    </row>
    <row r="6170">
      <c r="A6170" s="134" t="str">
        <f>IFERROR(__xludf.DUMMYFUNCTION("""COMPUTED_VALUE"""),"Olympia")</f>
        <v>Olympia</v>
      </c>
      <c r="B6170" s="120" t="str">
        <f>IFERROR(__xludf.DUMMYFUNCTION("""COMPUTED_VALUE"""),"OLM")</f>
        <v>OLM</v>
      </c>
      <c r="C6170" s="120" t="str">
        <f>IFERROR(__xludf.DUMMYFUNCTION("""COMPUTED_VALUE"""),"Olympia")</f>
        <v>Olympia</v>
      </c>
      <c r="D6170" s="120" t="str">
        <f>IFERROR(__xludf.DUMMYFUNCTION("""COMPUTED_VALUE"""),"United States")</f>
        <v>United States</v>
      </c>
      <c r="E6170" s="135"/>
      <c r="F6170" s="31"/>
    </row>
    <row r="6171">
      <c r="A6171" s="134" t="str">
        <f>IFERROR(__xludf.DUMMYFUNCTION("""COMPUTED_VALUE"""),"Olympic Dam")</f>
        <v>Olympic Dam</v>
      </c>
      <c r="B6171" s="120" t="str">
        <f>IFERROR(__xludf.DUMMYFUNCTION("""COMPUTED_VALUE"""),"OLP")</f>
        <v>OLP</v>
      </c>
      <c r="C6171" s="120" t="str">
        <f>IFERROR(__xludf.DUMMYFUNCTION("""COMPUTED_VALUE"""),"Olympic Dam")</f>
        <v>Olympic Dam</v>
      </c>
      <c r="D6171" s="120" t="str">
        <f>IFERROR(__xludf.DUMMYFUNCTION("""COMPUTED_VALUE"""),"Australia")</f>
        <v>Australia</v>
      </c>
      <c r="E6171" s="135"/>
      <c r="F6171" s="31"/>
    </row>
    <row r="6172">
      <c r="A6172" s="134" t="str">
        <f>IFERROR(__xludf.DUMMYFUNCTION("""COMPUTED_VALUE"""),"Omaha")</f>
        <v>Omaha</v>
      </c>
      <c r="B6172" s="120" t="str">
        <f>IFERROR(__xludf.DUMMYFUNCTION("""COMPUTED_VALUE"""),"OMA")</f>
        <v>OMA</v>
      </c>
      <c r="C6172" s="120" t="str">
        <f>IFERROR(__xludf.DUMMYFUNCTION("""COMPUTED_VALUE"""),"Eppley Airfield")</f>
        <v>Eppley Airfield</v>
      </c>
      <c r="D6172" s="120" t="str">
        <f>IFERROR(__xludf.DUMMYFUNCTION("""COMPUTED_VALUE"""),"United States")</f>
        <v>United States</v>
      </c>
      <c r="E6172" s="135"/>
      <c r="F6172" s="31"/>
    </row>
    <row r="6173">
      <c r="A6173" s="134" t="str">
        <f>IFERROR(__xludf.DUMMYFUNCTION("""COMPUTED_VALUE"""),"Omaha")</f>
        <v>Omaha</v>
      </c>
      <c r="B6173" s="120" t="str">
        <f>IFERROR(__xludf.DUMMYFUNCTION("""COMPUTED_VALUE"""),"MIQ")</f>
        <v>MIQ</v>
      </c>
      <c r="C6173" s="120" t="str">
        <f>IFERROR(__xludf.DUMMYFUNCTION("""COMPUTED_VALUE"""),"Maiquetia")</f>
        <v>Maiquetia</v>
      </c>
      <c r="D6173" s="120" t="str">
        <f>IFERROR(__xludf.DUMMYFUNCTION("""COMPUTED_VALUE"""),"Venezuela")</f>
        <v>Venezuela</v>
      </c>
      <c r="E6173" s="135"/>
      <c r="F6173" s="31"/>
    </row>
    <row r="6174">
      <c r="A6174" s="134" t="str">
        <f>IFERROR(__xludf.DUMMYFUNCTION("""COMPUTED_VALUE"""),"Omak")</f>
        <v>Omak</v>
      </c>
      <c r="B6174" s="120" t="str">
        <f>IFERROR(__xludf.DUMMYFUNCTION("""COMPUTED_VALUE"""),"OMK")</f>
        <v>OMK</v>
      </c>
      <c r="C6174" s="120" t="str">
        <f>IFERROR(__xludf.DUMMYFUNCTION("""COMPUTED_VALUE"""),"Municipal")</f>
        <v>Municipal</v>
      </c>
      <c r="D6174" s="120" t="str">
        <f>IFERROR(__xludf.DUMMYFUNCTION("""COMPUTED_VALUE"""),"United States")</f>
        <v>United States</v>
      </c>
      <c r="E6174" s="135"/>
      <c r="F6174" s="31"/>
    </row>
    <row r="6175">
      <c r="A6175" s="134" t="str">
        <f>IFERROR(__xludf.DUMMYFUNCTION("""COMPUTED_VALUE"""),"Omboue")</f>
        <v>Omboue</v>
      </c>
      <c r="B6175" s="120" t="str">
        <f>IFERROR(__xludf.DUMMYFUNCTION("""COMPUTED_VALUE"""),"OMB")</f>
        <v>OMB</v>
      </c>
      <c r="C6175" s="120" t="str">
        <f>IFERROR(__xludf.DUMMYFUNCTION("""COMPUTED_VALUE"""),"Omboue")</f>
        <v>Omboue</v>
      </c>
      <c r="D6175" s="120" t="str">
        <f>IFERROR(__xludf.DUMMYFUNCTION("""COMPUTED_VALUE"""),"Gabon")</f>
        <v>Gabon</v>
      </c>
      <c r="E6175" s="135"/>
      <c r="F6175" s="31"/>
    </row>
    <row r="6176">
      <c r="A6176" s="134" t="str">
        <f>IFERROR(__xludf.DUMMYFUNCTION("""COMPUTED_VALUE"""),"Omega")</f>
        <v>Omega</v>
      </c>
      <c r="B6176" s="120" t="str">
        <f>IFERROR(__xludf.DUMMYFUNCTION("""COMPUTED_VALUE"""),"OMG")</f>
        <v>OMG</v>
      </c>
      <c r="C6176" s="120" t="str">
        <f>IFERROR(__xludf.DUMMYFUNCTION("""COMPUTED_VALUE"""),"Omega")</f>
        <v>Omega</v>
      </c>
      <c r="D6176" s="120" t="str">
        <f>IFERROR(__xludf.DUMMYFUNCTION("""COMPUTED_VALUE"""),"Namibia")</f>
        <v>Namibia</v>
      </c>
      <c r="E6176" s="135"/>
      <c r="F6176" s="31"/>
    </row>
    <row r="6177">
      <c r="A6177" s="134" t="str">
        <f>IFERROR(__xludf.DUMMYFUNCTION("""COMPUTED_VALUE"""),"Omidieh")</f>
        <v>Omidieh</v>
      </c>
      <c r="B6177" s="120" t="str">
        <f>IFERROR(__xludf.DUMMYFUNCTION("""COMPUTED_VALUE"""),"OMI")</f>
        <v>OMI</v>
      </c>
      <c r="C6177" s="120" t="str">
        <f>IFERROR(__xludf.DUMMYFUNCTION("""COMPUTED_VALUE"""),"Omidieh")</f>
        <v>Omidieh</v>
      </c>
      <c r="D6177" s="120" t="str">
        <f>IFERROR(__xludf.DUMMYFUNCTION("""COMPUTED_VALUE"""),"Iran")</f>
        <v>Iran</v>
      </c>
      <c r="E6177" s="135"/>
      <c r="F6177" s="31"/>
    </row>
    <row r="6178">
      <c r="A6178" s="134" t="str">
        <f>IFERROR(__xludf.DUMMYFUNCTION("""COMPUTED_VALUE"""),"Omkalai")</f>
        <v>Omkalai</v>
      </c>
      <c r="B6178" s="120" t="str">
        <f>IFERROR(__xludf.DUMMYFUNCTION("""COMPUTED_VALUE"""),"OML")</f>
        <v>OML</v>
      </c>
      <c r="C6178" s="120" t="str">
        <f>IFERROR(__xludf.DUMMYFUNCTION("""COMPUTED_VALUE"""),"Omkalai")</f>
        <v>Omkalai</v>
      </c>
      <c r="D6178" s="120" t="str">
        <f>IFERROR(__xludf.DUMMYFUNCTION("""COMPUTED_VALUE"""),"Papua New Guinea")</f>
        <v>Papua New Guinea</v>
      </c>
      <c r="E6178" s="135"/>
      <c r="F6178" s="31"/>
    </row>
    <row r="6179">
      <c r="A6179" s="134" t="str">
        <f>IFERROR(__xludf.DUMMYFUNCTION("""COMPUTED_VALUE"""),"Omora")</f>
        <v>Omora</v>
      </c>
      <c r="B6179" s="120" t="str">
        <f>IFERROR(__xludf.DUMMYFUNCTION("""COMPUTED_VALUE"""),"OSE")</f>
        <v>OSE</v>
      </c>
      <c r="C6179" s="120" t="str">
        <f>IFERROR(__xludf.DUMMYFUNCTION("""COMPUTED_VALUE"""),"Omora")</f>
        <v>Omora</v>
      </c>
      <c r="D6179" s="120" t="str">
        <f>IFERROR(__xludf.DUMMYFUNCTION("""COMPUTED_VALUE"""),"Papua New Guinea")</f>
        <v>Papua New Guinea</v>
      </c>
      <c r="E6179" s="135"/>
      <c r="F6179" s="31"/>
    </row>
    <row r="6180">
      <c r="A6180" s="134" t="str">
        <f>IFERROR(__xludf.DUMMYFUNCTION("""COMPUTED_VALUE"""),"Omsk")</f>
        <v>Omsk</v>
      </c>
      <c r="B6180" s="120" t="str">
        <f>IFERROR(__xludf.DUMMYFUNCTION("""COMPUTED_VALUE"""),"OMS")</f>
        <v>OMS</v>
      </c>
      <c r="C6180" s="120" t="str">
        <f>IFERROR(__xludf.DUMMYFUNCTION("""COMPUTED_VALUE"""),"Omsk")</f>
        <v>Omsk</v>
      </c>
      <c r="D6180" s="120" t="str">
        <f>IFERROR(__xludf.DUMMYFUNCTION("""COMPUTED_VALUE"""),"Russia")</f>
        <v>Russia</v>
      </c>
      <c r="E6180" s="135"/>
      <c r="F6180" s="31"/>
    </row>
    <row r="6181">
      <c r="A6181" s="134" t="str">
        <f>IFERROR(__xludf.DUMMYFUNCTION("""COMPUTED_VALUE"""),"Omura")</f>
        <v>Omura</v>
      </c>
      <c r="B6181" s="120" t="str">
        <f>IFERROR(__xludf.DUMMYFUNCTION("""COMPUTED_VALUE"""),"OMJ")</f>
        <v>OMJ</v>
      </c>
      <c r="C6181" s="120" t="str">
        <f>IFERROR(__xludf.DUMMYFUNCTION("""COMPUTED_VALUE"""),"Omura")</f>
        <v>Omura</v>
      </c>
      <c r="D6181" s="120" t="str">
        <f>IFERROR(__xludf.DUMMYFUNCTION("""COMPUTED_VALUE"""),"Japan")</f>
        <v>Japan</v>
      </c>
      <c r="E6181" s="135"/>
      <c r="F6181" s="31"/>
    </row>
    <row r="6182">
      <c r="A6182" s="134" t="str">
        <f>IFERROR(__xludf.DUMMYFUNCTION("""COMPUTED_VALUE"""),"Ondangwa")</f>
        <v>Ondangwa</v>
      </c>
      <c r="B6182" s="120" t="str">
        <f>IFERROR(__xludf.DUMMYFUNCTION("""COMPUTED_VALUE"""),"OND")</f>
        <v>OND</v>
      </c>
      <c r="C6182" s="120" t="str">
        <f>IFERROR(__xludf.DUMMYFUNCTION("""COMPUTED_VALUE"""),"Ondangwa")</f>
        <v>Ondangwa</v>
      </c>
      <c r="D6182" s="120" t="str">
        <f>IFERROR(__xludf.DUMMYFUNCTION("""COMPUTED_VALUE"""),"Namibia")</f>
        <v>Namibia</v>
      </c>
      <c r="E6182" s="135"/>
      <c r="F6182" s="31"/>
    </row>
    <row r="6183">
      <c r="A6183" s="134" t="str">
        <f>IFERROR(__xludf.DUMMYFUNCTION("""COMPUTED_VALUE"""),"Oneill")</f>
        <v>Oneill</v>
      </c>
      <c r="B6183" s="120" t="str">
        <f>IFERROR(__xludf.DUMMYFUNCTION("""COMPUTED_VALUE"""),"ONL")</f>
        <v>ONL</v>
      </c>
      <c r="C6183" s="120" t="str">
        <f>IFERROR(__xludf.DUMMYFUNCTION("""COMPUTED_VALUE"""),"Municipal")</f>
        <v>Municipal</v>
      </c>
      <c r="D6183" s="120" t="str">
        <f>IFERROR(__xludf.DUMMYFUNCTION("""COMPUTED_VALUE"""),"United States")</f>
        <v>United States</v>
      </c>
      <c r="E6183" s="135"/>
      <c r="F6183" s="31"/>
    </row>
    <row r="6184">
      <c r="A6184" s="134" t="str">
        <f>IFERROR(__xludf.DUMMYFUNCTION("""COMPUTED_VALUE"""),"Oneonta")</f>
        <v>Oneonta</v>
      </c>
      <c r="B6184" s="120" t="str">
        <f>IFERROR(__xludf.DUMMYFUNCTION("""COMPUTED_VALUE"""),"ONH")</f>
        <v>ONH</v>
      </c>
      <c r="C6184" s="120" t="str">
        <f>IFERROR(__xludf.DUMMYFUNCTION("""COMPUTED_VALUE"""),"Municipal")</f>
        <v>Municipal</v>
      </c>
      <c r="D6184" s="120" t="str">
        <f>IFERROR(__xludf.DUMMYFUNCTION("""COMPUTED_VALUE"""),"United States")</f>
        <v>United States</v>
      </c>
      <c r="E6184" s="135"/>
      <c r="F6184" s="31"/>
    </row>
    <row r="6185">
      <c r="A6185" s="134" t="str">
        <f>IFERROR(__xludf.DUMMYFUNCTION("""COMPUTED_VALUE"""),"Onepusu")</f>
        <v>Onepusu</v>
      </c>
      <c r="B6185" s="120" t="str">
        <f>IFERROR(__xludf.DUMMYFUNCTION("""COMPUTED_VALUE"""),"ONE")</f>
        <v>ONE</v>
      </c>
      <c r="C6185" s="120" t="str">
        <f>IFERROR(__xludf.DUMMYFUNCTION("""COMPUTED_VALUE"""),"Onepusu")</f>
        <v>Onepusu</v>
      </c>
      <c r="D6185" s="120" t="str">
        <f>IFERROR(__xludf.DUMMYFUNCTION("""COMPUTED_VALUE"""),"Solomon Islands")</f>
        <v>Solomon Islands</v>
      </c>
      <c r="E6185" s="135"/>
      <c r="F6185" s="31"/>
    </row>
    <row r="6186">
      <c r="A6186" s="134" t="str">
        <f>IFERROR(__xludf.DUMMYFUNCTION("""COMPUTED_VALUE"""),"Ongava Game Reserve")</f>
        <v>Ongava Game Reserve</v>
      </c>
      <c r="B6186" s="120" t="str">
        <f>IFERROR(__xludf.DUMMYFUNCTION("""COMPUTED_VALUE"""),"OGV")</f>
        <v>OGV</v>
      </c>
      <c r="C6186" s="120" t="str">
        <f>IFERROR(__xludf.DUMMYFUNCTION("""COMPUTED_VALUE"""),"Ongava Game Reserve")</f>
        <v>Ongava Game Reserve</v>
      </c>
      <c r="D6186" s="120" t="str">
        <f>IFERROR(__xludf.DUMMYFUNCTION("""COMPUTED_VALUE"""),"Namibia")</f>
        <v>Namibia</v>
      </c>
      <c r="E6186" s="135"/>
      <c r="F6186" s="31"/>
    </row>
    <row r="6187">
      <c r="A6187" s="134" t="str">
        <f>IFERROR(__xludf.DUMMYFUNCTION("""COMPUTED_VALUE"""),"Ongiva")</f>
        <v>Ongiva</v>
      </c>
      <c r="B6187" s="120" t="str">
        <f>IFERROR(__xludf.DUMMYFUNCTION("""COMPUTED_VALUE"""),"VPE")</f>
        <v>VPE</v>
      </c>
      <c r="C6187" s="120" t="str">
        <f>IFERROR(__xludf.DUMMYFUNCTION("""COMPUTED_VALUE"""),"Ongiva")</f>
        <v>Ongiva</v>
      </c>
      <c r="D6187" s="120" t="str">
        <f>IFERROR(__xludf.DUMMYFUNCTION("""COMPUTED_VALUE"""),"Angola")</f>
        <v>Angola</v>
      </c>
      <c r="E6187" s="135"/>
      <c r="F6187" s="31"/>
    </row>
    <row r="6188">
      <c r="A6188" s="134" t="str">
        <f>IFERROR(__xludf.DUMMYFUNCTION("""COMPUTED_VALUE"""),"Onion Bay")</f>
        <v>Onion Bay</v>
      </c>
      <c r="B6188" s="120" t="str">
        <f>IFERROR(__xludf.DUMMYFUNCTION("""COMPUTED_VALUE"""),"ONN")</f>
        <v>ONN</v>
      </c>
      <c r="C6188" s="120" t="str">
        <f>IFERROR(__xludf.DUMMYFUNCTION("""COMPUTED_VALUE"""),"Onion Bay")</f>
        <v>Onion Bay</v>
      </c>
      <c r="D6188" s="120" t="str">
        <f>IFERROR(__xludf.DUMMYFUNCTION("""COMPUTED_VALUE"""),"United States")</f>
        <v>United States</v>
      </c>
      <c r="E6188" s="135"/>
      <c r="F6188" s="31"/>
    </row>
    <row r="6189">
      <c r="A6189" s="134" t="str">
        <f>IFERROR(__xludf.DUMMYFUNCTION("""COMPUTED_VALUE"""),"Ono I Lau")</f>
        <v>Ono I Lau</v>
      </c>
      <c r="B6189" s="120" t="str">
        <f>IFERROR(__xludf.DUMMYFUNCTION("""COMPUTED_VALUE"""),"ONU")</f>
        <v>ONU</v>
      </c>
      <c r="C6189" s="120" t="str">
        <f>IFERROR(__xludf.DUMMYFUNCTION("""COMPUTED_VALUE"""),"Ono I Lau")</f>
        <v>Ono I Lau</v>
      </c>
      <c r="D6189" s="120" t="str">
        <f>IFERROR(__xludf.DUMMYFUNCTION("""COMPUTED_VALUE"""),"Fiji")</f>
        <v>Fiji</v>
      </c>
      <c r="E6189" s="135"/>
      <c r="F6189" s="31"/>
    </row>
    <row r="6190">
      <c r="A6190" s="134" t="str">
        <f>IFERROR(__xludf.DUMMYFUNCTION("""COMPUTED_VALUE"""),"Ononge")</f>
        <v>Ononge</v>
      </c>
      <c r="B6190" s="120" t="str">
        <f>IFERROR(__xludf.DUMMYFUNCTION("""COMPUTED_VALUE"""),"ONB")</f>
        <v>ONB</v>
      </c>
      <c r="C6190" s="120" t="str">
        <f>IFERROR(__xludf.DUMMYFUNCTION("""COMPUTED_VALUE"""),"Ononge")</f>
        <v>Ononge</v>
      </c>
      <c r="D6190" s="120" t="str">
        <f>IFERROR(__xludf.DUMMYFUNCTION("""COMPUTED_VALUE"""),"Papua New Guinea")</f>
        <v>Papua New Guinea</v>
      </c>
      <c r="E6190" s="135"/>
      <c r="F6190" s="31"/>
    </row>
    <row r="6191">
      <c r="A6191" s="134" t="str">
        <f>IFERROR(__xludf.DUMMYFUNCTION("""COMPUTED_VALUE"""),"Onotoa")</f>
        <v>Onotoa</v>
      </c>
      <c r="B6191" s="120" t="str">
        <f>IFERROR(__xludf.DUMMYFUNCTION("""COMPUTED_VALUE"""),"OOT")</f>
        <v>OOT</v>
      </c>
      <c r="C6191" s="120" t="str">
        <f>IFERROR(__xludf.DUMMYFUNCTION("""COMPUTED_VALUE"""),"Onotoa")</f>
        <v>Onotoa</v>
      </c>
      <c r="D6191" s="120" t="str">
        <f>IFERROR(__xludf.DUMMYFUNCTION("""COMPUTED_VALUE"""),"Kiribati")</f>
        <v>Kiribati</v>
      </c>
      <c r="E6191" s="135"/>
      <c r="F6191" s="31"/>
    </row>
    <row r="6192">
      <c r="A6192" s="134" t="str">
        <f>IFERROR(__xludf.DUMMYFUNCTION("""COMPUTED_VALUE"""),"Onslow")</f>
        <v>Onslow</v>
      </c>
      <c r="B6192" s="120" t="str">
        <f>IFERROR(__xludf.DUMMYFUNCTION("""COMPUTED_VALUE"""),"ONS")</f>
        <v>ONS</v>
      </c>
      <c r="C6192" s="120" t="str">
        <f>IFERROR(__xludf.DUMMYFUNCTION("""COMPUTED_VALUE"""),"Onslow")</f>
        <v>Onslow</v>
      </c>
      <c r="D6192" s="120" t="str">
        <f>IFERROR(__xludf.DUMMYFUNCTION("""COMPUTED_VALUE"""),"Australia")</f>
        <v>Australia</v>
      </c>
      <c r="E6192" s="135"/>
      <c r="F6192" s="31"/>
    </row>
    <row r="6193">
      <c r="A6193" s="134" t="str">
        <f>IFERROR(__xludf.DUMMYFUNCTION("""COMPUTED_VALUE"""),"Ontario")</f>
        <v>Ontario</v>
      </c>
      <c r="B6193" s="120" t="str">
        <f>IFERROR(__xludf.DUMMYFUNCTION("""COMPUTED_VALUE"""),"ONT")</f>
        <v>ONT</v>
      </c>
      <c r="C6193" s="120" t="str">
        <f>IFERROR(__xludf.DUMMYFUNCTION("""COMPUTED_VALUE"""),"International")</f>
        <v>International</v>
      </c>
      <c r="D6193" s="120" t="str">
        <f>IFERROR(__xludf.DUMMYFUNCTION("""COMPUTED_VALUE"""),"United States")</f>
        <v>United States</v>
      </c>
      <c r="E6193" s="135"/>
      <c r="F6193" s="31"/>
    </row>
    <row r="6194">
      <c r="A6194" s="134" t="str">
        <f>IFERROR(__xludf.DUMMYFUNCTION("""COMPUTED_VALUE"""),"Ontario")</f>
        <v>Ontario</v>
      </c>
      <c r="B6194" s="120" t="str">
        <f>IFERROR(__xludf.DUMMYFUNCTION("""COMPUTED_VALUE"""),"JIO")</f>
        <v>JIO</v>
      </c>
      <c r="C6194" s="120" t="str">
        <f>IFERROR(__xludf.DUMMYFUNCTION("""COMPUTED_VALUE"""),"Intl Heliport")</f>
        <v>Intl Heliport</v>
      </c>
      <c r="D6194" s="120" t="str">
        <f>IFERROR(__xludf.DUMMYFUNCTION("""COMPUTED_VALUE"""),"United States")</f>
        <v>United States</v>
      </c>
      <c r="E6194" s="135"/>
      <c r="F6194" s="31"/>
    </row>
    <row r="6195">
      <c r="A6195" s="134" t="str">
        <f>IFERROR(__xludf.DUMMYFUNCTION("""COMPUTED_VALUE"""),"Ontario")</f>
        <v>Ontario</v>
      </c>
      <c r="B6195" s="120" t="str">
        <f>IFERROR(__xludf.DUMMYFUNCTION("""COMPUTED_VALUE"""),"ONO")</f>
        <v>ONO</v>
      </c>
      <c r="C6195" s="120" t="str">
        <f>IFERROR(__xludf.DUMMYFUNCTION("""COMPUTED_VALUE"""),"Ontario")</f>
        <v>Ontario</v>
      </c>
      <c r="D6195" s="120" t="str">
        <f>IFERROR(__xludf.DUMMYFUNCTION("""COMPUTED_VALUE"""),"United States")</f>
        <v>United States</v>
      </c>
      <c r="E6195" s="135"/>
      <c r="F6195" s="31"/>
    </row>
    <row r="6196">
      <c r="A6196" s="134" t="str">
        <f>IFERROR(__xludf.DUMMYFUNCTION("""COMPUTED_VALUE"""),"Ontong Java")</f>
        <v>Ontong Java</v>
      </c>
      <c r="B6196" s="120" t="str">
        <f>IFERROR(__xludf.DUMMYFUNCTION("""COMPUTED_VALUE"""),"OTV")</f>
        <v>OTV</v>
      </c>
      <c r="C6196" s="120" t="str">
        <f>IFERROR(__xludf.DUMMYFUNCTION("""COMPUTED_VALUE"""),"Ontong Java")</f>
        <v>Ontong Java</v>
      </c>
      <c r="D6196" s="120" t="str">
        <f>IFERROR(__xludf.DUMMYFUNCTION("""COMPUTED_VALUE"""),"Solomon Islands")</f>
        <v>Solomon Islands</v>
      </c>
      <c r="E6196" s="135"/>
      <c r="F6196" s="31"/>
    </row>
    <row r="6197">
      <c r="A6197" s="134" t="str">
        <f>IFERROR(__xludf.DUMMYFUNCTION("""COMPUTED_VALUE"""),"Oodnadatta")</f>
        <v>Oodnadatta</v>
      </c>
      <c r="B6197" s="120" t="str">
        <f>IFERROR(__xludf.DUMMYFUNCTION("""COMPUTED_VALUE"""),"ODD")</f>
        <v>ODD</v>
      </c>
      <c r="C6197" s="120" t="str">
        <f>IFERROR(__xludf.DUMMYFUNCTION("""COMPUTED_VALUE"""),"Oodnadatta")</f>
        <v>Oodnadatta</v>
      </c>
      <c r="D6197" s="120" t="str">
        <f>IFERROR(__xludf.DUMMYFUNCTION("""COMPUTED_VALUE"""),"Australia")</f>
        <v>Australia</v>
      </c>
      <c r="E6197" s="135"/>
      <c r="F6197" s="31"/>
    </row>
    <row r="6198">
      <c r="A6198" s="134" t="str">
        <f>IFERROR(__xludf.DUMMYFUNCTION("""COMPUTED_VALUE"""),"Opapamiska Lake")</f>
        <v>Opapamiska Lake</v>
      </c>
      <c r="B6198" s="120" t="str">
        <f>IFERROR(__xludf.DUMMYFUNCTION("""COMPUTED_VALUE"""),"YBS")</f>
        <v>YBS</v>
      </c>
      <c r="C6198" s="120" t="str">
        <f>IFERROR(__xludf.DUMMYFUNCTION("""COMPUTED_VALUE"""),"Musselwhite")</f>
        <v>Musselwhite</v>
      </c>
      <c r="D6198" s="120" t="str">
        <f>IFERROR(__xludf.DUMMYFUNCTION("""COMPUTED_VALUE"""),"Canada")</f>
        <v>Canada</v>
      </c>
      <c r="E6198" s="135"/>
      <c r="F6198" s="31"/>
    </row>
    <row r="6199">
      <c r="A6199" s="134" t="str">
        <f>IFERROR(__xludf.DUMMYFUNCTION("""COMPUTED_VALUE"""),"Opelousas")</f>
        <v>Opelousas</v>
      </c>
      <c r="B6199" s="120" t="str">
        <f>IFERROR(__xludf.DUMMYFUNCTION("""COMPUTED_VALUE"""),"OPL")</f>
        <v>OPL</v>
      </c>
      <c r="C6199" s="120" t="str">
        <f>IFERROR(__xludf.DUMMYFUNCTION("""COMPUTED_VALUE"""),"St Landry Parish")</f>
        <v>St Landry Parish</v>
      </c>
      <c r="D6199" s="120" t="str">
        <f>IFERROR(__xludf.DUMMYFUNCTION("""COMPUTED_VALUE"""),"United States")</f>
        <v>United States</v>
      </c>
      <c r="E6199" s="135"/>
      <c r="F6199" s="31"/>
    </row>
    <row r="6200">
      <c r="A6200" s="134" t="str">
        <f>IFERROR(__xludf.DUMMYFUNCTION("""COMPUTED_VALUE"""),"Open Bay")</f>
        <v>Open Bay</v>
      </c>
      <c r="B6200" s="120" t="str">
        <f>IFERROR(__xludf.DUMMYFUNCTION("""COMPUTED_VALUE"""),"OPB")</f>
        <v>OPB</v>
      </c>
      <c r="C6200" s="120" t="str">
        <f>IFERROR(__xludf.DUMMYFUNCTION("""COMPUTED_VALUE"""),"Open Bay")</f>
        <v>Open Bay</v>
      </c>
      <c r="D6200" s="120" t="str">
        <f>IFERROR(__xludf.DUMMYFUNCTION("""COMPUTED_VALUE"""),"Papua New Guinea")</f>
        <v>Papua New Guinea</v>
      </c>
      <c r="E6200" s="135"/>
      <c r="F6200" s="31"/>
    </row>
    <row r="6201">
      <c r="A6201" s="134" t="str">
        <f>IFERROR(__xludf.DUMMYFUNCTION("""COMPUTED_VALUE"""),"Opuwa")</f>
        <v>Opuwa</v>
      </c>
      <c r="B6201" s="120" t="str">
        <f>IFERROR(__xludf.DUMMYFUNCTION("""COMPUTED_VALUE"""),"OPW")</f>
        <v>OPW</v>
      </c>
      <c r="C6201" s="120" t="str">
        <f>IFERROR(__xludf.DUMMYFUNCTION("""COMPUTED_VALUE"""),"Opuwa")</f>
        <v>Opuwa</v>
      </c>
      <c r="D6201" s="120" t="str">
        <f>IFERROR(__xludf.DUMMYFUNCTION("""COMPUTED_VALUE"""),"Namibia")</f>
        <v>Namibia</v>
      </c>
      <c r="E6201" s="135"/>
      <c r="F6201" s="31"/>
    </row>
    <row r="6202">
      <c r="A6202" s="134" t="str">
        <f>IFERROR(__xludf.DUMMYFUNCTION("""COMPUTED_VALUE"""),"Oqatsut")</f>
        <v>Oqatsut</v>
      </c>
      <c r="B6202" s="120" t="str">
        <f>IFERROR(__xludf.DUMMYFUNCTION("""COMPUTED_VALUE"""),"XEO")</f>
        <v>XEO</v>
      </c>
      <c r="C6202" s="120" t="str">
        <f>IFERROR(__xludf.DUMMYFUNCTION("""COMPUTED_VALUE"""),"Harbour")</f>
        <v>Harbour</v>
      </c>
      <c r="D6202" s="120" t="str">
        <f>IFERROR(__xludf.DUMMYFUNCTION("""COMPUTED_VALUE"""),"Greenland")</f>
        <v>Greenland</v>
      </c>
      <c r="E6202" s="135"/>
      <c r="F6202" s="31"/>
    </row>
    <row r="6203">
      <c r="A6203" s="134" t="str">
        <f>IFERROR(__xludf.DUMMYFUNCTION("""COMPUTED_VALUE"""),"Oradea")</f>
        <v>Oradea</v>
      </c>
      <c r="B6203" s="120" t="str">
        <f>IFERROR(__xludf.DUMMYFUNCTION("""COMPUTED_VALUE"""),"OMR")</f>
        <v>OMR</v>
      </c>
      <c r="C6203" s="120" t="str">
        <f>IFERROR(__xludf.DUMMYFUNCTION("""COMPUTED_VALUE"""),"Oradea")</f>
        <v>Oradea</v>
      </c>
      <c r="D6203" s="120" t="str">
        <f>IFERROR(__xludf.DUMMYFUNCTION("""COMPUTED_VALUE"""),"Romania")</f>
        <v>Romania</v>
      </c>
      <c r="E6203" s="135"/>
      <c r="F6203" s="31"/>
    </row>
    <row r="6204">
      <c r="A6204" s="134" t="str">
        <f>IFERROR(__xludf.DUMMYFUNCTION("""COMPUTED_VALUE"""),"Oram")</f>
        <v>Oram</v>
      </c>
      <c r="B6204" s="120" t="str">
        <f>IFERROR(__xludf.DUMMYFUNCTION("""COMPUTED_VALUE"""),"RAX")</f>
        <v>RAX</v>
      </c>
      <c r="C6204" s="120" t="str">
        <f>IFERROR(__xludf.DUMMYFUNCTION("""COMPUTED_VALUE"""),"Oram")</f>
        <v>Oram</v>
      </c>
      <c r="D6204" s="120" t="str">
        <f>IFERROR(__xludf.DUMMYFUNCTION("""COMPUTED_VALUE"""),"Papua New Guinea")</f>
        <v>Papua New Guinea</v>
      </c>
      <c r="E6204" s="135"/>
      <c r="F6204" s="31"/>
    </row>
    <row r="6205">
      <c r="A6205" s="134" t="str">
        <f>IFERROR(__xludf.DUMMYFUNCTION("""COMPUTED_VALUE"""),"Oran")</f>
        <v>Oran</v>
      </c>
      <c r="B6205" s="120" t="str">
        <f>IFERROR(__xludf.DUMMYFUNCTION("""COMPUTED_VALUE"""),"ORN")</f>
        <v>ORN</v>
      </c>
      <c r="C6205" s="120" t="str">
        <f>IFERROR(__xludf.DUMMYFUNCTION("""COMPUTED_VALUE"""),"Es Senia")</f>
        <v>Es Senia</v>
      </c>
      <c r="D6205" s="120" t="str">
        <f>IFERROR(__xludf.DUMMYFUNCTION("""COMPUTED_VALUE"""),"Algeria")</f>
        <v>Algeria</v>
      </c>
      <c r="E6205" s="135"/>
      <c r="F6205" s="31"/>
    </row>
    <row r="6206">
      <c r="A6206" s="134" t="str">
        <f>IFERROR(__xludf.DUMMYFUNCTION("""COMPUTED_VALUE"""),"Oran")</f>
        <v>Oran</v>
      </c>
      <c r="B6206" s="120" t="str">
        <f>IFERROR(__xludf.DUMMYFUNCTION("""COMPUTED_VALUE"""),"TAF")</f>
        <v>TAF</v>
      </c>
      <c r="C6206" s="120" t="str">
        <f>IFERROR(__xludf.DUMMYFUNCTION("""COMPUTED_VALUE"""),"Tafaraoui")</f>
        <v>Tafaraoui</v>
      </c>
      <c r="D6206" s="120" t="str">
        <f>IFERROR(__xludf.DUMMYFUNCTION("""COMPUTED_VALUE"""),"Algeria")</f>
        <v>Algeria</v>
      </c>
      <c r="E6206" s="135"/>
      <c r="F6206" s="31"/>
    </row>
    <row r="6207">
      <c r="A6207" s="134" t="str">
        <f>IFERROR(__xludf.DUMMYFUNCTION("""COMPUTED_VALUE"""),"Oran")</f>
        <v>Oran</v>
      </c>
      <c r="B6207" s="120" t="str">
        <f>IFERROR(__xludf.DUMMYFUNCTION("""COMPUTED_VALUE"""),"ORA")</f>
        <v>ORA</v>
      </c>
      <c r="C6207" s="120" t="str">
        <f>IFERROR(__xludf.DUMMYFUNCTION("""COMPUTED_VALUE"""),"Oran")</f>
        <v>Oran</v>
      </c>
      <c r="D6207" s="120" t="str">
        <f>IFERROR(__xludf.DUMMYFUNCTION("""COMPUTED_VALUE"""),"Argentina")</f>
        <v>Argentina</v>
      </c>
      <c r="E6207" s="135"/>
      <c r="F6207" s="31"/>
    </row>
    <row r="6208">
      <c r="A6208" s="134" t="str">
        <f>IFERROR(__xludf.DUMMYFUNCTION("""COMPUTED_VALUE"""),"Orange")</f>
        <v>Orange</v>
      </c>
      <c r="B6208" s="120" t="str">
        <f>IFERROR(__xludf.DUMMYFUNCTION("""COMPUTED_VALUE"""),"JOR")</f>
        <v>JOR</v>
      </c>
      <c r="C6208" s="120" t="str">
        <f>IFERROR(__xludf.DUMMYFUNCTION("""COMPUTED_VALUE"""),"The City Heliport")</f>
        <v>The City Heliport</v>
      </c>
      <c r="D6208" s="120" t="str">
        <f>IFERROR(__xludf.DUMMYFUNCTION("""COMPUTED_VALUE"""),"United States")</f>
        <v>United States</v>
      </c>
      <c r="E6208" s="135"/>
      <c r="F6208" s="31"/>
    </row>
    <row r="6209">
      <c r="A6209" s="134" t="str">
        <f>IFERROR(__xludf.DUMMYFUNCTION("""COMPUTED_VALUE"""),"Orange")</f>
        <v>Orange</v>
      </c>
      <c r="B6209" s="120" t="str">
        <f>IFERROR(__xludf.DUMMYFUNCTION("""COMPUTED_VALUE"""),"OAG")</f>
        <v>OAG</v>
      </c>
      <c r="C6209" s="120" t="str">
        <f>IFERROR(__xludf.DUMMYFUNCTION("""COMPUTED_VALUE"""),"Springhill")</f>
        <v>Springhill</v>
      </c>
      <c r="D6209" s="120" t="str">
        <f>IFERROR(__xludf.DUMMYFUNCTION("""COMPUTED_VALUE"""),"Australia")</f>
        <v>Australia</v>
      </c>
      <c r="E6209" s="135"/>
      <c r="F6209" s="31"/>
    </row>
    <row r="6210">
      <c r="A6210" s="134" t="str">
        <f>IFERROR(__xludf.DUMMYFUNCTION("""COMPUTED_VALUE"""),"Orange Walk")</f>
        <v>Orange Walk</v>
      </c>
      <c r="B6210" s="120" t="str">
        <f>IFERROR(__xludf.DUMMYFUNCTION("""COMPUTED_VALUE"""),"ORZ")</f>
        <v>ORZ</v>
      </c>
      <c r="C6210" s="120" t="str">
        <f>IFERROR(__xludf.DUMMYFUNCTION("""COMPUTED_VALUE"""),"Orange Walk")</f>
        <v>Orange Walk</v>
      </c>
      <c r="D6210" s="120" t="str">
        <f>IFERROR(__xludf.DUMMYFUNCTION("""COMPUTED_VALUE"""),"Belize")</f>
        <v>Belize</v>
      </c>
      <c r="E6210" s="135"/>
      <c r="F6210" s="31"/>
    </row>
    <row r="6211">
      <c r="A6211" s="134" t="str">
        <f>IFERROR(__xludf.DUMMYFUNCTION("""COMPUTED_VALUE"""),"Orangeburg")</f>
        <v>Orangeburg</v>
      </c>
      <c r="B6211" s="120" t="str">
        <f>IFERROR(__xludf.DUMMYFUNCTION("""COMPUTED_VALUE"""),"OGB")</f>
        <v>OGB</v>
      </c>
      <c r="C6211" s="120" t="str">
        <f>IFERROR(__xludf.DUMMYFUNCTION("""COMPUTED_VALUE"""),"Municipal")</f>
        <v>Municipal</v>
      </c>
      <c r="D6211" s="120" t="str">
        <f>IFERROR(__xludf.DUMMYFUNCTION("""COMPUTED_VALUE"""),"United States")</f>
        <v>United States</v>
      </c>
      <c r="E6211" s="135"/>
      <c r="F6211" s="31"/>
    </row>
    <row r="6212">
      <c r="A6212" s="134" t="str">
        <f>IFERROR(__xludf.DUMMYFUNCTION("""COMPUTED_VALUE"""),"Oranjemund")</f>
        <v>Oranjemund</v>
      </c>
      <c r="B6212" s="120" t="str">
        <f>IFERROR(__xludf.DUMMYFUNCTION("""COMPUTED_VALUE"""),"OMD")</f>
        <v>OMD</v>
      </c>
      <c r="C6212" s="120" t="str">
        <f>IFERROR(__xludf.DUMMYFUNCTION("""COMPUTED_VALUE"""),"Oranjemund")</f>
        <v>Oranjemund</v>
      </c>
      <c r="D6212" s="120" t="str">
        <f>IFERROR(__xludf.DUMMYFUNCTION("""COMPUTED_VALUE"""),"Namibia")</f>
        <v>Namibia</v>
      </c>
      <c r="E6212" s="135"/>
      <c r="F6212" s="31"/>
    </row>
    <row r="6213">
      <c r="A6213" s="134" t="str">
        <f>IFERROR(__xludf.DUMMYFUNCTION("""COMPUTED_VALUE"""),"Orapa")</f>
        <v>Orapa</v>
      </c>
      <c r="B6213" s="120" t="str">
        <f>IFERROR(__xludf.DUMMYFUNCTION("""COMPUTED_VALUE"""),"ORP")</f>
        <v>ORP</v>
      </c>
      <c r="C6213" s="120" t="str">
        <f>IFERROR(__xludf.DUMMYFUNCTION("""COMPUTED_VALUE"""),"Orapa")</f>
        <v>Orapa</v>
      </c>
      <c r="D6213" s="120" t="str">
        <f>IFERROR(__xludf.DUMMYFUNCTION("""COMPUTED_VALUE"""),"Botswana")</f>
        <v>Botswana</v>
      </c>
      <c r="E6213" s="135"/>
      <c r="F6213" s="31"/>
    </row>
    <row r="6214">
      <c r="A6214" s="134" t="str">
        <f>IFERROR(__xludf.DUMMYFUNCTION("""COMPUTED_VALUE"""),"Orbost")</f>
        <v>Orbost</v>
      </c>
      <c r="B6214" s="120" t="str">
        <f>IFERROR(__xludf.DUMMYFUNCTION("""COMPUTED_VALUE"""),"RBS")</f>
        <v>RBS</v>
      </c>
      <c r="C6214" s="120" t="str">
        <f>IFERROR(__xludf.DUMMYFUNCTION("""COMPUTED_VALUE"""),"Orbost")</f>
        <v>Orbost</v>
      </c>
      <c r="D6214" s="120" t="str">
        <f>IFERROR(__xludf.DUMMYFUNCTION("""COMPUTED_VALUE"""),"Australia")</f>
        <v>Australia</v>
      </c>
      <c r="E6214" s="135"/>
      <c r="F6214" s="31"/>
    </row>
    <row r="6215">
      <c r="A6215" s="134" t="str">
        <f>IFERROR(__xludf.DUMMYFUNCTION("""COMPUTED_VALUE"""),"Orchid Beach")</f>
        <v>Orchid Beach</v>
      </c>
      <c r="B6215" s="120" t="str">
        <f>IFERROR(__xludf.DUMMYFUNCTION("""COMPUTED_VALUE"""),"OKB")</f>
        <v>OKB</v>
      </c>
      <c r="C6215" s="120" t="str">
        <f>IFERROR(__xludf.DUMMYFUNCTION("""COMPUTED_VALUE"""),"Fraser Island")</f>
        <v>Fraser Island</v>
      </c>
      <c r="D6215" s="120" t="str">
        <f>IFERROR(__xludf.DUMMYFUNCTION("""COMPUTED_VALUE"""),"Australia")</f>
        <v>Australia</v>
      </c>
      <c r="E6215" s="135"/>
      <c r="F6215" s="31"/>
    </row>
    <row r="6216">
      <c r="A6216" s="134" t="str">
        <f>IFERROR(__xludf.DUMMYFUNCTION("""COMPUTED_VALUE"""),"Orchid Island")</f>
        <v>Orchid Island</v>
      </c>
      <c r="B6216" s="120" t="str">
        <f>IFERROR(__xludf.DUMMYFUNCTION("""COMPUTED_VALUE"""),"KYD")</f>
        <v>KYD</v>
      </c>
      <c r="C6216" s="120" t="str">
        <f>IFERROR(__xludf.DUMMYFUNCTION("""COMPUTED_VALUE"""),"Orchid Island")</f>
        <v>Orchid Island</v>
      </c>
      <c r="D6216" s="120" t="str">
        <f>IFERROR(__xludf.DUMMYFUNCTION("""COMPUTED_VALUE"""),"Taiwan")</f>
        <v>Taiwan</v>
      </c>
      <c r="E6216" s="135"/>
      <c r="F6216" s="31"/>
    </row>
    <row r="6217">
      <c r="A6217" s="134" t="str">
        <f>IFERROR(__xludf.DUMMYFUNCTION("""COMPUTED_VALUE"""),"Ord River")</f>
        <v>Ord River</v>
      </c>
      <c r="B6217" s="120" t="str">
        <f>IFERROR(__xludf.DUMMYFUNCTION("""COMPUTED_VALUE"""),"ODR")</f>
        <v>ODR</v>
      </c>
      <c r="C6217" s="120" t="str">
        <f>IFERROR(__xludf.DUMMYFUNCTION("""COMPUTED_VALUE"""),"Ord River")</f>
        <v>Ord River</v>
      </c>
      <c r="D6217" s="120" t="str">
        <f>IFERROR(__xludf.DUMMYFUNCTION("""COMPUTED_VALUE"""),"Australia")</f>
        <v>Australia</v>
      </c>
      <c r="E6217" s="135"/>
      <c r="F6217" s="31"/>
    </row>
    <row r="6218">
      <c r="A6218" s="134" t="str">
        <f>IFERROR(__xludf.DUMMYFUNCTION("""COMPUTED_VALUE"""),"Orebro")</f>
        <v>Orebro</v>
      </c>
      <c r="B6218" s="120" t="str">
        <f>IFERROR(__xludf.DUMMYFUNCTION("""COMPUTED_VALUE"""),"ORB")</f>
        <v>ORB</v>
      </c>
      <c r="C6218" s="120" t="str">
        <f>IFERROR(__xludf.DUMMYFUNCTION("""COMPUTED_VALUE"""),"Orebro-bofors")</f>
        <v>Orebro-bofors</v>
      </c>
      <c r="D6218" s="120" t="str">
        <f>IFERROR(__xludf.DUMMYFUNCTION("""COMPUTED_VALUE"""),"Sweden")</f>
        <v>Sweden</v>
      </c>
      <c r="E6218" s="135"/>
      <c r="F6218" s="31"/>
    </row>
    <row r="6219">
      <c r="A6219" s="134" t="str">
        <f>IFERROR(__xludf.DUMMYFUNCTION("""COMPUTED_VALUE"""),"Orel")</f>
        <v>Orel</v>
      </c>
      <c r="B6219" s="120" t="str">
        <f>IFERROR(__xludf.DUMMYFUNCTION("""COMPUTED_VALUE"""),"OEL")</f>
        <v>OEL</v>
      </c>
      <c r="C6219" s="120" t="str">
        <f>IFERROR(__xludf.DUMMYFUNCTION("""COMPUTED_VALUE"""),"Orel")</f>
        <v>Orel</v>
      </c>
      <c r="D6219" s="120" t="str">
        <f>IFERROR(__xludf.DUMMYFUNCTION("""COMPUTED_VALUE"""),"Russia")</f>
        <v>Russia</v>
      </c>
      <c r="E6219" s="135"/>
      <c r="F6219" s="31"/>
    </row>
    <row r="6220">
      <c r="A6220" s="134" t="str">
        <f>IFERROR(__xludf.DUMMYFUNCTION("""COMPUTED_VALUE"""),"Orenburg")</f>
        <v>Orenburg</v>
      </c>
      <c r="B6220" s="120" t="str">
        <f>IFERROR(__xludf.DUMMYFUNCTION("""COMPUTED_VALUE"""),"REN")</f>
        <v>REN</v>
      </c>
      <c r="C6220" s="120" t="str">
        <f>IFERROR(__xludf.DUMMYFUNCTION("""COMPUTED_VALUE"""),"Orenburg")</f>
        <v>Orenburg</v>
      </c>
      <c r="D6220" s="120" t="str">
        <f>IFERROR(__xludf.DUMMYFUNCTION("""COMPUTED_VALUE"""),"Russia")</f>
        <v>Russia</v>
      </c>
      <c r="E6220" s="135"/>
      <c r="F6220" s="31"/>
    </row>
    <row r="6221">
      <c r="A6221" s="134" t="str">
        <f>IFERROR(__xludf.DUMMYFUNCTION("""COMPUTED_VALUE"""),"Oria")</f>
        <v>Oria</v>
      </c>
      <c r="B6221" s="120" t="str">
        <f>IFERROR(__xludf.DUMMYFUNCTION("""COMPUTED_VALUE"""),"OTY")</f>
        <v>OTY</v>
      </c>
      <c r="C6221" s="120" t="str">
        <f>IFERROR(__xludf.DUMMYFUNCTION("""COMPUTED_VALUE"""),"Oria")</f>
        <v>Oria</v>
      </c>
      <c r="D6221" s="120" t="str">
        <f>IFERROR(__xludf.DUMMYFUNCTION("""COMPUTED_VALUE"""),"Papua New Guinea")</f>
        <v>Papua New Guinea</v>
      </c>
      <c r="E6221" s="135"/>
      <c r="F6221" s="31"/>
    </row>
    <row r="6222">
      <c r="A6222" s="134" t="str">
        <f>IFERROR(__xludf.DUMMYFUNCTION("""COMPUTED_VALUE"""),"Orientos")</f>
        <v>Orientos</v>
      </c>
      <c r="B6222" s="120" t="str">
        <f>IFERROR(__xludf.DUMMYFUNCTION("""COMPUTED_VALUE"""),"OXO")</f>
        <v>OXO</v>
      </c>
      <c r="C6222" s="120" t="str">
        <f>IFERROR(__xludf.DUMMYFUNCTION("""COMPUTED_VALUE"""),"Orientos")</f>
        <v>Orientos</v>
      </c>
      <c r="D6222" s="120" t="str">
        <f>IFERROR(__xludf.DUMMYFUNCTION("""COMPUTED_VALUE"""),"Australia")</f>
        <v>Australia</v>
      </c>
      <c r="E6222" s="135"/>
      <c r="F6222" s="31"/>
    </row>
    <row r="6223">
      <c r="A6223" s="134" t="str">
        <f>IFERROR(__xludf.DUMMYFUNCTION("""COMPUTED_VALUE"""),"Orinduik")</f>
        <v>Orinduik</v>
      </c>
      <c r="B6223" s="120" t="str">
        <f>IFERROR(__xludf.DUMMYFUNCTION("""COMPUTED_VALUE"""),"ORJ")</f>
        <v>ORJ</v>
      </c>
      <c r="C6223" s="120" t="str">
        <f>IFERROR(__xludf.DUMMYFUNCTION("""COMPUTED_VALUE"""),"Orinduik")</f>
        <v>Orinduik</v>
      </c>
      <c r="D6223" s="120" t="str">
        <f>IFERROR(__xludf.DUMMYFUNCTION("""COMPUTED_VALUE"""),"Guyana")</f>
        <v>Guyana</v>
      </c>
      <c r="E6223" s="135"/>
      <c r="F6223" s="31"/>
    </row>
    <row r="6224">
      <c r="A6224" s="134" t="str">
        <f>IFERROR(__xludf.DUMMYFUNCTION("""COMPUTED_VALUE"""),"Oriximina")</f>
        <v>Oriximina</v>
      </c>
      <c r="B6224" s="120" t="str">
        <f>IFERROR(__xludf.DUMMYFUNCTION("""COMPUTED_VALUE"""),"ORX")</f>
        <v>ORX</v>
      </c>
      <c r="C6224" s="120" t="str">
        <f>IFERROR(__xludf.DUMMYFUNCTION("""COMPUTED_VALUE"""),"Oriximina")</f>
        <v>Oriximina</v>
      </c>
      <c r="D6224" s="120" t="str">
        <f>IFERROR(__xludf.DUMMYFUNCTION("""COMPUTED_VALUE"""),"Brazil")</f>
        <v>Brazil</v>
      </c>
      <c r="E6224" s="135"/>
      <c r="F6224" s="31"/>
    </row>
    <row r="6225">
      <c r="A6225" s="134" t="str">
        <f>IFERROR(__xludf.DUMMYFUNCTION("""COMPUTED_VALUE"""),"Orkney Island")</f>
        <v>Orkney Island</v>
      </c>
      <c r="B6225" s="120" t="str">
        <f>IFERROR(__xludf.DUMMYFUNCTION("""COMPUTED_VALUE"""),"KOI")</f>
        <v>KOI</v>
      </c>
      <c r="C6225" s="120" t="str">
        <f>IFERROR(__xludf.DUMMYFUNCTION("""COMPUTED_VALUE"""),"Orkney Island")</f>
        <v>Orkney Island</v>
      </c>
      <c r="D6225" s="120" t="str">
        <f>IFERROR(__xludf.DUMMYFUNCTION("""COMPUTED_VALUE"""),"United Kingdom")</f>
        <v>United Kingdom</v>
      </c>
      <c r="E6225" s="135"/>
      <c r="F6225" s="31"/>
    </row>
    <row r="6226">
      <c r="A6226" s="134" t="str">
        <f>IFERROR(__xludf.DUMMYFUNCTION("""COMPUTED_VALUE"""),"Orland")</f>
        <v>Orland</v>
      </c>
      <c r="B6226" s="120" t="str">
        <f>IFERROR(__xludf.DUMMYFUNCTION("""COMPUTED_VALUE"""),"OLA")</f>
        <v>OLA</v>
      </c>
      <c r="C6226" s="120" t="str">
        <f>IFERROR(__xludf.DUMMYFUNCTION("""COMPUTED_VALUE"""),"Orland")</f>
        <v>Orland</v>
      </c>
      <c r="D6226" s="120" t="str">
        <f>IFERROR(__xludf.DUMMYFUNCTION("""COMPUTED_VALUE"""),"Norway")</f>
        <v>Norway</v>
      </c>
      <c r="E6226" s="135"/>
      <c r="F6226" s="31"/>
    </row>
    <row r="6227">
      <c r="A6227" s="134" t="str">
        <f>IFERROR(__xludf.DUMMYFUNCTION("""COMPUTED_VALUE"""),"Orlando")</f>
        <v>Orlando</v>
      </c>
      <c r="B6227" s="120" t="str">
        <f>IFERROR(__xludf.DUMMYFUNCTION("""COMPUTED_VALUE"""),"ORL")</f>
        <v>ORL</v>
      </c>
      <c r="C6227" s="120" t="str">
        <f>IFERROR(__xludf.DUMMYFUNCTION("""COMPUTED_VALUE"""),"Orlando Executive")</f>
        <v>Orlando Executive</v>
      </c>
      <c r="D6227" s="120" t="str">
        <f>IFERROR(__xludf.DUMMYFUNCTION("""COMPUTED_VALUE"""),"United States")</f>
        <v>United States</v>
      </c>
      <c r="E6227" s="135"/>
      <c r="F6227" s="31"/>
    </row>
    <row r="6228">
      <c r="A6228" s="134" t="str">
        <f>IFERROR(__xludf.DUMMYFUNCTION("""COMPUTED_VALUE"""),"Orlando")</f>
        <v>Orlando</v>
      </c>
      <c r="B6228" s="120" t="str">
        <f>IFERROR(__xludf.DUMMYFUNCTION("""COMPUTED_VALUE"""),"MCO")</f>
        <v>MCO</v>
      </c>
      <c r="C6228" s="120" t="str">
        <f>IFERROR(__xludf.DUMMYFUNCTION("""COMPUTED_VALUE"""),"International")</f>
        <v>International</v>
      </c>
      <c r="D6228" s="120" t="str">
        <f>IFERROR(__xludf.DUMMYFUNCTION("""COMPUTED_VALUE"""),"United States")</f>
        <v>United States</v>
      </c>
      <c r="E6228" s="135"/>
      <c r="F6228" s="31"/>
    </row>
    <row r="6229">
      <c r="A6229" s="134" t="str">
        <f>IFERROR(__xludf.DUMMYFUNCTION("""COMPUTED_VALUE"""),"Orlando")</f>
        <v>Orlando</v>
      </c>
      <c r="B6229" s="120" t="str">
        <f>IFERROR(__xludf.DUMMYFUNCTION("""COMPUTED_VALUE"""),"SFB")</f>
        <v>SFB</v>
      </c>
      <c r="C6229" s="120" t="str">
        <f>IFERROR(__xludf.DUMMYFUNCTION("""COMPUTED_VALUE"""),"Orlando Sanford Intl")</f>
        <v>Orlando Sanford Intl</v>
      </c>
      <c r="D6229" s="120" t="str">
        <f>IFERROR(__xludf.DUMMYFUNCTION("""COMPUTED_VALUE"""),"United States")</f>
        <v>United States</v>
      </c>
      <c r="E6229" s="135"/>
      <c r="F6229" s="31"/>
    </row>
    <row r="6230">
      <c r="A6230" s="134" t="str">
        <f>IFERROR(__xludf.DUMMYFUNCTION("""COMPUTED_VALUE"""),"Orlando")</f>
        <v>Orlando</v>
      </c>
      <c r="B6230" s="120" t="str">
        <f>IFERROR(__xludf.DUMMYFUNCTION("""COMPUTED_VALUE"""),"DWS")</f>
        <v>DWS</v>
      </c>
      <c r="C6230" s="120" t="str">
        <f>IFERROR(__xludf.DUMMYFUNCTION("""COMPUTED_VALUE"""),"Walt Disney World")</f>
        <v>Walt Disney World</v>
      </c>
      <c r="D6230" s="120" t="str">
        <f>IFERROR(__xludf.DUMMYFUNCTION("""COMPUTED_VALUE"""),"United States")</f>
        <v>United States</v>
      </c>
      <c r="E6230" s="135"/>
      <c r="F6230" s="31"/>
    </row>
    <row r="6231">
      <c r="A6231" s="134" t="str">
        <f>IFERROR(__xludf.DUMMYFUNCTION("""COMPUTED_VALUE"""),"Orleans")</f>
        <v>Orleans</v>
      </c>
      <c r="B6231" s="120" t="str">
        <f>IFERROR(__xludf.DUMMYFUNCTION("""COMPUTED_VALUE"""),"ORE")</f>
        <v>ORE</v>
      </c>
      <c r="C6231" s="120" t="str">
        <f>IFERROR(__xludf.DUMMYFUNCTION("""COMPUTED_VALUE"""),"Orleans")</f>
        <v>Orleans</v>
      </c>
      <c r="D6231" s="120" t="str">
        <f>IFERROR(__xludf.DUMMYFUNCTION("""COMPUTED_VALUE"""),"France")</f>
        <v>France</v>
      </c>
      <c r="E6231" s="135"/>
      <c r="F6231" s="31"/>
    </row>
    <row r="6232">
      <c r="A6232" s="134" t="str">
        <f>IFERROR(__xludf.DUMMYFUNCTION("""COMPUTED_VALUE"""),"Ormara")</f>
        <v>Ormara</v>
      </c>
      <c r="B6232" s="120" t="str">
        <f>IFERROR(__xludf.DUMMYFUNCTION("""COMPUTED_VALUE"""),"ORW")</f>
        <v>ORW</v>
      </c>
      <c r="C6232" s="120" t="str">
        <f>IFERROR(__xludf.DUMMYFUNCTION("""COMPUTED_VALUE"""),"Ormara")</f>
        <v>Ormara</v>
      </c>
      <c r="D6232" s="120" t="str">
        <f>IFERROR(__xludf.DUMMYFUNCTION("""COMPUTED_VALUE"""),"Pakistan")</f>
        <v>Pakistan</v>
      </c>
      <c r="E6232" s="135"/>
      <c r="F6232" s="31"/>
    </row>
    <row r="6233">
      <c r="A6233" s="134" t="str">
        <f>IFERROR(__xludf.DUMMYFUNCTION("""COMPUTED_VALUE"""),"Ormoc")</f>
        <v>Ormoc</v>
      </c>
      <c r="B6233" s="120" t="str">
        <f>IFERROR(__xludf.DUMMYFUNCTION("""COMPUTED_VALUE"""),"OMC")</f>
        <v>OMC</v>
      </c>
      <c r="C6233" s="120" t="str">
        <f>IFERROR(__xludf.DUMMYFUNCTION("""COMPUTED_VALUE"""),"Ormoc")</f>
        <v>Ormoc</v>
      </c>
      <c r="D6233" s="120" t="str">
        <f>IFERROR(__xludf.DUMMYFUNCTION("""COMPUTED_VALUE"""),"Philippines")</f>
        <v>Philippines</v>
      </c>
      <c r="E6233" s="135"/>
      <c r="F6233" s="31"/>
    </row>
    <row r="6234">
      <c r="A6234" s="134" t="str">
        <f>IFERROR(__xludf.DUMMYFUNCTION("""COMPUTED_VALUE"""),"Ornskoldsvik")</f>
        <v>Ornskoldsvik</v>
      </c>
      <c r="B6234" s="120" t="str">
        <f>IFERROR(__xludf.DUMMYFUNCTION("""COMPUTED_VALUE"""),"OER")</f>
        <v>OER</v>
      </c>
      <c r="C6234" s="120" t="str">
        <f>IFERROR(__xludf.DUMMYFUNCTION("""COMPUTED_VALUE"""),"Ornskoldsvik")</f>
        <v>Ornskoldsvik</v>
      </c>
      <c r="D6234" s="120" t="str">
        <f>IFERROR(__xludf.DUMMYFUNCTION("""COMPUTED_VALUE"""),"Sweden")</f>
        <v>Sweden</v>
      </c>
      <c r="E6234" s="135"/>
      <c r="F6234" s="31"/>
    </row>
    <row r="6235">
      <c r="A6235" s="134" t="str">
        <f>IFERROR(__xludf.DUMMYFUNCTION("""COMPUTED_VALUE"""),"Orocue")</f>
        <v>Orocue</v>
      </c>
      <c r="B6235" s="120" t="str">
        <f>IFERROR(__xludf.DUMMYFUNCTION("""COMPUTED_VALUE"""),"ORC")</f>
        <v>ORC</v>
      </c>
      <c r="C6235" s="120" t="str">
        <f>IFERROR(__xludf.DUMMYFUNCTION("""COMPUTED_VALUE"""),"Orocue")</f>
        <v>Orocue</v>
      </c>
      <c r="D6235" s="120" t="str">
        <f>IFERROR(__xludf.DUMMYFUNCTION("""COMPUTED_VALUE"""),"Colombia")</f>
        <v>Colombia</v>
      </c>
      <c r="E6235" s="135"/>
      <c r="F6235" s="31"/>
    </row>
    <row r="6236">
      <c r="A6236" s="134" t="str">
        <f>IFERROR(__xludf.DUMMYFUNCTION("""COMPUTED_VALUE"""),"Oroville")</f>
        <v>Oroville</v>
      </c>
      <c r="B6236" s="120" t="str">
        <f>IFERROR(__xludf.DUMMYFUNCTION("""COMPUTED_VALUE"""),"OVE")</f>
        <v>OVE</v>
      </c>
      <c r="C6236" s="120" t="str">
        <f>IFERROR(__xludf.DUMMYFUNCTION("""COMPUTED_VALUE"""),"Oroville")</f>
        <v>Oroville</v>
      </c>
      <c r="D6236" s="120" t="str">
        <f>IFERROR(__xludf.DUMMYFUNCTION("""COMPUTED_VALUE"""),"United States")</f>
        <v>United States</v>
      </c>
      <c r="E6236" s="135"/>
      <c r="F6236" s="31"/>
    </row>
    <row r="6237">
      <c r="A6237" s="134" t="str">
        <f>IFERROR(__xludf.DUMMYFUNCTION("""COMPUTED_VALUE"""),"Orpheus Island Resort")</f>
        <v>Orpheus Island Resort</v>
      </c>
      <c r="B6237" s="120" t="str">
        <f>IFERROR(__xludf.DUMMYFUNCTION("""COMPUTED_VALUE"""),"ORS")</f>
        <v>ORS</v>
      </c>
      <c r="C6237" s="120" t="str">
        <f>IFERROR(__xludf.DUMMYFUNCTION("""COMPUTED_VALUE"""),"Waterport")</f>
        <v>Waterport</v>
      </c>
      <c r="D6237" s="120" t="str">
        <f>IFERROR(__xludf.DUMMYFUNCTION("""COMPUTED_VALUE"""),"Australia")</f>
        <v>Australia</v>
      </c>
      <c r="E6237" s="135"/>
      <c r="F6237" s="31"/>
    </row>
    <row r="6238">
      <c r="A6238" s="134" t="str">
        <f>IFERROR(__xludf.DUMMYFUNCTION("""COMPUTED_VALUE"""),"Orsk")</f>
        <v>Orsk</v>
      </c>
      <c r="B6238" s="120" t="str">
        <f>IFERROR(__xludf.DUMMYFUNCTION("""COMPUTED_VALUE"""),"OSW")</f>
        <v>OSW</v>
      </c>
      <c r="C6238" s="120" t="str">
        <f>IFERROR(__xludf.DUMMYFUNCTION("""COMPUTED_VALUE"""),"Orsk")</f>
        <v>Orsk</v>
      </c>
      <c r="D6238" s="120" t="str">
        <f>IFERROR(__xludf.DUMMYFUNCTION("""COMPUTED_VALUE"""),"Russia")</f>
        <v>Russia</v>
      </c>
      <c r="E6238" s="135"/>
      <c r="F6238" s="31"/>
    </row>
    <row r="6239">
      <c r="A6239" s="134" t="str">
        <f>IFERROR(__xludf.DUMMYFUNCTION("""COMPUTED_VALUE"""),"Orsta-Volda")</f>
        <v>Orsta-Volda</v>
      </c>
      <c r="B6239" s="120" t="str">
        <f>IFERROR(__xludf.DUMMYFUNCTION("""COMPUTED_VALUE"""),"HOV")</f>
        <v>HOV</v>
      </c>
      <c r="C6239" s="120" t="str">
        <f>IFERROR(__xludf.DUMMYFUNCTION("""COMPUTED_VALUE"""),"Hovden")</f>
        <v>Hovden</v>
      </c>
      <c r="D6239" s="120" t="str">
        <f>IFERROR(__xludf.DUMMYFUNCTION("""COMPUTED_VALUE"""),"Norway")</f>
        <v>Norway</v>
      </c>
      <c r="E6239" s="135"/>
      <c r="F6239" s="31"/>
    </row>
    <row r="6240">
      <c r="A6240" s="134" t="str">
        <f>IFERROR(__xludf.DUMMYFUNCTION("""COMPUTED_VALUE"""),"Oruro")</f>
        <v>Oruro</v>
      </c>
      <c r="B6240" s="120" t="str">
        <f>IFERROR(__xludf.DUMMYFUNCTION("""COMPUTED_VALUE"""),"ORU")</f>
        <v>ORU</v>
      </c>
      <c r="C6240" s="120" t="str">
        <f>IFERROR(__xludf.DUMMYFUNCTION("""COMPUTED_VALUE"""),"Oruro")</f>
        <v>Oruro</v>
      </c>
      <c r="D6240" s="120" t="str">
        <f>IFERROR(__xludf.DUMMYFUNCTION("""COMPUTED_VALUE"""),"Bolivia")</f>
        <v>Bolivia</v>
      </c>
      <c r="E6240" s="135"/>
      <c r="F6240" s="31"/>
    </row>
    <row r="6241">
      <c r="A6241" s="134" t="str">
        <f>IFERROR(__xludf.DUMMYFUNCTION("""COMPUTED_VALUE"""),"Osage Beach")</f>
        <v>Osage Beach</v>
      </c>
      <c r="B6241" s="120" t="str">
        <f>IFERROR(__xludf.DUMMYFUNCTION("""COMPUTED_VALUE"""),"OSB")</f>
        <v>OSB</v>
      </c>
      <c r="C6241" s="120" t="str">
        <f>IFERROR(__xludf.DUMMYFUNCTION("""COMPUTED_VALUE"""),"Osage Beach")</f>
        <v>Osage Beach</v>
      </c>
      <c r="D6241" s="120" t="str">
        <f>IFERROR(__xludf.DUMMYFUNCTION("""COMPUTED_VALUE"""),"United States")</f>
        <v>United States</v>
      </c>
      <c r="E6241" s="135"/>
      <c r="F6241" s="31"/>
    </row>
    <row r="6242">
      <c r="A6242" s="134" t="str">
        <f>IFERROR(__xludf.DUMMYFUNCTION("""COMPUTED_VALUE"""),"Osaka")</f>
        <v>Osaka</v>
      </c>
      <c r="B6242" s="120" t="str">
        <f>IFERROR(__xludf.DUMMYFUNCTION("""COMPUTED_VALUE"""),"ITM")</f>
        <v>ITM</v>
      </c>
      <c r="C6242" s="120" t="str">
        <f>IFERROR(__xludf.DUMMYFUNCTION("""COMPUTED_VALUE"""),"Itami")</f>
        <v>Itami</v>
      </c>
      <c r="D6242" s="120" t="str">
        <f>IFERROR(__xludf.DUMMYFUNCTION("""COMPUTED_VALUE"""),"Japan")</f>
        <v>Japan</v>
      </c>
      <c r="E6242" s="135"/>
      <c r="F6242" s="31"/>
    </row>
    <row r="6243">
      <c r="A6243" s="134" t="str">
        <f>IFERROR(__xludf.DUMMYFUNCTION("""COMPUTED_VALUE"""),"Osaka")</f>
        <v>Osaka</v>
      </c>
      <c r="B6243" s="120" t="str">
        <f>IFERROR(__xludf.DUMMYFUNCTION("""COMPUTED_VALUE"""),"KIX")</f>
        <v>KIX</v>
      </c>
      <c r="C6243" s="120" t="str">
        <f>IFERROR(__xludf.DUMMYFUNCTION("""COMPUTED_VALUE"""),"Kansai International")</f>
        <v>Kansai International</v>
      </c>
      <c r="D6243" s="120" t="str">
        <f>IFERROR(__xludf.DUMMYFUNCTION("""COMPUTED_VALUE"""),"Japan")</f>
        <v>Japan</v>
      </c>
      <c r="E6243" s="135"/>
      <c r="F6243" s="31"/>
    </row>
    <row r="6244">
      <c r="A6244" s="134" t="str">
        <f>IFERROR(__xludf.DUMMYFUNCTION("""COMPUTED_VALUE"""),"Osan")</f>
        <v>Osan</v>
      </c>
      <c r="B6244" s="120" t="str">
        <f>IFERROR(__xludf.DUMMYFUNCTION("""COMPUTED_VALUE"""),"OSN")</f>
        <v>OSN</v>
      </c>
      <c r="C6244" s="120" t="str">
        <f>IFERROR(__xludf.DUMMYFUNCTION("""COMPUTED_VALUE"""),"Ab")</f>
        <v>Ab</v>
      </c>
      <c r="D6244" s="120" t="str">
        <f>IFERROR(__xludf.DUMMYFUNCTION("""COMPUTED_VALUE"""),"Korea (South)")</f>
        <v>Korea (South)</v>
      </c>
      <c r="E6244" s="135"/>
      <c r="F6244" s="31"/>
    </row>
    <row r="6245">
      <c r="A6245" s="134" t="str">
        <f>IFERROR(__xludf.DUMMYFUNCTION("""COMPUTED_VALUE"""),"Osceola")</f>
        <v>Osceola</v>
      </c>
      <c r="B6245" s="120" t="str">
        <f>IFERROR(__xludf.DUMMYFUNCTION("""COMPUTED_VALUE"""),"OEO")</f>
        <v>OEO</v>
      </c>
      <c r="C6245" s="120" t="str">
        <f>IFERROR(__xludf.DUMMYFUNCTION("""COMPUTED_VALUE"""),"Municipal")</f>
        <v>Municipal</v>
      </c>
      <c r="D6245" s="120" t="str">
        <f>IFERROR(__xludf.DUMMYFUNCTION("""COMPUTED_VALUE"""),"United States")</f>
        <v>United States</v>
      </c>
      <c r="E6245" s="135"/>
      <c r="F6245" s="31"/>
    </row>
    <row r="6246">
      <c r="A6246" s="134" t="str">
        <f>IFERROR(__xludf.DUMMYFUNCTION("""COMPUTED_VALUE"""),"Oscoda")</f>
        <v>Oscoda</v>
      </c>
      <c r="B6246" s="120" t="str">
        <f>IFERROR(__xludf.DUMMYFUNCTION("""COMPUTED_VALUE"""),"OSC")</f>
        <v>OSC</v>
      </c>
      <c r="C6246" s="120" t="str">
        <f>IFERROR(__xludf.DUMMYFUNCTION("""COMPUTED_VALUE"""),"Wurtsmith AFB")</f>
        <v>Wurtsmith AFB</v>
      </c>
      <c r="D6246" s="120" t="str">
        <f>IFERROR(__xludf.DUMMYFUNCTION("""COMPUTED_VALUE"""),"United States")</f>
        <v>United States</v>
      </c>
      <c r="E6246" s="135"/>
      <c r="F6246" s="31"/>
    </row>
    <row r="6247">
      <c r="A6247" s="134" t="str">
        <f>IFERROR(__xludf.DUMMYFUNCTION("""COMPUTED_VALUE"""),"Osh")</f>
        <v>Osh</v>
      </c>
      <c r="B6247" s="120" t="str">
        <f>IFERROR(__xludf.DUMMYFUNCTION("""COMPUTED_VALUE"""),"OSS")</f>
        <v>OSS</v>
      </c>
      <c r="C6247" s="120" t="str">
        <f>IFERROR(__xludf.DUMMYFUNCTION("""COMPUTED_VALUE"""),"Osh")</f>
        <v>Osh</v>
      </c>
      <c r="D6247" s="120" t="str">
        <f>IFERROR(__xludf.DUMMYFUNCTION("""COMPUTED_VALUE"""),"Kyrgyzstan")</f>
        <v>Kyrgyzstan</v>
      </c>
      <c r="E6247" s="135"/>
      <c r="F6247" s="31"/>
    </row>
    <row r="6248">
      <c r="A6248" s="134" t="str">
        <f>IFERROR(__xludf.DUMMYFUNCTION("""COMPUTED_VALUE"""),"Oshakati")</f>
        <v>Oshakati</v>
      </c>
      <c r="B6248" s="120" t="str">
        <f>IFERROR(__xludf.DUMMYFUNCTION("""COMPUTED_VALUE"""),"OHI")</f>
        <v>OHI</v>
      </c>
      <c r="C6248" s="120" t="str">
        <f>IFERROR(__xludf.DUMMYFUNCTION("""COMPUTED_VALUE"""),"Oshakati")</f>
        <v>Oshakati</v>
      </c>
      <c r="D6248" s="120" t="str">
        <f>IFERROR(__xludf.DUMMYFUNCTION("""COMPUTED_VALUE"""),"Namibia")</f>
        <v>Namibia</v>
      </c>
      <c r="E6248" s="135"/>
      <c r="F6248" s="31"/>
    </row>
    <row r="6249">
      <c r="A6249" s="134" t="str">
        <f>IFERROR(__xludf.DUMMYFUNCTION("""COMPUTED_VALUE"""),"Oshawa")</f>
        <v>Oshawa</v>
      </c>
      <c r="B6249" s="120" t="str">
        <f>IFERROR(__xludf.DUMMYFUNCTION("""COMPUTED_VALUE"""),"YOO")</f>
        <v>YOO</v>
      </c>
      <c r="C6249" s="120" t="str">
        <f>IFERROR(__xludf.DUMMYFUNCTION("""COMPUTED_VALUE"""),"Oshawa")</f>
        <v>Oshawa</v>
      </c>
      <c r="D6249" s="120" t="str">
        <f>IFERROR(__xludf.DUMMYFUNCTION("""COMPUTED_VALUE"""),"Canada")</f>
        <v>Canada</v>
      </c>
      <c r="E6249" s="135"/>
      <c r="F6249" s="31"/>
    </row>
    <row r="6250">
      <c r="A6250" s="134" t="str">
        <f>IFERROR(__xludf.DUMMYFUNCTION("""COMPUTED_VALUE"""),"Oshima")</f>
        <v>Oshima</v>
      </c>
      <c r="B6250" s="120" t="str">
        <f>IFERROR(__xludf.DUMMYFUNCTION("""COMPUTED_VALUE"""),"OIM")</f>
        <v>OIM</v>
      </c>
      <c r="C6250" s="120" t="str">
        <f>IFERROR(__xludf.DUMMYFUNCTION("""COMPUTED_VALUE"""),"Oshima")</f>
        <v>Oshima</v>
      </c>
      <c r="D6250" s="120" t="str">
        <f>IFERROR(__xludf.DUMMYFUNCTION("""COMPUTED_VALUE"""),"Japan")</f>
        <v>Japan</v>
      </c>
      <c r="E6250" s="135"/>
      <c r="F6250" s="31"/>
    </row>
    <row r="6251">
      <c r="A6251" s="134" t="str">
        <f>IFERROR(__xludf.DUMMYFUNCTION("""COMPUTED_VALUE"""),"Oshkosh")</f>
        <v>Oshkosh</v>
      </c>
      <c r="B6251" s="120" t="str">
        <f>IFERROR(__xludf.DUMMYFUNCTION("""COMPUTED_VALUE"""),"OKS")</f>
        <v>OKS</v>
      </c>
      <c r="C6251" s="120" t="str">
        <f>IFERROR(__xludf.DUMMYFUNCTION("""COMPUTED_VALUE"""),"Oshkosh")</f>
        <v>Oshkosh</v>
      </c>
      <c r="D6251" s="120" t="str">
        <f>IFERROR(__xludf.DUMMYFUNCTION("""COMPUTED_VALUE"""),"United States")</f>
        <v>United States</v>
      </c>
      <c r="E6251" s="135"/>
      <c r="F6251" s="31"/>
    </row>
    <row r="6252">
      <c r="A6252" s="134" t="str">
        <f>IFERROR(__xludf.DUMMYFUNCTION("""COMPUTED_VALUE"""),"Oshkosh")</f>
        <v>Oshkosh</v>
      </c>
      <c r="B6252" s="120" t="str">
        <f>IFERROR(__xludf.DUMMYFUNCTION("""COMPUTED_VALUE"""),"OSH")</f>
        <v>OSH</v>
      </c>
      <c r="C6252" s="120" t="str">
        <f>IFERROR(__xludf.DUMMYFUNCTION("""COMPUTED_VALUE"""),"Wittman Field")</f>
        <v>Wittman Field</v>
      </c>
      <c r="D6252" s="120" t="str">
        <f>IFERROR(__xludf.DUMMYFUNCTION("""COMPUTED_VALUE"""),"United States")</f>
        <v>United States</v>
      </c>
      <c r="E6252" s="135"/>
      <c r="F6252" s="31"/>
    </row>
    <row r="6253">
      <c r="A6253" s="134" t="str">
        <f>IFERROR(__xludf.DUMMYFUNCTION("""COMPUTED_VALUE"""),"Osijek")</f>
        <v>Osijek</v>
      </c>
      <c r="B6253" s="120" t="str">
        <f>IFERROR(__xludf.DUMMYFUNCTION("""COMPUTED_VALUE"""),"OSI")</f>
        <v>OSI</v>
      </c>
      <c r="C6253" s="120" t="str">
        <f>IFERROR(__xludf.DUMMYFUNCTION("""COMPUTED_VALUE"""),"Osijek")</f>
        <v>Osijek</v>
      </c>
      <c r="D6253" s="120" t="str">
        <f>IFERROR(__xludf.DUMMYFUNCTION("""COMPUTED_VALUE"""),"Croatia")</f>
        <v>Croatia</v>
      </c>
      <c r="E6253" s="135"/>
      <c r="F6253" s="31"/>
    </row>
    <row r="6254">
      <c r="A6254" s="134" t="str">
        <f>IFERROR(__xludf.DUMMYFUNCTION("""COMPUTED_VALUE"""),"Oskaloosa")</f>
        <v>Oskaloosa</v>
      </c>
      <c r="B6254" s="120" t="str">
        <f>IFERROR(__xludf.DUMMYFUNCTION("""COMPUTED_VALUE"""),"OOA")</f>
        <v>OOA</v>
      </c>
      <c r="C6254" s="120" t="str">
        <f>IFERROR(__xludf.DUMMYFUNCTION("""COMPUTED_VALUE"""),"Municipal")</f>
        <v>Municipal</v>
      </c>
      <c r="D6254" s="120" t="str">
        <f>IFERROR(__xludf.DUMMYFUNCTION("""COMPUTED_VALUE"""),"United States")</f>
        <v>United States</v>
      </c>
      <c r="E6254" s="135"/>
      <c r="F6254" s="31"/>
    </row>
    <row r="6255">
      <c r="A6255" s="134" t="str">
        <f>IFERROR(__xludf.DUMMYFUNCTION("""COMPUTED_VALUE"""),"Oskarshamn")</f>
        <v>Oskarshamn</v>
      </c>
      <c r="B6255" s="120" t="str">
        <f>IFERROR(__xludf.DUMMYFUNCTION("""COMPUTED_VALUE"""),"OSK")</f>
        <v>OSK</v>
      </c>
      <c r="C6255" s="120" t="str">
        <f>IFERROR(__xludf.DUMMYFUNCTION("""COMPUTED_VALUE"""),"Oskarshamn")</f>
        <v>Oskarshamn</v>
      </c>
      <c r="D6255" s="120" t="str">
        <f>IFERROR(__xludf.DUMMYFUNCTION("""COMPUTED_VALUE"""),"Sweden")</f>
        <v>Sweden</v>
      </c>
      <c r="E6255" s="135"/>
      <c r="F6255" s="31"/>
    </row>
    <row r="6256">
      <c r="A6256" s="134" t="str">
        <f>IFERROR(__xludf.DUMMYFUNCTION("""COMPUTED_VALUE"""),"Oslo")</f>
        <v>Oslo</v>
      </c>
      <c r="B6256" s="120" t="str">
        <f>IFERROR(__xludf.DUMMYFUNCTION("""COMPUTED_VALUE"""),"OSL")</f>
        <v>OSL</v>
      </c>
      <c r="C6256" s="120" t="str">
        <f>IFERROR(__xludf.DUMMYFUNCTION("""COMPUTED_VALUE"""),"Oslo Airport, Gardermoen")</f>
        <v>Oslo Airport, Gardermoen</v>
      </c>
      <c r="D6256" s="120" t="str">
        <f>IFERROR(__xludf.DUMMYFUNCTION("""COMPUTED_VALUE"""),"Norway")</f>
        <v>Norway</v>
      </c>
      <c r="E6256" s="135"/>
      <c r="F6256" s="31"/>
    </row>
    <row r="6257">
      <c r="A6257" s="134" t="str">
        <f>IFERROR(__xludf.DUMMYFUNCTION("""COMPUTED_VALUE"""),"Oslo")</f>
        <v>Oslo</v>
      </c>
      <c r="B6257" s="120" t="str">
        <f>IFERROR(__xludf.DUMMYFUNCTION("""COMPUTED_VALUE"""),"XZO")</f>
        <v>XZO</v>
      </c>
      <c r="C6257" s="120" t="str">
        <f>IFERROR(__xludf.DUMMYFUNCTION("""COMPUTED_VALUE"""),"Oslo Central Station")</f>
        <v>Oslo Central Station</v>
      </c>
      <c r="D6257" s="120" t="str">
        <f>IFERROR(__xludf.DUMMYFUNCTION("""COMPUTED_VALUE"""),"Norway")</f>
        <v>Norway</v>
      </c>
      <c r="E6257" s="135"/>
      <c r="F6257" s="31"/>
    </row>
    <row r="6258">
      <c r="A6258" s="134" t="str">
        <f>IFERROR(__xludf.DUMMYFUNCTION("""COMPUTED_VALUE"""),"Oslo")</f>
        <v>Oslo</v>
      </c>
      <c r="B6258" s="120" t="str">
        <f>IFERROR(__xludf.DUMMYFUNCTION("""COMPUTED_VALUE"""),"TRF")</f>
        <v>TRF</v>
      </c>
      <c r="C6258" s="120" t="str">
        <f>IFERROR(__xludf.DUMMYFUNCTION("""COMPUTED_VALUE"""),"Sandefjord")</f>
        <v>Sandefjord</v>
      </c>
      <c r="D6258" s="120" t="str">
        <f>IFERROR(__xludf.DUMMYFUNCTION("""COMPUTED_VALUE"""),"Norway")</f>
        <v>Norway</v>
      </c>
      <c r="E6258" s="135"/>
      <c r="F6258" s="31"/>
    </row>
    <row r="6259">
      <c r="A6259" s="134" t="str">
        <f>IFERROR(__xludf.DUMMYFUNCTION("""COMPUTED_VALUE"""),"Osmanabad")</f>
        <v>Osmanabad</v>
      </c>
      <c r="B6259" s="120" t="str">
        <f>IFERROR(__xludf.DUMMYFUNCTION("""COMPUTED_VALUE"""),"OMN")</f>
        <v>OMN</v>
      </c>
      <c r="C6259" s="120" t="str">
        <f>IFERROR(__xludf.DUMMYFUNCTION("""COMPUTED_VALUE"""),"Osmanabad")</f>
        <v>Osmanabad</v>
      </c>
      <c r="D6259" s="120" t="str">
        <f>IFERROR(__xludf.DUMMYFUNCTION("""COMPUTED_VALUE"""),"India")</f>
        <v>India</v>
      </c>
      <c r="E6259" s="135"/>
      <c r="F6259" s="31"/>
    </row>
    <row r="6260">
      <c r="A6260" s="134" t="str">
        <f>IFERROR(__xludf.DUMMYFUNCTION("""COMPUTED_VALUE"""),"Osorno")</f>
        <v>Osorno</v>
      </c>
      <c r="B6260" s="120" t="str">
        <f>IFERROR(__xludf.DUMMYFUNCTION("""COMPUTED_VALUE"""),"ZOS")</f>
        <v>ZOS</v>
      </c>
      <c r="C6260" s="120" t="str">
        <f>IFERROR(__xludf.DUMMYFUNCTION("""COMPUTED_VALUE"""),"Canal Balo")</f>
        <v>Canal Balo</v>
      </c>
      <c r="D6260" s="120" t="str">
        <f>IFERROR(__xludf.DUMMYFUNCTION("""COMPUTED_VALUE"""),"Chile")</f>
        <v>Chile</v>
      </c>
      <c r="E6260" s="135"/>
      <c r="F6260" s="31"/>
    </row>
    <row r="6261">
      <c r="A6261" s="134" t="str">
        <f>IFERROR(__xludf.DUMMYFUNCTION("""COMPUTED_VALUE"""),"Ossima")</f>
        <v>Ossima</v>
      </c>
      <c r="B6261" s="120" t="str">
        <f>IFERROR(__xludf.DUMMYFUNCTION("""COMPUTED_VALUE"""),"OSG")</f>
        <v>OSG</v>
      </c>
      <c r="C6261" s="120" t="str">
        <f>IFERROR(__xludf.DUMMYFUNCTION("""COMPUTED_VALUE"""),"Ossima")</f>
        <v>Ossima</v>
      </c>
      <c r="D6261" s="120" t="str">
        <f>IFERROR(__xludf.DUMMYFUNCTION("""COMPUTED_VALUE"""),"Papua New Guinea")</f>
        <v>Papua New Guinea</v>
      </c>
      <c r="E6261" s="135"/>
      <c r="F6261" s="31"/>
    </row>
    <row r="6262">
      <c r="A6262" s="134" t="str">
        <f>IFERROR(__xludf.DUMMYFUNCTION("""COMPUTED_VALUE"""),"Ostend")</f>
        <v>Ostend</v>
      </c>
      <c r="B6262" s="120" t="str">
        <f>IFERROR(__xludf.DUMMYFUNCTION("""COMPUTED_VALUE"""),"OST")</f>
        <v>OST</v>
      </c>
      <c r="C6262" s="120" t="str">
        <f>IFERROR(__xludf.DUMMYFUNCTION("""COMPUTED_VALUE"""),"Railway")</f>
        <v>Railway</v>
      </c>
      <c r="D6262" s="120" t="str">
        <f>IFERROR(__xludf.DUMMYFUNCTION("""COMPUTED_VALUE"""),"Belgium")</f>
        <v>Belgium</v>
      </c>
      <c r="E6262" s="135"/>
      <c r="F6262" s="31"/>
    </row>
    <row r="6263">
      <c r="A6263" s="134" t="str">
        <f>IFERROR(__xludf.DUMMYFUNCTION("""COMPUTED_VALUE"""),"Ostersund")</f>
        <v>Ostersund</v>
      </c>
      <c r="B6263" s="120" t="str">
        <f>IFERROR(__xludf.DUMMYFUNCTION("""COMPUTED_VALUE"""),"OSD")</f>
        <v>OSD</v>
      </c>
      <c r="C6263" s="120" t="str">
        <f>IFERROR(__xludf.DUMMYFUNCTION("""COMPUTED_VALUE"""),"Froesoe")</f>
        <v>Froesoe</v>
      </c>
      <c r="D6263" s="120" t="str">
        <f>IFERROR(__xludf.DUMMYFUNCTION("""COMPUTED_VALUE"""),"Sweden")</f>
        <v>Sweden</v>
      </c>
      <c r="E6263" s="135"/>
      <c r="F6263" s="31"/>
    </row>
    <row r="6264">
      <c r="A6264" s="134" t="str">
        <f>IFERROR(__xludf.DUMMYFUNCTION("""COMPUTED_VALUE"""),"Ostrava")</f>
        <v>Ostrava</v>
      </c>
      <c r="B6264" s="120" t="str">
        <f>IFERROR(__xludf.DUMMYFUNCTION("""COMPUTED_VALUE"""),"OSR")</f>
        <v>OSR</v>
      </c>
      <c r="C6264" s="120" t="str">
        <f>IFERROR(__xludf.DUMMYFUNCTION("""COMPUTED_VALUE"""),"Mosnov")</f>
        <v>Mosnov</v>
      </c>
      <c r="D6264" s="120" t="str">
        <f>IFERROR(__xludf.DUMMYFUNCTION("""COMPUTED_VALUE"""),"Czech")</f>
        <v>Czech</v>
      </c>
      <c r="E6264" s="135"/>
      <c r="F6264" s="31"/>
    </row>
    <row r="6265">
      <c r="A6265" s="134" t="str">
        <f>IFERROR(__xludf.DUMMYFUNCTION("""COMPUTED_VALUE"""),"Otjiwarongo")</f>
        <v>Otjiwarongo</v>
      </c>
      <c r="B6265" s="120" t="str">
        <f>IFERROR(__xludf.DUMMYFUNCTION("""COMPUTED_VALUE"""),"OTJ")</f>
        <v>OTJ</v>
      </c>
      <c r="C6265" s="120" t="str">
        <f>IFERROR(__xludf.DUMMYFUNCTION("""COMPUTED_VALUE"""),"Otjiwarongo")</f>
        <v>Otjiwarongo</v>
      </c>
      <c r="D6265" s="120" t="str">
        <f>IFERROR(__xludf.DUMMYFUNCTION("""COMPUTED_VALUE"""),"Namibia")</f>
        <v>Namibia</v>
      </c>
      <c r="E6265" s="135"/>
      <c r="F6265" s="31"/>
    </row>
    <row r="6266">
      <c r="A6266" s="134" t="str">
        <f>IFERROR(__xludf.DUMMYFUNCTION("""COMPUTED_VALUE"""),"Ottawa")</f>
        <v>Ottawa</v>
      </c>
      <c r="B6266" s="120" t="str">
        <f>IFERROR(__xludf.DUMMYFUNCTION("""COMPUTED_VALUE"""),"ZIF")</f>
        <v>ZIF</v>
      </c>
      <c r="C6266" s="120" t="str">
        <f>IFERROR(__xludf.DUMMYFUNCTION("""COMPUTED_VALUE"""),"Fallowfield Railway")</f>
        <v>Fallowfield Railway</v>
      </c>
      <c r="D6266" s="120" t="str">
        <f>IFERROR(__xludf.DUMMYFUNCTION("""COMPUTED_VALUE"""),"Canada")</f>
        <v>Canada</v>
      </c>
      <c r="E6266" s="135"/>
      <c r="F6266" s="31"/>
    </row>
    <row r="6267">
      <c r="A6267" s="134" t="str">
        <f>IFERROR(__xludf.DUMMYFUNCTION("""COMPUTED_VALUE"""),"Ottawa")</f>
        <v>Ottawa</v>
      </c>
      <c r="B6267" s="120" t="str">
        <f>IFERROR(__xludf.DUMMYFUNCTION("""COMPUTED_VALUE"""),"YND")</f>
        <v>YND</v>
      </c>
      <c r="C6267" s="120" t="str">
        <f>IFERROR(__xludf.DUMMYFUNCTION("""COMPUTED_VALUE"""),"Executive Gatineau-Ottawa")</f>
        <v>Executive Gatineau-Ottawa</v>
      </c>
      <c r="D6267" s="120" t="str">
        <f>IFERROR(__xludf.DUMMYFUNCTION("""COMPUTED_VALUE"""),"Canada")</f>
        <v>Canada</v>
      </c>
      <c r="E6267" s="135"/>
      <c r="F6267" s="31"/>
    </row>
    <row r="6268">
      <c r="A6268" s="134" t="str">
        <f>IFERROR(__xludf.DUMMYFUNCTION("""COMPUTED_VALUE"""),"Ottawa")</f>
        <v>Ottawa</v>
      </c>
      <c r="B6268" s="120" t="str">
        <f>IFERROR(__xludf.DUMMYFUNCTION("""COMPUTED_VALUE"""),"YOW")</f>
        <v>YOW</v>
      </c>
      <c r="C6268" s="120" t="str">
        <f>IFERROR(__xludf.DUMMYFUNCTION("""COMPUTED_VALUE"""),"Ottawa International")</f>
        <v>Ottawa International</v>
      </c>
      <c r="D6268" s="120" t="str">
        <f>IFERROR(__xludf.DUMMYFUNCTION("""COMPUTED_VALUE"""),"Canada")</f>
        <v>Canada</v>
      </c>
      <c r="E6268" s="135"/>
      <c r="F6268" s="31"/>
    </row>
    <row r="6269">
      <c r="A6269" s="134" t="str">
        <f>IFERROR(__xludf.DUMMYFUNCTION("""COMPUTED_VALUE"""),"Ottawa")</f>
        <v>Ottawa</v>
      </c>
      <c r="B6269" s="120" t="str">
        <f>IFERROR(__xludf.DUMMYFUNCTION("""COMPUTED_VALUE"""),"YRO")</f>
        <v>YRO</v>
      </c>
      <c r="C6269" s="120" t="str">
        <f>IFERROR(__xludf.DUMMYFUNCTION("""COMPUTED_VALUE"""),"Rockcliffe St")</f>
        <v>Rockcliffe St</v>
      </c>
      <c r="D6269" s="120" t="str">
        <f>IFERROR(__xludf.DUMMYFUNCTION("""COMPUTED_VALUE"""),"Canada")</f>
        <v>Canada</v>
      </c>
      <c r="E6269" s="135"/>
      <c r="F6269" s="31"/>
    </row>
    <row r="6270">
      <c r="A6270" s="134" t="str">
        <f>IFERROR(__xludf.DUMMYFUNCTION("""COMPUTED_VALUE"""),"Otto")</f>
        <v>Otto</v>
      </c>
      <c r="B6270" s="120" t="str">
        <f>IFERROR(__xludf.DUMMYFUNCTION("""COMPUTED_VALUE"""),"OTO")</f>
        <v>OTO</v>
      </c>
      <c r="C6270" s="120" t="str">
        <f>IFERROR(__xludf.DUMMYFUNCTION("""COMPUTED_VALUE"""),"Vor")</f>
        <v>Vor</v>
      </c>
      <c r="D6270" s="120" t="str">
        <f>IFERROR(__xludf.DUMMYFUNCTION("""COMPUTED_VALUE"""),"United States")</f>
        <v>United States</v>
      </c>
      <c r="E6270" s="135"/>
      <c r="F6270" s="31"/>
    </row>
    <row r="6271">
      <c r="A6271" s="134" t="str">
        <f>IFERROR(__xludf.DUMMYFUNCTION("""COMPUTED_VALUE"""),"Ottumwa")</f>
        <v>Ottumwa</v>
      </c>
      <c r="B6271" s="120" t="str">
        <f>IFERROR(__xludf.DUMMYFUNCTION("""COMPUTED_VALUE"""),"OTM")</f>
        <v>OTM</v>
      </c>
      <c r="C6271" s="120" t="str">
        <f>IFERROR(__xludf.DUMMYFUNCTION("""COMPUTED_VALUE"""),"Industrial")</f>
        <v>Industrial</v>
      </c>
      <c r="D6271" s="120" t="str">
        <f>IFERROR(__xludf.DUMMYFUNCTION("""COMPUTED_VALUE"""),"United States")</f>
        <v>United States</v>
      </c>
      <c r="E6271" s="135"/>
      <c r="F6271" s="31"/>
    </row>
    <row r="6272">
      <c r="A6272" s="134" t="str">
        <f>IFERROR(__xludf.DUMMYFUNCTION("""COMPUTED_VALUE"""),"Otu")</f>
        <v>Otu</v>
      </c>
      <c r="B6272" s="120" t="str">
        <f>IFERROR(__xludf.DUMMYFUNCTION("""COMPUTED_VALUE"""),"OTU")</f>
        <v>OTU</v>
      </c>
      <c r="C6272" s="120" t="str">
        <f>IFERROR(__xludf.DUMMYFUNCTION("""COMPUTED_VALUE"""),"Otu")</f>
        <v>Otu</v>
      </c>
      <c r="D6272" s="120" t="str">
        <f>IFERROR(__xludf.DUMMYFUNCTION("""COMPUTED_VALUE"""),"Colombia")</f>
        <v>Colombia</v>
      </c>
      <c r="E6272" s="135"/>
      <c r="F6272" s="31"/>
    </row>
    <row r="6273">
      <c r="A6273" s="134" t="str">
        <f>IFERROR(__xludf.DUMMYFUNCTION("""COMPUTED_VALUE"""),"Ouadda")</f>
        <v>Ouadda</v>
      </c>
      <c r="B6273" s="120" t="str">
        <f>IFERROR(__xludf.DUMMYFUNCTION("""COMPUTED_VALUE"""),"ODA")</f>
        <v>ODA</v>
      </c>
      <c r="C6273" s="120" t="str">
        <f>IFERROR(__xludf.DUMMYFUNCTION("""COMPUTED_VALUE"""),"Ouadda")</f>
        <v>Ouadda</v>
      </c>
      <c r="D6273" s="120" t="str">
        <f>IFERROR(__xludf.DUMMYFUNCTION("""COMPUTED_VALUE"""),"Central African Republic")</f>
        <v>Central African Republic</v>
      </c>
      <c r="E6273" s="135"/>
      <c r="F6273" s="31"/>
    </row>
    <row r="6274">
      <c r="A6274" s="134" t="str">
        <f>IFERROR(__xludf.DUMMYFUNCTION("""COMPUTED_VALUE"""),"Ouagadougou")</f>
        <v>Ouagadougou</v>
      </c>
      <c r="B6274" s="120" t="str">
        <f>IFERROR(__xludf.DUMMYFUNCTION("""COMPUTED_VALUE"""),"OUA")</f>
        <v>OUA</v>
      </c>
      <c r="C6274" s="120" t="str">
        <f>IFERROR(__xludf.DUMMYFUNCTION("""COMPUTED_VALUE"""),"Ouagadougou")</f>
        <v>Ouagadougou</v>
      </c>
      <c r="D6274" s="120" t="str">
        <f>IFERROR(__xludf.DUMMYFUNCTION("""COMPUTED_VALUE"""),"Burkina Faso")</f>
        <v>Burkina Faso</v>
      </c>
      <c r="E6274" s="135"/>
      <c r="F6274" s="31"/>
    </row>
    <row r="6275">
      <c r="A6275" s="134" t="str">
        <f>IFERROR(__xludf.DUMMYFUNCTION("""COMPUTED_VALUE"""),"Ouahigouya")</f>
        <v>Ouahigouya</v>
      </c>
      <c r="B6275" s="120" t="str">
        <f>IFERROR(__xludf.DUMMYFUNCTION("""COMPUTED_VALUE"""),"OUG")</f>
        <v>OUG</v>
      </c>
      <c r="C6275" s="120" t="str">
        <f>IFERROR(__xludf.DUMMYFUNCTION("""COMPUTED_VALUE"""),"Ouahigouya")</f>
        <v>Ouahigouya</v>
      </c>
      <c r="D6275" s="120" t="str">
        <f>IFERROR(__xludf.DUMMYFUNCTION("""COMPUTED_VALUE"""),"Burkina Faso")</f>
        <v>Burkina Faso</v>
      </c>
      <c r="E6275" s="135"/>
      <c r="F6275" s="31"/>
    </row>
    <row r="6276">
      <c r="A6276" s="134" t="str">
        <f>IFERROR(__xludf.DUMMYFUNCTION("""COMPUTED_VALUE"""),"Ouanda Djalle")</f>
        <v>Ouanda Djalle</v>
      </c>
      <c r="B6276" s="120" t="str">
        <f>IFERROR(__xludf.DUMMYFUNCTION("""COMPUTED_VALUE"""),"ODJ")</f>
        <v>ODJ</v>
      </c>
      <c r="C6276" s="120" t="str">
        <f>IFERROR(__xludf.DUMMYFUNCTION("""COMPUTED_VALUE"""),"Ouanda Djalle")</f>
        <v>Ouanda Djalle</v>
      </c>
      <c r="D6276" s="120" t="str">
        <f>IFERROR(__xludf.DUMMYFUNCTION("""COMPUTED_VALUE"""),"Central African Republic")</f>
        <v>Central African Republic</v>
      </c>
      <c r="E6276" s="135"/>
      <c r="F6276" s="31"/>
    </row>
    <row r="6277">
      <c r="A6277" s="134" t="str">
        <f>IFERROR(__xludf.DUMMYFUNCTION("""COMPUTED_VALUE"""),"Ouanga")</f>
        <v>Ouanga</v>
      </c>
      <c r="B6277" s="120" t="str">
        <f>IFERROR(__xludf.DUMMYFUNCTION("""COMPUTED_VALUE"""),"OUU")</f>
        <v>OUU</v>
      </c>
      <c r="C6277" s="120" t="str">
        <f>IFERROR(__xludf.DUMMYFUNCTION("""COMPUTED_VALUE"""),"Ouanga")</f>
        <v>Ouanga</v>
      </c>
      <c r="D6277" s="120" t="str">
        <f>IFERROR(__xludf.DUMMYFUNCTION("""COMPUTED_VALUE"""),"Gabon")</f>
        <v>Gabon</v>
      </c>
      <c r="E6277" s="135"/>
      <c r="F6277" s="31"/>
    </row>
    <row r="6278">
      <c r="A6278" s="134" t="str">
        <f>IFERROR(__xludf.DUMMYFUNCTION("""COMPUTED_VALUE"""),"Ouango Fitini")</f>
        <v>Ouango Fitini</v>
      </c>
      <c r="B6278" s="120" t="str">
        <f>IFERROR(__xludf.DUMMYFUNCTION("""COMPUTED_VALUE"""),"OFI")</f>
        <v>OFI</v>
      </c>
      <c r="C6278" s="120" t="str">
        <f>IFERROR(__xludf.DUMMYFUNCTION("""COMPUTED_VALUE"""),"Ouango Fitini")</f>
        <v>Ouango Fitini</v>
      </c>
      <c r="D6278" s="120" t="str">
        <f>IFERROR(__xludf.DUMMYFUNCTION("""COMPUTED_VALUE"""),"Cote D'Ivoire (Ivory Coast)")</f>
        <v>Cote D'Ivoire (Ivory Coast)</v>
      </c>
      <c r="E6278" s="135"/>
      <c r="F6278" s="31"/>
    </row>
    <row r="6279">
      <c r="A6279" s="134" t="str">
        <f>IFERROR(__xludf.DUMMYFUNCTION("""COMPUTED_VALUE"""),"Ouargla")</f>
        <v>Ouargla</v>
      </c>
      <c r="B6279" s="120" t="str">
        <f>IFERROR(__xludf.DUMMYFUNCTION("""COMPUTED_VALUE"""),"OGX")</f>
        <v>OGX</v>
      </c>
      <c r="C6279" s="120" t="str">
        <f>IFERROR(__xludf.DUMMYFUNCTION("""COMPUTED_VALUE"""),"Ain Beida")</f>
        <v>Ain Beida</v>
      </c>
      <c r="D6279" s="120" t="str">
        <f>IFERROR(__xludf.DUMMYFUNCTION("""COMPUTED_VALUE"""),"Algeria")</f>
        <v>Algeria</v>
      </c>
      <c r="E6279" s="135"/>
      <c r="F6279" s="31"/>
    </row>
    <row r="6280">
      <c r="A6280" s="134" t="str">
        <f>IFERROR(__xludf.DUMMYFUNCTION("""COMPUTED_VALUE"""),"Ouarzazate")</f>
        <v>Ouarzazate</v>
      </c>
      <c r="B6280" s="120" t="str">
        <f>IFERROR(__xludf.DUMMYFUNCTION("""COMPUTED_VALUE"""),"OZZ")</f>
        <v>OZZ</v>
      </c>
      <c r="C6280" s="120" t="str">
        <f>IFERROR(__xludf.DUMMYFUNCTION("""COMPUTED_VALUE"""),"Ouarzazate")</f>
        <v>Ouarzazate</v>
      </c>
      <c r="D6280" s="120" t="str">
        <f>IFERROR(__xludf.DUMMYFUNCTION("""COMPUTED_VALUE"""),"Morocco")</f>
        <v>Morocco</v>
      </c>
      <c r="E6280" s="135"/>
      <c r="F6280" s="31"/>
    </row>
    <row r="6281">
      <c r="A6281" s="134" t="str">
        <f>IFERROR(__xludf.DUMMYFUNCTION("""COMPUTED_VALUE"""),"Oudomxay")</f>
        <v>Oudomxay</v>
      </c>
      <c r="B6281" s="120" t="str">
        <f>IFERROR(__xludf.DUMMYFUNCTION("""COMPUTED_VALUE"""),"ODY")</f>
        <v>ODY</v>
      </c>
      <c r="C6281" s="120" t="str">
        <f>IFERROR(__xludf.DUMMYFUNCTION("""COMPUTED_VALUE"""),"Oudomxay")</f>
        <v>Oudomxay</v>
      </c>
      <c r="D6281" s="120" t="str">
        <f>IFERROR(__xludf.DUMMYFUNCTION("""COMPUTED_VALUE"""),"Laos")</f>
        <v>Laos</v>
      </c>
      <c r="E6281" s="135"/>
      <c r="F6281" s="31"/>
    </row>
    <row r="6282">
      <c r="A6282" s="134" t="str">
        <f>IFERROR(__xludf.DUMMYFUNCTION("""COMPUTED_VALUE"""),"Oudtshoorn")</f>
        <v>Oudtshoorn</v>
      </c>
      <c r="B6282" s="120" t="str">
        <f>IFERROR(__xludf.DUMMYFUNCTION("""COMPUTED_VALUE"""),"OUH")</f>
        <v>OUH</v>
      </c>
      <c r="C6282" s="120" t="str">
        <f>IFERROR(__xludf.DUMMYFUNCTION("""COMPUTED_VALUE"""),"Oudtshoorn")</f>
        <v>Oudtshoorn</v>
      </c>
      <c r="D6282" s="120" t="str">
        <f>IFERROR(__xludf.DUMMYFUNCTION("""COMPUTED_VALUE"""),"South Africa")</f>
        <v>South Africa</v>
      </c>
      <c r="E6282" s="135"/>
      <c r="F6282" s="31"/>
    </row>
    <row r="6283">
      <c r="A6283" s="134" t="str">
        <f>IFERROR(__xludf.DUMMYFUNCTION("""COMPUTED_VALUE"""),"Ouesso")</f>
        <v>Ouesso</v>
      </c>
      <c r="B6283" s="120" t="str">
        <f>IFERROR(__xludf.DUMMYFUNCTION("""COMPUTED_VALUE"""),"OUE")</f>
        <v>OUE</v>
      </c>
      <c r="C6283" s="120" t="str">
        <f>IFERROR(__xludf.DUMMYFUNCTION("""COMPUTED_VALUE"""),"Ouesso")</f>
        <v>Ouesso</v>
      </c>
      <c r="D6283" s="120" t="str">
        <f>IFERROR(__xludf.DUMMYFUNCTION("""COMPUTED_VALUE"""),"Congo")</f>
        <v>Congo</v>
      </c>
      <c r="E6283" s="135"/>
      <c r="F6283" s="31"/>
    </row>
    <row r="6284">
      <c r="A6284" s="134" t="str">
        <f>IFERROR(__xludf.DUMMYFUNCTION("""COMPUTED_VALUE"""),"Oujda")</f>
        <v>Oujda</v>
      </c>
      <c r="B6284" s="120" t="str">
        <f>IFERROR(__xludf.DUMMYFUNCTION("""COMPUTED_VALUE"""),"OUD")</f>
        <v>OUD</v>
      </c>
      <c r="C6284" s="120" t="str">
        <f>IFERROR(__xludf.DUMMYFUNCTION("""COMPUTED_VALUE"""),"Les Angades")</f>
        <v>Les Angades</v>
      </c>
      <c r="D6284" s="120" t="str">
        <f>IFERROR(__xludf.DUMMYFUNCTION("""COMPUTED_VALUE"""),"Morocco")</f>
        <v>Morocco</v>
      </c>
      <c r="E6284" s="135"/>
      <c r="F6284" s="31"/>
    </row>
    <row r="6285">
      <c r="A6285" s="134" t="str">
        <f>IFERROR(__xludf.DUMMYFUNCTION("""COMPUTED_VALUE"""),"Oulu")</f>
        <v>Oulu</v>
      </c>
      <c r="B6285" s="120" t="str">
        <f>IFERROR(__xludf.DUMMYFUNCTION("""COMPUTED_VALUE"""),"OUL")</f>
        <v>OUL</v>
      </c>
      <c r="C6285" s="120" t="str">
        <f>IFERROR(__xludf.DUMMYFUNCTION("""COMPUTED_VALUE"""),"Oulu")</f>
        <v>Oulu</v>
      </c>
      <c r="D6285" s="120" t="str">
        <f>IFERROR(__xludf.DUMMYFUNCTION("""COMPUTED_VALUE"""),"Finland")</f>
        <v>Finland</v>
      </c>
      <c r="E6285" s="135"/>
      <c r="F6285" s="31"/>
    </row>
    <row r="6286">
      <c r="A6286" s="134" t="str">
        <f>IFERROR(__xludf.DUMMYFUNCTION("""COMPUTED_VALUE"""),"Oum Hadjer")</f>
        <v>Oum Hadjer</v>
      </c>
      <c r="B6286" s="120" t="str">
        <f>IFERROR(__xludf.DUMMYFUNCTION("""COMPUTED_VALUE"""),"OUM")</f>
        <v>OUM</v>
      </c>
      <c r="C6286" s="120" t="str">
        <f>IFERROR(__xludf.DUMMYFUNCTION("""COMPUTED_VALUE"""),"Oum Hadjer")</f>
        <v>Oum Hadjer</v>
      </c>
      <c r="D6286" s="120" t="str">
        <f>IFERROR(__xludf.DUMMYFUNCTION("""COMPUTED_VALUE"""),"Chad")</f>
        <v>Chad</v>
      </c>
      <c r="E6286" s="135"/>
      <c r="F6286" s="31"/>
    </row>
    <row r="6287">
      <c r="A6287" s="134" t="str">
        <f>IFERROR(__xludf.DUMMYFUNCTION("""COMPUTED_VALUE"""),"Ourilandia")</f>
        <v>Ourilandia</v>
      </c>
      <c r="B6287" s="120" t="str">
        <f>IFERROR(__xludf.DUMMYFUNCTION("""COMPUTED_VALUE"""),"OIA")</f>
        <v>OIA</v>
      </c>
      <c r="C6287" s="120" t="str">
        <f>IFERROR(__xludf.DUMMYFUNCTION("""COMPUTED_VALUE"""),"Ourilandia")</f>
        <v>Ourilandia</v>
      </c>
      <c r="D6287" s="120" t="str">
        <f>IFERROR(__xludf.DUMMYFUNCTION("""COMPUTED_VALUE"""),"Brazil")</f>
        <v>Brazil</v>
      </c>
      <c r="E6287" s="135"/>
      <c r="F6287" s="31"/>
    </row>
    <row r="6288">
      <c r="A6288" s="134" t="str">
        <f>IFERROR(__xludf.DUMMYFUNCTION("""COMPUTED_VALUE"""),"Ourinhos")</f>
        <v>Ourinhos</v>
      </c>
      <c r="B6288" s="120" t="str">
        <f>IFERROR(__xludf.DUMMYFUNCTION("""COMPUTED_VALUE"""),"OUS")</f>
        <v>OUS</v>
      </c>
      <c r="C6288" s="120" t="str">
        <f>IFERROR(__xludf.DUMMYFUNCTION("""COMPUTED_VALUE"""),"Ourinhos")</f>
        <v>Ourinhos</v>
      </c>
      <c r="D6288" s="120" t="str">
        <f>IFERROR(__xludf.DUMMYFUNCTION("""COMPUTED_VALUE"""),"Brazil")</f>
        <v>Brazil</v>
      </c>
      <c r="E6288" s="135"/>
      <c r="F6288" s="31"/>
    </row>
    <row r="6289">
      <c r="A6289" s="134" t="str">
        <f>IFERROR(__xludf.DUMMYFUNCTION("""COMPUTED_VALUE"""),"Outer Skerries")</f>
        <v>Outer Skerries</v>
      </c>
      <c r="B6289" s="120" t="str">
        <f>IFERROR(__xludf.DUMMYFUNCTION("""COMPUTED_VALUE"""),"OUK")</f>
        <v>OUK</v>
      </c>
      <c r="C6289" s="120" t="str">
        <f>IFERROR(__xludf.DUMMYFUNCTION("""COMPUTED_VALUE"""),"Outer Skerries")</f>
        <v>Outer Skerries</v>
      </c>
      <c r="D6289" s="120" t="str">
        <f>IFERROR(__xludf.DUMMYFUNCTION("""COMPUTED_VALUE"""),"United Kingdom")</f>
        <v>United Kingdom</v>
      </c>
      <c r="E6289" s="135"/>
      <c r="F6289" s="31"/>
    </row>
    <row r="6290">
      <c r="A6290" s="134" t="str">
        <f>IFERROR(__xludf.DUMMYFUNCTION("""COMPUTED_VALUE"""),"Ouvea")</f>
        <v>Ouvea</v>
      </c>
      <c r="B6290" s="120" t="str">
        <f>IFERROR(__xludf.DUMMYFUNCTION("""COMPUTED_VALUE"""),"UVE")</f>
        <v>UVE</v>
      </c>
      <c r="C6290" s="120" t="str">
        <f>IFERROR(__xludf.DUMMYFUNCTION("""COMPUTED_VALUE"""),"Ouvea")</f>
        <v>Ouvea</v>
      </c>
      <c r="D6290" s="120" t="str">
        <f>IFERROR(__xludf.DUMMYFUNCTION("""COMPUTED_VALUE"""),"New Caledonia")</f>
        <v>New Caledonia</v>
      </c>
      <c r="E6290" s="135"/>
      <c r="F6290" s="31"/>
    </row>
    <row r="6291">
      <c r="A6291" s="134" t="str">
        <f>IFERROR(__xludf.DUMMYFUNCTION("""COMPUTED_VALUE"""),"Ouyen")</f>
        <v>Ouyen</v>
      </c>
      <c r="B6291" s="120" t="str">
        <f>IFERROR(__xludf.DUMMYFUNCTION("""COMPUTED_VALUE"""),"OYN")</f>
        <v>OYN</v>
      </c>
      <c r="C6291" s="120" t="str">
        <f>IFERROR(__xludf.DUMMYFUNCTION("""COMPUTED_VALUE"""),"Ouyen")</f>
        <v>Ouyen</v>
      </c>
      <c r="D6291" s="120" t="str">
        <f>IFERROR(__xludf.DUMMYFUNCTION("""COMPUTED_VALUE"""),"Australia")</f>
        <v>Australia</v>
      </c>
      <c r="E6291" s="135"/>
      <c r="F6291" s="31"/>
    </row>
    <row r="6292">
      <c r="A6292" s="134" t="str">
        <f>IFERROR(__xludf.DUMMYFUNCTION("""COMPUTED_VALUE"""),"Ouzinkie")</f>
        <v>Ouzinkie</v>
      </c>
      <c r="B6292" s="120" t="str">
        <f>IFERROR(__xludf.DUMMYFUNCTION("""COMPUTED_VALUE"""),"KOZ")</f>
        <v>KOZ</v>
      </c>
      <c r="C6292" s="120" t="str">
        <f>IFERROR(__xludf.DUMMYFUNCTION("""COMPUTED_VALUE"""),"Ouzinkie SPB")</f>
        <v>Ouzinkie SPB</v>
      </c>
      <c r="D6292" s="120" t="str">
        <f>IFERROR(__xludf.DUMMYFUNCTION("""COMPUTED_VALUE"""),"United States")</f>
        <v>United States</v>
      </c>
      <c r="E6292" s="135"/>
      <c r="F6292" s="31"/>
    </row>
    <row r="6293">
      <c r="A6293" s="134" t="str">
        <f>IFERROR(__xludf.DUMMYFUNCTION("""COMPUTED_VALUE"""),"Ovalle")</f>
        <v>Ovalle</v>
      </c>
      <c r="B6293" s="120" t="str">
        <f>IFERROR(__xludf.DUMMYFUNCTION("""COMPUTED_VALUE"""),"OVL")</f>
        <v>OVL</v>
      </c>
      <c r="C6293" s="120" t="str">
        <f>IFERROR(__xludf.DUMMYFUNCTION("""COMPUTED_VALUE"""),"Ovalle")</f>
        <v>Ovalle</v>
      </c>
      <c r="D6293" s="120" t="str">
        <f>IFERROR(__xludf.DUMMYFUNCTION("""COMPUTED_VALUE"""),"Chile")</f>
        <v>Chile</v>
      </c>
      <c r="E6293" s="135"/>
      <c r="F6293" s="31"/>
    </row>
    <row r="6294">
      <c r="A6294" s="134" t="str">
        <f>IFERROR(__xludf.DUMMYFUNCTION("""COMPUTED_VALUE"""),"Ovda")</f>
        <v>Ovda</v>
      </c>
      <c r="B6294" s="120" t="str">
        <f>IFERROR(__xludf.DUMMYFUNCTION("""COMPUTED_VALUE"""),"VDA")</f>
        <v>VDA</v>
      </c>
      <c r="C6294" s="120" t="str">
        <f>IFERROR(__xludf.DUMMYFUNCTION("""COMPUTED_VALUE"""),"Ovda")</f>
        <v>Ovda</v>
      </c>
      <c r="D6294" s="120" t="str">
        <f>IFERROR(__xludf.DUMMYFUNCTION("""COMPUTED_VALUE"""),"Israel")</f>
        <v>Israel</v>
      </c>
      <c r="E6294" s="135"/>
      <c r="F6294" s="31"/>
    </row>
    <row r="6295">
      <c r="A6295" s="134" t="str">
        <f>IFERROR(__xludf.DUMMYFUNCTION("""COMPUTED_VALUE"""),"Overberg")</f>
        <v>Overberg</v>
      </c>
      <c r="B6295" s="120" t="str">
        <f>IFERROR(__xludf.DUMMYFUNCTION("""COMPUTED_VALUE"""),"OVG")</f>
        <v>OVG</v>
      </c>
      <c r="C6295" s="120" t="str">
        <f>IFERROR(__xludf.DUMMYFUNCTION("""COMPUTED_VALUE"""),"Overberg (FAOB)")</f>
        <v>Overberg (FAOB)</v>
      </c>
      <c r="D6295" s="120" t="str">
        <f>IFERROR(__xludf.DUMMYFUNCTION("""COMPUTED_VALUE"""),"South Africa")</f>
        <v>South Africa</v>
      </c>
      <c r="E6295" s="135"/>
      <c r="F6295" s="31"/>
    </row>
    <row r="6296">
      <c r="A6296" s="134" t="str">
        <f>IFERROR(__xludf.DUMMYFUNCTION("""COMPUTED_VALUE"""),"Owando")</f>
        <v>Owando</v>
      </c>
      <c r="B6296" s="120" t="str">
        <f>IFERROR(__xludf.DUMMYFUNCTION("""COMPUTED_VALUE"""),"FTX")</f>
        <v>FTX</v>
      </c>
      <c r="C6296" s="120" t="str">
        <f>IFERROR(__xludf.DUMMYFUNCTION("""COMPUTED_VALUE"""),"Owando")</f>
        <v>Owando</v>
      </c>
      <c r="D6296" s="120" t="str">
        <f>IFERROR(__xludf.DUMMYFUNCTION("""COMPUTED_VALUE"""),"Congo")</f>
        <v>Congo</v>
      </c>
      <c r="E6296" s="135"/>
      <c r="F6296" s="31"/>
    </row>
    <row r="6297">
      <c r="A6297" s="134" t="str">
        <f>IFERROR(__xludf.DUMMYFUNCTION("""COMPUTED_VALUE"""),"Owatonna")</f>
        <v>Owatonna</v>
      </c>
      <c r="B6297" s="120" t="str">
        <f>IFERROR(__xludf.DUMMYFUNCTION("""COMPUTED_VALUE"""),"OWA")</f>
        <v>OWA</v>
      </c>
      <c r="C6297" s="120" t="str">
        <f>IFERROR(__xludf.DUMMYFUNCTION("""COMPUTED_VALUE"""),"Owatonna")</f>
        <v>Owatonna</v>
      </c>
      <c r="D6297" s="120" t="str">
        <f>IFERROR(__xludf.DUMMYFUNCTION("""COMPUTED_VALUE"""),"United States")</f>
        <v>United States</v>
      </c>
      <c r="E6297" s="135"/>
      <c r="F6297" s="31"/>
    </row>
    <row r="6298">
      <c r="A6298" s="134" t="str">
        <f>IFERROR(__xludf.DUMMYFUNCTION("""COMPUTED_VALUE"""),"Owen Sound")</f>
        <v>Owen Sound</v>
      </c>
      <c r="B6298" s="120" t="str">
        <f>IFERROR(__xludf.DUMMYFUNCTION("""COMPUTED_VALUE"""),"YOS")</f>
        <v>YOS</v>
      </c>
      <c r="C6298" s="120" t="str">
        <f>IFERROR(__xludf.DUMMYFUNCTION("""COMPUTED_VALUE"""),"Billy Bishop Regional")</f>
        <v>Billy Bishop Regional</v>
      </c>
      <c r="D6298" s="120" t="str">
        <f>IFERROR(__xludf.DUMMYFUNCTION("""COMPUTED_VALUE"""),"Canada")</f>
        <v>Canada</v>
      </c>
      <c r="E6298" s="135"/>
      <c r="F6298" s="31"/>
    </row>
    <row r="6299">
      <c r="A6299" s="134" t="str">
        <f>IFERROR(__xludf.DUMMYFUNCTION("""COMPUTED_VALUE"""),"Owendo")</f>
        <v>Owendo</v>
      </c>
      <c r="B6299" s="120" t="str">
        <f>IFERROR(__xludf.DUMMYFUNCTION("""COMPUTED_VALUE"""),"OWE")</f>
        <v>OWE</v>
      </c>
      <c r="C6299" s="120" t="str">
        <f>IFERROR(__xludf.DUMMYFUNCTION("""COMPUTED_VALUE"""),"Owendo")</f>
        <v>Owendo</v>
      </c>
      <c r="D6299" s="120" t="str">
        <f>IFERROR(__xludf.DUMMYFUNCTION("""COMPUTED_VALUE"""),"Gabon")</f>
        <v>Gabon</v>
      </c>
      <c r="E6299" s="135"/>
      <c r="F6299" s="31"/>
    </row>
    <row r="6300">
      <c r="A6300" s="134" t="str">
        <f>IFERROR(__xludf.DUMMYFUNCTION("""COMPUTED_VALUE"""),"Owensboro")</f>
        <v>Owensboro</v>
      </c>
      <c r="B6300" s="120" t="str">
        <f>IFERROR(__xludf.DUMMYFUNCTION("""COMPUTED_VALUE"""),"OWB")</f>
        <v>OWB</v>
      </c>
      <c r="C6300" s="120" t="str">
        <f>IFERROR(__xludf.DUMMYFUNCTION("""COMPUTED_VALUE"""),"Daviess County")</f>
        <v>Daviess County</v>
      </c>
      <c r="D6300" s="120" t="str">
        <f>IFERROR(__xludf.DUMMYFUNCTION("""COMPUTED_VALUE"""),"United States")</f>
        <v>United States</v>
      </c>
      <c r="E6300" s="135"/>
      <c r="F6300" s="31"/>
    </row>
    <row r="6301">
      <c r="A6301" s="134" t="str">
        <f>IFERROR(__xludf.DUMMYFUNCTION("""COMPUTED_VALUE"""),"Oxford")</f>
        <v>Oxford</v>
      </c>
      <c r="B6301" s="120" t="str">
        <f>IFERROR(__xludf.DUMMYFUNCTION("""COMPUTED_VALUE"""),"OXC")</f>
        <v>OXC</v>
      </c>
      <c r="C6301" s="120" t="str">
        <f>IFERROR(__xludf.DUMMYFUNCTION("""COMPUTED_VALUE"""),"Waterbury-Oxford")</f>
        <v>Waterbury-Oxford</v>
      </c>
      <c r="D6301" s="120" t="str">
        <f>IFERROR(__xludf.DUMMYFUNCTION("""COMPUTED_VALUE"""),"United States")</f>
        <v>United States</v>
      </c>
      <c r="E6301" s="135"/>
      <c r="F6301" s="31"/>
    </row>
    <row r="6302">
      <c r="A6302" s="134" t="str">
        <f>IFERROR(__xludf.DUMMYFUNCTION("""COMPUTED_VALUE"""),"Oxford")</f>
        <v>Oxford</v>
      </c>
      <c r="B6302" s="120" t="str">
        <f>IFERROR(__xludf.DUMMYFUNCTION("""COMPUTED_VALUE"""),"OXF")</f>
        <v>OXF</v>
      </c>
      <c r="C6302" s="120" t="str">
        <f>IFERROR(__xludf.DUMMYFUNCTION("""COMPUTED_VALUE"""),"Kidlington")</f>
        <v>Kidlington</v>
      </c>
      <c r="D6302" s="120" t="str">
        <f>IFERROR(__xludf.DUMMYFUNCTION("""COMPUTED_VALUE"""),"United Kingdom")</f>
        <v>United Kingdom</v>
      </c>
      <c r="E6302" s="135"/>
      <c r="F6302" s="31"/>
    </row>
    <row r="6303">
      <c r="A6303" s="134" t="str">
        <f>IFERROR(__xludf.DUMMYFUNCTION("""COMPUTED_VALUE"""),"Oxford")</f>
        <v>Oxford</v>
      </c>
      <c r="B6303" s="120" t="str">
        <f>IFERROR(__xludf.DUMMYFUNCTION("""COMPUTED_VALUE"""),"UOX")</f>
        <v>UOX</v>
      </c>
      <c r="C6303" s="120" t="str">
        <f>IFERROR(__xludf.DUMMYFUNCTION("""COMPUTED_VALUE"""),"University-Oxford")</f>
        <v>University-Oxford</v>
      </c>
      <c r="D6303" s="120" t="str">
        <f>IFERROR(__xludf.DUMMYFUNCTION("""COMPUTED_VALUE"""),"United States")</f>
        <v>United States</v>
      </c>
      <c r="E6303" s="135"/>
      <c r="F6303" s="31"/>
    </row>
    <row r="6304">
      <c r="A6304" s="134" t="str">
        <f>IFERROR(__xludf.DUMMYFUNCTION("""COMPUTED_VALUE"""),"Oxford")</f>
        <v>Oxford</v>
      </c>
      <c r="B6304" s="120" t="str">
        <f>IFERROR(__xludf.DUMMYFUNCTION("""COMPUTED_VALUE"""),"OXD")</f>
        <v>OXD</v>
      </c>
      <c r="C6304" s="120" t="str">
        <f>IFERROR(__xludf.DUMMYFUNCTION("""COMPUTED_VALUE"""),"Miami University")</f>
        <v>Miami University</v>
      </c>
      <c r="D6304" s="120" t="str">
        <f>IFERROR(__xludf.DUMMYFUNCTION("""COMPUTED_VALUE"""),"United States")</f>
        <v>United States</v>
      </c>
      <c r="E6304" s="135"/>
      <c r="F6304" s="31"/>
    </row>
    <row r="6305">
      <c r="A6305" s="134" t="str">
        <f>IFERROR(__xludf.DUMMYFUNCTION("""COMPUTED_VALUE"""),"Oxford House")</f>
        <v>Oxford House</v>
      </c>
      <c r="B6305" s="120" t="str">
        <f>IFERROR(__xludf.DUMMYFUNCTION("""COMPUTED_VALUE"""),"YOH")</f>
        <v>YOH</v>
      </c>
      <c r="C6305" s="120" t="str">
        <f>IFERROR(__xludf.DUMMYFUNCTION("""COMPUTED_VALUE"""),"Oxford House")</f>
        <v>Oxford House</v>
      </c>
      <c r="D6305" s="120" t="str">
        <f>IFERROR(__xludf.DUMMYFUNCTION("""COMPUTED_VALUE"""),"Canada")</f>
        <v>Canada</v>
      </c>
      <c r="E6305" s="135"/>
      <c r="F6305" s="31"/>
    </row>
    <row r="6306">
      <c r="A6306" s="134" t="str">
        <f>IFERROR(__xludf.DUMMYFUNCTION("""COMPUTED_VALUE"""),"Oyem")</f>
        <v>Oyem</v>
      </c>
      <c r="B6306" s="120" t="str">
        <f>IFERROR(__xludf.DUMMYFUNCTION("""COMPUTED_VALUE"""),"OYE")</f>
        <v>OYE</v>
      </c>
      <c r="C6306" s="120" t="str">
        <f>IFERROR(__xludf.DUMMYFUNCTION("""COMPUTED_VALUE"""),"Oyem")</f>
        <v>Oyem</v>
      </c>
      <c r="D6306" s="120" t="str">
        <f>IFERROR(__xludf.DUMMYFUNCTION("""COMPUTED_VALUE"""),"Gabon")</f>
        <v>Gabon</v>
      </c>
      <c r="E6306" s="135"/>
      <c r="F6306" s="31"/>
    </row>
    <row r="6307">
      <c r="A6307" s="134" t="str">
        <f>IFERROR(__xludf.DUMMYFUNCTION("""COMPUTED_VALUE"""),"Ozamis City")</f>
        <v>Ozamis City</v>
      </c>
      <c r="B6307" s="120" t="str">
        <f>IFERROR(__xludf.DUMMYFUNCTION("""COMPUTED_VALUE"""),"OZC")</f>
        <v>OZC</v>
      </c>
      <c r="C6307" s="120" t="str">
        <f>IFERROR(__xludf.DUMMYFUNCTION("""COMPUTED_VALUE"""),"Labo")</f>
        <v>Labo</v>
      </c>
      <c r="D6307" s="120" t="str">
        <f>IFERROR(__xludf.DUMMYFUNCTION("""COMPUTED_VALUE"""),"Philippines")</f>
        <v>Philippines</v>
      </c>
      <c r="E6307" s="135"/>
      <c r="F6307" s="31"/>
    </row>
    <row r="6308">
      <c r="A6308" s="134" t="str">
        <f>IFERROR(__xludf.DUMMYFUNCTION("""COMPUTED_VALUE"""),"Ozark")</f>
        <v>Ozark</v>
      </c>
      <c r="B6308" s="120" t="str">
        <f>IFERROR(__xludf.DUMMYFUNCTION("""COMPUTED_VALUE"""),"OZR")</f>
        <v>OZR</v>
      </c>
      <c r="C6308" s="120" t="str">
        <f>IFERROR(__xludf.DUMMYFUNCTION("""COMPUTED_VALUE"""),"Cairns AAF")</f>
        <v>Cairns AAF</v>
      </c>
      <c r="D6308" s="120" t="str">
        <f>IFERROR(__xludf.DUMMYFUNCTION("""COMPUTED_VALUE"""),"United States")</f>
        <v>United States</v>
      </c>
      <c r="E6308" s="135"/>
      <c r="F6308" s="31"/>
    </row>
    <row r="6309">
      <c r="A6309" s="134" t="str">
        <f>IFERROR(__xludf.DUMMYFUNCTION("""COMPUTED_VALUE"""),"Ozark")</f>
        <v>Ozark</v>
      </c>
      <c r="B6309" s="120" t="str">
        <f>IFERROR(__xludf.DUMMYFUNCTION("""COMPUTED_VALUE"""),"HEY")</f>
        <v>HEY</v>
      </c>
      <c r="C6309" s="120" t="str">
        <f>IFERROR(__xludf.DUMMYFUNCTION("""COMPUTED_VALUE"""),"Hanchey Army Heliport")</f>
        <v>Hanchey Army Heliport</v>
      </c>
      <c r="D6309" s="120" t="str">
        <f>IFERROR(__xludf.DUMMYFUNCTION("""COMPUTED_VALUE"""),"United States")</f>
        <v>United States</v>
      </c>
      <c r="E6309" s="135"/>
      <c r="F6309" s="31"/>
    </row>
    <row r="6310">
      <c r="A6310" s="134" t="str">
        <f>IFERROR(__xludf.DUMMYFUNCTION("""COMPUTED_VALUE"""),"Ozark")</f>
        <v>Ozark</v>
      </c>
      <c r="B6310" s="120" t="str">
        <f>IFERROR(__xludf.DUMMYFUNCTION("""COMPUTED_VALUE"""),"LOR")</f>
        <v>LOR</v>
      </c>
      <c r="C6310" s="120" t="str">
        <f>IFERROR(__xludf.DUMMYFUNCTION("""COMPUTED_VALUE"""),"Lowe Army Heliport")</f>
        <v>Lowe Army Heliport</v>
      </c>
      <c r="D6310" s="120" t="str">
        <f>IFERROR(__xludf.DUMMYFUNCTION("""COMPUTED_VALUE"""),"United States")</f>
        <v>United States</v>
      </c>
      <c r="E6310" s="135"/>
      <c r="F6310" s="31"/>
    </row>
    <row r="6311">
      <c r="A6311" s="134" t="str">
        <f>IFERROR(__xludf.DUMMYFUNCTION("""COMPUTED_VALUE"""),"Ozona")</f>
        <v>Ozona</v>
      </c>
      <c r="B6311" s="120" t="str">
        <f>IFERROR(__xludf.DUMMYFUNCTION("""COMPUTED_VALUE"""),"OZA")</f>
        <v>OZA</v>
      </c>
      <c r="C6311" s="120" t="str">
        <f>IFERROR(__xludf.DUMMYFUNCTION("""COMPUTED_VALUE"""),"Ozona Municipal")</f>
        <v>Ozona Municipal</v>
      </c>
      <c r="D6311" s="120" t="str">
        <f>IFERROR(__xludf.DUMMYFUNCTION("""COMPUTED_VALUE"""),"United States")</f>
        <v>United States</v>
      </c>
      <c r="E6311" s="135"/>
      <c r="F6311" s="31"/>
    </row>
    <row r="6312">
      <c r="A6312" s="134" t="str">
        <f>IFERROR(__xludf.DUMMYFUNCTION("""COMPUTED_VALUE"""),"Paama")</f>
        <v>Paama</v>
      </c>
      <c r="B6312" s="120" t="str">
        <f>IFERROR(__xludf.DUMMYFUNCTION("""COMPUTED_VALUE"""),"PBJ")</f>
        <v>PBJ</v>
      </c>
      <c r="C6312" s="120" t="str">
        <f>IFERROR(__xludf.DUMMYFUNCTION("""COMPUTED_VALUE"""),"Paama")</f>
        <v>Paama</v>
      </c>
      <c r="D6312" s="120" t="str">
        <f>IFERROR(__xludf.DUMMYFUNCTION("""COMPUTED_VALUE"""),"Vanuatu")</f>
        <v>Vanuatu</v>
      </c>
      <c r="E6312" s="135"/>
      <c r="F6312" s="31"/>
    </row>
    <row r="6313">
      <c r="A6313" s="134" t="str">
        <f>IFERROR(__xludf.DUMMYFUNCTION("""COMPUTED_VALUE"""),"Paamiut")</f>
        <v>Paamiut</v>
      </c>
      <c r="B6313" s="120" t="str">
        <f>IFERROR(__xludf.DUMMYFUNCTION("""COMPUTED_VALUE"""),"JFR")</f>
        <v>JFR</v>
      </c>
      <c r="C6313" s="120" t="str">
        <f>IFERROR(__xludf.DUMMYFUNCTION("""COMPUTED_VALUE"""),"Paamiut")</f>
        <v>Paamiut</v>
      </c>
      <c r="D6313" s="120" t="str">
        <f>IFERROR(__xludf.DUMMYFUNCTION("""COMPUTED_VALUE"""),"Greenland")</f>
        <v>Greenland</v>
      </c>
      <c r="E6313" s="135"/>
      <c r="F6313" s="31"/>
    </row>
    <row r="6314">
      <c r="A6314" s="134" t="str">
        <f>IFERROR(__xludf.DUMMYFUNCTION("""COMPUTED_VALUE"""),"Pa-an")</f>
        <v>Pa-an</v>
      </c>
      <c r="B6314" s="120" t="str">
        <f>IFERROR(__xludf.DUMMYFUNCTION("""COMPUTED_VALUE"""),"PAA")</f>
        <v>PAA</v>
      </c>
      <c r="C6314" s="120" t="str">
        <f>IFERROR(__xludf.DUMMYFUNCTION("""COMPUTED_VALUE"""),"Pa-an")</f>
        <v>Pa-an</v>
      </c>
      <c r="D6314" s="120" t="str">
        <f>IFERROR(__xludf.DUMMYFUNCTION("""COMPUTED_VALUE"""),"Myanmar")</f>
        <v>Myanmar</v>
      </c>
      <c r="E6314" s="135"/>
      <c r="F6314" s="31"/>
    </row>
    <row r="6315">
      <c r="A6315" s="134" t="str">
        <f>IFERROR(__xludf.DUMMYFUNCTION("""COMPUTED_VALUE"""),"Pacific City")</f>
        <v>Pacific City</v>
      </c>
      <c r="B6315" s="120" t="str">
        <f>IFERROR(__xludf.DUMMYFUNCTION("""COMPUTED_VALUE"""),"PFC")</f>
        <v>PFC</v>
      </c>
      <c r="C6315" s="120" t="str">
        <f>IFERROR(__xludf.DUMMYFUNCTION("""COMPUTED_VALUE"""),"State")</f>
        <v>State</v>
      </c>
      <c r="D6315" s="120" t="str">
        <f>IFERROR(__xludf.DUMMYFUNCTION("""COMPUTED_VALUE"""),"United States")</f>
        <v>United States</v>
      </c>
      <c r="E6315" s="135"/>
      <c r="F6315" s="31"/>
    </row>
    <row r="6316">
      <c r="A6316" s="134" t="str">
        <f>IFERROR(__xludf.DUMMYFUNCTION("""COMPUTED_VALUE"""),"Pacific Harbor")</f>
        <v>Pacific Harbor</v>
      </c>
      <c r="B6316" s="120" t="str">
        <f>IFERROR(__xludf.DUMMYFUNCTION("""COMPUTED_VALUE"""),"PHR")</f>
        <v>PHR</v>
      </c>
      <c r="C6316" s="120" t="str">
        <f>IFERROR(__xludf.DUMMYFUNCTION("""COMPUTED_VALUE"""),"Pacific Harbor")</f>
        <v>Pacific Harbor</v>
      </c>
      <c r="D6316" s="120" t="str">
        <f>IFERROR(__xludf.DUMMYFUNCTION("""COMPUTED_VALUE"""),"Fiji")</f>
        <v>Fiji</v>
      </c>
      <c r="E6316" s="135"/>
      <c r="F6316" s="31"/>
    </row>
    <row r="6317">
      <c r="A6317" s="134" t="str">
        <f>IFERROR(__xludf.DUMMYFUNCTION("""COMPUTED_VALUE"""),"Pack Creek")</f>
        <v>Pack Creek</v>
      </c>
      <c r="B6317" s="120" t="str">
        <f>IFERROR(__xludf.DUMMYFUNCTION("""COMPUTED_VALUE"""),"PBK")</f>
        <v>PBK</v>
      </c>
      <c r="C6317" s="120" t="str">
        <f>IFERROR(__xludf.DUMMYFUNCTION("""COMPUTED_VALUE"""),"Pack Creek")</f>
        <v>Pack Creek</v>
      </c>
      <c r="D6317" s="120" t="str">
        <f>IFERROR(__xludf.DUMMYFUNCTION("""COMPUTED_VALUE"""),"United States")</f>
        <v>United States</v>
      </c>
      <c r="E6317" s="135"/>
      <c r="F6317" s="31"/>
    </row>
    <row r="6318">
      <c r="A6318" s="134" t="str">
        <f>IFERROR(__xludf.DUMMYFUNCTION("""COMPUTED_VALUE"""),"Padang")</f>
        <v>Padang</v>
      </c>
      <c r="B6318" s="120" t="str">
        <f>IFERROR(__xludf.DUMMYFUNCTION("""COMPUTED_VALUE"""),"PDG")</f>
        <v>PDG</v>
      </c>
      <c r="C6318" s="120" t="str">
        <f>IFERROR(__xludf.DUMMYFUNCTION("""COMPUTED_VALUE"""),"Minangkabau International Airport")</f>
        <v>Minangkabau International Airport</v>
      </c>
      <c r="D6318" s="120" t="str">
        <f>IFERROR(__xludf.DUMMYFUNCTION("""COMPUTED_VALUE"""),"Indonesia")</f>
        <v>Indonesia</v>
      </c>
      <c r="E6318" s="135"/>
      <c r="F6318" s="31"/>
    </row>
    <row r="6319">
      <c r="A6319" s="134" t="str">
        <f>IFERROR(__xludf.DUMMYFUNCTION("""COMPUTED_VALUE"""),"Paderborn")</f>
        <v>Paderborn</v>
      </c>
      <c r="B6319" s="120" t="str">
        <f>IFERROR(__xludf.DUMMYFUNCTION("""COMPUTED_VALUE"""),"PAD")</f>
        <v>PAD</v>
      </c>
      <c r="C6319" s="120" t="str">
        <f>IFERROR(__xludf.DUMMYFUNCTION("""COMPUTED_VALUE"""),"Paderborn")</f>
        <v>Paderborn</v>
      </c>
      <c r="D6319" s="120" t="str">
        <f>IFERROR(__xludf.DUMMYFUNCTION("""COMPUTED_VALUE"""),"Germany")</f>
        <v>Germany</v>
      </c>
      <c r="E6319" s="135"/>
      <c r="F6319" s="31"/>
    </row>
    <row r="6320">
      <c r="A6320" s="134" t="str">
        <f>IFERROR(__xludf.DUMMYFUNCTION("""COMPUTED_VALUE"""),"Paducah")</f>
        <v>Paducah</v>
      </c>
      <c r="B6320" s="120" t="str">
        <f>IFERROR(__xludf.DUMMYFUNCTION("""COMPUTED_VALUE"""),"PAH")</f>
        <v>PAH</v>
      </c>
      <c r="C6320" s="120" t="str">
        <f>IFERROR(__xludf.DUMMYFUNCTION("""COMPUTED_VALUE"""),"Barkley Regional")</f>
        <v>Barkley Regional</v>
      </c>
      <c r="D6320" s="120" t="str">
        <f>IFERROR(__xludf.DUMMYFUNCTION("""COMPUTED_VALUE"""),"United States")</f>
        <v>United States</v>
      </c>
      <c r="E6320" s="135"/>
      <c r="F6320" s="31"/>
    </row>
    <row r="6321">
      <c r="A6321" s="134" t="str">
        <f>IFERROR(__xludf.DUMMYFUNCTION("""COMPUTED_VALUE"""),"Paf Warren")</f>
        <v>Paf Warren</v>
      </c>
      <c r="B6321" s="120" t="str">
        <f>IFERROR(__xludf.DUMMYFUNCTION("""COMPUTED_VALUE"""),"PFA")</f>
        <v>PFA</v>
      </c>
      <c r="C6321" s="120" t="str">
        <f>IFERROR(__xludf.DUMMYFUNCTION("""COMPUTED_VALUE"""),"Paf Warren")</f>
        <v>Paf Warren</v>
      </c>
      <c r="D6321" s="120" t="str">
        <f>IFERROR(__xludf.DUMMYFUNCTION("""COMPUTED_VALUE"""),"United States")</f>
        <v>United States</v>
      </c>
      <c r="E6321" s="135"/>
      <c r="F6321" s="31"/>
    </row>
    <row r="6322">
      <c r="A6322" s="134" t="str">
        <f>IFERROR(__xludf.DUMMYFUNCTION("""COMPUTED_VALUE"""),"Pagadian")</f>
        <v>Pagadian</v>
      </c>
      <c r="B6322" s="120" t="str">
        <f>IFERROR(__xludf.DUMMYFUNCTION("""COMPUTED_VALUE"""),"PAG")</f>
        <v>PAG</v>
      </c>
      <c r="C6322" s="120" t="str">
        <f>IFERROR(__xludf.DUMMYFUNCTION("""COMPUTED_VALUE"""),"Pagadian")</f>
        <v>Pagadian</v>
      </c>
      <c r="D6322" s="120" t="str">
        <f>IFERROR(__xludf.DUMMYFUNCTION("""COMPUTED_VALUE"""),"Philippines")</f>
        <v>Philippines</v>
      </c>
      <c r="E6322" s="135"/>
      <c r="F6322" s="31"/>
    </row>
    <row r="6323">
      <c r="A6323" s="134" t="str">
        <f>IFERROR(__xludf.DUMMYFUNCTION("""COMPUTED_VALUE"""),"Page")</f>
        <v>Page</v>
      </c>
      <c r="B6323" s="120" t="str">
        <f>IFERROR(__xludf.DUMMYFUNCTION("""COMPUTED_VALUE"""),"PGA")</f>
        <v>PGA</v>
      </c>
      <c r="C6323" s="120" t="str">
        <f>IFERROR(__xludf.DUMMYFUNCTION("""COMPUTED_VALUE"""),"Page")</f>
        <v>Page</v>
      </c>
      <c r="D6323" s="120" t="str">
        <f>IFERROR(__xludf.DUMMYFUNCTION("""COMPUTED_VALUE"""),"United States")</f>
        <v>United States</v>
      </c>
      <c r="E6323" s="135"/>
      <c r="F6323" s="31"/>
    </row>
    <row r="6324">
      <c r="A6324" s="134" t="str">
        <f>IFERROR(__xludf.DUMMYFUNCTION("""COMPUTED_VALUE"""),"Pago Pago")</f>
        <v>Pago Pago</v>
      </c>
      <c r="B6324" s="120" t="str">
        <f>IFERROR(__xludf.DUMMYFUNCTION("""COMPUTED_VALUE"""),"PPG")</f>
        <v>PPG</v>
      </c>
      <c r="C6324" s="120" t="str">
        <f>IFERROR(__xludf.DUMMYFUNCTION("""COMPUTED_VALUE"""),"International")</f>
        <v>International</v>
      </c>
      <c r="D6324" s="120" t="str">
        <f>IFERROR(__xludf.DUMMYFUNCTION("""COMPUTED_VALUE"""),"American Samoa")</f>
        <v>American Samoa</v>
      </c>
      <c r="E6324" s="135"/>
      <c r="F6324" s="31"/>
    </row>
    <row r="6325">
      <c r="A6325" s="134" t="str">
        <f>IFERROR(__xludf.DUMMYFUNCTION("""COMPUTED_VALUE"""),"Pagosa Springs")</f>
        <v>Pagosa Springs</v>
      </c>
      <c r="B6325" s="120" t="str">
        <f>IFERROR(__xludf.DUMMYFUNCTION("""COMPUTED_VALUE"""),"PGO")</f>
        <v>PGO</v>
      </c>
      <c r="C6325" s="120" t="str">
        <f>IFERROR(__xludf.DUMMYFUNCTION("""COMPUTED_VALUE"""),"Stevens Field")</f>
        <v>Stevens Field</v>
      </c>
      <c r="D6325" s="120" t="str">
        <f>IFERROR(__xludf.DUMMYFUNCTION("""COMPUTED_VALUE"""),"United States")</f>
        <v>United States</v>
      </c>
      <c r="E6325" s="135"/>
      <c r="F6325" s="31"/>
    </row>
    <row r="6326">
      <c r="A6326" s="134" t="str">
        <f>IFERROR(__xludf.DUMMYFUNCTION("""COMPUTED_VALUE"""),"Pahokee")</f>
        <v>Pahokee</v>
      </c>
      <c r="B6326" s="120" t="str">
        <f>IFERROR(__xludf.DUMMYFUNCTION("""COMPUTED_VALUE"""),"PHK")</f>
        <v>PHK</v>
      </c>
      <c r="C6326" s="120" t="str">
        <f>IFERROR(__xludf.DUMMYFUNCTION("""COMPUTED_VALUE"""),"Palm Beach Co Glades")</f>
        <v>Palm Beach Co Glades</v>
      </c>
      <c r="D6326" s="120" t="str">
        <f>IFERROR(__xludf.DUMMYFUNCTION("""COMPUTED_VALUE"""),"United States")</f>
        <v>United States</v>
      </c>
      <c r="E6326" s="135"/>
      <c r="F6326" s="31"/>
    </row>
    <row r="6327">
      <c r="A6327" s="134" t="str">
        <f>IFERROR(__xludf.DUMMYFUNCTION("""COMPUTED_VALUE"""),"Paiela")</f>
        <v>Paiela</v>
      </c>
      <c r="B6327" s="120" t="str">
        <f>IFERROR(__xludf.DUMMYFUNCTION("""COMPUTED_VALUE"""),"PLE")</f>
        <v>PLE</v>
      </c>
      <c r="C6327" s="120" t="str">
        <f>IFERROR(__xludf.DUMMYFUNCTION("""COMPUTED_VALUE"""),"Paiela")</f>
        <v>Paiela</v>
      </c>
      <c r="D6327" s="120" t="str">
        <f>IFERROR(__xludf.DUMMYFUNCTION("""COMPUTED_VALUE"""),"Papua New Guinea")</f>
        <v>Papua New Guinea</v>
      </c>
      <c r="E6327" s="135"/>
      <c r="F6327" s="31"/>
    </row>
    <row r="6328">
      <c r="A6328" s="134" t="str">
        <f>IFERROR(__xludf.DUMMYFUNCTION("""COMPUTED_VALUE"""),"Pailin")</f>
        <v>Pailin</v>
      </c>
      <c r="B6328" s="120" t="str">
        <f>IFERROR(__xludf.DUMMYFUNCTION("""COMPUTED_VALUE"""),"PAI")</f>
        <v>PAI</v>
      </c>
      <c r="C6328" s="120" t="str">
        <f>IFERROR(__xludf.DUMMYFUNCTION("""COMPUTED_VALUE"""),"Pailin")</f>
        <v>Pailin</v>
      </c>
      <c r="D6328" s="120" t="str">
        <f>IFERROR(__xludf.DUMMYFUNCTION("""COMPUTED_VALUE"""),"Cambodia")</f>
        <v>Cambodia</v>
      </c>
      <c r="E6328" s="135"/>
      <c r="F6328" s="31"/>
    </row>
    <row r="6329">
      <c r="A6329" s="134" t="str">
        <f>IFERROR(__xludf.DUMMYFUNCTION("""COMPUTED_VALUE"""),"Paimiut")</f>
        <v>Paimiut</v>
      </c>
      <c r="B6329" s="120" t="str">
        <f>IFERROR(__xludf.DUMMYFUNCTION("""COMPUTED_VALUE"""),"PMU")</f>
        <v>PMU</v>
      </c>
      <c r="C6329" s="120" t="str">
        <f>IFERROR(__xludf.DUMMYFUNCTION("""COMPUTED_VALUE"""),"SPB")</f>
        <v>SPB</v>
      </c>
      <c r="D6329" s="120" t="str">
        <f>IFERROR(__xludf.DUMMYFUNCTION("""COMPUTED_VALUE"""),"United States")</f>
        <v>United States</v>
      </c>
      <c r="E6329" s="135"/>
      <c r="F6329" s="31"/>
    </row>
    <row r="6330">
      <c r="A6330" s="134" t="str">
        <f>IFERROR(__xludf.DUMMYFUNCTION("""COMPUTED_VALUE"""),"Painesville")</f>
        <v>Painesville</v>
      </c>
      <c r="B6330" s="120" t="str">
        <f>IFERROR(__xludf.DUMMYFUNCTION("""COMPUTED_VALUE"""),"PVZ")</f>
        <v>PVZ</v>
      </c>
      <c r="C6330" s="120" t="str">
        <f>IFERROR(__xludf.DUMMYFUNCTION("""COMPUTED_VALUE"""),"Casement")</f>
        <v>Casement</v>
      </c>
      <c r="D6330" s="120" t="str">
        <f>IFERROR(__xludf.DUMMYFUNCTION("""COMPUTED_VALUE"""),"United States")</f>
        <v>United States</v>
      </c>
      <c r="E6330" s="135"/>
      <c r="F6330" s="31"/>
    </row>
    <row r="6331">
      <c r="A6331" s="134" t="str">
        <f>IFERROR(__xludf.DUMMYFUNCTION("""COMPUTED_VALUE"""),"Painter Creek")</f>
        <v>Painter Creek</v>
      </c>
      <c r="B6331" s="120" t="str">
        <f>IFERROR(__xludf.DUMMYFUNCTION("""COMPUTED_VALUE"""),"PCE")</f>
        <v>PCE</v>
      </c>
      <c r="C6331" s="120" t="str">
        <f>IFERROR(__xludf.DUMMYFUNCTION("""COMPUTED_VALUE"""),"Painter Creek")</f>
        <v>Painter Creek</v>
      </c>
      <c r="D6331" s="120" t="str">
        <f>IFERROR(__xludf.DUMMYFUNCTION("""COMPUTED_VALUE"""),"United States")</f>
        <v>United States</v>
      </c>
      <c r="E6331" s="135"/>
      <c r="F6331" s="31"/>
    </row>
    <row r="6332">
      <c r="A6332" s="134" t="str">
        <f>IFERROR(__xludf.DUMMYFUNCTION("""COMPUTED_VALUE"""),"Pajala")</f>
        <v>Pajala</v>
      </c>
      <c r="B6332" s="120" t="str">
        <f>IFERROR(__xludf.DUMMYFUNCTION("""COMPUTED_VALUE"""),"PJA")</f>
        <v>PJA</v>
      </c>
      <c r="C6332" s="120" t="str">
        <f>IFERROR(__xludf.DUMMYFUNCTION("""COMPUTED_VALUE"""),"Pajala")</f>
        <v>Pajala</v>
      </c>
      <c r="D6332" s="120" t="str">
        <f>IFERROR(__xludf.DUMMYFUNCTION("""COMPUTED_VALUE"""),"Sweden")</f>
        <v>Sweden</v>
      </c>
      <c r="E6332" s="135"/>
      <c r="F6332" s="31"/>
    </row>
    <row r="6333">
      <c r="A6333" s="134" t="str">
        <f>IFERROR(__xludf.DUMMYFUNCTION("""COMPUTED_VALUE"""),"Pakatoa Island")</f>
        <v>Pakatoa Island</v>
      </c>
      <c r="B6333" s="120" t="str">
        <f>IFERROR(__xludf.DUMMYFUNCTION("""COMPUTED_VALUE"""),"PKL")</f>
        <v>PKL</v>
      </c>
      <c r="C6333" s="120" t="str">
        <f>IFERROR(__xludf.DUMMYFUNCTION("""COMPUTED_VALUE"""),"Pakatoa Island")</f>
        <v>Pakatoa Island</v>
      </c>
      <c r="D6333" s="120" t="str">
        <f>IFERROR(__xludf.DUMMYFUNCTION("""COMPUTED_VALUE"""),"New Zealand (Aotearoa)")</f>
        <v>New Zealand (Aotearoa)</v>
      </c>
      <c r="E6333" s="135"/>
      <c r="F6333" s="31"/>
    </row>
    <row r="6334">
      <c r="A6334" s="134" t="str">
        <f>IFERROR(__xludf.DUMMYFUNCTION("""COMPUTED_VALUE"""),"Pakokku")</f>
        <v>Pakokku</v>
      </c>
      <c r="B6334" s="120" t="str">
        <f>IFERROR(__xludf.DUMMYFUNCTION("""COMPUTED_VALUE"""),"PKK")</f>
        <v>PKK</v>
      </c>
      <c r="C6334" s="120" t="str">
        <f>IFERROR(__xludf.DUMMYFUNCTION("""COMPUTED_VALUE"""),"Pakokku")</f>
        <v>Pakokku</v>
      </c>
      <c r="D6334" s="120" t="str">
        <f>IFERROR(__xludf.DUMMYFUNCTION("""COMPUTED_VALUE"""),"Myanmar")</f>
        <v>Myanmar</v>
      </c>
      <c r="E6334" s="135"/>
      <c r="F6334" s="31"/>
    </row>
    <row r="6335">
      <c r="A6335" s="134" t="str">
        <f>IFERROR(__xludf.DUMMYFUNCTION("""COMPUTED_VALUE"""),"Paksane")</f>
        <v>Paksane</v>
      </c>
      <c r="B6335" s="120" t="str">
        <f>IFERROR(__xludf.DUMMYFUNCTION("""COMPUTED_VALUE"""),"PKS")</f>
        <v>PKS</v>
      </c>
      <c r="C6335" s="120" t="str">
        <f>IFERROR(__xludf.DUMMYFUNCTION("""COMPUTED_VALUE"""),"Paksane")</f>
        <v>Paksane</v>
      </c>
      <c r="D6335" s="120" t="str">
        <f>IFERROR(__xludf.DUMMYFUNCTION("""COMPUTED_VALUE"""),"Laos")</f>
        <v>Laos</v>
      </c>
      <c r="E6335" s="135"/>
      <c r="F6335" s="31"/>
    </row>
    <row r="6336">
      <c r="A6336" s="134" t="str">
        <f>IFERROR(__xludf.DUMMYFUNCTION("""COMPUTED_VALUE"""),"Pakse")</f>
        <v>Pakse</v>
      </c>
      <c r="B6336" s="120" t="str">
        <f>IFERROR(__xludf.DUMMYFUNCTION("""COMPUTED_VALUE"""),"PKZ")</f>
        <v>PKZ</v>
      </c>
      <c r="C6336" s="120" t="str">
        <f>IFERROR(__xludf.DUMMYFUNCTION("""COMPUTED_VALUE"""),"Pakse")</f>
        <v>Pakse</v>
      </c>
      <c r="D6336" s="120" t="str">
        <f>IFERROR(__xludf.DUMMYFUNCTION("""COMPUTED_VALUE"""),"Laos")</f>
        <v>Laos</v>
      </c>
      <c r="E6336" s="135"/>
      <c r="F6336" s="31"/>
    </row>
    <row r="6337">
      <c r="A6337" s="134" t="str">
        <f>IFERROR(__xludf.DUMMYFUNCTION("""COMPUTED_VALUE"""),"Pakuashipi")</f>
        <v>Pakuashipi</v>
      </c>
      <c r="B6337" s="120" t="str">
        <f>IFERROR(__xludf.DUMMYFUNCTION("""COMPUTED_VALUE"""),"YIF")</f>
        <v>YIF</v>
      </c>
      <c r="C6337" s="120" t="str">
        <f>IFERROR(__xludf.DUMMYFUNCTION("""COMPUTED_VALUE"""),"Pakuashipi")</f>
        <v>Pakuashipi</v>
      </c>
      <c r="D6337" s="120" t="str">
        <f>IFERROR(__xludf.DUMMYFUNCTION("""COMPUTED_VALUE"""),"Canada")</f>
        <v>Canada</v>
      </c>
      <c r="E6337" s="135"/>
      <c r="F6337" s="31"/>
    </row>
    <row r="6338">
      <c r="A6338" s="134" t="str">
        <f>IFERROR(__xludf.DUMMYFUNCTION("""COMPUTED_VALUE"""),"Pakuba")</f>
        <v>Pakuba</v>
      </c>
      <c r="B6338" s="120" t="str">
        <f>IFERROR(__xludf.DUMMYFUNCTION("""COMPUTED_VALUE"""),"PAF")</f>
        <v>PAF</v>
      </c>
      <c r="C6338" s="120" t="str">
        <f>IFERROR(__xludf.DUMMYFUNCTION("""COMPUTED_VALUE"""),"Pakuba")</f>
        <v>Pakuba</v>
      </c>
      <c r="D6338" s="120" t="str">
        <f>IFERROR(__xludf.DUMMYFUNCTION("""COMPUTED_VALUE"""),"Uganda")</f>
        <v>Uganda</v>
      </c>
      <c r="E6338" s="135"/>
      <c r="F6338" s="31"/>
    </row>
    <row r="6339">
      <c r="A6339" s="134" t="str">
        <f>IFERROR(__xludf.DUMMYFUNCTION("""COMPUTED_VALUE"""),"Pala")</f>
        <v>Pala</v>
      </c>
      <c r="B6339" s="120" t="str">
        <f>IFERROR(__xludf.DUMMYFUNCTION("""COMPUTED_VALUE"""),"PLF")</f>
        <v>PLF</v>
      </c>
      <c r="C6339" s="120" t="str">
        <f>IFERROR(__xludf.DUMMYFUNCTION("""COMPUTED_VALUE"""),"Pala")</f>
        <v>Pala</v>
      </c>
      <c r="D6339" s="120" t="str">
        <f>IFERROR(__xludf.DUMMYFUNCTION("""COMPUTED_VALUE"""),"Chad")</f>
        <v>Chad</v>
      </c>
      <c r="E6339" s="135"/>
      <c r="F6339" s="31"/>
    </row>
    <row r="6340">
      <c r="A6340" s="134" t="str">
        <f>IFERROR(__xludf.DUMMYFUNCTION("""COMPUTED_VALUE"""),"Palacios")</f>
        <v>Palacios</v>
      </c>
      <c r="B6340" s="120" t="str">
        <f>IFERROR(__xludf.DUMMYFUNCTION("""COMPUTED_VALUE"""),"PCH")</f>
        <v>PCH</v>
      </c>
      <c r="C6340" s="120" t="str">
        <f>IFERROR(__xludf.DUMMYFUNCTION("""COMPUTED_VALUE"""),"Palacios")</f>
        <v>Palacios</v>
      </c>
      <c r="D6340" s="120" t="str">
        <f>IFERROR(__xludf.DUMMYFUNCTION("""COMPUTED_VALUE"""),"Honduras")</f>
        <v>Honduras</v>
      </c>
      <c r="E6340" s="135"/>
      <c r="F6340" s="31"/>
    </row>
    <row r="6341">
      <c r="A6341" s="134" t="str">
        <f>IFERROR(__xludf.DUMMYFUNCTION("""COMPUTED_VALUE"""),"Palacios")</f>
        <v>Palacios</v>
      </c>
      <c r="B6341" s="120" t="str">
        <f>IFERROR(__xludf.DUMMYFUNCTION("""COMPUTED_VALUE"""),"PSX")</f>
        <v>PSX</v>
      </c>
      <c r="C6341" s="120" t="str">
        <f>IFERROR(__xludf.DUMMYFUNCTION("""COMPUTED_VALUE"""),"Palacios")</f>
        <v>Palacios</v>
      </c>
      <c r="D6341" s="120" t="str">
        <f>IFERROR(__xludf.DUMMYFUNCTION("""COMPUTED_VALUE"""),"United States")</f>
        <v>United States</v>
      </c>
      <c r="E6341" s="135"/>
      <c r="F6341" s="31"/>
    </row>
    <row r="6342">
      <c r="A6342" s="134" t="str">
        <f>IFERROR(__xludf.DUMMYFUNCTION("""COMPUTED_VALUE"""),"Palangkaraya")</f>
        <v>Palangkaraya</v>
      </c>
      <c r="B6342" s="120" t="str">
        <f>IFERROR(__xludf.DUMMYFUNCTION("""COMPUTED_VALUE"""),"PKY")</f>
        <v>PKY</v>
      </c>
      <c r="C6342" s="120" t="str">
        <f>IFERROR(__xludf.DUMMYFUNCTION("""COMPUTED_VALUE"""),"Palangkaraya")</f>
        <v>Palangkaraya</v>
      </c>
      <c r="D6342" s="120" t="str">
        <f>IFERROR(__xludf.DUMMYFUNCTION("""COMPUTED_VALUE"""),"Indonesia")</f>
        <v>Indonesia</v>
      </c>
      <c r="E6342" s="135"/>
      <c r="F6342" s="31"/>
    </row>
    <row r="6343">
      <c r="A6343" s="134" t="str">
        <f>IFERROR(__xludf.DUMMYFUNCTION("""COMPUTED_VALUE"""),"Palanquero")</f>
        <v>Palanquero</v>
      </c>
      <c r="B6343" s="120" t="str">
        <f>IFERROR(__xludf.DUMMYFUNCTION("""COMPUTED_VALUE"""),"PAL")</f>
        <v>PAL</v>
      </c>
      <c r="C6343" s="120" t="str">
        <f>IFERROR(__xludf.DUMMYFUNCTION("""COMPUTED_VALUE"""),"Palanquero")</f>
        <v>Palanquero</v>
      </c>
      <c r="D6343" s="120" t="str">
        <f>IFERROR(__xludf.DUMMYFUNCTION("""COMPUTED_VALUE"""),"Colombia")</f>
        <v>Colombia</v>
      </c>
      <c r="E6343" s="135"/>
      <c r="F6343" s="31"/>
    </row>
    <row r="6344">
      <c r="A6344" s="134" t="str">
        <f>IFERROR(__xludf.DUMMYFUNCTION("""COMPUTED_VALUE"""),"Palembang")</f>
        <v>Palembang</v>
      </c>
      <c r="B6344" s="120" t="str">
        <f>IFERROR(__xludf.DUMMYFUNCTION("""COMPUTED_VALUE"""),"PLM")</f>
        <v>PLM</v>
      </c>
      <c r="C6344" s="120" t="str">
        <f>IFERROR(__xludf.DUMMYFUNCTION("""COMPUTED_VALUE"""),"Mahmud Badaruddin Ii")</f>
        <v>Mahmud Badaruddin Ii</v>
      </c>
      <c r="D6344" s="120" t="str">
        <f>IFERROR(__xludf.DUMMYFUNCTION("""COMPUTED_VALUE"""),"Indonesia")</f>
        <v>Indonesia</v>
      </c>
      <c r="E6344" s="135"/>
      <c r="F6344" s="31"/>
    </row>
    <row r="6345">
      <c r="A6345" s="134" t="str">
        <f>IFERROR(__xludf.DUMMYFUNCTION("""COMPUTED_VALUE"""),"Palenque")</f>
        <v>Palenque</v>
      </c>
      <c r="B6345" s="120" t="str">
        <f>IFERROR(__xludf.DUMMYFUNCTION("""COMPUTED_VALUE"""),"PQM")</f>
        <v>PQM</v>
      </c>
      <c r="C6345" s="120" t="str">
        <f>IFERROR(__xludf.DUMMYFUNCTION("""COMPUTED_VALUE"""),"Palenque")</f>
        <v>Palenque</v>
      </c>
      <c r="D6345" s="120" t="str">
        <f>IFERROR(__xludf.DUMMYFUNCTION("""COMPUTED_VALUE"""),"Mexico")</f>
        <v>Mexico</v>
      </c>
      <c r="E6345" s="135"/>
      <c r="F6345" s="31"/>
    </row>
    <row r="6346">
      <c r="A6346" s="134" t="str">
        <f>IFERROR(__xludf.DUMMYFUNCTION("""COMPUTED_VALUE"""),"Palermo")</f>
        <v>Palermo</v>
      </c>
      <c r="B6346" s="120" t="str">
        <f>IFERROR(__xludf.DUMMYFUNCTION("""COMPUTED_VALUE"""),"PMO")</f>
        <v>PMO</v>
      </c>
      <c r="C6346" s="120" t="str">
        <f>IFERROR(__xludf.DUMMYFUNCTION("""COMPUTED_VALUE"""),"Punta Raisi")</f>
        <v>Punta Raisi</v>
      </c>
      <c r="D6346" s="120" t="str">
        <f>IFERROR(__xludf.DUMMYFUNCTION("""COMPUTED_VALUE"""),"Italy")</f>
        <v>Italy</v>
      </c>
      <c r="E6346" s="135"/>
      <c r="F6346" s="31"/>
    </row>
    <row r="6347">
      <c r="A6347" s="134" t="str">
        <f>IFERROR(__xludf.DUMMYFUNCTION("""COMPUTED_VALUE"""),"Palestine")</f>
        <v>Palestine</v>
      </c>
      <c r="B6347" s="120" t="str">
        <f>IFERROR(__xludf.DUMMYFUNCTION("""COMPUTED_VALUE"""),"PSN")</f>
        <v>PSN</v>
      </c>
      <c r="C6347" s="120" t="str">
        <f>IFERROR(__xludf.DUMMYFUNCTION("""COMPUTED_VALUE"""),"Palestine")</f>
        <v>Palestine</v>
      </c>
      <c r="D6347" s="120" t="str">
        <f>IFERROR(__xludf.DUMMYFUNCTION("""COMPUTED_VALUE"""),"United States")</f>
        <v>United States</v>
      </c>
      <c r="E6347" s="135"/>
      <c r="F6347" s="31"/>
    </row>
    <row r="6348">
      <c r="A6348" s="134" t="str">
        <f>IFERROR(__xludf.DUMMYFUNCTION("""COMPUTED_VALUE"""),"Palibelo")</f>
        <v>Palibelo</v>
      </c>
      <c r="B6348" s="120" t="str">
        <f>IFERROR(__xludf.DUMMYFUNCTION("""COMPUTED_VALUE"""),"PBW")</f>
        <v>PBW</v>
      </c>
      <c r="C6348" s="120" t="str">
        <f>IFERROR(__xludf.DUMMYFUNCTION("""COMPUTED_VALUE"""),"Palibelo")</f>
        <v>Palibelo</v>
      </c>
      <c r="D6348" s="120" t="str">
        <f>IFERROR(__xludf.DUMMYFUNCTION("""COMPUTED_VALUE"""),"Indonesia")</f>
        <v>Indonesia</v>
      </c>
      <c r="E6348" s="135"/>
      <c r="F6348" s="31"/>
    </row>
    <row r="6349">
      <c r="A6349" s="134" t="str">
        <f>IFERROR(__xludf.DUMMYFUNCTION("""COMPUTED_VALUE"""),"Palm Island")</f>
        <v>Palm Island</v>
      </c>
      <c r="B6349" s="120" t="str">
        <f>IFERROR(__xludf.DUMMYFUNCTION("""COMPUTED_VALUE"""),"PMK")</f>
        <v>PMK</v>
      </c>
      <c r="C6349" s="120" t="str">
        <f>IFERROR(__xludf.DUMMYFUNCTION("""COMPUTED_VALUE"""),"Palm Island")</f>
        <v>Palm Island</v>
      </c>
      <c r="D6349" s="120" t="str">
        <f>IFERROR(__xludf.DUMMYFUNCTION("""COMPUTED_VALUE"""),"Australia")</f>
        <v>Australia</v>
      </c>
      <c r="E6349" s="135"/>
      <c r="F6349" s="31"/>
    </row>
    <row r="6350">
      <c r="A6350" s="134" t="str">
        <f>IFERROR(__xludf.DUMMYFUNCTION("""COMPUTED_VALUE"""),"Palm Island")</f>
        <v>Palm Island</v>
      </c>
      <c r="B6350" s="120" t="str">
        <f>IFERROR(__xludf.DUMMYFUNCTION("""COMPUTED_VALUE"""),"PLI")</f>
        <v>PLI</v>
      </c>
      <c r="C6350" s="120" t="str">
        <f>IFERROR(__xludf.DUMMYFUNCTION("""COMPUTED_VALUE"""),"Palm Island")</f>
        <v>Palm Island</v>
      </c>
      <c r="D6350" s="120" t="str">
        <f>IFERROR(__xludf.DUMMYFUNCTION("""COMPUTED_VALUE"""),"Saint Vincent and the Grenadines")</f>
        <v>Saint Vincent and the Grenadines</v>
      </c>
      <c r="E6350" s="135"/>
      <c r="F6350" s="31"/>
    </row>
    <row r="6351">
      <c r="A6351" s="134" t="str">
        <f>IFERROR(__xludf.DUMMYFUNCTION("""COMPUTED_VALUE"""),"Palm Springs")</f>
        <v>Palm Springs</v>
      </c>
      <c r="B6351" s="120" t="str">
        <f>IFERROR(__xludf.DUMMYFUNCTION("""COMPUTED_VALUE"""),"UDD")</f>
        <v>UDD</v>
      </c>
      <c r="C6351" s="120" t="str">
        <f>IFERROR(__xludf.DUMMYFUNCTION("""COMPUTED_VALUE"""),"Bermuda Dunes")</f>
        <v>Bermuda Dunes</v>
      </c>
      <c r="D6351" s="120" t="str">
        <f>IFERROR(__xludf.DUMMYFUNCTION("""COMPUTED_VALUE"""),"United States")</f>
        <v>United States</v>
      </c>
      <c r="E6351" s="135"/>
      <c r="F6351" s="31"/>
    </row>
    <row r="6352">
      <c r="A6352" s="134" t="str">
        <f>IFERROR(__xludf.DUMMYFUNCTION("""COMPUTED_VALUE"""),"Palm Springs")</f>
        <v>Palm Springs</v>
      </c>
      <c r="B6352" s="120" t="str">
        <f>IFERROR(__xludf.DUMMYFUNCTION("""COMPUTED_VALUE"""),"PSP")</f>
        <v>PSP</v>
      </c>
      <c r="C6352" s="120" t="str">
        <f>IFERROR(__xludf.DUMMYFUNCTION("""COMPUTED_VALUE"""),"Municipal")</f>
        <v>Municipal</v>
      </c>
      <c r="D6352" s="120" t="str">
        <f>IFERROR(__xludf.DUMMYFUNCTION("""COMPUTED_VALUE"""),"United States")</f>
        <v>United States</v>
      </c>
      <c r="E6352" s="135"/>
      <c r="F6352" s="31"/>
    </row>
    <row r="6353">
      <c r="A6353" s="134" t="str">
        <f>IFERROR(__xludf.DUMMYFUNCTION("""COMPUTED_VALUE"""),"Palma")</f>
        <v>Palma</v>
      </c>
      <c r="B6353" s="120" t="str">
        <f>IFERROR(__xludf.DUMMYFUNCTION("""COMPUTED_VALUE"""),"LMZ")</f>
        <v>LMZ</v>
      </c>
      <c r="C6353" s="120" t="str">
        <f>IFERROR(__xludf.DUMMYFUNCTION("""COMPUTED_VALUE"""),"Palma")</f>
        <v>Palma</v>
      </c>
      <c r="D6353" s="120" t="str">
        <f>IFERROR(__xludf.DUMMYFUNCTION("""COMPUTED_VALUE"""),"Mozambique")</f>
        <v>Mozambique</v>
      </c>
      <c r="E6353" s="135"/>
      <c r="F6353" s="31"/>
    </row>
    <row r="6354">
      <c r="A6354" s="134" t="str">
        <f>IFERROR(__xludf.DUMMYFUNCTION("""COMPUTED_VALUE"""),"Palma Mallorca")</f>
        <v>Palma Mallorca</v>
      </c>
      <c r="B6354" s="120" t="str">
        <f>IFERROR(__xludf.DUMMYFUNCTION("""COMPUTED_VALUE"""),"PMI")</f>
        <v>PMI</v>
      </c>
      <c r="C6354" s="120" t="str">
        <f>IFERROR(__xludf.DUMMYFUNCTION("""COMPUTED_VALUE"""),"Palma Mallorca")</f>
        <v>Palma Mallorca</v>
      </c>
      <c r="D6354" s="120" t="str">
        <f>IFERROR(__xludf.DUMMYFUNCTION("""COMPUTED_VALUE"""),"Spain")</f>
        <v>Spain</v>
      </c>
      <c r="E6354" s="135"/>
      <c r="F6354" s="31"/>
    </row>
    <row r="6355">
      <c r="A6355" s="134" t="str">
        <f>IFERROR(__xludf.DUMMYFUNCTION("""COMPUTED_VALUE"""),"Palmar")</f>
        <v>Palmar</v>
      </c>
      <c r="B6355" s="120" t="str">
        <f>IFERROR(__xludf.DUMMYFUNCTION("""COMPUTED_VALUE"""),"PMZ")</f>
        <v>PMZ</v>
      </c>
      <c r="C6355" s="120" t="str">
        <f>IFERROR(__xludf.DUMMYFUNCTION("""COMPUTED_VALUE"""),"Palmar Sur")</f>
        <v>Palmar Sur</v>
      </c>
      <c r="D6355" s="120" t="str">
        <f>IFERROR(__xludf.DUMMYFUNCTION("""COMPUTED_VALUE"""),"Costa Rica")</f>
        <v>Costa Rica</v>
      </c>
      <c r="E6355" s="135"/>
      <c r="F6355" s="31"/>
    </row>
    <row r="6356">
      <c r="A6356" s="134" t="str">
        <f>IFERROR(__xludf.DUMMYFUNCTION("""COMPUTED_VALUE"""),"Palmarito")</f>
        <v>Palmarito</v>
      </c>
      <c r="B6356" s="120" t="str">
        <f>IFERROR(__xludf.DUMMYFUNCTION("""COMPUTED_VALUE"""),"PTM")</f>
        <v>PTM</v>
      </c>
      <c r="C6356" s="120" t="str">
        <f>IFERROR(__xludf.DUMMYFUNCTION("""COMPUTED_VALUE"""),"Palmarito")</f>
        <v>Palmarito</v>
      </c>
      <c r="D6356" s="120" t="str">
        <f>IFERROR(__xludf.DUMMYFUNCTION("""COMPUTED_VALUE"""),"Venezuela")</f>
        <v>Venezuela</v>
      </c>
      <c r="E6356" s="135"/>
      <c r="F6356" s="31"/>
    </row>
    <row r="6357">
      <c r="A6357" s="134" t="str">
        <f>IFERROR(__xludf.DUMMYFUNCTION("""COMPUTED_VALUE"""),"Palmas")</f>
        <v>Palmas</v>
      </c>
      <c r="B6357" s="120" t="str">
        <f>IFERROR(__xludf.DUMMYFUNCTION("""COMPUTED_VALUE"""),"PMW")</f>
        <v>PMW</v>
      </c>
      <c r="C6357" s="120" t="str">
        <f>IFERROR(__xludf.DUMMYFUNCTION("""COMPUTED_VALUE"""),"Palmas")</f>
        <v>Palmas</v>
      </c>
      <c r="D6357" s="120" t="str">
        <f>IFERROR(__xludf.DUMMYFUNCTION("""COMPUTED_VALUE"""),"Brazil")</f>
        <v>Brazil</v>
      </c>
      <c r="E6357" s="135"/>
      <c r="F6357" s="31"/>
    </row>
    <row r="6358">
      <c r="A6358" s="134" t="str">
        <f>IFERROR(__xludf.DUMMYFUNCTION("""COMPUTED_VALUE"""),"Palmdale")</f>
        <v>Palmdale</v>
      </c>
      <c r="B6358" s="120" t="str">
        <f>IFERROR(__xludf.DUMMYFUNCTION("""COMPUTED_VALUE"""),"PMD")</f>
        <v>PMD</v>
      </c>
      <c r="C6358" s="120" t="str">
        <f>IFERROR(__xludf.DUMMYFUNCTION("""COMPUTED_VALUE"""),"Air Force 42")</f>
        <v>Air Force 42</v>
      </c>
      <c r="D6358" s="120" t="str">
        <f>IFERROR(__xludf.DUMMYFUNCTION("""COMPUTED_VALUE"""),"United States")</f>
        <v>United States</v>
      </c>
      <c r="E6358" s="135"/>
      <c r="F6358" s="31"/>
    </row>
    <row r="6359">
      <c r="A6359" s="134" t="str">
        <f>IFERROR(__xludf.DUMMYFUNCTION("""COMPUTED_VALUE"""),"Palmer")</f>
        <v>Palmer</v>
      </c>
      <c r="B6359" s="120" t="str">
        <f>IFERROR(__xludf.DUMMYFUNCTION("""COMPUTED_VALUE"""),"PAQ")</f>
        <v>PAQ</v>
      </c>
      <c r="C6359" s="120" t="str">
        <f>IFERROR(__xludf.DUMMYFUNCTION("""COMPUTED_VALUE"""),"Municipal")</f>
        <v>Municipal</v>
      </c>
      <c r="D6359" s="120" t="str">
        <f>IFERROR(__xludf.DUMMYFUNCTION("""COMPUTED_VALUE"""),"United States")</f>
        <v>United States</v>
      </c>
      <c r="E6359" s="135"/>
      <c r="F6359" s="31"/>
    </row>
    <row r="6360">
      <c r="A6360" s="134" t="str">
        <f>IFERROR(__xludf.DUMMYFUNCTION("""COMPUTED_VALUE"""),"Palmer")</f>
        <v>Palmer</v>
      </c>
      <c r="B6360" s="120" t="str">
        <f>IFERROR(__xludf.DUMMYFUNCTION("""COMPUTED_VALUE"""),"PMX")</f>
        <v>PMX</v>
      </c>
      <c r="C6360" s="120" t="str">
        <f>IFERROR(__xludf.DUMMYFUNCTION("""COMPUTED_VALUE"""),"Metropolitan")</f>
        <v>Metropolitan</v>
      </c>
      <c r="D6360" s="120" t="str">
        <f>IFERROR(__xludf.DUMMYFUNCTION("""COMPUTED_VALUE"""),"United States")</f>
        <v>United States</v>
      </c>
      <c r="E6360" s="135"/>
      <c r="F6360" s="31"/>
    </row>
    <row r="6361">
      <c r="A6361" s="134" t="str">
        <f>IFERROR(__xludf.DUMMYFUNCTION("""COMPUTED_VALUE"""),"Palmerston North")</f>
        <v>Palmerston North</v>
      </c>
      <c r="B6361" s="120" t="str">
        <f>IFERROR(__xludf.DUMMYFUNCTION("""COMPUTED_VALUE"""),"PMR")</f>
        <v>PMR</v>
      </c>
      <c r="C6361" s="120" t="str">
        <f>IFERROR(__xludf.DUMMYFUNCTION("""COMPUTED_VALUE"""),"Palmerston North")</f>
        <v>Palmerston North</v>
      </c>
      <c r="D6361" s="120" t="str">
        <f>IFERROR(__xludf.DUMMYFUNCTION("""COMPUTED_VALUE"""),"New Zealand (aotearoa)")</f>
        <v>New Zealand (aotearoa)</v>
      </c>
      <c r="E6361" s="135"/>
      <c r="F6361" s="31"/>
    </row>
    <row r="6362">
      <c r="A6362" s="134" t="str">
        <f>IFERROR(__xludf.DUMMYFUNCTION("""COMPUTED_VALUE"""),"Palmyra")</f>
        <v>Palmyra</v>
      </c>
      <c r="B6362" s="120" t="str">
        <f>IFERROR(__xludf.DUMMYFUNCTION("""COMPUTED_VALUE"""),"PMS")</f>
        <v>PMS</v>
      </c>
      <c r="C6362" s="120" t="str">
        <f>IFERROR(__xludf.DUMMYFUNCTION("""COMPUTED_VALUE"""),"Palmyra")</f>
        <v>Palmyra</v>
      </c>
      <c r="D6362" s="120" t="str">
        <f>IFERROR(__xludf.DUMMYFUNCTION("""COMPUTED_VALUE"""),"Syria")</f>
        <v>Syria</v>
      </c>
      <c r="E6362" s="135"/>
      <c r="F6362" s="31"/>
    </row>
    <row r="6363">
      <c r="A6363" s="134" t="str">
        <f>IFERROR(__xludf.DUMMYFUNCTION("""COMPUTED_VALUE"""),"Palo Alto")</f>
        <v>Palo Alto</v>
      </c>
      <c r="B6363" s="120" t="str">
        <f>IFERROR(__xludf.DUMMYFUNCTION("""COMPUTED_VALUE"""),"PAO")</f>
        <v>PAO</v>
      </c>
      <c r="C6363" s="120" t="str">
        <f>IFERROR(__xludf.DUMMYFUNCTION("""COMPUTED_VALUE"""),"Palo Alto")</f>
        <v>Palo Alto</v>
      </c>
      <c r="D6363" s="120" t="str">
        <f>IFERROR(__xludf.DUMMYFUNCTION("""COMPUTED_VALUE"""),"United States")</f>
        <v>United States</v>
      </c>
      <c r="E6363" s="135"/>
      <c r="F6363" s="31"/>
    </row>
    <row r="6364">
      <c r="A6364" s="134" t="str">
        <f>IFERROR(__xludf.DUMMYFUNCTION("""COMPUTED_VALUE"""),"Paloemeu")</f>
        <v>Paloemeu</v>
      </c>
      <c r="B6364" s="120" t="str">
        <f>IFERROR(__xludf.DUMMYFUNCTION("""COMPUTED_VALUE"""),"OEM")</f>
        <v>OEM</v>
      </c>
      <c r="C6364" s="120" t="str">
        <f>IFERROR(__xludf.DUMMYFUNCTION("""COMPUTED_VALUE"""),"Vincent Fayks")</f>
        <v>Vincent Fayks</v>
      </c>
      <c r="D6364" s="120" t="str">
        <f>IFERROR(__xludf.DUMMYFUNCTION("""COMPUTED_VALUE"""),"Suriname")</f>
        <v>Suriname</v>
      </c>
      <c r="E6364" s="135"/>
      <c r="F6364" s="31"/>
    </row>
    <row r="6365">
      <c r="A6365" s="134" t="str">
        <f>IFERROR(__xludf.DUMMYFUNCTION("""COMPUTED_VALUE"""),"Palu")</f>
        <v>Palu</v>
      </c>
      <c r="B6365" s="120" t="str">
        <f>IFERROR(__xludf.DUMMYFUNCTION("""COMPUTED_VALUE"""),"PLW")</f>
        <v>PLW</v>
      </c>
      <c r="C6365" s="120" t="str">
        <f>IFERROR(__xludf.DUMMYFUNCTION("""COMPUTED_VALUE"""),"Mutiara")</f>
        <v>Mutiara</v>
      </c>
      <c r="D6365" s="120" t="str">
        <f>IFERROR(__xludf.DUMMYFUNCTION("""COMPUTED_VALUE"""),"Indonesia")</f>
        <v>Indonesia</v>
      </c>
      <c r="E6365" s="135"/>
      <c r="F6365" s="31"/>
    </row>
    <row r="6366">
      <c r="A6366" s="134" t="str">
        <f>IFERROR(__xludf.DUMMYFUNCTION("""COMPUTED_VALUE"""),"Pama")</f>
        <v>Pama</v>
      </c>
      <c r="B6366" s="120" t="str">
        <f>IFERROR(__xludf.DUMMYFUNCTION("""COMPUTED_VALUE"""),"XPA")</f>
        <v>XPA</v>
      </c>
      <c r="C6366" s="120" t="str">
        <f>IFERROR(__xludf.DUMMYFUNCTION("""COMPUTED_VALUE"""),"Pama")</f>
        <v>Pama</v>
      </c>
      <c r="D6366" s="120" t="str">
        <f>IFERROR(__xludf.DUMMYFUNCTION("""COMPUTED_VALUE"""),"Burkina Faso")</f>
        <v>Burkina Faso</v>
      </c>
      <c r="E6366" s="135"/>
      <c r="F6366" s="31"/>
    </row>
    <row r="6367">
      <c r="A6367" s="134" t="str">
        <f>IFERROR(__xludf.DUMMYFUNCTION("""COMPUTED_VALUE"""),"Pambwa")</f>
        <v>Pambwa</v>
      </c>
      <c r="B6367" s="120" t="str">
        <f>IFERROR(__xludf.DUMMYFUNCTION("""COMPUTED_VALUE"""),"PAW")</f>
        <v>PAW</v>
      </c>
      <c r="C6367" s="120" t="str">
        <f>IFERROR(__xludf.DUMMYFUNCTION("""COMPUTED_VALUE"""),"Pambwa")</f>
        <v>Pambwa</v>
      </c>
      <c r="D6367" s="120" t="str">
        <f>IFERROR(__xludf.DUMMYFUNCTION("""COMPUTED_VALUE"""),"Papua New Guinea")</f>
        <v>Papua New Guinea</v>
      </c>
      <c r="E6367" s="135"/>
      <c r="F6367" s="31"/>
    </row>
    <row r="6368">
      <c r="A6368" s="134" t="str">
        <f>IFERROR(__xludf.DUMMYFUNCTION("""COMPUTED_VALUE"""),"Pamol")</f>
        <v>Pamol</v>
      </c>
      <c r="B6368" s="120" t="str">
        <f>IFERROR(__xludf.DUMMYFUNCTION("""COMPUTED_VALUE"""),"PAY")</f>
        <v>PAY</v>
      </c>
      <c r="C6368" s="120" t="str">
        <f>IFERROR(__xludf.DUMMYFUNCTION("""COMPUTED_VALUE"""),"Pamol")</f>
        <v>Pamol</v>
      </c>
      <c r="D6368" s="120" t="str">
        <f>IFERROR(__xludf.DUMMYFUNCTION("""COMPUTED_VALUE"""),"Malaysia")</f>
        <v>Malaysia</v>
      </c>
      <c r="E6368" s="135"/>
      <c r="F6368" s="31"/>
    </row>
    <row r="6369">
      <c r="A6369" s="134" t="str">
        <f>IFERROR(__xludf.DUMMYFUNCTION("""COMPUTED_VALUE"""),"Pampa")</f>
        <v>Pampa</v>
      </c>
      <c r="B6369" s="120" t="str">
        <f>IFERROR(__xludf.DUMMYFUNCTION("""COMPUTED_VALUE"""),"PPA")</f>
        <v>PPA</v>
      </c>
      <c r="C6369" s="120" t="str">
        <f>IFERROR(__xludf.DUMMYFUNCTION("""COMPUTED_VALUE"""),"Perry Lefors Field")</f>
        <v>Perry Lefors Field</v>
      </c>
      <c r="D6369" s="120" t="str">
        <f>IFERROR(__xludf.DUMMYFUNCTION("""COMPUTED_VALUE"""),"United States")</f>
        <v>United States</v>
      </c>
      <c r="E6369" s="135"/>
      <c r="F6369" s="31"/>
    </row>
    <row r="6370">
      <c r="A6370" s="134" t="str">
        <f>IFERROR(__xludf.DUMMYFUNCTION("""COMPUTED_VALUE"""),"Pamplona")</f>
        <v>Pamplona</v>
      </c>
      <c r="B6370" s="120" t="str">
        <f>IFERROR(__xludf.DUMMYFUNCTION("""COMPUTED_VALUE"""),"PNA")</f>
        <v>PNA</v>
      </c>
      <c r="C6370" s="120" t="str">
        <f>IFERROR(__xludf.DUMMYFUNCTION("""COMPUTED_VALUE"""),"Pamplona")</f>
        <v>Pamplona</v>
      </c>
      <c r="D6370" s="120" t="str">
        <f>IFERROR(__xludf.DUMMYFUNCTION("""COMPUTED_VALUE"""),"Spain")</f>
        <v>Spain</v>
      </c>
      <c r="E6370" s="135"/>
      <c r="F6370" s="31"/>
    </row>
    <row r="6371">
      <c r="A6371" s="134" t="str">
        <f>IFERROR(__xludf.DUMMYFUNCTION("""COMPUTED_VALUE"""),"Pan Yu")</f>
        <v>Pan Yu</v>
      </c>
      <c r="B6371" s="120" t="str">
        <f>IFERROR(__xludf.DUMMYFUNCTION("""COMPUTED_VALUE"""),"ZAX")</f>
        <v>ZAX</v>
      </c>
      <c r="C6371" s="120" t="str">
        <f>IFERROR(__xludf.DUMMYFUNCTION("""COMPUTED_VALUE"""),"Pan Yu Ferry")</f>
        <v>Pan Yu Ferry</v>
      </c>
      <c r="D6371" s="120" t="str">
        <f>IFERROR(__xludf.DUMMYFUNCTION("""COMPUTED_VALUE"""),"China")</f>
        <v>China</v>
      </c>
      <c r="E6371" s="135"/>
      <c r="F6371" s="31"/>
    </row>
    <row r="6372">
      <c r="A6372" s="134" t="str">
        <f>IFERROR(__xludf.DUMMYFUNCTION("""COMPUTED_VALUE"""),"Pan Zhi Hua")</f>
        <v>Pan Zhi Hua</v>
      </c>
      <c r="B6372" s="120" t="str">
        <f>IFERROR(__xludf.DUMMYFUNCTION("""COMPUTED_VALUE"""),"PZI")</f>
        <v>PZI</v>
      </c>
      <c r="C6372" s="120" t="str">
        <f>IFERROR(__xludf.DUMMYFUNCTION("""COMPUTED_VALUE"""),"Pan Zhi Hua Bao AnYing")</f>
        <v>Pan Zhi Hua Bao AnYing</v>
      </c>
      <c r="D6372" s="120" t="str">
        <f>IFERROR(__xludf.DUMMYFUNCTION("""COMPUTED_VALUE"""),"China")</f>
        <v>China</v>
      </c>
      <c r="E6372" s="135"/>
      <c r="F6372" s="31"/>
    </row>
    <row r="6373">
      <c r="A6373" s="134" t="str">
        <f>IFERROR(__xludf.DUMMYFUNCTION("""COMPUTED_VALUE"""),"Panama City")</f>
        <v>Panama City</v>
      </c>
      <c r="B6373" s="120" t="str">
        <f>IFERROR(__xludf.DUMMYFUNCTION("""COMPUTED_VALUE"""),"PFN")</f>
        <v>PFN</v>
      </c>
      <c r="C6373" s="120" t="str">
        <f>IFERROR(__xludf.DUMMYFUNCTION("""COMPUTED_VALUE"""),"Bay County")</f>
        <v>Bay County</v>
      </c>
      <c r="D6373" s="120" t="str">
        <f>IFERROR(__xludf.DUMMYFUNCTION("""COMPUTED_VALUE"""),"United States")</f>
        <v>United States</v>
      </c>
      <c r="E6373" s="135"/>
      <c r="F6373" s="31"/>
    </row>
    <row r="6374">
      <c r="A6374" s="134" t="str">
        <f>IFERROR(__xludf.DUMMYFUNCTION("""COMPUTED_VALUE"""),"Panama City")</f>
        <v>Panama City</v>
      </c>
      <c r="B6374" s="120" t="str">
        <f>IFERROR(__xludf.DUMMYFUNCTION("""COMPUTED_VALUE"""),"PAM")</f>
        <v>PAM</v>
      </c>
      <c r="C6374" s="120" t="str">
        <f>IFERROR(__xludf.DUMMYFUNCTION("""COMPUTED_VALUE"""),"Tyndall AFB")</f>
        <v>Tyndall AFB</v>
      </c>
      <c r="D6374" s="120" t="str">
        <f>IFERROR(__xludf.DUMMYFUNCTION("""COMPUTED_VALUE"""),"United States")</f>
        <v>United States</v>
      </c>
      <c r="E6374" s="135"/>
      <c r="F6374" s="31"/>
    </row>
    <row r="6375">
      <c r="A6375" s="134" t="str">
        <f>IFERROR(__xludf.DUMMYFUNCTION("""COMPUTED_VALUE"""),"Panama City")</f>
        <v>Panama City</v>
      </c>
      <c r="B6375" s="120" t="str">
        <f>IFERROR(__xludf.DUMMYFUNCTION("""COMPUTED_VALUE"""),"PAC")</f>
        <v>PAC</v>
      </c>
      <c r="C6375" s="120" t="str">
        <f>IFERROR(__xludf.DUMMYFUNCTION("""COMPUTED_VALUE"""),"Paitilla")</f>
        <v>Paitilla</v>
      </c>
      <c r="D6375" s="120" t="str">
        <f>IFERROR(__xludf.DUMMYFUNCTION("""COMPUTED_VALUE"""),"Panama")</f>
        <v>Panama</v>
      </c>
      <c r="E6375" s="135"/>
      <c r="F6375" s="31"/>
    </row>
    <row r="6376">
      <c r="A6376" s="134" t="str">
        <f>IFERROR(__xludf.DUMMYFUNCTION("""COMPUTED_VALUE"""),"Panama City")</f>
        <v>Panama City</v>
      </c>
      <c r="B6376" s="120" t="str">
        <f>IFERROR(__xludf.DUMMYFUNCTION("""COMPUTED_VALUE"""),"PTY")</f>
        <v>PTY</v>
      </c>
      <c r="C6376" s="120" t="str">
        <f>IFERROR(__xludf.DUMMYFUNCTION("""COMPUTED_VALUE"""),"Tocumen International")</f>
        <v>Tocumen International</v>
      </c>
      <c r="D6376" s="120" t="str">
        <f>IFERROR(__xludf.DUMMYFUNCTION("""COMPUTED_VALUE"""),"Panama")</f>
        <v>Panama</v>
      </c>
      <c r="E6376" s="135"/>
      <c r="F6376" s="31"/>
    </row>
    <row r="6377">
      <c r="A6377" s="134" t="str">
        <f>IFERROR(__xludf.DUMMYFUNCTION("""COMPUTED_VALUE"""),"Panarea")</f>
        <v>Panarea</v>
      </c>
      <c r="B6377" s="120" t="str">
        <f>IFERROR(__xludf.DUMMYFUNCTION("""COMPUTED_VALUE"""),"ZJE")</f>
        <v>ZJE</v>
      </c>
      <c r="C6377" s="120" t="str">
        <f>IFERROR(__xludf.DUMMYFUNCTION("""COMPUTED_VALUE"""),"Harbour (Eolie Island)")</f>
        <v>Harbour (Eolie Island)</v>
      </c>
      <c r="D6377" s="120" t="str">
        <f>IFERROR(__xludf.DUMMYFUNCTION("""COMPUTED_VALUE"""),"Italy")</f>
        <v>Italy</v>
      </c>
      <c r="E6377" s="135"/>
      <c r="F6377" s="31"/>
    </row>
    <row r="6378">
      <c r="A6378" s="134" t="str">
        <f>IFERROR(__xludf.DUMMYFUNCTION("""COMPUTED_VALUE"""),"Pandie Pandie")</f>
        <v>Pandie Pandie</v>
      </c>
      <c r="B6378" s="120" t="str">
        <f>IFERROR(__xludf.DUMMYFUNCTION("""COMPUTED_VALUE"""),"PDE")</f>
        <v>PDE</v>
      </c>
      <c r="C6378" s="120" t="str">
        <f>IFERROR(__xludf.DUMMYFUNCTION("""COMPUTED_VALUE"""),"Pandie Pandie")</f>
        <v>Pandie Pandie</v>
      </c>
      <c r="D6378" s="120" t="str">
        <f>IFERROR(__xludf.DUMMYFUNCTION("""COMPUTED_VALUE"""),"Australia")</f>
        <v>Australia</v>
      </c>
      <c r="E6378" s="135"/>
      <c r="F6378" s="31"/>
    </row>
    <row r="6379">
      <c r="A6379" s="134" t="str">
        <f>IFERROR(__xludf.DUMMYFUNCTION("""COMPUTED_VALUE"""),"Panevezys")</f>
        <v>Panevezys</v>
      </c>
      <c r="B6379" s="120" t="str">
        <f>IFERROR(__xludf.DUMMYFUNCTION("""COMPUTED_VALUE"""),"PNV")</f>
        <v>PNV</v>
      </c>
      <c r="C6379" s="120" t="str">
        <f>IFERROR(__xludf.DUMMYFUNCTION("""COMPUTED_VALUE"""),"Panevezys")</f>
        <v>Panevezys</v>
      </c>
      <c r="D6379" s="120" t="str">
        <f>IFERROR(__xludf.DUMMYFUNCTION("""COMPUTED_VALUE"""),"Lithuania")</f>
        <v>Lithuania</v>
      </c>
      <c r="E6379" s="135"/>
      <c r="F6379" s="31"/>
    </row>
    <row r="6380">
      <c r="A6380" s="134" t="str">
        <f>IFERROR(__xludf.DUMMYFUNCTION("""COMPUTED_VALUE"""),"Pangia")</f>
        <v>Pangia</v>
      </c>
      <c r="B6380" s="120" t="str">
        <f>IFERROR(__xludf.DUMMYFUNCTION("""COMPUTED_VALUE"""),"PGN")</f>
        <v>PGN</v>
      </c>
      <c r="C6380" s="120" t="str">
        <f>IFERROR(__xludf.DUMMYFUNCTION("""COMPUTED_VALUE"""),"Pangia")</f>
        <v>Pangia</v>
      </c>
      <c r="D6380" s="120" t="str">
        <f>IFERROR(__xludf.DUMMYFUNCTION("""COMPUTED_VALUE"""),"Papua New Guinea")</f>
        <v>Papua New Guinea</v>
      </c>
      <c r="E6380" s="135"/>
      <c r="F6380" s="31"/>
    </row>
    <row r="6381">
      <c r="A6381" s="134" t="str">
        <f>IFERROR(__xludf.DUMMYFUNCTION("""COMPUTED_VALUE"""),"Pangkalanbuun")</f>
        <v>Pangkalanbuun</v>
      </c>
      <c r="B6381" s="120" t="str">
        <f>IFERROR(__xludf.DUMMYFUNCTION("""COMPUTED_VALUE"""),"PKN")</f>
        <v>PKN</v>
      </c>
      <c r="C6381" s="120" t="str">
        <f>IFERROR(__xludf.DUMMYFUNCTION("""COMPUTED_VALUE"""),"Pangkalanbuun")</f>
        <v>Pangkalanbuun</v>
      </c>
      <c r="D6381" s="120" t="str">
        <f>IFERROR(__xludf.DUMMYFUNCTION("""COMPUTED_VALUE"""),"Indonesia")</f>
        <v>Indonesia</v>
      </c>
      <c r="E6381" s="135"/>
      <c r="F6381" s="31"/>
    </row>
    <row r="6382">
      <c r="A6382" s="134" t="str">
        <f>IFERROR(__xludf.DUMMYFUNCTION("""COMPUTED_VALUE"""),"Pangkalpinang")</f>
        <v>Pangkalpinang</v>
      </c>
      <c r="B6382" s="120" t="str">
        <f>IFERROR(__xludf.DUMMYFUNCTION("""COMPUTED_VALUE"""),"PGK")</f>
        <v>PGK</v>
      </c>
      <c r="C6382" s="120" t="str">
        <f>IFERROR(__xludf.DUMMYFUNCTION("""COMPUTED_VALUE"""),"Pangkalpinang")</f>
        <v>Pangkalpinang</v>
      </c>
      <c r="D6382" s="120" t="str">
        <f>IFERROR(__xludf.DUMMYFUNCTION("""COMPUTED_VALUE"""),"Indonesia")</f>
        <v>Indonesia</v>
      </c>
      <c r="E6382" s="135"/>
      <c r="F6382" s="31"/>
    </row>
    <row r="6383">
      <c r="A6383" s="134" t="str">
        <f>IFERROR(__xludf.DUMMYFUNCTION("""COMPUTED_VALUE"""),"Pangkor")</f>
        <v>Pangkor</v>
      </c>
      <c r="B6383" s="120" t="str">
        <f>IFERROR(__xludf.DUMMYFUNCTION("""COMPUTED_VALUE"""),"PKG")</f>
        <v>PKG</v>
      </c>
      <c r="C6383" s="120" t="str">
        <f>IFERROR(__xludf.DUMMYFUNCTION("""COMPUTED_VALUE"""),"Pangkor Airport")</f>
        <v>Pangkor Airport</v>
      </c>
      <c r="D6383" s="120" t="str">
        <f>IFERROR(__xludf.DUMMYFUNCTION("""COMPUTED_VALUE"""),"Malaysia")</f>
        <v>Malaysia</v>
      </c>
      <c r="E6383" s="135"/>
      <c r="F6383" s="31"/>
    </row>
    <row r="6384">
      <c r="A6384" s="134" t="str">
        <f>IFERROR(__xludf.DUMMYFUNCTION("""COMPUTED_VALUE"""),"Pangnirtung")</f>
        <v>Pangnirtung</v>
      </c>
      <c r="B6384" s="120" t="str">
        <f>IFERROR(__xludf.DUMMYFUNCTION("""COMPUTED_VALUE"""),"YXP")</f>
        <v>YXP</v>
      </c>
      <c r="C6384" s="120" t="str">
        <f>IFERROR(__xludf.DUMMYFUNCTION("""COMPUTED_VALUE"""),"Pangnirtung")</f>
        <v>Pangnirtung</v>
      </c>
      <c r="D6384" s="120" t="str">
        <f>IFERROR(__xludf.DUMMYFUNCTION("""COMPUTED_VALUE"""),"Canada")</f>
        <v>Canada</v>
      </c>
      <c r="E6384" s="135"/>
      <c r="F6384" s="31"/>
    </row>
    <row r="6385">
      <c r="A6385" s="134" t="str">
        <f>IFERROR(__xludf.DUMMYFUNCTION("""COMPUTED_VALUE"""),"Pangoa")</f>
        <v>Pangoa</v>
      </c>
      <c r="B6385" s="120" t="str">
        <f>IFERROR(__xludf.DUMMYFUNCTION("""COMPUTED_VALUE"""),"PGB")</f>
        <v>PGB</v>
      </c>
      <c r="C6385" s="120" t="str">
        <f>IFERROR(__xludf.DUMMYFUNCTION("""COMPUTED_VALUE"""),"Pangoa")</f>
        <v>Pangoa</v>
      </c>
      <c r="D6385" s="120" t="str">
        <f>IFERROR(__xludf.DUMMYFUNCTION("""COMPUTED_VALUE"""),"Papua New Guinea")</f>
        <v>Papua New Guinea</v>
      </c>
      <c r="E6385" s="135"/>
      <c r="F6385" s="31"/>
    </row>
    <row r="6386">
      <c r="A6386" s="134" t="str">
        <f>IFERROR(__xludf.DUMMYFUNCTION("""COMPUTED_VALUE"""),"Panguitch")</f>
        <v>Panguitch</v>
      </c>
      <c r="B6386" s="120" t="str">
        <f>IFERROR(__xludf.DUMMYFUNCTION("""COMPUTED_VALUE"""),"PNU")</f>
        <v>PNU</v>
      </c>
      <c r="C6386" s="120" t="str">
        <f>IFERROR(__xludf.DUMMYFUNCTION("""COMPUTED_VALUE"""),"Panguitch")</f>
        <v>Panguitch</v>
      </c>
      <c r="D6386" s="120" t="str">
        <f>IFERROR(__xludf.DUMMYFUNCTION("""COMPUTED_VALUE"""),"United States")</f>
        <v>United States</v>
      </c>
      <c r="E6386" s="135"/>
      <c r="F6386" s="31"/>
    </row>
    <row r="6387">
      <c r="A6387" s="134" t="str">
        <f>IFERROR(__xludf.DUMMYFUNCTION("""COMPUTED_VALUE"""),"Panjgur")</f>
        <v>Panjgur</v>
      </c>
      <c r="B6387" s="120" t="str">
        <f>IFERROR(__xludf.DUMMYFUNCTION("""COMPUTED_VALUE"""),"PJG")</f>
        <v>PJG</v>
      </c>
      <c r="C6387" s="120" t="str">
        <f>IFERROR(__xludf.DUMMYFUNCTION("""COMPUTED_VALUE"""),"Panjgur")</f>
        <v>Panjgur</v>
      </c>
      <c r="D6387" s="120" t="str">
        <f>IFERROR(__xludf.DUMMYFUNCTION("""COMPUTED_VALUE"""),"Pakistan")</f>
        <v>Pakistan</v>
      </c>
      <c r="E6387" s="135"/>
      <c r="F6387" s="31"/>
    </row>
    <row r="6388">
      <c r="A6388" s="134" t="str">
        <f>IFERROR(__xludf.DUMMYFUNCTION("""COMPUTED_VALUE"""),"Pantelleria")</f>
        <v>Pantelleria</v>
      </c>
      <c r="B6388" s="120" t="str">
        <f>IFERROR(__xludf.DUMMYFUNCTION("""COMPUTED_VALUE"""),"PNL")</f>
        <v>PNL</v>
      </c>
      <c r="C6388" s="120" t="str">
        <f>IFERROR(__xludf.DUMMYFUNCTION("""COMPUTED_VALUE"""),"Pantelleria")</f>
        <v>Pantelleria</v>
      </c>
      <c r="D6388" s="120" t="str">
        <f>IFERROR(__xludf.DUMMYFUNCTION("""COMPUTED_VALUE"""),"Italy")</f>
        <v>Italy</v>
      </c>
      <c r="E6388" s="135"/>
      <c r="F6388" s="31"/>
    </row>
    <row r="6389">
      <c r="A6389" s="134" t="str">
        <f>IFERROR(__xludf.DUMMYFUNCTION("""COMPUTED_VALUE"""),"Pantnagar")</f>
        <v>Pantnagar</v>
      </c>
      <c r="B6389" s="120" t="str">
        <f>IFERROR(__xludf.DUMMYFUNCTION("""COMPUTED_VALUE"""),"PGH")</f>
        <v>PGH</v>
      </c>
      <c r="C6389" s="120" t="str">
        <f>IFERROR(__xludf.DUMMYFUNCTION("""COMPUTED_VALUE"""),"Pantnagar")</f>
        <v>Pantnagar</v>
      </c>
      <c r="D6389" s="120" t="str">
        <f>IFERROR(__xludf.DUMMYFUNCTION("""COMPUTED_VALUE"""),"India")</f>
        <v>India</v>
      </c>
      <c r="E6389" s="135"/>
      <c r="F6389" s="31"/>
    </row>
    <row r="6390">
      <c r="A6390" s="134" t="str">
        <f>IFERROR(__xludf.DUMMYFUNCTION("""COMPUTED_VALUE"""),"Paonia")</f>
        <v>Paonia</v>
      </c>
      <c r="B6390" s="120" t="str">
        <f>IFERROR(__xludf.DUMMYFUNCTION("""COMPUTED_VALUE"""),"WPO")</f>
        <v>WPO</v>
      </c>
      <c r="C6390" s="120" t="str">
        <f>IFERROR(__xludf.DUMMYFUNCTION("""COMPUTED_VALUE"""),"North Fork Valley")</f>
        <v>North Fork Valley</v>
      </c>
      <c r="D6390" s="120" t="str">
        <f>IFERROR(__xludf.DUMMYFUNCTION("""COMPUTED_VALUE"""),"United States")</f>
        <v>United States</v>
      </c>
      <c r="E6390" s="135"/>
      <c r="F6390" s="31"/>
    </row>
    <row r="6391">
      <c r="A6391" s="134" t="str">
        <f>IFERROR(__xludf.DUMMYFUNCTION("""COMPUTED_VALUE"""),"Papa Stour")</f>
        <v>Papa Stour</v>
      </c>
      <c r="B6391" s="120" t="str">
        <f>IFERROR(__xludf.DUMMYFUNCTION("""COMPUTED_VALUE"""),"PSV")</f>
        <v>PSV</v>
      </c>
      <c r="C6391" s="120" t="str">
        <f>IFERROR(__xludf.DUMMYFUNCTION("""COMPUTED_VALUE"""),"Papa Stour")</f>
        <v>Papa Stour</v>
      </c>
      <c r="D6391" s="120" t="str">
        <f>IFERROR(__xludf.DUMMYFUNCTION("""COMPUTED_VALUE"""),"United Kingdom")</f>
        <v>United Kingdom</v>
      </c>
      <c r="E6391" s="135"/>
      <c r="F6391" s="31"/>
    </row>
    <row r="6392">
      <c r="A6392" s="134" t="str">
        <f>IFERROR(__xludf.DUMMYFUNCTION("""COMPUTED_VALUE"""),"Papa Westray")</f>
        <v>Papa Westray</v>
      </c>
      <c r="B6392" s="120" t="str">
        <f>IFERROR(__xludf.DUMMYFUNCTION("""COMPUTED_VALUE"""),"PPW")</f>
        <v>PPW</v>
      </c>
      <c r="C6392" s="120" t="str">
        <f>IFERROR(__xludf.DUMMYFUNCTION("""COMPUTED_VALUE"""),"Papa Westray")</f>
        <v>Papa Westray</v>
      </c>
      <c r="D6392" s="120" t="str">
        <f>IFERROR(__xludf.DUMMYFUNCTION("""COMPUTED_VALUE"""),"United Kingdom")</f>
        <v>United Kingdom</v>
      </c>
      <c r="E6392" s="135"/>
      <c r="F6392" s="31"/>
    </row>
    <row r="6393">
      <c r="A6393" s="134" t="str">
        <f>IFERROR(__xludf.DUMMYFUNCTION("""COMPUTED_VALUE"""),"Papeete")</f>
        <v>Papeete</v>
      </c>
      <c r="B6393" s="120" t="str">
        <f>IFERROR(__xludf.DUMMYFUNCTION("""COMPUTED_VALUE"""),"PPT")</f>
        <v>PPT</v>
      </c>
      <c r="C6393" s="120" t="str">
        <f>IFERROR(__xludf.DUMMYFUNCTION("""COMPUTED_VALUE"""),"Faaa")</f>
        <v>Faaa</v>
      </c>
      <c r="D6393" s="120" t="str">
        <f>IFERROR(__xludf.DUMMYFUNCTION("""COMPUTED_VALUE"""),"French Polynesia")</f>
        <v>French Polynesia</v>
      </c>
      <c r="E6393" s="135"/>
      <c r="F6393" s="31"/>
    </row>
    <row r="6394">
      <c r="A6394" s="134" t="str">
        <f>IFERROR(__xludf.DUMMYFUNCTION("""COMPUTED_VALUE"""),"Paphos")</f>
        <v>Paphos</v>
      </c>
      <c r="B6394" s="120" t="str">
        <f>IFERROR(__xludf.DUMMYFUNCTION("""COMPUTED_VALUE"""),"PFO")</f>
        <v>PFO</v>
      </c>
      <c r="C6394" s="120" t="str">
        <f>IFERROR(__xludf.DUMMYFUNCTION("""COMPUTED_VALUE"""),"International")</f>
        <v>International</v>
      </c>
      <c r="D6394" s="120" t="str">
        <f>IFERROR(__xludf.DUMMYFUNCTION("""COMPUTED_VALUE"""),"Cyprus")</f>
        <v>Cyprus</v>
      </c>
      <c r="E6394" s="135"/>
      <c r="F6394" s="31"/>
    </row>
    <row r="6395">
      <c r="A6395" s="134" t="str">
        <f>IFERROR(__xludf.DUMMYFUNCTION("""COMPUTED_VALUE"""),"Papun")</f>
        <v>Papun</v>
      </c>
      <c r="B6395" s="120" t="str">
        <f>IFERROR(__xludf.DUMMYFUNCTION("""COMPUTED_VALUE"""),"PPU")</f>
        <v>PPU</v>
      </c>
      <c r="C6395" s="120" t="str">
        <f>IFERROR(__xludf.DUMMYFUNCTION("""COMPUTED_VALUE"""),"Papun")</f>
        <v>Papun</v>
      </c>
      <c r="D6395" s="120" t="str">
        <f>IFERROR(__xludf.DUMMYFUNCTION("""COMPUTED_VALUE"""),"Myanmar")</f>
        <v>Myanmar</v>
      </c>
      <c r="E6395" s="135"/>
      <c r="F6395" s="31"/>
    </row>
    <row r="6396">
      <c r="A6396" s="134" t="str">
        <f>IFERROR(__xludf.DUMMYFUNCTION("""COMPUTED_VALUE"""),"Para Chinar")</f>
        <v>Para Chinar</v>
      </c>
      <c r="B6396" s="120" t="str">
        <f>IFERROR(__xludf.DUMMYFUNCTION("""COMPUTED_VALUE"""),"PAJ")</f>
        <v>PAJ</v>
      </c>
      <c r="C6396" s="120" t="str">
        <f>IFERROR(__xludf.DUMMYFUNCTION("""COMPUTED_VALUE"""),"Para Chinar")</f>
        <v>Para Chinar</v>
      </c>
      <c r="D6396" s="120" t="str">
        <f>IFERROR(__xludf.DUMMYFUNCTION("""COMPUTED_VALUE"""),"Pakistan")</f>
        <v>Pakistan</v>
      </c>
      <c r="E6396" s="135"/>
      <c r="F6396" s="31"/>
    </row>
    <row r="6397">
      <c r="A6397" s="134" t="str">
        <f>IFERROR(__xludf.DUMMYFUNCTION("""COMPUTED_VALUE"""),"Paraburdoo")</f>
        <v>Paraburdoo</v>
      </c>
      <c r="B6397" s="120" t="str">
        <f>IFERROR(__xludf.DUMMYFUNCTION("""COMPUTED_VALUE"""),"PBO")</f>
        <v>PBO</v>
      </c>
      <c r="C6397" s="120" t="str">
        <f>IFERROR(__xludf.DUMMYFUNCTION("""COMPUTED_VALUE"""),"Paraburdoo")</f>
        <v>Paraburdoo</v>
      </c>
      <c r="D6397" s="120" t="str">
        <f>IFERROR(__xludf.DUMMYFUNCTION("""COMPUTED_VALUE"""),"Australia")</f>
        <v>Australia</v>
      </c>
      <c r="E6397" s="135"/>
      <c r="F6397" s="31"/>
    </row>
    <row r="6398">
      <c r="A6398" s="134" t="str">
        <f>IFERROR(__xludf.DUMMYFUNCTION("""COMPUTED_VALUE"""),"Paradise River")</f>
        <v>Paradise River</v>
      </c>
      <c r="B6398" s="120" t="str">
        <f>IFERROR(__xludf.DUMMYFUNCTION("""COMPUTED_VALUE"""),"YDE")</f>
        <v>YDE</v>
      </c>
      <c r="C6398" s="120" t="str">
        <f>IFERROR(__xludf.DUMMYFUNCTION("""COMPUTED_VALUE"""),"Paradise River")</f>
        <v>Paradise River</v>
      </c>
      <c r="D6398" s="120" t="str">
        <f>IFERROR(__xludf.DUMMYFUNCTION("""COMPUTED_VALUE"""),"Canada")</f>
        <v>Canada</v>
      </c>
      <c r="E6398" s="135"/>
      <c r="F6398" s="31"/>
    </row>
    <row r="6399">
      <c r="A6399" s="134" t="str">
        <f>IFERROR(__xludf.DUMMYFUNCTION("""COMPUTED_VALUE"""),"Paragould")</f>
        <v>Paragould</v>
      </c>
      <c r="B6399" s="120" t="str">
        <f>IFERROR(__xludf.DUMMYFUNCTION("""COMPUTED_VALUE"""),"PGR")</f>
        <v>PGR</v>
      </c>
      <c r="C6399" s="120" t="str">
        <f>IFERROR(__xludf.DUMMYFUNCTION("""COMPUTED_VALUE"""),"Municipal")</f>
        <v>Municipal</v>
      </c>
      <c r="D6399" s="120" t="str">
        <f>IFERROR(__xludf.DUMMYFUNCTION("""COMPUTED_VALUE"""),"United States")</f>
        <v>United States</v>
      </c>
      <c r="E6399" s="135"/>
      <c r="F6399" s="31"/>
    </row>
    <row r="6400">
      <c r="A6400" s="134" t="str">
        <f>IFERROR(__xludf.DUMMYFUNCTION("""COMPUTED_VALUE"""),"Parakou")</f>
        <v>Parakou</v>
      </c>
      <c r="B6400" s="120" t="str">
        <f>IFERROR(__xludf.DUMMYFUNCTION("""COMPUTED_VALUE"""),"PKO")</f>
        <v>PKO</v>
      </c>
      <c r="C6400" s="120" t="str">
        <f>IFERROR(__xludf.DUMMYFUNCTION("""COMPUTED_VALUE"""),"Parakou")</f>
        <v>Parakou</v>
      </c>
      <c r="D6400" s="120" t="str">
        <f>IFERROR(__xludf.DUMMYFUNCTION("""COMPUTED_VALUE"""),"Benin")</f>
        <v>Benin</v>
      </c>
      <c r="E6400" s="135"/>
      <c r="F6400" s="31"/>
    </row>
    <row r="6401">
      <c r="A6401" s="134" t="str">
        <f>IFERROR(__xludf.DUMMYFUNCTION("""COMPUTED_VALUE"""),"Param")</f>
        <v>Param</v>
      </c>
      <c r="B6401" s="120" t="str">
        <f>IFERROR(__xludf.DUMMYFUNCTION("""COMPUTED_VALUE"""),"PPX")</f>
        <v>PPX</v>
      </c>
      <c r="C6401" s="120" t="str">
        <f>IFERROR(__xludf.DUMMYFUNCTION("""COMPUTED_VALUE"""),"Param")</f>
        <v>Param</v>
      </c>
      <c r="D6401" s="120" t="str">
        <f>IFERROR(__xludf.DUMMYFUNCTION("""COMPUTED_VALUE"""),"Papua New Guinea")</f>
        <v>Papua New Guinea</v>
      </c>
      <c r="E6401" s="135"/>
      <c r="F6401" s="31"/>
    </row>
    <row r="6402">
      <c r="A6402" s="134" t="str">
        <f>IFERROR(__xludf.DUMMYFUNCTION("""COMPUTED_VALUE"""),"Paramakotoi")</f>
        <v>Paramakotoi</v>
      </c>
      <c r="B6402" s="120" t="str">
        <f>IFERROR(__xludf.DUMMYFUNCTION("""COMPUTED_VALUE"""),"PMT")</f>
        <v>PMT</v>
      </c>
      <c r="C6402" s="120" t="str">
        <f>IFERROR(__xludf.DUMMYFUNCTION("""COMPUTED_VALUE"""),"Paramakotoi")</f>
        <v>Paramakotoi</v>
      </c>
      <c r="D6402" s="120" t="str">
        <f>IFERROR(__xludf.DUMMYFUNCTION("""COMPUTED_VALUE"""),"Guyana")</f>
        <v>Guyana</v>
      </c>
      <c r="E6402" s="135"/>
      <c r="F6402" s="31"/>
    </row>
    <row r="6403">
      <c r="A6403" s="134" t="str">
        <f>IFERROR(__xludf.DUMMYFUNCTION("""COMPUTED_VALUE"""),"Paramaribo")</f>
        <v>Paramaribo</v>
      </c>
      <c r="B6403" s="120" t="str">
        <f>IFERROR(__xludf.DUMMYFUNCTION("""COMPUTED_VALUE"""),"PBM")</f>
        <v>PBM</v>
      </c>
      <c r="C6403" s="120" t="str">
        <f>IFERROR(__xludf.DUMMYFUNCTION("""COMPUTED_VALUE"""),"Zanderij Intl")</f>
        <v>Zanderij Intl</v>
      </c>
      <c r="D6403" s="120" t="str">
        <f>IFERROR(__xludf.DUMMYFUNCTION("""COMPUTED_VALUE"""),"Suriname")</f>
        <v>Suriname</v>
      </c>
      <c r="E6403" s="135"/>
      <c r="F6403" s="31"/>
    </row>
    <row r="6404">
      <c r="A6404" s="134" t="str">
        <f>IFERROR(__xludf.DUMMYFUNCTION("""COMPUTED_VALUE"""),"Paramaribo")</f>
        <v>Paramaribo</v>
      </c>
      <c r="B6404" s="120" t="str">
        <f>IFERROR(__xludf.DUMMYFUNCTION("""COMPUTED_VALUE"""),"ORG")</f>
        <v>ORG</v>
      </c>
      <c r="C6404" s="120" t="str">
        <f>IFERROR(__xludf.DUMMYFUNCTION("""COMPUTED_VALUE"""),"Zorg En Hoop")</f>
        <v>Zorg En Hoop</v>
      </c>
      <c r="D6404" s="120" t="str">
        <f>IFERROR(__xludf.DUMMYFUNCTION("""COMPUTED_VALUE"""),"Suriname")</f>
        <v>Suriname</v>
      </c>
      <c r="E6404" s="135"/>
      <c r="F6404" s="31"/>
    </row>
    <row r="6405">
      <c r="A6405" s="134" t="str">
        <f>IFERROR(__xludf.DUMMYFUNCTION("""COMPUTED_VALUE"""),"Parana")</f>
        <v>Parana</v>
      </c>
      <c r="B6405" s="120" t="str">
        <f>IFERROR(__xludf.DUMMYFUNCTION("""COMPUTED_VALUE"""),"PRA")</f>
        <v>PRA</v>
      </c>
      <c r="C6405" s="120" t="str">
        <f>IFERROR(__xludf.DUMMYFUNCTION("""COMPUTED_VALUE"""),"Parana")</f>
        <v>Parana</v>
      </c>
      <c r="D6405" s="120" t="str">
        <f>IFERROR(__xludf.DUMMYFUNCTION("""COMPUTED_VALUE"""),"Argentina")</f>
        <v>Argentina</v>
      </c>
      <c r="E6405" s="135"/>
      <c r="F6405" s="31"/>
    </row>
    <row r="6406">
      <c r="A6406" s="134" t="str">
        <f>IFERROR(__xludf.DUMMYFUNCTION("""COMPUTED_VALUE"""),"Paranagua")</f>
        <v>Paranagua</v>
      </c>
      <c r="B6406" s="120" t="str">
        <f>IFERROR(__xludf.DUMMYFUNCTION("""COMPUTED_VALUE"""),"PNG")</f>
        <v>PNG</v>
      </c>
      <c r="C6406" s="120" t="str">
        <f>IFERROR(__xludf.DUMMYFUNCTION("""COMPUTED_VALUE"""),"Municipal")</f>
        <v>Municipal</v>
      </c>
      <c r="D6406" s="120" t="str">
        <f>IFERROR(__xludf.DUMMYFUNCTION("""COMPUTED_VALUE"""),"Brazil")</f>
        <v>Brazil</v>
      </c>
      <c r="E6406" s="135"/>
      <c r="F6406" s="31"/>
    </row>
    <row r="6407">
      <c r="A6407" s="134" t="str">
        <f>IFERROR(__xludf.DUMMYFUNCTION("""COMPUTED_VALUE"""),"Paranaiba")</f>
        <v>Paranaiba</v>
      </c>
      <c r="B6407" s="120" t="str">
        <f>IFERROR(__xludf.DUMMYFUNCTION("""COMPUTED_VALUE"""),"PBB")</f>
        <v>PBB</v>
      </c>
      <c r="C6407" s="120" t="str">
        <f>IFERROR(__xludf.DUMMYFUNCTION("""COMPUTED_VALUE"""),"Paranaiba")</f>
        <v>Paranaiba</v>
      </c>
      <c r="D6407" s="120" t="str">
        <f>IFERROR(__xludf.DUMMYFUNCTION("""COMPUTED_VALUE"""),"Brazil")</f>
        <v>Brazil</v>
      </c>
      <c r="E6407" s="135"/>
      <c r="F6407" s="31"/>
    </row>
    <row r="6408">
      <c r="A6408" s="134" t="str">
        <f>IFERROR(__xludf.DUMMYFUNCTION("""COMPUTED_VALUE"""),"Paranavai")</f>
        <v>Paranavai</v>
      </c>
      <c r="B6408" s="120" t="str">
        <f>IFERROR(__xludf.DUMMYFUNCTION("""COMPUTED_VALUE"""),"PVI")</f>
        <v>PVI</v>
      </c>
      <c r="C6408" s="120" t="str">
        <f>IFERROR(__xludf.DUMMYFUNCTION("""COMPUTED_VALUE"""),"Paranavai")</f>
        <v>Paranavai</v>
      </c>
      <c r="D6408" s="120" t="str">
        <f>IFERROR(__xludf.DUMMYFUNCTION("""COMPUTED_VALUE"""),"Brazil")</f>
        <v>Brazil</v>
      </c>
      <c r="E6408" s="135"/>
      <c r="F6408" s="31"/>
    </row>
    <row r="6409">
      <c r="A6409" s="134" t="str">
        <f>IFERROR(__xludf.DUMMYFUNCTION("""COMPUTED_VALUE"""),"Paraparaumu")</f>
        <v>Paraparaumu</v>
      </c>
      <c r="B6409" s="120" t="str">
        <f>IFERROR(__xludf.DUMMYFUNCTION("""COMPUTED_VALUE"""),"PPQ")</f>
        <v>PPQ</v>
      </c>
      <c r="C6409" s="120" t="str">
        <f>IFERROR(__xludf.DUMMYFUNCTION("""COMPUTED_VALUE"""),"Paraparaumu")</f>
        <v>Paraparaumu</v>
      </c>
      <c r="D6409" s="120" t="str">
        <f>IFERROR(__xludf.DUMMYFUNCTION("""COMPUTED_VALUE"""),"New Zealand (Aotearoa)")</f>
        <v>New Zealand (Aotearoa)</v>
      </c>
      <c r="E6409" s="135"/>
      <c r="F6409" s="31"/>
    </row>
    <row r="6410">
      <c r="A6410" s="134" t="str">
        <f>IFERROR(__xludf.DUMMYFUNCTION("""COMPUTED_VALUE"""),"Parasi")</f>
        <v>Parasi</v>
      </c>
      <c r="B6410" s="120" t="str">
        <f>IFERROR(__xludf.DUMMYFUNCTION("""COMPUTED_VALUE"""),"PRS")</f>
        <v>PRS</v>
      </c>
      <c r="C6410" s="120" t="str">
        <f>IFERROR(__xludf.DUMMYFUNCTION("""COMPUTED_VALUE"""),"Parasi")</f>
        <v>Parasi</v>
      </c>
      <c r="D6410" s="120" t="str">
        <f>IFERROR(__xludf.DUMMYFUNCTION("""COMPUTED_VALUE"""),"Solomon Islands")</f>
        <v>Solomon Islands</v>
      </c>
      <c r="E6410" s="135"/>
      <c r="F6410" s="31"/>
    </row>
    <row r="6411">
      <c r="A6411" s="134" t="str">
        <f>IFERROR(__xludf.DUMMYFUNCTION("""COMPUTED_VALUE"""),"Paratebueno")</f>
        <v>Paratebueno</v>
      </c>
      <c r="B6411" s="120" t="str">
        <f>IFERROR(__xludf.DUMMYFUNCTION("""COMPUTED_VALUE"""),"EUO")</f>
        <v>EUO</v>
      </c>
      <c r="C6411" s="120" t="str">
        <f>IFERROR(__xludf.DUMMYFUNCTION("""COMPUTED_VALUE"""),"Paratebueno")</f>
        <v>Paratebueno</v>
      </c>
      <c r="D6411" s="120" t="str">
        <f>IFERROR(__xludf.DUMMYFUNCTION("""COMPUTED_VALUE"""),"Colombia")</f>
        <v>Colombia</v>
      </c>
      <c r="E6411" s="135"/>
      <c r="F6411" s="31"/>
    </row>
    <row r="6412">
      <c r="A6412" s="134" t="str">
        <f>IFERROR(__xludf.DUMMYFUNCTION("""COMPUTED_VALUE"""),"Pardoo")</f>
        <v>Pardoo</v>
      </c>
      <c r="B6412" s="120" t="str">
        <f>IFERROR(__xludf.DUMMYFUNCTION("""COMPUTED_VALUE"""),"PRD")</f>
        <v>PRD</v>
      </c>
      <c r="C6412" s="120" t="str">
        <f>IFERROR(__xludf.DUMMYFUNCTION("""COMPUTED_VALUE"""),"Pardoo")</f>
        <v>Pardoo</v>
      </c>
      <c r="D6412" s="120" t="str">
        <f>IFERROR(__xludf.DUMMYFUNCTION("""COMPUTED_VALUE"""),"Australia")</f>
        <v>Australia</v>
      </c>
      <c r="E6412" s="135"/>
      <c r="F6412" s="31"/>
    </row>
    <row r="6413">
      <c r="A6413" s="134" t="str">
        <f>IFERROR(__xludf.DUMMYFUNCTION("""COMPUTED_VALUE"""),"Pardubice")</f>
        <v>Pardubice</v>
      </c>
      <c r="B6413" s="120" t="str">
        <f>IFERROR(__xludf.DUMMYFUNCTION("""COMPUTED_VALUE"""),"PED")</f>
        <v>PED</v>
      </c>
      <c r="C6413" s="120" t="str">
        <f>IFERROR(__xludf.DUMMYFUNCTION("""COMPUTED_VALUE"""),"Pardubice")</f>
        <v>Pardubice</v>
      </c>
      <c r="D6413" s="120"/>
      <c r="E6413" s="135"/>
      <c r="F6413" s="31"/>
    </row>
    <row r="6414">
      <c r="A6414" s="134" t="str">
        <f>IFERROR(__xludf.DUMMYFUNCTION("""COMPUTED_VALUE"""),"Parintins")</f>
        <v>Parintins</v>
      </c>
      <c r="B6414" s="120" t="str">
        <f>IFERROR(__xludf.DUMMYFUNCTION("""COMPUTED_VALUE"""),"PIN")</f>
        <v>PIN</v>
      </c>
      <c r="C6414" s="120" t="str">
        <f>IFERROR(__xludf.DUMMYFUNCTION("""COMPUTED_VALUE"""),"Parintins")</f>
        <v>Parintins</v>
      </c>
      <c r="D6414" s="120" t="str">
        <f>IFERROR(__xludf.DUMMYFUNCTION("""COMPUTED_VALUE"""),"Brazil")</f>
        <v>Brazil</v>
      </c>
      <c r="E6414" s="135"/>
      <c r="F6414" s="31"/>
    </row>
    <row r="6415">
      <c r="A6415" s="134" t="str">
        <f>IFERROR(__xludf.DUMMYFUNCTION("""COMPUTED_VALUE"""),"Paris")</f>
        <v>Paris</v>
      </c>
      <c r="B6415" s="120" t="str">
        <f>IFERROR(__xludf.DUMMYFUNCTION("""COMPUTED_VALUE"""),"XEX")</f>
        <v>XEX</v>
      </c>
      <c r="C6415" s="120" t="str">
        <f>IFERROR(__xludf.DUMMYFUNCTION("""COMPUTED_VALUE"""),"Aerogare des Invalides")</f>
        <v>Aerogare des Invalides</v>
      </c>
      <c r="D6415" s="120" t="str">
        <f>IFERROR(__xludf.DUMMYFUNCTION("""COMPUTED_VALUE"""),"France")</f>
        <v>France</v>
      </c>
      <c r="E6415" s="135"/>
      <c r="F6415" s="31"/>
    </row>
    <row r="6416">
      <c r="A6416" s="134" t="str">
        <f>IFERROR(__xludf.DUMMYFUNCTION("""COMPUTED_VALUE"""),"Paris")</f>
        <v>Paris</v>
      </c>
      <c r="B6416" s="120" t="str">
        <f>IFERROR(__xludf.DUMMYFUNCTION("""COMPUTED_VALUE"""),"BVA")</f>
        <v>BVA</v>
      </c>
      <c r="C6416" s="120" t="str">
        <f>IFERROR(__xludf.DUMMYFUNCTION("""COMPUTED_VALUE"""),"Beauvais-Tille")</f>
        <v>Beauvais-Tille</v>
      </c>
      <c r="D6416" s="120" t="str">
        <f>IFERROR(__xludf.DUMMYFUNCTION("""COMPUTED_VALUE"""),"France")</f>
        <v>France</v>
      </c>
      <c r="E6416" s="135"/>
      <c r="F6416" s="31"/>
    </row>
    <row r="6417">
      <c r="A6417" s="134" t="str">
        <f>IFERROR(__xludf.DUMMYFUNCTION("""COMPUTED_VALUE"""),"Paris")</f>
        <v>Paris</v>
      </c>
      <c r="B6417" s="120" t="str">
        <f>IFERROR(__xludf.DUMMYFUNCTION("""COMPUTED_VALUE"""),"XDT")</f>
        <v>XDT</v>
      </c>
      <c r="C6417" s="120" t="str">
        <f>IFERROR(__xludf.DUMMYFUNCTION("""COMPUTED_VALUE"""),"C.de G. /TGV Rail Svc")</f>
        <v>C.de G. /TGV Rail Svc</v>
      </c>
      <c r="D6417" s="120" t="str">
        <f>IFERROR(__xludf.DUMMYFUNCTION("""COMPUTED_VALUE"""),"France")</f>
        <v>France</v>
      </c>
      <c r="E6417" s="135"/>
      <c r="F6417" s="31"/>
    </row>
    <row r="6418">
      <c r="A6418" s="134" t="str">
        <f>IFERROR(__xludf.DUMMYFUNCTION("""COMPUTED_VALUE"""),"Paris")</f>
        <v>Paris</v>
      </c>
      <c r="B6418" s="120" t="str">
        <f>IFERROR(__xludf.DUMMYFUNCTION("""COMPUTED_VALUE"""),"CDG")</f>
        <v>CDG</v>
      </c>
      <c r="C6418" s="120" t="str">
        <f>IFERROR(__xludf.DUMMYFUNCTION("""COMPUTED_VALUE"""),"Charles De Gaulle")</f>
        <v>Charles De Gaulle</v>
      </c>
      <c r="D6418" s="120" t="str">
        <f>IFERROR(__xludf.DUMMYFUNCTION("""COMPUTED_VALUE"""),"France")</f>
        <v>France</v>
      </c>
      <c r="E6418" s="135"/>
      <c r="F6418" s="31"/>
    </row>
    <row r="6419">
      <c r="A6419" s="134" t="str">
        <f>IFERROR(__xludf.DUMMYFUNCTION("""COMPUTED_VALUE"""),"Paris")</f>
        <v>Paris</v>
      </c>
      <c r="B6419" s="120" t="str">
        <f>IFERROR(__xludf.DUMMYFUNCTION("""COMPUTED_VALUE"""),"XTT")</f>
        <v>XTT</v>
      </c>
      <c r="C6419" s="120" t="str">
        <f>IFERROR(__xludf.DUMMYFUNCTION("""COMPUTED_VALUE"""),"Etoile")</f>
        <v>Etoile</v>
      </c>
      <c r="D6419" s="120" t="str">
        <f>IFERROR(__xludf.DUMMYFUNCTION("""COMPUTED_VALUE"""),"France")</f>
        <v>France</v>
      </c>
      <c r="E6419" s="135"/>
      <c r="F6419" s="31"/>
    </row>
    <row r="6420">
      <c r="A6420" s="134" t="str">
        <f>IFERROR(__xludf.DUMMYFUNCTION("""COMPUTED_VALUE"""),"Paris")</f>
        <v>Paris</v>
      </c>
      <c r="B6420" s="120" t="str">
        <f>IFERROR(__xludf.DUMMYFUNCTION("""COMPUTED_VALUE"""),"XPG")</f>
        <v>XPG</v>
      </c>
      <c r="C6420" s="120" t="str">
        <f>IFERROR(__xludf.DUMMYFUNCTION("""COMPUTED_VALUE"""),"Gare du Nord Rail Stn")</f>
        <v>Gare du Nord Rail Stn</v>
      </c>
      <c r="D6420" s="120" t="str">
        <f>IFERROR(__xludf.DUMMYFUNCTION("""COMPUTED_VALUE"""),"France")</f>
        <v>France</v>
      </c>
      <c r="E6420" s="135"/>
      <c r="F6420" s="31"/>
    </row>
    <row r="6421">
      <c r="A6421" s="134" t="str">
        <f>IFERROR(__xludf.DUMMYFUNCTION("""COMPUTED_VALUE"""),"Paris")</f>
        <v>Paris</v>
      </c>
      <c r="B6421" s="120" t="str">
        <f>IFERROR(__xludf.DUMMYFUNCTION("""COMPUTED_VALUE"""),"XGB")</f>
        <v>XGB</v>
      </c>
      <c r="C6421" s="120" t="str">
        <f>IFERROR(__xludf.DUMMYFUNCTION("""COMPUTED_VALUE"""),"Gare Montparnasse")</f>
        <v>Gare Montparnasse</v>
      </c>
      <c r="D6421" s="120" t="str">
        <f>IFERROR(__xludf.DUMMYFUNCTION("""COMPUTED_VALUE"""),"France")</f>
        <v>France</v>
      </c>
      <c r="E6421" s="135"/>
      <c r="F6421" s="31"/>
    </row>
    <row r="6422">
      <c r="A6422" s="134" t="str">
        <f>IFERROR(__xludf.DUMMYFUNCTION("""COMPUTED_VALUE"""),"Paris")</f>
        <v>Paris</v>
      </c>
      <c r="B6422" s="120" t="str">
        <f>IFERROR(__xludf.DUMMYFUNCTION("""COMPUTED_VALUE"""),"JDP")</f>
        <v>JDP</v>
      </c>
      <c r="C6422" s="120" t="str">
        <f>IFERROR(__xludf.DUMMYFUNCTION("""COMPUTED_VALUE"""),"Heliport De Paris")</f>
        <v>Heliport De Paris</v>
      </c>
      <c r="D6422" s="120" t="str">
        <f>IFERROR(__xludf.DUMMYFUNCTION("""COMPUTED_VALUE"""),"France")</f>
        <v>France</v>
      </c>
      <c r="E6422" s="135"/>
      <c r="F6422" s="31"/>
    </row>
    <row r="6423">
      <c r="A6423" s="134" t="str">
        <f>IFERROR(__xludf.DUMMYFUNCTION("""COMPUTED_VALUE"""),"Paris")</f>
        <v>Paris</v>
      </c>
      <c r="B6423" s="120" t="str">
        <f>IFERROR(__xludf.DUMMYFUNCTION("""COMPUTED_VALUE"""),"JPU")</f>
        <v>JPU</v>
      </c>
      <c r="C6423" s="120" t="str">
        <f>IFERROR(__xludf.DUMMYFUNCTION("""COMPUTED_VALUE"""),"La Defense Heliport")</f>
        <v>La Defense Heliport</v>
      </c>
      <c r="D6423" s="120" t="str">
        <f>IFERROR(__xludf.DUMMYFUNCTION("""COMPUTED_VALUE"""),"France")</f>
        <v>France</v>
      </c>
      <c r="E6423" s="135"/>
      <c r="F6423" s="31"/>
    </row>
    <row r="6424">
      <c r="A6424" s="134" t="str">
        <f>IFERROR(__xludf.DUMMYFUNCTION("""COMPUTED_VALUE"""),"Paris")</f>
        <v>Paris</v>
      </c>
      <c r="B6424" s="120" t="str">
        <f>IFERROR(__xludf.DUMMYFUNCTION("""COMPUTED_VALUE"""),"LBG")</f>
        <v>LBG</v>
      </c>
      <c r="C6424" s="120" t="str">
        <f>IFERROR(__xludf.DUMMYFUNCTION("""COMPUTED_VALUE"""),"Le Bourget")</f>
        <v>Le Bourget</v>
      </c>
      <c r="D6424" s="120" t="str">
        <f>IFERROR(__xludf.DUMMYFUNCTION("""COMPUTED_VALUE"""),"France")</f>
        <v>France</v>
      </c>
      <c r="E6424" s="135"/>
      <c r="F6424" s="31"/>
    </row>
    <row r="6425">
      <c r="A6425" s="134" t="str">
        <f>IFERROR(__xludf.DUMMYFUNCTION("""COMPUTED_VALUE"""),"Paris")</f>
        <v>Paris</v>
      </c>
      <c r="B6425" s="120" t="str">
        <f>IFERROR(__xludf.DUMMYFUNCTION("""COMPUTED_VALUE"""),"ORY")</f>
        <v>ORY</v>
      </c>
      <c r="C6425" s="120" t="str">
        <f>IFERROR(__xludf.DUMMYFUNCTION("""COMPUTED_VALUE"""),"Orly")</f>
        <v>Orly</v>
      </c>
      <c r="D6425" s="120" t="str">
        <f>IFERROR(__xludf.DUMMYFUNCTION("""COMPUTED_VALUE"""),"France")</f>
        <v>France</v>
      </c>
      <c r="E6425" s="135"/>
      <c r="F6425" s="31"/>
    </row>
    <row r="6426">
      <c r="A6426" s="134" t="str">
        <f>IFERROR(__xludf.DUMMYFUNCTION("""COMPUTED_VALUE"""),"Paris")</f>
        <v>Paris</v>
      </c>
      <c r="B6426" s="120" t="str">
        <f>IFERROR(__xludf.DUMMYFUNCTION("""COMPUTED_VALUE"""),"POX")</f>
        <v>POX</v>
      </c>
      <c r="C6426" s="120" t="str">
        <f>IFERROR(__xludf.DUMMYFUNCTION("""COMPUTED_VALUE"""),"Paris Cergy Pontoise")</f>
        <v>Paris Cergy Pontoise</v>
      </c>
      <c r="D6426" s="120" t="str">
        <f>IFERROR(__xludf.DUMMYFUNCTION("""COMPUTED_VALUE"""),"France")</f>
        <v>France</v>
      </c>
      <c r="E6426" s="135"/>
      <c r="F6426" s="31"/>
    </row>
    <row r="6427">
      <c r="A6427" s="134" t="str">
        <f>IFERROR(__xludf.DUMMYFUNCTION("""COMPUTED_VALUE"""),"Paris")</f>
        <v>Paris</v>
      </c>
      <c r="B6427" s="120" t="str">
        <f>IFERROR(__xludf.DUMMYFUNCTION("""COMPUTED_VALUE"""),"VIY")</f>
        <v>VIY</v>
      </c>
      <c r="C6427" s="120" t="str">
        <f>IFERROR(__xludf.DUMMYFUNCTION("""COMPUTED_VALUE"""),"Villa Coublay")</f>
        <v>Villa Coublay</v>
      </c>
      <c r="D6427" s="120" t="str">
        <f>IFERROR(__xludf.DUMMYFUNCTION("""COMPUTED_VALUE"""),"France")</f>
        <v>France</v>
      </c>
      <c r="E6427" s="135"/>
      <c r="F6427" s="31"/>
    </row>
    <row r="6428">
      <c r="A6428" s="134" t="str">
        <f>IFERROR(__xludf.DUMMYFUNCTION("""COMPUTED_VALUE"""),"Paris")</f>
        <v>Paris</v>
      </c>
      <c r="B6428" s="120" t="str">
        <f>IFERROR(__xludf.DUMMYFUNCTION("""COMPUTED_VALUE"""),"PHT")</f>
        <v>PHT</v>
      </c>
      <c r="C6428" s="120" t="str">
        <f>IFERROR(__xludf.DUMMYFUNCTION("""COMPUTED_VALUE"""),"Henry County")</f>
        <v>Henry County</v>
      </c>
      <c r="D6428" s="120" t="str">
        <f>IFERROR(__xludf.DUMMYFUNCTION("""COMPUTED_VALUE"""),"United States")</f>
        <v>United States</v>
      </c>
      <c r="E6428" s="135"/>
      <c r="F6428" s="31"/>
    </row>
    <row r="6429">
      <c r="A6429" s="134" t="str">
        <f>IFERROR(__xludf.DUMMYFUNCTION("""COMPUTED_VALUE"""),"Paris")</f>
        <v>Paris</v>
      </c>
      <c r="B6429" s="120" t="str">
        <f>IFERROR(__xludf.DUMMYFUNCTION("""COMPUTED_VALUE"""),"PRX")</f>
        <v>PRX</v>
      </c>
      <c r="C6429" s="120" t="str">
        <f>IFERROR(__xludf.DUMMYFUNCTION("""COMPUTED_VALUE"""),"Cox Field")</f>
        <v>Cox Field</v>
      </c>
      <c r="D6429" s="120" t="str">
        <f>IFERROR(__xludf.DUMMYFUNCTION("""COMPUTED_VALUE"""),"United States")</f>
        <v>United States</v>
      </c>
      <c r="E6429" s="135"/>
      <c r="F6429" s="31"/>
    </row>
    <row r="6430">
      <c r="A6430" s="134" t="str">
        <f>IFERROR(__xludf.DUMMYFUNCTION("""COMPUTED_VALUE"""),"Park Falls")</f>
        <v>Park Falls</v>
      </c>
      <c r="B6430" s="120" t="str">
        <f>IFERROR(__xludf.DUMMYFUNCTION("""COMPUTED_VALUE"""),"PKF")</f>
        <v>PKF</v>
      </c>
      <c r="C6430" s="120" t="str">
        <f>IFERROR(__xludf.DUMMYFUNCTION("""COMPUTED_VALUE"""),"Park Falls")</f>
        <v>Park Falls</v>
      </c>
      <c r="D6430" s="120" t="str">
        <f>IFERROR(__xludf.DUMMYFUNCTION("""COMPUTED_VALUE"""),"United States")</f>
        <v>United States</v>
      </c>
      <c r="E6430" s="135"/>
      <c r="F6430" s="31"/>
    </row>
    <row r="6431">
      <c r="A6431" s="134" t="str">
        <f>IFERROR(__xludf.DUMMYFUNCTION("""COMPUTED_VALUE"""),"Park Rapids")</f>
        <v>Park Rapids</v>
      </c>
      <c r="B6431" s="120" t="str">
        <f>IFERROR(__xludf.DUMMYFUNCTION("""COMPUTED_VALUE"""),"PKD")</f>
        <v>PKD</v>
      </c>
      <c r="C6431" s="120" t="str">
        <f>IFERROR(__xludf.DUMMYFUNCTION("""COMPUTED_VALUE"""),"Park Rapids")</f>
        <v>Park Rapids</v>
      </c>
      <c r="D6431" s="120" t="str">
        <f>IFERROR(__xludf.DUMMYFUNCTION("""COMPUTED_VALUE"""),"United States")</f>
        <v>United States</v>
      </c>
      <c r="E6431" s="135"/>
      <c r="F6431" s="31"/>
    </row>
    <row r="6432">
      <c r="A6432" s="134" t="str">
        <f>IFERROR(__xludf.DUMMYFUNCTION("""COMPUTED_VALUE"""),"Parkersburg")</f>
        <v>Parkersburg</v>
      </c>
      <c r="B6432" s="120" t="str">
        <f>IFERROR(__xludf.DUMMYFUNCTION("""COMPUTED_VALUE"""),"PKB")</f>
        <v>PKB</v>
      </c>
      <c r="C6432" s="120" t="str">
        <f>IFERROR(__xludf.DUMMYFUNCTION("""COMPUTED_VALUE"""),"Wood County")</f>
        <v>Wood County</v>
      </c>
      <c r="D6432" s="120" t="str">
        <f>IFERROR(__xludf.DUMMYFUNCTION("""COMPUTED_VALUE"""),"United States")</f>
        <v>United States</v>
      </c>
      <c r="E6432" s="135"/>
      <c r="F6432" s="31"/>
    </row>
    <row r="6433">
      <c r="A6433" s="134" t="str">
        <f>IFERROR(__xludf.DUMMYFUNCTION("""COMPUTED_VALUE"""),"Parkes")</f>
        <v>Parkes</v>
      </c>
      <c r="B6433" s="120" t="str">
        <f>IFERROR(__xludf.DUMMYFUNCTION("""COMPUTED_VALUE"""),"PKE")</f>
        <v>PKE</v>
      </c>
      <c r="C6433" s="120" t="str">
        <f>IFERROR(__xludf.DUMMYFUNCTION("""COMPUTED_VALUE"""),"Parkes")</f>
        <v>Parkes</v>
      </c>
      <c r="D6433" s="120" t="str">
        <f>IFERROR(__xludf.DUMMYFUNCTION("""COMPUTED_VALUE"""),"Australia")</f>
        <v>Australia</v>
      </c>
      <c r="E6433" s="135"/>
      <c r="F6433" s="31"/>
    </row>
    <row r="6434">
      <c r="A6434" s="134" t="str">
        <f>IFERROR(__xludf.DUMMYFUNCTION("""COMPUTED_VALUE"""),"Parks")</f>
        <v>Parks</v>
      </c>
      <c r="B6434" s="120" t="str">
        <f>IFERROR(__xludf.DUMMYFUNCTION("""COMPUTED_VALUE"""),"KPK")</f>
        <v>KPK</v>
      </c>
      <c r="C6434" s="120" t="str">
        <f>IFERROR(__xludf.DUMMYFUNCTION("""COMPUTED_VALUE"""),"Parks SPB")</f>
        <v>Parks SPB</v>
      </c>
      <c r="D6434" s="120" t="str">
        <f>IFERROR(__xludf.DUMMYFUNCTION("""COMPUTED_VALUE"""),"United States")</f>
        <v>United States</v>
      </c>
      <c r="E6434" s="135"/>
      <c r="F6434" s="31"/>
    </row>
    <row r="6435">
      <c r="A6435" s="134" t="str">
        <f>IFERROR(__xludf.DUMMYFUNCTION("""COMPUTED_VALUE"""),"Parnaiba")</f>
        <v>Parnaiba</v>
      </c>
      <c r="B6435" s="120" t="str">
        <f>IFERROR(__xludf.DUMMYFUNCTION("""COMPUTED_VALUE"""),"PHB")</f>
        <v>PHB</v>
      </c>
      <c r="C6435" s="120" t="str">
        <f>IFERROR(__xludf.DUMMYFUNCTION("""COMPUTED_VALUE"""),"Santos Dumont")</f>
        <v>Santos Dumont</v>
      </c>
      <c r="D6435" s="120" t="str">
        <f>IFERROR(__xludf.DUMMYFUNCTION("""COMPUTED_VALUE"""),"Brazil")</f>
        <v>Brazil</v>
      </c>
      <c r="E6435" s="135"/>
      <c r="F6435" s="31"/>
    </row>
    <row r="6436">
      <c r="A6436" s="134" t="str">
        <f>IFERROR(__xludf.DUMMYFUNCTION("""COMPUTED_VALUE"""),"Parndana")</f>
        <v>Parndana</v>
      </c>
      <c r="B6436" s="120" t="str">
        <f>IFERROR(__xludf.DUMMYFUNCTION("""COMPUTED_VALUE"""),"PDN")</f>
        <v>PDN</v>
      </c>
      <c r="C6436" s="120" t="str">
        <f>IFERROR(__xludf.DUMMYFUNCTION("""COMPUTED_VALUE"""),"Parndana")</f>
        <v>Parndana</v>
      </c>
      <c r="D6436" s="120" t="str">
        <f>IFERROR(__xludf.DUMMYFUNCTION("""COMPUTED_VALUE"""),"Australia")</f>
        <v>Australia</v>
      </c>
      <c r="E6436" s="135"/>
      <c r="F6436" s="31"/>
    </row>
    <row r="6437">
      <c r="A6437" s="134" t="str">
        <f>IFERROR(__xludf.DUMMYFUNCTION("""COMPUTED_VALUE"""),"Parnu")</f>
        <v>Parnu</v>
      </c>
      <c r="B6437" s="120" t="str">
        <f>IFERROR(__xludf.DUMMYFUNCTION("""COMPUTED_VALUE"""),"EPU")</f>
        <v>EPU</v>
      </c>
      <c r="C6437" s="120" t="str">
        <f>IFERROR(__xludf.DUMMYFUNCTION("""COMPUTED_VALUE"""),"Parnu")</f>
        <v>Parnu</v>
      </c>
      <c r="D6437" s="120" t="str">
        <f>IFERROR(__xludf.DUMMYFUNCTION("""COMPUTED_VALUE"""),"Estonia")</f>
        <v>Estonia</v>
      </c>
      <c r="E6437" s="135"/>
      <c r="F6437" s="31"/>
    </row>
    <row r="6438">
      <c r="A6438" s="134" t="str">
        <f>IFERROR(__xludf.DUMMYFUNCTION("""COMPUTED_VALUE"""),"Paro")</f>
        <v>Paro</v>
      </c>
      <c r="B6438" s="120" t="str">
        <f>IFERROR(__xludf.DUMMYFUNCTION("""COMPUTED_VALUE"""),"PBH")</f>
        <v>PBH</v>
      </c>
      <c r="C6438" s="120" t="str">
        <f>IFERROR(__xludf.DUMMYFUNCTION("""COMPUTED_VALUE"""),"Paro")</f>
        <v>Paro</v>
      </c>
      <c r="D6438" s="120" t="str">
        <f>IFERROR(__xludf.DUMMYFUNCTION("""COMPUTED_VALUE"""),"Bhutan")</f>
        <v>Bhutan</v>
      </c>
      <c r="E6438" s="135"/>
      <c r="F6438" s="31"/>
    </row>
    <row r="6439">
      <c r="A6439" s="134" t="str">
        <f>IFERROR(__xludf.DUMMYFUNCTION("""COMPUTED_VALUE"""),"Paros")</f>
        <v>Paros</v>
      </c>
      <c r="B6439" s="120" t="str">
        <f>IFERROR(__xludf.DUMMYFUNCTION("""COMPUTED_VALUE"""),"PAS")</f>
        <v>PAS</v>
      </c>
      <c r="C6439" s="120" t="str">
        <f>IFERROR(__xludf.DUMMYFUNCTION("""COMPUTED_VALUE"""),"Paros")</f>
        <v>Paros</v>
      </c>
      <c r="D6439" s="120" t="str">
        <f>IFERROR(__xludf.DUMMYFUNCTION("""COMPUTED_VALUE"""),"Greece")</f>
        <v>Greece</v>
      </c>
      <c r="E6439" s="135"/>
      <c r="F6439" s="31"/>
    </row>
    <row r="6440">
      <c r="A6440" s="134" t="str">
        <f>IFERROR(__xludf.DUMMYFUNCTION("""COMPUTED_VALUE"""),"Parry Sound")</f>
        <v>Parry Sound</v>
      </c>
      <c r="B6440" s="120" t="str">
        <f>IFERROR(__xludf.DUMMYFUNCTION("""COMPUTED_VALUE"""),"YPD")</f>
        <v>YPD</v>
      </c>
      <c r="C6440" s="120" t="str">
        <f>IFERROR(__xludf.DUMMYFUNCTION("""COMPUTED_VALUE"""),"Parry Sound")</f>
        <v>Parry Sound</v>
      </c>
      <c r="D6440" s="120" t="str">
        <f>IFERROR(__xludf.DUMMYFUNCTION("""COMPUTED_VALUE"""),"Canada")</f>
        <v>Canada</v>
      </c>
      <c r="E6440" s="135"/>
      <c r="F6440" s="31"/>
    </row>
    <row r="6441">
      <c r="A6441" s="134" t="str">
        <f>IFERROR(__xludf.DUMMYFUNCTION("""COMPUTED_VALUE"""),"Parsabad")</f>
        <v>Parsabad</v>
      </c>
      <c r="B6441" s="120" t="str">
        <f>IFERROR(__xludf.DUMMYFUNCTION("""COMPUTED_VALUE"""),"PFQ")</f>
        <v>PFQ</v>
      </c>
      <c r="C6441" s="120" t="str">
        <f>IFERROR(__xludf.DUMMYFUNCTION("""COMPUTED_VALUE"""),"Parsabad")</f>
        <v>Parsabad</v>
      </c>
      <c r="D6441" s="120" t="str">
        <f>IFERROR(__xludf.DUMMYFUNCTION("""COMPUTED_VALUE"""),"Iran")</f>
        <v>Iran</v>
      </c>
      <c r="E6441" s="135"/>
      <c r="F6441" s="31"/>
    </row>
    <row r="6442">
      <c r="A6442" s="134" t="str">
        <f>IFERROR(__xludf.DUMMYFUNCTION("""COMPUTED_VALUE"""),"Parsons")</f>
        <v>Parsons</v>
      </c>
      <c r="B6442" s="120" t="str">
        <f>IFERROR(__xludf.DUMMYFUNCTION("""COMPUTED_VALUE"""),"PPF")</f>
        <v>PPF</v>
      </c>
      <c r="C6442" s="120" t="str">
        <f>IFERROR(__xludf.DUMMYFUNCTION("""COMPUTED_VALUE"""),"Tri-City")</f>
        <v>Tri-City</v>
      </c>
      <c r="D6442" s="120" t="str">
        <f>IFERROR(__xludf.DUMMYFUNCTION("""COMPUTED_VALUE"""),"United States")</f>
        <v>United States</v>
      </c>
      <c r="E6442" s="135"/>
      <c r="F6442" s="31"/>
    </row>
    <row r="6443">
      <c r="A6443" s="134" t="str">
        <f>IFERROR(__xludf.DUMMYFUNCTION("""COMPUTED_VALUE"""),"Paruima")</f>
        <v>Paruima</v>
      </c>
      <c r="B6443" s="120" t="str">
        <f>IFERROR(__xludf.DUMMYFUNCTION("""COMPUTED_VALUE"""),"PRR")</f>
        <v>PRR</v>
      </c>
      <c r="C6443" s="120" t="str">
        <f>IFERROR(__xludf.DUMMYFUNCTION("""COMPUTED_VALUE"""),"Paruima")</f>
        <v>Paruima</v>
      </c>
      <c r="D6443" s="120" t="str">
        <f>IFERROR(__xludf.DUMMYFUNCTION("""COMPUTED_VALUE"""),"Guyana")</f>
        <v>Guyana</v>
      </c>
      <c r="E6443" s="135"/>
      <c r="F6443" s="31"/>
    </row>
    <row r="6444">
      <c r="A6444" s="134" t="str">
        <f>IFERROR(__xludf.DUMMYFUNCTION("""COMPUTED_VALUE"""),"Pasadena")</f>
        <v>Pasadena</v>
      </c>
      <c r="B6444" s="120" t="str">
        <f>IFERROR(__xludf.DUMMYFUNCTION("""COMPUTED_VALUE"""),"JPD")</f>
        <v>JPD</v>
      </c>
      <c r="C6444" s="120" t="str">
        <f>IFERROR(__xludf.DUMMYFUNCTION("""COMPUTED_VALUE"""),"Heliport")</f>
        <v>Heliport</v>
      </c>
      <c r="D6444" s="120" t="str">
        <f>IFERROR(__xludf.DUMMYFUNCTION("""COMPUTED_VALUE"""),"United States")</f>
        <v>United States</v>
      </c>
      <c r="E6444" s="135"/>
      <c r="F6444" s="31"/>
    </row>
    <row r="6445">
      <c r="A6445" s="134" t="str">
        <f>IFERROR(__xludf.DUMMYFUNCTION("""COMPUTED_VALUE"""),"Pascagoula")</f>
        <v>Pascagoula</v>
      </c>
      <c r="B6445" s="120" t="str">
        <f>IFERROR(__xludf.DUMMYFUNCTION("""COMPUTED_VALUE"""),"PGL")</f>
        <v>PGL</v>
      </c>
      <c r="C6445" s="120" t="str">
        <f>IFERROR(__xludf.DUMMYFUNCTION("""COMPUTED_VALUE"""),"Jackson County")</f>
        <v>Jackson County</v>
      </c>
      <c r="D6445" s="120" t="str">
        <f>IFERROR(__xludf.DUMMYFUNCTION("""COMPUTED_VALUE"""),"United States")</f>
        <v>United States</v>
      </c>
      <c r="E6445" s="135"/>
      <c r="F6445" s="31"/>
    </row>
    <row r="6446">
      <c r="A6446" s="134" t="str">
        <f>IFERROR(__xludf.DUMMYFUNCTION("""COMPUTED_VALUE"""),"Pasco")</f>
        <v>Pasco</v>
      </c>
      <c r="B6446" s="120" t="str">
        <f>IFERROR(__xludf.DUMMYFUNCTION("""COMPUTED_VALUE"""),"PSC")</f>
        <v>PSC</v>
      </c>
      <c r="C6446" s="120" t="str">
        <f>IFERROR(__xludf.DUMMYFUNCTION("""COMPUTED_VALUE"""),"Tri-Cities")</f>
        <v>Tri-Cities</v>
      </c>
      <c r="D6446" s="120" t="str">
        <f>IFERROR(__xludf.DUMMYFUNCTION("""COMPUTED_VALUE"""),"United States")</f>
        <v>United States</v>
      </c>
      <c r="E6446" s="135"/>
      <c r="F6446" s="31"/>
    </row>
    <row r="6447">
      <c r="A6447" s="134" t="str">
        <f>IFERROR(__xludf.DUMMYFUNCTION("""COMPUTED_VALUE"""),"Pasighat")</f>
        <v>Pasighat</v>
      </c>
      <c r="B6447" s="120" t="str">
        <f>IFERROR(__xludf.DUMMYFUNCTION("""COMPUTED_VALUE"""),"IXT")</f>
        <v>IXT</v>
      </c>
      <c r="C6447" s="120" t="str">
        <f>IFERROR(__xludf.DUMMYFUNCTION("""COMPUTED_VALUE"""),"Pasighat")</f>
        <v>Pasighat</v>
      </c>
      <c r="D6447" s="120" t="str">
        <f>IFERROR(__xludf.DUMMYFUNCTION("""COMPUTED_VALUE"""),"India")</f>
        <v>India</v>
      </c>
      <c r="E6447" s="135"/>
      <c r="F6447" s="31"/>
    </row>
    <row r="6448">
      <c r="A6448" s="134" t="str">
        <f>IFERROR(__xludf.DUMMYFUNCTION("""COMPUTED_VALUE"""),"Pasir Gudang")</f>
        <v>Pasir Gudang</v>
      </c>
      <c r="B6448" s="120" t="str">
        <f>IFERROR(__xludf.DUMMYFUNCTION("""COMPUTED_VALUE"""),"ZLW")</f>
        <v>ZLW</v>
      </c>
      <c r="C6448" s="120" t="str">
        <f>IFERROR(__xludf.DUMMYFUNCTION("""COMPUTED_VALUE"""),"Pasir Gudang Port")</f>
        <v>Pasir Gudang Port</v>
      </c>
      <c r="D6448" s="120" t="str">
        <f>IFERROR(__xludf.DUMMYFUNCTION("""COMPUTED_VALUE"""),"Malaysia")</f>
        <v>Malaysia</v>
      </c>
      <c r="E6448" s="135"/>
      <c r="F6448" s="31"/>
    </row>
    <row r="6449">
      <c r="A6449" s="134" t="str">
        <f>IFERROR(__xludf.DUMMYFUNCTION("""COMPUTED_VALUE"""),"Pasir Pangarayan")</f>
        <v>Pasir Pangarayan</v>
      </c>
      <c r="B6449" s="120" t="str">
        <f>IFERROR(__xludf.DUMMYFUNCTION("""COMPUTED_VALUE"""),"PPR")</f>
        <v>PPR</v>
      </c>
      <c r="C6449" s="120" t="str">
        <f>IFERROR(__xludf.DUMMYFUNCTION("""COMPUTED_VALUE"""),"Pasir Pangarayan")</f>
        <v>Pasir Pangarayan</v>
      </c>
      <c r="D6449" s="120" t="str">
        <f>IFERROR(__xludf.DUMMYFUNCTION("""COMPUTED_VALUE"""),"Indonesia")</f>
        <v>Indonesia</v>
      </c>
      <c r="E6449" s="135"/>
      <c r="F6449" s="31"/>
    </row>
    <row r="6450">
      <c r="A6450" s="134" t="str">
        <f>IFERROR(__xludf.DUMMYFUNCTION("""COMPUTED_VALUE"""),"Pasni")</f>
        <v>Pasni</v>
      </c>
      <c r="B6450" s="120" t="str">
        <f>IFERROR(__xludf.DUMMYFUNCTION("""COMPUTED_VALUE"""),"PSI")</f>
        <v>PSI</v>
      </c>
      <c r="C6450" s="120" t="str">
        <f>IFERROR(__xludf.DUMMYFUNCTION("""COMPUTED_VALUE"""),"Pasni")</f>
        <v>Pasni</v>
      </c>
      <c r="D6450" s="120" t="str">
        <f>IFERROR(__xludf.DUMMYFUNCTION("""COMPUTED_VALUE"""),"Pakistan")</f>
        <v>Pakistan</v>
      </c>
      <c r="E6450" s="135"/>
      <c r="F6450" s="31"/>
    </row>
    <row r="6451">
      <c r="A6451" s="134" t="str">
        <f>IFERROR(__xludf.DUMMYFUNCTION("""COMPUTED_VALUE"""),"Paso Caballos")</f>
        <v>Paso Caballos</v>
      </c>
      <c r="B6451" s="120" t="str">
        <f>IFERROR(__xludf.DUMMYFUNCTION("""COMPUTED_VALUE"""),"PCG")</f>
        <v>PCG</v>
      </c>
      <c r="C6451" s="120" t="str">
        <f>IFERROR(__xludf.DUMMYFUNCTION("""COMPUTED_VALUE"""),"Paso Caballos")</f>
        <v>Paso Caballos</v>
      </c>
      <c r="D6451" s="120" t="str">
        <f>IFERROR(__xludf.DUMMYFUNCTION("""COMPUTED_VALUE"""),"Guatemala")</f>
        <v>Guatemala</v>
      </c>
      <c r="E6451" s="135"/>
      <c r="F6451" s="31"/>
    </row>
    <row r="6452">
      <c r="A6452" s="134" t="str">
        <f>IFERROR(__xludf.DUMMYFUNCTION("""COMPUTED_VALUE"""),"Paso De Los Libres")</f>
        <v>Paso De Los Libres</v>
      </c>
      <c r="B6452" s="120" t="str">
        <f>IFERROR(__xludf.DUMMYFUNCTION("""COMPUTED_VALUE"""),"AOL")</f>
        <v>AOL</v>
      </c>
      <c r="C6452" s="120" t="str">
        <f>IFERROR(__xludf.DUMMYFUNCTION("""COMPUTED_VALUE"""),"Paso De Los Libres")</f>
        <v>Paso De Los Libres</v>
      </c>
      <c r="D6452" s="120" t="str">
        <f>IFERROR(__xludf.DUMMYFUNCTION("""COMPUTED_VALUE"""),"Argentina")</f>
        <v>Argentina</v>
      </c>
      <c r="E6452" s="135"/>
      <c r="F6452" s="31"/>
    </row>
    <row r="6453">
      <c r="A6453" s="134" t="str">
        <f>IFERROR(__xludf.DUMMYFUNCTION("""COMPUTED_VALUE"""),"Paso Robles")</f>
        <v>Paso Robles</v>
      </c>
      <c r="B6453" s="120" t="str">
        <f>IFERROR(__xludf.DUMMYFUNCTION("""COMPUTED_VALUE"""),"PRB")</f>
        <v>PRB</v>
      </c>
      <c r="C6453" s="120" t="str">
        <f>IFERROR(__xludf.DUMMYFUNCTION("""COMPUTED_VALUE"""),"Paso Robles")</f>
        <v>Paso Robles</v>
      </c>
      <c r="D6453" s="120" t="str">
        <f>IFERROR(__xludf.DUMMYFUNCTION("""COMPUTED_VALUE"""),"United States")</f>
        <v>United States</v>
      </c>
      <c r="E6453" s="135"/>
      <c r="F6453" s="31"/>
    </row>
    <row r="6454">
      <c r="A6454" s="134" t="str">
        <f>IFERROR(__xludf.DUMMYFUNCTION("""COMPUTED_VALUE"""),"Passo Fundo")</f>
        <v>Passo Fundo</v>
      </c>
      <c r="B6454" s="120" t="str">
        <f>IFERROR(__xludf.DUMMYFUNCTION("""COMPUTED_VALUE"""),"PFB")</f>
        <v>PFB</v>
      </c>
      <c r="C6454" s="120" t="str">
        <f>IFERROR(__xludf.DUMMYFUNCTION("""COMPUTED_VALUE"""),"Passo Fundo")</f>
        <v>Passo Fundo</v>
      </c>
      <c r="D6454" s="120" t="str">
        <f>IFERROR(__xludf.DUMMYFUNCTION("""COMPUTED_VALUE"""),"Brazil")</f>
        <v>Brazil</v>
      </c>
      <c r="E6454" s="135"/>
      <c r="F6454" s="31"/>
    </row>
    <row r="6455">
      <c r="A6455" s="134" t="str">
        <f>IFERROR(__xludf.DUMMYFUNCTION("""COMPUTED_VALUE"""),"Passos")</f>
        <v>Passos</v>
      </c>
      <c r="B6455" s="120" t="str">
        <f>IFERROR(__xludf.DUMMYFUNCTION("""COMPUTED_VALUE"""),"PSW")</f>
        <v>PSW</v>
      </c>
      <c r="C6455" s="120" t="str">
        <f>IFERROR(__xludf.DUMMYFUNCTION("""COMPUTED_VALUE"""),"Passos")</f>
        <v>Passos</v>
      </c>
      <c r="D6455" s="120" t="str">
        <f>IFERROR(__xludf.DUMMYFUNCTION("""COMPUTED_VALUE"""),"Brazil")</f>
        <v>Brazil</v>
      </c>
      <c r="E6455" s="135"/>
      <c r="F6455" s="31"/>
    </row>
    <row r="6456">
      <c r="A6456" s="134" t="str">
        <f>IFERROR(__xludf.DUMMYFUNCTION("""COMPUTED_VALUE"""),"Pastaza")</f>
        <v>Pastaza</v>
      </c>
      <c r="B6456" s="120" t="str">
        <f>IFERROR(__xludf.DUMMYFUNCTION("""COMPUTED_VALUE"""),"PTZ")</f>
        <v>PTZ</v>
      </c>
      <c r="C6456" s="120" t="str">
        <f>IFERROR(__xludf.DUMMYFUNCTION("""COMPUTED_VALUE"""),"Pastaza")</f>
        <v>Pastaza</v>
      </c>
      <c r="D6456" s="120" t="str">
        <f>IFERROR(__xludf.DUMMYFUNCTION("""COMPUTED_VALUE"""),"Ecuador")</f>
        <v>Ecuador</v>
      </c>
      <c r="E6456" s="135"/>
      <c r="F6456" s="31"/>
    </row>
    <row r="6457">
      <c r="A6457" s="134" t="str">
        <f>IFERROR(__xludf.DUMMYFUNCTION("""COMPUTED_VALUE"""),"Pasto")</f>
        <v>Pasto</v>
      </c>
      <c r="B6457" s="120" t="str">
        <f>IFERROR(__xludf.DUMMYFUNCTION("""COMPUTED_VALUE"""),"PSO")</f>
        <v>PSO</v>
      </c>
      <c r="C6457" s="120" t="str">
        <f>IFERROR(__xludf.DUMMYFUNCTION("""COMPUTED_VALUE"""),"Cano")</f>
        <v>Cano</v>
      </c>
      <c r="D6457" s="120" t="str">
        <f>IFERROR(__xludf.DUMMYFUNCTION("""COMPUTED_VALUE"""),"Colombia")</f>
        <v>Colombia</v>
      </c>
      <c r="E6457" s="135"/>
      <c r="F6457" s="31"/>
    </row>
    <row r="6458">
      <c r="A6458" s="134" t="str">
        <f>IFERROR(__xludf.DUMMYFUNCTION("""COMPUTED_VALUE"""),"Pathankot")</f>
        <v>Pathankot</v>
      </c>
      <c r="B6458" s="120" t="str">
        <f>IFERROR(__xludf.DUMMYFUNCTION("""COMPUTED_VALUE"""),"IXP")</f>
        <v>IXP</v>
      </c>
      <c r="C6458" s="120" t="str">
        <f>IFERROR(__xludf.DUMMYFUNCTION("""COMPUTED_VALUE"""),"Pathankot")</f>
        <v>Pathankot</v>
      </c>
      <c r="D6458" s="120" t="str">
        <f>IFERROR(__xludf.DUMMYFUNCTION("""COMPUTED_VALUE"""),"India")</f>
        <v>India</v>
      </c>
      <c r="E6458" s="135"/>
      <c r="F6458" s="31"/>
    </row>
    <row r="6459">
      <c r="A6459" s="134" t="str">
        <f>IFERROR(__xludf.DUMMYFUNCTION("""COMPUTED_VALUE"""),"Patna")</f>
        <v>Patna</v>
      </c>
      <c r="B6459" s="120" t="str">
        <f>IFERROR(__xludf.DUMMYFUNCTION("""COMPUTED_VALUE"""),"PAT")</f>
        <v>PAT</v>
      </c>
      <c r="C6459" s="120" t="str">
        <f>IFERROR(__xludf.DUMMYFUNCTION("""COMPUTED_VALUE"""),"Patna")</f>
        <v>Patna</v>
      </c>
      <c r="D6459" s="120" t="str">
        <f>IFERROR(__xludf.DUMMYFUNCTION("""COMPUTED_VALUE"""),"India")</f>
        <v>India</v>
      </c>
      <c r="E6459" s="135"/>
      <c r="F6459" s="31"/>
    </row>
    <row r="6460">
      <c r="A6460" s="134" t="str">
        <f>IFERROR(__xludf.DUMMYFUNCTION("""COMPUTED_VALUE"""),"Pato Branco")</f>
        <v>Pato Branco</v>
      </c>
      <c r="B6460" s="120" t="str">
        <f>IFERROR(__xludf.DUMMYFUNCTION("""COMPUTED_VALUE"""),"PTO")</f>
        <v>PTO</v>
      </c>
      <c r="C6460" s="120" t="str">
        <f>IFERROR(__xludf.DUMMYFUNCTION("""COMPUTED_VALUE"""),"Municipal")</f>
        <v>Municipal</v>
      </c>
      <c r="D6460" s="120" t="str">
        <f>IFERROR(__xludf.DUMMYFUNCTION("""COMPUTED_VALUE"""),"Brazil")</f>
        <v>Brazil</v>
      </c>
      <c r="E6460" s="135"/>
      <c r="F6460" s="31"/>
    </row>
    <row r="6461">
      <c r="A6461" s="134" t="str">
        <f>IFERROR(__xludf.DUMMYFUNCTION("""COMPUTED_VALUE"""),"Patong Beach")</f>
        <v>Patong Beach</v>
      </c>
      <c r="B6461" s="120" t="str">
        <f>IFERROR(__xludf.DUMMYFUNCTION("""COMPUTED_VALUE"""),"PBS")</f>
        <v>PBS</v>
      </c>
      <c r="C6461" s="120" t="str">
        <f>IFERROR(__xludf.DUMMYFUNCTION("""COMPUTED_VALUE"""),"Patong Beach")</f>
        <v>Patong Beach</v>
      </c>
      <c r="D6461" s="120" t="str">
        <f>IFERROR(__xludf.DUMMYFUNCTION("""COMPUTED_VALUE"""),"Thailand")</f>
        <v>Thailand</v>
      </c>
      <c r="E6461" s="135"/>
      <c r="F6461" s="31"/>
    </row>
    <row r="6462">
      <c r="A6462" s="134" t="str">
        <f>IFERROR(__xludf.DUMMYFUNCTION("""COMPUTED_VALUE"""),"Patos De Minas")</f>
        <v>Patos De Minas</v>
      </c>
      <c r="B6462" s="120" t="str">
        <f>IFERROR(__xludf.DUMMYFUNCTION("""COMPUTED_VALUE"""),"POJ")</f>
        <v>POJ</v>
      </c>
      <c r="C6462" s="120" t="str">
        <f>IFERROR(__xludf.DUMMYFUNCTION("""COMPUTED_VALUE"""),"Patos De Minas")</f>
        <v>Patos De Minas</v>
      </c>
      <c r="D6462" s="120" t="str">
        <f>IFERROR(__xludf.DUMMYFUNCTION("""COMPUTED_VALUE"""),"Brazil")</f>
        <v>Brazil</v>
      </c>
      <c r="E6462" s="135"/>
      <c r="F6462" s="31"/>
    </row>
    <row r="6463">
      <c r="A6463" s="134" t="str">
        <f>IFERROR(__xludf.DUMMYFUNCTION("""COMPUTED_VALUE"""),"Patras")</f>
        <v>Patras</v>
      </c>
      <c r="B6463" s="120" t="str">
        <f>IFERROR(__xludf.DUMMYFUNCTION("""COMPUTED_VALUE"""),"GPA")</f>
        <v>GPA</v>
      </c>
      <c r="C6463" s="120" t="str">
        <f>IFERROR(__xludf.DUMMYFUNCTION("""COMPUTED_VALUE"""),"Araxos Airport")</f>
        <v>Araxos Airport</v>
      </c>
      <c r="D6463" s="120" t="str">
        <f>IFERROR(__xludf.DUMMYFUNCTION("""COMPUTED_VALUE"""),"Greece")</f>
        <v>Greece</v>
      </c>
      <c r="E6463" s="135"/>
      <c r="F6463" s="31"/>
    </row>
    <row r="6464">
      <c r="A6464" s="134" t="str">
        <f>IFERROR(__xludf.DUMMYFUNCTION("""COMPUTED_VALUE"""),"Patreksfjordur")</f>
        <v>Patreksfjordur</v>
      </c>
      <c r="B6464" s="120" t="str">
        <f>IFERROR(__xludf.DUMMYFUNCTION("""COMPUTED_VALUE"""),"PFJ")</f>
        <v>PFJ</v>
      </c>
      <c r="C6464" s="120" t="str">
        <f>IFERROR(__xludf.DUMMYFUNCTION("""COMPUTED_VALUE"""),"Patreksfjordur")</f>
        <v>Patreksfjordur</v>
      </c>
      <c r="D6464" s="120" t="str">
        <f>IFERROR(__xludf.DUMMYFUNCTION("""COMPUTED_VALUE"""),"Iceland")</f>
        <v>Iceland</v>
      </c>
      <c r="E6464" s="135"/>
      <c r="F6464" s="31"/>
    </row>
    <row r="6465">
      <c r="A6465" s="134" t="str">
        <f>IFERROR(__xludf.DUMMYFUNCTION("""COMPUTED_VALUE"""),"Pattani")</f>
        <v>Pattani</v>
      </c>
      <c r="B6465" s="120" t="str">
        <f>IFERROR(__xludf.DUMMYFUNCTION("""COMPUTED_VALUE"""),"PAN")</f>
        <v>PAN</v>
      </c>
      <c r="C6465" s="120" t="str">
        <f>IFERROR(__xludf.DUMMYFUNCTION("""COMPUTED_VALUE"""),"Pattani")</f>
        <v>Pattani</v>
      </c>
      <c r="D6465" s="120" t="str">
        <f>IFERROR(__xludf.DUMMYFUNCTION("""COMPUTED_VALUE"""),"Thailand")</f>
        <v>Thailand</v>
      </c>
      <c r="E6465" s="135"/>
      <c r="F6465" s="31"/>
    </row>
    <row r="6466">
      <c r="A6466" s="134" t="str">
        <f>IFERROR(__xludf.DUMMYFUNCTION("""COMPUTED_VALUE"""),"Pattaya")</f>
        <v>Pattaya</v>
      </c>
      <c r="B6466" s="120" t="str">
        <f>IFERROR(__xludf.DUMMYFUNCTION("""COMPUTED_VALUE"""),"PYX")</f>
        <v>PYX</v>
      </c>
      <c r="C6466" s="120" t="str">
        <f>IFERROR(__xludf.DUMMYFUNCTION("""COMPUTED_VALUE"""),"Pattaya")</f>
        <v>Pattaya</v>
      </c>
      <c r="D6466" s="120" t="str">
        <f>IFERROR(__xludf.DUMMYFUNCTION("""COMPUTED_VALUE"""),"Thailand")</f>
        <v>Thailand</v>
      </c>
      <c r="E6466" s="135"/>
      <c r="F6466" s="31"/>
    </row>
    <row r="6467">
      <c r="A6467" s="134" t="str">
        <f>IFERROR(__xludf.DUMMYFUNCTION("""COMPUTED_VALUE"""),"Patterson")</f>
        <v>Patterson</v>
      </c>
      <c r="B6467" s="120" t="str">
        <f>IFERROR(__xludf.DUMMYFUNCTION("""COMPUTED_VALUE"""),"PTN")</f>
        <v>PTN</v>
      </c>
      <c r="C6467" s="120" t="str">
        <f>IFERROR(__xludf.DUMMYFUNCTION("""COMPUTED_VALUE"""),"Williams Memorial")</f>
        <v>Williams Memorial</v>
      </c>
      <c r="D6467" s="120" t="str">
        <f>IFERROR(__xludf.DUMMYFUNCTION("""COMPUTED_VALUE"""),"United States")</f>
        <v>United States</v>
      </c>
      <c r="E6467" s="135"/>
      <c r="F6467" s="31"/>
    </row>
    <row r="6468">
      <c r="A6468" s="134" t="str">
        <f>IFERROR(__xludf.DUMMYFUNCTION("""COMPUTED_VALUE"""),"Patuxent River")</f>
        <v>Patuxent River</v>
      </c>
      <c r="B6468" s="120" t="str">
        <f>IFERROR(__xludf.DUMMYFUNCTION("""COMPUTED_VALUE"""),"NHK")</f>
        <v>NHK</v>
      </c>
      <c r="C6468" s="120" t="str">
        <f>IFERROR(__xludf.DUMMYFUNCTION("""COMPUTED_VALUE"""),"NAS")</f>
        <v>NAS</v>
      </c>
      <c r="D6468" s="120" t="str">
        <f>IFERROR(__xludf.DUMMYFUNCTION("""COMPUTED_VALUE"""),"United States")</f>
        <v>United States</v>
      </c>
      <c r="E6468" s="135"/>
      <c r="F6468" s="31"/>
    </row>
    <row r="6469">
      <c r="A6469" s="134" t="str">
        <f>IFERROR(__xludf.DUMMYFUNCTION("""COMPUTED_VALUE"""),"Pau")</f>
        <v>Pau</v>
      </c>
      <c r="B6469" s="120" t="str">
        <f>IFERROR(__xludf.DUMMYFUNCTION("""COMPUTED_VALUE"""),"PUF")</f>
        <v>PUF</v>
      </c>
      <c r="C6469" s="120" t="str">
        <f>IFERROR(__xludf.DUMMYFUNCTION("""COMPUTED_VALUE"""),"Uzein")</f>
        <v>Uzein</v>
      </c>
      <c r="D6469" s="120" t="str">
        <f>IFERROR(__xludf.DUMMYFUNCTION("""COMPUTED_VALUE"""),"France")</f>
        <v>France</v>
      </c>
      <c r="E6469" s="135"/>
      <c r="F6469" s="31"/>
    </row>
    <row r="6470">
      <c r="A6470" s="134" t="str">
        <f>IFERROR(__xludf.DUMMYFUNCTION("""COMPUTED_VALUE"""),"Pauk")</f>
        <v>Pauk</v>
      </c>
      <c r="B6470" s="120" t="str">
        <f>IFERROR(__xludf.DUMMYFUNCTION("""COMPUTED_VALUE"""),"PAU")</f>
        <v>PAU</v>
      </c>
      <c r="C6470" s="120" t="str">
        <f>IFERROR(__xludf.DUMMYFUNCTION("""COMPUTED_VALUE"""),"Pauk")</f>
        <v>Pauk</v>
      </c>
      <c r="D6470" s="120" t="str">
        <f>IFERROR(__xludf.DUMMYFUNCTION("""COMPUTED_VALUE"""),"Myanmar")</f>
        <v>Myanmar</v>
      </c>
      <c r="E6470" s="135"/>
      <c r="F6470" s="31"/>
    </row>
    <row r="6471">
      <c r="A6471" s="134" t="str">
        <f>IFERROR(__xludf.DUMMYFUNCTION("""COMPUTED_VALUE"""),"Paulatuk")</f>
        <v>Paulatuk</v>
      </c>
      <c r="B6471" s="120" t="str">
        <f>IFERROR(__xludf.DUMMYFUNCTION("""COMPUTED_VALUE"""),"YPC")</f>
        <v>YPC</v>
      </c>
      <c r="C6471" s="120" t="str">
        <f>IFERROR(__xludf.DUMMYFUNCTION("""COMPUTED_VALUE"""),"Paulatuk")</f>
        <v>Paulatuk</v>
      </c>
      <c r="D6471" s="120" t="str">
        <f>IFERROR(__xludf.DUMMYFUNCTION("""COMPUTED_VALUE"""),"Canada")</f>
        <v>Canada</v>
      </c>
      <c r="E6471" s="135"/>
      <c r="F6471" s="31"/>
    </row>
    <row r="6472">
      <c r="A6472" s="134" t="str">
        <f>IFERROR(__xludf.DUMMYFUNCTION("""COMPUTED_VALUE"""),"Paulo Afonso")</f>
        <v>Paulo Afonso</v>
      </c>
      <c r="B6472" s="120" t="str">
        <f>IFERROR(__xludf.DUMMYFUNCTION("""COMPUTED_VALUE"""),"PAV")</f>
        <v>PAV</v>
      </c>
      <c r="C6472" s="120" t="str">
        <f>IFERROR(__xludf.DUMMYFUNCTION("""COMPUTED_VALUE"""),"Paulo Afonso")</f>
        <v>Paulo Afonso</v>
      </c>
      <c r="D6472" s="120" t="str">
        <f>IFERROR(__xludf.DUMMYFUNCTION("""COMPUTED_VALUE"""),"Brazil")</f>
        <v>Brazil</v>
      </c>
      <c r="E6472" s="135"/>
      <c r="F6472" s="31"/>
    </row>
    <row r="6473">
      <c r="A6473" s="134" t="str">
        <f>IFERROR(__xludf.DUMMYFUNCTION("""COMPUTED_VALUE"""),"Pauloff Harbor")</f>
        <v>Pauloff Harbor</v>
      </c>
      <c r="B6473" s="120" t="str">
        <f>IFERROR(__xludf.DUMMYFUNCTION("""COMPUTED_VALUE"""),"KPH")</f>
        <v>KPH</v>
      </c>
      <c r="C6473" s="120" t="str">
        <f>IFERROR(__xludf.DUMMYFUNCTION("""COMPUTED_VALUE"""),"Pauloff Harbor SPB")</f>
        <v>Pauloff Harbor SPB</v>
      </c>
      <c r="D6473" s="120" t="str">
        <f>IFERROR(__xludf.DUMMYFUNCTION("""COMPUTED_VALUE"""),"United States")</f>
        <v>United States</v>
      </c>
      <c r="E6473" s="135"/>
      <c r="F6473" s="31"/>
    </row>
    <row r="6474">
      <c r="A6474" s="134" t="str">
        <f>IFERROR(__xludf.DUMMYFUNCTION("""COMPUTED_VALUE"""),"Pavlodar")</f>
        <v>Pavlodar</v>
      </c>
      <c r="B6474" s="120" t="str">
        <f>IFERROR(__xludf.DUMMYFUNCTION("""COMPUTED_VALUE"""),"PWQ")</f>
        <v>PWQ</v>
      </c>
      <c r="C6474" s="120" t="str">
        <f>IFERROR(__xludf.DUMMYFUNCTION("""COMPUTED_VALUE"""),"Pavlodar")</f>
        <v>Pavlodar</v>
      </c>
      <c r="D6474" s="120" t="str">
        <f>IFERROR(__xludf.DUMMYFUNCTION("""COMPUTED_VALUE"""),"Kazakhstan")</f>
        <v>Kazakhstan</v>
      </c>
      <c r="E6474" s="135"/>
      <c r="F6474" s="31"/>
    </row>
    <row r="6475">
      <c r="A6475" s="134" t="str">
        <f>IFERROR(__xludf.DUMMYFUNCTION("""COMPUTED_VALUE"""),"Pawi")</f>
        <v>Pawi</v>
      </c>
      <c r="B6475" s="120" t="str">
        <f>IFERROR(__xludf.DUMMYFUNCTION("""COMPUTED_VALUE"""),"PWI")</f>
        <v>PWI</v>
      </c>
      <c r="C6475" s="120" t="str">
        <f>IFERROR(__xludf.DUMMYFUNCTION("""COMPUTED_VALUE"""),"Beles")</f>
        <v>Beles</v>
      </c>
      <c r="D6475" s="120" t="str">
        <f>IFERROR(__xludf.DUMMYFUNCTION("""COMPUTED_VALUE"""),"Ethiopia")</f>
        <v>Ethiopia</v>
      </c>
      <c r="E6475" s="135"/>
      <c r="F6475" s="31"/>
    </row>
    <row r="6476">
      <c r="A6476" s="134" t="str">
        <f>IFERROR(__xludf.DUMMYFUNCTION("""COMPUTED_VALUE"""),"Payan")</f>
        <v>Payan</v>
      </c>
      <c r="B6476" s="120" t="str">
        <f>IFERROR(__xludf.DUMMYFUNCTION("""COMPUTED_VALUE"""),"PYN")</f>
        <v>PYN</v>
      </c>
      <c r="C6476" s="120" t="str">
        <f>IFERROR(__xludf.DUMMYFUNCTION("""COMPUTED_VALUE"""),"Payan")</f>
        <v>Payan</v>
      </c>
      <c r="D6476" s="120" t="str">
        <f>IFERROR(__xludf.DUMMYFUNCTION("""COMPUTED_VALUE"""),"Colombia")</f>
        <v>Colombia</v>
      </c>
      <c r="E6476" s="135"/>
      <c r="F6476" s="31"/>
    </row>
    <row r="6477">
      <c r="A6477" s="134" t="str">
        <f>IFERROR(__xludf.DUMMYFUNCTION("""COMPUTED_VALUE"""),"Paysandu")</f>
        <v>Paysandu</v>
      </c>
      <c r="B6477" s="120" t="str">
        <f>IFERROR(__xludf.DUMMYFUNCTION("""COMPUTED_VALUE"""),"PDU")</f>
        <v>PDU</v>
      </c>
      <c r="C6477" s="120" t="str">
        <f>IFERROR(__xludf.DUMMYFUNCTION("""COMPUTED_VALUE"""),"Paysandu")</f>
        <v>Paysandu</v>
      </c>
      <c r="D6477" s="120" t="str">
        <f>IFERROR(__xludf.DUMMYFUNCTION("""COMPUTED_VALUE"""),"Uruguay")</f>
        <v>Uruguay</v>
      </c>
      <c r="E6477" s="135"/>
      <c r="F6477" s="31"/>
    </row>
    <row r="6478">
      <c r="A6478" s="134" t="str">
        <f>IFERROR(__xludf.DUMMYFUNCTION("""COMPUTED_VALUE"""),"Payson")</f>
        <v>Payson</v>
      </c>
      <c r="B6478" s="120" t="str">
        <f>IFERROR(__xludf.DUMMYFUNCTION("""COMPUTED_VALUE"""),"PJB")</f>
        <v>PJB</v>
      </c>
      <c r="C6478" s="120" t="str">
        <f>IFERROR(__xludf.DUMMYFUNCTION("""COMPUTED_VALUE"""),"Payson")</f>
        <v>Payson</v>
      </c>
      <c r="D6478" s="120" t="str">
        <f>IFERROR(__xludf.DUMMYFUNCTION("""COMPUTED_VALUE"""),"United States")</f>
        <v>United States</v>
      </c>
      <c r="E6478" s="135"/>
      <c r="F6478" s="31"/>
    </row>
    <row r="6479">
      <c r="A6479" s="134" t="str">
        <f>IFERROR(__xludf.DUMMYFUNCTION("""COMPUTED_VALUE"""),"Paz De Ariporo")</f>
        <v>Paz De Ariporo</v>
      </c>
      <c r="B6479" s="120" t="str">
        <f>IFERROR(__xludf.DUMMYFUNCTION("""COMPUTED_VALUE"""),"PZA")</f>
        <v>PZA</v>
      </c>
      <c r="C6479" s="120" t="str">
        <f>IFERROR(__xludf.DUMMYFUNCTION("""COMPUTED_VALUE"""),"Casanare")</f>
        <v>Casanare</v>
      </c>
      <c r="D6479" s="120" t="str">
        <f>IFERROR(__xludf.DUMMYFUNCTION("""COMPUTED_VALUE"""),"Colombia")</f>
        <v>Colombia</v>
      </c>
      <c r="E6479" s="135"/>
      <c r="F6479" s="31"/>
    </row>
    <row r="6480">
      <c r="A6480" s="134" t="str">
        <f>IFERROR(__xludf.DUMMYFUNCTION("""COMPUTED_VALUE"""),"Peace River")</f>
        <v>Peace River</v>
      </c>
      <c r="B6480" s="120" t="str">
        <f>IFERROR(__xludf.DUMMYFUNCTION("""COMPUTED_VALUE"""),"YPE")</f>
        <v>YPE</v>
      </c>
      <c r="C6480" s="120" t="str">
        <f>IFERROR(__xludf.DUMMYFUNCTION("""COMPUTED_VALUE"""),"Peace River")</f>
        <v>Peace River</v>
      </c>
      <c r="D6480" s="120" t="str">
        <f>IFERROR(__xludf.DUMMYFUNCTION("""COMPUTED_VALUE"""),"Canada")</f>
        <v>Canada</v>
      </c>
      <c r="E6480" s="135"/>
      <c r="F6480" s="31"/>
    </row>
    <row r="6481">
      <c r="A6481" s="134" t="str">
        <f>IFERROR(__xludf.DUMMYFUNCTION("""COMPUTED_VALUE"""),"Peach Springs")</f>
        <v>Peach Springs</v>
      </c>
      <c r="B6481" s="120" t="str">
        <f>IFERROR(__xludf.DUMMYFUNCTION("""COMPUTED_VALUE"""),"PGS")</f>
        <v>PGS</v>
      </c>
      <c r="C6481" s="120" t="str">
        <f>IFERROR(__xludf.DUMMYFUNCTION("""COMPUTED_VALUE"""),"Peach Springs")</f>
        <v>Peach Springs</v>
      </c>
      <c r="D6481" s="120" t="str">
        <f>IFERROR(__xludf.DUMMYFUNCTION("""COMPUTED_VALUE"""),"United States")</f>
        <v>United States</v>
      </c>
      <c r="E6481" s="135"/>
      <c r="F6481" s="31"/>
    </row>
    <row r="6482">
      <c r="A6482" s="134" t="str">
        <f>IFERROR(__xludf.DUMMYFUNCTION("""COMPUTED_VALUE"""),"Peawanuck")</f>
        <v>Peawanuck</v>
      </c>
      <c r="B6482" s="120" t="str">
        <f>IFERROR(__xludf.DUMMYFUNCTION("""COMPUTED_VALUE"""),"YPO")</f>
        <v>YPO</v>
      </c>
      <c r="C6482" s="120" t="str">
        <f>IFERROR(__xludf.DUMMYFUNCTION("""COMPUTED_VALUE"""),"Peawanuck")</f>
        <v>Peawanuck</v>
      </c>
      <c r="D6482" s="120" t="str">
        <f>IFERROR(__xludf.DUMMYFUNCTION("""COMPUTED_VALUE"""),"Canada")</f>
        <v>Canada</v>
      </c>
      <c r="E6482" s="135"/>
      <c r="F6482" s="31"/>
    </row>
    <row r="6483">
      <c r="A6483" s="134" t="str">
        <f>IFERROR(__xludf.DUMMYFUNCTION("""COMPUTED_VALUE"""),"Pebane")</f>
        <v>Pebane</v>
      </c>
      <c r="B6483" s="120" t="str">
        <f>IFERROR(__xludf.DUMMYFUNCTION("""COMPUTED_VALUE"""),"PEB")</f>
        <v>PEB</v>
      </c>
      <c r="C6483" s="120" t="str">
        <f>IFERROR(__xludf.DUMMYFUNCTION("""COMPUTED_VALUE"""),"Pebane")</f>
        <v>Pebane</v>
      </c>
      <c r="D6483" s="120" t="str">
        <f>IFERROR(__xludf.DUMMYFUNCTION("""COMPUTED_VALUE"""),"Mozambique")</f>
        <v>Mozambique</v>
      </c>
      <c r="E6483" s="135"/>
      <c r="F6483" s="31"/>
    </row>
    <row r="6484">
      <c r="A6484" s="134" t="str">
        <f>IFERROR(__xludf.DUMMYFUNCTION("""COMPUTED_VALUE"""),"Pechora")</f>
        <v>Pechora</v>
      </c>
      <c r="B6484" s="120" t="str">
        <f>IFERROR(__xludf.DUMMYFUNCTION("""COMPUTED_VALUE"""),"PEX")</f>
        <v>PEX</v>
      </c>
      <c r="C6484" s="120" t="str">
        <f>IFERROR(__xludf.DUMMYFUNCTION("""COMPUTED_VALUE"""),"Pechora")</f>
        <v>Pechora</v>
      </c>
      <c r="D6484" s="120" t="str">
        <f>IFERROR(__xludf.DUMMYFUNCTION("""COMPUTED_VALUE"""),"Russia")</f>
        <v>Russia</v>
      </c>
      <c r="E6484" s="135"/>
      <c r="F6484" s="31"/>
    </row>
    <row r="6485">
      <c r="A6485" s="134" t="str">
        <f>IFERROR(__xludf.DUMMYFUNCTION("""COMPUTED_VALUE"""),"Pecos City")</f>
        <v>Pecos City</v>
      </c>
      <c r="B6485" s="120" t="str">
        <f>IFERROR(__xludf.DUMMYFUNCTION("""COMPUTED_VALUE"""),"PEQ")</f>
        <v>PEQ</v>
      </c>
      <c r="C6485" s="120" t="str">
        <f>IFERROR(__xludf.DUMMYFUNCTION("""COMPUTED_VALUE"""),"Pecos City")</f>
        <v>Pecos City</v>
      </c>
      <c r="D6485" s="120" t="str">
        <f>IFERROR(__xludf.DUMMYFUNCTION("""COMPUTED_VALUE"""),"United States")</f>
        <v>United States</v>
      </c>
      <c r="E6485" s="135"/>
      <c r="F6485" s="31"/>
    </row>
    <row r="6486">
      <c r="A6486" s="134" t="str">
        <f>IFERROR(__xludf.DUMMYFUNCTION("""COMPUTED_VALUE"""),"Pedernales")</f>
        <v>Pedernales</v>
      </c>
      <c r="B6486" s="120" t="str">
        <f>IFERROR(__xludf.DUMMYFUNCTION("""COMPUTED_VALUE"""),"PDZ")</f>
        <v>PDZ</v>
      </c>
      <c r="C6486" s="120" t="str">
        <f>IFERROR(__xludf.DUMMYFUNCTION("""COMPUTED_VALUE"""),"Pedernales")</f>
        <v>Pedernales</v>
      </c>
      <c r="D6486" s="120" t="str">
        <f>IFERROR(__xludf.DUMMYFUNCTION("""COMPUTED_VALUE"""),"Venezuela")</f>
        <v>Venezuela</v>
      </c>
      <c r="E6486" s="135"/>
      <c r="F6486" s="31"/>
    </row>
    <row r="6487">
      <c r="A6487" s="134" t="str">
        <f>IFERROR(__xludf.DUMMYFUNCTION("""COMPUTED_VALUE"""),"Pedro Bay")</f>
        <v>Pedro Bay</v>
      </c>
      <c r="B6487" s="120" t="str">
        <f>IFERROR(__xludf.DUMMYFUNCTION("""COMPUTED_VALUE"""),"PDB")</f>
        <v>PDB</v>
      </c>
      <c r="C6487" s="120" t="str">
        <f>IFERROR(__xludf.DUMMYFUNCTION("""COMPUTED_VALUE"""),"Pedro Bay")</f>
        <v>Pedro Bay</v>
      </c>
      <c r="D6487" s="120" t="str">
        <f>IFERROR(__xludf.DUMMYFUNCTION("""COMPUTED_VALUE"""),"United States")</f>
        <v>United States</v>
      </c>
      <c r="E6487" s="135"/>
      <c r="F6487" s="31"/>
    </row>
    <row r="6488">
      <c r="A6488" s="134" t="str">
        <f>IFERROR(__xludf.DUMMYFUNCTION("""COMPUTED_VALUE"""),"Pedro Juan Caballero")</f>
        <v>Pedro Juan Caballero</v>
      </c>
      <c r="B6488" s="120" t="str">
        <f>IFERROR(__xludf.DUMMYFUNCTION("""COMPUTED_VALUE"""),"PJC")</f>
        <v>PJC</v>
      </c>
      <c r="C6488" s="120" t="str">
        <f>IFERROR(__xludf.DUMMYFUNCTION("""COMPUTED_VALUE"""),"Pedro Juan Caballero")</f>
        <v>Pedro Juan Caballero</v>
      </c>
      <c r="D6488" s="120" t="str">
        <f>IFERROR(__xludf.DUMMYFUNCTION("""COMPUTED_VALUE"""),"Paraguay")</f>
        <v>Paraguay</v>
      </c>
      <c r="E6488" s="135"/>
      <c r="F6488" s="31"/>
    </row>
    <row r="6489">
      <c r="A6489" s="134" t="str">
        <f>IFERROR(__xludf.DUMMYFUNCTION("""COMPUTED_VALUE"""),"Peenemuende")</f>
        <v>Peenemuende</v>
      </c>
      <c r="B6489" s="120" t="str">
        <f>IFERROR(__xludf.DUMMYFUNCTION("""COMPUTED_VALUE"""),"PEF")</f>
        <v>PEF</v>
      </c>
      <c r="C6489" s="120" t="str">
        <f>IFERROR(__xludf.DUMMYFUNCTION("""COMPUTED_VALUE"""),"Peenemuende")</f>
        <v>Peenemuende</v>
      </c>
      <c r="D6489" s="120" t="str">
        <f>IFERROR(__xludf.DUMMYFUNCTION("""COMPUTED_VALUE"""),"Germany")</f>
        <v>Germany</v>
      </c>
      <c r="E6489" s="135"/>
      <c r="F6489" s="31"/>
    </row>
    <row r="6490">
      <c r="A6490" s="134" t="str">
        <f>IFERROR(__xludf.DUMMYFUNCTION("""COMPUTED_VALUE"""),"Pehuajo")</f>
        <v>Pehuajo</v>
      </c>
      <c r="B6490" s="120" t="str">
        <f>IFERROR(__xludf.DUMMYFUNCTION("""COMPUTED_VALUE"""),"PEH")</f>
        <v>PEH</v>
      </c>
      <c r="C6490" s="120" t="str">
        <f>IFERROR(__xludf.DUMMYFUNCTION("""COMPUTED_VALUE"""),"Pehuajo")</f>
        <v>Pehuajo</v>
      </c>
      <c r="D6490" s="120" t="str">
        <f>IFERROR(__xludf.DUMMYFUNCTION("""COMPUTED_VALUE"""),"Argentina")</f>
        <v>Argentina</v>
      </c>
      <c r="E6490" s="135"/>
      <c r="F6490" s="31"/>
    </row>
    <row r="6491">
      <c r="A6491" s="134" t="str">
        <f>IFERROR(__xludf.DUMMYFUNCTION("""COMPUTED_VALUE"""),"Pekanbaru")</f>
        <v>Pekanbaru</v>
      </c>
      <c r="B6491" s="120" t="str">
        <f>IFERROR(__xludf.DUMMYFUNCTION("""COMPUTED_VALUE"""),"PKU")</f>
        <v>PKU</v>
      </c>
      <c r="C6491" s="120" t="str">
        <f>IFERROR(__xludf.DUMMYFUNCTION("""COMPUTED_VALUE"""),"Simpang Tiga")</f>
        <v>Simpang Tiga</v>
      </c>
      <c r="D6491" s="120" t="str">
        <f>IFERROR(__xludf.DUMMYFUNCTION("""COMPUTED_VALUE"""),"Indonesia")</f>
        <v>Indonesia</v>
      </c>
      <c r="E6491" s="135"/>
      <c r="F6491" s="31"/>
    </row>
    <row r="6492">
      <c r="A6492" s="134" t="str">
        <f>IFERROR(__xludf.DUMMYFUNCTION("""COMPUTED_VALUE"""),"Pelaneng")</f>
        <v>Pelaneng</v>
      </c>
      <c r="B6492" s="120" t="str">
        <f>IFERROR(__xludf.DUMMYFUNCTION("""COMPUTED_VALUE"""),"PEL")</f>
        <v>PEL</v>
      </c>
      <c r="C6492" s="120" t="str">
        <f>IFERROR(__xludf.DUMMYFUNCTION("""COMPUTED_VALUE"""),"Pelaneng")</f>
        <v>Pelaneng</v>
      </c>
      <c r="D6492" s="120" t="str">
        <f>IFERROR(__xludf.DUMMYFUNCTION("""COMPUTED_VALUE"""),"Lesotho")</f>
        <v>Lesotho</v>
      </c>
      <c r="E6492" s="135"/>
      <c r="F6492" s="31"/>
    </row>
    <row r="6493">
      <c r="A6493" s="134" t="str">
        <f>IFERROR(__xludf.DUMMYFUNCTION("""COMPUTED_VALUE"""),"Pelican")</f>
        <v>Pelican</v>
      </c>
      <c r="B6493" s="120" t="str">
        <f>IFERROR(__xludf.DUMMYFUNCTION("""COMPUTED_VALUE"""),"PEC")</f>
        <v>PEC</v>
      </c>
      <c r="C6493" s="120" t="str">
        <f>IFERROR(__xludf.DUMMYFUNCTION("""COMPUTED_VALUE"""),"Pelican SPB")</f>
        <v>Pelican SPB</v>
      </c>
      <c r="D6493" s="120" t="str">
        <f>IFERROR(__xludf.DUMMYFUNCTION("""COMPUTED_VALUE"""),"United States")</f>
        <v>United States</v>
      </c>
      <c r="E6493" s="135"/>
      <c r="F6493" s="31"/>
    </row>
    <row r="6494">
      <c r="A6494" s="134" t="str">
        <f>IFERROR(__xludf.DUMMYFUNCTION("""COMPUTED_VALUE"""),"Pell City")</f>
        <v>Pell City</v>
      </c>
      <c r="B6494" s="120" t="str">
        <f>IFERROR(__xludf.DUMMYFUNCTION("""COMPUTED_VALUE"""),"PLR")</f>
        <v>PLR</v>
      </c>
      <c r="C6494" s="120" t="str">
        <f>IFERROR(__xludf.DUMMYFUNCTION("""COMPUTED_VALUE"""),"St Clair County")</f>
        <v>St Clair County</v>
      </c>
      <c r="D6494" s="120" t="str">
        <f>IFERROR(__xludf.DUMMYFUNCTION("""COMPUTED_VALUE"""),"United States")</f>
        <v>United States</v>
      </c>
      <c r="E6494" s="135"/>
      <c r="F6494" s="31"/>
    </row>
    <row r="6495">
      <c r="A6495" s="134" t="str">
        <f>IFERROR(__xludf.DUMMYFUNCTION("""COMPUTED_VALUE"""),"Pellston")</f>
        <v>Pellston</v>
      </c>
      <c r="B6495" s="120" t="str">
        <f>IFERROR(__xludf.DUMMYFUNCTION("""COMPUTED_VALUE"""),"PLN")</f>
        <v>PLN</v>
      </c>
      <c r="C6495" s="120" t="str">
        <f>IFERROR(__xludf.DUMMYFUNCTION("""COMPUTED_VALUE"""),"Emmet County")</f>
        <v>Emmet County</v>
      </c>
      <c r="D6495" s="120" t="str">
        <f>IFERROR(__xludf.DUMMYFUNCTION("""COMPUTED_VALUE"""),"United States")</f>
        <v>United States</v>
      </c>
      <c r="E6495" s="135"/>
      <c r="F6495" s="31"/>
    </row>
    <row r="6496">
      <c r="A6496" s="134" t="str">
        <f>IFERROR(__xludf.DUMMYFUNCTION("""COMPUTED_VALUE"""),"Pelotas")</f>
        <v>Pelotas</v>
      </c>
      <c r="B6496" s="120" t="str">
        <f>IFERROR(__xludf.DUMMYFUNCTION("""COMPUTED_VALUE"""),"PET")</f>
        <v>PET</v>
      </c>
      <c r="C6496" s="120" t="str">
        <f>IFERROR(__xludf.DUMMYFUNCTION("""COMPUTED_VALUE"""),"Federal")</f>
        <v>Federal</v>
      </c>
      <c r="D6496" s="120" t="str">
        <f>IFERROR(__xludf.DUMMYFUNCTION("""COMPUTED_VALUE"""),"Brazil")</f>
        <v>Brazil</v>
      </c>
      <c r="E6496" s="135"/>
      <c r="F6496" s="31"/>
    </row>
    <row r="6497">
      <c r="A6497" s="134" t="str">
        <f>IFERROR(__xludf.DUMMYFUNCTION("""COMPUTED_VALUE"""),"Pemba")</f>
        <v>Pemba</v>
      </c>
      <c r="B6497" s="120" t="str">
        <f>IFERROR(__xludf.DUMMYFUNCTION("""COMPUTED_VALUE"""),"POL")</f>
        <v>POL</v>
      </c>
      <c r="C6497" s="120" t="str">
        <f>IFERROR(__xludf.DUMMYFUNCTION("""COMPUTED_VALUE"""),"Pemba")</f>
        <v>Pemba</v>
      </c>
      <c r="D6497" s="120" t="str">
        <f>IFERROR(__xludf.DUMMYFUNCTION("""COMPUTED_VALUE"""),"Mozambique")</f>
        <v>Mozambique</v>
      </c>
      <c r="E6497" s="135"/>
      <c r="F6497" s="31"/>
    </row>
    <row r="6498">
      <c r="A6498" s="134" t="str">
        <f>IFERROR(__xludf.DUMMYFUNCTION("""COMPUTED_VALUE"""),"Pemba")</f>
        <v>Pemba</v>
      </c>
      <c r="B6498" s="120" t="str">
        <f>IFERROR(__xludf.DUMMYFUNCTION("""COMPUTED_VALUE"""),"PMA")</f>
        <v>PMA</v>
      </c>
      <c r="C6498" s="120" t="str">
        <f>IFERROR(__xludf.DUMMYFUNCTION("""COMPUTED_VALUE"""),"Wawi")</f>
        <v>Wawi</v>
      </c>
      <c r="D6498" s="120" t="str">
        <f>IFERROR(__xludf.DUMMYFUNCTION("""COMPUTED_VALUE"""),"Tanzania")</f>
        <v>Tanzania</v>
      </c>
      <c r="E6498" s="135"/>
      <c r="F6498" s="31"/>
    </row>
    <row r="6499">
      <c r="A6499" s="134" t="str">
        <f>IFERROR(__xludf.DUMMYFUNCTION("""COMPUTED_VALUE"""),"Pembina")</f>
        <v>Pembina</v>
      </c>
      <c r="B6499" s="120" t="str">
        <f>IFERROR(__xludf.DUMMYFUNCTION("""COMPUTED_VALUE"""),"PMB")</f>
        <v>PMB</v>
      </c>
      <c r="C6499" s="120" t="str">
        <f>IFERROR(__xludf.DUMMYFUNCTION("""COMPUTED_VALUE"""),"Intermediate")</f>
        <v>Intermediate</v>
      </c>
      <c r="D6499" s="120" t="str">
        <f>IFERROR(__xludf.DUMMYFUNCTION("""COMPUTED_VALUE"""),"United States")</f>
        <v>United States</v>
      </c>
      <c r="E6499" s="135"/>
      <c r="F6499" s="31"/>
    </row>
    <row r="6500">
      <c r="A6500" s="134" t="str">
        <f>IFERROR(__xludf.DUMMYFUNCTION("""COMPUTED_VALUE"""),"Pembroke")</f>
        <v>Pembroke</v>
      </c>
      <c r="B6500" s="120" t="str">
        <f>IFERROR(__xludf.DUMMYFUNCTION("""COMPUTED_VALUE"""),"YTA")</f>
        <v>YTA</v>
      </c>
      <c r="C6500" s="120" t="str">
        <f>IFERROR(__xludf.DUMMYFUNCTION("""COMPUTED_VALUE"""),"Pembroke And Area Apt")</f>
        <v>Pembroke And Area Apt</v>
      </c>
      <c r="D6500" s="120" t="str">
        <f>IFERROR(__xludf.DUMMYFUNCTION("""COMPUTED_VALUE"""),"Canada")</f>
        <v>Canada</v>
      </c>
      <c r="E6500" s="135"/>
      <c r="F6500" s="31"/>
    </row>
    <row r="6501">
      <c r="A6501" s="134" t="str">
        <f>IFERROR(__xludf.DUMMYFUNCTION("""COMPUTED_VALUE"""),"Penang")</f>
        <v>Penang</v>
      </c>
      <c r="B6501" s="120" t="str">
        <f>IFERROR(__xludf.DUMMYFUNCTION("""COMPUTED_VALUE"""),"PEN")</f>
        <v>PEN</v>
      </c>
      <c r="C6501" s="120" t="str">
        <f>IFERROR(__xludf.DUMMYFUNCTION("""COMPUTED_VALUE"""),"Penang International")</f>
        <v>Penang International</v>
      </c>
      <c r="D6501" s="120" t="str">
        <f>IFERROR(__xludf.DUMMYFUNCTION("""COMPUTED_VALUE"""),"Malaysia")</f>
        <v>Malaysia</v>
      </c>
      <c r="E6501" s="135"/>
      <c r="F6501" s="31"/>
    </row>
    <row r="6502">
      <c r="A6502" s="134" t="str">
        <f>IFERROR(__xludf.DUMMYFUNCTION("""COMPUTED_VALUE"""),"Penang")</f>
        <v>Penang</v>
      </c>
      <c r="B6502" s="120" t="str">
        <f>IFERROR(__xludf.DUMMYFUNCTION("""COMPUTED_VALUE"""),"ZJR")</f>
        <v>ZJR</v>
      </c>
      <c r="C6502" s="120" t="str">
        <f>IFERROR(__xludf.DUMMYFUNCTION("""COMPUTED_VALUE"""),"Penang Port")</f>
        <v>Penang Port</v>
      </c>
      <c r="D6502" s="120" t="str">
        <f>IFERROR(__xludf.DUMMYFUNCTION("""COMPUTED_VALUE"""),"Malaysia")</f>
        <v>Malaysia</v>
      </c>
      <c r="E6502" s="135"/>
      <c r="F6502" s="31"/>
    </row>
    <row r="6503">
      <c r="A6503" s="134" t="str">
        <f>IFERROR(__xludf.DUMMYFUNCTION("""COMPUTED_VALUE"""),"Pender Harbor")</f>
        <v>Pender Harbor</v>
      </c>
      <c r="B6503" s="120" t="str">
        <f>IFERROR(__xludf.DUMMYFUNCTION("""COMPUTED_VALUE"""),"YPT")</f>
        <v>YPT</v>
      </c>
      <c r="C6503" s="120" t="str">
        <f>IFERROR(__xludf.DUMMYFUNCTION("""COMPUTED_VALUE"""),"Pender Harbor")</f>
        <v>Pender Harbor</v>
      </c>
      <c r="D6503" s="120" t="str">
        <f>IFERROR(__xludf.DUMMYFUNCTION("""COMPUTED_VALUE"""),"Canada")</f>
        <v>Canada</v>
      </c>
      <c r="E6503" s="135"/>
      <c r="F6503" s="31"/>
    </row>
    <row r="6504">
      <c r="A6504" s="134" t="str">
        <f>IFERROR(__xludf.DUMMYFUNCTION("""COMPUTED_VALUE"""),"Pendleton")</f>
        <v>Pendleton</v>
      </c>
      <c r="B6504" s="120" t="str">
        <f>IFERROR(__xludf.DUMMYFUNCTION("""COMPUTED_VALUE"""),"PDT")</f>
        <v>PDT</v>
      </c>
      <c r="C6504" s="120" t="str">
        <f>IFERROR(__xludf.DUMMYFUNCTION("""COMPUTED_VALUE"""),"Pendleton")</f>
        <v>Pendleton</v>
      </c>
      <c r="D6504" s="120" t="str">
        <f>IFERROR(__xludf.DUMMYFUNCTION("""COMPUTED_VALUE"""),"United States")</f>
        <v>United States</v>
      </c>
      <c r="E6504" s="135"/>
      <c r="F6504" s="31"/>
    </row>
    <row r="6505">
      <c r="A6505" s="134" t="str">
        <f>IFERROR(__xludf.DUMMYFUNCTION("""COMPUTED_VALUE"""),"Pendopo")</f>
        <v>Pendopo</v>
      </c>
      <c r="B6505" s="120" t="str">
        <f>IFERROR(__xludf.DUMMYFUNCTION("""COMPUTED_VALUE"""),"PDO")</f>
        <v>PDO</v>
      </c>
      <c r="C6505" s="120" t="str">
        <f>IFERROR(__xludf.DUMMYFUNCTION("""COMPUTED_VALUE"""),"Pendopo")</f>
        <v>Pendopo</v>
      </c>
      <c r="D6505" s="120" t="str">
        <f>IFERROR(__xludf.DUMMYFUNCTION("""COMPUTED_VALUE"""),"Indonesia")</f>
        <v>Indonesia</v>
      </c>
      <c r="E6505" s="135"/>
      <c r="F6505" s="31"/>
    </row>
    <row r="6506">
      <c r="A6506" s="134" t="str">
        <f>IFERROR(__xludf.DUMMYFUNCTION("""COMPUTED_VALUE"""),"Peng Lai")</f>
        <v>Peng Lai</v>
      </c>
      <c r="B6506" s="120" t="str">
        <f>IFERROR(__xludf.DUMMYFUNCTION("""COMPUTED_VALUE"""),"PNJ")</f>
        <v>PNJ</v>
      </c>
      <c r="C6506" s="120" t="str">
        <f>IFERROR(__xludf.DUMMYFUNCTION("""COMPUTED_VALUE"""),"Peng Lai/Sha He Kou")</f>
        <v>Peng Lai/Sha He Kou</v>
      </c>
      <c r="D6506" s="120" t="str">
        <f>IFERROR(__xludf.DUMMYFUNCTION("""COMPUTED_VALUE"""),"China")</f>
        <v>China</v>
      </c>
      <c r="E6506" s="135"/>
      <c r="F6506" s="31"/>
    </row>
    <row r="6507">
      <c r="A6507" s="134" t="str">
        <f>IFERROR(__xludf.DUMMYFUNCTION("""COMPUTED_VALUE"""),"Penneshaw")</f>
        <v>Penneshaw</v>
      </c>
      <c r="B6507" s="120" t="str">
        <f>IFERROR(__xludf.DUMMYFUNCTION("""COMPUTED_VALUE"""),"PEA")</f>
        <v>PEA</v>
      </c>
      <c r="C6507" s="120" t="str">
        <f>IFERROR(__xludf.DUMMYFUNCTION("""COMPUTED_VALUE"""),"Penneshaw")</f>
        <v>Penneshaw</v>
      </c>
      <c r="D6507" s="120" t="str">
        <f>IFERROR(__xludf.DUMMYFUNCTION("""COMPUTED_VALUE"""),"Australia")</f>
        <v>Australia</v>
      </c>
      <c r="E6507" s="135"/>
      <c r="F6507" s="31"/>
    </row>
    <row r="6508">
      <c r="A6508" s="134" t="str">
        <f>IFERROR(__xludf.DUMMYFUNCTION("""COMPUTED_VALUE"""),"Penong")</f>
        <v>Penong</v>
      </c>
      <c r="B6508" s="120" t="str">
        <f>IFERROR(__xludf.DUMMYFUNCTION("""COMPUTED_VALUE"""),"PEY")</f>
        <v>PEY</v>
      </c>
      <c r="C6508" s="120" t="str">
        <f>IFERROR(__xludf.DUMMYFUNCTION("""COMPUTED_VALUE"""),"Penong")</f>
        <v>Penong</v>
      </c>
      <c r="D6508" s="120" t="str">
        <f>IFERROR(__xludf.DUMMYFUNCTION("""COMPUTED_VALUE"""),"Australia")</f>
        <v>Australia</v>
      </c>
      <c r="E6508" s="135"/>
      <c r="F6508" s="31"/>
    </row>
    <row r="6509">
      <c r="A6509" s="134" t="str">
        <f>IFERROR(__xludf.DUMMYFUNCTION("""COMPUTED_VALUE"""),"Penrhyn Island")</f>
        <v>Penrhyn Island</v>
      </c>
      <c r="B6509" s="120" t="str">
        <f>IFERROR(__xludf.DUMMYFUNCTION("""COMPUTED_VALUE"""),"PYE")</f>
        <v>PYE</v>
      </c>
      <c r="C6509" s="120" t="str">
        <f>IFERROR(__xludf.DUMMYFUNCTION("""COMPUTED_VALUE"""),"Penrhyn Island")</f>
        <v>Penrhyn Island</v>
      </c>
      <c r="D6509" s="120" t="str">
        <f>IFERROR(__xludf.DUMMYFUNCTION("""COMPUTED_VALUE"""),"Cook Islands")</f>
        <v>Cook Islands</v>
      </c>
      <c r="E6509" s="135"/>
      <c r="F6509" s="31"/>
    </row>
    <row r="6510">
      <c r="A6510" s="134" t="str">
        <f>IFERROR(__xludf.DUMMYFUNCTION("""COMPUTED_VALUE"""),"Pensacola")</f>
        <v>Pensacola</v>
      </c>
      <c r="B6510" s="120" t="str">
        <f>IFERROR(__xludf.DUMMYFUNCTION("""COMPUTED_VALUE"""),"NDP")</f>
        <v>NDP</v>
      </c>
      <c r="C6510" s="120" t="str">
        <f>IFERROR(__xludf.DUMMYFUNCTION("""COMPUTED_VALUE"""),"Ellyson NAS")</f>
        <v>Ellyson NAS</v>
      </c>
      <c r="D6510" s="120" t="str">
        <f>IFERROR(__xludf.DUMMYFUNCTION("""COMPUTED_VALUE"""),"United States")</f>
        <v>United States</v>
      </c>
      <c r="E6510" s="135"/>
      <c r="F6510" s="31"/>
    </row>
    <row r="6511">
      <c r="A6511" s="134" t="str">
        <f>IFERROR(__xludf.DUMMYFUNCTION("""COMPUTED_VALUE"""),"Pensacola")</f>
        <v>Pensacola</v>
      </c>
      <c r="B6511" s="120" t="str">
        <f>IFERROR(__xludf.DUMMYFUNCTION("""COMPUTED_VALUE"""),"NPA")</f>
        <v>NPA</v>
      </c>
      <c r="C6511" s="120" t="str">
        <f>IFERROR(__xludf.DUMMYFUNCTION("""COMPUTED_VALUE"""),"Pensacola NAS")</f>
        <v>Pensacola NAS</v>
      </c>
      <c r="D6511" s="120" t="str">
        <f>IFERROR(__xludf.DUMMYFUNCTION("""COMPUTED_VALUE"""),"United States")</f>
        <v>United States</v>
      </c>
      <c r="E6511" s="135"/>
      <c r="F6511" s="31"/>
    </row>
    <row r="6512">
      <c r="A6512" s="134" t="str">
        <f>IFERROR(__xludf.DUMMYFUNCTION("""COMPUTED_VALUE"""),"Pensacola")</f>
        <v>Pensacola</v>
      </c>
      <c r="B6512" s="120" t="str">
        <f>IFERROR(__xludf.DUMMYFUNCTION("""COMPUTED_VALUE"""),"PNS")</f>
        <v>PNS</v>
      </c>
      <c r="C6512" s="120" t="str">
        <f>IFERROR(__xludf.DUMMYFUNCTION("""COMPUTED_VALUE"""),"Regional")</f>
        <v>Regional</v>
      </c>
      <c r="D6512" s="120" t="str">
        <f>IFERROR(__xludf.DUMMYFUNCTION("""COMPUTED_VALUE"""),"United States")</f>
        <v>United States</v>
      </c>
      <c r="E6512" s="135"/>
      <c r="F6512" s="31"/>
    </row>
    <row r="6513">
      <c r="A6513" s="134" t="str">
        <f>IFERROR(__xludf.DUMMYFUNCTION("""COMPUTED_VALUE"""),"Pensacola")</f>
        <v>Pensacola</v>
      </c>
      <c r="B6513" s="120" t="str">
        <f>IFERROR(__xludf.DUMMYFUNCTION("""COMPUTED_VALUE"""),"NUN")</f>
        <v>NUN</v>
      </c>
      <c r="C6513" s="120" t="str">
        <f>IFERROR(__xludf.DUMMYFUNCTION("""COMPUTED_VALUE"""),"Saufley NAS")</f>
        <v>Saufley NAS</v>
      </c>
      <c r="D6513" s="120" t="str">
        <f>IFERROR(__xludf.DUMMYFUNCTION("""COMPUTED_VALUE"""),"United States")</f>
        <v>United States</v>
      </c>
      <c r="E6513" s="135"/>
      <c r="F6513" s="31"/>
    </row>
    <row r="6514">
      <c r="A6514" s="134" t="str">
        <f>IFERROR(__xludf.DUMMYFUNCTION("""COMPUTED_VALUE"""),"Penticton")</f>
        <v>Penticton</v>
      </c>
      <c r="B6514" s="120" t="str">
        <f>IFERROR(__xludf.DUMMYFUNCTION("""COMPUTED_VALUE"""),"YYF")</f>
        <v>YYF</v>
      </c>
      <c r="C6514" s="120" t="str">
        <f>IFERROR(__xludf.DUMMYFUNCTION("""COMPUTED_VALUE"""),"Penticton")</f>
        <v>Penticton</v>
      </c>
      <c r="D6514" s="120" t="str">
        <f>IFERROR(__xludf.DUMMYFUNCTION("""COMPUTED_VALUE"""),"Canada")</f>
        <v>Canada</v>
      </c>
      <c r="E6514" s="135"/>
      <c r="F6514" s="31"/>
    </row>
    <row r="6515">
      <c r="A6515" s="134" t="str">
        <f>IFERROR(__xludf.DUMMYFUNCTION("""COMPUTED_VALUE"""),"Penza")</f>
        <v>Penza</v>
      </c>
      <c r="B6515" s="120" t="str">
        <f>IFERROR(__xludf.DUMMYFUNCTION("""COMPUTED_VALUE"""),"PEZ")</f>
        <v>PEZ</v>
      </c>
      <c r="C6515" s="120" t="str">
        <f>IFERROR(__xludf.DUMMYFUNCTION("""COMPUTED_VALUE"""),"Penza")</f>
        <v>Penza</v>
      </c>
      <c r="D6515" s="120" t="str">
        <f>IFERROR(__xludf.DUMMYFUNCTION("""COMPUTED_VALUE"""),"Russia")</f>
        <v>Russia</v>
      </c>
      <c r="E6515" s="135"/>
      <c r="F6515" s="31"/>
    </row>
    <row r="6516">
      <c r="A6516" s="134" t="str">
        <f>IFERROR(__xludf.DUMMYFUNCTION("""COMPUTED_VALUE"""),"Penzance")</f>
        <v>Penzance</v>
      </c>
      <c r="B6516" s="120" t="str">
        <f>IFERROR(__xludf.DUMMYFUNCTION("""COMPUTED_VALUE"""),"PZE")</f>
        <v>PZE</v>
      </c>
      <c r="C6516" s="120" t="str">
        <f>IFERROR(__xludf.DUMMYFUNCTION("""COMPUTED_VALUE"""),"Penzance")</f>
        <v>Penzance</v>
      </c>
      <c r="D6516" s="120" t="str">
        <f>IFERROR(__xludf.DUMMYFUNCTION("""COMPUTED_VALUE"""),"United Kingdom")</f>
        <v>United Kingdom</v>
      </c>
      <c r="E6516" s="135"/>
      <c r="F6516" s="31"/>
    </row>
    <row r="6517">
      <c r="A6517" s="134" t="str">
        <f>IFERROR(__xludf.DUMMYFUNCTION("""COMPUTED_VALUE"""),"Peoria")</f>
        <v>Peoria</v>
      </c>
      <c r="B6517" s="120" t="str">
        <f>IFERROR(__xludf.DUMMYFUNCTION("""COMPUTED_VALUE"""),"PIA")</f>
        <v>PIA</v>
      </c>
      <c r="C6517" s="120" t="str">
        <f>IFERROR(__xludf.DUMMYFUNCTION("""COMPUTED_VALUE"""),"Greater Peoria")</f>
        <v>Greater Peoria</v>
      </c>
      <c r="D6517" s="120" t="str">
        <f>IFERROR(__xludf.DUMMYFUNCTION("""COMPUTED_VALUE"""),"United States")</f>
        <v>United States</v>
      </c>
      <c r="E6517" s="135"/>
      <c r="F6517" s="31"/>
    </row>
    <row r="6518">
      <c r="A6518" s="134" t="str">
        <f>IFERROR(__xludf.DUMMYFUNCTION("""COMPUTED_VALUE"""),"Peppers Palm Bay")</f>
        <v>Peppers Palm Bay</v>
      </c>
      <c r="B6518" s="120" t="str">
        <f>IFERROR(__xludf.DUMMYFUNCTION("""COMPUTED_VALUE"""),"PBY")</f>
        <v>PBY</v>
      </c>
      <c r="C6518" s="120" t="str">
        <f>IFERROR(__xludf.DUMMYFUNCTION("""COMPUTED_VALUE"""),"Hamilton/Proserpine")</f>
        <v>Hamilton/Proserpine</v>
      </c>
      <c r="D6518" s="120" t="str">
        <f>IFERROR(__xludf.DUMMYFUNCTION("""COMPUTED_VALUE"""),"Australia")</f>
        <v>Australia</v>
      </c>
      <c r="E6518" s="135"/>
      <c r="F6518" s="31"/>
    </row>
    <row r="6519">
      <c r="A6519" s="134" t="str">
        <f>IFERROR(__xludf.DUMMYFUNCTION("""COMPUTED_VALUE"""),"Peppimenarti")</f>
        <v>Peppimenarti</v>
      </c>
      <c r="B6519" s="120" t="str">
        <f>IFERROR(__xludf.DUMMYFUNCTION("""COMPUTED_VALUE"""),"PEP")</f>
        <v>PEP</v>
      </c>
      <c r="C6519" s="120" t="str">
        <f>IFERROR(__xludf.DUMMYFUNCTION("""COMPUTED_VALUE"""),"Peppimenarti")</f>
        <v>Peppimenarti</v>
      </c>
      <c r="D6519" s="120" t="str">
        <f>IFERROR(__xludf.DUMMYFUNCTION("""COMPUTED_VALUE"""),"Australia")</f>
        <v>Australia</v>
      </c>
      <c r="E6519" s="135"/>
      <c r="F6519" s="31"/>
    </row>
    <row r="6520">
      <c r="A6520" s="134" t="str">
        <f>IFERROR(__xludf.DUMMYFUNCTION("""COMPUTED_VALUE"""),"Peraitepuy")</f>
        <v>Peraitepuy</v>
      </c>
      <c r="B6520" s="120" t="str">
        <f>IFERROR(__xludf.DUMMYFUNCTION("""COMPUTED_VALUE"""),"PPH")</f>
        <v>PPH</v>
      </c>
      <c r="C6520" s="120" t="str">
        <f>IFERROR(__xludf.DUMMYFUNCTION("""COMPUTED_VALUE"""),"Peraitepuy")</f>
        <v>Peraitepuy</v>
      </c>
      <c r="D6520" s="120" t="str">
        <f>IFERROR(__xludf.DUMMYFUNCTION("""COMPUTED_VALUE"""),"Venezuela")</f>
        <v>Venezuela</v>
      </c>
      <c r="E6520" s="135"/>
      <c r="F6520" s="31"/>
    </row>
    <row r="6521">
      <c r="A6521" s="134" t="str">
        <f>IFERROR(__xludf.DUMMYFUNCTION("""COMPUTED_VALUE"""),"Pereira")</f>
        <v>Pereira</v>
      </c>
      <c r="B6521" s="120" t="str">
        <f>IFERROR(__xludf.DUMMYFUNCTION("""COMPUTED_VALUE"""),"PEI")</f>
        <v>PEI</v>
      </c>
      <c r="C6521" s="120" t="str">
        <f>IFERROR(__xludf.DUMMYFUNCTION("""COMPUTED_VALUE"""),"Matecana")</f>
        <v>Matecana</v>
      </c>
      <c r="D6521" s="120" t="str">
        <f>IFERROR(__xludf.DUMMYFUNCTION("""COMPUTED_VALUE"""),"Colombia")</f>
        <v>Colombia</v>
      </c>
      <c r="E6521" s="135"/>
      <c r="F6521" s="31"/>
    </row>
    <row r="6522">
      <c r="A6522" s="134" t="str">
        <f>IFERROR(__xludf.DUMMYFUNCTION("""COMPUTED_VALUE"""),"Perigueux")</f>
        <v>Perigueux</v>
      </c>
      <c r="B6522" s="120" t="str">
        <f>IFERROR(__xludf.DUMMYFUNCTION("""COMPUTED_VALUE"""),"PGX")</f>
        <v>PGX</v>
      </c>
      <c r="C6522" s="120" t="str">
        <f>IFERROR(__xludf.DUMMYFUNCTION("""COMPUTED_VALUE"""),"Perigueux")</f>
        <v>Perigueux</v>
      </c>
      <c r="D6522" s="120" t="str">
        <f>IFERROR(__xludf.DUMMYFUNCTION("""COMPUTED_VALUE"""),"France")</f>
        <v>France</v>
      </c>
      <c r="E6522" s="135"/>
      <c r="F6522" s="31"/>
    </row>
    <row r="6523">
      <c r="A6523" s="134" t="str">
        <f>IFERROR(__xludf.DUMMYFUNCTION("""COMPUTED_VALUE"""),"Perito Moreno")</f>
        <v>Perito Moreno</v>
      </c>
      <c r="B6523" s="120" t="str">
        <f>IFERROR(__xludf.DUMMYFUNCTION("""COMPUTED_VALUE"""),"PMQ")</f>
        <v>PMQ</v>
      </c>
      <c r="C6523" s="120" t="str">
        <f>IFERROR(__xludf.DUMMYFUNCTION("""COMPUTED_VALUE"""),"Perito Moreno")</f>
        <v>Perito Moreno</v>
      </c>
      <c r="D6523" s="120" t="str">
        <f>IFERROR(__xludf.DUMMYFUNCTION("""COMPUTED_VALUE"""),"Argentina")</f>
        <v>Argentina</v>
      </c>
      <c r="E6523" s="135"/>
      <c r="F6523" s="31"/>
    </row>
    <row r="6524">
      <c r="A6524" s="134" t="str">
        <f>IFERROR(__xludf.DUMMYFUNCTION("""COMPUTED_VALUE"""),"Perm")</f>
        <v>Perm</v>
      </c>
      <c r="B6524" s="120" t="str">
        <f>IFERROR(__xludf.DUMMYFUNCTION("""COMPUTED_VALUE"""),"PEE")</f>
        <v>PEE</v>
      </c>
      <c r="C6524" s="120" t="str">
        <f>IFERROR(__xludf.DUMMYFUNCTION("""COMPUTED_VALUE"""),"Perm")</f>
        <v>Perm</v>
      </c>
      <c r="D6524" s="120" t="str">
        <f>IFERROR(__xludf.DUMMYFUNCTION("""COMPUTED_VALUE"""),"Russia")</f>
        <v>Russia</v>
      </c>
      <c r="E6524" s="135"/>
      <c r="F6524" s="31"/>
    </row>
    <row r="6525">
      <c r="A6525" s="134" t="str">
        <f>IFERROR(__xludf.DUMMYFUNCTION("""COMPUTED_VALUE"""),"Perpignan")</f>
        <v>Perpignan</v>
      </c>
      <c r="B6525" s="120" t="str">
        <f>IFERROR(__xludf.DUMMYFUNCTION("""COMPUTED_VALUE"""),"PGF")</f>
        <v>PGF</v>
      </c>
      <c r="C6525" s="120" t="str">
        <f>IFERROR(__xludf.DUMMYFUNCTION("""COMPUTED_VALUE"""),"Llabanere")</f>
        <v>Llabanere</v>
      </c>
      <c r="D6525" s="120" t="str">
        <f>IFERROR(__xludf.DUMMYFUNCTION("""COMPUTED_VALUE"""),"France")</f>
        <v>France</v>
      </c>
      <c r="E6525" s="135"/>
      <c r="F6525" s="31"/>
    </row>
    <row r="6526">
      <c r="A6526" s="134" t="str">
        <f>IFERROR(__xludf.DUMMYFUNCTION("""COMPUTED_VALUE"""),"Perry")</f>
        <v>Perry</v>
      </c>
      <c r="B6526" s="120" t="str">
        <f>IFERROR(__xludf.DUMMYFUNCTION("""COMPUTED_VALUE"""),"FPY")</f>
        <v>FPY</v>
      </c>
      <c r="C6526" s="120" t="str">
        <f>IFERROR(__xludf.DUMMYFUNCTION("""COMPUTED_VALUE"""),"Perry-Foley")</f>
        <v>Perry-Foley</v>
      </c>
      <c r="D6526" s="120" t="str">
        <f>IFERROR(__xludf.DUMMYFUNCTION("""COMPUTED_VALUE"""),"United States")</f>
        <v>United States</v>
      </c>
      <c r="E6526" s="135"/>
      <c r="F6526" s="31"/>
    </row>
    <row r="6527">
      <c r="A6527" s="134" t="str">
        <f>IFERROR(__xludf.DUMMYFUNCTION("""COMPUTED_VALUE"""),"Perry")</f>
        <v>Perry</v>
      </c>
      <c r="B6527" s="120" t="str">
        <f>IFERROR(__xludf.DUMMYFUNCTION("""COMPUTED_VALUE"""),"PRO")</f>
        <v>PRO</v>
      </c>
      <c r="C6527" s="120" t="str">
        <f>IFERROR(__xludf.DUMMYFUNCTION("""COMPUTED_VALUE"""),"Municipal")</f>
        <v>Municipal</v>
      </c>
      <c r="D6527" s="120" t="str">
        <f>IFERROR(__xludf.DUMMYFUNCTION("""COMPUTED_VALUE"""),"United States")</f>
        <v>United States</v>
      </c>
      <c r="E6527" s="135"/>
      <c r="F6527" s="31"/>
    </row>
    <row r="6528">
      <c r="A6528" s="134" t="str">
        <f>IFERROR(__xludf.DUMMYFUNCTION("""COMPUTED_VALUE"""),"Perry Island")</f>
        <v>Perry Island</v>
      </c>
      <c r="B6528" s="120" t="str">
        <f>IFERROR(__xludf.DUMMYFUNCTION("""COMPUTED_VALUE"""),"PYL")</f>
        <v>PYL</v>
      </c>
      <c r="C6528" s="120" t="str">
        <f>IFERROR(__xludf.DUMMYFUNCTION("""COMPUTED_VALUE"""),"Perry SPB")</f>
        <v>Perry SPB</v>
      </c>
      <c r="D6528" s="120" t="str">
        <f>IFERROR(__xludf.DUMMYFUNCTION("""COMPUTED_VALUE"""),"United States")</f>
        <v>United States</v>
      </c>
      <c r="E6528" s="135"/>
      <c r="F6528" s="31"/>
    </row>
    <row r="6529">
      <c r="A6529" s="134" t="str">
        <f>IFERROR(__xludf.DUMMYFUNCTION("""COMPUTED_VALUE"""),"Perryville")</f>
        <v>Perryville</v>
      </c>
      <c r="B6529" s="120" t="str">
        <f>IFERROR(__xludf.DUMMYFUNCTION("""COMPUTED_VALUE"""),"KPV")</f>
        <v>KPV</v>
      </c>
      <c r="C6529" s="120" t="str">
        <f>IFERROR(__xludf.DUMMYFUNCTION("""COMPUTED_VALUE"""),"Perryville SPB")</f>
        <v>Perryville SPB</v>
      </c>
      <c r="D6529" s="120" t="str">
        <f>IFERROR(__xludf.DUMMYFUNCTION("""COMPUTED_VALUE"""),"United States")</f>
        <v>United States</v>
      </c>
      <c r="E6529" s="135"/>
      <c r="F6529" s="31"/>
    </row>
    <row r="6530">
      <c r="A6530" s="134" t="str">
        <f>IFERROR(__xludf.DUMMYFUNCTION("""COMPUTED_VALUE"""),"Perth")</f>
        <v>Perth</v>
      </c>
      <c r="B6530" s="120" t="str">
        <f>IFERROR(__xludf.DUMMYFUNCTION("""COMPUTED_VALUE"""),"PSL")</f>
        <v>PSL</v>
      </c>
      <c r="C6530" s="120" t="str">
        <f>IFERROR(__xludf.DUMMYFUNCTION("""COMPUTED_VALUE"""),"Perth")</f>
        <v>Perth</v>
      </c>
      <c r="D6530" s="120" t="str">
        <f>IFERROR(__xludf.DUMMYFUNCTION("""COMPUTED_VALUE"""),"United Kingdom")</f>
        <v>United Kingdom</v>
      </c>
      <c r="E6530" s="135"/>
      <c r="F6530" s="31"/>
    </row>
    <row r="6531">
      <c r="A6531" s="134" t="str">
        <f>IFERROR(__xludf.DUMMYFUNCTION("""COMPUTED_VALUE"""),"Perth")</f>
        <v>Perth</v>
      </c>
      <c r="B6531" s="120" t="str">
        <f>IFERROR(__xludf.DUMMYFUNCTION("""COMPUTED_VALUE"""),"ZXP")</f>
        <v>ZXP</v>
      </c>
      <c r="C6531" s="120" t="str">
        <f>IFERROR(__xludf.DUMMYFUNCTION("""COMPUTED_VALUE"""),"ScotRail")</f>
        <v>ScotRail</v>
      </c>
      <c r="D6531" s="120" t="str">
        <f>IFERROR(__xludf.DUMMYFUNCTION("""COMPUTED_VALUE"""),"United Kingdom")</f>
        <v>United Kingdom</v>
      </c>
      <c r="E6531" s="135"/>
      <c r="F6531" s="31"/>
    </row>
    <row r="6532">
      <c r="A6532" s="134" t="str">
        <f>IFERROR(__xludf.DUMMYFUNCTION("""COMPUTED_VALUE"""),"Perth")</f>
        <v>Perth</v>
      </c>
      <c r="B6532" s="120" t="str">
        <f>IFERROR(__xludf.DUMMYFUNCTION("""COMPUTED_VALUE"""),"PER")</f>
        <v>PER</v>
      </c>
      <c r="C6532" s="120" t="str">
        <f>IFERROR(__xludf.DUMMYFUNCTION("""COMPUTED_VALUE"""),"Perth Airport")</f>
        <v>Perth Airport</v>
      </c>
      <c r="D6532" s="120" t="str">
        <f>IFERROR(__xludf.DUMMYFUNCTION("""COMPUTED_VALUE"""),"Australia")</f>
        <v>Australia</v>
      </c>
      <c r="E6532" s="135"/>
      <c r="F6532" s="31"/>
    </row>
    <row r="6533">
      <c r="A6533" s="134" t="str">
        <f>IFERROR(__xludf.DUMMYFUNCTION("""COMPUTED_VALUE"""),"Peru")</f>
        <v>Peru</v>
      </c>
      <c r="B6533" s="120" t="str">
        <f>IFERROR(__xludf.DUMMYFUNCTION("""COMPUTED_VALUE"""),"VYS")</f>
        <v>VYS</v>
      </c>
      <c r="C6533" s="120" t="str">
        <f>IFERROR(__xludf.DUMMYFUNCTION("""COMPUTED_VALUE"""),"Illinois Valley Regnl")</f>
        <v>Illinois Valley Regnl</v>
      </c>
      <c r="D6533" s="120" t="str">
        <f>IFERROR(__xludf.DUMMYFUNCTION("""COMPUTED_VALUE"""),"United States")</f>
        <v>United States</v>
      </c>
      <c r="E6533" s="135"/>
      <c r="F6533" s="31"/>
    </row>
    <row r="6534">
      <c r="A6534" s="134" t="str">
        <f>IFERROR(__xludf.DUMMYFUNCTION("""COMPUTED_VALUE"""),"Peru")</f>
        <v>Peru</v>
      </c>
      <c r="B6534" s="120" t="str">
        <f>IFERROR(__xludf.DUMMYFUNCTION("""COMPUTED_VALUE"""),"GUS")</f>
        <v>GUS</v>
      </c>
      <c r="C6534" s="120" t="str">
        <f>IFERROR(__xludf.DUMMYFUNCTION("""COMPUTED_VALUE"""),"Grissom AFB")</f>
        <v>Grissom AFB</v>
      </c>
      <c r="D6534" s="120" t="str">
        <f>IFERROR(__xludf.DUMMYFUNCTION("""COMPUTED_VALUE"""),"United States")</f>
        <v>United States</v>
      </c>
      <c r="E6534" s="135"/>
      <c r="F6534" s="31"/>
    </row>
    <row r="6535">
      <c r="A6535" s="134" t="str">
        <f>IFERROR(__xludf.DUMMYFUNCTION("""COMPUTED_VALUE"""),"Perugia")</f>
        <v>Perugia</v>
      </c>
      <c r="B6535" s="120" t="str">
        <f>IFERROR(__xludf.DUMMYFUNCTION("""COMPUTED_VALUE"""),"PEG")</f>
        <v>PEG</v>
      </c>
      <c r="C6535" s="120" t="str">
        <f>IFERROR(__xludf.DUMMYFUNCTION("""COMPUTED_VALUE"""),"Sant Egidio")</f>
        <v>Sant Egidio</v>
      </c>
      <c r="D6535" s="120" t="str">
        <f>IFERROR(__xludf.DUMMYFUNCTION("""COMPUTED_VALUE"""),"Italy")</f>
        <v>Italy</v>
      </c>
      <c r="E6535" s="135"/>
      <c r="F6535" s="31"/>
    </row>
    <row r="6536">
      <c r="A6536" s="134" t="str">
        <f>IFERROR(__xludf.DUMMYFUNCTION("""COMPUTED_VALUE"""),"Pescara")</f>
        <v>Pescara</v>
      </c>
      <c r="B6536" s="120" t="str">
        <f>IFERROR(__xludf.DUMMYFUNCTION("""COMPUTED_VALUE"""),"PSR")</f>
        <v>PSR</v>
      </c>
      <c r="C6536" s="120" t="str">
        <f>IFERROR(__xludf.DUMMYFUNCTION("""COMPUTED_VALUE"""),"Liberi")</f>
        <v>Liberi</v>
      </c>
      <c r="D6536" s="120" t="str">
        <f>IFERROR(__xludf.DUMMYFUNCTION("""COMPUTED_VALUE"""),"Italy")</f>
        <v>Italy</v>
      </c>
      <c r="E6536" s="135"/>
      <c r="F6536" s="31"/>
    </row>
    <row r="6537">
      <c r="A6537" s="134" t="str">
        <f>IFERROR(__xludf.DUMMYFUNCTION("""COMPUTED_VALUE"""),"Peschiei")</f>
        <v>Peschiei</v>
      </c>
      <c r="B6537" s="120" t="str">
        <f>IFERROR(__xludf.DUMMYFUNCTION("""COMPUTED_VALUE"""),"PEJ")</f>
        <v>PEJ</v>
      </c>
      <c r="C6537" s="120" t="str">
        <f>IFERROR(__xludf.DUMMYFUNCTION("""COMPUTED_VALUE"""),"Peschiei")</f>
        <v>Peschiei</v>
      </c>
      <c r="D6537" s="120" t="str">
        <f>IFERROR(__xludf.DUMMYFUNCTION("""COMPUTED_VALUE"""),"Italy")</f>
        <v>Italy</v>
      </c>
      <c r="E6537" s="135"/>
      <c r="F6537" s="31"/>
    </row>
    <row r="6538">
      <c r="A6538" s="134" t="str">
        <f>IFERROR(__xludf.DUMMYFUNCTION("""COMPUTED_VALUE"""),"Peshawar")</f>
        <v>Peshawar</v>
      </c>
      <c r="B6538" s="120" t="str">
        <f>IFERROR(__xludf.DUMMYFUNCTION("""COMPUTED_VALUE"""),"PEW")</f>
        <v>PEW</v>
      </c>
      <c r="C6538" s="120" t="str">
        <f>IFERROR(__xludf.DUMMYFUNCTION("""COMPUTED_VALUE"""),"Peshawar")</f>
        <v>Peshawar</v>
      </c>
      <c r="D6538" s="120" t="str">
        <f>IFERROR(__xludf.DUMMYFUNCTION("""COMPUTED_VALUE"""),"Pakistan")</f>
        <v>Pakistan</v>
      </c>
      <c r="E6538" s="135"/>
      <c r="F6538" s="31"/>
    </row>
    <row r="6539">
      <c r="A6539" s="134" t="str">
        <f>IFERROR(__xludf.DUMMYFUNCTION("""COMPUTED_VALUE"""),"Petawawa")</f>
        <v>Petawawa</v>
      </c>
      <c r="B6539" s="120" t="str">
        <f>IFERROR(__xludf.DUMMYFUNCTION("""COMPUTED_VALUE"""),"YWA")</f>
        <v>YWA</v>
      </c>
      <c r="C6539" s="120" t="str">
        <f>IFERROR(__xludf.DUMMYFUNCTION("""COMPUTED_VALUE"""),"Petawawa")</f>
        <v>Petawawa</v>
      </c>
      <c r="D6539" s="120" t="str">
        <f>IFERROR(__xludf.DUMMYFUNCTION("""COMPUTED_VALUE"""),"Canada")</f>
        <v>Canada</v>
      </c>
      <c r="E6539" s="135"/>
      <c r="F6539" s="31"/>
    </row>
    <row r="6540">
      <c r="A6540" s="134" t="str">
        <f>IFERROR(__xludf.DUMMYFUNCTION("""COMPUTED_VALUE"""),"Peterborough")</f>
        <v>Peterborough</v>
      </c>
      <c r="B6540" s="120" t="str">
        <f>IFERROR(__xludf.DUMMYFUNCTION("""COMPUTED_VALUE"""),"YPQ")</f>
        <v>YPQ</v>
      </c>
      <c r="C6540" s="120" t="str">
        <f>IFERROR(__xludf.DUMMYFUNCTION("""COMPUTED_VALUE"""),"Peterborough")</f>
        <v>Peterborough</v>
      </c>
      <c r="D6540" s="120" t="str">
        <f>IFERROR(__xludf.DUMMYFUNCTION("""COMPUTED_VALUE"""),"Canada")</f>
        <v>Canada</v>
      </c>
      <c r="E6540" s="135"/>
      <c r="F6540" s="31"/>
    </row>
    <row r="6541">
      <c r="A6541" s="134" t="str">
        <f>IFERROR(__xludf.DUMMYFUNCTION("""COMPUTED_VALUE"""),"Petersburg")</f>
        <v>Petersburg</v>
      </c>
      <c r="B6541" s="120" t="str">
        <f>IFERROR(__xludf.DUMMYFUNCTION("""COMPUTED_VALUE"""),"PSG")</f>
        <v>PSG</v>
      </c>
      <c r="C6541" s="120" t="str">
        <f>IFERROR(__xludf.DUMMYFUNCTION("""COMPUTED_VALUE"""),"Municipal")</f>
        <v>Municipal</v>
      </c>
      <c r="D6541" s="120" t="str">
        <f>IFERROR(__xludf.DUMMYFUNCTION("""COMPUTED_VALUE"""),"United States")</f>
        <v>United States</v>
      </c>
      <c r="E6541" s="135"/>
      <c r="F6541" s="31"/>
    </row>
    <row r="6542">
      <c r="A6542" s="134" t="str">
        <f>IFERROR(__xludf.DUMMYFUNCTION("""COMPUTED_VALUE"""),"Petersburg")</f>
        <v>Petersburg</v>
      </c>
      <c r="B6542" s="120" t="str">
        <f>IFERROR(__xludf.DUMMYFUNCTION("""COMPUTED_VALUE"""),"FLE")</f>
        <v>FLE</v>
      </c>
      <c r="C6542" s="120" t="str">
        <f>IFERROR(__xludf.DUMMYFUNCTION("""COMPUTED_VALUE"""),"Fort Lee AAF")</f>
        <v>Fort Lee AAF</v>
      </c>
      <c r="D6542" s="120" t="str">
        <f>IFERROR(__xludf.DUMMYFUNCTION("""COMPUTED_VALUE"""),"United States")</f>
        <v>United States</v>
      </c>
      <c r="E6542" s="135"/>
      <c r="F6542" s="31"/>
    </row>
    <row r="6543">
      <c r="A6543" s="134" t="str">
        <f>IFERROR(__xludf.DUMMYFUNCTION("""COMPUTED_VALUE"""),"Petersburg")</f>
        <v>Petersburg</v>
      </c>
      <c r="B6543" s="120" t="str">
        <f>IFERROR(__xludf.DUMMYFUNCTION("""COMPUTED_VALUE"""),"PTB")</f>
        <v>PTB</v>
      </c>
      <c r="C6543" s="120" t="str">
        <f>IFERROR(__xludf.DUMMYFUNCTION("""COMPUTED_VALUE"""),"Municipal")</f>
        <v>Municipal</v>
      </c>
      <c r="D6543" s="120" t="str">
        <f>IFERROR(__xludf.DUMMYFUNCTION("""COMPUTED_VALUE"""),"United States")</f>
        <v>United States</v>
      </c>
      <c r="E6543" s="135"/>
      <c r="F6543" s="31"/>
    </row>
    <row r="6544">
      <c r="A6544" s="134" t="str">
        <f>IFERROR(__xludf.DUMMYFUNCTION("""COMPUTED_VALUE"""),"Petersburg")</f>
        <v>Petersburg</v>
      </c>
      <c r="B6544" s="120" t="str">
        <f>IFERROR(__xludf.DUMMYFUNCTION("""COMPUTED_VALUE"""),"PGC")</f>
        <v>PGC</v>
      </c>
      <c r="C6544" s="120" t="str">
        <f>IFERROR(__xludf.DUMMYFUNCTION("""COMPUTED_VALUE"""),"Grant County")</f>
        <v>Grant County</v>
      </c>
      <c r="D6544" s="120" t="str">
        <f>IFERROR(__xludf.DUMMYFUNCTION("""COMPUTED_VALUE"""),"United States")</f>
        <v>United States</v>
      </c>
      <c r="E6544" s="135"/>
      <c r="F6544" s="31"/>
    </row>
    <row r="6545">
      <c r="A6545" s="134" t="str">
        <f>IFERROR(__xludf.DUMMYFUNCTION("""COMPUTED_VALUE"""),"Petrolina")</f>
        <v>Petrolina</v>
      </c>
      <c r="B6545" s="120" t="str">
        <f>IFERROR(__xludf.DUMMYFUNCTION("""COMPUTED_VALUE"""),"PNZ")</f>
        <v>PNZ</v>
      </c>
      <c r="C6545" s="120" t="str">
        <f>IFERROR(__xludf.DUMMYFUNCTION("""COMPUTED_VALUE"""),"Internacional")</f>
        <v>Internacional</v>
      </c>
      <c r="D6545" s="120" t="str">
        <f>IFERROR(__xludf.DUMMYFUNCTION("""COMPUTED_VALUE"""),"Brazil")</f>
        <v>Brazil</v>
      </c>
      <c r="E6545" s="135"/>
      <c r="F6545" s="31"/>
    </row>
    <row r="6546">
      <c r="A6546" s="134" t="str">
        <f>IFERROR(__xludf.DUMMYFUNCTION("""COMPUTED_VALUE"""),"Petropavlovsk")</f>
        <v>Petropavlovsk</v>
      </c>
      <c r="B6546" s="120" t="str">
        <f>IFERROR(__xludf.DUMMYFUNCTION("""COMPUTED_VALUE"""),"PPK")</f>
        <v>PPK</v>
      </c>
      <c r="C6546" s="120" t="str">
        <f>IFERROR(__xludf.DUMMYFUNCTION("""COMPUTED_VALUE"""),"Petropavlovsk")</f>
        <v>Petropavlovsk</v>
      </c>
      <c r="D6546" s="120" t="str">
        <f>IFERROR(__xludf.DUMMYFUNCTION("""COMPUTED_VALUE"""),"Kazakhstan")</f>
        <v>Kazakhstan</v>
      </c>
      <c r="E6546" s="135"/>
      <c r="F6546" s="31"/>
    </row>
    <row r="6547">
      <c r="A6547" s="134" t="str">
        <f>IFERROR(__xludf.DUMMYFUNCTION("""COMPUTED_VALUE"""),"Petropavlovsk-Kamchats")</f>
        <v>Petropavlovsk-Kamchats</v>
      </c>
      <c r="B6547" s="120" t="str">
        <f>IFERROR(__xludf.DUMMYFUNCTION("""COMPUTED_VALUE"""),"PKC")</f>
        <v>PKC</v>
      </c>
      <c r="C6547" s="120" t="str">
        <f>IFERROR(__xludf.DUMMYFUNCTION("""COMPUTED_VALUE"""),"Petropavlovsk-Kamchats")</f>
        <v>Petropavlovsk-Kamchats</v>
      </c>
      <c r="D6547" s="120" t="str">
        <f>IFERROR(__xludf.DUMMYFUNCTION("""COMPUTED_VALUE"""),"Russia")</f>
        <v>Russia</v>
      </c>
      <c r="E6547" s="135"/>
      <c r="F6547" s="31"/>
    </row>
    <row r="6548">
      <c r="A6548" s="134" t="str">
        <f>IFERROR(__xludf.DUMMYFUNCTION("""COMPUTED_VALUE"""),"Petrozavodsk")</f>
        <v>Petrozavodsk</v>
      </c>
      <c r="B6548" s="120" t="str">
        <f>IFERROR(__xludf.DUMMYFUNCTION("""COMPUTED_VALUE"""),"PES")</f>
        <v>PES</v>
      </c>
      <c r="C6548" s="120" t="str">
        <f>IFERROR(__xludf.DUMMYFUNCTION("""COMPUTED_VALUE"""),"Petrozavodsk")</f>
        <v>Petrozavodsk</v>
      </c>
      <c r="D6548" s="120" t="str">
        <f>IFERROR(__xludf.DUMMYFUNCTION("""COMPUTED_VALUE"""),"Russia")</f>
        <v>Russia</v>
      </c>
      <c r="E6548" s="135"/>
      <c r="F6548" s="31"/>
    </row>
    <row r="6549">
      <c r="A6549" s="134" t="str">
        <f>IFERROR(__xludf.DUMMYFUNCTION("""COMPUTED_VALUE"""),"Pevek")</f>
        <v>Pevek</v>
      </c>
      <c r="B6549" s="120" t="str">
        <f>IFERROR(__xludf.DUMMYFUNCTION("""COMPUTED_VALUE"""),"PWE")</f>
        <v>PWE</v>
      </c>
      <c r="C6549" s="120" t="str">
        <f>IFERROR(__xludf.DUMMYFUNCTION("""COMPUTED_VALUE"""),"Pevek")</f>
        <v>Pevek</v>
      </c>
      <c r="D6549" s="120" t="str">
        <f>IFERROR(__xludf.DUMMYFUNCTION("""COMPUTED_VALUE"""),"Russia")</f>
        <v>Russia</v>
      </c>
      <c r="E6549" s="135"/>
      <c r="F6549" s="31"/>
    </row>
    <row r="6550">
      <c r="A6550" s="134" t="str">
        <f>IFERROR(__xludf.DUMMYFUNCTION("""COMPUTED_VALUE"""),"Pforheim")</f>
        <v>Pforheim</v>
      </c>
      <c r="B6550" s="120" t="str">
        <f>IFERROR(__xludf.DUMMYFUNCTION("""COMPUTED_VALUE"""),"UPF")</f>
        <v>UPF</v>
      </c>
      <c r="C6550" s="120" t="str">
        <f>IFERROR(__xludf.DUMMYFUNCTION("""COMPUTED_VALUE"""),"Pforheim")</f>
        <v>Pforheim</v>
      </c>
      <c r="D6550" s="120" t="str">
        <f>IFERROR(__xludf.DUMMYFUNCTION("""COMPUTED_VALUE"""),"Germany")</f>
        <v>Germany</v>
      </c>
      <c r="E6550" s="135"/>
      <c r="F6550" s="31"/>
    </row>
    <row r="6551">
      <c r="A6551" s="134" t="str">
        <f>IFERROR(__xludf.DUMMYFUNCTION("""COMPUTED_VALUE"""),"Phalaborwa")</f>
        <v>Phalaborwa</v>
      </c>
      <c r="B6551" s="120" t="str">
        <f>IFERROR(__xludf.DUMMYFUNCTION("""COMPUTED_VALUE"""),"PHW")</f>
        <v>PHW</v>
      </c>
      <c r="C6551" s="120" t="str">
        <f>IFERROR(__xludf.DUMMYFUNCTION("""COMPUTED_VALUE"""),"Phalaborwa")</f>
        <v>Phalaborwa</v>
      </c>
      <c r="D6551" s="120" t="str">
        <f>IFERROR(__xludf.DUMMYFUNCTION("""COMPUTED_VALUE"""),"South Africa")</f>
        <v>South Africa</v>
      </c>
      <c r="E6551" s="135"/>
      <c r="F6551" s="31"/>
    </row>
    <row r="6552">
      <c r="A6552" s="134" t="str">
        <f>IFERROR(__xludf.DUMMYFUNCTION("""COMPUTED_VALUE"""),"Phan Rang")</f>
        <v>Phan Rang</v>
      </c>
      <c r="B6552" s="120" t="str">
        <f>IFERROR(__xludf.DUMMYFUNCTION("""COMPUTED_VALUE"""),"PHA")</f>
        <v>PHA</v>
      </c>
      <c r="C6552" s="120" t="str">
        <f>IFERROR(__xludf.DUMMYFUNCTION("""COMPUTED_VALUE"""),"Phan Rang")</f>
        <v>Phan Rang</v>
      </c>
      <c r="D6552" s="120" t="str">
        <f>IFERROR(__xludf.DUMMYFUNCTION("""COMPUTED_VALUE"""),"Vietnam")</f>
        <v>Vietnam</v>
      </c>
      <c r="E6552" s="135"/>
      <c r="F6552" s="31"/>
    </row>
    <row r="6553">
      <c r="A6553" s="134" t="str">
        <f>IFERROR(__xludf.DUMMYFUNCTION("""COMPUTED_VALUE"""),"Phan Thiet")</f>
        <v>Phan Thiet</v>
      </c>
      <c r="B6553" s="120" t="str">
        <f>IFERROR(__xludf.DUMMYFUNCTION("""COMPUTED_VALUE"""),"PHH")</f>
        <v>PHH</v>
      </c>
      <c r="C6553" s="120" t="str">
        <f>IFERROR(__xludf.DUMMYFUNCTION("""COMPUTED_VALUE"""),"Phan Thiet")</f>
        <v>Phan Thiet</v>
      </c>
      <c r="D6553" s="120" t="str">
        <f>IFERROR(__xludf.DUMMYFUNCTION("""COMPUTED_VALUE"""),"Vietnam")</f>
        <v>Vietnam</v>
      </c>
      <c r="E6553" s="135"/>
      <c r="F6553" s="31"/>
    </row>
    <row r="6554">
      <c r="A6554" s="134" t="str">
        <f>IFERROR(__xludf.DUMMYFUNCTION("""COMPUTED_VALUE"""),"Phanom Sarakham")</f>
        <v>Phanom Sarakham</v>
      </c>
      <c r="B6554" s="120" t="str">
        <f>IFERROR(__xludf.DUMMYFUNCTION("""COMPUTED_VALUE"""),"PMM")</f>
        <v>PMM</v>
      </c>
      <c r="C6554" s="120" t="str">
        <f>IFERROR(__xludf.DUMMYFUNCTION("""COMPUTED_VALUE"""),"Phanom Sarakham")</f>
        <v>Phanom Sarakham</v>
      </c>
      <c r="D6554" s="120" t="str">
        <f>IFERROR(__xludf.DUMMYFUNCTION("""COMPUTED_VALUE"""),"Thailand")</f>
        <v>Thailand</v>
      </c>
      <c r="E6554" s="135"/>
      <c r="F6554" s="31"/>
    </row>
    <row r="6555">
      <c r="A6555" s="134" t="str">
        <f>IFERROR(__xludf.DUMMYFUNCTION("""COMPUTED_VALUE"""),"Phaplu")</f>
        <v>Phaplu</v>
      </c>
      <c r="B6555" s="120" t="str">
        <f>IFERROR(__xludf.DUMMYFUNCTION("""COMPUTED_VALUE"""),"PPL")</f>
        <v>PPL</v>
      </c>
      <c r="C6555" s="120" t="str">
        <f>IFERROR(__xludf.DUMMYFUNCTION("""COMPUTED_VALUE"""),"Phaplu")</f>
        <v>Phaplu</v>
      </c>
      <c r="D6555" s="120" t="str">
        <f>IFERROR(__xludf.DUMMYFUNCTION("""COMPUTED_VALUE"""),"Nepal")</f>
        <v>Nepal</v>
      </c>
      <c r="E6555" s="135"/>
      <c r="F6555" s="31"/>
    </row>
    <row r="6556">
      <c r="A6556" s="134" t="str">
        <f>IFERROR(__xludf.DUMMYFUNCTION("""COMPUTED_VALUE"""),"Phetchabun")</f>
        <v>Phetchabun</v>
      </c>
      <c r="B6556" s="120" t="str">
        <f>IFERROR(__xludf.DUMMYFUNCTION("""COMPUTED_VALUE"""),"PHY")</f>
        <v>PHY</v>
      </c>
      <c r="C6556" s="120" t="str">
        <f>IFERROR(__xludf.DUMMYFUNCTION("""COMPUTED_VALUE"""),"Phetchabun")</f>
        <v>Phetchabun</v>
      </c>
      <c r="D6556" s="120" t="str">
        <f>IFERROR(__xludf.DUMMYFUNCTION("""COMPUTED_VALUE"""),"Thailand")</f>
        <v>Thailand</v>
      </c>
      <c r="E6556" s="135"/>
      <c r="F6556" s="31"/>
    </row>
    <row r="6557">
      <c r="A6557" s="134" t="str">
        <f>IFERROR(__xludf.DUMMYFUNCTION("""COMPUTED_VALUE"""),"Phi Phi Island")</f>
        <v>Phi Phi Island</v>
      </c>
      <c r="B6557" s="120" t="str">
        <f>IFERROR(__xludf.DUMMYFUNCTION("""COMPUTED_VALUE"""),"PHZ")</f>
        <v>PHZ</v>
      </c>
      <c r="C6557" s="120" t="str">
        <f>IFERROR(__xludf.DUMMYFUNCTION("""COMPUTED_VALUE"""),"Phi Phi Island")</f>
        <v>Phi Phi Island</v>
      </c>
      <c r="D6557" s="120" t="str">
        <f>IFERROR(__xludf.DUMMYFUNCTION("""COMPUTED_VALUE"""),"Thailand")</f>
        <v>Thailand</v>
      </c>
      <c r="E6557" s="135"/>
      <c r="F6557" s="31"/>
    </row>
    <row r="6558">
      <c r="A6558" s="134" t="str">
        <f>IFERROR(__xludf.DUMMYFUNCTION("""COMPUTED_VALUE"""),"Philadelphia")</f>
        <v>Philadelphia</v>
      </c>
      <c r="B6558" s="120" t="str">
        <f>IFERROR(__xludf.DUMMYFUNCTION("""COMPUTED_VALUE"""),"PHL")</f>
        <v>PHL</v>
      </c>
      <c r="C6558" s="120" t="str">
        <f>IFERROR(__xludf.DUMMYFUNCTION("""COMPUTED_VALUE"""),"Philadelphia International")</f>
        <v>Philadelphia International</v>
      </c>
      <c r="D6558" s="120" t="str">
        <f>IFERROR(__xludf.DUMMYFUNCTION("""COMPUTED_VALUE"""),"United States")</f>
        <v>United States</v>
      </c>
      <c r="E6558" s="135"/>
      <c r="F6558" s="31"/>
    </row>
    <row r="6559">
      <c r="A6559" s="134" t="str">
        <f>IFERROR(__xludf.DUMMYFUNCTION("""COMPUTED_VALUE"""),"Philadelphia")</f>
        <v>Philadelphia</v>
      </c>
      <c r="B6559" s="120" t="str">
        <f>IFERROR(__xludf.DUMMYFUNCTION("""COMPUTED_VALUE"""),"MUV")</f>
        <v>MUV</v>
      </c>
      <c r="C6559" s="120" t="str">
        <f>IFERROR(__xludf.DUMMYFUNCTION("""COMPUTED_VALUE"""),"Mustin Alf")</f>
        <v>Mustin Alf</v>
      </c>
      <c r="D6559" s="120" t="str">
        <f>IFERROR(__xludf.DUMMYFUNCTION("""COMPUTED_VALUE"""),"United States")</f>
        <v>United States</v>
      </c>
      <c r="E6559" s="135"/>
      <c r="F6559" s="31"/>
    </row>
    <row r="6560">
      <c r="A6560" s="134" t="str">
        <f>IFERROR(__xludf.DUMMYFUNCTION("""COMPUTED_VALUE"""),"Philadelphia")</f>
        <v>Philadelphia</v>
      </c>
      <c r="B6560" s="120" t="str">
        <f>IFERROR(__xludf.DUMMYFUNCTION("""COMPUTED_VALUE"""),"ZHC")</f>
        <v>ZHC</v>
      </c>
      <c r="C6560" s="120" t="str">
        <f>IFERROR(__xludf.DUMMYFUNCTION("""COMPUTED_VALUE"""),"N Philadelphia Rail St")</f>
        <v>N Philadelphia Rail St</v>
      </c>
      <c r="D6560" s="120" t="str">
        <f>IFERROR(__xludf.DUMMYFUNCTION("""COMPUTED_VALUE"""),"United States")</f>
        <v>United States</v>
      </c>
      <c r="E6560" s="135"/>
      <c r="F6560" s="31"/>
    </row>
    <row r="6561">
      <c r="A6561" s="134" t="str">
        <f>IFERROR(__xludf.DUMMYFUNCTION("""COMPUTED_VALUE"""),"Philadelphia")</f>
        <v>Philadelphia</v>
      </c>
      <c r="B6561" s="120" t="str">
        <f>IFERROR(__xludf.DUMMYFUNCTION("""COMPUTED_VALUE"""),"PNE")</f>
        <v>PNE</v>
      </c>
      <c r="C6561" s="120" t="str">
        <f>IFERROR(__xludf.DUMMYFUNCTION("""COMPUTED_VALUE"""),"North Philadelphia")</f>
        <v>North Philadelphia</v>
      </c>
      <c r="D6561" s="120" t="str">
        <f>IFERROR(__xludf.DUMMYFUNCTION("""COMPUTED_VALUE"""),"United States")</f>
        <v>United States</v>
      </c>
      <c r="E6561" s="135"/>
      <c r="F6561" s="31"/>
    </row>
    <row r="6562">
      <c r="A6562" s="134" t="str">
        <f>IFERROR(__xludf.DUMMYFUNCTION("""COMPUTED_VALUE"""),"Philadelphia")</f>
        <v>Philadelphia</v>
      </c>
      <c r="B6562" s="120" t="str">
        <f>IFERROR(__xludf.DUMMYFUNCTION("""COMPUTED_VALUE"""),"ZFV")</f>
        <v>ZFV</v>
      </c>
      <c r="C6562" s="120" t="str">
        <f>IFERROR(__xludf.DUMMYFUNCTION("""COMPUTED_VALUE"""),"Philadelphia Rail")</f>
        <v>Philadelphia Rail</v>
      </c>
      <c r="D6562" s="120" t="str">
        <f>IFERROR(__xludf.DUMMYFUNCTION("""COMPUTED_VALUE"""),"United States")</f>
        <v>United States</v>
      </c>
      <c r="E6562" s="135"/>
      <c r="F6562" s="31"/>
    </row>
    <row r="6563">
      <c r="A6563" s="134" t="str">
        <f>IFERROR(__xludf.DUMMYFUNCTION("""COMPUTED_VALUE"""),"Philadelphia")</f>
        <v>Philadelphia</v>
      </c>
      <c r="B6563" s="120" t="str">
        <f>IFERROR(__xludf.DUMMYFUNCTION("""COMPUTED_VALUE"""),"PSQ")</f>
        <v>PSQ</v>
      </c>
      <c r="C6563" s="120" t="str">
        <f>IFERROR(__xludf.DUMMYFUNCTION("""COMPUTED_VALUE"""),"SPB")</f>
        <v>SPB</v>
      </c>
      <c r="D6563" s="120" t="str">
        <f>IFERROR(__xludf.DUMMYFUNCTION("""COMPUTED_VALUE"""),"United States")</f>
        <v>United States</v>
      </c>
      <c r="E6563" s="135"/>
      <c r="F6563" s="31"/>
    </row>
    <row r="6564">
      <c r="A6564" s="134" t="str">
        <f>IFERROR(__xludf.DUMMYFUNCTION("""COMPUTED_VALUE"""),"Philadelphia")</f>
        <v>Philadelphia</v>
      </c>
      <c r="B6564" s="120" t="str">
        <f>IFERROR(__xludf.DUMMYFUNCTION("""COMPUTED_VALUE"""),"ZTN")</f>
        <v>ZTN</v>
      </c>
      <c r="C6564" s="120" t="str">
        <f>IFERROR(__xludf.DUMMYFUNCTION("""COMPUTED_VALUE"""),"Trenton Rail STN")</f>
        <v>Trenton Rail STN</v>
      </c>
      <c r="D6564" s="120" t="str">
        <f>IFERROR(__xludf.DUMMYFUNCTION("""COMPUTED_VALUE"""),"United States")</f>
        <v>United States</v>
      </c>
      <c r="E6564" s="135"/>
      <c r="F6564" s="31"/>
    </row>
    <row r="6565">
      <c r="A6565" s="134" t="str">
        <f>IFERROR(__xludf.DUMMYFUNCTION("""COMPUTED_VALUE"""),"Philadelphia")</f>
        <v>Philadelphia</v>
      </c>
      <c r="B6565" s="120" t="str">
        <f>IFERROR(__xludf.DUMMYFUNCTION("""COMPUTED_VALUE"""),"TTN")</f>
        <v>TTN</v>
      </c>
      <c r="C6565" s="120" t="str">
        <f>IFERROR(__xludf.DUMMYFUNCTION("""COMPUTED_VALUE"""),"Trenton-Mercer")</f>
        <v>Trenton-Mercer</v>
      </c>
      <c r="D6565" s="120" t="str">
        <f>IFERROR(__xludf.DUMMYFUNCTION("""COMPUTED_VALUE"""),"United States")</f>
        <v>United States</v>
      </c>
      <c r="E6565" s="135"/>
      <c r="F6565" s="31"/>
    </row>
    <row r="6566">
      <c r="A6566" s="134" t="str">
        <f>IFERROR(__xludf.DUMMYFUNCTION("""COMPUTED_VALUE"""),"Philip")</f>
        <v>Philip</v>
      </c>
      <c r="B6566" s="120" t="str">
        <f>IFERROR(__xludf.DUMMYFUNCTION("""COMPUTED_VALUE"""),"PHP")</f>
        <v>PHP</v>
      </c>
      <c r="C6566" s="120" t="str">
        <f>IFERROR(__xludf.DUMMYFUNCTION("""COMPUTED_VALUE"""),"Philip")</f>
        <v>Philip</v>
      </c>
      <c r="D6566" s="120" t="str">
        <f>IFERROR(__xludf.DUMMYFUNCTION("""COMPUTED_VALUE"""),"United States")</f>
        <v>United States</v>
      </c>
      <c r="E6566" s="135"/>
      <c r="F6566" s="31"/>
    </row>
    <row r="6567">
      <c r="A6567" s="134" t="str">
        <f>IFERROR(__xludf.DUMMYFUNCTION("""COMPUTED_VALUE"""),"Phinda")</f>
        <v>Phinda</v>
      </c>
      <c r="B6567" s="120" t="str">
        <f>IFERROR(__xludf.DUMMYFUNCTION("""COMPUTED_VALUE"""),"PZL")</f>
        <v>PZL</v>
      </c>
      <c r="C6567" s="120" t="str">
        <f>IFERROR(__xludf.DUMMYFUNCTION("""COMPUTED_VALUE"""),"Zulu Inyala")</f>
        <v>Zulu Inyala</v>
      </c>
      <c r="D6567" s="120" t="str">
        <f>IFERROR(__xludf.DUMMYFUNCTION("""COMPUTED_VALUE"""),"South Africa")</f>
        <v>South Africa</v>
      </c>
      <c r="E6567" s="135"/>
      <c r="F6567" s="31"/>
    </row>
    <row r="6568">
      <c r="A6568" s="134" t="str">
        <f>IFERROR(__xludf.DUMMYFUNCTION("""COMPUTED_VALUE"""),"Phitsanulok")</f>
        <v>Phitsanulok</v>
      </c>
      <c r="B6568" s="120" t="str">
        <f>IFERROR(__xludf.DUMMYFUNCTION("""COMPUTED_VALUE"""),"PHS")</f>
        <v>PHS</v>
      </c>
      <c r="C6568" s="120" t="str">
        <f>IFERROR(__xludf.DUMMYFUNCTION("""COMPUTED_VALUE"""),"Phitsanulok")</f>
        <v>Phitsanulok</v>
      </c>
      <c r="D6568" s="120" t="str">
        <f>IFERROR(__xludf.DUMMYFUNCTION("""COMPUTED_VALUE"""),"Thailand")</f>
        <v>Thailand</v>
      </c>
      <c r="E6568" s="135"/>
      <c r="F6568" s="31"/>
    </row>
    <row r="6569">
      <c r="A6569" s="134" t="str">
        <f>IFERROR(__xludf.DUMMYFUNCTION("""COMPUTED_VALUE"""),"Phnom Penh")</f>
        <v>Phnom Penh</v>
      </c>
      <c r="B6569" s="120" t="str">
        <f>IFERROR(__xludf.DUMMYFUNCTION("""COMPUTED_VALUE"""),"PNH")</f>
        <v>PNH</v>
      </c>
      <c r="C6569" s="120" t="str">
        <f>IFERROR(__xludf.DUMMYFUNCTION("""COMPUTED_VALUE"""),"Phnom Penh International")</f>
        <v>Phnom Penh International</v>
      </c>
      <c r="D6569" s="120" t="str">
        <f>IFERROR(__xludf.DUMMYFUNCTION("""COMPUTED_VALUE"""),"Cambodia")</f>
        <v>Cambodia</v>
      </c>
      <c r="E6569" s="135"/>
      <c r="F6569" s="31"/>
    </row>
    <row r="6570">
      <c r="A6570" s="134" t="str">
        <f>IFERROR(__xludf.DUMMYFUNCTION("""COMPUTED_VALUE"""),"Phoenix")</f>
        <v>Phoenix</v>
      </c>
      <c r="B6570" s="120" t="str">
        <f>IFERROR(__xludf.DUMMYFUNCTION("""COMPUTED_VALUE"""),"LUF")</f>
        <v>LUF</v>
      </c>
      <c r="C6570" s="120" t="str">
        <f>IFERROR(__xludf.DUMMYFUNCTION("""COMPUTED_VALUE"""),"Luke Afb")</f>
        <v>Luke Afb</v>
      </c>
      <c r="D6570" s="120" t="str">
        <f>IFERROR(__xludf.DUMMYFUNCTION("""COMPUTED_VALUE"""),"United States")</f>
        <v>United States</v>
      </c>
      <c r="E6570" s="135"/>
      <c r="F6570" s="31"/>
    </row>
    <row r="6571">
      <c r="A6571" s="134" t="str">
        <f>IFERROR(__xludf.DUMMYFUNCTION("""COMPUTED_VALUE"""),"Phoenix")</f>
        <v>Phoenix</v>
      </c>
      <c r="B6571" s="120" t="str">
        <f>IFERROR(__xludf.DUMMYFUNCTION("""COMPUTED_VALUE"""),"DVT")</f>
        <v>DVT</v>
      </c>
      <c r="C6571" s="120" t="str">
        <f>IFERROR(__xludf.DUMMYFUNCTION("""COMPUTED_VALUE"""),"Phoenix-Deer Valley")</f>
        <v>Phoenix-Deer Valley</v>
      </c>
      <c r="D6571" s="120" t="str">
        <f>IFERROR(__xludf.DUMMYFUNCTION("""COMPUTED_VALUE"""),"United States")</f>
        <v>United States</v>
      </c>
      <c r="E6571" s="135"/>
      <c r="F6571" s="31"/>
    </row>
    <row r="6572">
      <c r="A6572" s="134" t="str">
        <f>IFERROR(__xludf.DUMMYFUNCTION("""COMPUTED_VALUE"""),"Phoenix")</f>
        <v>Phoenix</v>
      </c>
      <c r="B6572" s="120" t="str">
        <f>IFERROR(__xludf.DUMMYFUNCTION("""COMPUTED_VALUE"""),"SCF")</f>
        <v>SCF</v>
      </c>
      <c r="C6572" s="120" t="str">
        <f>IFERROR(__xludf.DUMMYFUNCTION("""COMPUTED_VALUE"""),"Scottsdale Municipal")</f>
        <v>Scottsdale Municipal</v>
      </c>
      <c r="D6572" s="120" t="str">
        <f>IFERROR(__xludf.DUMMYFUNCTION("""COMPUTED_VALUE"""),"United States")</f>
        <v>United States</v>
      </c>
      <c r="E6572" s="135"/>
      <c r="F6572" s="31"/>
    </row>
    <row r="6573">
      <c r="A6573" s="134" t="str">
        <f>IFERROR(__xludf.DUMMYFUNCTION("""COMPUTED_VALUE"""),"Phoenix")</f>
        <v>Phoenix</v>
      </c>
      <c r="B6573" s="120" t="str">
        <f>IFERROR(__xludf.DUMMYFUNCTION("""COMPUTED_VALUE"""),"PHX")</f>
        <v>PHX</v>
      </c>
      <c r="C6573" s="120" t="str">
        <f>IFERROR(__xludf.DUMMYFUNCTION("""COMPUTED_VALUE"""),"Sky Harbor Intl")</f>
        <v>Sky Harbor Intl</v>
      </c>
      <c r="D6573" s="120" t="str">
        <f>IFERROR(__xludf.DUMMYFUNCTION("""COMPUTED_VALUE"""),"United States")</f>
        <v>United States</v>
      </c>
      <c r="E6573" s="135"/>
      <c r="F6573" s="31"/>
    </row>
    <row r="6574">
      <c r="A6574" s="134" t="str">
        <f>IFERROR(__xludf.DUMMYFUNCTION("""COMPUTED_VALUE"""),"Phongsaly")</f>
        <v>Phongsaly</v>
      </c>
      <c r="B6574" s="120" t="str">
        <f>IFERROR(__xludf.DUMMYFUNCTION("""COMPUTED_VALUE"""),"PCQ")</f>
        <v>PCQ</v>
      </c>
      <c r="C6574" s="120" t="str">
        <f>IFERROR(__xludf.DUMMYFUNCTION("""COMPUTED_VALUE"""),"Bounneua")</f>
        <v>Bounneua</v>
      </c>
      <c r="D6574" s="120" t="str">
        <f>IFERROR(__xludf.DUMMYFUNCTION("""COMPUTED_VALUE"""),"Laos")</f>
        <v>Laos</v>
      </c>
      <c r="E6574" s="135"/>
      <c r="F6574" s="31"/>
    </row>
    <row r="6575">
      <c r="A6575" s="134" t="str">
        <f>IFERROR(__xludf.DUMMYFUNCTION("""COMPUTED_VALUE"""),"Phrae")</f>
        <v>Phrae</v>
      </c>
      <c r="B6575" s="120" t="str">
        <f>IFERROR(__xludf.DUMMYFUNCTION("""COMPUTED_VALUE"""),"PRH")</f>
        <v>PRH</v>
      </c>
      <c r="C6575" s="120" t="str">
        <f>IFERROR(__xludf.DUMMYFUNCTION("""COMPUTED_VALUE"""),"Phrae")</f>
        <v>Phrae</v>
      </c>
      <c r="D6575" s="120" t="str">
        <f>IFERROR(__xludf.DUMMYFUNCTION("""COMPUTED_VALUE"""),"Thailand")</f>
        <v>Thailand</v>
      </c>
      <c r="E6575" s="135"/>
      <c r="F6575" s="31"/>
    </row>
    <row r="6576">
      <c r="A6576" s="134" t="str">
        <f>IFERROR(__xludf.DUMMYFUNCTION("""COMPUTED_VALUE"""),"Phu Quoc")</f>
        <v>Phu Quoc</v>
      </c>
      <c r="B6576" s="120" t="str">
        <f>IFERROR(__xludf.DUMMYFUNCTION("""COMPUTED_VALUE"""),"PQC")</f>
        <v>PQC</v>
      </c>
      <c r="C6576" s="120" t="str">
        <f>IFERROR(__xludf.DUMMYFUNCTION("""COMPUTED_VALUE"""),"Duong Dang")</f>
        <v>Duong Dang</v>
      </c>
      <c r="D6576" s="120" t="str">
        <f>IFERROR(__xludf.DUMMYFUNCTION("""COMPUTED_VALUE"""),"Vietnam")</f>
        <v>Vietnam</v>
      </c>
      <c r="E6576" s="135"/>
      <c r="F6576" s="31"/>
    </row>
    <row r="6577">
      <c r="A6577" s="134" t="str">
        <f>IFERROR(__xludf.DUMMYFUNCTION("""COMPUTED_VALUE"""),"Phu Vinh")</f>
        <v>Phu Vinh</v>
      </c>
      <c r="B6577" s="120" t="str">
        <f>IFERROR(__xludf.DUMMYFUNCTION("""COMPUTED_VALUE"""),"PHU")</f>
        <v>PHU</v>
      </c>
      <c r="C6577" s="120" t="str">
        <f>IFERROR(__xludf.DUMMYFUNCTION("""COMPUTED_VALUE"""),"Phu Vinh")</f>
        <v>Phu Vinh</v>
      </c>
      <c r="D6577" s="120" t="str">
        <f>IFERROR(__xludf.DUMMYFUNCTION("""COMPUTED_VALUE"""),"Vietnam")</f>
        <v>Vietnam</v>
      </c>
      <c r="E6577" s="135"/>
      <c r="F6577" s="31"/>
    </row>
    <row r="6578">
      <c r="A6578" s="134" t="str">
        <f>IFERROR(__xludf.DUMMYFUNCTION("""COMPUTED_VALUE"""),"Phu-bon")</f>
        <v>Phu-bon</v>
      </c>
      <c r="B6578" s="120" t="str">
        <f>IFERROR(__xludf.DUMMYFUNCTION("""COMPUTED_VALUE"""),"HBN")</f>
        <v>HBN</v>
      </c>
      <c r="C6578" s="120" t="str">
        <f>IFERROR(__xludf.DUMMYFUNCTION("""COMPUTED_VALUE"""),"Flamingo")</f>
        <v>Flamingo</v>
      </c>
      <c r="D6578" s="120" t="str">
        <f>IFERROR(__xludf.DUMMYFUNCTION("""COMPUTED_VALUE"""),"Vietnam")</f>
        <v>Vietnam</v>
      </c>
      <c r="E6578" s="135"/>
      <c r="F6578" s="31"/>
    </row>
    <row r="6579">
      <c r="A6579" s="134" t="str">
        <f>IFERROR(__xludf.DUMMYFUNCTION("""COMPUTED_VALUE"""),"Phuket")</f>
        <v>Phuket</v>
      </c>
      <c r="B6579" s="120" t="str">
        <f>IFERROR(__xludf.DUMMYFUNCTION("""COMPUTED_VALUE"""),"HKT")</f>
        <v>HKT</v>
      </c>
      <c r="C6579" s="120" t="str">
        <f>IFERROR(__xludf.DUMMYFUNCTION("""COMPUTED_VALUE"""),"Phuket International")</f>
        <v>Phuket International</v>
      </c>
      <c r="D6579" s="120" t="str">
        <f>IFERROR(__xludf.DUMMYFUNCTION("""COMPUTED_VALUE"""),"Thailand")</f>
        <v>Thailand</v>
      </c>
      <c r="E6579" s="135"/>
      <c r="F6579" s="31"/>
    </row>
    <row r="6580">
      <c r="A6580" s="134" t="str">
        <f>IFERROR(__xludf.DUMMYFUNCTION("""COMPUTED_VALUE"""),"Phuoclong")</f>
        <v>Phuoclong</v>
      </c>
      <c r="B6580" s="120" t="str">
        <f>IFERROR(__xludf.DUMMYFUNCTION("""COMPUTED_VALUE"""),"VSO")</f>
        <v>VSO</v>
      </c>
      <c r="C6580" s="120" t="str">
        <f>IFERROR(__xludf.DUMMYFUNCTION("""COMPUTED_VALUE"""),"Phuoclong")</f>
        <v>Phuoclong</v>
      </c>
      <c r="D6580" s="120" t="str">
        <f>IFERROR(__xludf.DUMMYFUNCTION("""COMPUTED_VALUE"""),"Vietnam")</f>
        <v>Vietnam</v>
      </c>
      <c r="E6580" s="135"/>
      <c r="F6580" s="31"/>
    </row>
    <row r="6581">
      <c r="A6581" s="134" t="str">
        <f>IFERROR(__xludf.DUMMYFUNCTION("""COMPUTED_VALUE"""),"Picayune")</f>
        <v>Picayune</v>
      </c>
      <c r="B6581" s="120" t="str">
        <f>IFERROR(__xludf.DUMMYFUNCTION("""COMPUTED_VALUE"""),"PCU")</f>
        <v>PCU</v>
      </c>
      <c r="C6581" s="120" t="str">
        <f>IFERROR(__xludf.DUMMYFUNCTION("""COMPUTED_VALUE"""),"Pearl River County")</f>
        <v>Pearl River County</v>
      </c>
      <c r="D6581" s="120" t="str">
        <f>IFERROR(__xludf.DUMMYFUNCTION("""COMPUTED_VALUE"""),"United States")</f>
        <v>United States</v>
      </c>
      <c r="E6581" s="135"/>
      <c r="F6581" s="31"/>
    </row>
    <row r="6582">
      <c r="A6582" s="134" t="str">
        <f>IFERROR(__xludf.DUMMYFUNCTION("""COMPUTED_VALUE"""),"Pickens")</f>
        <v>Pickens</v>
      </c>
      <c r="B6582" s="120" t="str">
        <f>IFERROR(__xludf.DUMMYFUNCTION("""COMPUTED_VALUE"""),"LQK")</f>
        <v>LQK</v>
      </c>
      <c r="C6582" s="120" t="str">
        <f>IFERROR(__xludf.DUMMYFUNCTION("""COMPUTED_VALUE"""),"Pickens")</f>
        <v>Pickens</v>
      </c>
      <c r="D6582" s="120" t="str">
        <f>IFERROR(__xludf.DUMMYFUNCTION("""COMPUTED_VALUE"""),"United States")</f>
        <v>United States</v>
      </c>
      <c r="E6582" s="135"/>
      <c r="F6582" s="31"/>
    </row>
    <row r="6583">
      <c r="A6583" s="134" t="str">
        <f>IFERROR(__xludf.DUMMYFUNCTION("""COMPUTED_VALUE"""),"Pickle Lake")</f>
        <v>Pickle Lake</v>
      </c>
      <c r="B6583" s="120" t="str">
        <f>IFERROR(__xludf.DUMMYFUNCTION("""COMPUTED_VALUE"""),"YPL")</f>
        <v>YPL</v>
      </c>
      <c r="C6583" s="120" t="str">
        <f>IFERROR(__xludf.DUMMYFUNCTION("""COMPUTED_VALUE"""),"Pickle Lake")</f>
        <v>Pickle Lake</v>
      </c>
      <c r="D6583" s="120" t="str">
        <f>IFERROR(__xludf.DUMMYFUNCTION("""COMPUTED_VALUE"""),"Canada")</f>
        <v>Canada</v>
      </c>
      <c r="E6583" s="135"/>
      <c r="F6583" s="31"/>
    </row>
    <row r="6584">
      <c r="A6584" s="134" t="str">
        <f>IFERROR(__xludf.DUMMYFUNCTION("""COMPUTED_VALUE"""),"Pico Island")</f>
        <v>Pico Island</v>
      </c>
      <c r="B6584" s="120" t="str">
        <f>IFERROR(__xludf.DUMMYFUNCTION("""COMPUTED_VALUE"""),"PIX")</f>
        <v>PIX</v>
      </c>
      <c r="C6584" s="120" t="str">
        <f>IFERROR(__xludf.DUMMYFUNCTION("""COMPUTED_VALUE"""),"Pico Island")</f>
        <v>Pico Island</v>
      </c>
      <c r="D6584" s="120" t="str">
        <f>IFERROR(__xludf.DUMMYFUNCTION("""COMPUTED_VALUE"""),"Portugal")</f>
        <v>Portugal</v>
      </c>
      <c r="E6584" s="135"/>
      <c r="F6584" s="31"/>
    </row>
    <row r="6585">
      <c r="A6585" s="134" t="str">
        <f>IFERROR(__xludf.DUMMYFUNCTION("""COMPUTED_VALUE"""),"Picos")</f>
        <v>Picos</v>
      </c>
      <c r="B6585" s="120" t="str">
        <f>IFERROR(__xludf.DUMMYFUNCTION("""COMPUTED_VALUE"""),"PCS")</f>
        <v>PCS</v>
      </c>
      <c r="C6585" s="120" t="str">
        <f>IFERROR(__xludf.DUMMYFUNCTION("""COMPUTED_VALUE"""),"Picos")</f>
        <v>Picos</v>
      </c>
      <c r="D6585" s="120" t="str">
        <f>IFERROR(__xludf.DUMMYFUNCTION("""COMPUTED_VALUE"""),"Brazil")</f>
        <v>Brazil</v>
      </c>
      <c r="E6585" s="135"/>
      <c r="F6585" s="31"/>
    </row>
    <row r="6586">
      <c r="A6586" s="134" t="str">
        <f>IFERROR(__xludf.DUMMYFUNCTION("""COMPUTED_VALUE"""),"Picton")</f>
        <v>Picton</v>
      </c>
      <c r="B6586" s="120" t="str">
        <f>IFERROR(__xludf.DUMMYFUNCTION("""COMPUTED_VALUE"""),"PCN")</f>
        <v>PCN</v>
      </c>
      <c r="C6586" s="120" t="str">
        <f>IFERROR(__xludf.DUMMYFUNCTION("""COMPUTED_VALUE"""),"Koromiko")</f>
        <v>Koromiko</v>
      </c>
      <c r="D6586" s="120" t="str">
        <f>IFERROR(__xludf.DUMMYFUNCTION("""COMPUTED_VALUE"""),"New Zealand (Aotearoa)")</f>
        <v>New Zealand (Aotearoa)</v>
      </c>
      <c r="E6586" s="135"/>
      <c r="F6586" s="31"/>
    </row>
    <row r="6587">
      <c r="A6587" s="134" t="str">
        <f>IFERROR(__xludf.DUMMYFUNCTION("""COMPUTED_VALUE"""),"Piedras Negras")</f>
        <v>Piedras Negras</v>
      </c>
      <c r="B6587" s="120" t="str">
        <f>IFERROR(__xludf.DUMMYFUNCTION("""COMPUTED_VALUE"""),"PDS")</f>
        <v>PDS</v>
      </c>
      <c r="C6587" s="120" t="str">
        <f>IFERROR(__xludf.DUMMYFUNCTION("""COMPUTED_VALUE"""),"Piedras Negras")</f>
        <v>Piedras Negras</v>
      </c>
      <c r="D6587" s="120" t="str">
        <f>IFERROR(__xludf.DUMMYFUNCTION("""COMPUTED_VALUE"""),"Mexico")</f>
        <v>Mexico</v>
      </c>
      <c r="E6587" s="135"/>
      <c r="F6587" s="31"/>
    </row>
    <row r="6588">
      <c r="A6588" s="134" t="str">
        <f>IFERROR(__xludf.DUMMYFUNCTION("""COMPUTED_VALUE"""),"Pierre")</f>
        <v>Pierre</v>
      </c>
      <c r="B6588" s="120" t="str">
        <f>IFERROR(__xludf.DUMMYFUNCTION("""COMPUTED_VALUE"""),"PIR")</f>
        <v>PIR</v>
      </c>
      <c r="C6588" s="120" t="str">
        <f>IFERROR(__xludf.DUMMYFUNCTION("""COMPUTED_VALUE"""),"Pierre")</f>
        <v>Pierre</v>
      </c>
      <c r="D6588" s="120" t="str">
        <f>IFERROR(__xludf.DUMMYFUNCTION("""COMPUTED_VALUE"""),"United States")</f>
        <v>United States</v>
      </c>
      <c r="E6588" s="135"/>
      <c r="F6588" s="31"/>
    </row>
    <row r="6589">
      <c r="A6589" s="134" t="str">
        <f>IFERROR(__xludf.DUMMYFUNCTION("""COMPUTED_VALUE"""),"Piestany")</f>
        <v>Piestany</v>
      </c>
      <c r="B6589" s="120" t="str">
        <f>IFERROR(__xludf.DUMMYFUNCTION("""COMPUTED_VALUE"""),"PZY")</f>
        <v>PZY</v>
      </c>
      <c r="C6589" s="120" t="str">
        <f>IFERROR(__xludf.DUMMYFUNCTION("""COMPUTED_VALUE"""),"Piestany")</f>
        <v>Piestany</v>
      </c>
      <c r="D6589" s="120" t="str">
        <f>IFERROR(__xludf.DUMMYFUNCTION("""COMPUTED_VALUE"""),"Slovakia")</f>
        <v>Slovakia</v>
      </c>
      <c r="E6589" s="135"/>
      <c r="F6589" s="31"/>
    </row>
    <row r="6590">
      <c r="A6590" s="134" t="str">
        <f>IFERROR(__xludf.DUMMYFUNCTION("""COMPUTED_VALUE"""),"Pietermaritzburg")</f>
        <v>Pietermaritzburg</v>
      </c>
      <c r="B6590" s="120" t="str">
        <f>IFERROR(__xludf.DUMMYFUNCTION("""COMPUTED_VALUE"""),"PZB")</f>
        <v>PZB</v>
      </c>
      <c r="C6590" s="120" t="str">
        <f>IFERROR(__xludf.DUMMYFUNCTION("""COMPUTED_VALUE"""),"Pietermaritzburg Oribi")</f>
        <v>Pietermaritzburg Oribi</v>
      </c>
      <c r="D6590" s="120" t="str">
        <f>IFERROR(__xludf.DUMMYFUNCTION("""COMPUTED_VALUE"""),"South Africa")</f>
        <v>South Africa</v>
      </c>
      <c r="E6590" s="135"/>
      <c r="F6590" s="31"/>
    </row>
    <row r="6591">
      <c r="A6591" s="134" t="str">
        <f>IFERROR(__xludf.DUMMYFUNCTION("""COMPUTED_VALUE"""),"Pijiguaos")</f>
        <v>Pijiguaos</v>
      </c>
      <c r="B6591" s="120" t="str">
        <f>IFERROR(__xludf.DUMMYFUNCTION("""COMPUTED_VALUE"""),"LPJ")</f>
        <v>LPJ</v>
      </c>
      <c r="C6591" s="120" t="str">
        <f>IFERROR(__xludf.DUMMYFUNCTION("""COMPUTED_VALUE"""),"Pijiguaos")</f>
        <v>Pijiguaos</v>
      </c>
      <c r="D6591" s="120" t="str">
        <f>IFERROR(__xludf.DUMMYFUNCTION("""COMPUTED_VALUE"""),"Venezuela")</f>
        <v>Venezuela</v>
      </c>
      <c r="E6591" s="135"/>
      <c r="F6591" s="31"/>
    </row>
    <row r="6592">
      <c r="A6592" s="134" t="str">
        <f>IFERROR(__xludf.DUMMYFUNCTION("""COMPUTED_VALUE"""),"Pikangikum")</f>
        <v>Pikangikum</v>
      </c>
      <c r="B6592" s="120" t="str">
        <f>IFERROR(__xludf.DUMMYFUNCTION("""COMPUTED_VALUE"""),"YPM")</f>
        <v>YPM</v>
      </c>
      <c r="C6592" s="120" t="str">
        <f>IFERROR(__xludf.DUMMYFUNCTION("""COMPUTED_VALUE"""),"Pikangikum")</f>
        <v>Pikangikum</v>
      </c>
      <c r="D6592" s="120" t="str">
        <f>IFERROR(__xludf.DUMMYFUNCTION("""COMPUTED_VALUE"""),"Canada")</f>
        <v>Canada</v>
      </c>
      <c r="E6592" s="135"/>
      <c r="F6592" s="31"/>
    </row>
    <row r="6593">
      <c r="A6593" s="134" t="str">
        <f>IFERROR(__xludf.DUMMYFUNCTION("""COMPUTED_VALUE"""),"Pikwitonei")</f>
        <v>Pikwitonei</v>
      </c>
      <c r="B6593" s="120" t="str">
        <f>IFERROR(__xludf.DUMMYFUNCTION("""COMPUTED_VALUE"""),"PIW")</f>
        <v>PIW</v>
      </c>
      <c r="C6593" s="120" t="str">
        <f>IFERROR(__xludf.DUMMYFUNCTION("""COMPUTED_VALUE"""),"Pikwitonei")</f>
        <v>Pikwitonei</v>
      </c>
      <c r="D6593" s="120" t="str">
        <f>IFERROR(__xludf.DUMMYFUNCTION("""COMPUTED_VALUE"""),"Canada")</f>
        <v>Canada</v>
      </c>
      <c r="E6593" s="135"/>
      <c r="F6593" s="31"/>
    </row>
    <row r="6594">
      <c r="A6594" s="134" t="str">
        <f>IFERROR(__xludf.DUMMYFUNCTION("""COMPUTED_VALUE"""),"Pilar")</f>
        <v>Pilar</v>
      </c>
      <c r="B6594" s="120" t="str">
        <f>IFERROR(__xludf.DUMMYFUNCTION("""COMPUTED_VALUE"""),"PIL")</f>
        <v>PIL</v>
      </c>
      <c r="C6594" s="120" t="str">
        <f>IFERROR(__xludf.DUMMYFUNCTION("""COMPUTED_VALUE"""),"Pilar")</f>
        <v>Pilar</v>
      </c>
      <c r="D6594" s="120" t="str">
        <f>IFERROR(__xludf.DUMMYFUNCTION("""COMPUTED_VALUE"""),"Paraguay")</f>
        <v>Paraguay</v>
      </c>
      <c r="E6594" s="135"/>
      <c r="F6594" s="31"/>
    </row>
    <row r="6595">
      <c r="A6595" s="134" t="str">
        <f>IFERROR(__xludf.DUMMYFUNCTION("""COMPUTED_VALUE"""),"Pilot Point")</f>
        <v>Pilot Point</v>
      </c>
      <c r="B6595" s="120" t="str">
        <f>IFERROR(__xludf.DUMMYFUNCTION("""COMPUTED_VALUE"""),"PIP")</f>
        <v>PIP</v>
      </c>
      <c r="C6595" s="120" t="str">
        <f>IFERROR(__xludf.DUMMYFUNCTION("""COMPUTED_VALUE"""),"Pilot Point Arpt")</f>
        <v>Pilot Point Arpt</v>
      </c>
      <c r="D6595" s="120" t="str">
        <f>IFERROR(__xludf.DUMMYFUNCTION("""COMPUTED_VALUE"""),"United States")</f>
        <v>United States</v>
      </c>
      <c r="E6595" s="135"/>
      <c r="F6595" s="31"/>
    </row>
    <row r="6596">
      <c r="A6596" s="134" t="str">
        <f>IFERROR(__xludf.DUMMYFUNCTION("""COMPUTED_VALUE"""),"Pilot Point")</f>
        <v>Pilot Point</v>
      </c>
      <c r="B6596" s="120" t="str">
        <f>IFERROR(__xludf.DUMMYFUNCTION("""COMPUTED_VALUE"""),"UGB")</f>
        <v>UGB</v>
      </c>
      <c r="C6596" s="120" t="str">
        <f>IFERROR(__xludf.DUMMYFUNCTION("""COMPUTED_VALUE"""),"Ugashik Bay")</f>
        <v>Ugashik Bay</v>
      </c>
      <c r="D6596" s="120" t="str">
        <f>IFERROR(__xludf.DUMMYFUNCTION("""COMPUTED_VALUE"""),"United States")</f>
        <v>United States</v>
      </c>
      <c r="E6596" s="135"/>
      <c r="F6596" s="31"/>
    </row>
    <row r="6597">
      <c r="A6597" s="134" t="str">
        <f>IFERROR(__xludf.DUMMYFUNCTION("""COMPUTED_VALUE"""),"Pilot Station")</f>
        <v>Pilot Station</v>
      </c>
      <c r="B6597" s="120" t="str">
        <f>IFERROR(__xludf.DUMMYFUNCTION("""COMPUTED_VALUE"""),"PQS")</f>
        <v>PQS</v>
      </c>
      <c r="C6597" s="120" t="str">
        <f>IFERROR(__xludf.DUMMYFUNCTION("""COMPUTED_VALUE"""),"Pilot Station")</f>
        <v>Pilot Station</v>
      </c>
      <c r="D6597" s="120" t="str">
        <f>IFERROR(__xludf.DUMMYFUNCTION("""COMPUTED_VALUE"""),"United States")</f>
        <v>United States</v>
      </c>
      <c r="E6597" s="135"/>
      <c r="F6597" s="31"/>
    </row>
    <row r="6598">
      <c r="A6598" s="134" t="str">
        <f>IFERROR(__xludf.DUMMYFUNCTION("""COMPUTED_VALUE"""),"Pimaga")</f>
        <v>Pimaga</v>
      </c>
      <c r="B6598" s="120" t="str">
        <f>IFERROR(__xludf.DUMMYFUNCTION("""COMPUTED_VALUE"""),"PMP")</f>
        <v>PMP</v>
      </c>
      <c r="C6598" s="120" t="str">
        <f>IFERROR(__xludf.DUMMYFUNCTION("""COMPUTED_VALUE"""),"Pimaga")</f>
        <v>Pimaga</v>
      </c>
      <c r="D6598" s="120" t="str">
        <f>IFERROR(__xludf.DUMMYFUNCTION("""COMPUTED_VALUE"""),"Papua New Guinea")</f>
        <v>Papua New Guinea</v>
      </c>
      <c r="E6598" s="135"/>
      <c r="F6598" s="31"/>
    </row>
    <row r="6599">
      <c r="A6599" s="134" t="str">
        <f>IFERROR(__xludf.DUMMYFUNCTION("""COMPUTED_VALUE"""),"Pimenta Bueno")</f>
        <v>Pimenta Bueno</v>
      </c>
      <c r="B6599" s="120" t="str">
        <f>IFERROR(__xludf.DUMMYFUNCTION("""COMPUTED_VALUE"""),"PBQ")</f>
        <v>PBQ</v>
      </c>
      <c r="C6599" s="120" t="str">
        <f>IFERROR(__xludf.DUMMYFUNCTION("""COMPUTED_VALUE"""),"Pimenta Bueno")</f>
        <v>Pimenta Bueno</v>
      </c>
      <c r="D6599" s="120" t="str">
        <f>IFERROR(__xludf.DUMMYFUNCTION("""COMPUTED_VALUE"""),"Brazil")</f>
        <v>Brazil</v>
      </c>
      <c r="E6599" s="135"/>
      <c r="F6599" s="31"/>
    </row>
    <row r="6600">
      <c r="A6600" s="134" t="str">
        <f>IFERROR(__xludf.DUMMYFUNCTION("""COMPUTED_VALUE"""),"Pincher Creek")</f>
        <v>Pincher Creek</v>
      </c>
      <c r="B6600" s="120" t="str">
        <f>IFERROR(__xludf.DUMMYFUNCTION("""COMPUTED_VALUE"""),"WPC")</f>
        <v>WPC</v>
      </c>
      <c r="C6600" s="120" t="str">
        <f>IFERROR(__xludf.DUMMYFUNCTION("""COMPUTED_VALUE"""),"Pincher Creek")</f>
        <v>Pincher Creek</v>
      </c>
      <c r="D6600" s="120" t="str">
        <f>IFERROR(__xludf.DUMMYFUNCTION("""COMPUTED_VALUE"""),"Canada")</f>
        <v>Canada</v>
      </c>
      <c r="E6600" s="135"/>
      <c r="F6600" s="31"/>
    </row>
    <row r="6601">
      <c r="A6601" s="134" t="str">
        <f>IFERROR(__xludf.DUMMYFUNCTION("""COMPUTED_VALUE"""),"Pindiu")</f>
        <v>Pindiu</v>
      </c>
      <c r="B6601" s="120" t="str">
        <f>IFERROR(__xludf.DUMMYFUNCTION("""COMPUTED_VALUE"""),"PDI")</f>
        <v>PDI</v>
      </c>
      <c r="C6601" s="120" t="str">
        <f>IFERROR(__xludf.DUMMYFUNCTION("""COMPUTED_VALUE"""),"Pindiu")</f>
        <v>Pindiu</v>
      </c>
      <c r="D6601" s="120" t="str">
        <f>IFERROR(__xludf.DUMMYFUNCTION("""COMPUTED_VALUE"""),"Papua New Guinea")</f>
        <v>Papua New Guinea</v>
      </c>
      <c r="E6601" s="135"/>
      <c r="F6601" s="31"/>
    </row>
    <row r="6602">
      <c r="A6602" s="134" t="str">
        <f>IFERROR(__xludf.DUMMYFUNCTION("""COMPUTED_VALUE"""),"Pine Bluff")</f>
        <v>Pine Bluff</v>
      </c>
      <c r="B6602" s="120" t="str">
        <f>IFERROR(__xludf.DUMMYFUNCTION("""COMPUTED_VALUE"""),"PBF")</f>
        <v>PBF</v>
      </c>
      <c r="C6602" s="120" t="str">
        <f>IFERROR(__xludf.DUMMYFUNCTION("""COMPUTED_VALUE"""),"Grider Field")</f>
        <v>Grider Field</v>
      </c>
      <c r="D6602" s="120" t="str">
        <f>IFERROR(__xludf.DUMMYFUNCTION("""COMPUTED_VALUE"""),"United States")</f>
        <v>United States</v>
      </c>
      <c r="E6602" s="135"/>
      <c r="F6602" s="31"/>
    </row>
    <row r="6603">
      <c r="A6603" s="134" t="str">
        <f>IFERROR(__xludf.DUMMYFUNCTION("""COMPUTED_VALUE"""),"Pine Cay")</f>
        <v>Pine Cay</v>
      </c>
      <c r="B6603" s="120" t="str">
        <f>IFERROR(__xludf.DUMMYFUNCTION("""COMPUTED_VALUE"""),"PIC")</f>
        <v>PIC</v>
      </c>
      <c r="C6603" s="120" t="str">
        <f>IFERROR(__xludf.DUMMYFUNCTION("""COMPUTED_VALUE"""),"Pine Cay")</f>
        <v>Pine Cay</v>
      </c>
      <c r="D6603" s="120" t="str">
        <f>IFERROR(__xludf.DUMMYFUNCTION("""COMPUTED_VALUE"""),"Turks and Caicos Islands")</f>
        <v>Turks and Caicos Islands</v>
      </c>
      <c r="E6603" s="135"/>
      <c r="F6603" s="31"/>
    </row>
    <row r="6604">
      <c r="A6604" s="134" t="str">
        <f>IFERROR(__xludf.DUMMYFUNCTION("""COMPUTED_VALUE"""),"Pine House")</f>
        <v>Pine House</v>
      </c>
      <c r="B6604" s="120" t="str">
        <f>IFERROR(__xludf.DUMMYFUNCTION("""COMPUTED_VALUE"""),"ZPO")</f>
        <v>ZPO</v>
      </c>
      <c r="C6604" s="120" t="str">
        <f>IFERROR(__xludf.DUMMYFUNCTION("""COMPUTED_VALUE"""),"Pine House")</f>
        <v>Pine House</v>
      </c>
      <c r="D6604" s="120" t="str">
        <f>IFERROR(__xludf.DUMMYFUNCTION("""COMPUTED_VALUE"""),"Canada")</f>
        <v>Canada</v>
      </c>
      <c r="E6604" s="135"/>
      <c r="F6604" s="31"/>
    </row>
    <row r="6605">
      <c r="A6605" s="134" t="str">
        <f>IFERROR(__xludf.DUMMYFUNCTION("""COMPUTED_VALUE"""),"Pine Mountain")</f>
        <v>Pine Mountain</v>
      </c>
      <c r="B6605" s="120" t="str">
        <f>IFERROR(__xludf.DUMMYFUNCTION("""COMPUTED_VALUE"""),"PIM")</f>
        <v>PIM</v>
      </c>
      <c r="C6605" s="120" t="str">
        <f>IFERROR(__xludf.DUMMYFUNCTION("""COMPUTED_VALUE"""),"Garden Harris County")</f>
        <v>Garden Harris County</v>
      </c>
      <c r="D6605" s="120" t="str">
        <f>IFERROR(__xludf.DUMMYFUNCTION("""COMPUTED_VALUE"""),"United States")</f>
        <v>United States</v>
      </c>
      <c r="E6605" s="135"/>
      <c r="F6605" s="31"/>
    </row>
    <row r="6606">
      <c r="A6606" s="134" t="str">
        <f>IFERROR(__xludf.DUMMYFUNCTION("""COMPUTED_VALUE"""),"Pine Point")</f>
        <v>Pine Point</v>
      </c>
      <c r="B6606" s="120" t="str">
        <f>IFERROR(__xludf.DUMMYFUNCTION("""COMPUTED_VALUE"""),"YPP")</f>
        <v>YPP</v>
      </c>
      <c r="C6606" s="120" t="str">
        <f>IFERROR(__xludf.DUMMYFUNCTION("""COMPUTED_VALUE"""),"Pine Point")</f>
        <v>Pine Point</v>
      </c>
      <c r="D6606" s="120" t="str">
        <f>IFERROR(__xludf.DUMMYFUNCTION("""COMPUTED_VALUE"""),"Canada")</f>
        <v>Canada</v>
      </c>
      <c r="E6606" s="135"/>
      <c r="F6606" s="31"/>
    </row>
    <row r="6607">
      <c r="A6607" s="134" t="str">
        <f>IFERROR(__xludf.DUMMYFUNCTION("""COMPUTED_VALUE"""),"Pine Ridge")</f>
        <v>Pine Ridge</v>
      </c>
      <c r="B6607" s="120" t="str">
        <f>IFERROR(__xludf.DUMMYFUNCTION("""COMPUTED_VALUE"""),"XPR")</f>
        <v>XPR</v>
      </c>
      <c r="C6607" s="120" t="str">
        <f>IFERROR(__xludf.DUMMYFUNCTION("""COMPUTED_VALUE"""),"Pine Ridge")</f>
        <v>Pine Ridge</v>
      </c>
      <c r="D6607" s="120" t="str">
        <f>IFERROR(__xludf.DUMMYFUNCTION("""COMPUTED_VALUE"""),"United States")</f>
        <v>United States</v>
      </c>
      <c r="E6607" s="135"/>
      <c r="F6607" s="31"/>
    </row>
    <row r="6608">
      <c r="A6608" s="134" t="str">
        <f>IFERROR(__xludf.DUMMYFUNCTION("""COMPUTED_VALUE"""),"Pingtung")</f>
        <v>Pingtung</v>
      </c>
      <c r="B6608" s="120" t="str">
        <f>IFERROR(__xludf.DUMMYFUNCTION("""COMPUTED_VALUE"""),"PIF")</f>
        <v>PIF</v>
      </c>
      <c r="C6608" s="120" t="str">
        <f>IFERROR(__xludf.DUMMYFUNCTION("""COMPUTED_VALUE"""),"Pingtung")</f>
        <v>Pingtung</v>
      </c>
      <c r="D6608" s="120" t="str">
        <f>IFERROR(__xludf.DUMMYFUNCTION("""COMPUTED_VALUE"""),"Taiwan")</f>
        <v>Taiwan</v>
      </c>
      <c r="E6608" s="135"/>
      <c r="F6608" s="31"/>
    </row>
    <row r="6609">
      <c r="A6609" s="134" t="str">
        <f>IFERROR(__xludf.DUMMYFUNCTION("""COMPUTED_VALUE"""),"Pinheiro")</f>
        <v>Pinheiro</v>
      </c>
      <c r="B6609" s="120" t="str">
        <f>IFERROR(__xludf.DUMMYFUNCTION("""COMPUTED_VALUE"""),"PHI")</f>
        <v>PHI</v>
      </c>
      <c r="C6609" s="120" t="str">
        <f>IFERROR(__xludf.DUMMYFUNCTION("""COMPUTED_VALUE"""),"Pinheiro")</f>
        <v>Pinheiro</v>
      </c>
      <c r="D6609" s="120" t="str">
        <f>IFERROR(__xludf.DUMMYFUNCTION("""COMPUTED_VALUE"""),"Brazil")</f>
        <v>Brazil</v>
      </c>
      <c r="E6609" s="135"/>
      <c r="F6609" s="31"/>
    </row>
    <row r="6610">
      <c r="A6610" s="134" t="str">
        <f>IFERROR(__xludf.DUMMYFUNCTION("""COMPUTED_VALUE"""),"Pinotepa Nacional")</f>
        <v>Pinotepa Nacional</v>
      </c>
      <c r="B6610" s="120" t="str">
        <f>IFERROR(__xludf.DUMMYFUNCTION("""COMPUTED_VALUE"""),"PNO")</f>
        <v>PNO</v>
      </c>
      <c r="C6610" s="120" t="str">
        <f>IFERROR(__xludf.DUMMYFUNCTION("""COMPUTED_VALUE"""),"Pinotepa Nacional")</f>
        <v>Pinotepa Nacional</v>
      </c>
      <c r="D6610" s="120" t="str">
        <f>IFERROR(__xludf.DUMMYFUNCTION("""COMPUTED_VALUE"""),"Mexico")</f>
        <v>Mexico</v>
      </c>
      <c r="E6610" s="135"/>
      <c r="F6610" s="31"/>
    </row>
    <row r="6611">
      <c r="A6611" s="134" t="str">
        <f>IFERROR(__xludf.DUMMYFUNCTION("""COMPUTED_VALUE"""),"Pipillipai")</f>
        <v>Pipillipai</v>
      </c>
      <c r="B6611" s="120" t="str">
        <f>IFERROR(__xludf.DUMMYFUNCTION("""COMPUTED_VALUE"""),"PIQ")</f>
        <v>PIQ</v>
      </c>
      <c r="C6611" s="120" t="str">
        <f>IFERROR(__xludf.DUMMYFUNCTION("""COMPUTED_VALUE"""),"Pipillipai")</f>
        <v>Pipillipai</v>
      </c>
      <c r="D6611" s="120" t="str">
        <f>IFERROR(__xludf.DUMMYFUNCTION("""COMPUTED_VALUE"""),"Guyana")</f>
        <v>Guyana</v>
      </c>
      <c r="E6611" s="135"/>
      <c r="F6611" s="31"/>
    </row>
    <row r="6612">
      <c r="A6612" s="134" t="str">
        <f>IFERROR(__xludf.DUMMYFUNCTION("""COMPUTED_VALUE"""),"Pirapora")</f>
        <v>Pirapora</v>
      </c>
      <c r="B6612" s="120" t="str">
        <f>IFERROR(__xludf.DUMMYFUNCTION("""COMPUTED_VALUE"""),"PIV")</f>
        <v>PIV</v>
      </c>
      <c r="C6612" s="120" t="str">
        <f>IFERROR(__xludf.DUMMYFUNCTION("""COMPUTED_VALUE"""),"Pirapora")</f>
        <v>Pirapora</v>
      </c>
      <c r="D6612" s="120" t="str">
        <f>IFERROR(__xludf.DUMMYFUNCTION("""COMPUTED_VALUE"""),"Brazil")</f>
        <v>Brazil</v>
      </c>
      <c r="E6612" s="135"/>
      <c r="F6612" s="31"/>
    </row>
    <row r="6613">
      <c r="A6613" s="134" t="str">
        <f>IFERROR(__xludf.DUMMYFUNCTION("""COMPUTED_VALUE"""),"Pisco")</f>
        <v>Pisco</v>
      </c>
      <c r="B6613" s="120" t="str">
        <f>IFERROR(__xludf.DUMMYFUNCTION("""COMPUTED_VALUE"""),"PIO")</f>
        <v>PIO</v>
      </c>
      <c r="C6613" s="120" t="str">
        <f>IFERROR(__xludf.DUMMYFUNCTION("""COMPUTED_VALUE"""),"Pisco")</f>
        <v>Pisco</v>
      </c>
      <c r="D6613" s="120" t="str">
        <f>IFERROR(__xludf.DUMMYFUNCTION("""COMPUTED_VALUE"""),"Peru")</f>
        <v>Peru</v>
      </c>
      <c r="E6613" s="135"/>
      <c r="F6613" s="31"/>
    </row>
    <row r="6614">
      <c r="A6614" s="134" t="str">
        <f>IFERROR(__xludf.DUMMYFUNCTION("""COMPUTED_VALUE"""),"Pitalito")</f>
        <v>Pitalito</v>
      </c>
      <c r="B6614" s="120" t="str">
        <f>IFERROR(__xludf.DUMMYFUNCTION("""COMPUTED_VALUE"""),"PTX")</f>
        <v>PTX</v>
      </c>
      <c r="C6614" s="120" t="str">
        <f>IFERROR(__xludf.DUMMYFUNCTION("""COMPUTED_VALUE"""),"Pitalito")</f>
        <v>Pitalito</v>
      </c>
      <c r="D6614" s="120" t="str">
        <f>IFERROR(__xludf.DUMMYFUNCTION("""COMPUTED_VALUE"""),"Colombia")</f>
        <v>Colombia</v>
      </c>
      <c r="E6614" s="135"/>
      <c r="F6614" s="31"/>
    </row>
    <row r="6615">
      <c r="A6615" s="134" t="str">
        <f>IFERROR(__xludf.DUMMYFUNCTION("""COMPUTED_VALUE"""),"Pitinga")</f>
        <v>Pitinga</v>
      </c>
      <c r="B6615" s="120" t="str">
        <f>IFERROR(__xludf.DUMMYFUNCTION("""COMPUTED_VALUE"""),"PIG")</f>
        <v>PIG</v>
      </c>
      <c r="C6615" s="120" t="str">
        <f>IFERROR(__xludf.DUMMYFUNCTION("""COMPUTED_VALUE"""),"Pitinga")</f>
        <v>Pitinga</v>
      </c>
      <c r="D6615" s="120" t="str">
        <f>IFERROR(__xludf.DUMMYFUNCTION("""COMPUTED_VALUE"""),"Brazil")</f>
        <v>Brazil</v>
      </c>
      <c r="E6615" s="135"/>
      <c r="F6615" s="31"/>
    </row>
    <row r="6616">
      <c r="A6616" s="134" t="str">
        <f>IFERROR(__xludf.DUMMYFUNCTION("""COMPUTED_VALUE"""),"Pitts Town")</f>
        <v>Pitts Town</v>
      </c>
      <c r="B6616" s="120" t="str">
        <f>IFERROR(__xludf.DUMMYFUNCTION("""COMPUTED_VALUE"""),"PWN")</f>
        <v>PWN</v>
      </c>
      <c r="C6616" s="120" t="str">
        <f>IFERROR(__xludf.DUMMYFUNCTION("""COMPUTED_VALUE"""),"Pitts Town")</f>
        <v>Pitts Town</v>
      </c>
      <c r="D6616" s="120" t="str">
        <f>IFERROR(__xludf.DUMMYFUNCTION("""COMPUTED_VALUE"""),"Bahamas")</f>
        <v>Bahamas</v>
      </c>
      <c r="E6616" s="135"/>
      <c r="F6616" s="31"/>
    </row>
    <row r="6617">
      <c r="A6617" s="134" t="str">
        <f>IFERROR(__xludf.DUMMYFUNCTION("""COMPUTED_VALUE"""),"Pittsburg")</f>
        <v>Pittsburg</v>
      </c>
      <c r="B6617" s="120" t="str">
        <f>IFERROR(__xludf.DUMMYFUNCTION("""COMPUTED_VALUE"""),"PTS")</f>
        <v>PTS</v>
      </c>
      <c r="C6617" s="120" t="str">
        <f>IFERROR(__xludf.DUMMYFUNCTION("""COMPUTED_VALUE"""),"Municipal")</f>
        <v>Municipal</v>
      </c>
      <c r="D6617" s="120" t="str">
        <f>IFERROR(__xludf.DUMMYFUNCTION("""COMPUTED_VALUE"""),"United States")</f>
        <v>United States</v>
      </c>
      <c r="E6617" s="135"/>
      <c r="F6617" s="31"/>
    </row>
    <row r="6618">
      <c r="A6618" s="134" t="str">
        <f>IFERROR(__xludf.DUMMYFUNCTION("""COMPUTED_VALUE"""),"Pittsburgh")</f>
        <v>Pittsburgh</v>
      </c>
      <c r="B6618" s="120" t="str">
        <f>IFERROR(__xludf.DUMMYFUNCTION("""COMPUTED_VALUE"""),"AGC")</f>
        <v>AGC</v>
      </c>
      <c r="C6618" s="120" t="str">
        <f>IFERROR(__xludf.DUMMYFUNCTION("""COMPUTED_VALUE"""),"Allegheny County")</f>
        <v>Allegheny County</v>
      </c>
      <c r="D6618" s="120" t="str">
        <f>IFERROR(__xludf.DUMMYFUNCTION("""COMPUTED_VALUE"""),"United States")</f>
        <v>United States</v>
      </c>
      <c r="E6618" s="135"/>
      <c r="F6618" s="31"/>
    </row>
    <row r="6619">
      <c r="A6619" s="134" t="str">
        <f>IFERROR(__xludf.DUMMYFUNCTION("""COMPUTED_VALUE"""),"Pittsburgh")</f>
        <v>Pittsburgh</v>
      </c>
      <c r="B6619" s="120" t="str">
        <f>IFERROR(__xludf.DUMMYFUNCTION("""COMPUTED_VALUE"""),"CVA")</f>
        <v>CVA</v>
      </c>
      <c r="C6619" s="120" t="str">
        <f>IFERROR(__xludf.DUMMYFUNCTION("""COMPUTED_VALUE"""),"Civic Ar Heli")</f>
        <v>Civic Ar Heli</v>
      </c>
      <c r="D6619" s="120" t="str">
        <f>IFERROR(__xludf.DUMMYFUNCTION("""COMPUTED_VALUE"""),"United States")</f>
        <v>United States</v>
      </c>
      <c r="E6619" s="135"/>
      <c r="F6619" s="31"/>
    </row>
    <row r="6620">
      <c r="A6620" s="134" t="str">
        <f>IFERROR(__xludf.DUMMYFUNCTION("""COMPUTED_VALUE"""),"Pittsfield")</f>
        <v>Pittsfield</v>
      </c>
      <c r="B6620" s="120" t="str">
        <f>IFERROR(__xludf.DUMMYFUNCTION("""COMPUTED_VALUE"""),"PSF")</f>
        <v>PSF</v>
      </c>
      <c r="C6620" s="120" t="str">
        <f>IFERROR(__xludf.DUMMYFUNCTION("""COMPUTED_VALUE"""),"Pittsfield")</f>
        <v>Pittsfield</v>
      </c>
      <c r="D6620" s="120" t="str">
        <f>IFERROR(__xludf.DUMMYFUNCTION("""COMPUTED_VALUE"""),"United States")</f>
        <v>United States</v>
      </c>
      <c r="E6620" s="135"/>
      <c r="F6620" s="31"/>
    </row>
    <row r="6621">
      <c r="A6621" s="134" t="str">
        <f>IFERROR(__xludf.DUMMYFUNCTION("""COMPUTED_VALUE"""),"Pituffik")</f>
        <v>Pituffik</v>
      </c>
      <c r="B6621" s="120" t="str">
        <f>IFERROR(__xludf.DUMMYFUNCTION("""COMPUTED_VALUE"""),"THU")</f>
        <v>THU</v>
      </c>
      <c r="C6621" s="120" t="str">
        <f>IFERROR(__xludf.DUMMYFUNCTION("""COMPUTED_VALUE"""),"Pituffik")</f>
        <v>Pituffik</v>
      </c>
      <c r="D6621" s="120" t="str">
        <f>IFERROR(__xludf.DUMMYFUNCTION("""COMPUTED_VALUE"""),"Greenland")</f>
        <v>Greenland</v>
      </c>
      <c r="E6621" s="135"/>
      <c r="F6621" s="31"/>
    </row>
    <row r="6622">
      <c r="A6622" s="134" t="str">
        <f>IFERROR(__xludf.DUMMYFUNCTION("""COMPUTED_VALUE"""),"Piura")</f>
        <v>Piura</v>
      </c>
      <c r="B6622" s="120" t="str">
        <f>IFERROR(__xludf.DUMMYFUNCTION("""COMPUTED_VALUE"""),"PIU")</f>
        <v>PIU</v>
      </c>
      <c r="C6622" s="120" t="str">
        <f>IFERROR(__xludf.DUMMYFUNCTION("""COMPUTED_VALUE"""),"Piura")</f>
        <v>Piura</v>
      </c>
      <c r="D6622" s="120" t="str">
        <f>IFERROR(__xludf.DUMMYFUNCTION("""COMPUTED_VALUE"""),"Peru")</f>
        <v>Peru</v>
      </c>
      <c r="E6622" s="135"/>
      <c r="F6622" s="31"/>
    </row>
    <row r="6623">
      <c r="A6623" s="134" t="str">
        <f>IFERROR(__xludf.DUMMYFUNCTION("""COMPUTED_VALUE"""),"Placencia")</f>
        <v>Placencia</v>
      </c>
      <c r="B6623" s="120" t="str">
        <f>IFERROR(__xludf.DUMMYFUNCTION("""COMPUTED_VALUE"""),"PLJ")</f>
        <v>PLJ</v>
      </c>
      <c r="C6623" s="120" t="str">
        <f>IFERROR(__xludf.DUMMYFUNCTION("""COMPUTED_VALUE"""),"Placencia")</f>
        <v>Placencia</v>
      </c>
      <c r="D6623" s="120" t="str">
        <f>IFERROR(__xludf.DUMMYFUNCTION("""COMPUTED_VALUE"""),"Belize")</f>
        <v>Belize</v>
      </c>
      <c r="E6623" s="135"/>
      <c r="F6623" s="31"/>
    </row>
    <row r="6624">
      <c r="A6624" s="134" t="str">
        <f>IFERROR(__xludf.DUMMYFUNCTION("""COMPUTED_VALUE"""),"Placerville")</f>
        <v>Placerville</v>
      </c>
      <c r="B6624" s="120" t="str">
        <f>IFERROR(__xludf.DUMMYFUNCTION("""COMPUTED_VALUE"""),"PVF")</f>
        <v>PVF</v>
      </c>
      <c r="C6624" s="120" t="str">
        <f>IFERROR(__xludf.DUMMYFUNCTION("""COMPUTED_VALUE"""),"Placerville")</f>
        <v>Placerville</v>
      </c>
      <c r="D6624" s="120" t="str">
        <f>IFERROR(__xludf.DUMMYFUNCTION("""COMPUTED_VALUE"""),"United States")</f>
        <v>United States</v>
      </c>
      <c r="E6624" s="135"/>
      <c r="F6624" s="31"/>
    </row>
    <row r="6625">
      <c r="A6625" s="134" t="str">
        <f>IFERROR(__xludf.DUMMYFUNCTION("""COMPUTED_VALUE"""),"Plainview")</f>
        <v>Plainview</v>
      </c>
      <c r="B6625" s="120" t="str">
        <f>IFERROR(__xludf.DUMMYFUNCTION("""COMPUTED_VALUE"""),"PVW")</f>
        <v>PVW</v>
      </c>
      <c r="C6625" s="120" t="str">
        <f>IFERROR(__xludf.DUMMYFUNCTION("""COMPUTED_VALUE"""),"Hale County")</f>
        <v>Hale County</v>
      </c>
      <c r="D6625" s="120" t="str">
        <f>IFERROR(__xludf.DUMMYFUNCTION("""COMPUTED_VALUE"""),"United States")</f>
        <v>United States</v>
      </c>
      <c r="E6625" s="135"/>
      <c r="F6625" s="31"/>
    </row>
    <row r="6626">
      <c r="A6626" s="134" t="str">
        <f>IFERROR(__xludf.DUMMYFUNCTION("""COMPUTED_VALUE"""),"Planadas")</f>
        <v>Planadas</v>
      </c>
      <c r="B6626" s="120" t="str">
        <f>IFERROR(__xludf.DUMMYFUNCTION("""COMPUTED_VALUE"""),"PLA")</f>
        <v>PLA</v>
      </c>
      <c r="C6626" s="120" t="str">
        <f>IFERROR(__xludf.DUMMYFUNCTION("""COMPUTED_VALUE"""),"Planadas")</f>
        <v>Planadas</v>
      </c>
      <c r="D6626" s="120" t="str">
        <f>IFERROR(__xludf.DUMMYFUNCTION("""COMPUTED_VALUE"""),"Colombia")</f>
        <v>Colombia</v>
      </c>
      <c r="E6626" s="135"/>
      <c r="F6626" s="31"/>
    </row>
    <row r="6627">
      <c r="A6627" s="134" t="str">
        <f>IFERROR(__xludf.DUMMYFUNCTION("""COMPUTED_VALUE"""),"Planeta Rica")</f>
        <v>Planeta Rica</v>
      </c>
      <c r="B6627" s="120" t="str">
        <f>IFERROR(__xludf.DUMMYFUNCTION("""COMPUTED_VALUE"""),"PLC")</f>
        <v>PLC</v>
      </c>
      <c r="C6627" s="120" t="str">
        <f>IFERROR(__xludf.DUMMYFUNCTION("""COMPUTED_VALUE"""),"Planeta Rica")</f>
        <v>Planeta Rica</v>
      </c>
      <c r="D6627" s="120" t="str">
        <f>IFERROR(__xludf.DUMMYFUNCTION("""COMPUTED_VALUE"""),"Colombia")</f>
        <v>Colombia</v>
      </c>
      <c r="E6627" s="135"/>
      <c r="F6627" s="31"/>
    </row>
    <row r="6628">
      <c r="A6628" s="134" t="str">
        <f>IFERROR(__xludf.DUMMYFUNCTION("""COMPUTED_VALUE"""),"Platinum")</f>
        <v>Platinum</v>
      </c>
      <c r="B6628" s="120" t="str">
        <f>IFERROR(__xludf.DUMMYFUNCTION("""COMPUTED_VALUE"""),"PTU")</f>
        <v>PTU</v>
      </c>
      <c r="C6628" s="120" t="str">
        <f>IFERROR(__xludf.DUMMYFUNCTION("""COMPUTED_VALUE"""),"Platinum")</f>
        <v>Platinum</v>
      </c>
      <c r="D6628" s="120" t="str">
        <f>IFERROR(__xludf.DUMMYFUNCTION("""COMPUTED_VALUE"""),"United States")</f>
        <v>United States</v>
      </c>
      <c r="E6628" s="135"/>
      <c r="F6628" s="31"/>
    </row>
    <row r="6629">
      <c r="A6629" s="134" t="str">
        <f>IFERROR(__xludf.DUMMYFUNCTION("""COMPUTED_VALUE"""),"Plato")</f>
        <v>Plato</v>
      </c>
      <c r="B6629" s="120" t="str">
        <f>IFERROR(__xludf.DUMMYFUNCTION("""COMPUTED_VALUE"""),"PLT")</f>
        <v>PLT</v>
      </c>
      <c r="C6629" s="120" t="str">
        <f>IFERROR(__xludf.DUMMYFUNCTION("""COMPUTED_VALUE"""),"Plato")</f>
        <v>Plato</v>
      </c>
      <c r="D6629" s="120" t="str">
        <f>IFERROR(__xludf.DUMMYFUNCTION("""COMPUTED_VALUE"""),"Colombia")</f>
        <v>Colombia</v>
      </c>
      <c r="E6629" s="135"/>
      <c r="F6629" s="31"/>
    </row>
    <row r="6630">
      <c r="A6630" s="134" t="str">
        <f>IFERROR(__xludf.DUMMYFUNCTION("""COMPUTED_VALUE"""),"Plattsburgh")</f>
        <v>Plattsburgh</v>
      </c>
      <c r="B6630" s="120" t="str">
        <f>IFERROR(__xludf.DUMMYFUNCTION("""COMPUTED_VALUE"""),"PBG")</f>
        <v>PBG</v>
      </c>
      <c r="C6630" s="120" t="str">
        <f>IFERROR(__xludf.DUMMYFUNCTION("""COMPUTED_VALUE"""),"AFB")</f>
        <v>AFB</v>
      </c>
      <c r="D6630" s="120" t="str">
        <f>IFERROR(__xludf.DUMMYFUNCTION("""COMPUTED_VALUE"""),"United States")</f>
        <v>United States</v>
      </c>
      <c r="E6630" s="135"/>
      <c r="F6630" s="31"/>
    </row>
    <row r="6631">
      <c r="A6631" s="134" t="str">
        <f>IFERROR(__xludf.DUMMYFUNCTION("""COMPUTED_VALUE"""),"Plattsburgh")</f>
        <v>Plattsburgh</v>
      </c>
      <c r="B6631" s="120" t="str">
        <f>IFERROR(__xludf.DUMMYFUNCTION("""COMPUTED_VALUE"""),"PLB")</f>
        <v>PLB</v>
      </c>
      <c r="C6631" s="120" t="str">
        <f>IFERROR(__xludf.DUMMYFUNCTION("""COMPUTED_VALUE"""),"Clinton County")</f>
        <v>Clinton County</v>
      </c>
      <c r="D6631" s="120" t="str">
        <f>IFERROR(__xludf.DUMMYFUNCTION("""COMPUTED_VALUE"""),"United States")</f>
        <v>United States</v>
      </c>
      <c r="E6631" s="135"/>
      <c r="F6631" s="31"/>
    </row>
    <row r="6632">
      <c r="A6632" s="134" t="str">
        <f>IFERROR(__xludf.DUMMYFUNCTION("""COMPUTED_VALUE"""),"Playa Del Carmen")</f>
        <v>Playa Del Carmen</v>
      </c>
      <c r="B6632" s="120" t="str">
        <f>IFERROR(__xludf.DUMMYFUNCTION("""COMPUTED_VALUE"""),"PCM")</f>
        <v>PCM</v>
      </c>
      <c r="C6632" s="120" t="str">
        <f>IFERROR(__xludf.DUMMYFUNCTION("""COMPUTED_VALUE"""),"Playa Del Carmen")</f>
        <v>Playa Del Carmen</v>
      </c>
      <c r="D6632" s="120" t="str">
        <f>IFERROR(__xludf.DUMMYFUNCTION("""COMPUTED_VALUE"""),"Mexico")</f>
        <v>Mexico</v>
      </c>
      <c r="E6632" s="135"/>
      <c r="F6632" s="31"/>
    </row>
    <row r="6633">
      <c r="A6633" s="134" t="str">
        <f>IFERROR(__xludf.DUMMYFUNCTION("""COMPUTED_VALUE"""),"Playa Grande")</f>
        <v>Playa Grande</v>
      </c>
      <c r="B6633" s="120" t="str">
        <f>IFERROR(__xludf.DUMMYFUNCTION("""COMPUTED_VALUE"""),"PKJ")</f>
        <v>PKJ</v>
      </c>
      <c r="C6633" s="120" t="str">
        <f>IFERROR(__xludf.DUMMYFUNCTION("""COMPUTED_VALUE"""),"Playa Grande")</f>
        <v>Playa Grande</v>
      </c>
      <c r="D6633" s="120" t="str">
        <f>IFERROR(__xludf.DUMMYFUNCTION("""COMPUTED_VALUE"""),"Guatemala")</f>
        <v>Guatemala</v>
      </c>
      <c r="E6633" s="135"/>
      <c r="F6633" s="31"/>
    </row>
    <row r="6634">
      <c r="A6634" s="134" t="str">
        <f>IFERROR(__xludf.DUMMYFUNCTION("""COMPUTED_VALUE"""),"Playa Samara")</f>
        <v>Playa Samara</v>
      </c>
      <c r="B6634" s="120" t="str">
        <f>IFERROR(__xludf.DUMMYFUNCTION("""COMPUTED_VALUE"""),"PLD")</f>
        <v>PLD</v>
      </c>
      <c r="C6634" s="120" t="str">
        <f>IFERROR(__xludf.DUMMYFUNCTION("""COMPUTED_VALUE"""),"Playa Samara")</f>
        <v>Playa Samara</v>
      </c>
      <c r="D6634" s="120" t="str">
        <f>IFERROR(__xludf.DUMMYFUNCTION("""COMPUTED_VALUE"""),"Costa Rica")</f>
        <v>Costa Rica</v>
      </c>
      <c r="E6634" s="135"/>
      <c r="F6634" s="31"/>
    </row>
    <row r="6635">
      <c r="A6635" s="134" t="str">
        <f>IFERROR(__xludf.DUMMYFUNCTION("""COMPUTED_VALUE"""),"Playon Chico")</f>
        <v>Playon Chico</v>
      </c>
      <c r="B6635" s="120" t="str">
        <f>IFERROR(__xludf.DUMMYFUNCTION("""COMPUTED_VALUE"""),"PYC")</f>
        <v>PYC</v>
      </c>
      <c r="C6635" s="120" t="str">
        <f>IFERROR(__xludf.DUMMYFUNCTION("""COMPUTED_VALUE"""),"Playon Chico")</f>
        <v>Playon Chico</v>
      </c>
      <c r="D6635" s="120" t="str">
        <f>IFERROR(__xludf.DUMMYFUNCTION("""COMPUTED_VALUE"""),"Panama")</f>
        <v>Panama</v>
      </c>
      <c r="E6635" s="135"/>
      <c r="F6635" s="31"/>
    </row>
    <row r="6636">
      <c r="A6636" s="134" t="str">
        <f>IFERROR(__xludf.DUMMYFUNCTION("""COMPUTED_VALUE"""),"Pleasant Harbour")</f>
        <v>Pleasant Harbour</v>
      </c>
      <c r="B6636" s="120" t="str">
        <f>IFERROR(__xludf.DUMMYFUNCTION("""COMPUTED_VALUE"""),"PTR")</f>
        <v>PTR</v>
      </c>
      <c r="C6636" s="120" t="str">
        <f>IFERROR(__xludf.DUMMYFUNCTION("""COMPUTED_VALUE"""),"Pleasant Harbour")</f>
        <v>Pleasant Harbour</v>
      </c>
      <c r="D6636" s="120" t="str">
        <f>IFERROR(__xludf.DUMMYFUNCTION("""COMPUTED_VALUE"""),"United States")</f>
        <v>United States</v>
      </c>
      <c r="E6636" s="135"/>
      <c r="F6636" s="31"/>
    </row>
    <row r="6637">
      <c r="A6637" s="134" t="str">
        <f>IFERROR(__xludf.DUMMYFUNCTION("""COMPUTED_VALUE"""),"Pleasanton")</f>
        <v>Pleasanton</v>
      </c>
      <c r="B6637" s="120" t="str">
        <f>IFERROR(__xludf.DUMMYFUNCTION("""COMPUTED_VALUE"""),"JBS")</f>
        <v>JBS</v>
      </c>
      <c r="C6637" s="120" t="str">
        <f>IFERROR(__xludf.DUMMYFUNCTION("""COMPUTED_VALUE"""),"Hacienda Bus.Park H/P")</f>
        <v>Hacienda Bus.Park H/P</v>
      </c>
      <c r="D6637" s="120" t="str">
        <f>IFERROR(__xludf.DUMMYFUNCTION("""COMPUTED_VALUE"""),"United States")</f>
        <v>United States</v>
      </c>
      <c r="E6637" s="135"/>
      <c r="F6637" s="31"/>
    </row>
    <row r="6638">
      <c r="A6638" s="134" t="str">
        <f>IFERROR(__xludf.DUMMYFUNCTION("""COMPUTED_VALUE"""),"Pleiku")</f>
        <v>Pleiku</v>
      </c>
      <c r="B6638" s="120" t="str">
        <f>IFERROR(__xludf.DUMMYFUNCTION("""COMPUTED_VALUE"""),"PXU")</f>
        <v>PXU</v>
      </c>
      <c r="C6638" s="120" t="str">
        <f>IFERROR(__xludf.DUMMYFUNCTION("""COMPUTED_VALUE"""),"Pleiku")</f>
        <v>Pleiku</v>
      </c>
      <c r="D6638" s="120" t="str">
        <f>IFERROR(__xludf.DUMMYFUNCTION("""COMPUTED_VALUE"""),"Vietnam")</f>
        <v>Vietnam</v>
      </c>
      <c r="E6638" s="135"/>
      <c r="F6638" s="31"/>
    </row>
    <row r="6639">
      <c r="A6639" s="134" t="str">
        <f>IFERROR(__xludf.DUMMYFUNCTION("""COMPUTED_VALUE"""),"Plentywood")</f>
        <v>Plentywood</v>
      </c>
      <c r="B6639" s="120" t="str">
        <f>IFERROR(__xludf.DUMMYFUNCTION("""COMPUTED_VALUE"""),"PWD")</f>
        <v>PWD</v>
      </c>
      <c r="C6639" s="120" t="str">
        <f>IFERROR(__xludf.DUMMYFUNCTION("""COMPUTED_VALUE"""),"Sherwood")</f>
        <v>Sherwood</v>
      </c>
      <c r="D6639" s="120" t="str">
        <f>IFERROR(__xludf.DUMMYFUNCTION("""COMPUTED_VALUE"""),"United States")</f>
        <v>United States</v>
      </c>
      <c r="E6639" s="135"/>
      <c r="F6639" s="31"/>
    </row>
    <row r="6640">
      <c r="A6640" s="134" t="str">
        <f>IFERROR(__xludf.DUMMYFUNCTION("""COMPUTED_VALUE"""),"Plettenberg Bay")</f>
        <v>Plettenberg Bay</v>
      </c>
      <c r="B6640" s="120" t="str">
        <f>IFERROR(__xludf.DUMMYFUNCTION("""COMPUTED_VALUE"""),"PBZ")</f>
        <v>PBZ</v>
      </c>
      <c r="C6640" s="120" t="str">
        <f>IFERROR(__xludf.DUMMYFUNCTION("""COMPUTED_VALUE"""),"Plettenberg Bay")</f>
        <v>Plettenberg Bay</v>
      </c>
      <c r="D6640" s="120" t="str">
        <f>IFERROR(__xludf.DUMMYFUNCTION("""COMPUTED_VALUE"""),"South Africa")</f>
        <v>South Africa</v>
      </c>
      <c r="E6640" s="135"/>
      <c r="F6640" s="31"/>
    </row>
    <row r="6641">
      <c r="A6641" s="134" t="str">
        <f>IFERROR(__xludf.DUMMYFUNCTION("""COMPUTED_VALUE"""),"Pleven")</f>
        <v>Pleven</v>
      </c>
      <c r="B6641" s="120" t="str">
        <f>IFERROR(__xludf.DUMMYFUNCTION("""COMPUTED_VALUE"""),"PVN")</f>
        <v>PVN</v>
      </c>
      <c r="C6641" s="120" t="str">
        <f>IFERROR(__xludf.DUMMYFUNCTION("""COMPUTED_VALUE"""),"Pleven")</f>
        <v>Pleven</v>
      </c>
      <c r="D6641" s="120" t="str">
        <f>IFERROR(__xludf.DUMMYFUNCTION("""COMPUTED_VALUE"""),"Bulgaria")</f>
        <v>Bulgaria</v>
      </c>
      <c r="E6641" s="135"/>
      <c r="F6641" s="31"/>
    </row>
    <row r="6642">
      <c r="A6642" s="134" t="str">
        <f>IFERROR(__xludf.DUMMYFUNCTION("""COMPUTED_VALUE"""),"Plovdiv")</f>
        <v>Plovdiv</v>
      </c>
      <c r="B6642" s="120" t="str">
        <f>IFERROR(__xludf.DUMMYFUNCTION("""COMPUTED_VALUE"""),"PDV")</f>
        <v>PDV</v>
      </c>
      <c r="C6642" s="120" t="str">
        <f>IFERROR(__xludf.DUMMYFUNCTION("""COMPUTED_VALUE"""),"Plovdiv")</f>
        <v>Plovdiv</v>
      </c>
      <c r="D6642" s="120" t="str">
        <f>IFERROR(__xludf.DUMMYFUNCTION("""COMPUTED_VALUE"""),"Bulgaria")</f>
        <v>Bulgaria</v>
      </c>
      <c r="E6642" s="135"/>
      <c r="F6642" s="31"/>
    </row>
    <row r="6643">
      <c r="A6643" s="134" t="str">
        <f>IFERROR(__xludf.DUMMYFUNCTION("""COMPUTED_VALUE"""),"Plymouth")</f>
        <v>Plymouth</v>
      </c>
      <c r="B6643" s="120" t="str">
        <f>IFERROR(__xludf.DUMMYFUNCTION("""COMPUTED_VALUE"""),"PLH")</f>
        <v>PLH</v>
      </c>
      <c r="C6643" s="120" t="str">
        <f>IFERROR(__xludf.DUMMYFUNCTION("""COMPUTED_VALUE"""),"Plymouth")</f>
        <v>Plymouth</v>
      </c>
      <c r="D6643" s="120" t="str">
        <f>IFERROR(__xludf.DUMMYFUNCTION("""COMPUTED_VALUE"""),"United Kingdom")</f>
        <v>United Kingdom</v>
      </c>
      <c r="E6643" s="135"/>
      <c r="F6643" s="31"/>
    </row>
    <row r="6644">
      <c r="A6644" s="134" t="str">
        <f>IFERROR(__xludf.DUMMYFUNCTION("""COMPUTED_VALUE"""),"Plymouth")</f>
        <v>Plymouth</v>
      </c>
      <c r="B6644" s="120" t="str">
        <f>IFERROR(__xludf.DUMMYFUNCTION("""COMPUTED_VALUE"""),"PLY")</f>
        <v>PLY</v>
      </c>
      <c r="C6644" s="120" t="str">
        <f>IFERROR(__xludf.DUMMYFUNCTION("""COMPUTED_VALUE"""),"Plymouth")</f>
        <v>Plymouth</v>
      </c>
      <c r="D6644" s="120" t="str">
        <f>IFERROR(__xludf.DUMMYFUNCTION("""COMPUTED_VALUE"""),"United States")</f>
        <v>United States</v>
      </c>
      <c r="E6644" s="135"/>
      <c r="F6644" s="31"/>
    </row>
    <row r="6645">
      <c r="A6645" s="134" t="str">
        <f>IFERROR(__xludf.DUMMYFUNCTION("""COMPUTED_VALUE"""),"Plymouth")</f>
        <v>Plymouth</v>
      </c>
      <c r="B6645" s="120" t="str">
        <f>IFERROR(__xludf.DUMMYFUNCTION("""COMPUTED_VALUE"""),"PYM")</f>
        <v>PYM</v>
      </c>
      <c r="C6645" s="120" t="str">
        <f>IFERROR(__xludf.DUMMYFUNCTION("""COMPUTED_VALUE"""),"Plymouth")</f>
        <v>Plymouth</v>
      </c>
      <c r="D6645" s="120" t="str">
        <f>IFERROR(__xludf.DUMMYFUNCTION("""COMPUTED_VALUE"""),"United States")</f>
        <v>United States</v>
      </c>
      <c r="E6645" s="135"/>
      <c r="F6645" s="31"/>
    </row>
    <row r="6646">
      <c r="A6646" s="134" t="str">
        <f>IFERROR(__xludf.DUMMYFUNCTION("""COMPUTED_VALUE"""),"Po")</f>
        <v>Po</v>
      </c>
      <c r="B6646" s="120" t="str">
        <f>IFERROR(__xludf.DUMMYFUNCTION("""COMPUTED_VALUE"""),"PUP")</f>
        <v>PUP</v>
      </c>
      <c r="C6646" s="120" t="str">
        <f>IFERROR(__xludf.DUMMYFUNCTION("""COMPUTED_VALUE"""),"Po")</f>
        <v>Po</v>
      </c>
      <c r="D6646" s="120" t="str">
        <f>IFERROR(__xludf.DUMMYFUNCTION("""COMPUTED_VALUE"""),"Burkina Faso")</f>
        <v>Burkina Faso</v>
      </c>
      <c r="E6646" s="135"/>
      <c r="F6646" s="31"/>
    </row>
    <row r="6647">
      <c r="A6647" s="134" t="str">
        <f>IFERROR(__xludf.DUMMYFUNCTION("""COMPUTED_VALUE"""),"Pocahontas")</f>
        <v>Pocahontas</v>
      </c>
      <c r="B6647" s="120" t="str">
        <f>IFERROR(__xludf.DUMMYFUNCTION("""COMPUTED_VALUE"""),"POH")</f>
        <v>POH</v>
      </c>
      <c r="C6647" s="120" t="str">
        <f>IFERROR(__xludf.DUMMYFUNCTION("""COMPUTED_VALUE"""),"Municipal")</f>
        <v>Municipal</v>
      </c>
      <c r="D6647" s="120" t="str">
        <f>IFERROR(__xludf.DUMMYFUNCTION("""COMPUTED_VALUE"""),"United States")</f>
        <v>United States</v>
      </c>
      <c r="E6647" s="135"/>
      <c r="F6647" s="31"/>
    </row>
    <row r="6648">
      <c r="A6648" s="134" t="str">
        <f>IFERROR(__xludf.DUMMYFUNCTION("""COMPUTED_VALUE"""),"Pocatello")</f>
        <v>Pocatello</v>
      </c>
      <c r="B6648" s="120" t="str">
        <f>IFERROR(__xludf.DUMMYFUNCTION("""COMPUTED_VALUE"""),"PIH")</f>
        <v>PIH</v>
      </c>
      <c r="C6648" s="120" t="str">
        <f>IFERROR(__xludf.DUMMYFUNCTION("""COMPUTED_VALUE"""),"Pocatello")</f>
        <v>Pocatello</v>
      </c>
      <c r="D6648" s="120" t="str">
        <f>IFERROR(__xludf.DUMMYFUNCTION("""COMPUTED_VALUE"""),"United States")</f>
        <v>United States</v>
      </c>
      <c r="E6648" s="135"/>
      <c r="F6648" s="31"/>
    </row>
    <row r="6649">
      <c r="A6649" s="134" t="str">
        <f>IFERROR(__xludf.DUMMYFUNCTION("""COMPUTED_VALUE"""),"Pochutla")</f>
        <v>Pochutla</v>
      </c>
      <c r="B6649" s="120" t="str">
        <f>IFERROR(__xludf.DUMMYFUNCTION("""COMPUTED_VALUE"""),"PUH")</f>
        <v>PUH</v>
      </c>
      <c r="C6649" s="120" t="str">
        <f>IFERROR(__xludf.DUMMYFUNCTION("""COMPUTED_VALUE"""),"Pochutla")</f>
        <v>Pochutla</v>
      </c>
      <c r="D6649" s="120" t="str">
        <f>IFERROR(__xludf.DUMMYFUNCTION("""COMPUTED_VALUE"""),"Mexico")</f>
        <v>Mexico</v>
      </c>
      <c r="E6649" s="135"/>
      <c r="F6649" s="31"/>
    </row>
    <row r="6650">
      <c r="A6650" s="134" t="str">
        <f>IFERROR(__xludf.DUMMYFUNCTION("""COMPUTED_VALUE"""),"Pocos De Caldas")</f>
        <v>Pocos De Caldas</v>
      </c>
      <c r="B6650" s="120" t="str">
        <f>IFERROR(__xludf.DUMMYFUNCTION("""COMPUTED_VALUE"""),"POO")</f>
        <v>POO</v>
      </c>
      <c r="C6650" s="120" t="str">
        <f>IFERROR(__xludf.DUMMYFUNCTION("""COMPUTED_VALUE"""),"Pocos De Caldas")</f>
        <v>Pocos De Caldas</v>
      </c>
      <c r="D6650" s="120" t="str">
        <f>IFERROR(__xludf.DUMMYFUNCTION("""COMPUTED_VALUE"""),"Brazil")</f>
        <v>Brazil</v>
      </c>
      <c r="E6650" s="135"/>
      <c r="F6650" s="31"/>
    </row>
    <row r="6651">
      <c r="A6651" s="134" t="str">
        <f>IFERROR(__xludf.DUMMYFUNCTION("""COMPUTED_VALUE"""),"Podgorica")</f>
        <v>Podgorica</v>
      </c>
      <c r="B6651" s="120" t="str">
        <f>IFERROR(__xludf.DUMMYFUNCTION("""COMPUTED_VALUE"""),"TGD")</f>
        <v>TGD</v>
      </c>
      <c r="C6651" s="120" t="str">
        <f>IFERROR(__xludf.DUMMYFUNCTION("""COMPUTED_VALUE"""),"Podgorica Airport")</f>
        <v>Podgorica Airport</v>
      </c>
      <c r="D6651" s="120" t="str">
        <f>IFERROR(__xludf.DUMMYFUNCTION("""COMPUTED_VALUE"""),"Montenegro")</f>
        <v>Montenegro</v>
      </c>
      <c r="E6651" s="135"/>
      <c r="F6651" s="31"/>
    </row>
    <row r="6652">
      <c r="A6652" s="134" t="str">
        <f>IFERROR(__xludf.DUMMYFUNCTION("""COMPUTED_VALUE"""),"Podor")</f>
        <v>Podor</v>
      </c>
      <c r="B6652" s="120" t="str">
        <f>IFERROR(__xludf.DUMMYFUNCTION("""COMPUTED_VALUE"""),"POD")</f>
        <v>POD</v>
      </c>
      <c r="C6652" s="120" t="str">
        <f>IFERROR(__xludf.DUMMYFUNCTION("""COMPUTED_VALUE"""),"Podor")</f>
        <v>Podor</v>
      </c>
      <c r="D6652" s="120" t="str">
        <f>IFERROR(__xludf.DUMMYFUNCTION("""COMPUTED_VALUE"""),"Senegal")</f>
        <v>Senegal</v>
      </c>
      <c r="E6652" s="135"/>
      <c r="F6652" s="31"/>
    </row>
    <row r="6653">
      <c r="A6653" s="134" t="str">
        <f>IFERROR(__xludf.DUMMYFUNCTION("""COMPUTED_VALUE"""),"Pohakuloa")</f>
        <v>Pohakuloa</v>
      </c>
      <c r="B6653" s="120" t="str">
        <f>IFERROR(__xludf.DUMMYFUNCTION("""COMPUTED_VALUE"""),"BSF")</f>
        <v>BSF</v>
      </c>
      <c r="C6653" s="120" t="str">
        <f>IFERROR(__xludf.DUMMYFUNCTION("""COMPUTED_VALUE"""),"Bradshaw AAF")</f>
        <v>Bradshaw AAF</v>
      </c>
      <c r="D6653" s="120" t="str">
        <f>IFERROR(__xludf.DUMMYFUNCTION("""COMPUTED_VALUE"""),"United States")</f>
        <v>United States</v>
      </c>
      <c r="E6653" s="135"/>
      <c r="F6653" s="31"/>
    </row>
    <row r="6654">
      <c r="A6654" s="134" t="str">
        <f>IFERROR(__xludf.DUMMYFUNCTION("""COMPUTED_VALUE"""),"Pohang")</f>
        <v>Pohang</v>
      </c>
      <c r="B6654" s="120" t="str">
        <f>IFERROR(__xludf.DUMMYFUNCTION("""COMPUTED_VALUE"""),"KPO")</f>
        <v>KPO</v>
      </c>
      <c r="C6654" s="120" t="str">
        <f>IFERROR(__xludf.DUMMYFUNCTION("""COMPUTED_VALUE"""),"Pohang")</f>
        <v>Pohang</v>
      </c>
      <c r="D6654" s="120" t="str">
        <f>IFERROR(__xludf.DUMMYFUNCTION("""COMPUTED_VALUE"""),"Korea (South)")</f>
        <v>Korea (South)</v>
      </c>
      <c r="E6654" s="135"/>
      <c r="F6654" s="31"/>
    </row>
    <row r="6655">
      <c r="A6655" s="134" t="str">
        <f>IFERROR(__xludf.DUMMYFUNCTION("""COMPUTED_VALUE"""),"Pohnpei")</f>
        <v>Pohnpei</v>
      </c>
      <c r="B6655" s="120" t="str">
        <f>IFERROR(__xludf.DUMMYFUNCTION("""COMPUTED_VALUE"""),"PNI")</f>
        <v>PNI</v>
      </c>
      <c r="C6655" s="120" t="str">
        <f>IFERROR(__xludf.DUMMYFUNCTION("""COMPUTED_VALUE"""),"Pohnpei")</f>
        <v>Pohnpei</v>
      </c>
      <c r="D6655" s="120" t="str">
        <f>IFERROR(__xludf.DUMMYFUNCTION("""COMPUTED_VALUE"""),"Micronesia")</f>
        <v>Micronesia</v>
      </c>
      <c r="E6655" s="135"/>
      <c r="F6655" s="31"/>
    </row>
    <row r="6656">
      <c r="A6656" s="134" t="str">
        <f>IFERROR(__xludf.DUMMYFUNCTION("""COMPUTED_VALUE"""),"Point Baker")</f>
        <v>Point Baker</v>
      </c>
      <c r="B6656" s="120" t="str">
        <f>IFERROR(__xludf.DUMMYFUNCTION("""COMPUTED_VALUE"""),"KPB")</f>
        <v>KPB</v>
      </c>
      <c r="C6656" s="120" t="str">
        <f>IFERROR(__xludf.DUMMYFUNCTION("""COMPUTED_VALUE"""),"Point Baker SPB")</f>
        <v>Point Baker SPB</v>
      </c>
      <c r="D6656" s="120" t="str">
        <f>IFERROR(__xludf.DUMMYFUNCTION("""COMPUTED_VALUE"""),"United States")</f>
        <v>United States</v>
      </c>
      <c r="E6656" s="135"/>
      <c r="F6656" s="31"/>
    </row>
    <row r="6657">
      <c r="A6657" s="134" t="str">
        <f>IFERROR(__xludf.DUMMYFUNCTION("""COMPUTED_VALUE"""),"Point Hope")</f>
        <v>Point Hope</v>
      </c>
      <c r="B6657" s="120" t="str">
        <f>IFERROR(__xludf.DUMMYFUNCTION("""COMPUTED_VALUE"""),"PHO")</f>
        <v>PHO</v>
      </c>
      <c r="C6657" s="120" t="str">
        <f>IFERROR(__xludf.DUMMYFUNCTION("""COMPUTED_VALUE"""),"Point Hope")</f>
        <v>Point Hope</v>
      </c>
      <c r="D6657" s="120" t="str">
        <f>IFERROR(__xludf.DUMMYFUNCTION("""COMPUTED_VALUE"""),"United States")</f>
        <v>United States</v>
      </c>
      <c r="E6657" s="135"/>
      <c r="F6657" s="31"/>
    </row>
    <row r="6658">
      <c r="A6658" s="134" t="str">
        <f>IFERROR(__xludf.DUMMYFUNCTION("""COMPUTED_VALUE"""),"Point Lay")</f>
        <v>Point Lay</v>
      </c>
      <c r="B6658" s="120" t="str">
        <f>IFERROR(__xludf.DUMMYFUNCTION("""COMPUTED_VALUE"""),"PIZ")</f>
        <v>PIZ</v>
      </c>
      <c r="C6658" s="120" t="str">
        <f>IFERROR(__xludf.DUMMYFUNCTION("""COMPUTED_VALUE"""),"Dew Station")</f>
        <v>Dew Station</v>
      </c>
      <c r="D6658" s="120" t="str">
        <f>IFERROR(__xludf.DUMMYFUNCTION("""COMPUTED_VALUE"""),"United States")</f>
        <v>United States</v>
      </c>
      <c r="E6658" s="135"/>
      <c r="F6658" s="31"/>
    </row>
    <row r="6659">
      <c r="A6659" s="134" t="str">
        <f>IFERROR(__xludf.DUMMYFUNCTION("""COMPUTED_VALUE"""),"Point Retreat")</f>
        <v>Point Retreat</v>
      </c>
      <c r="B6659" s="120" t="str">
        <f>IFERROR(__xludf.DUMMYFUNCTION("""COMPUTED_VALUE"""),"PRT")</f>
        <v>PRT</v>
      </c>
      <c r="C6659" s="120" t="str">
        <f>IFERROR(__xludf.DUMMYFUNCTION("""COMPUTED_VALUE"""),"Coast Guard Heliport")</f>
        <v>Coast Guard Heliport</v>
      </c>
      <c r="D6659" s="120" t="str">
        <f>IFERROR(__xludf.DUMMYFUNCTION("""COMPUTED_VALUE"""),"United States")</f>
        <v>United States</v>
      </c>
      <c r="E6659" s="135"/>
      <c r="F6659" s="31"/>
    </row>
    <row r="6660">
      <c r="A6660" s="134" t="str">
        <f>IFERROR(__xludf.DUMMYFUNCTION("""COMPUTED_VALUE"""),"Pointe Noire")</f>
        <v>Pointe Noire</v>
      </c>
      <c r="B6660" s="120" t="str">
        <f>IFERROR(__xludf.DUMMYFUNCTION("""COMPUTED_VALUE"""),"PNR")</f>
        <v>PNR</v>
      </c>
      <c r="C6660" s="120" t="str">
        <f>IFERROR(__xludf.DUMMYFUNCTION("""COMPUTED_VALUE"""),"Pointe Noire")</f>
        <v>Pointe Noire</v>
      </c>
      <c r="D6660" s="120" t="str">
        <f>IFERROR(__xludf.DUMMYFUNCTION("""COMPUTED_VALUE"""),"Congo")</f>
        <v>Congo</v>
      </c>
      <c r="E6660" s="135"/>
      <c r="F6660" s="31"/>
    </row>
    <row r="6661">
      <c r="A6661" s="134" t="str">
        <f>IFERROR(__xludf.DUMMYFUNCTION("""COMPUTED_VALUE"""),"Pointe-a-Pitre")</f>
        <v>Pointe-a-Pitre</v>
      </c>
      <c r="B6661" s="120" t="str">
        <f>IFERROR(__xludf.DUMMYFUNCTION("""COMPUTED_VALUE"""),"PTP")</f>
        <v>PTP</v>
      </c>
      <c r="C6661" s="120" t="str">
        <f>IFERROR(__xludf.DUMMYFUNCTION("""COMPUTED_VALUE"""),"Le Raizet")</f>
        <v>Le Raizet</v>
      </c>
      <c r="D6661" s="120" t="str">
        <f>IFERROR(__xludf.DUMMYFUNCTION("""COMPUTED_VALUE"""),"Guadeloupe")</f>
        <v>Guadeloupe</v>
      </c>
      <c r="E6661" s="135"/>
      <c r="F6661" s="31"/>
    </row>
    <row r="6662">
      <c r="A6662" s="134" t="str">
        <f>IFERROR(__xludf.DUMMYFUNCTION("""COMPUTED_VALUE"""),"Points North Landing")</f>
        <v>Points North Landing</v>
      </c>
      <c r="B6662" s="120" t="str">
        <f>IFERROR(__xludf.DUMMYFUNCTION("""COMPUTED_VALUE"""),"YNL")</f>
        <v>YNL</v>
      </c>
      <c r="C6662" s="120" t="str">
        <f>IFERROR(__xludf.DUMMYFUNCTION("""COMPUTED_VALUE"""),"Points North Landing")</f>
        <v>Points North Landing</v>
      </c>
      <c r="D6662" s="120" t="str">
        <f>IFERROR(__xludf.DUMMYFUNCTION("""COMPUTED_VALUE"""),"Canada")</f>
        <v>Canada</v>
      </c>
      <c r="E6662" s="135"/>
      <c r="F6662" s="31"/>
    </row>
    <row r="6663">
      <c r="A6663" s="134" t="str">
        <f>IFERROR(__xludf.DUMMYFUNCTION("""COMPUTED_VALUE"""),"Poipet")</f>
        <v>Poipet</v>
      </c>
      <c r="B6663" s="120" t="str">
        <f>IFERROR(__xludf.DUMMYFUNCTION("""COMPUTED_VALUE"""),"HPP")</f>
        <v>HPP</v>
      </c>
      <c r="C6663" s="120" t="str">
        <f>IFERROR(__xludf.DUMMYFUNCTION("""COMPUTED_VALUE"""),"Poipet")</f>
        <v>Poipet</v>
      </c>
      <c r="D6663" s="120" t="str">
        <f>IFERROR(__xludf.DUMMYFUNCTION("""COMPUTED_VALUE"""),"Cambodia")</f>
        <v>Cambodia</v>
      </c>
      <c r="E6663" s="135"/>
      <c r="F6663" s="31"/>
    </row>
    <row r="6664">
      <c r="A6664" s="134" t="str">
        <f>IFERROR(__xludf.DUMMYFUNCTION("""COMPUTED_VALUE"""),"Poitiers")</f>
        <v>Poitiers</v>
      </c>
      <c r="B6664" s="120" t="str">
        <f>IFERROR(__xludf.DUMMYFUNCTION("""COMPUTED_VALUE"""),"PIS")</f>
        <v>PIS</v>
      </c>
      <c r="C6664" s="120" t="str">
        <f>IFERROR(__xludf.DUMMYFUNCTION("""COMPUTED_VALUE"""),"Biard")</f>
        <v>Biard</v>
      </c>
      <c r="D6664" s="120" t="str">
        <f>IFERROR(__xludf.DUMMYFUNCTION("""COMPUTED_VALUE"""),"France")</f>
        <v>France</v>
      </c>
      <c r="E6664" s="135"/>
      <c r="F6664" s="31"/>
    </row>
    <row r="6665">
      <c r="A6665" s="134" t="str">
        <f>IFERROR(__xludf.DUMMYFUNCTION("""COMPUTED_VALUE"""),"Pokhara")</f>
        <v>Pokhara</v>
      </c>
      <c r="B6665" s="120" t="str">
        <f>IFERROR(__xludf.DUMMYFUNCTION("""COMPUTED_VALUE"""),"PKR")</f>
        <v>PKR</v>
      </c>
      <c r="C6665" s="120" t="str">
        <f>IFERROR(__xludf.DUMMYFUNCTION("""COMPUTED_VALUE"""),"Pokhara")</f>
        <v>Pokhara</v>
      </c>
      <c r="D6665" s="120" t="str">
        <f>IFERROR(__xludf.DUMMYFUNCTION("""COMPUTED_VALUE"""),"Nepal")</f>
        <v>Nepal</v>
      </c>
      <c r="E6665" s="135"/>
      <c r="F6665" s="31"/>
    </row>
    <row r="6666">
      <c r="A6666" s="134" t="str">
        <f>IFERROR(__xludf.DUMMYFUNCTION("""COMPUTED_VALUE"""),"Polacca")</f>
        <v>Polacca</v>
      </c>
      <c r="B6666" s="120" t="str">
        <f>IFERROR(__xludf.DUMMYFUNCTION("""COMPUTED_VALUE"""),"PXL")</f>
        <v>PXL</v>
      </c>
      <c r="C6666" s="120" t="str">
        <f>IFERROR(__xludf.DUMMYFUNCTION("""COMPUTED_VALUE"""),"Polacca")</f>
        <v>Polacca</v>
      </c>
      <c r="D6666" s="120" t="str">
        <f>IFERROR(__xludf.DUMMYFUNCTION("""COMPUTED_VALUE"""),"United States")</f>
        <v>United States</v>
      </c>
      <c r="E6666" s="135"/>
      <c r="F6666" s="31"/>
    </row>
    <row r="6667">
      <c r="A6667" s="134" t="str">
        <f>IFERROR(__xludf.DUMMYFUNCTION("""COMPUTED_VALUE"""),"Polk Inlet")</f>
        <v>Polk Inlet</v>
      </c>
      <c r="B6667" s="120" t="str">
        <f>IFERROR(__xludf.DUMMYFUNCTION("""COMPUTED_VALUE"""),"POQ")</f>
        <v>POQ</v>
      </c>
      <c r="C6667" s="120" t="str">
        <f>IFERROR(__xludf.DUMMYFUNCTION("""COMPUTED_VALUE"""),"Polk Inlet")</f>
        <v>Polk Inlet</v>
      </c>
      <c r="D6667" s="120" t="str">
        <f>IFERROR(__xludf.DUMMYFUNCTION("""COMPUTED_VALUE"""),"United States")</f>
        <v>United States</v>
      </c>
      <c r="E6667" s="135"/>
      <c r="F6667" s="31"/>
    </row>
    <row r="6668">
      <c r="A6668" s="134" t="str">
        <f>IFERROR(__xludf.DUMMYFUNCTION("""COMPUTED_VALUE"""),"Polokwane")</f>
        <v>Polokwane</v>
      </c>
      <c r="B6668" s="120" t="str">
        <f>IFERROR(__xludf.DUMMYFUNCTION("""COMPUTED_VALUE"""),"PTG")</f>
        <v>PTG</v>
      </c>
      <c r="C6668" s="120" t="str">
        <f>IFERROR(__xludf.DUMMYFUNCTION("""COMPUTED_VALUE"""),"Polokwane")</f>
        <v>Polokwane</v>
      </c>
      <c r="D6668" s="120" t="str">
        <f>IFERROR(__xludf.DUMMYFUNCTION("""COMPUTED_VALUE"""),"South Africa")</f>
        <v>South Africa</v>
      </c>
      <c r="E6668" s="135"/>
      <c r="F6668" s="31"/>
    </row>
    <row r="6669">
      <c r="A6669" s="134" t="str">
        <f>IFERROR(__xludf.DUMMYFUNCTION("""COMPUTED_VALUE"""),"Poltava")</f>
        <v>Poltava</v>
      </c>
      <c r="B6669" s="120" t="str">
        <f>IFERROR(__xludf.DUMMYFUNCTION("""COMPUTED_VALUE"""),"PLV")</f>
        <v>PLV</v>
      </c>
      <c r="C6669" s="120" t="str">
        <f>IFERROR(__xludf.DUMMYFUNCTION("""COMPUTED_VALUE"""),"Poltava")</f>
        <v>Poltava</v>
      </c>
      <c r="D6669" s="120" t="str">
        <f>IFERROR(__xludf.DUMMYFUNCTION("""COMPUTED_VALUE"""),"Ukraine")</f>
        <v>Ukraine</v>
      </c>
      <c r="E6669" s="135"/>
      <c r="F6669" s="31"/>
    </row>
    <row r="6670">
      <c r="A6670" s="134" t="str">
        <f>IFERROR(__xludf.DUMMYFUNCTION("""COMPUTED_VALUE"""),"Polyarnyj")</f>
        <v>Polyarnyj</v>
      </c>
      <c r="B6670" s="120" t="str">
        <f>IFERROR(__xludf.DUMMYFUNCTION("""COMPUTED_VALUE"""),"PYJ")</f>
        <v>PYJ</v>
      </c>
      <c r="C6670" s="120" t="str">
        <f>IFERROR(__xludf.DUMMYFUNCTION("""COMPUTED_VALUE"""),"Polyarnyj")</f>
        <v>Polyarnyj</v>
      </c>
      <c r="D6670" s="120" t="str">
        <f>IFERROR(__xludf.DUMMYFUNCTION("""COMPUTED_VALUE"""),"Russia")</f>
        <v>Russia</v>
      </c>
      <c r="E6670" s="135"/>
      <c r="F6670" s="31"/>
    </row>
    <row r="6671">
      <c r="A6671" s="134" t="str">
        <f>IFERROR(__xludf.DUMMYFUNCTION("""COMPUTED_VALUE"""),"Pomala")</f>
        <v>Pomala</v>
      </c>
      <c r="B6671" s="120" t="str">
        <f>IFERROR(__xludf.DUMMYFUNCTION("""COMPUTED_VALUE"""),"PUM")</f>
        <v>PUM</v>
      </c>
      <c r="C6671" s="120" t="str">
        <f>IFERROR(__xludf.DUMMYFUNCTION("""COMPUTED_VALUE"""),"Pomala")</f>
        <v>Pomala</v>
      </c>
      <c r="D6671" s="120" t="str">
        <f>IFERROR(__xludf.DUMMYFUNCTION("""COMPUTED_VALUE"""),"Indonesia")</f>
        <v>Indonesia</v>
      </c>
      <c r="E6671" s="135"/>
      <c r="F6671" s="31"/>
    </row>
    <row r="6672">
      <c r="A6672" s="134" t="str">
        <f>IFERROR(__xludf.DUMMYFUNCTION("""COMPUTED_VALUE"""),"Pompano Beach")</f>
        <v>Pompano Beach</v>
      </c>
      <c r="B6672" s="120" t="str">
        <f>IFERROR(__xludf.DUMMYFUNCTION("""COMPUTED_VALUE"""),"PPM")</f>
        <v>PPM</v>
      </c>
      <c r="C6672" s="120" t="str">
        <f>IFERROR(__xludf.DUMMYFUNCTION("""COMPUTED_VALUE"""),"Pompano Beach")</f>
        <v>Pompano Beach</v>
      </c>
      <c r="D6672" s="120" t="str">
        <f>IFERROR(__xludf.DUMMYFUNCTION("""COMPUTED_VALUE"""),"United States")</f>
        <v>United States</v>
      </c>
      <c r="E6672" s="135"/>
      <c r="F6672" s="31"/>
    </row>
    <row r="6673">
      <c r="A6673" s="134" t="str">
        <f>IFERROR(__xludf.DUMMYFUNCTION("""COMPUTED_VALUE"""),"Ponca City")</f>
        <v>Ponca City</v>
      </c>
      <c r="B6673" s="120" t="str">
        <f>IFERROR(__xludf.DUMMYFUNCTION("""COMPUTED_VALUE"""),"PNC")</f>
        <v>PNC</v>
      </c>
      <c r="C6673" s="120" t="str">
        <f>IFERROR(__xludf.DUMMYFUNCTION("""COMPUTED_VALUE"""),"Ponca City")</f>
        <v>Ponca City</v>
      </c>
      <c r="D6673" s="120" t="str">
        <f>IFERROR(__xludf.DUMMYFUNCTION("""COMPUTED_VALUE"""),"United States")</f>
        <v>United States</v>
      </c>
      <c r="E6673" s="135"/>
      <c r="F6673" s="31"/>
    </row>
    <row r="6674">
      <c r="A6674" s="134" t="str">
        <f>IFERROR(__xludf.DUMMYFUNCTION("""COMPUTED_VALUE"""),"Ponce")</f>
        <v>Ponce</v>
      </c>
      <c r="B6674" s="120" t="str">
        <f>IFERROR(__xludf.DUMMYFUNCTION("""COMPUTED_VALUE"""),"PSE")</f>
        <v>PSE</v>
      </c>
      <c r="C6674" s="120" t="str">
        <f>IFERROR(__xludf.DUMMYFUNCTION("""COMPUTED_VALUE"""),"Mercedita")</f>
        <v>Mercedita</v>
      </c>
      <c r="D6674" s="120" t="str">
        <f>IFERROR(__xludf.DUMMYFUNCTION("""COMPUTED_VALUE"""),"Puerto Rico")</f>
        <v>Puerto Rico</v>
      </c>
      <c r="E6674" s="135"/>
      <c r="F6674" s="31"/>
    </row>
    <row r="6675">
      <c r="A6675" s="134" t="str">
        <f>IFERROR(__xludf.DUMMYFUNCTION("""COMPUTED_VALUE"""),"Pond Inlet")</f>
        <v>Pond Inlet</v>
      </c>
      <c r="B6675" s="120" t="str">
        <f>IFERROR(__xludf.DUMMYFUNCTION("""COMPUTED_VALUE"""),"YIO")</f>
        <v>YIO</v>
      </c>
      <c r="C6675" s="120" t="str">
        <f>IFERROR(__xludf.DUMMYFUNCTION("""COMPUTED_VALUE"""),"Pond Inlet")</f>
        <v>Pond Inlet</v>
      </c>
      <c r="D6675" s="120" t="str">
        <f>IFERROR(__xludf.DUMMYFUNCTION("""COMPUTED_VALUE"""),"Canada")</f>
        <v>Canada</v>
      </c>
      <c r="E6675" s="135"/>
      <c r="F6675" s="31"/>
    </row>
    <row r="6676">
      <c r="A6676" s="134" t="str">
        <f>IFERROR(__xludf.DUMMYFUNCTION("""COMPUTED_VALUE"""),"Pondicherry")</f>
        <v>Pondicherry</v>
      </c>
      <c r="B6676" s="120" t="str">
        <f>IFERROR(__xludf.DUMMYFUNCTION("""COMPUTED_VALUE"""),"PNY")</f>
        <v>PNY</v>
      </c>
      <c r="C6676" s="120" t="str">
        <f>IFERROR(__xludf.DUMMYFUNCTION("""COMPUTED_VALUE"""),"Pondicherry")</f>
        <v>Pondicherry</v>
      </c>
      <c r="D6676" s="120" t="str">
        <f>IFERROR(__xludf.DUMMYFUNCTION("""COMPUTED_VALUE"""),"India")</f>
        <v>India</v>
      </c>
      <c r="E6676" s="135"/>
      <c r="F6676" s="31"/>
    </row>
    <row r="6677">
      <c r="A6677" s="134" t="str">
        <f>IFERROR(__xludf.DUMMYFUNCTION("""COMPUTED_VALUE"""),"Pondok Cabe")</f>
        <v>Pondok Cabe</v>
      </c>
      <c r="B6677" s="120" t="str">
        <f>IFERROR(__xludf.DUMMYFUNCTION("""COMPUTED_VALUE"""),"PCB")</f>
        <v>PCB</v>
      </c>
      <c r="C6677" s="120" t="str">
        <f>IFERROR(__xludf.DUMMYFUNCTION("""COMPUTED_VALUE"""),"Pondok Cabe")</f>
        <v>Pondok Cabe</v>
      </c>
      <c r="D6677" s="120" t="str">
        <f>IFERROR(__xludf.DUMMYFUNCTION("""COMPUTED_VALUE"""),"Indonesia")</f>
        <v>Indonesia</v>
      </c>
      <c r="E6677" s="135"/>
      <c r="F6677" s="31"/>
    </row>
    <row r="6678">
      <c r="A6678" s="134" t="str">
        <f>IFERROR(__xludf.DUMMYFUNCTION("""COMPUTED_VALUE"""),"Ponta de Ouro")</f>
        <v>Ponta de Ouro</v>
      </c>
      <c r="B6678" s="120" t="str">
        <f>IFERROR(__xludf.DUMMYFUNCTION("""COMPUTED_VALUE"""),"PDD")</f>
        <v>PDD</v>
      </c>
      <c r="C6678" s="120" t="str">
        <f>IFERROR(__xludf.DUMMYFUNCTION("""COMPUTED_VALUE"""),"Ponta de Ouro")</f>
        <v>Ponta de Ouro</v>
      </c>
      <c r="D6678" s="120" t="str">
        <f>IFERROR(__xludf.DUMMYFUNCTION("""COMPUTED_VALUE"""),"Mozambique")</f>
        <v>Mozambique</v>
      </c>
      <c r="E6678" s="135"/>
      <c r="F6678" s="31"/>
    </row>
    <row r="6679">
      <c r="A6679" s="134" t="str">
        <f>IFERROR(__xludf.DUMMYFUNCTION("""COMPUTED_VALUE"""),"Ponta Delgada")</f>
        <v>Ponta Delgada</v>
      </c>
      <c r="B6679" s="120" t="str">
        <f>IFERROR(__xludf.DUMMYFUNCTION("""COMPUTED_VALUE"""),"PDL")</f>
        <v>PDL</v>
      </c>
      <c r="C6679" s="120" t="str">
        <f>IFERROR(__xludf.DUMMYFUNCTION("""COMPUTED_VALUE"""),"Nordela")</f>
        <v>Nordela</v>
      </c>
      <c r="D6679" s="120" t="str">
        <f>IFERROR(__xludf.DUMMYFUNCTION("""COMPUTED_VALUE"""),"Portugal")</f>
        <v>Portugal</v>
      </c>
      <c r="E6679" s="135"/>
      <c r="F6679" s="31"/>
    </row>
    <row r="6680">
      <c r="A6680" s="134" t="str">
        <f>IFERROR(__xludf.DUMMYFUNCTION("""COMPUTED_VALUE"""),"Ponta Pelada")</f>
        <v>Ponta Pelada</v>
      </c>
      <c r="B6680" s="120" t="str">
        <f>IFERROR(__xludf.DUMMYFUNCTION("""COMPUTED_VALUE"""),"PLL")</f>
        <v>PLL</v>
      </c>
      <c r="C6680" s="120" t="str">
        <f>IFERROR(__xludf.DUMMYFUNCTION("""COMPUTED_VALUE"""),"Ponta Pelada")</f>
        <v>Ponta Pelada</v>
      </c>
      <c r="D6680" s="120" t="str">
        <f>IFERROR(__xludf.DUMMYFUNCTION("""COMPUTED_VALUE"""),"Brazil")</f>
        <v>Brazil</v>
      </c>
      <c r="E6680" s="135"/>
      <c r="F6680" s="31"/>
    </row>
    <row r="6681">
      <c r="A6681" s="134" t="str">
        <f>IFERROR(__xludf.DUMMYFUNCTION("""COMPUTED_VALUE"""),"Ponta Pora")</f>
        <v>Ponta Pora</v>
      </c>
      <c r="B6681" s="120" t="str">
        <f>IFERROR(__xludf.DUMMYFUNCTION("""COMPUTED_VALUE"""),"PMG")</f>
        <v>PMG</v>
      </c>
      <c r="C6681" s="120" t="str">
        <f>IFERROR(__xludf.DUMMYFUNCTION("""COMPUTED_VALUE"""),"International")</f>
        <v>International</v>
      </c>
      <c r="D6681" s="120" t="str">
        <f>IFERROR(__xludf.DUMMYFUNCTION("""COMPUTED_VALUE"""),"Brazil")</f>
        <v>Brazil</v>
      </c>
      <c r="E6681" s="135"/>
      <c r="F6681" s="31"/>
    </row>
    <row r="6682">
      <c r="A6682" s="134" t="str">
        <f>IFERROR(__xludf.DUMMYFUNCTION("""COMPUTED_VALUE"""),"Pontes e Lacerda")</f>
        <v>Pontes e Lacerda</v>
      </c>
      <c r="B6682" s="120" t="str">
        <f>IFERROR(__xludf.DUMMYFUNCTION("""COMPUTED_VALUE"""),"LCB")</f>
        <v>LCB</v>
      </c>
      <c r="C6682" s="120" t="str">
        <f>IFERROR(__xludf.DUMMYFUNCTION("""COMPUTED_VALUE"""),"Pontes e Lacerda")</f>
        <v>Pontes e Lacerda</v>
      </c>
      <c r="D6682" s="120" t="str">
        <f>IFERROR(__xludf.DUMMYFUNCTION("""COMPUTED_VALUE"""),"Brazil")</f>
        <v>Brazil</v>
      </c>
      <c r="E6682" s="135"/>
      <c r="F6682" s="31"/>
    </row>
    <row r="6683">
      <c r="A6683" s="134" t="str">
        <f>IFERROR(__xludf.DUMMYFUNCTION("""COMPUTED_VALUE"""),"Pontiac")</f>
        <v>Pontiac</v>
      </c>
      <c r="B6683" s="120" t="str">
        <f>IFERROR(__xludf.DUMMYFUNCTION("""COMPUTED_VALUE"""),"PTK")</f>
        <v>PTK</v>
      </c>
      <c r="C6683" s="120" t="str">
        <f>IFERROR(__xludf.DUMMYFUNCTION("""COMPUTED_VALUE"""),"Pontiac")</f>
        <v>Pontiac</v>
      </c>
      <c r="D6683" s="120" t="str">
        <f>IFERROR(__xludf.DUMMYFUNCTION("""COMPUTED_VALUE"""),"United States")</f>
        <v>United States</v>
      </c>
      <c r="E6683" s="135"/>
      <c r="F6683" s="31"/>
    </row>
    <row r="6684">
      <c r="A6684" s="134" t="str">
        <f>IFERROR(__xludf.DUMMYFUNCTION("""COMPUTED_VALUE"""),"Pontianak")</f>
        <v>Pontianak</v>
      </c>
      <c r="B6684" s="120" t="str">
        <f>IFERROR(__xludf.DUMMYFUNCTION("""COMPUTED_VALUE"""),"PNK")</f>
        <v>PNK</v>
      </c>
      <c r="C6684" s="120" t="str">
        <f>IFERROR(__xludf.DUMMYFUNCTION("""COMPUTED_VALUE"""),"Supadio")</f>
        <v>Supadio</v>
      </c>
      <c r="D6684" s="120" t="str">
        <f>IFERROR(__xludf.DUMMYFUNCTION("""COMPUTED_VALUE"""),"Indonesia")</f>
        <v>Indonesia</v>
      </c>
      <c r="E6684" s="135"/>
      <c r="F6684" s="31"/>
    </row>
    <row r="6685">
      <c r="A6685" s="134" t="str">
        <f>IFERROR(__xludf.DUMMYFUNCTION("""COMPUTED_VALUE"""),"Ponza")</f>
        <v>Ponza</v>
      </c>
      <c r="B6685" s="120" t="str">
        <f>IFERROR(__xludf.DUMMYFUNCTION("""COMPUTED_VALUE"""),"ZJY")</f>
        <v>ZJY</v>
      </c>
      <c r="C6685" s="120" t="str">
        <f>IFERROR(__xludf.DUMMYFUNCTION("""COMPUTED_VALUE"""),"Harbour")</f>
        <v>Harbour</v>
      </c>
      <c r="D6685" s="120" t="str">
        <f>IFERROR(__xludf.DUMMYFUNCTION("""COMPUTED_VALUE"""),"Italy")</f>
        <v>Italy</v>
      </c>
      <c r="E6685" s="135"/>
      <c r="F6685" s="31"/>
    </row>
    <row r="6686">
      <c r="A6686" s="134" t="str">
        <f>IFERROR(__xludf.DUMMYFUNCTION("""COMPUTED_VALUE"""),"Popayan")</f>
        <v>Popayan</v>
      </c>
      <c r="B6686" s="120" t="str">
        <f>IFERROR(__xludf.DUMMYFUNCTION("""COMPUTED_VALUE"""),"PPN")</f>
        <v>PPN</v>
      </c>
      <c r="C6686" s="120" t="str">
        <f>IFERROR(__xludf.DUMMYFUNCTION("""COMPUTED_VALUE"""),"Machangara")</f>
        <v>Machangara</v>
      </c>
      <c r="D6686" s="120" t="str">
        <f>IFERROR(__xludf.DUMMYFUNCTION("""COMPUTED_VALUE"""),"Colombia")</f>
        <v>Colombia</v>
      </c>
      <c r="E6686" s="135"/>
      <c r="F6686" s="31"/>
    </row>
    <row r="6687">
      <c r="A6687" s="134" t="str">
        <f>IFERROR(__xludf.DUMMYFUNCTION("""COMPUTED_VALUE"""),"Pope Vanoy")</f>
        <v>Pope Vanoy</v>
      </c>
      <c r="B6687" s="120" t="str">
        <f>IFERROR(__xludf.DUMMYFUNCTION("""COMPUTED_VALUE"""),"PVY")</f>
        <v>PVY</v>
      </c>
      <c r="C6687" s="120" t="str">
        <f>IFERROR(__xludf.DUMMYFUNCTION("""COMPUTED_VALUE"""),"Pope Vanoy")</f>
        <v>Pope Vanoy</v>
      </c>
      <c r="D6687" s="120" t="str">
        <f>IFERROR(__xludf.DUMMYFUNCTION("""COMPUTED_VALUE"""),"United States")</f>
        <v>United States</v>
      </c>
      <c r="E6687" s="135"/>
      <c r="F6687" s="31"/>
    </row>
    <row r="6688">
      <c r="A6688" s="134" t="str">
        <f>IFERROR(__xludf.DUMMYFUNCTION("""COMPUTED_VALUE"""),"Poplar Bluff")</f>
        <v>Poplar Bluff</v>
      </c>
      <c r="B6688" s="120" t="str">
        <f>IFERROR(__xludf.DUMMYFUNCTION("""COMPUTED_VALUE"""),"POF")</f>
        <v>POF</v>
      </c>
      <c r="C6688" s="120" t="str">
        <f>IFERROR(__xludf.DUMMYFUNCTION("""COMPUTED_VALUE"""),"Earl Fields Memorial")</f>
        <v>Earl Fields Memorial</v>
      </c>
      <c r="D6688" s="120" t="str">
        <f>IFERROR(__xludf.DUMMYFUNCTION("""COMPUTED_VALUE"""),"United States")</f>
        <v>United States</v>
      </c>
      <c r="E6688" s="135"/>
      <c r="F6688" s="31"/>
    </row>
    <row r="6689">
      <c r="A6689" s="134" t="str">
        <f>IFERROR(__xludf.DUMMYFUNCTION("""COMPUTED_VALUE"""),"Poplar Hill")</f>
        <v>Poplar Hill</v>
      </c>
      <c r="B6689" s="120" t="str">
        <f>IFERROR(__xludf.DUMMYFUNCTION("""COMPUTED_VALUE"""),"YHP")</f>
        <v>YHP</v>
      </c>
      <c r="C6689" s="120" t="str">
        <f>IFERROR(__xludf.DUMMYFUNCTION("""COMPUTED_VALUE"""),"Poplar Hill")</f>
        <v>Poplar Hill</v>
      </c>
      <c r="D6689" s="120" t="str">
        <f>IFERROR(__xludf.DUMMYFUNCTION("""COMPUTED_VALUE"""),"Canada")</f>
        <v>Canada</v>
      </c>
      <c r="E6689" s="135"/>
      <c r="F6689" s="31"/>
    </row>
    <row r="6690">
      <c r="A6690" s="134" t="str">
        <f>IFERROR(__xludf.DUMMYFUNCTION("""COMPUTED_VALUE"""),"Poplar River")</f>
        <v>Poplar River</v>
      </c>
      <c r="B6690" s="120" t="str">
        <f>IFERROR(__xludf.DUMMYFUNCTION("""COMPUTED_VALUE"""),"XPP")</f>
        <v>XPP</v>
      </c>
      <c r="C6690" s="120" t="str">
        <f>IFERROR(__xludf.DUMMYFUNCTION("""COMPUTED_VALUE"""),"Poplar River")</f>
        <v>Poplar River</v>
      </c>
      <c r="D6690" s="120" t="str">
        <f>IFERROR(__xludf.DUMMYFUNCTION("""COMPUTED_VALUE"""),"Canada")</f>
        <v>Canada</v>
      </c>
      <c r="E6690" s="135"/>
      <c r="F6690" s="31"/>
    </row>
    <row r="6691">
      <c r="A6691" s="134" t="str">
        <f>IFERROR(__xludf.DUMMYFUNCTION("""COMPUTED_VALUE"""),"Popondetta")</f>
        <v>Popondetta</v>
      </c>
      <c r="B6691" s="120" t="str">
        <f>IFERROR(__xludf.DUMMYFUNCTION("""COMPUTED_VALUE"""),"PNP")</f>
        <v>PNP</v>
      </c>
      <c r="C6691" s="120" t="str">
        <f>IFERROR(__xludf.DUMMYFUNCTION("""COMPUTED_VALUE"""),"Girua")</f>
        <v>Girua</v>
      </c>
      <c r="D6691" s="120" t="str">
        <f>IFERROR(__xludf.DUMMYFUNCTION("""COMPUTED_VALUE"""),"Papua New Guinea")</f>
        <v>Papua New Guinea</v>
      </c>
      <c r="E6691" s="135"/>
      <c r="F6691" s="31"/>
    </row>
    <row r="6692">
      <c r="A6692" s="134" t="str">
        <f>IFERROR(__xludf.DUMMYFUNCTION("""COMPUTED_VALUE"""),"Poprad/Tatry")</f>
        <v>Poprad/Tatry</v>
      </c>
      <c r="B6692" s="120" t="str">
        <f>IFERROR(__xludf.DUMMYFUNCTION("""COMPUTED_VALUE"""),"TAT")</f>
        <v>TAT</v>
      </c>
      <c r="C6692" s="120" t="str">
        <f>IFERROR(__xludf.DUMMYFUNCTION("""COMPUTED_VALUE"""),"Poprad/Tatry")</f>
        <v>Poprad/Tatry</v>
      </c>
      <c r="D6692" s="120" t="str">
        <f>IFERROR(__xludf.DUMMYFUNCTION("""COMPUTED_VALUE"""),"Slovakia")</f>
        <v>Slovakia</v>
      </c>
      <c r="E6692" s="135"/>
      <c r="F6692" s="31"/>
    </row>
    <row r="6693">
      <c r="A6693" s="134" t="str">
        <f>IFERROR(__xludf.DUMMYFUNCTION("""COMPUTED_VALUE"""),"Poptun")</f>
        <v>Poptun</v>
      </c>
      <c r="B6693" s="120" t="str">
        <f>IFERROR(__xludf.DUMMYFUNCTION("""COMPUTED_VALUE"""),"PON")</f>
        <v>PON</v>
      </c>
      <c r="C6693" s="120" t="str">
        <f>IFERROR(__xludf.DUMMYFUNCTION("""COMPUTED_VALUE"""),"Poptun")</f>
        <v>Poptun</v>
      </c>
      <c r="D6693" s="120" t="str">
        <f>IFERROR(__xludf.DUMMYFUNCTION("""COMPUTED_VALUE"""),"Guatemala")</f>
        <v>Guatemala</v>
      </c>
      <c r="E6693" s="135"/>
      <c r="F6693" s="31"/>
    </row>
    <row r="6694">
      <c r="A6694" s="134" t="str">
        <f>IFERROR(__xludf.DUMMYFUNCTION("""COMPUTED_VALUE"""),"Porbandar")</f>
        <v>Porbandar</v>
      </c>
      <c r="B6694" s="120" t="str">
        <f>IFERROR(__xludf.DUMMYFUNCTION("""COMPUTED_VALUE"""),"PBD")</f>
        <v>PBD</v>
      </c>
      <c r="C6694" s="120" t="str">
        <f>IFERROR(__xludf.DUMMYFUNCTION("""COMPUTED_VALUE"""),"Porbandar")</f>
        <v>Porbandar</v>
      </c>
      <c r="D6694" s="120" t="str">
        <f>IFERROR(__xludf.DUMMYFUNCTION("""COMPUTED_VALUE"""),"India")</f>
        <v>India</v>
      </c>
      <c r="E6694" s="135"/>
      <c r="F6694" s="31"/>
    </row>
    <row r="6695">
      <c r="A6695" s="134" t="str">
        <f>IFERROR(__xludf.DUMMYFUNCTION("""COMPUTED_VALUE"""),"Porcupine Creek")</f>
        <v>Porcupine Creek</v>
      </c>
      <c r="B6695" s="120" t="str">
        <f>IFERROR(__xludf.DUMMYFUNCTION("""COMPUTED_VALUE"""),"PCK")</f>
        <v>PCK</v>
      </c>
      <c r="C6695" s="120" t="str">
        <f>IFERROR(__xludf.DUMMYFUNCTION("""COMPUTED_VALUE"""),"Porcupine Creek")</f>
        <v>Porcupine Creek</v>
      </c>
      <c r="D6695" s="120" t="str">
        <f>IFERROR(__xludf.DUMMYFUNCTION("""COMPUTED_VALUE"""),"United States")</f>
        <v>United States</v>
      </c>
      <c r="E6695" s="135"/>
      <c r="F6695" s="31"/>
    </row>
    <row r="6696">
      <c r="A6696" s="134" t="str">
        <f>IFERROR(__xludf.DUMMYFUNCTION("""COMPUTED_VALUE"""),"Pore")</f>
        <v>Pore</v>
      </c>
      <c r="B6696" s="120" t="str">
        <f>IFERROR(__xludf.DUMMYFUNCTION("""COMPUTED_VALUE"""),"PRE")</f>
        <v>PRE</v>
      </c>
      <c r="C6696" s="120" t="str">
        <f>IFERROR(__xludf.DUMMYFUNCTION("""COMPUTED_VALUE"""),"Pore")</f>
        <v>Pore</v>
      </c>
      <c r="D6696" s="120" t="str">
        <f>IFERROR(__xludf.DUMMYFUNCTION("""COMPUTED_VALUE"""),"Colombia")</f>
        <v>Colombia</v>
      </c>
      <c r="E6696" s="135"/>
      <c r="F6696" s="31"/>
    </row>
    <row r="6697">
      <c r="A6697" s="134" t="str">
        <f>IFERROR(__xludf.DUMMYFUNCTION("""COMPUTED_VALUE"""),"Porgera")</f>
        <v>Porgera</v>
      </c>
      <c r="B6697" s="120" t="str">
        <f>IFERROR(__xludf.DUMMYFUNCTION("""COMPUTED_VALUE"""),"RGE")</f>
        <v>RGE</v>
      </c>
      <c r="C6697" s="120" t="str">
        <f>IFERROR(__xludf.DUMMYFUNCTION("""COMPUTED_VALUE"""),"Porgera")</f>
        <v>Porgera</v>
      </c>
      <c r="D6697" s="120" t="str">
        <f>IFERROR(__xludf.DUMMYFUNCTION("""COMPUTED_VALUE"""),"Papua New Guinea")</f>
        <v>Papua New Guinea</v>
      </c>
      <c r="E6697" s="135"/>
      <c r="F6697" s="31"/>
    </row>
    <row r="6698">
      <c r="A6698" s="134" t="str">
        <f>IFERROR(__xludf.DUMMYFUNCTION("""COMPUTED_VALUE"""),"Pori")</f>
        <v>Pori</v>
      </c>
      <c r="B6698" s="120" t="str">
        <f>IFERROR(__xludf.DUMMYFUNCTION("""COMPUTED_VALUE"""),"POR")</f>
        <v>POR</v>
      </c>
      <c r="C6698" s="120" t="str">
        <f>IFERROR(__xludf.DUMMYFUNCTION("""COMPUTED_VALUE"""),"Pori")</f>
        <v>Pori</v>
      </c>
      <c r="D6698" s="120" t="str">
        <f>IFERROR(__xludf.DUMMYFUNCTION("""COMPUTED_VALUE"""),"Finland")</f>
        <v>Finland</v>
      </c>
      <c r="E6698" s="135"/>
      <c r="F6698" s="31"/>
    </row>
    <row r="6699">
      <c r="A6699" s="134" t="str">
        <f>IFERROR(__xludf.DUMMYFUNCTION("""COMPUTED_VALUE"""),"Porlamar")</f>
        <v>Porlamar</v>
      </c>
      <c r="B6699" s="120" t="str">
        <f>IFERROR(__xludf.DUMMYFUNCTION("""COMPUTED_VALUE"""),"PMV")</f>
        <v>PMV</v>
      </c>
      <c r="C6699" s="120" t="str">
        <f>IFERROR(__xludf.DUMMYFUNCTION("""COMPUTED_VALUE"""),"DelCaribe Gen S Marino")</f>
        <v>DelCaribe Gen S Marino</v>
      </c>
      <c r="D6699" s="120" t="str">
        <f>IFERROR(__xludf.DUMMYFUNCTION("""COMPUTED_VALUE"""),"Venezuela")</f>
        <v>Venezuela</v>
      </c>
      <c r="E6699" s="135"/>
      <c r="F6699" s="31"/>
    </row>
    <row r="6700">
      <c r="A6700" s="134" t="str">
        <f>IFERROR(__xludf.DUMMYFUNCTION("""COMPUTED_VALUE"""),"Porsgrunn")</f>
        <v>Porsgrunn</v>
      </c>
      <c r="B6700" s="120" t="str">
        <f>IFERROR(__xludf.DUMMYFUNCTION("""COMPUTED_VALUE"""),"XKP")</f>
        <v>XKP</v>
      </c>
      <c r="C6700" s="120" t="str">
        <f>IFERROR(__xludf.DUMMYFUNCTION("""COMPUTED_VALUE"""),"Porsgrunn Rail St.")</f>
        <v>Porsgrunn Rail St.</v>
      </c>
      <c r="D6700" s="120" t="str">
        <f>IFERROR(__xludf.DUMMYFUNCTION("""COMPUTED_VALUE"""),"Norway")</f>
        <v>Norway</v>
      </c>
      <c r="E6700" s="135"/>
      <c r="F6700" s="31"/>
    </row>
    <row r="6701">
      <c r="A6701" s="134" t="str">
        <f>IFERROR(__xludf.DUMMYFUNCTION("""COMPUTED_VALUE"""),"Port Alberni")</f>
        <v>Port Alberni</v>
      </c>
      <c r="B6701" s="120" t="str">
        <f>IFERROR(__xludf.DUMMYFUNCTION("""COMPUTED_VALUE"""),"YPB")</f>
        <v>YPB</v>
      </c>
      <c r="C6701" s="120" t="str">
        <f>IFERROR(__xludf.DUMMYFUNCTION("""COMPUTED_VALUE"""),"Port Alberni")</f>
        <v>Port Alberni</v>
      </c>
      <c r="D6701" s="120" t="str">
        <f>IFERROR(__xludf.DUMMYFUNCTION("""COMPUTED_VALUE"""),"Canada")</f>
        <v>Canada</v>
      </c>
      <c r="E6701" s="135"/>
      <c r="F6701" s="31"/>
    </row>
    <row r="6702">
      <c r="A6702" s="134" t="str">
        <f>IFERROR(__xludf.DUMMYFUNCTION("""COMPUTED_VALUE"""),"Port Alexander")</f>
        <v>Port Alexander</v>
      </c>
      <c r="B6702" s="120" t="str">
        <f>IFERROR(__xludf.DUMMYFUNCTION("""COMPUTED_VALUE"""),"PTD")</f>
        <v>PTD</v>
      </c>
      <c r="C6702" s="120" t="str">
        <f>IFERROR(__xludf.DUMMYFUNCTION("""COMPUTED_VALUE"""),"Port Alexander")</f>
        <v>Port Alexander</v>
      </c>
      <c r="D6702" s="120" t="str">
        <f>IFERROR(__xludf.DUMMYFUNCTION("""COMPUTED_VALUE"""),"United States")</f>
        <v>United States</v>
      </c>
      <c r="E6702" s="135"/>
      <c r="F6702" s="31"/>
    </row>
    <row r="6703">
      <c r="A6703" s="134" t="str">
        <f>IFERROR(__xludf.DUMMYFUNCTION("""COMPUTED_VALUE"""),"Port Alfred")</f>
        <v>Port Alfred</v>
      </c>
      <c r="B6703" s="120" t="str">
        <f>IFERROR(__xludf.DUMMYFUNCTION("""COMPUTED_VALUE"""),"AFD")</f>
        <v>AFD</v>
      </c>
      <c r="C6703" s="120" t="str">
        <f>IFERROR(__xludf.DUMMYFUNCTION("""COMPUTED_VALUE"""),"Port Alfred")</f>
        <v>Port Alfred</v>
      </c>
      <c r="D6703" s="120" t="str">
        <f>IFERROR(__xludf.DUMMYFUNCTION("""COMPUTED_VALUE"""),"South Africa")</f>
        <v>South Africa</v>
      </c>
      <c r="E6703" s="135"/>
      <c r="F6703" s="31"/>
    </row>
    <row r="6704">
      <c r="A6704" s="134" t="str">
        <f>IFERROR(__xludf.DUMMYFUNCTION("""COMPUTED_VALUE"""),"Port Alice")</f>
        <v>Port Alice</v>
      </c>
      <c r="B6704" s="120" t="str">
        <f>IFERROR(__xludf.DUMMYFUNCTION("""COMPUTED_VALUE"""),"PTC")</f>
        <v>PTC</v>
      </c>
      <c r="C6704" s="120" t="str">
        <f>IFERROR(__xludf.DUMMYFUNCTION("""COMPUTED_VALUE"""),"Port Alice")</f>
        <v>Port Alice</v>
      </c>
      <c r="D6704" s="120" t="str">
        <f>IFERROR(__xludf.DUMMYFUNCTION("""COMPUTED_VALUE"""),"United States")</f>
        <v>United States</v>
      </c>
      <c r="E6704" s="135"/>
      <c r="F6704" s="31"/>
    </row>
    <row r="6705">
      <c r="A6705" s="134" t="str">
        <f>IFERROR(__xludf.DUMMYFUNCTION("""COMPUTED_VALUE"""),"Port Alsworth")</f>
        <v>Port Alsworth</v>
      </c>
      <c r="B6705" s="120" t="str">
        <f>IFERROR(__xludf.DUMMYFUNCTION("""COMPUTED_VALUE"""),"PTA")</f>
        <v>PTA</v>
      </c>
      <c r="C6705" s="120" t="str">
        <f>IFERROR(__xludf.DUMMYFUNCTION("""COMPUTED_VALUE"""),"Port Alsworth")</f>
        <v>Port Alsworth</v>
      </c>
      <c r="D6705" s="120" t="str">
        <f>IFERROR(__xludf.DUMMYFUNCTION("""COMPUTED_VALUE"""),"United States")</f>
        <v>United States</v>
      </c>
      <c r="E6705" s="135"/>
      <c r="F6705" s="31"/>
    </row>
    <row r="6706">
      <c r="A6706" s="134" t="str">
        <f>IFERROR(__xludf.DUMMYFUNCTION("""COMPUTED_VALUE"""),"Port Angeles")</f>
        <v>Port Angeles</v>
      </c>
      <c r="B6706" s="120" t="str">
        <f>IFERROR(__xludf.DUMMYFUNCTION("""COMPUTED_VALUE"""),"CLM")</f>
        <v>CLM</v>
      </c>
      <c r="C6706" s="120" t="str">
        <f>IFERROR(__xludf.DUMMYFUNCTION("""COMPUTED_VALUE"""),"Fairchild Intl")</f>
        <v>Fairchild Intl</v>
      </c>
      <c r="D6706" s="120" t="str">
        <f>IFERROR(__xludf.DUMMYFUNCTION("""COMPUTED_VALUE"""),"United States")</f>
        <v>United States</v>
      </c>
      <c r="E6706" s="135"/>
      <c r="F6706" s="31"/>
    </row>
    <row r="6707">
      <c r="A6707" s="134" t="str">
        <f>IFERROR(__xludf.DUMMYFUNCTION("""COMPUTED_VALUE"""),"Port Antonio")</f>
        <v>Port Antonio</v>
      </c>
      <c r="B6707" s="120" t="str">
        <f>IFERROR(__xludf.DUMMYFUNCTION("""COMPUTED_VALUE"""),"POT")</f>
        <v>POT</v>
      </c>
      <c r="C6707" s="120" t="str">
        <f>IFERROR(__xludf.DUMMYFUNCTION("""COMPUTED_VALUE"""),"Ken Jones")</f>
        <v>Ken Jones</v>
      </c>
      <c r="D6707" s="120" t="str">
        <f>IFERROR(__xludf.DUMMYFUNCTION("""COMPUTED_VALUE"""),"Jamaica")</f>
        <v>Jamaica</v>
      </c>
      <c r="E6707" s="135"/>
      <c r="F6707" s="31"/>
    </row>
    <row r="6708">
      <c r="A6708" s="134" t="str">
        <f>IFERROR(__xludf.DUMMYFUNCTION("""COMPUTED_VALUE"""),"Port Armstrong")</f>
        <v>Port Armstrong</v>
      </c>
      <c r="B6708" s="120" t="str">
        <f>IFERROR(__xludf.DUMMYFUNCTION("""COMPUTED_VALUE"""),"PTL")</f>
        <v>PTL</v>
      </c>
      <c r="C6708" s="120" t="str">
        <f>IFERROR(__xludf.DUMMYFUNCTION("""COMPUTED_VALUE"""),"Port Armstrong")</f>
        <v>Port Armstrong</v>
      </c>
      <c r="D6708" s="120" t="str">
        <f>IFERROR(__xludf.DUMMYFUNCTION("""COMPUTED_VALUE"""),"United States")</f>
        <v>United States</v>
      </c>
      <c r="E6708" s="135"/>
      <c r="F6708" s="31"/>
    </row>
    <row r="6709">
      <c r="A6709" s="134" t="str">
        <f>IFERROR(__xludf.DUMMYFUNCTION("""COMPUTED_VALUE"""),"Port Au Prince")</f>
        <v>Port Au Prince</v>
      </c>
      <c r="B6709" s="120" t="str">
        <f>IFERROR(__xludf.DUMMYFUNCTION("""COMPUTED_VALUE"""),"PAP")</f>
        <v>PAP</v>
      </c>
      <c r="C6709" s="120" t="str">
        <f>IFERROR(__xludf.DUMMYFUNCTION("""COMPUTED_VALUE"""),"Mais Gate")</f>
        <v>Mais Gate</v>
      </c>
      <c r="D6709" s="120" t="str">
        <f>IFERROR(__xludf.DUMMYFUNCTION("""COMPUTED_VALUE"""),"Haiti")</f>
        <v>Haiti</v>
      </c>
      <c r="E6709" s="135"/>
      <c r="F6709" s="31"/>
    </row>
    <row r="6710">
      <c r="A6710" s="134" t="str">
        <f>IFERROR(__xludf.DUMMYFUNCTION("""COMPUTED_VALUE"""),"Port Augusta")</f>
        <v>Port Augusta</v>
      </c>
      <c r="B6710" s="120" t="str">
        <f>IFERROR(__xludf.DUMMYFUNCTION("""COMPUTED_VALUE"""),"PUG")</f>
        <v>PUG</v>
      </c>
      <c r="C6710" s="120" t="str">
        <f>IFERROR(__xludf.DUMMYFUNCTION("""COMPUTED_VALUE"""),"Port Augusta")</f>
        <v>Port Augusta</v>
      </c>
      <c r="D6710" s="120" t="str">
        <f>IFERROR(__xludf.DUMMYFUNCTION("""COMPUTED_VALUE"""),"Australia")</f>
        <v>Australia</v>
      </c>
      <c r="E6710" s="135"/>
      <c r="F6710" s="31"/>
    </row>
    <row r="6711">
      <c r="A6711" s="134" t="str">
        <f>IFERROR(__xludf.DUMMYFUNCTION("""COMPUTED_VALUE"""),"Port Bailey")</f>
        <v>Port Bailey</v>
      </c>
      <c r="B6711" s="120" t="str">
        <f>IFERROR(__xludf.DUMMYFUNCTION("""COMPUTED_VALUE"""),"KPY")</f>
        <v>KPY</v>
      </c>
      <c r="C6711" s="120" t="str">
        <f>IFERROR(__xludf.DUMMYFUNCTION("""COMPUTED_VALUE"""),"Port Bailey SPB")</f>
        <v>Port Bailey SPB</v>
      </c>
      <c r="D6711" s="120" t="str">
        <f>IFERROR(__xludf.DUMMYFUNCTION("""COMPUTED_VALUE"""),"United States")</f>
        <v>United States</v>
      </c>
      <c r="E6711" s="135"/>
      <c r="F6711" s="31"/>
    </row>
    <row r="6712">
      <c r="A6712" s="134" t="str">
        <f>IFERROR(__xludf.DUMMYFUNCTION("""COMPUTED_VALUE"""),"Port Berge")</f>
        <v>Port Berge</v>
      </c>
      <c r="B6712" s="120" t="str">
        <f>IFERROR(__xludf.DUMMYFUNCTION("""COMPUTED_VALUE"""),"WPB")</f>
        <v>WPB</v>
      </c>
      <c r="C6712" s="120" t="str">
        <f>IFERROR(__xludf.DUMMYFUNCTION("""COMPUTED_VALUE"""),"Port Berge")</f>
        <v>Port Berge</v>
      </c>
      <c r="D6712" s="120" t="str">
        <f>IFERROR(__xludf.DUMMYFUNCTION("""COMPUTED_VALUE"""),"Madagascar")</f>
        <v>Madagascar</v>
      </c>
      <c r="E6712" s="135"/>
      <c r="F6712" s="31"/>
    </row>
    <row r="6713">
      <c r="A6713" s="134" t="str">
        <f>IFERROR(__xludf.DUMMYFUNCTION("""COMPUTED_VALUE"""),"Port Blair")</f>
        <v>Port Blair</v>
      </c>
      <c r="B6713" s="120" t="str">
        <f>IFERROR(__xludf.DUMMYFUNCTION("""COMPUTED_VALUE"""),"IXZ")</f>
        <v>IXZ</v>
      </c>
      <c r="C6713" s="120" t="str">
        <f>IFERROR(__xludf.DUMMYFUNCTION("""COMPUTED_VALUE"""),"Port Blair")</f>
        <v>Port Blair</v>
      </c>
      <c r="D6713" s="120" t="str">
        <f>IFERROR(__xludf.DUMMYFUNCTION("""COMPUTED_VALUE"""),"India")</f>
        <v>India</v>
      </c>
      <c r="E6713" s="135"/>
      <c r="F6713" s="31"/>
    </row>
    <row r="6714">
      <c r="A6714" s="134" t="str">
        <f>IFERROR(__xludf.DUMMYFUNCTION("""COMPUTED_VALUE"""),"Port Clarence")</f>
        <v>Port Clarence</v>
      </c>
      <c r="B6714" s="120" t="str">
        <f>IFERROR(__xludf.DUMMYFUNCTION("""COMPUTED_VALUE"""),"KPC")</f>
        <v>KPC</v>
      </c>
      <c r="C6714" s="120" t="str">
        <f>IFERROR(__xludf.DUMMYFUNCTION("""COMPUTED_VALUE"""),"Port Clarence")</f>
        <v>Port Clarence</v>
      </c>
      <c r="D6714" s="120" t="str">
        <f>IFERROR(__xludf.DUMMYFUNCTION("""COMPUTED_VALUE"""),"United States")</f>
        <v>United States</v>
      </c>
      <c r="E6714" s="135"/>
      <c r="F6714" s="31"/>
    </row>
    <row r="6715">
      <c r="A6715" s="134" t="str">
        <f>IFERROR(__xludf.DUMMYFUNCTION("""COMPUTED_VALUE"""),"Port De Paix")</f>
        <v>Port De Paix</v>
      </c>
      <c r="B6715" s="120" t="str">
        <f>IFERROR(__xludf.DUMMYFUNCTION("""COMPUTED_VALUE"""),"PAX")</f>
        <v>PAX</v>
      </c>
      <c r="C6715" s="120" t="str">
        <f>IFERROR(__xludf.DUMMYFUNCTION("""COMPUTED_VALUE"""),"Port De Paix")</f>
        <v>Port De Paix</v>
      </c>
      <c r="D6715" s="120" t="str">
        <f>IFERROR(__xludf.DUMMYFUNCTION("""COMPUTED_VALUE"""),"Haiti")</f>
        <v>Haiti</v>
      </c>
      <c r="E6715" s="135"/>
      <c r="F6715" s="31"/>
    </row>
    <row r="6716">
      <c r="A6716" s="134" t="str">
        <f>IFERROR(__xludf.DUMMYFUNCTION("""COMPUTED_VALUE"""),"Port Douglas")</f>
        <v>Port Douglas</v>
      </c>
      <c r="B6716" s="120" t="str">
        <f>IFERROR(__xludf.DUMMYFUNCTION("""COMPUTED_VALUE"""),"PTI")</f>
        <v>PTI</v>
      </c>
      <c r="C6716" s="120" t="str">
        <f>IFERROR(__xludf.DUMMYFUNCTION("""COMPUTED_VALUE"""),"Port Douglas")</f>
        <v>Port Douglas</v>
      </c>
      <c r="D6716" s="120" t="str">
        <f>IFERROR(__xludf.DUMMYFUNCTION("""COMPUTED_VALUE"""),"Australia")</f>
        <v>Australia</v>
      </c>
      <c r="E6716" s="135"/>
      <c r="F6716" s="31"/>
    </row>
    <row r="6717">
      <c r="A6717" s="134" t="str">
        <f>IFERROR(__xludf.DUMMYFUNCTION("""COMPUTED_VALUE"""),"Port Elizabeth")</f>
        <v>Port Elizabeth</v>
      </c>
      <c r="B6717" s="120" t="str">
        <f>IFERROR(__xludf.DUMMYFUNCTION("""COMPUTED_VALUE"""),"BQU")</f>
        <v>BQU</v>
      </c>
      <c r="C6717" s="120" t="str">
        <f>IFERROR(__xludf.DUMMYFUNCTION("""COMPUTED_VALUE"""),"Bequia Airport")</f>
        <v>Bequia Airport</v>
      </c>
      <c r="D6717" s="120" t="str">
        <f>IFERROR(__xludf.DUMMYFUNCTION("""COMPUTED_VALUE"""),"Saint Vincent and the Grenadines")</f>
        <v>Saint Vincent and the Grenadines</v>
      </c>
      <c r="E6717" s="135"/>
      <c r="F6717" s="31"/>
    </row>
    <row r="6718">
      <c r="A6718" s="134" t="str">
        <f>IFERROR(__xludf.DUMMYFUNCTION("""COMPUTED_VALUE"""),"Port Elizabeth")</f>
        <v>Port Elizabeth</v>
      </c>
      <c r="B6718" s="120" t="str">
        <f>IFERROR(__xludf.DUMMYFUNCTION("""COMPUTED_VALUE"""),"PLZ")</f>
        <v>PLZ</v>
      </c>
      <c r="C6718" s="120" t="str">
        <f>IFERROR(__xludf.DUMMYFUNCTION("""COMPUTED_VALUE"""),"Port Elizabeth")</f>
        <v>Port Elizabeth</v>
      </c>
      <c r="D6718" s="120" t="str">
        <f>IFERROR(__xludf.DUMMYFUNCTION("""COMPUTED_VALUE"""),"South Africa")</f>
        <v>South Africa</v>
      </c>
      <c r="E6718" s="135"/>
      <c r="F6718" s="31"/>
    </row>
    <row r="6719">
      <c r="A6719" s="134" t="str">
        <f>IFERROR(__xludf.DUMMYFUNCTION("""COMPUTED_VALUE"""),"Port Fitzroy")</f>
        <v>Port Fitzroy</v>
      </c>
      <c r="B6719" s="120" t="str">
        <f>IFERROR(__xludf.DUMMYFUNCTION("""COMPUTED_VALUE"""),"GBS")</f>
        <v>GBS</v>
      </c>
      <c r="C6719" s="120" t="str">
        <f>IFERROR(__xludf.DUMMYFUNCTION("""COMPUTED_VALUE"""),"Port Fitzroy")</f>
        <v>Port Fitzroy</v>
      </c>
      <c r="D6719" s="120" t="str">
        <f>IFERROR(__xludf.DUMMYFUNCTION("""COMPUTED_VALUE"""),"New Zealand (Aotearoa)")</f>
        <v>New Zealand (Aotearoa)</v>
      </c>
      <c r="E6719" s="135"/>
      <c r="F6719" s="31"/>
    </row>
    <row r="6720">
      <c r="A6720" s="134" t="str">
        <f>IFERROR(__xludf.DUMMYFUNCTION("""COMPUTED_VALUE"""),"Port Frederick")</f>
        <v>Port Frederick</v>
      </c>
      <c r="B6720" s="120" t="str">
        <f>IFERROR(__xludf.DUMMYFUNCTION("""COMPUTED_VALUE"""),"PFD")</f>
        <v>PFD</v>
      </c>
      <c r="C6720" s="120" t="str">
        <f>IFERROR(__xludf.DUMMYFUNCTION("""COMPUTED_VALUE"""),"Port Frederick")</f>
        <v>Port Frederick</v>
      </c>
      <c r="D6720" s="120" t="str">
        <f>IFERROR(__xludf.DUMMYFUNCTION("""COMPUTED_VALUE"""),"United States")</f>
        <v>United States</v>
      </c>
      <c r="E6720" s="135"/>
      <c r="F6720" s="31"/>
    </row>
    <row r="6721">
      <c r="A6721" s="134" t="str">
        <f>IFERROR(__xludf.DUMMYFUNCTION("""COMPUTED_VALUE"""),"Port Gentil")</f>
        <v>Port Gentil</v>
      </c>
      <c r="B6721" s="120" t="str">
        <f>IFERROR(__xludf.DUMMYFUNCTION("""COMPUTED_VALUE"""),"POG")</f>
        <v>POG</v>
      </c>
      <c r="C6721" s="120" t="str">
        <f>IFERROR(__xludf.DUMMYFUNCTION("""COMPUTED_VALUE"""),"Port Gentil")</f>
        <v>Port Gentil</v>
      </c>
      <c r="D6721" s="120" t="str">
        <f>IFERROR(__xludf.DUMMYFUNCTION("""COMPUTED_VALUE"""),"Gabon")</f>
        <v>Gabon</v>
      </c>
      <c r="E6721" s="135"/>
      <c r="F6721" s="31"/>
    </row>
    <row r="6722">
      <c r="A6722" s="134" t="str">
        <f>IFERROR(__xludf.DUMMYFUNCTION("""COMPUTED_VALUE"""),"Port Graham")</f>
        <v>Port Graham</v>
      </c>
      <c r="B6722" s="120" t="str">
        <f>IFERROR(__xludf.DUMMYFUNCTION("""COMPUTED_VALUE"""),"PGM")</f>
        <v>PGM</v>
      </c>
      <c r="C6722" s="120" t="str">
        <f>IFERROR(__xludf.DUMMYFUNCTION("""COMPUTED_VALUE"""),"Port Graham")</f>
        <v>Port Graham</v>
      </c>
      <c r="D6722" s="120" t="str">
        <f>IFERROR(__xludf.DUMMYFUNCTION("""COMPUTED_VALUE"""),"United States")</f>
        <v>United States</v>
      </c>
      <c r="E6722" s="135"/>
      <c r="F6722" s="31"/>
    </row>
    <row r="6723">
      <c r="A6723" s="134" t="str">
        <f>IFERROR(__xludf.DUMMYFUNCTION("""COMPUTED_VALUE"""),"Port Harcourt")</f>
        <v>Port Harcourt</v>
      </c>
      <c r="B6723" s="120" t="str">
        <f>IFERROR(__xludf.DUMMYFUNCTION("""COMPUTED_VALUE"""),"PHC")</f>
        <v>PHC</v>
      </c>
      <c r="C6723" s="120" t="str">
        <f>IFERROR(__xludf.DUMMYFUNCTION("""COMPUTED_VALUE"""),"Port Harcourt")</f>
        <v>Port Harcourt</v>
      </c>
      <c r="D6723" s="120" t="str">
        <f>IFERROR(__xludf.DUMMYFUNCTION("""COMPUTED_VALUE"""),"Nigeria")</f>
        <v>Nigeria</v>
      </c>
      <c r="E6723" s="135"/>
      <c r="F6723" s="31"/>
    </row>
    <row r="6724">
      <c r="A6724" s="134" t="str">
        <f>IFERROR(__xludf.DUMMYFUNCTION("""COMPUTED_VALUE"""),"Port Harcourt")</f>
        <v>Port Harcourt</v>
      </c>
      <c r="B6724" s="120" t="str">
        <f>IFERROR(__xludf.DUMMYFUNCTION("""COMPUTED_VALUE"""),"PHG")</f>
        <v>PHG</v>
      </c>
      <c r="C6724" s="120" t="str">
        <f>IFERROR(__xludf.DUMMYFUNCTION("""COMPUTED_VALUE"""),"Port Harcourt City")</f>
        <v>Port Harcourt City</v>
      </c>
      <c r="D6724" s="120" t="str">
        <f>IFERROR(__xludf.DUMMYFUNCTION("""COMPUTED_VALUE"""),"Nigeria")</f>
        <v>Nigeria</v>
      </c>
      <c r="E6724" s="135"/>
      <c r="F6724" s="31"/>
    </row>
    <row r="6725">
      <c r="A6725" s="134" t="str">
        <f>IFERROR(__xludf.DUMMYFUNCTION("""COMPUTED_VALUE"""),"Port Hardy")</f>
        <v>Port Hardy</v>
      </c>
      <c r="B6725" s="120" t="str">
        <f>IFERROR(__xludf.DUMMYFUNCTION("""COMPUTED_VALUE"""),"YZT")</f>
        <v>YZT</v>
      </c>
      <c r="C6725" s="120" t="str">
        <f>IFERROR(__xludf.DUMMYFUNCTION("""COMPUTED_VALUE"""),"Port Hardy")</f>
        <v>Port Hardy</v>
      </c>
      <c r="D6725" s="120" t="str">
        <f>IFERROR(__xludf.DUMMYFUNCTION("""COMPUTED_VALUE"""),"Canada")</f>
        <v>Canada</v>
      </c>
      <c r="E6725" s="135"/>
      <c r="F6725" s="31"/>
    </row>
    <row r="6726">
      <c r="A6726" s="134" t="str">
        <f>IFERROR(__xludf.DUMMYFUNCTION("""COMPUTED_VALUE"""),"Port Hawkesbury")</f>
        <v>Port Hawkesbury</v>
      </c>
      <c r="B6726" s="120" t="str">
        <f>IFERROR(__xludf.DUMMYFUNCTION("""COMPUTED_VALUE"""),"YPS")</f>
        <v>YPS</v>
      </c>
      <c r="C6726" s="120" t="str">
        <f>IFERROR(__xludf.DUMMYFUNCTION("""COMPUTED_VALUE"""),"Port Hawkesbury")</f>
        <v>Port Hawkesbury</v>
      </c>
      <c r="D6726" s="120" t="str">
        <f>IFERROR(__xludf.DUMMYFUNCTION("""COMPUTED_VALUE"""),"Canada")</f>
        <v>Canada</v>
      </c>
      <c r="E6726" s="135"/>
      <c r="F6726" s="31"/>
    </row>
    <row r="6727">
      <c r="A6727" s="134" t="str">
        <f>IFERROR(__xludf.DUMMYFUNCTION("""COMPUTED_VALUE"""),"Port Hedland")</f>
        <v>Port Hedland</v>
      </c>
      <c r="B6727" s="120" t="str">
        <f>IFERROR(__xludf.DUMMYFUNCTION("""COMPUTED_VALUE"""),"PHE")</f>
        <v>PHE</v>
      </c>
      <c r="C6727" s="120" t="str">
        <f>IFERROR(__xludf.DUMMYFUNCTION("""COMPUTED_VALUE"""),"Port Hedland")</f>
        <v>Port Hedland</v>
      </c>
      <c r="D6727" s="120" t="str">
        <f>IFERROR(__xludf.DUMMYFUNCTION("""COMPUTED_VALUE"""),"Australia")</f>
        <v>Australia</v>
      </c>
      <c r="E6727" s="135"/>
      <c r="F6727" s="31"/>
    </row>
    <row r="6728">
      <c r="A6728" s="134" t="str">
        <f>IFERROR(__xludf.DUMMYFUNCTION("""COMPUTED_VALUE"""),"Port Heiden")</f>
        <v>Port Heiden</v>
      </c>
      <c r="B6728" s="120" t="str">
        <f>IFERROR(__xludf.DUMMYFUNCTION("""COMPUTED_VALUE"""),"PTH")</f>
        <v>PTH</v>
      </c>
      <c r="C6728" s="120" t="str">
        <f>IFERROR(__xludf.DUMMYFUNCTION("""COMPUTED_VALUE"""),"Port Heiden")</f>
        <v>Port Heiden</v>
      </c>
      <c r="D6728" s="120" t="str">
        <f>IFERROR(__xludf.DUMMYFUNCTION("""COMPUTED_VALUE"""),"United States")</f>
        <v>United States</v>
      </c>
      <c r="E6728" s="135"/>
      <c r="F6728" s="31"/>
    </row>
    <row r="6729">
      <c r="A6729" s="134" t="str">
        <f>IFERROR(__xludf.DUMMYFUNCTION("""COMPUTED_VALUE"""),"Port Hope Simpson")</f>
        <v>Port Hope Simpson</v>
      </c>
      <c r="B6729" s="120" t="str">
        <f>IFERROR(__xludf.DUMMYFUNCTION("""COMPUTED_VALUE"""),"YHA")</f>
        <v>YHA</v>
      </c>
      <c r="C6729" s="120" t="str">
        <f>IFERROR(__xludf.DUMMYFUNCTION("""COMPUTED_VALUE"""),"Port Hope Simpson")</f>
        <v>Port Hope Simpson</v>
      </c>
      <c r="D6729" s="120" t="str">
        <f>IFERROR(__xludf.DUMMYFUNCTION("""COMPUTED_VALUE"""),"Canada")</f>
        <v>Canada</v>
      </c>
      <c r="E6729" s="135"/>
      <c r="F6729" s="31"/>
    </row>
    <row r="6730">
      <c r="A6730" s="134" t="str">
        <f>IFERROR(__xludf.DUMMYFUNCTION("""COMPUTED_VALUE"""),"Port Hueneme")</f>
        <v>Port Hueneme</v>
      </c>
      <c r="B6730" s="120" t="str">
        <f>IFERROR(__xludf.DUMMYFUNCTION("""COMPUTED_VALUE"""),"NTD")</f>
        <v>NTD</v>
      </c>
      <c r="C6730" s="120" t="str">
        <f>IFERROR(__xludf.DUMMYFUNCTION("""COMPUTED_VALUE"""),"Point Mugu NAS")</f>
        <v>Point Mugu NAS</v>
      </c>
      <c r="D6730" s="120" t="str">
        <f>IFERROR(__xludf.DUMMYFUNCTION("""COMPUTED_VALUE"""),"United States")</f>
        <v>United States</v>
      </c>
      <c r="E6730" s="135"/>
      <c r="F6730" s="31"/>
    </row>
    <row r="6731">
      <c r="A6731" s="134" t="str">
        <f>IFERROR(__xludf.DUMMYFUNCTION("""COMPUTED_VALUE"""),"Port Hunter")</f>
        <v>Port Hunter</v>
      </c>
      <c r="B6731" s="120" t="str">
        <f>IFERROR(__xludf.DUMMYFUNCTION("""COMPUTED_VALUE"""),"PHJ")</f>
        <v>PHJ</v>
      </c>
      <c r="C6731" s="120" t="str">
        <f>IFERROR(__xludf.DUMMYFUNCTION("""COMPUTED_VALUE"""),"Port Hunter")</f>
        <v>Port Hunter</v>
      </c>
      <c r="D6731" s="120" t="str">
        <f>IFERROR(__xludf.DUMMYFUNCTION("""COMPUTED_VALUE"""),"Australia")</f>
        <v>Australia</v>
      </c>
      <c r="E6731" s="135"/>
      <c r="F6731" s="31"/>
    </row>
    <row r="6732">
      <c r="A6732" s="134" t="str">
        <f>IFERROR(__xludf.DUMMYFUNCTION("""COMPUTED_VALUE"""),"Port Huron")</f>
        <v>Port Huron</v>
      </c>
      <c r="B6732" s="120" t="str">
        <f>IFERROR(__xludf.DUMMYFUNCTION("""COMPUTED_VALUE"""),"PHN")</f>
        <v>PHN</v>
      </c>
      <c r="C6732" s="120" t="str">
        <f>IFERROR(__xludf.DUMMYFUNCTION("""COMPUTED_VALUE"""),"St Clair County Intl")</f>
        <v>St Clair County Intl</v>
      </c>
      <c r="D6732" s="120" t="str">
        <f>IFERROR(__xludf.DUMMYFUNCTION("""COMPUTED_VALUE"""),"United States")</f>
        <v>United States</v>
      </c>
      <c r="E6732" s="135"/>
      <c r="F6732" s="31"/>
    </row>
    <row r="6733">
      <c r="A6733" s="134" t="str">
        <f>IFERROR(__xludf.DUMMYFUNCTION("""COMPUTED_VALUE"""),"Port Johnson")</f>
        <v>Port Johnson</v>
      </c>
      <c r="B6733" s="120" t="str">
        <f>IFERROR(__xludf.DUMMYFUNCTION("""COMPUTED_VALUE"""),"PRF")</f>
        <v>PRF</v>
      </c>
      <c r="C6733" s="120" t="str">
        <f>IFERROR(__xludf.DUMMYFUNCTION("""COMPUTED_VALUE"""),"Port Johnson")</f>
        <v>Port Johnson</v>
      </c>
      <c r="D6733" s="120" t="str">
        <f>IFERROR(__xludf.DUMMYFUNCTION("""COMPUTED_VALUE"""),"United States")</f>
        <v>United States</v>
      </c>
      <c r="E6733" s="135"/>
      <c r="F6733" s="31"/>
    </row>
    <row r="6734">
      <c r="A6734" s="134" t="str">
        <f>IFERROR(__xludf.DUMMYFUNCTION("""COMPUTED_VALUE"""),"Port Kaituma")</f>
        <v>Port Kaituma</v>
      </c>
      <c r="B6734" s="120" t="str">
        <f>IFERROR(__xludf.DUMMYFUNCTION("""COMPUTED_VALUE"""),"PKM")</f>
        <v>PKM</v>
      </c>
      <c r="C6734" s="120" t="str">
        <f>IFERROR(__xludf.DUMMYFUNCTION("""COMPUTED_VALUE"""),"Port Kaituma")</f>
        <v>Port Kaituma</v>
      </c>
      <c r="D6734" s="120" t="str">
        <f>IFERROR(__xludf.DUMMYFUNCTION("""COMPUTED_VALUE"""),"Guyana")</f>
        <v>Guyana</v>
      </c>
      <c r="E6734" s="135"/>
      <c r="F6734" s="31"/>
    </row>
    <row r="6735">
      <c r="A6735" s="134" t="str">
        <f>IFERROR(__xludf.DUMMYFUNCTION("""COMPUTED_VALUE"""),"Port Keats")</f>
        <v>Port Keats</v>
      </c>
      <c r="B6735" s="120" t="str">
        <f>IFERROR(__xludf.DUMMYFUNCTION("""COMPUTED_VALUE"""),"PKT")</f>
        <v>PKT</v>
      </c>
      <c r="C6735" s="120" t="str">
        <f>IFERROR(__xludf.DUMMYFUNCTION("""COMPUTED_VALUE"""),"Port Keats")</f>
        <v>Port Keats</v>
      </c>
      <c r="D6735" s="120" t="str">
        <f>IFERROR(__xludf.DUMMYFUNCTION("""COMPUTED_VALUE"""),"Australia")</f>
        <v>Australia</v>
      </c>
      <c r="E6735" s="135"/>
      <c r="F6735" s="31"/>
    </row>
    <row r="6736">
      <c r="A6736" s="134" t="str">
        <f>IFERROR(__xludf.DUMMYFUNCTION("""COMPUTED_VALUE"""),"Port Klang")</f>
        <v>Port Klang</v>
      </c>
      <c r="B6736" s="120" t="str">
        <f>IFERROR(__xludf.DUMMYFUNCTION("""COMPUTED_VALUE"""),"XPQ")</f>
        <v>XPQ</v>
      </c>
      <c r="C6736" s="120" t="str">
        <f>IFERROR(__xludf.DUMMYFUNCTION("""COMPUTED_VALUE"""),"Ferry")</f>
        <v>Ferry</v>
      </c>
      <c r="D6736" s="120" t="str">
        <f>IFERROR(__xludf.DUMMYFUNCTION("""COMPUTED_VALUE"""),"Malaysia")</f>
        <v>Malaysia</v>
      </c>
      <c r="E6736" s="135"/>
      <c r="F6736" s="31"/>
    </row>
    <row r="6737">
      <c r="A6737" s="134" t="str">
        <f>IFERROR(__xludf.DUMMYFUNCTION("""COMPUTED_VALUE"""),"Port Lincoln")</f>
        <v>Port Lincoln</v>
      </c>
      <c r="B6737" s="120" t="str">
        <f>IFERROR(__xludf.DUMMYFUNCTION("""COMPUTED_VALUE"""),"PLO")</f>
        <v>PLO</v>
      </c>
      <c r="C6737" s="120" t="str">
        <f>IFERROR(__xludf.DUMMYFUNCTION("""COMPUTED_VALUE"""),"Port Lincoln")</f>
        <v>Port Lincoln</v>
      </c>
      <c r="D6737" s="120" t="str">
        <f>IFERROR(__xludf.DUMMYFUNCTION("""COMPUTED_VALUE"""),"Australia")</f>
        <v>Australia</v>
      </c>
      <c r="E6737" s="135"/>
      <c r="F6737" s="31"/>
    </row>
    <row r="6738">
      <c r="A6738" s="134" t="str">
        <f>IFERROR(__xludf.DUMMYFUNCTION("""COMPUTED_VALUE"""),"Port Lions")</f>
        <v>Port Lions</v>
      </c>
      <c r="B6738" s="120" t="str">
        <f>IFERROR(__xludf.DUMMYFUNCTION("""COMPUTED_VALUE"""),"ORI")</f>
        <v>ORI</v>
      </c>
      <c r="C6738" s="120" t="str">
        <f>IFERROR(__xludf.DUMMYFUNCTION("""COMPUTED_VALUE"""),"Port Lions SPB")</f>
        <v>Port Lions SPB</v>
      </c>
      <c r="D6738" s="120" t="str">
        <f>IFERROR(__xludf.DUMMYFUNCTION("""COMPUTED_VALUE"""),"United States")</f>
        <v>United States</v>
      </c>
      <c r="E6738" s="135"/>
      <c r="F6738" s="31"/>
    </row>
    <row r="6739">
      <c r="A6739" s="134" t="str">
        <f>IFERROR(__xludf.DUMMYFUNCTION("""COMPUTED_VALUE"""),"Port Macquarie")</f>
        <v>Port Macquarie</v>
      </c>
      <c r="B6739" s="120" t="str">
        <f>IFERROR(__xludf.DUMMYFUNCTION("""COMPUTED_VALUE"""),"PQQ")</f>
        <v>PQQ</v>
      </c>
      <c r="C6739" s="120" t="str">
        <f>IFERROR(__xludf.DUMMYFUNCTION("""COMPUTED_VALUE"""),"Port Macquarie")</f>
        <v>Port Macquarie</v>
      </c>
      <c r="D6739" s="120" t="str">
        <f>IFERROR(__xludf.DUMMYFUNCTION("""COMPUTED_VALUE"""),"Australia")</f>
        <v>Australia</v>
      </c>
      <c r="E6739" s="135"/>
      <c r="F6739" s="31"/>
    </row>
    <row r="6740">
      <c r="A6740" s="134" t="str">
        <f>IFERROR(__xludf.DUMMYFUNCTION("""COMPUTED_VALUE"""),"Port McNeil")</f>
        <v>Port McNeil</v>
      </c>
      <c r="B6740" s="120" t="str">
        <f>IFERROR(__xludf.DUMMYFUNCTION("""COMPUTED_VALUE"""),"YMP")</f>
        <v>YMP</v>
      </c>
      <c r="C6740" s="120" t="str">
        <f>IFERROR(__xludf.DUMMYFUNCTION("""COMPUTED_VALUE"""),"Port McNeil")</f>
        <v>Port McNeil</v>
      </c>
      <c r="D6740" s="120" t="str">
        <f>IFERROR(__xludf.DUMMYFUNCTION("""COMPUTED_VALUE"""),"Canada")</f>
        <v>Canada</v>
      </c>
      <c r="E6740" s="135"/>
      <c r="F6740" s="31"/>
    </row>
    <row r="6741">
      <c r="A6741" s="134" t="str">
        <f>IFERROR(__xludf.DUMMYFUNCTION("""COMPUTED_VALUE"""),"Port Menier")</f>
        <v>Port Menier</v>
      </c>
      <c r="B6741" s="120" t="str">
        <f>IFERROR(__xludf.DUMMYFUNCTION("""COMPUTED_VALUE"""),"YPN")</f>
        <v>YPN</v>
      </c>
      <c r="C6741" s="120" t="str">
        <f>IFERROR(__xludf.DUMMYFUNCTION("""COMPUTED_VALUE"""),"Port Menier")</f>
        <v>Port Menier</v>
      </c>
      <c r="D6741" s="120" t="str">
        <f>IFERROR(__xludf.DUMMYFUNCTION("""COMPUTED_VALUE"""),"Canada")</f>
        <v>Canada</v>
      </c>
      <c r="E6741" s="135"/>
      <c r="F6741" s="31"/>
    </row>
    <row r="6742">
      <c r="A6742" s="134" t="str">
        <f>IFERROR(__xludf.DUMMYFUNCTION("""COMPUTED_VALUE"""),"Port Moller")</f>
        <v>Port Moller</v>
      </c>
      <c r="B6742" s="120" t="str">
        <f>IFERROR(__xludf.DUMMYFUNCTION("""COMPUTED_VALUE"""),"PML")</f>
        <v>PML</v>
      </c>
      <c r="C6742" s="120" t="str">
        <f>IFERROR(__xludf.DUMMYFUNCTION("""COMPUTED_VALUE"""),"AFS")</f>
        <v>AFS</v>
      </c>
      <c r="D6742" s="120" t="str">
        <f>IFERROR(__xludf.DUMMYFUNCTION("""COMPUTED_VALUE"""),"United States")</f>
        <v>United States</v>
      </c>
      <c r="E6742" s="135"/>
      <c r="F6742" s="31"/>
    </row>
    <row r="6743">
      <c r="A6743" s="134" t="str">
        <f>IFERROR(__xludf.DUMMYFUNCTION("""COMPUTED_VALUE"""),"Port Moresby")</f>
        <v>Port Moresby</v>
      </c>
      <c r="B6743" s="120" t="str">
        <f>IFERROR(__xludf.DUMMYFUNCTION("""COMPUTED_VALUE"""),"POM")</f>
        <v>POM</v>
      </c>
      <c r="C6743" s="120" t="str">
        <f>IFERROR(__xludf.DUMMYFUNCTION("""COMPUTED_VALUE"""),"Jackson Fld")</f>
        <v>Jackson Fld</v>
      </c>
      <c r="D6743" s="120" t="str">
        <f>IFERROR(__xludf.DUMMYFUNCTION("""COMPUTED_VALUE"""),"Papua New Guinea")</f>
        <v>Papua New Guinea</v>
      </c>
      <c r="E6743" s="135"/>
      <c r="F6743" s="31"/>
    </row>
    <row r="6744">
      <c r="A6744" s="134" t="str">
        <f>IFERROR(__xludf.DUMMYFUNCTION("""COMPUTED_VALUE"""),"Port Oceanic")</f>
        <v>Port Oceanic</v>
      </c>
      <c r="B6744" s="120" t="str">
        <f>IFERROR(__xludf.DUMMYFUNCTION("""COMPUTED_VALUE"""),"PRL")</f>
        <v>PRL</v>
      </c>
      <c r="C6744" s="120" t="str">
        <f>IFERROR(__xludf.DUMMYFUNCTION("""COMPUTED_VALUE"""),"Port Oceanic")</f>
        <v>Port Oceanic</v>
      </c>
      <c r="D6744" s="120" t="str">
        <f>IFERROR(__xludf.DUMMYFUNCTION("""COMPUTED_VALUE"""),"United States")</f>
        <v>United States</v>
      </c>
      <c r="E6744" s="135"/>
      <c r="F6744" s="31"/>
    </row>
    <row r="6745">
      <c r="A6745" s="134" t="str">
        <f>IFERROR(__xludf.DUMMYFUNCTION("""COMPUTED_VALUE"""),"Port Pirie")</f>
        <v>Port Pirie</v>
      </c>
      <c r="B6745" s="120" t="str">
        <f>IFERROR(__xludf.DUMMYFUNCTION("""COMPUTED_VALUE"""),"PPI")</f>
        <v>PPI</v>
      </c>
      <c r="C6745" s="120" t="str">
        <f>IFERROR(__xludf.DUMMYFUNCTION("""COMPUTED_VALUE"""),"Port Pirie")</f>
        <v>Port Pirie</v>
      </c>
      <c r="D6745" s="120" t="str">
        <f>IFERROR(__xludf.DUMMYFUNCTION("""COMPUTED_VALUE"""),"Australia")</f>
        <v>Australia</v>
      </c>
      <c r="E6745" s="135"/>
      <c r="F6745" s="31"/>
    </row>
    <row r="6746">
      <c r="A6746" s="134" t="str">
        <f>IFERROR(__xludf.DUMMYFUNCTION("""COMPUTED_VALUE"""),"Port Protection")</f>
        <v>Port Protection</v>
      </c>
      <c r="B6746" s="120" t="str">
        <f>IFERROR(__xludf.DUMMYFUNCTION("""COMPUTED_VALUE"""),"PPV")</f>
        <v>PPV</v>
      </c>
      <c r="C6746" s="120" t="str">
        <f>IFERROR(__xludf.DUMMYFUNCTION("""COMPUTED_VALUE"""),"Port Protection")</f>
        <v>Port Protection</v>
      </c>
      <c r="D6746" s="120" t="str">
        <f>IFERROR(__xludf.DUMMYFUNCTION("""COMPUTED_VALUE"""),"United States")</f>
        <v>United States</v>
      </c>
      <c r="E6746" s="135"/>
      <c r="F6746" s="31"/>
    </row>
    <row r="6747">
      <c r="A6747" s="134" t="str">
        <f>IFERROR(__xludf.DUMMYFUNCTION("""COMPUTED_VALUE"""),"Port Said")</f>
        <v>Port Said</v>
      </c>
      <c r="B6747" s="120" t="str">
        <f>IFERROR(__xludf.DUMMYFUNCTION("""COMPUTED_VALUE"""),"PSD")</f>
        <v>PSD</v>
      </c>
      <c r="C6747" s="120" t="str">
        <f>IFERROR(__xludf.DUMMYFUNCTION("""COMPUTED_VALUE"""),"Port Said")</f>
        <v>Port Said</v>
      </c>
      <c r="D6747" s="120" t="str">
        <f>IFERROR(__xludf.DUMMYFUNCTION("""COMPUTED_VALUE"""),"Egypt")</f>
        <v>Egypt</v>
      </c>
      <c r="E6747" s="135"/>
      <c r="F6747" s="31"/>
    </row>
    <row r="6748">
      <c r="A6748" s="134" t="str">
        <f>IFERROR(__xludf.DUMMYFUNCTION("""COMPUTED_VALUE"""),"Port Saint Johns")</f>
        <v>Port Saint Johns</v>
      </c>
      <c r="B6748" s="120" t="str">
        <f>IFERROR(__xludf.DUMMYFUNCTION("""COMPUTED_VALUE"""),"JOH")</f>
        <v>JOH</v>
      </c>
      <c r="C6748" s="120" t="str">
        <f>IFERROR(__xludf.DUMMYFUNCTION("""COMPUTED_VALUE"""),"Port Saint Johns")</f>
        <v>Port Saint Johns</v>
      </c>
      <c r="D6748" s="120" t="str">
        <f>IFERROR(__xludf.DUMMYFUNCTION("""COMPUTED_VALUE"""),"South Africa")</f>
        <v>South Africa</v>
      </c>
      <c r="E6748" s="135"/>
      <c r="F6748" s="31"/>
    </row>
    <row r="6749">
      <c r="A6749" s="134" t="str">
        <f>IFERROR(__xludf.DUMMYFUNCTION("""COMPUTED_VALUE"""),"Port San Juan")</f>
        <v>Port San Juan</v>
      </c>
      <c r="B6749" s="120" t="str">
        <f>IFERROR(__xludf.DUMMYFUNCTION("""COMPUTED_VALUE"""),"PJS")</f>
        <v>PJS</v>
      </c>
      <c r="C6749" s="120" t="str">
        <f>IFERROR(__xludf.DUMMYFUNCTION("""COMPUTED_VALUE"""),"Port San Juan")</f>
        <v>Port San Juan</v>
      </c>
      <c r="D6749" s="120" t="str">
        <f>IFERROR(__xludf.DUMMYFUNCTION("""COMPUTED_VALUE"""),"United States")</f>
        <v>United States</v>
      </c>
      <c r="E6749" s="135"/>
      <c r="F6749" s="31"/>
    </row>
    <row r="6750">
      <c r="A6750" s="134" t="str">
        <f>IFERROR(__xludf.DUMMYFUNCTION("""COMPUTED_VALUE"""),"Port Simpson")</f>
        <v>Port Simpson</v>
      </c>
      <c r="B6750" s="120" t="str">
        <f>IFERROR(__xludf.DUMMYFUNCTION("""COMPUTED_VALUE"""),"YPI")</f>
        <v>YPI</v>
      </c>
      <c r="C6750" s="120" t="str">
        <f>IFERROR(__xludf.DUMMYFUNCTION("""COMPUTED_VALUE"""),"Port Simpson")</f>
        <v>Port Simpson</v>
      </c>
      <c r="D6750" s="120" t="str">
        <f>IFERROR(__xludf.DUMMYFUNCTION("""COMPUTED_VALUE"""),"Canada")</f>
        <v>Canada</v>
      </c>
      <c r="E6750" s="135"/>
      <c r="F6750" s="31"/>
    </row>
    <row r="6751">
      <c r="A6751" s="134" t="str">
        <f>IFERROR(__xludf.DUMMYFUNCTION("""COMPUTED_VALUE"""),"Port Stanley")</f>
        <v>Port Stanley</v>
      </c>
      <c r="B6751" s="120" t="str">
        <f>IFERROR(__xludf.DUMMYFUNCTION("""COMPUTED_VALUE"""),"PSY")</f>
        <v>PSY</v>
      </c>
      <c r="C6751" s="120" t="str">
        <f>IFERROR(__xludf.DUMMYFUNCTION("""COMPUTED_VALUE"""),"Port Stanley")</f>
        <v>Port Stanley</v>
      </c>
      <c r="D6751" s="120" t="str">
        <f>IFERROR(__xludf.DUMMYFUNCTION("""COMPUTED_VALUE"""),"Falkland Islands (Malvinas)")</f>
        <v>Falkland Islands (Malvinas)</v>
      </c>
      <c r="E6751" s="135"/>
      <c r="F6751" s="31"/>
    </row>
    <row r="6752">
      <c r="A6752" s="134" t="str">
        <f>IFERROR(__xludf.DUMMYFUNCTION("""COMPUTED_VALUE"""),"Port Stephens")</f>
        <v>Port Stephens</v>
      </c>
      <c r="B6752" s="120" t="str">
        <f>IFERROR(__xludf.DUMMYFUNCTION("""COMPUTED_VALUE"""),"PTE")</f>
        <v>PTE</v>
      </c>
      <c r="C6752" s="120" t="str">
        <f>IFERROR(__xludf.DUMMYFUNCTION("""COMPUTED_VALUE"""),"Port Stephens")</f>
        <v>Port Stephens</v>
      </c>
      <c r="D6752" s="120" t="str">
        <f>IFERROR(__xludf.DUMMYFUNCTION("""COMPUTED_VALUE"""),"Australia")</f>
        <v>Australia</v>
      </c>
      <c r="E6752" s="135"/>
      <c r="F6752" s="31"/>
    </row>
    <row r="6753">
      <c r="A6753" s="134" t="str">
        <f>IFERROR(__xludf.DUMMYFUNCTION("""COMPUTED_VALUE"""),"Port Sudan")</f>
        <v>Port Sudan</v>
      </c>
      <c r="B6753" s="120" t="str">
        <f>IFERROR(__xludf.DUMMYFUNCTION("""COMPUTED_VALUE"""),"PZU")</f>
        <v>PZU</v>
      </c>
      <c r="C6753" s="120" t="str">
        <f>IFERROR(__xludf.DUMMYFUNCTION("""COMPUTED_VALUE"""),"Port Sudan")</f>
        <v>Port Sudan</v>
      </c>
      <c r="D6753" s="120" t="str">
        <f>IFERROR(__xludf.DUMMYFUNCTION("""COMPUTED_VALUE"""),"Sudan")</f>
        <v>Sudan</v>
      </c>
      <c r="E6753" s="135"/>
      <c r="F6753" s="31"/>
    </row>
    <row r="6754">
      <c r="A6754" s="134" t="str">
        <f>IFERROR(__xludf.DUMMYFUNCTION("""COMPUTED_VALUE"""),"Port Townsend")</f>
        <v>Port Townsend</v>
      </c>
      <c r="B6754" s="120" t="str">
        <f>IFERROR(__xludf.DUMMYFUNCTION("""COMPUTED_VALUE"""),"TWD")</f>
        <v>TWD</v>
      </c>
      <c r="C6754" s="120" t="str">
        <f>IFERROR(__xludf.DUMMYFUNCTION("""COMPUTED_VALUE"""),"Port Townsend")</f>
        <v>Port Townsend</v>
      </c>
      <c r="D6754" s="120" t="str">
        <f>IFERROR(__xludf.DUMMYFUNCTION("""COMPUTED_VALUE"""),"United States")</f>
        <v>United States</v>
      </c>
      <c r="E6754" s="135"/>
      <c r="F6754" s="31"/>
    </row>
    <row r="6755">
      <c r="A6755" s="134" t="str">
        <f>IFERROR(__xludf.DUMMYFUNCTION("""COMPUTED_VALUE"""),"Port Vila")</f>
        <v>Port Vila</v>
      </c>
      <c r="B6755" s="120" t="str">
        <f>IFERROR(__xludf.DUMMYFUNCTION("""COMPUTED_VALUE"""),"VLI")</f>
        <v>VLI</v>
      </c>
      <c r="C6755" s="120" t="str">
        <f>IFERROR(__xludf.DUMMYFUNCTION("""COMPUTED_VALUE"""),"Bauerfield")</f>
        <v>Bauerfield</v>
      </c>
      <c r="D6755" s="120" t="str">
        <f>IFERROR(__xludf.DUMMYFUNCTION("""COMPUTED_VALUE"""),"Vanuatu")</f>
        <v>Vanuatu</v>
      </c>
      <c r="E6755" s="135"/>
      <c r="F6755" s="31"/>
    </row>
    <row r="6756">
      <c r="A6756" s="134" t="str">
        <f>IFERROR(__xludf.DUMMYFUNCTION("""COMPUTED_VALUE"""),"Port Walter")</f>
        <v>Port Walter</v>
      </c>
      <c r="B6756" s="120" t="str">
        <f>IFERROR(__xludf.DUMMYFUNCTION("""COMPUTED_VALUE"""),"PWR")</f>
        <v>PWR</v>
      </c>
      <c r="C6756" s="120" t="str">
        <f>IFERROR(__xludf.DUMMYFUNCTION("""COMPUTED_VALUE"""),"Port Walter")</f>
        <v>Port Walter</v>
      </c>
      <c r="D6756" s="120" t="str">
        <f>IFERROR(__xludf.DUMMYFUNCTION("""COMPUTED_VALUE"""),"United States")</f>
        <v>United States</v>
      </c>
      <c r="E6756" s="135"/>
      <c r="F6756" s="31"/>
    </row>
    <row r="6757">
      <c r="A6757" s="134" t="str">
        <f>IFERROR(__xludf.DUMMYFUNCTION("""COMPUTED_VALUE"""),"Port Williams")</f>
        <v>Port Williams</v>
      </c>
      <c r="B6757" s="120" t="str">
        <f>IFERROR(__xludf.DUMMYFUNCTION("""COMPUTED_VALUE"""),"KPR")</f>
        <v>KPR</v>
      </c>
      <c r="C6757" s="120" t="str">
        <f>IFERROR(__xludf.DUMMYFUNCTION("""COMPUTED_VALUE"""),"Port Williams SPB")</f>
        <v>Port Williams SPB</v>
      </c>
      <c r="D6757" s="120" t="str">
        <f>IFERROR(__xludf.DUMMYFUNCTION("""COMPUTED_VALUE"""),"United States")</f>
        <v>United States</v>
      </c>
      <c r="E6757" s="135"/>
      <c r="F6757" s="31"/>
    </row>
    <row r="6758">
      <c r="A6758" s="134" t="str">
        <f>IFERROR(__xludf.DUMMYFUNCTION("""COMPUTED_VALUE"""),"Portage Creek")</f>
        <v>Portage Creek</v>
      </c>
      <c r="B6758" s="120" t="str">
        <f>IFERROR(__xludf.DUMMYFUNCTION("""COMPUTED_VALUE"""),"PCA")</f>
        <v>PCA</v>
      </c>
      <c r="C6758" s="120" t="str">
        <f>IFERROR(__xludf.DUMMYFUNCTION("""COMPUTED_VALUE"""),"Portage Creek")</f>
        <v>Portage Creek</v>
      </c>
      <c r="D6758" s="120" t="str">
        <f>IFERROR(__xludf.DUMMYFUNCTION("""COMPUTED_VALUE"""),"United States")</f>
        <v>United States</v>
      </c>
      <c r="E6758" s="135"/>
      <c r="F6758" s="31"/>
    </row>
    <row r="6759">
      <c r="A6759" s="134" t="str">
        <f>IFERROR(__xludf.DUMMYFUNCTION("""COMPUTED_VALUE"""),"Portage La Prairie")</f>
        <v>Portage La Prairie</v>
      </c>
      <c r="B6759" s="120" t="str">
        <f>IFERROR(__xludf.DUMMYFUNCTION("""COMPUTED_VALUE"""),"YPG")</f>
        <v>YPG</v>
      </c>
      <c r="C6759" s="120" t="str">
        <f>IFERROR(__xludf.DUMMYFUNCTION("""COMPUTED_VALUE"""),"Portage La Prairie")</f>
        <v>Portage La Prairie</v>
      </c>
      <c r="D6759" s="120" t="str">
        <f>IFERROR(__xludf.DUMMYFUNCTION("""COMPUTED_VALUE"""),"Canada")</f>
        <v>Canada</v>
      </c>
      <c r="E6759" s="135"/>
      <c r="F6759" s="31"/>
    </row>
    <row r="6760">
      <c r="A6760" s="134" t="str">
        <f>IFERROR(__xludf.DUMMYFUNCTION("""COMPUTED_VALUE"""),"Porterville")</f>
        <v>Porterville</v>
      </c>
      <c r="B6760" s="120" t="str">
        <f>IFERROR(__xludf.DUMMYFUNCTION("""COMPUTED_VALUE"""),"PTV")</f>
        <v>PTV</v>
      </c>
      <c r="C6760" s="120" t="str">
        <f>IFERROR(__xludf.DUMMYFUNCTION("""COMPUTED_VALUE"""),"Porterville")</f>
        <v>Porterville</v>
      </c>
      <c r="D6760" s="120" t="str">
        <f>IFERROR(__xludf.DUMMYFUNCTION("""COMPUTED_VALUE"""),"United States")</f>
        <v>United States</v>
      </c>
      <c r="E6760" s="135"/>
      <c r="F6760" s="31"/>
    </row>
    <row r="6761">
      <c r="A6761" s="134" t="str">
        <f>IFERROR(__xludf.DUMMYFUNCTION("""COMPUTED_VALUE"""),"Portimao")</f>
        <v>Portimao</v>
      </c>
      <c r="B6761" s="120" t="str">
        <f>IFERROR(__xludf.DUMMYFUNCTION("""COMPUTED_VALUE"""),"PRM")</f>
        <v>PRM</v>
      </c>
      <c r="C6761" s="120" t="str">
        <f>IFERROR(__xludf.DUMMYFUNCTION("""COMPUTED_VALUE"""),"Portimao")</f>
        <v>Portimao</v>
      </c>
      <c r="D6761" s="120" t="str">
        <f>IFERROR(__xludf.DUMMYFUNCTION("""COMPUTED_VALUE"""),"Portugal")</f>
        <v>Portugal</v>
      </c>
      <c r="E6761" s="135"/>
      <c r="F6761" s="31"/>
    </row>
    <row r="6762">
      <c r="A6762" s="134" t="str">
        <f>IFERROR(__xludf.DUMMYFUNCTION("""COMPUTED_VALUE"""),"Portland")</f>
        <v>Portland</v>
      </c>
      <c r="B6762" s="120" t="str">
        <f>IFERROR(__xludf.DUMMYFUNCTION("""COMPUTED_VALUE"""),"PWM")</f>
        <v>PWM</v>
      </c>
      <c r="C6762" s="120" t="str">
        <f>IFERROR(__xludf.DUMMYFUNCTION("""COMPUTED_VALUE"""),"Intl Jetport")</f>
        <v>Intl Jetport</v>
      </c>
      <c r="D6762" s="120" t="str">
        <f>IFERROR(__xludf.DUMMYFUNCTION("""COMPUTED_VALUE"""),"United States")</f>
        <v>United States</v>
      </c>
      <c r="E6762" s="135"/>
      <c r="F6762" s="31"/>
    </row>
    <row r="6763">
      <c r="A6763" s="134" t="str">
        <f>IFERROR(__xludf.DUMMYFUNCTION("""COMPUTED_VALUE"""),"Portland")</f>
        <v>Portland</v>
      </c>
      <c r="B6763" s="120" t="str">
        <f>IFERROR(__xludf.DUMMYFUNCTION("""COMPUTED_VALUE"""),"PDX")</f>
        <v>PDX</v>
      </c>
      <c r="C6763" s="120" t="str">
        <f>IFERROR(__xludf.DUMMYFUNCTION("""COMPUTED_VALUE"""),"Portland International")</f>
        <v>Portland International</v>
      </c>
      <c r="D6763" s="120" t="str">
        <f>IFERROR(__xludf.DUMMYFUNCTION("""COMPUTED_VALUE"""),"United States")</f>
        <v>United States</v>
      </c>
      <c r="E6763" s="135"/>
      <c r="F6763" s="31"/>
    </row>
    <row r="6764">
      <c r="A6764" s="134" t="str">
        <f>IFERROR(__xludf.DUMMYFUNCTION("""COMPUTED_VALUE"""),"Portland")</f>
        <v>Portland</v>
      </c>
      <c r="B6764" s="120" t="str">
        <f>IFERROR(__xludf.DUMMYFUNCTION("""COMPUTED_VALUE"""),"PTJ")</f>
        <v>PTJ</v>
      </c>
      <c r="C6764" s="120" t="str">
        <f>IFERROR(__xludf.DUMMYFUNCTION("""COMPUTED_VALUE"""),"Portland")</f>
        <v>Portland</v>
      </c>
      <c r="D6764" s="120" t="str">
        <f>IFERROR(__xludf.DUMMYFUNCTION("""COMPUTED_VALUE"""),"Australia")</f>
        <v>Australia</v>
      </c>
      <c r="E6764" s="135"/>
      <c r="F6764" s="31"/>
    </row>
    <row r="6765">
      <c r="A6765" s="134" t="str">
        <f>IFERROR(__xludf.DUMMYFUNCTION("""COMPUTED_VALUE"""),"Porto")</f>
        <v>Porto</v>
      </c>
      <c r="B6765" s="120" t="str">
        <f>IFERROR(__xludf.DUMMYFUNCTION("""COMPUTED_VALUE"""),"OPO")</f>
        <v>OPO</v>
      </c>
      <c r="C6765" s="120" t="str">
        <f>IFERROR(__xludf.DUMMYFUNCTION("""COMPUTED_VALUE"""),"Porto")</f>
        <v>Porto</v>
      </c>
      <c r="D6765" s="120" t="str">
        <f>IFERROR(__xludf.DUMMYFUNCTION("""COMPUTED_VALUE"""),"Portugal")</f>
        <v>Portugal</v>
      </c>
      <c r="E6765" s="135"/>
      <c r="F6765" s="31"/>
    </row>
    <row r="6766">
      <c r="A6766" s="134" t="str">
        <f>IFERROR(__xludf.DUMMYFUNCTION("""COMPUTED_VALUE"""),"Porto")</f>
        <v>Porto</v>
      </c>
      <c r="B6766" s="120" t="str">
        <f>IFERROR(__xludf.DUMMYFUNCTION("""COMPUTED_VALUE"""),"ZYJ")</f>
        <v>ZYJ</v>
      </c>
      <c r="C6766" s="120" t="str">
        <f>IFERROR(__xludf.DUMMYFUNCTION("""COMPUTED_VALUE"""),"Porto TP")</f>
        <v>Porto TP</v>
      </c>
      <c r="D6766" s="120" t="str">
        <f>IFERROR(__xludf.DUMMYFUNCTION("""COMPUTED_VALUE"""),"Portugal")</f>
        <v>Portugal</v>
      </c>
      <c r="E6766" s="135"/>
      <c r="F6766" s="31"/>
    </row>
    <row r="6767">
      <c r="A6767" s="134" t="str">
        <f>IFERROR(__xludf.DUMMYFUNCTION("""COMPUTED_VALUE"""),"Porto Alegre")</f>
        <v>Porto Alegre</v>
      </c>
      <c r="B6767" s="120" t="str">
        <f>IFERROR(__xludf.DUMMYFUNCTION("""COMPUTED_VALUE"""),"POA")</f>
        <v>POA</v>
      </c>
      <c r="C6767" s="120" t="str">
        <f>IFERROR(__xludf.DUMMYFUNCTION("""COMPUTED_VALUE"""),"Salgado Filho")</f>
        <v>Salgado Filho</v>
      </c>
      <c r="D6767" s="120" t="str">
        <f>IFERROR(__xludf.DUMMYFUNCTION("""COMPUTED_VALUE"""),"Brazil")</f>
        <v>Brazil</v>
      </c>
      <c r="E6767" s="135"/>
      <c r="F6767" s="31"/>
    </row>
    <row r="6768">
      <c r="A6768" s="134" t="str">
        <f>IFERROR(__xludf.DUMMYFUNCTION("""COMPUTED_VALUE"""),"Porto Alegre")</f>
        <v>Porto Alegre</v>
      </c>
      <c r="B6768" s="120" t="str">
        <f>IFERROR(__xludf.DUMMYFUNCTION("""COMPUTED_VALUE"""),"PGP")</f>
        <v>PGP</v>
      </c>
      <c r="C6768" s="120" t="str">
        <f>IFERROR(__xludf.DUMMYFUNCTION("""COMPUTED_VALUE"""),"Porto Alegre")</f>
        <v>Porto Alegre</v>
      </c>
      <c r="D6768" s="120" t="str">
        <f>IFERROR(__xludf.DUMMYFUNCTION("""COMPUTED_VALUE"""),"Sao Tome and Principe")</f>
        <v>Sao Tome and Principe</v>
      </c>
      <c r="E6768" s="135"/>
      <c r="F6768" s="31"/>
    </row>
    <row r="6769">
      <c r="A6769" s="134" t="str">
        <f>IFERROR(__xludf.DUMMYFUNCTION("""COMPUTED_VALUE"""),"Porto Alegre Do Norte")</f>
        <v>Porto Alegre Do Norte</v>
      </c>
      <c r="B6769" s="120" t="str">
        <f>IFERROR(__xludf.DUMMYFUNCTION("""COMPUTED_VALUE"""),"PBX")</f>
        <v>PBX</v>
      </c>
      <c r="C6769" s="120" t="str">
        <f>IFERROR(__xludf.DUMMYFUNCTION("""COMPUTED_VALUE"""),"Porto Alegre Do Norte")</f>
        <v>Porto Alegre Do Norte</v>
      </c>
      <c r="D6769" s="120" t="str">
        <f>IFERROR(__xludf.DUMMYFUNCTION("""COMPUTED_VALUE"""),"Brazil")</f>
        <v>Brazil</v>
      </c>
      <c r="E6769" s="135"/>
      <c r="F6769" s="31"/>
    </row>
    <row r="6770">
      <c r="A6770" s="134" t="str">
        <f>IFERROR(__xludf.DUMMYFUNCTION("""COMPUTED_VALUE"""),"Porto Amboim")</f>
        <v>Porto Amboim</v>
      </c>
      <c r="B6770" s="120" t="str">
        <f>IFERROR(__xludf.DUMMYFUNCTION("""COMPUTED_VALUE"""),"PBN")</f>
        <v>PBN</v>
      </c>
      <c r="C6770" s="120" t="str">
        <f>IFERROR(__xludf.DUMMYFUNCTION("""COMPUTED_VALUE"""),"Porto Amboim")</f>
        <v>Porto Amboim</v>
      </c>
      <c r="D6770" s="120" t="str">
        <f>IFERROR(__xludf.DUMMYFUNCTION("""COMPUTED_VALUE"""),"Angola")</f>
        <v>Angola</v>
      </c>
      <c r="E6770" s="135"/>
      <c r="F6770" s="31"/>
    </row>
    <row r="6771">
      <c r="A6771" s="134" t="str">
        <f>IFERROR(__xludf.DUMMYFUNCTION("""COMPUTED_VALUE"""),"Porto de Moz")</f>
        <v>Porto de Moz</v>
      </c>
      <c r="B6771" s="120" t="str">
        <f>IFERROR(__xludf.DUMMYFUNCTION("""COMPUTED_VALUE"""),"PTQ")</f>
        <v>PTQ</v>
      </c>
      <c r="C6771" s="120" t="str">
        <f>IFERROR(__xludf.DUMMYFUNCTION("""COMPUTED_VALUE"""),"Porto de Moz")</f>
        <v>Porto de Moz</v>
      </c>
      <c r="D6771" s="120" t="str">
        <f>IFERROR(__xludf.DUMMYFUNCTION("""COMPUTED_VALUE"""),"Brazil")</f>
        <v>Brazil</v>
      </c>
      <c r="E6771" s="135"/>
      <c r="F6771" s="31"/>
    </row>
    <row r="6772">
      <c r="A6772" s="134" t="str">
        <f>IFERROR(__xludf.DUMMYFUNCTION("""COMPUTED_VALUE"""),"Porto Dos Gauchos")</f>
        <v>Porto Dos Gauchos</v>
      </c>
      <c r="B6772" s="120" t="str">
        <f>IFERROR(__xludf.DUMMYFUNCTION("""COMPUTED_VALUE"""),"PBV")</f>
        <v>PBV</v>
      </c>
      <c r="C6772" s="120" t="str">
        <f>IFERROR(__xludf.DUMMYFUNCTION("""COMPUTED_VALUE"""),"Porto Dos Gauchos")</f>
        <v>Porto Dos Gauchos</v>
      </c>
      <c r="D6772" s="120" t="str">
        <f>IFERROR(__xludf.DUMMYFUNCTION("""COMPUTED_VALUE"""),"Brazil")</f>
        <v>Brazil</v>
      </c>
      <c r="E6772" s="135"/>
      <c r="F6772" s="31"/>
    </row>
    <row r="6773">
      <c r="A6773" s="134" t="str">
        <f>IFERROR(__xludf.DUMMYFUNCTION("""COMPUTED_VALUE"""),"Porto Kheli")</f>
        <v>Porto Kheli</v>
      </c>
      <c r="B6773" s="120" t="str">
        <f>IFERROR(__xludf.DUMMYFUNCTION("""COMPUTED_VALUE"""),"PKH")</f>
        <v>PKH</v>
      </c>
      <c r="C6773" s="120" t="str">
        <f>IFERROR(__xludf.DUMMYFUNCTION("""COMPUTED_VALUE"""),"Alexion")</f>
        <v>Alexion</v>
      </c>
      <c r="D6773" s="120" t="str">
        <f>IFERROR(__xludf.DUMMYFUNCTION("""COMPUTED_VALUE"""),"Greece")</f>
        <v>Greece</v>
      </c>
      <c r="E6773" s="135"/>
      <c r="F6773" s="31"/>
    </row>
    <row r="6774">
      <c r="A6774" s="134" t="str">
        <f>IFERROR(__xludf.DUMMYFUNCTION("""COMPUTED_VALUE"""),"Porto Nacional")</f>
        <v>Porto Nacional</v>
      </c>
      <c r="B6774" s="120" t="str">
        <f>IFERROR(__xludf.DUMMYFUNCTION("""COMPUTED_VALUE"""),"PNB")</f>
        <v>PNB</v>
      </c>
      <c r="C6774" s="120" t="str">
        <f>IFERROR(__xludf.DUMMYFUNCTION("""COMPUTED_VALUE"""),"Porto Nacional")</f>
        <v>Porto Nacional</v>
      </c>
      <c r="D6774" s="120" t="str">
        <f>IFERROR(__xludf.DUMMYFUNCTION("""COMPUTED_VALUE"""),"Brazil")</f>
        <v>Brazil</v>
      </c>
      <c r="E6774" s="135"/>
      <c r="F6774" s="31"/>
    </row>
    <row r="6775">
      <c r="A6775" s="134" t="str">
        <f>IFERROR(__xludf.DUMMYFUNCTION("""COMPUTED_VALUE"""),"Porto Santo")</f>
        <v>Porto Santo</v>
      </c>
      <c r="B6775" s="120" t="str">
        <f>IFERROR(__xludf.DUMMYFUNCTION("""COMPUTED_VALUE"""),"PXO")</f>
        <v>PXO</v>
      </c>
      <c r="C6775" s="120" t="str">
        <f>IFERROR(__xludf.DUMMYFUNCTION("""COMPUTED_VALUE"""),"Porto Santo")</f>
        <v>Porto Santo</v>
      </c>
      <c r="D6775" s="120" t="str">
        <f>IFERROR(__xludf.DUMMYFUNCTION("""COMPUTED_VALUE"""),"Portugal")</f>
        <v>Portugal</v>
      </c>
      <c r="E6775" s="135"/>
      <c r="F6775" s="31"/>
    </row>
    <row r="6776">
      <c r="A6776" s="134" t="str">
        <f>IFERROR(__xludf.DUMMYFUNCTION("""COMPUTED_VALUE"""),"Porto Seguro")</f>
        <v>Porto Seguro</v>
      </c>
      <c r="B6776" s="120" t="str">
        <f>IFERROR(__xludf.DUMMYFUNCTION("""COMPUTED_VALUE"""),"BPS")</f>
        <v>BPS</v>
      </c>
      <c r="C6776" s="120" t="str">
        <f>IFERROR(__xludf.DUMMYFUNCTION("""COMPUTED_VALUE"""),"Porto Seguro")</f>
        <v>Porto Seguro</v>
      </c>
      <c r="D6776" s="120" t="str">
        <f>IFERROR(__xludf.DUMMYFUNCTION("""COMPUTED_VALUE"""),"Brazil")</f>
        <v>Brazil</v>
      </c>
      <c r="E6776" s="135"/>
      <c r="F6776" s="31"/>
    </row>
    <row r="6777">
      <c r="A6777" s="134" t="str">
        <f>IFERROR(__xludf.DUMMYFUNCTION("""COMPUTED_VALUE"""),"Porto Velho")</f>
        <v>Porto Velho</v>
      </c>
      <c r="B6777" s="120" t="str">
        <f>IFERROR(__xludf.DUMMYFUNCTION("""COMPUTED_VALUE"""),"PVH")</f>
        <v>PVH</v>
      </c>
      <c r="C6777" s="120" t="str">
        <f>IFERROR(__xludf.DUMMYFUNCTION("""COMPUTED_VALUE"""),"Belmonte")</f>
        <v>Belmonte</v>
      </c>
      <c r="D6777" s="120" t="str">
        <f>IFERROR(__xludf.DUMMYFUNCTION("""COMPUTED_VALUE"""),"Brazil")</f>
        <v>Brazil</v>
      </c>
      <c r="E6777" s="135"/>
      <c r="F6777" s="31"/>
    </row>
    <row r="6778">
      <c r="A6778" s="134" t="str">
        <f>IFERROR(__xludf.DUMMYFUNCTION("""COMPUTED_VALUE"""),"Portoroz")</f>
        <v>Portoroz</v>
      </c>
      <c r="B6778" s="120" t="str">
        <f>IFERROR(__xludf.DUMMYFUNCTION("""COMPUTED_VALUE"""),"POW")</f>
        <v>POW</v>
      </c>
      <c r="C6778" s="120" t="str">
        <f>IFERROR(__xludf.DUMMYFUNCTION("""COMPUTED_VALUE"""),"Portoroz")</f>
        <v>Portoroz</v>
      </c>
      <c r="D6778" s="120" t="str">
        <f>IFERROR(__xludf.DUMMYFUNCTION("""COMPUTED_VALUE"""),"Slovenia")</f>
        <v>Slovenia</v>
      </c>
      <c r="E6778" s="135"/>
      <c r="F6778" s="31"/>
    </row>
    <row r="6779">
      <c r="A6779" s="134" t="str">
        <f>IFERROR(__xludf.DUMMYFUNCTION("""COMPUTED_VALUE"""),"Portoviejo")</f>
        <v>Portoviejo</v>
      </c>
      <c r="B6779" s="120" t="str">
        <f>IFERROR(__xludf.DUMMYFUNCTION("""COMPUTED_VALUE"""),"PVO")</f>
        <v>PVO</v>
      </c>
      <c r="C6779" s="120" t="str">
        <f>IFERROR(__xludf.DUMMYFUNCTION("""COMPUTED_VALUE"""),"Portoviejo")</f>
        <v>Portoviejo</v>
      </c>
      <c r="D6779" s="120" t="str">
        <f>IFERROR(__xludf.DUMMYFUNCTION("""COMPUTED_VALUE"""),"Ecuador")</f>
        <v>Ecuador</v>
      </c>
      <c r="E6779" s="135"/>
      <c r="F6779" s="31"/>
    </row>
    <row r="6780">
      <c r="A6780" s="134" t="str">
        <f>IFERROR(__xludf.DUMMYFUNCTION("""COMPUTED_VALUE"""),"Portsmouth")</f>
        <v>Portsmouth</v>
      </c>
      <c r="B6780" s="120" t="str">
        <f>IFERROR(__xludf.DUMMYFUNCTION("""COMPUTED_VALUE"""),"PME")</f>
        <v>PME</v>
      </c>
      <c r="C6780" s="120" t="str">
        <f>IFERROR(__xludf.DUMMYFUNCTION("""COMPUTED_VALUE"""),"Portsmouth")</f>
        <v>Portsmouth</v>
      </c>
      <c r="D6780" s="120" t="str">
        <f>IFERROR(__xludf.DUMMYFUNCTION("""COMPUTED_VALUE"""),"United Kingdom")</f>
        <v>United Kingdom</v>
      </c>
      <c r="E6780" s="135"/>
      <c r="F6780" s="31"/>
    </row>
    <row r="6781">
      <c r="A6781" s="134" t="str">
        <f>IFERROR(__xludf.DUMMYFUNCTION("""COMPUTED_VALUE"""),"Portsmouth")</f>
        <v>Portsmouth</v>
      </c>
      <c r="B6781" s="120" t="str">
        <f>IFERROR(__xludf.DUMMYFUNCTION("""COMPUTED_VALUE"""),"PMH")</f>
        <v>PMH</v>
      </c>
      <c r="C6781" s="120" t="str">
        <f>IFERROR(__xludf.DUMMYFUNCTION("""COMPUTED_VALUE"""),"Regional")</f>
        <v>Regional</v>
      </c>
      <c r="D6781" s="120" t="str">
        <f>IFERROR(__xludf.DUMMYFUNCTION("""COMPUTED_VALUE"""),"United States")</f>
        <v>United States</v>
      </c>
      <c r="E6781" s="135"/>
      <c r="F6781" s="31"/>
    </row>
    <row r="6782">
      <c r="A6782" s="134" t="str">
        <f>IFERROR(__xludf.DUMMYFUNCTION("""COMPUTED_VALUE"""),"Porvenir")</f>
        <v>Porvenir</v>
      </c>
      <c r="B6782" s="120" t="str">
        <f>IFERROR(__xludf.DUMMYFUNCTION("""COMPUTED_VALUE"""),"WPR")</f>
        <v>WPR</v>
      </c>
      <c r="C6782" s="120" t="str">
        <f>IFERROR(__xludf.DUMMYFUNCTION("""COMPUTED_VALUE"""),"Porvenir")</f>
        <v>Porvenir</v>
      </c>
      <c r="D6782" s="120" t="str">
        <f>IFERROR(__xludf.DUMMYFUNCTION("""COMPUTED_VALUE"""),"Chile")</f>
        <v>Chile</v>
      </c>
      <c r="E6782" s="135"/>
      <c r="F6782" s="31"/>
    </row>
    <row r="6783">
      <c r="A6783" s="134" t="str">
        <f>IFERROR(__xludf.DUMMYFUNCTION("""COMPUTED_VALUE"""),"Posadas")</f>
        <v>Posadas</v>
      </c>
      <c r="B6783" s="120" t="str">
        <f>IFERROR(__xludf.DUMMYFUNCTION("""COMPUTED_VALUE"""),"PSS")</f>
        <v>PSS</v>
      </c>
      <c r="C6783" s="120" t="str">
        <f>IFERROR(__xludf.DUMMYFUNCTION("""COMPUTED_VALUE"""),"Posadas")</f>
        <v>Posadas</v>
      </c>
      <c r="D6783" s="120" t="str">
        <f>IFERROR(__xludf.DUMMYFUNCTION("""COMPUTED_VALUE"""),"Argentina")</f>
        <v>Argentina</v>
      </c>
      <c r="E6783" s="135"/>
      <c r="F6783" s="31"/>
    </row>
    <row r="6784">
      <c r="A6784" s="134" t="str">
        <f>IFERROR(__xludf.DUMMYFUNCTION("""COMPUTED_VALUE"""),"Poso")</f>
        <v>Poso</v>
      </c>
      <c r="B6784" s="120" t="str">
        <f>IFERROR(__xludf.DUMMYFUNCTION("""COMPUTED_VALUE"""),"PSJ")</f>
        <v>PSJ</v>
      </c>
      <c r="C6784" s="120" t="str">
        <f>IFERROR(__xludf.DUMMYFUNCTION("""COMPUTED_VALUE"""),"Poso")</f>
        <v>Poso</v>
      </c>
      <c r="D6784" s="120" t="str">
        <f>IFERROR(__xludf.DUMMYFUNCTION("""COMPUTED_VALUE"""),"Indonesia")</f>
        <v>Indonesia</v>
      </c>
      <c r="E6784" s="135"/>
      <c r="F6784" s="31"/>
    </row>
    <row r="6785">
      <c r="A6785" s="134" t="str">
        <f>IFERROR(__xludf.DUMMYFUNCTION("""COMPUTED_VALUE"""),"Postville")</f>
        <v>Postville</v>
      </c>
      <c r="B6785" s="120" t="str">
        <f>IFERROR(__xludf.DUMMYFUNCTION("""COMPUTED_VALUE"""),"YSO")</f>
        <v>YSO</v>
      </c>
      <c r="C6785" s="120" t="str">
        <f>IFERROR(__xludf.DUMMYFUNCTION("""COMPUTED_VALUE"""),"Postville")</f>
        <v>Postville</v>
      </c>
      <c r="D6785" s="120" t="str">
        <f>IFERROR(__xludf.DUMMYFUNCTION("""COMPUTED_VALUE"""),"Canada")</f>
        <v>Canada</v>
      </c>
      <c r="E6785" s="135"/>
      <c r="F6785" s="31"/>
    </row>
    <row r="6786">
      <c r="A6786" s="134" t="str">
        <f>IFERROR(__xludf.DUMMYFUNCTION("""COMPUTED_VALUE"""),"Poteau")</f>
        <v>Poteau</v>
      </c>
      <c r="B6786" s="120" t="str">
        <f>IFERROR(__xludf.DUMMYFUNCTION("""COMPUTED_VALUE"""),"RKR")</f>
        <v>RKR</v>
      </c>
      <c r="C6786" s="120" t="str">
        <f>IFERROR(__xludf.DUMMYFUNCTION("""COMPUTED_VALUE"""),"Robert S Kerr")</f>
        <v>Robert S Kerr</v>
      </c>
      <c r="D6786" s="120" t="str">
        <f>IFERROR(__xludf.DUMMYFUNCTION("""COMPUTED_VALUE"""),"United States")</f>
        <v>United States</v>
      </c>
      <c r="E6786" s="135"/>
      <c r="F6786" s="31"/>
    </row>
    <row r="6787">
      <c r="A6787" s="134" t="str">
        <f>IFERROR(__xludf.DUMMYFUNCTION("""COMPUTED_VALUE"""),"Potosi")</f>
        <v>Potosi</v>
      </c>
      <c r="B6787" s="120" t="str">
        <f>IFERROR(__xludf.DUMMYFUNCTION("""COMPUTED_VALUE"""),"POI")</f>
        <v>POI</v>
      </c>
      <c r="C6787" s="120" t="str">
        <f>IFERROR(__xludf.DUMMYFUNCTION("""COMPUTED_VALUE"""),"Potosi")</f>
        <v>Potosi</v>
      </c>
      <c r="D6787" s="120" t="str">
        <f>IFERROR(__xludf.DUMMYFUNCTION("""COMPUTED_VALUE"""),"Bolivia")</f>
        <v>Bolivia</v>
      </c>
      <c r="E6787" s="135"/>
      <c r="F6787" s="31"/>
    </row>
    <row r="6788">
      <c r="A6788" s="134" t="str">
        <f>IFERROR(__xludf.DUMMYFUNCTION("""COMPUTED_VALUE"""),"Pottstown")</f>
        <v>Pottstown</v>
      </c>
      <c r="B6788" s="120" t="str">
        <f>IFERROR(__xludf.DUMMYFUNCTION("""COMPUTED_VALUE"""),"PTW")</f>
        <v>PTW</v>
      </c>
      <c r="C6788" s="120" t="str">
        <f>IFERROR(__xludf.DUMMYFUNCTION("""COMPUTED_VALUE"""),"Pottstown/Limerick")</f>
        <v>Pottstown/Limerick</v>
      </c>
      <c r="D6788" s="120" t="str">
        <f>IFERROR(__xludf.DUMMYFUNCTION("""COMPUTED_VALUE"""),"United States")</f>
        <v>United States</v>
      </c>
      <c r="E6788" s="135"/>
      <c r="F6788" s="31"/>
    </row>
    <row r="6789">
      <c r="A6789" s="134" t="str">
        <f>IFERROR(__xludf.DUMMYFUNCTION("""COMPUTED_VALUE"""),"Poughkeepsie")</f>
        <v>Poughkeepsie</v>
      </c>
      <c r="B6789" s="120" t="str">
        <f>IFERROR(__xludf.DUMMYFUNCTION("""COMPUTED_VALUE"""),"POU")</f>
        <v>POU</v>
      </c>
      <c r="C6789" s="120" t="str">
        <f>IFERROR(__xludf.DUMMYFUNCTION("""COMPUTED_VALUE"""),"Dutchess County")</f>
        <v>Dutchess County</v>
      </c>
      <c r="D6789" s="120" t="str">
        <f>IFERROR(__xludf.DUMMYFUNCTION("""COMPUTED_VALUE"""),"United States")</f>
        <v>United States</v>
      </c>
      <c r="E6789" s="135"/>
      <c r="F6789" s="31"/>
    </row>
    <row r="6790">
      <c r="A6790" s="134" t="str">
        <f>IFERROR(__xludf.DUMMYFUNCTION("""COMPUTED_VALUE"""),"Poulsbo")</f>
        <v>Poulsbo</v>
      </c>
      <c r="B6790" s="120" t="str">
        <f>IFERROR(__xludf.DUMMYFUNCTION("""COMPUTED_VALUE"""),"PUL")</f>
        <v>PUL</v>
      </c>
      <c r="C6790" s="120" t="str">
        <f>IFERROR(__xludf.DUMMYFUNCTION("""COMPUTED_VALUE"""),"Poulsbo")</f>
        <v>Poulsbo</v>
      </c>
      <c r="D6790" s="120" t="str">
        <f>IFERROR(__xludf.DUMMYFUNCTION("""COMPUTED_VALUE"""),"United States")</f>
        <v>United States</v>
      </c>
      <c r="E6790" s="135"/>
      <c r="F6790" s="31"/>
    </row>
    <row r="6791">
      <c r="A6791" s="134" t="str">
        <f>IFERROR(__xludf.DUMMYFUNCTION("""COMPUTED_VALUE"""),"Poum")</f>
        <v>Poum</v>
      </c>
      <c r="B6791" s="120" t="str">
        <f>IFERROR(__xludf.DUMMYFUNCTION("""COMPUTED_VALUE"""),"PUV")</f>
        <v>PUV</v>
      </c>
      <c r="C6791" s="120" t="str">
        <f>IFERROR(__xludf.DUMMYFUNCTION("""COMPUTED_VALUE"""),"Poum")</f>
        <v>Poum</v>
      </c>
      <c r="D6791" s="120" t="str">
        <f>IFERROR(__xludf.DUMMYFUNCTION("""COMPUTED_VALUE"""),"New Caledonia")</f>
        <v>New Caledonia</v>
      </c>
      <c r="E6791" s="135"/>
      <c r="F6791" s="31"/>
    </row>
    <row r="6792">
      <c r="A6792" s="134" t="str">
        <f>IFERROR(__xludf.DUMMYFUNCTION("""COMPUTED_VALUE"""),"Pouso Alegre")</f>
        <v>Pouso Alegre</v>
      </c>
      <c r="B6792" s="120" t="str">
        <f>IFERROR(__xludf.DUMMYFUNCTION("""COMPUTED_VALUE"""),"PPY")</f>
        <v>PPY</v>
      </c>
      <c r="C6792" s="120" t="str">
        <f>IFERROR(__xludf.DUMMYFUNCTION("""COMPUTED_VALUE"""),"Pouso Alegre")</f>
        <v>Pouso Alegre</v>
      </c>
      <c r="D6792" s="120" t="str">
        <f>IFERROR(__xludf.DUMMYFUNCTION("""COMPUTED_VALUE"""),"Brazil")</f>
        <v>Brazil</v>
      </c>
      <c r="E6792" s="135"/>
      <c r="F6792" s="31"/>
    </row>
    <row r="6793">
      <c r="A6793" s="134" t="str">
        <f>IFERROR(__xludf.DUMMYFUNCTION("""COMPUTED_VALUE"""),"Povungnituk")</f>
        <v>Povungnituk</v>
      </c>
      <c r="B6793" s="120" t="str">
        <f>IFERROR(__xludf.DUMMYFUNCTION("""COMPUTED_VALUE"""),"YPX")</f>
        <v>YPX</v>
      </c>
      <c r="C6793" s="120" t="str">
        <f>IFERROR(__xludf.DUMMYFUNCTION("""COMPUTED_VALUE"""),"Puvirnituq")</f>
        <v>Puvirnituq</v>
      </c>
      <c r="D6793" s="120" t="str">
        <f>IFERROR(__xludf.DUMMYFUNCTION("""COMPUTED_VALUE"""),"Canada")</f>
        <v>Canada</v>
      </c>
      <c r="E6793" s="135"/>
      <c r="F6793" s="31"/>
    </row>
    <row r="6794">
      <c r="A6794" s="134" t="str">
        <f>IFERROR(__xludf.DUMMYFUNCTION("""COMPUTED_VALUE"""),"Powell")</f>
        <v>Powell</v>
      </c>
      <c r="B6794" s="120" t="str">
        <f>IFERROR(__xludf.DUMMYFUNCTION("""COMPUTED_VALUE"""),"POY")</f>
        <v>POY</v>
      </c>
      <c r="C6794" s="120" t="str">
        <f>IFERROR(__xludf.DUMMYFUNCTION("""COMPUTED_VALUE"""),"Powell")</f>
        <v>Powell</v>
      </c>
      <c r="D6794" s="120" t="str">
        <f>IFERROR(__xludf.DUMMYFUNCTION("""COMPUTED_VALUE"""),"United States")</f>
        <v>United States</v>
      </c>
      <c r="E6794" s="135"/>
      <c r="F6794" s="31"/>
    </row>
    <row r="6795">
      <c r="A6795" s="134" t="str">
        <f>IFERROR(__xludf.DUMMYFUNCTION("""COMPUTED_VALUE"""),"Powell Lake")</f>
        <v>Powell Lake</v>
      </c>
      <c r="B6795" s="120" t="str">
        <f>IFERROR(__xludf.DUMMYFUNCTION("""COMPUTED_VALUE"""),"WPL")</f>
        <v>WPL</v>
      </c>
      <c r="C6795" s="120" t="str">
        <f>IFERROR(__xludf.DUMMYFUNCTION("""COMPUTED_VALUE"""),"Powell Lake")</f>
        <v>Powell Lake</v>
      </c>
      <c r="D6795" s="120" t="str">
        <f>IFERROR(__xludf.DUMMYFUNCTION("""COMPUTED_VALUE"""),"Canada")</f>
        <v>Canada</v>
      </c>
      <c r="E6795" s="135"/>
      <c r="F6795" s="31"/>
    </row>
    <row r="6796">
      <c r="A6796" s="134" t="str">
        <f>IFERROR(__xludf.DUMMYFUNCTION("""COMPUTED_VALUE"""),"Powell Point")</f>
        <v>Powell Point</v>
      </c>
      <c r="B6796" s="120" t="str">
        <f>IFERROR(__xludf.DUMMYFUNCTION("""COMPUTED_VALUE"""),"PPO")</f>
        <v>PPO</v>
      </c>
      <c r="C6796" s="120" t="str">
        <f>IFERROR(__xludf.DUMMYFUNCTION("""COMPUTED_VALUE"""),"Powell Point")</f>
        <v>Powell Point</v>
      </c>
      <c r="D6796" s="120" t="str">
        <f>IFERROR(__xludf.DUMMYFUNCTION("""COMPUTED_VALUE"""),"Bahamas")</f>
        <v>Bahamas</v>
      </c>
      <c r="E6796" s="135"/>
      <c r="F6796" s="31"/>
    </row>
    <row r="6797">
      <c r="A6797" s="134" t="str">
        <f>IFERROR(__xludf.DUMMYFUNCTION("""COMPUTED_VALUE"""),"Powell River")</f>
        <v>Powell River</v>
      </c>
      <c r="B6797" s="120" t="str">
        <f>IFERROR(__xludf.DUMMYFUNCTION("""COMPUTED_VALUE"""),"YPW")</f>
        <v>YPW</v>
      </c>
      <c r="C6797" s="120" t="str">
        <f>IFERROR(__xludf.DUMMYFUNCTION("""COMPUTED_VALUE"""),"Powell River")</f>
        <v>Powell River</v>
      </c>
      <c r="D6797" s="120" t="str">
        <f>IFERROR(__xludf.DUMMYFUNCTION("""COMPUTED_VALUE"""),"Canada")</f>
        <v>Canada</v>
      </c>
      <c r="E6797" s="135"/>
      <c r="F6797" s="31"/>
    </row>
    <row r="6798">
      <c r="A6798" s="134" t="str">
        <f>IFERROR(__xludf.DUMMYFUNCTION("""COMPUTED_VALUE"""),"Poza Rica")</f>
        <v>Poza Rica</v>
      </c>
      <c r="B6798" s="120" t="str">
        <f>IFERROR(__xludf.DUMMYFUNCTION("""COMPUTED_VALUE"""),"PAZ")</f>
        <v>PAZ</v>
      </c>
      <c r="C6798" s="120" t="str">
        <f>IFERROR(__xludf.DUMMYFUNCTION("""COMPUTED_VALUE"""),"Tajin")</f>
        <v>Tajin</v>
      </c>
      <c r="D6798" s="120" t="str">
        <f>IFERROR(__xludf.DUMMYFUNCTION("""COMPUTED_VALUE"""),"Mexico")</f>
        <v>Mexico</v>
      </c>
      <c r="E6798" s="135"/>
      <c r="F6798" s="31"/>
    </row>
    <row r="6799">
      <c r="A6799" s="134" t="str">
        <f>IFERROR(__xludf.DUMMYFUNCTION("""COMPUTED_VALUE"""),"Poznan")</f>
        <v>Poznan</v>
      </c>
      <c r="B6799" s="120" t="str">
        <f>IFERROR(__xludf.DUMMYFUNCTION("""COMPUTED_VALUE"""),"POZ")</f>
        <v>POZ</v>
      </c>
      <c r="C6799" s="120" t="str">
        <f>IFERROR(__xludf.DUMMYFUNCTION("""COMPUTED_VALUE"""),"Lawica")</f>
        <v>Lawica</v>
      </c>
      <c r="D6799" s="120" t="str">
        <f>IFERROR(__xludf.DUMMYFUNCTION("""COMPUTED_VALUE"""),"Poland")</f>
        <v>Poland</v>
      </c>
      <c r="E6799" s="135"/>
      <c r="F6799" s="31"/>
    </row>
    <row r="6800">
      <c r="A6800" s="134" t="str">
        <f>IFERROR(__xludf.DUMMYFUNCTION("""COMPUTED_VALUE"""),"Prado")</f>
        <v>Prado</v>
      </c>
      <c r="B6800" s="120" t="str">
        <f>IFERROR(__xludf.DUMMYFUNCTION("""COMPUTED_VALUE"""),"PDF")</f>
        <v>PDF</v>
      </c>
      <c r="C6800" s="120" t="str">
        <f>IFERROR(__xludf.DUMMYFUNCTION("""COMPUTED_VALUE"""),"Prado")</f>
        <v>Prado</v>
      </c>
      <c r="D6800" s="120" t="str">
        <f>IFERROR(__xludf.DUMMYFUNCTION("""COMPUTED_VALUE"""),"Brazil")</f>
        <v>Brazil</v>
      </c>
      <c r="E6800" s="135"/>
      <c r="F6800" s="31"/>
    </row>
    <row r="6801">
      <c r="A6801" s="134" t="str">
        <f>IFERROR(__xludf.DUMMYFUNCTION("""COMPUTED_VALUE"""),"Prague")</f>
        <v>Prague</v>
      </c>
      <c r="B6801" s="120" t="str">
        <f>IFERROR(__xludf.DUMMYFUNCTION("""COMPUTED_VALUE"""),"XYG")</f>
        <v>XYG</v>
      </c>
      <c r="C6801" s="120" t="str">
        <f>IFERROR(__xludf.DUMMYFUNCTION("""COMPUTED_VALUE"""),"Hlavni N. Railway")</f>
        <v>Hlavni N. Railway</v>
      </c>
      <c r="D6801" s="120" t="str">
        <f>IFERROR(__xludf.DUMMYFUNCTION("""COMPUTED_VALUE"""),"Czech")</f>
        <v>Czech</v>
      </c>
      <c r="E6801" s="135"/>
      <c r="F6801" s="31"/>
    </row>
    <row r="6802">
      <c r="A6802" s="134" t="str">
        <f>IFERROR(__xludf.DUMMYFUNCTION("""COMPUTED_VALUE"""),"Prague")</f>
        <v>Prague</v>
      </c>
      <c r="B6802" s="120" t="str">
        <f>IFERROR(__xludf.DUMMYFUNCTION("""COMPUTED_VALUE"""),"XYJ")</f>
        <v>XYJ</v>
      </c>
      <c r="C6802" s="120" t="str">
        <f>IFERROR(__xludf.DUMMYFUNCTION("""COMPUTED_VALUE"""),"Holosovice Railway")</f>
        <v>Holosovice Railway</v>
      </c>
      <c r="D6802" s="120" t="str">
        <f>IFERROR(__xludf.DUMMYFUNCTION("""COMPUTED_VALUE"""),"Czech")</f>
        <v>Czech</v>
      </c>
      <c r="E6802" s="135"/>
      <c r="F6802" s="31"/>
    </row>
    <row r="6803">
      <c r="A6803" s="134" t="str">
        <f>IFERROR(__xludf.DUMMYFUNCTION("""COMPUTED_VALUE"""),"Prague")</f>
        <v>Prague</v>
      </c>
      <c r="B6803" s="120" t="str">
        <f>IFERROR(__xludf.DUMMYFUNCTION("""COMPUTED_VALUE"""),"PRG")</f>
        <v>PRG</v>
      </c>
      <c r="C6803" s="120" t="str">
        <f>IFERROR(__xludf.DUMMYFUNCTION("""COMPUTED_VALUE"""),"Ruzyne")</f>
        <v>Ruzyne</v>
      </c>
      <c r="D6803" s="120" t="str">
        <f>IFERROR(__xludf.DUMMYFUNCTION("""COMPUTED_VALUE"""),"Czech")</f>
        <v>Czech</v>
      </c>
      <c r="E6803" s="135"/>
      <c r="F6803" s="31"/>
    </row>
    <row r="6804">
      <c r="A6804" s="134" t="str">
        <f>IFERROR(__xludf.DUMMYFUNCTION("""COMPUTED_VALUE"""),"Praia")</f>
        <v>Praia</v>
      </c>
      <c r="B6804" s="120" t="str">
        <f>IFERROR(__xludf.DUMMYFUNCTION("""COMPUTED_VALUE"""),"RAI")</f>
        <v>RAI</v>
      </c>
      <c r="C6804" s="120" t="str">
        <f>IFERROR(__xludf.DUMMYFUNCTION("""COMPUTED_VALUE"""),"Francisco Mendes")</f>
        <v>Francisco Mendes</v>
      </c>
      <c r="D6804" s="120" t="str">
        <f>IFERROR(__xludf.DUMMYFUNCTION("""COMPUTED_VALUE"""),"Cape Verde")</f>
        <v>Cape Verde</v>
      </c>
      <c r="E6804" s="135"/>
      <c r="F6804" s="31"/>
    </row>
    <row r="6805">
      <c r="A6805" s="134" t="str">
        <f>IFERROR(__xludf.DUMMYFUNCTION("""COMPUTED_VALUE"""),"Prairie Du Chien")</f>
        <v>Prairie Du Chien</v>
      </c>
      <c r="B6805" s="120" t="str">
        <f>IFERROR(__xludf.DUMMYFUNCTION("""COMPUTED_VALUE"""),"PCD")</f>
        <v>PCD</v>
      </c>
      <c r="C6805" s="120" t="str">
        <f>IFERROR(__xludf.DUMMYFUNCTION("""COMPUTED_VALUE"""),"Municipal")</f>
        <v>Municipal</v>
      </c>
      <c r="D6805" s="120" t="str">
        <f>IFERROR(__xludf.DUMMYFUNCTION("""COMPUTED_VALUE"""),"United States")</f>
        <v>United States</v>
      </c>
      <c r="E6805" s="135"/>
      <c r="F6805" s="31"/>
    </row>
    <row r="6806">
      <c r="A6806" s="134" t="str">
        <f>IFERROR(__xludf.DUMMYFUNCTION("""COMPUTED_VALUE"""),"Praslin Island")</f>
        <v>Praslin Island</v>
      </c>
      <c r="B6806" s="120" t="str">
        <f>IFERROR(__xludf.DUMMYFUNCTION("""COMPUTED_VALUE"""),"PRI")</f>
        <v>PRI</v>
      </c>
      <c r="C6806" s="120" t="str">
        <f>IFERROR(__xludf.DUMMYFUNCTION("""COMPUTED_VALUE"""),"Praslin Island")</f>
        <v>Praslin Island</v>
      </c>
      <c r="D6806" s="120" t="str">
        <f>IFERROR(__xludf.DUMMYFUNCTION("""COMPUTED_VALUE"""),"Seychelles")</f>
        <v>Seychelles</v>
      </c>
      <c r="E6806" s="135"/>
      <c r="F6806" s="31"/>
    </row>
    <row r="6807">
      <c r="A6807" s="134" t="str">
        <f>IFERROR(__xludf.DUMMYFUNCTION("""COMPUTED_VALUE"""),"Pratt")</f>
        <v>Pratt</v>
      </c>
      <c r="B6807" s="120" t="str">
        <f>IFERROR(__xludf.DUMMYFUNCTION("""COMPUTED_VALUE"""),"PTT")</f>
        <v>PTT</v>
      </c>
      <c r="C6807" s="120" t="str">
        <f>IFERROR(__xludf.DUMMYFUNCTION("""COMPUTED_VALUE"""),"Pratt")</f>
        <v>Pratt</v>
      </c>
      <c r="D6807" s="120" t="str">
        <f>IFERROR(__xludf.DUMMYFUNCTION("""COMPUTED_VALUE"""),"United States")</f>
        <v>United States</v>
      </c>
      <c r="E6807" s="135"/>
      <c r="F6807" s="31"/>
    </row>
    <row r="6808">
      <c r="A6808" s="134" t="str">
        <f>IFERROR(__xludf.DUMMYFUNCTION("""COMPUTED_VALUE"""),"Prentice")</f>
        <v>Prentice</v>
      </c>
      <c r="B6808" s="120" t="str">
        <f>IFERROR(__xludf.DUMMYFUNCTION("""COMPUTED_VALUE"""),"PRW")</f>
        <v>PRW</v>
      </c>
      <c r="C6808" s="120" t="str">
        <f>IFERROR(__xludf.DUMMYFUNCTION("""COMPUTED_VALUE"""),"Prentice")</f>
        <v>Prentice</v>
      </c>
      <c r="D6808" s="120" t="str">
        <f>IFERROR(__xludf.DUMMYFUNCTION("""COMPUTED_VALUE"""),"United States")</f>
        <v>United States</v>
      </c>
      <c r="E6808" s="135"/>
      <c r="F6808" s="31"/>
    </row>
    <row r="6809">
      <c r="A6809" s="134" t="str">
        <f>IFERROR(__xludf.DUMMYFUNCTION("""COMPUTED_VALUE"""),"Prerov")</f>
        <v>Prerov</v>
      </c>
      <c r="B6809" s="120" t="str">
        <f>IFERROR(__xludf.DUMMYFUNCTION("""COMPUTED_VALUE"""),"PRV")</f>
        <v>PRV</v>
      </c>
      <c r="C6809" s="120" t="str">
        <f>IFERROR(__xludf.DUMMYFUNCTION("""COMPUTED_VALUE"""),"Prerov")</f>
        <v>Prerov</v>
      </c>
      <c r="D6809" s="120" t="str">
        <f>IFERROR(__xludf.DUMMYFUNCTION("""COMPUTED_VALUE"""),"Czech")</f>
        <v>Czech</v>
      </c>
      <c r="E6809" s="135"/>
      <c r="F6809" s="31"/>
    </row>
    <row r="6810">
      <c r="A6810" s="134" t="str">
        <f>IFERROR(__xludf.DUMMYFUNCTION("""COMPUTED_VALUE"""),"Pres. Roque Saenz Pena")</f>
        <v>Pres. Roque Saenz Pena</v>
      </c>
      <c r="B6810" s="120" t="str">
        <f>IFERROR(__xludf.DUMMYFUNCTION("""COMPUTED_VALUE"""),"PRQ")</f>
        <v>PRQ</v>
      </c>
      <c r="C6810" s="120" t="str">
        <f>IFERROR(__xludf.DUMMYFUNCTION("""COMPUTED_VALUE"""),"Pres. Roque Saenz Pena")</f>
        <v>Pres. Roque Saenz Pena</v>
      </c>
      <c r="D6810" s="120" t="str">
        <f>IFERROR(__xludf.DUMMYFUNCTION("""COMPUTED_VALUE"""),"Argentina")</f>
        <v>Argentina</v>
      </c>
      <c r="E6810" s="135"/>
      <c r="F6810" s="31"/>
    </row>
    <row r="6811">
      <c r="A6811" s="134" t="str">
        <f>IFERROR(__xludf.DUMMYFUNCTION("""COMPUTED_VALUE"""),"Prescott")</f>
        <v>Prescott</v>
      </c>
      <c r="B6811" s="120" t="str">
        <f>IFERROR(__xludf.DUMMYFUNCTION("""COMPUTED_VALUE"""),"PRC")</f>
        <v>PRC</v>
      </c>
      <c r="C6811" s="120" t="str">
        <f>IFERROR(__xludf.DUMMYFUNCTION("""COMPUTED_VALUE"""),"Prescott")</f>
        <v>Prescott</v>
      </c>
      <c r="D6811" s="120" t="str">
        <f>IFERROR(__xludf.DUMMYFUNCTION("""COMPUTED_VALUE"""),"United States")</f>
        <v>United States</v>
      </c>
      <c r="E6811" s="135"/>
      <c r="F6811" s="31"/>
    </row>
    <row r="6812">
      <c r="A6812" s="134" t="str">
        <f>IFERROR(__xludf.DUMMYFUNCTION("""COMPUTED_VALUE"""),"Presidente Dutra")</f>
        <v>Presidente Dutra</v>
      </c>
      <c r="B6812" s="120" t="str">
        <f>IFERROR(__xludf.DUMMYFUNCTION("""COMPUTED_VALUE"""),"PDR")</f>
        <v>PDR</v>
      </c>
      <c r="C6812" s="120" t="str">
        <f>IFERROR(__xludf.DUMMYFUNCTION("""COMPUTED_VALUE"""),"Municipal")</f>
        <v>Municipal</v>
      </c>
      <c r="D6812" s="120" t="str">
        <f>IFERROR(__xludf.DUMMYFUNCTION("""COMPUTED_VALUE"""),"Brazil")</f>
        <v>Brazil</v>
      </c>
      <c r="E6812" s="135"/>
      <c r="F6812" s="31"/>
    </row>
    <row r="6813">
      <c r="A6813" s="134" t="str">
        <f>IFERROR(__xludf.DUMMYFUNCTION("""COMPUTED_VALUE"""),"Presidente Prudente")</f>
        <v>Presidente Prudente</v>
      </c>
      <c r="B6813" s="120" t="str">
        <f>IFERROR(__xludf.DUMMYFUNCTION("""COMPUTED_VALUE"""),"PPB")</f>
        <v>PPB</v>
      </c>
      <c r="C6813" s="120" t="str">
        <f>IFERROR(__xludf.DUMMYFUNCTION("""COMPUTED_VALUE"""),"A. De Barros")</f>
        <v>A. De Barros</v>
      </c>
      <c r="D6813" s="138" t="str">
        <f>IFERROR(__xludf.DUMMYFUNCTION("""COMPUTED_VALUE"""),"Brazil")</f>
        <v>Brazil</v>
      </c>
      <c r="E6813" s="135"/>
      <c r="F6813" s="31"/>
    </row>
    <row r="6814">
      <c r="A6814" s="134" t="str">
        <f>IFERROR(__xludf.DUMMYFUNCTION("""COMPUTED_VALUE"""),"Presov")</f>
        <v>Presov</v>
      </c>
      <c r="B6814" s="120" t="str">
        <f>IFERROR(__xludf.DUMMYFUNCTION("""COMPUTED_VALUE"""),"POV")</f>
        <v>POV</v>
      </c>
      <c r="C6814" s="120" t="str">
        <f>IFERROR(__xludf.DUMMYFUNCTION("""COMPUTED_VALUE"""),"Zamość")</f>
        <v>Zamość</v>
      </c>
      <c r="D6814" s="138" t="str">
        <f>IFERROR(__xludf.DUMMYFUNCTION("""COMPUTED_VALUE"""),"Czech")</f>
        <v>Czech</v>
      </c>
      <c r="E6814" s="135"/>
      <c r="F6814" s="31"/>
    </row>
    <row r="6815">
      <c r="A6815" s="134" t="str">
        <f>IFERROR(__xludf.DUMMYFUNCTION("""COMPUTED_VALUE"""),"Presque Isle")</f>
        <v>Presque Isle</v>
      </c>
      <c r="B6815" s="120" t="str">
        <f>IFERROR(__xludf.DUMMYFUNCTION("""COMPUTED_VALUE"""),"PQI")</f>
        <v>PQI</v>
      </c>
      <c r="C6815" s="120" t="str">
        <f>IFERROR(__xludf.DUMMYFUNCTION("""COMPUTED_VALUE"""),"Municipal")</f>
        <v>Municipal</v>
      </c>
      <c r="D6815" s="138" t="str">
        <f>IFERROR(__xludf.DUMMYFUNCTION("""COMPUTED_VALUE"""),"United States")</f>
        <v>United States</v>
      </c>
      <c r="E6815" s="135"/>
      <c r="F6815" s="31"/>
    </row>
    <row r="6816">
      <c r="A6816" s="134" t="str">
        <f>IFERROR(__xludf.DUMMYFUNCTION("""COMPUTED_VALUE"""),"Preston")</f>
        <v>Preston</v>
      </c>
      <c r="B6816" s="120" t="str">
        <f>IFERROR(__xludf.DUMMYFUNCTION("""COMPUTED_VALUE"""),"PST")</f>
        <v>PST</v>
      </c>
      <c r="C6816" s="120" t="str">
        <f>IFERROR(__xludf.DUMMYFUNCTION("""COMPUTED_VALUE"""),"Preston")</f>
        <v>Preston</v>
      </c>
      <c r="D6816" s="120" t="str">
        <f>IFERROR(__xludf.DUMMYFUNCTION("""COMPUTED_VALUE"""),"Cuba")</f>
        <v>Cuba</v>
      </c>
      <c r="E6816" s="135"/>
      <c r="F6816" s="31"/>
    </row>
    <row r="6817">
      <c r="A6817" s="134" t="str">
        <f>IFERROR(__xludf.DUMMYFUNCTION("""COMPUTED_VALUE"""),"Pretoria")</f>
        <v>Pretoria</v>
      </c>
      <c r="B6817" s="120" t="str">
        <f>IFERROR(__xludf.DUMMYFUNCTION("""COMPUTED_VALUE"""),"HPR")</f>
        <v>HPR</v>
      </c>
      <c r="C6817" s="120" t="str">
        <f>IFERROR(__xludf.DUMMYFUNCTION("""COMPUTED_VALUE"""),"Central Hpr")</f>
        <v>Central Hpr</v>
      </c>
      <c r="D6817" s="120" t="str">
        <f>IFERROR(__xludf.DUMMYFUNCTION("""COMPUTED_VALUE"""),"South Africa")</f>
        <v>South Africa</v>
      </c>
      <c r="E6817" s="135"/>
      <c r="F6817" s="31"/>
    </row>
    <row r="6818">
      <c r="A6818" s="134" t="str">
        <f>IFERROR(__xludf.DUMMYFUNCTION("""COMPUTED_VALUE"""),"Pretoria")</f>
        <v>Pretoria</v>
      </c>
      <c r="B6818" s="120" t="str">
        <f>IFERROR(__xludf.DUMMYFUNCTION("""COMPUTED_VALUE"""),"HIC")</f>
        <v>HIC</v>
      </c>
      <c r="C6818" s="120" t="str">
        <f>IFERROR(__xludf.DUMMYFUNCTION("""COMPUTED_VALUE"""),"Iscor Heliport")</f>
        <v>Iscor Heliport</v>
      </c>
      <c r="D6818" s="120" t="str">
        <f>IFERROR(__xludf.DUMMYFUNCTION("""COMPUTED_VALUE"""),"South Africa")</f>
        <v>South Africa</v>
      </c>
      <c r="E6818" s="135"/>
      <c r="F6818" s="31"/>
    </row>
    <row r="6819">
      <c r="A6819" s="134" t="str">
        <f>IFERROR(__xludf.DUMMYFUNCTION("""COMPUTED_VALUE"""),"Pretoria")</f>
        <v>Pretoria</v>
      </c>
      <c r="B6819" s="120" t="str">
        <f>IFERROR(__xludf.DUMMYFUNCTION("""COMPUTED_VALUE"""),"PRY")</f>
        <v>PRY</v>
      </c>
      <c r="C6819" s="120" t="str">
        <f>IFERROR(__xludf.DUMMYFUNCTION("""COMPUTED_VALUE"""),"Wonderboom Apt.")</f>
        <v>Wonderboom Apt.</v>
      </c>
      <c r="D6819" s="120" t="str">
        <f>IFERROR(__xludf.DUMMYFUNCTION("""COMPUTED_VALUE"""),"South Africa")</f>
        <v>South Africa</v>
      </c>
      <c r="E6819" s="135"/>
      <c r="F6819" s="31"/>
    </row>
    <row r="6820">
      <c r="A6820" s="134" t="str">
        <f>IFERROR(__xludf.DUMMYFUNCTION("""COMPUTED_VALUE"""),"Preveza/Lefkas")</f>
        <v>Preveza/Lefkas</v>
      </c>
      <c r="B6820" s="120" t="str">
        <f>IFERROR(__xludf.DUMMYFUNCTION("""COMPUTED_VALUE"""),"PVK")</f>
        <v>PVK</v>
      </c>
      <c r="C6820" s="120" t="str">
        <f>IFERROR(__xludf.DUMMYFUNCTION("""COMPUTED_VALUE"""),"Aktion")</f>
        <v>Aktion</v>
      </c>
      <c r="D6820" s="120" t="str">
        <f>IFERROR(__xludf.DUMMYFUNCTION("""COMPUTED_VALUE"""),"Greece")</f>
        <v>Greece</v>
      </c>
      <c r="E6820" s="135"/>
      <c r="F6820" s="31"/>
    </row>
    <row r="6821">
      <c r="A6821" s="134" t="str">
        <f>IFERROR(__xludf.DUMMYFUNCTION("""COMPUTED_VALUE"""),"Price")</f>
        <v>Price</v>
      </c>
      <c r="B6821" s="120" t="str">
        <f>IFERROR(__xludf.DUMMYFUNCTION("""COMPUTED_VALUE"""),"PUC")</f>
        <v>PUC</v>
      </c>
      <c r="C6821" s="120" t="str">
        <f>IFERROR(__xludf.DUMMYFUNCTION("""COMPUTED_VALUE"""),"Carbon County")</f>
        <v>Carbon County</v>
      </c>
      <c r="D6821" s="120" t="str">
        <f>IFERROR(__xludf.DUMMYFUNCTION("""COMPUTED_VALUE"""),"United States")</f>
        <v>United States</v>
      </c>
      <c r="E6821" s="135"/>
      <c r="F6821" s="31"/>
    </row>
    <row r="6822">
      <c r="A6822" s="134" t="str">
        <f>IFERROR(__xludf.DUMMYFUNCTION("""COMPUTED_VALUE"""),"Prieska")</f>
        <v>Prieska</v>
      </c>
      <c r="B6822" s="120" t="str">
        <f>IFERROR(__xludf.DUMMYFUNCTION("""COMPUTED_VALUE"""),"PRK")</f>
        <v>PRK</v>
      </c>
      <c r="C6822" s="120" t="str">
        <f>IFERROR(__xludf.DUMMYFUNCTION("""COMPUTED_VALUE"""),"Prieska")</f>
        <v>Prieska</v>
      </c>
      <c r="D6822" s="120" t="str">
        <f>IFERROR(__xludf.DUMMYFUNCTION("""COMPUTED_VALUE"""),"South Africa")</f>
        <v>South Africa</v>
      </c>
      <c r="E6822" s="135"/>
      <c r="F6822" s="31"/>
    </row>
    <row r="6823">
      <c r="A6823" s="134" t="str">
        <f>IFERROR(__xludf.DUMMYFUNCTION("""COMPUTED_VALUE"""),"Prince Albert")</f>
        <v>Prince Albert</v>
      </c>
      <c r="B6823" s="120" t="str">
        <f>IFERROR(__xludf.DUMMYFUNCTION("""COMPUTED_VALUE"""),"YPA")</f>
        <v>YPA</v>
      </c>
      <c r="C6823" s="120" t="str">
        <f>IFERROR(__xludf.DUMMYFUNCTION("""COMPUTED_VALUE"""),"Prince Albert")</f>
        <v>Prince Albert</v>
      </c>
      <c r="D6823" s="120" t="str">
        <f>IFERROR(__xludf.DUMMYFUNCTION("""COMPUTED_VALUE"""),"Canada")</f>
        <v>Canada</v>
      </c>
      <c r="E6823" s="135"/>
      <c r="F6823" s="31"/>
    </row>
    <row r="6824">
      <c r="A6824" s="134" t="str">
        <f>IFERROR(__xludf.DUMMYFUNCTION("""COMPUTED_VALUE"""),"Prince George")</f>
        <v>Prince George</v>
      </c>
      <c r="B6824" s="120" t="str">
        <f>IFERROR(__xludf.DUMMYFUNCTION("""COMPUTED_VALUE"""),"YXS")</f>
        <v>YXS</v>
      </c>
      <c r="C6824" s="120" t="str">
        <f>IFERROR(__xludf.DUMMYFUNCTION("""COMPUTED_VALUE"""),"Prince George")</f>
        <v>Prince George</v>
      </c>
      <c r="D6824" s="120" t="str">
        <f>IFERROR(__xludf.DUMMYFUNCTION("""COMPUTED_VALUE"""),"Canada")</f>
        <v>Canada</v>
      </c>
      <c r="E6824" s="135"/>
      <c r="F6824" s="31"/>
    </row>
    <row r="6825">
      <c r="A6825" s="134" t="str">
        <f>IFERROR(__xludf.DUMMYFUNCTION("""COMPUTED_VALUE"""),"Prince George")</f>
        <v>Prince George</v>
      </c>
      <c r="B6825" s="120" t="str">
        <f>IFERROR(__xludf.DUMMYFUNCTION("""COMPUTED_VALUE"""),"XDV")</f>
        <v>XDV</v>
      </c>
      <c r="C6825" s="120" t="str">
        <f>IFERROR(__xludf.DUMMYFUNCTION("""COMPUTED_VALUE"""),"Pr. George Rail Stn")</f>
        <v>Pr. George Rail Stn</v>
      </c>
      <c r="D6825" s="120" t="str">
        <f>IFERROR(__xludf.DUMMYFUNCTION("""COMPUTED_VALUE"""),"Canada")</f>
        <v>Canada</v>
      </c>
      <c r="E6825" s="135"/>
      <c r="F6825" s="31"/>
    </row>
    <row r="6826">
      <c r="A6826" s="134" t="str">
        <f>IFERROR(__xludf.DUMMYFUNCTION("""COMPUTED_VALUE"""),"Prince Rupert")</f>
        <v>Prince Rupert</v>
      </c>
      <c r="B6826" s="120" t="str">
        <f>IFERROR(__xludf.DUMMYFUNCTION("""COMPUTED_VALUE"""),"YPR")</f>
        <v>YPR</v>
      </c>
      <c r="C6826" s="120" t="str">
        <f>IFERROR(__xludf.DUMMYFUNCTION("""COMPUTED_VALUE"""),"Digby Island")</f>
        <v>Digby Island</v>
      </c>
      <c r="D6826" s="120" t="str">
        <f>IFERROR(__xludf.DUMMYFUNCTION("""COMPUTED_VALUE"""),"Canada")</f>
        <v>Canada</v>
      </c>
      <c r="E6826" s="135"/>
      <c r="F6826" s="31"/>
    </row>
    <row r="6827">
      <c r="A6827" s="134" t="str">
        <f>IFERROR(__xludf.DUMMYFUNCTION("""COMPUTED_VALUE"""),"Prince Rupert")</f>
        <v>Prince Rupert</v>
      </c>
      <c r="B6827" s="120" t="str">
        <f>IFERROR(__xludf.DUMMYFUNCTION("""COMPUTED_VALUE"""),"XDW")</f>
        <v>XDW</v>
      </c>
      <c r="C6827" s="120" t="str">
        <f>IFERROR(__xludf.DUMMYFUNCTION("""COMPUTED_VALUE"""),"Pr. Rupert Rail Stn")</f>
        <v>Pr. Rupert Rail Stn</v>
      </c>
      <c r="D6827" s="120" t="str">
        <f>IFERROR(__xludf.DUMMYFUNCTION("""COMPUTED_VALUE"""),"Canada")</f>
        <v>Canada</v>
      </c>
      <c r="E6827" s="135"/>
      <c r="F6827" s="31"/>
    </row>
    <row r="6828">
      <c r="A6828" s="134" t="str">
        <f>IFERROR(__xludf.DUMMYFUNCTION("""COMPUTED_VALUE"""),"Prince Rupert")</f>
        <v>Prince Rupert</v>
      </c>
      <c r="B6828" s="120" t="str">
        <f>IFERROR(__xludf.DUMMYFUNCTION("""COMPUTED_VALUE"""),"ZSW")</f>
        <v>ZSW</v>
      </c>
      <c r="C6828" s="120" t="str">
        <f>IFERROR(__xludf.DUMMYFUNCTION("""COMPUTED_VALUE"""),"Seal Cove")</f>
        <v>Seal Cove</v>
      </c>
      <c r="D6828" s="120" t="str">
        <f>IFERROR(__xludf.DUMMYFUNCTION("""COMPUTED_VALUE"""),"Canada")</f>
        <v>Canada</v>
      </c>
      <c r="E6828" s="135"/>
      <c r="F6828" s="31"/>
    </row>
    <row r="6829">
      <c r="A6829" s="134" t="str">
        <f>IFERROR(__xludf.DUMMYFUNCTION("""COMPUTED_VALUE"""),"Princeton")</f>
        <v>Princeton</v>
      </c>
      <c r="B6829" s="120" t="str">
        <f>IFERROR(__xludf.DUMMYFUNCTION("""COMPUTED_VALUE"""),"PNN")</f>
        <v>PNN</v>
      </c>
      <c r="C6829" s="120" t="str">
        <f>IFERROR(__xludf.DUMMYFUNCTION("""COMPUTED_VALUE"""),"Princeton")</f>
        <v>Princeton</v>
      </c>
      <c r="D6829" s="120" t="str">
        <f>IFERROR(__xludf.DUMMYFUNCTION("""COMPUTED_VALUE"""),"United States")</f>
        <v>United States</v>
      </c>
      <c r="E6829" s="135"/>
      <c r="F6829" s="31"/>
    </row>
    <row r="6830">
      <c r="A6830" s="134" t="str">
        <f>IFERROR(__xludf.DUMMYFUNCTION("""COMPUTED_VALUE"""),"Princeton")</f>
        <v>Princeton</v>
      </c>
      <c r="B6830" s="120" t="str">
        <f>IFERROR(__xludf.DUMMYFUNCTION("""COMPUTED_VALUE"""),"PCT")</f>
        <v>PCT</v>
      </c>
      <c r="C6830" s="120" t="str">
        <f>IFERROR(__xludf.DUMMYFUNCTION("""COMPUTED_VALUE"""),"Princeton")</f>
        <v>Princeton</v>
      </c>
      <c r="D6830" s="120" t="str">
        <f>IFERROR(__xludf.DUMMYFUNCTION("""COMPUTED_VALUE"""),"United States")</f>
        <v>United States</v>
      </c>
      <c r="E6830" s="135"/>
      <c r="F6830" s="31"/>
    </row>
    <row r="6831">
      <c r="A6831" s="134" t="str">
        <f>IFERROR(__xludf.DUMMYFUNCTION("""COMPUTED_VALUE"""),"Princeton")</f>
        <v>Princeton</v>
      </c>
      <c r="B6831" s="120" t="str">
        <f>IFERROR(__xludf.DUMMYFUNCTION("""COMPUTED_VALUE"""),"ZTJ")</f>
        <v>ZTJ</v>
      </c>
      <c r="C6831" s="120" t="str">
        <f>IFERROR(__xludf.DUMMYFUNCTION("""COMPUTED_VALUE"""),"Princeton JT Rail")</f>
        <v>Princeton JT Rail</v>
      </c>
      <c r="D6831" s="120" t="str">
        <f>IFERROR(__xludf.DUMMYFUNCTION("""COMPUTED_VALUE"""),"United States")</f>
        <v>United States</v>
      </c>
      <c r="E6831" s="135"/>
      <c r="F6831" s="31"/>
    </row>
    <row r="6832">
      <c r="A6832" s="134" t="str">
        <f>IFERROR(__xludf.DUMMYFUNCTION("""COMPUTED_VALUE"""),"Princeton")</f>
        <v>Princeton</v>
      </c>
      <c r="B6832" s="120" t="str">
        <f>IFERROR(__xludf.DUMMYFUNCTION("""COMPUTED_VALUE"""),"BLF")</f>
        <v>BLF</v>
      </c>
      <c r="C6832" s="120" t="str">
        <f>IFERROR(__xludf.DUMMYFUNCTION("""COMPUTED_VALUE"""),"Princeton")</f>
        <v>Princeton</v>
      </c>
      <c r="D6832" s="120" t="str">
        <f>IFERROR(__xludf.DUMMYFUNCTION("""COMPUTED_VALUE"""),"United States")</f>
        <v>United States</v>
      </c>
      <c r="E6832" s="135"/>
      <c r="F6832" s="31"/>
    </row>
    <row r="6833">
      <c r="A6833" s="134" t="str">
        <f>IFERROR(__xludf.DUMMYFUNCTION("""COMPUTED_VALUE"""),"Principe")</f>
        <v>Principe</v>
      </c>
      <c r="B6833" s="120" t="str">
        <f>IFERROR(__xludf.DUMMYFUNCTION("""COMPUTED_VALUE"""),"PCP")</f>
        <v>PCP</v>
      </c>
      <c r="C6833" s="120" t="str">
        <f>IFERROR(__xludf.DUMMYFUNCTION("""COMPUTED_VALUE"""),"Principe")</f>
        <v>Principe</v>
      </c>
      <c r="D6833" s="120" t="str">
        <f>IFERROR(__xludf.DUMMYFUNCTION("""COMPUTED_VALUE"""),"Sao Tome and Principe")</f>
        <v>Sao Tome and Principe</v>
      </c>
      <c r="E6833" s="135"/>
      <c r="F6833" s="31"/>
    </row>
    <row r="6834">
      <c r="A6834" s="134" t="str">
        <f>IFERROR(__xludf.DUMMYFUNCTION("""COMPUTED_VALUE"""),"Prineville")</f>
        <v>Prineville</v>
      </c>
      <c r="B6834" s="120" t="str">
        <f>IFERROR(__xludf.DUMMYFUNCTION("""COMPUTED_VALUE"""),"PRZ")</f>
        <v>PRZ</v>
      </c>
      <c r="C6834" s="120" t="str">
        <f>IFERROR(__xludf.DUMMYFUNCTION("""COMPUTED_VALUE"""),"Prineville")</f>
        <v>Prineville</v>
      </c>
      <c r="D6834" s="120" t="str">
        <f>IFERROR(__xludf.DUMMYFUNCTION("""COMPUTED_VALUE"""),"United States")</f>
        <v>United States</v>
      </c>
      <c r="E6834" s="135"/>
      <c r="F6834" s="31"/>
    </row>
    <row r="6835">
      <c r="A6835" s="134" t="str">
        <f>IFERROR(__xludf.DUMMYFUNCTION("""COMPUTED_VALUE"""),"Prishtina")</f>
        <v>Prishtina</v>
      </c>
      <c r="B6835" s="120" t="str">
        <f>IFERROR(__xludf.DUMMYFUNCTION("""COMPUTED_VALUE"""),"PRN")</f>
        <v>PRN</v>
      </c>
      <c r="C6835" s="120" t="str">
        <f>IFERROR(__xludf.DUMMYFUNCTION("""COMPUTED_VALUE"""),"Prishtina International Airport")</f>
        <v>Prishtina International Airport</v>
      </c>
      <c r="D6835" s="120" t="str">
        <f>IFERROR(__xludf.DUMMYFUNCTION("""COMPUTED_VALUE"""),"Kosovo")</f>
        <v>Kosovo</v>
      </c>
      <c r="E6835" s="135"/>
      <c r="F6835" s="31"/>
    </row>
    <row r="6836">
      <c r="A6836" s="134" t="str">
        <f>IFERROR(__xludf.DUMMYFUNCTION("""COMPUTED_VALUE"""),"Procida")</f>
        <v>Procida</v>
      </c>
      <c r="B6836" s="120" t="str">
        <f>IFERROR(__xludf.DUMMYFUNCTION("""COMPUTED_VALUE"""),"ZJJ")</f>
        <v>ZJJ</v>
      </c>
      <c r="C6836" s="120" t="str">
        <f>IFERROR(__xludf.DUMMYFUNCTION("""COMPUTED_VALUE"""),"Harbour")</f>
        <v>Harbour</v>
      </c>
      <c r="D6836" s="120" t="str">
        <f>IFERROR(__xludf.DUMMYFUNCTION("""COMPUTED_VALUE"""),"Italy")</f>
        <v>Italy</v>
      </c>
      <c r="E6836" s="135"/>
      <c r="F6836" s="31"/>
    </row>
    <row r="6837">
      <c r="A6837" s="134" t="str">
        <f>IFERROR(__xludf.DUMMYFUNCTION("""COMPUTED_VALUE"""),"Sao Paulo")</f>
        <v>Sao Paulo</v>
      </c>
      <c r="B6837" s="120" t="str">
        <f>IFERROR(__xludf.DUMMYFUNCTION("""COMPUTED_VALUE"""),"PGG")</f>
        <v>PGG</v>
      </c>
      <c r="C6837" s="120" t="str">
        <f>IFERROR(__xludf.DUMMYFUNCTION("""COMPUTED_VALUE"""),"Progresso")</f>
        <v>Progresso</v>
      </c>
      <c r="D6837" s="120" t="str">
        <f>IFERROR(__xludf.DUMMYFUNCTION("""COMPUTED_VALUE"""),"Brazil")</f>
        <v>Brazil</v>
      </c>
      <c r="E6837" s="135"/>
      <c r="F6837" s="31"/>
    </row>
    <row r="6838">
      <c r="A6838" s="134" t="str">
        <f>IFERROR(__xludf.DUMMYFUNCTION("""COMPUTED_VALUE"""),"Prome")</f>
        <v>Prome</v>
      </c>
      <c r="B6838" s="120" t="str">
        <f>IFERROR(__xludf.DUMMYFUNCTION("""COMPUTED_VALUE"""),"PRU")</f>
        <v>PRU</v>
      </c>
      <c r="C6838" s="120" t="str">
        <f>IFERROR(__xludf.DUMMYFUNCTION("""COMPUTED_VALUE"""),"Prome")</f>
        <v>Prome</v>
      </c>
      <c r="D6838" s="120" t="str">
        <f>IFERROR(__xludf.DUMMYFUNCTION("""COMPUTED_VALUE"""),"Myanmar")</f>
        <v>Myanmar</v>
      </c>
      <c r="E6838" s="135"/>
      <c r="F6838" s="31"/>
    </row>
    <row r="6839">
      <c r="A6839" s="134" t="str">
        <f>IFERROR(__xludf.DUMMYFUNCTION("""COMPUTED_VALUE"""),"Propriano")</f>
        <v>Propriano</v>
      </c>
      <c r="B6839" s="120" t="str">
        <f>IFERROR(__xludf.DUMMYFUNCTION("""COMPUTED_VALUE"""),"PRP")</f>
        <v>PRP</v>
      </c>
      <c r="C6839" s="120" t="str">
        <f>IFERROR(__xludf.DUMMYFUNCTION("""COMPUTED_VALUE"""),"Propriano")</f>
        <v>Propriano</v>
      </c>
      <c r="D6839" s="120" t="str">
        <f>IFERROR(__xludf.DUMMYFUNCTION("""COMPUTED_VALUE"""),"France")</f>
        <v>France</v>
      </c>
      <c r="E6839" s="135"/>
      <c r="F6839" s="31"/>
    </row>
    <row r="6840">
      <c r="A6840" s="134" t="str">
        <f>IFERROR(__xludf.DUMMYFUNCTION("""COMPUTED_VALUE"""),"Proserpine")</f>
        <v>Proserpine</v>
      </c>
      <c r="B6840" s="120" t="str">
        <f>IFERROR(__xludf.DUMMYFUNCTION("""COMPUTED_VALUE"""),"PPP")</f>
        <v>PPP</v>
      </c>
      <c r="C6840" s="120" t="str">
        <f>IFERROR(__xludf.DUMMYFUNCTION("""COMPUTED_VALUE"""),"Whitsunday Coast")</f>
        <v>Whitsunday Coast</v>
      </c>
      <c r="D6840" s="120" t="str">
        <f>IFERROR(__xludf.DUMMYFUNCTION("""COMPUTED_VALUE"""),"Australia")</f>
        <v>Australia</v>
      </c>
      <c r="E6840" s="135"/>
      <c r="F6840" s="31"/>
    </row>
    <row r="6841">
      <c r="A6841" s="134" t="str">
        <f>IFERROR(__xludf.DUMMYFUNCTION("""COMPUTED_VALUE"""),"Prospect Creek")</f>
        <v>Prospect Creek</v>
      </c>
      <c r="B6841" s="120" t="str">
        <f>IFERROR(__xludf.DUMMYFUNCTION("""COMPUTED_VALUE"""),"PPC")</f>
        <v>PPC</v>
      </c>
      <c r="C6841" s="120" t="str">
        <f>IFERROR(__xludf.DUMMYFUNCTION("""COMPUTED_VALUE"""),"Prospect Creek")</f>
        <v>Prospect Creek</v>
      </c>
      <c r="D6841" s="120" t="str">
        <f>IFERROR(__xludf.DUMMYFUNCTION("""COMPUTED_VALUE"""),"United States")</f>
        <v>United States</v>
      </c>
      <c r="E6841" s="135"/>
      <c r="F6841" s="31"/>
    </row>
    <row r="6842">
      <c r="A6842" s="134" t="str">
        <f>IFERROR(__xludf.DUMMYFUNCTION("""COMPUTED_VALUE"""),"Provedenia")</f>
        <v>Provedenia</v>
      </c>
      <c r="B6842" s="120" t="str">
        <f>IFERROR(__xludf.DUMMYFUNCTION("""COMPUTED_VALUE"""),"PVX")</f>
        <v>PVX</v>
      </c>
      <c r="C6842" s="120" t="str">
        <f>IFERROR(__xludf.DUMMYFUNCTION("""COMPUTED_VALUE"""),"Provedenia")</f>
        <v>Provedenia</v>
      </c>
      <c r="D6842" s="120" t="str">
        <f>IFERROR(__xludf.DUMMYFUNCTION("""COMPUTED_VALUE"""),"Russia")</f>
        <v>Russia</v>
      </c>
      <c r="E6842" s="135"/>
      <c r="F6842" s="31"/>
    </row>
    <row r="6843">
      <c r="A6843" s="134" t="str">
        <f>IFERROR(__xludf.DUMMYFUNCTION("""COMPUTED_VALUE"""),"Providence")</f>
        <v>Providence</v>
      </c>
      <c r="B6843" s="120" t="str">
        <f>IFERROR(__xludf.DUMMYFUNCTION("""COMPUTED_VALUE"""),"ZRV")</f>
        <v>ZRV</v>
      </c>
      <c r="C6843" s="120" t="str">
        <f>IFERROR(__xludf.DUMMYFUNCTION("""COMPUTED_VALUE"""),"Providence Rail")</f>
        <v>Providence Rail</v>
      </c>
      <c r="D6843" s="120" t="str">
        <f>IFERROR(__xludf.DUMMYFUNCTION("""COMPUTED_VALUE"""),"United States")</f>
        <v>United States</v>
      </c>
      <c r="E6843" s="135"/>
      <c r="F6843" s="31"/>
    </row>
    <row r="6844">
      <c r="A6844" s="134" t="str">
        <f>IFERROR(__xludf.DUMMYFUNCTION("""COMPUTED_VALUE"""),"Providence")</f>
        <v>Providence</v>
      </c>
      <c r="B6844" s="120" t="str">
        <f>IFERROR(__xludf.DUMMYFUNCTION("""COMPUTED_VALUE"""),"PVD")</f>
        <v>PVD</v>
      </c>
      <c r="C6844" s="120" t="str">
        <f>IFERROR(__xludf.DUMMYFUNCTION("""COMPUTED_VALUE"""),"T. F. Green Airport")</f>
        <v>T. F. Green Airport</v>
      </c>
      <c r="D6844" s="120" t="str">
        <f>IFERROR(__xludf.DUMMYFUNCTION("""COMPUTED_VALUE"""),"United States")</f>
        <v>United States</v>
      </c>
      <c r="E6844" s="135"/>
      <c r="F6844" s="31"/>
    </row>
    <row r="6845">
      <c r="A6845" s="134" t="str">
        <f>IFERROR(__xludf.DUMMYFUNCTION("""COMPUTED_VALUE"""),"Providencia")</f>
        <v>Providencia</v>
      </c>
      <c r="B6845" s="120" t="str">
        <f>IFERROR(__xludf.DUMMYFUNCTION("""COMPUTED_VALUE"""),"PVA")</f>
        <v>PVA</v>
      </c>
      <c r="C6845" s="120" t="str">
        <f>IFERROR(__xludf.DUMMYFUNCTION("""COMPUTED_VALUE"""),"Providencia")</f>
        <v>Providencia</v>
      </c>
      <c r="D6845" s="120" t="str">
        <f>IFERROR(__xludf.DUMMYFUNCTION("""COMPUTED_VALUE"""),"Colombia")</f>
        <v>Colombia</v>
      </c>
      <c r="E6845" s="135"/>
      <c r="F6845" s="31"/>
    </row>
    <row r="6846">
      <c r="A6846" s="134" t="str">
        <f>IFERROR(__xludf.DUMMYFUNCTION("""COMPUTED_VALUE"""),"Providenciales")</f>
        <v>Providenciales</v>
      </c>
      <c r="B6846" s="120" t="str">
        <f>IFERROR(__xludf.DUMMYFUNCTION("""COMPUTED_VALUE"""),"PLS")</f>
        <v>PLS</v>
      </c>
      <c r="C6846" s="120" t="str">
        <f>IFERROR(__xludf.DUMMYFUNCTION("""COMPUTED_VALUE"""),"International")</f>
        <v>International</v>
      </c>
      <c r="D6846" s="120" t="str">
        <f>IFERROR(__xludf.DUMMYFUNCTION("""COMPUTED_VALUE"""),"Turks and Caicos Islands")</f>
        <v>Turks and Caicos Islands</v>
      </c>
      <c r="E6846" s="135"/>
      <c r="F6846" s="31"/>
    </row>
    <row r="6847">
      <c r="A6847" s="134" t="str">
        <f>IFERROR(__xludf.DUMMYFUNCTION("""COMPUTED_VALUE"""),"Provideniya")</f>
        <v>Provideniya</v>
      </c>
      <c r="B6847" s="120" t="str">
        <f>IFERROR(__xludf.DUMMYFUNCTION("""COMPUTED_VALUE"""),"PVS")</f>
        <v>PVS</v>
      </c>
      <c r="C6847" s="120" t="str">
        <f>IFERROR(__xludf.DUMMYFUNCTION("""COMPUTED_VALUE"""),"Provideniya")</f>
        <v>Provideniya</v>
      </c>
      <c r="D6847" s="120" t="str">
        <f>IFERROR(__xludf.DUMMYFUNCTION("""COMPUTED_VALUE"""),"Russia")</f>
        <v>Russia</v>
      </c>
      <c r="E6847" s="135"/>
      <c r="F6847" s="31"/>
    </row>
    <row r="6848">
      <c r="A6848" s="134" t="str">
        <f>IFERROR(__xludf.DUMMYFUNCTION("""COMPUTED_VALUE"""),"Provincetown")</f>
        <v>Provincetown</v>
      </c>
      <c r="B6848" s="120" t="str">
        <f>IFERROR(__xludf.DUMMYFUNCTION("""COMPUTED_VALUE"""),"PVC")</f>
        <v>PVC</v>
      </c>
      <c r="C6848" s="120" t="str">
        <f>IFERROR(__xludf.DUMMYFUNCTION("""COMPUTED_VALUE"""),"Provincetown")</f>
        <v>Provincetown</v>
      </c>
      <c r="D6848" s="120" t="str">
        <f>IFERROR(__xludf.DUMMYFUNCTION("""COMPUTED_VALUE"""),"United States")</f>
        <v>United States</v>
      </c>
      <c r="E6848" s="135"/>
      <c r="F6848" s="31"/>
    </row>
    <row r="6849">
      <c r="A6849" s="134" t="str">
        <f>IFERROR(__xludf.DUMMYFUNCTION("""COMPUTED_VALUE"""),"Provo")</f>
        <v>Provo</v>
      </c>
      <c r="B6849" s="120" t="str">
        <f>IFERROR(__xludf.DUMMYFUNCTION("""COMPUTED_VALUE"""),"PVU")</f>
        <v>PVU</v>
      </c>
      <c r="C6849" s="120" t="str">
        <f>IFERROR(__xludf.DUMMYFUNCTION("""COMPUTED_VALUE"""),"Provo")</f>
        <v>Provo</v>
      </c>
      <c r="D6849" s="120" t="str">
        <f>IFERROR(__xludf.DUMMYFUNCTION("""COMPUTED_VALUE"""),"United States")</f>
        <v>United States</v>
      </c>
      <c r="E6849" s="135"/>
      <c r="F6849" s="31"/>
    </row>
    <row r="6850">
      <c r="A6850" s="134" t="str">
        <f>IFERROR(__xludf.DUMMYFUNCTION("""COMPUTED_VALUE"""),"Prudhoe Bay")</f>
        <v>Prudhoe Bay</v>
      </c>
      <c r="B6850" s="120" t="str">
        <f>IFERROR(__xludf.DUMMYFUNCTION("""COMPUTED_VALUE"""),"PUO")</f>
        <v>PUO</v>
      </c>
      <c r="C6850" s="120" t="str">
        <f>IFERROR(__xludf.DUMMYFUNCTION("""COMPUTED_VALUE"""),"Prudhoe Bay")</f>
        <v>Prudhoe Bay</v>
      </c>
      <c r="D6850" s="120" t="str">
        <f>IFERROR(__xludf.DUMMYFUNCTION("""COMPUTED_VALUE"""),"United States")</f>
        <v>United States</v>
      </c>
      <c r="E6850" s="135"/>
      <c r="F6850" s="31"/>
    </row>
    <row r="6851">
      <c r="A6851" s="134" t="str">
        <f>IFERROR(__xludf.DUMMYFUNCTION("""COMPUTED_VALUE"""),"Prudhoe Bay/Deadhorse")</f>
        <v>Prudhoe Bay/Deadhorse</v>
      </c>
      <c r="B6851" s="120" t="str">
        <f>IFERROR(__xludf.DUMMYFUNCTION("""COMPUTED_VALUE"""),"SCC")</f>
        <v>SCC</v>
      </c>
      <c r="C6851" s="120" t="str">
        <f>IFERROR(__xludf.DUMMYFUNCTION("""COMPUTED_VALUE"""),"Prudhoe Bay/Deadhorse")</f>
        <v>Prudhoe Bay/Deadhorse</v>
      </c>
      <c r="D6851" s="120" t="str">
        <f>IFERROR(__xludf.DUMMYFUNCTION("""COMPUTED_VALUE"""),"United States")</f>
        <v>United States</v>
      </c>
      <c r="E6851" s="135"/>
      <c r="F6851" s="31"/>
    </row>
    <row r="6852">
      <c r="A6852" s="134" t="str">
        <f>IFERROR(__xludf.DUMMYFUNCTION("""COMPUTED_VALUE"""),"Pskov")</f>
        <v>Pskov</v>
      </c>
      <c r="B6852" s="120" t="str">
        <f>IFERROR(__xludf.DUMMYFUNCTION("""COMPUTED_VALUE"""),"PKV")</f>
        <v>PKV</v>
      </c>
      <c r="C6852" s="120" t="str">
        <f>IFERROR(__xludf.DUMMYFUNCTION("""COMPUTED_VALUE"""),"Pskov")</f>
        <v>Pskov</v>
      </c>
      <c r="D6852" s="120" t="str">
        <f>IFERROR(__xludf.DUMMYFUNCTION("""COMPUTED_VALUE"""),"Russia")</f>
        <v>Russia</v>
      </c>
      <c r="E6852" s="135"/>
      <c r="F6852" s="31"/>
    </row>
    <row r="6853">
      <c r="A6853" s="134" t="str">
        <f>IFERROR(__xludf.DUMMYFUNCTION("""COMPUTED_VALUE"""),"Puas")</f>
        <v>Puas</v>
      </c>
      <c r="B6853" s="120" t="str">
        <f>IFERROR(__xludf.DUMMYFUNCTION("""COMPUTED_VALUE"""),"PUA")</f>
        <v>PUA</v>
      </c>
      <c r="C6853" s="120" t="str">
        <f>IFERROR(__xludf.DUMMYFUNCTION("""COMPUTED_VALUE"""),"Puas")</f>
        <v>Puas</v>
      </c>
      <c r="D6853" s="120" t="str">
        <f>IFERROR(__xludf.DUMMYFUNCTION("""COMPUTED_VALUE"""),"Papua New Guinea")</f>
        <v>Papua New Guinea</v>
      </c>
      <c r="E6853" s="135"/>
      <c r="F6853" s="31"/>
    </row>
    <row r="6854">
      <c r="A6854" s="134" t="str">
        <f>IFERROR(__xludf.DUMMYFUNCTION("""COMPUTED_VALUE"""),"Pucallpa")</f>
        <v>Pucallpa</v>
      </c>
      <c r="B6854" s="120" t="str">
        <f>IFERROR(__xludf.DUMMYFUNCTION("""COMPUTED_VALUE"""),"PCL")</f>
        <v>PCL</v>
      </c>
      <c r="C6854" s="120" t="str">
        <f>IFERROR(__xludf.DUMMYFUNCTION("""COMPUTED_VALUE"""),"Capitan Rolden")</f>
        <v>Capitan Rolden</v>
      </c>
      <c r="D6854" s="120" t="str">
        <f>IFERROR(__xludf.DUMMYFUNCTION("""COMPUTED_VALUE"""),"Peru")</f>
        <v>Peru</v>
      </c>
      <c r="E6854" s="135"/>
      <c r="F6854" s="31"/>
    </row>
    <row r="6855">
      <c r="A6855" s="134" t="str">
        <f>IFERROR(__xludf.DUMMYFUNCTION("""COMPUTED_VALUE"""),"Pucon")</f>
        <v>Pucon</v>
      </c>
      <c r="B6855" s="120" t="str">
        <f>IFERROR(__xludf.DUMMYFUNCTION("""COMPUTED_VALUE"""),"ZPC")</f>
        <v>ZPC</v>
      </c>
      <c r="C6855" s="120" t="str">
        <f>IFERROR(__xludf.DUMMYFUNCTION("""COMPUTED_VALUE"""),"Pucon")</f>
        <v>Pucon</v>
      </c>
      <c r="D6855" s="120" t="str">
        <f>IFERROR(__xludf.DUMMYFUNCTION("""COMPUTED_VALUE"""),"Chile")</f>
        <v>Chile</v>
      </c>
      <c r="E6855" s="135"/>
      <c r="F6855" s="31"/>
    </row>
    <row r="6856">
      <c r="A6856" s="134" t="str">
        <f>IFERROR(__xludf.DUMMYFUNCTION("""COMPUTED_VALUE"""),"Puebla")</f>
        <v>Puebla</v>
      </c>
      <c r="B6856" s="120" t="str">
        <f>IFERROR(__xludf.DUMMYFUNCTION("""COMPUTED_VALUE"""),"PBC")</f>
        <v>PBC</v>
      </c>
      <c r="C6856" s="120" t="str">
        <f>IFERROR(__xludf.DUMMYFUNCTION("""COMPUTED_VALUE"""),"Huejotsingo")</f>
        <v>Huejotsingo</v>
      </c>
      <c r="D6856" s="120" t="str">
        <f>IFERROR(__xludf.DUMMYFUNCTION("""COMPUTED_VALUE"""),"Mexico")</f>
        <v>Mexico</v>
      </c>
      <c r="E6856" s="135"/>
      <c r="F6856" s="31"/>
    </row>
    <row r="6857">
      <c r="A6857" s="134" t="str">
        <f>IFERROR(__xludf.DUMMYFUNCTION("""COMPUTED_VALUE"""),"Pueblo")</f>
        <v>Pueblo</v>
      </c>
      <c r="B6857" s="120" t="str">
        <f>IFERROR(__xludf.DUMMYFUNCTION("""COMPUTED_VALUE"""),"PUB")</f>
        <v>PUB</v>
      </c>
      <c r="C6857" s="120" t="str">
        <f>IFERROR(__xludf.DUMMYFUNCTION("""COMPUTED_VALUE"""),"Memorial")</f>
        <v>Memorial</v>
      </c>
      <c r="D6857" s="120" t="str">
        <f>IFERROR(__xludf.DUMMYFUNCTION("""COMPUTED_VALUE"""),"United States")</f>
        <v>United States</v>
      </c>
      <c r="E6857" s="135"/>
      <c r="F6857" s="31"/>
    </row>
    <row r="6858">
      <c r="A6858" s="134" t="str">
        <f>IFERROR(__xludf.DUMMYFUNCTION("""COMPUTED_VALUE"""),"Puente Genil")</f>
        <v>Puente Genil</v>
      </c>
      <c r="B6858" s="120" t="str">
        <f>IFERROR(__xludf.DUMMYFUNCTION("""COMPUTED_VALUE"""),"GEN")</f>
        <v>GEN</v>
      </c>
      <c r="C6858" s="120" t="str">
        <f>IFERROR(__xludf.DUMMYFUNCTION("""COMPUTED_VALUE"""),"Puente Genil")</f>
        <v>Puente Genil</v>
      </c>
      <c r="D6858" s="120" t="str">
        <f>IFERROR(__xludf.DUMMYFUNCTION("""COMPUTED_VALUE"""),"Norway")</f>
        <v>Norway</v>
      </c>
      <c r="E6858" s="135"/>
      <c r="F6858" s="31"/>
    </row>
    <row r="6859">
      <c r="A6859" s="134" t="str">
        <f>IFERROR(__xludf.DUMMYFUNCTION("""COMPUTED_VALUE"""),"Puerto Aisen")</f>
        <v>Puerto Aisen</v>
      </c>
      <c r="B6859" s="120" t="str">
        <f>IFERROR(__xludf.DUMMYFUNCTION("""COMPUTED_VALUE"""),"WPA")</f>
        <v>WPA</v>
      </c>
      <c r="C6859" s="120" t="str">
        <f>IFERROR(__xludf.DUMMYFUNCTION("""COMPUTED_VALUE"""),"Puerto Aisen")</f>
        <v>Puerto Aisen</v>
      </c>
      <c r="D6859" s="120" t="str">
        <f>IFERROR(__xludf.DUMMYFUNCTION("""COMPUTED_VALUE"""),"Chile")</f>
        <v>Chile</v>
      </c>
      <c r="E6859" s="135"/>
      <c r="F6859" s="31"/>
    </row>
    <row r="6860">
      <c r="A6860" s="134" t="str">
        <f>IFERROR(__xludf.DUMMYFUNCTION("""COMPUTED_VALUE"""),"Puerto Armuellas")</f>
        <v>Puerto Armuellas</v>
      </c>
      <c r="B6860" s="120" t="str">
        <f>IFERROR(__xludf.DUMMYFUNCTION("""COMPUTED_VALUE"""),"AML")</f>
        <v>AML</v>
      </c>
      <c r="C6860" s="120" t="str">
        <f>IFERROR(__xludf.DUMMYFUNCTION("""COMPUTED_VALUE"""),"Puerto Armuellas")</f>
        <v>Puerto Armuellas</v>
      </c>
      <c r="D6860" s="120" t="str">
        <f>IFERROR(__xludf.DUMMYFUNCTION("""COMPUTED_VALUE"""),"Panama")</f>
        <v>Panama</v>
      </c>
      <c r="E6860" s="135"/>
      <c r="F6860" s="31"/>
    </row>
    <row r="6861">
      <c r="A6861" s="134" t="str">
        <f>IFERROR(__xludf.DUMMYFUNCTION("""COMPUTED_VALUE"""),"Puerto Asis")</f>
        <v>Puerto Asis</v>
      </c>
      <c r="B6861" s="120" t="str">
        <f>IFERROR(__xludf.DUMMYFUNCTION("""COMPUTED_VALUE"""),"PUU")</f>
        <v>PUU</v>
      </c>
      <c r="C6861" s="120" t="str">
        <f>IFERROR(__xludf.DUMMYFUNCTION("""COMPUTED_VALUE"""),"Puerto Asis")</f>
        <v>Puerto Asis</v>
      </c>
      <c r="D6861" s="120" t="str">
        <f>IFERROR(__xludf.DUMMYFUNCTION("""COMPUTED_VALUE"""),"Colombia")</f>
        <v>Colombia</v>
      </c>
      <c r="E6861" s="135"/>
      <c r="F6861" s="31"/>
    </row>
    <row r="6862">
      <c r="A6862" s="134" t="str">
        <f>IFERROR(__xludf.DUMMYFUNCTION("""COMPUTED_VALUE"""),"Puerto Ayacucho")</f>
        <v>Puerto Ayacucho</v>
      </c>
      <c r="B6862" s="120" t="str">
        <f>IFERROR(__xludf.DUMMYFUNCTION("""COMPUTED_VALUE"""),"PYH")</f>
        <v>PYH</v>
      </c>
      <c r="C6862" s="120" t="str">
        <f>IFERROR(__xludf.DUMMYFUNCTION("""COMPUTED_VALUE"""),"Puerto Ayacucho")</f>
        <v>Puerto Ayacucho</v>
      </c>
      <c r="D6862" s="120" t="str">
        <f>IFERROR(__xludf.DUMMYFUNCTION("""COMPUTED_VALUE"""),"Venezuela")</f>
        <v>Venezuela</v>
      </c>
      <c r="E6862" s="135"/>
      <c r="F6862" s="31"/>
    </row>
    <row r="6863">
      <c r="A6863" s="134" t="str">
        <f>IFERROR(__xludf.DUMMYFUNCTION("""COMPUTED_VALUE"""),"Puerto Barrios")</f>
        <v>Puerto Barrios</v>
      </c>
      <c r="B6863" s="120" t="str">
        <f>IFERROR(__xludf.DUMMYFUNCTION("""COMPUTED_VALUE"""),"PBR")</f>
        <v>PBR</v>
      </c>
      <c r="C6863" s="120" t="str">
        <f>IFERROR(__xludf.DUMMYFUNCTION("""COMPUTED_VALUE"""),"Puerto Barrios")</f>
        <v>Puerto Barrios</v>
      </c>
      <c r="D6863" s="120" t="str">
        <f>IFERROR(__xludf.DUMMYFUNCTION("""COMPUTED_VALUE"""),"Guatemala")</f>
        <v>Guatemala</v>
      </c>
      <c r="E6863" s="135"/>
      <c r="F6863" s="31"/>
    </row>
    <row r="6864">
      <c r="A6864" s="134" t="str">
        <f>IFERROR(__xludf.DUMMYFUNCTION("""COMPUTED_VALUE"""),"Puerto Berrio")</f>
        <v>Puerto Berrio</v>
      </c>
      <c r="B6864" s="120" t="str">
        <f>IFERROR(__xludf.DUMMYFUNCTION("""COMPUTED_VALUE"""),"PBE")</f>
        <v>PBE</v>
      </c>
      <c r="C6864" s="120" t="str">
        <f>IFERROR(__xludf.DUMMYFUNCTION("""COMPUTED_VALUE"""),"Puerto Berrio")</f>
        <v>Puerto Berrio</v>
      </c>
      <c r="D6864" s="120" t="str">
        <f>IFERROR(__xludf.DUMMYFUNCTION("""COMPUTED_VALUE"""),"Colombia")</f>
        <v>Colombia</v>
      </c>
      <c r="E6864" s="135"/>
      <c r="F6864" s="31"/>
    </row>
    <row r="6865">
      <c r="A6865" s="134" t="str">
        <f>IFERROR(__xludf.DUMMYFUNCTION("""COMPUTED_VALUE"""),"Puerto Boyaca")</f>
        <v>Puerto Boyaca</v>
      </c>
      <c r="B6865" s="120" t="str">
        <f>IFERROR(__xludf.DUMMYFUNCTION("""COMPUTED_VALUE"""),"PYA")</f>
        <v>PYA</v>
      </c>
      <c r="C6865" s="120" t="str">
        <f>IFERROR(__xludf.DUMMYFUNCTION("""COMPUTED_VALUE"""),"Puerto Boyaca")</f>
        <v>Puerto Boyaca</v>
      </c>
      <c r="D6865" s="120" t="str">
        <f>IFERROR(__xludf.DUMMYFUNCTION("""COMPUTED_VALUE"""),"Colombia")</f>
        <v>Colombia</v>
      </c>
      <c r="E6865" s="135"/>
      <c r="F6865" s="31"/>
    </row>
    <row r="6866">
      <c r="A6866" s="134" t="str">
        <f>IFERROR(__xludf.DUMMYFUNCTION("""COMPUTED_VALUE"""),"Puerto Cabello")</f>
        <v>Puerto Cabello</v>
      </c>
      <c r="B6866" s="120" t="str">
        <f>IFERROR(__xludf.DUMMYFUNCTION("""COMPUTED_VALUE"""),"PBL")</f>
        <v>PBL</v>
      </c>
      <c r="C6866" s="120" t="str">
        <f>IFERROR(__xludf.DUMMYFUNCTION("""COMPUTED_VALUE"""),"Puerto Cabello")</f>
        <v>Puerto Cabello</v>
      </c>
      <c r="D6866" s="120" t="str">
        <f>IFERROR(__xludf.DUMMYFUNCTION("""COMPUTED_VALUE"""),"Venezuela")</f>
        <v>Venezuela</v>
      </c>
      <c r="E6866" s="135"/>
      <c r="F6866" s="31"/>
    </row>
    <row r="6867">
      <c r="A6867" s="134" t="str">
        <f>IFERROR(__xludf.DUMMYFUNCTION("""COMPUTED_VALUE"""),"Puerto Cabezas")</f>
        <v>Puerto Cabezas</v>
      </c>
      <c r="B6867" s="120" t="str">
        <f>IFERROR(__xludf.DUMMYFUNCTION("""COMPUTED_VALUE"""),"PUZ")</f>
        <v>PUZ</v>
      </c>
      <c r="C6867" s="120" t="str">
        <f>IFERROR(__xludf.DUMMYFUNCTION("""COMPUTED_VALUE"""),"Puerto Cabezas")</f>
        <v>Puerto Cabezas</v>
      </c>
      <c r="D6867" s="120" t="str">
        <f>IFERROR(__xludf.DUMMYFUNCTION("""COMPUTED_VALUE"""),"Nicaragua")</f>
        <v>Nicaragua</v>
      </c>
      <c r="E6867" s="135"/>
      <c r="F6867" s="31"/>
    </row>
    <row r="6868">
      <c r="A6868" s="134" t="str">
        <f>IFERROR(__xludf.DUMMYFUNCTION("""COMPUTED_VALUE"""),"Puerto Carreno")</f>
        <v>Puerto Carreno</v>
      </c>
      <c r="B6868" s="120" t="str">
        <f>IFERROR(__xludf.DUMMYFUNCTION("""COMPUTED_VALUE"""),"PCR")</f>
        <v>PCR</v>
      </c>
      <c r="C6868" s="120" t="str">
        <f>IFERROR(__xludf.DUMMYFUNCTION("""COMPUTED_VALUE"""),"Puerto Carreno")</f>
        <v>Puerto Carreno</v>
      </c>
      <c r="D6868" s="120" t="str">
        <f>IFERROR(__xludf.DUMMYFUNCTION("""COMPUTED_VALUE"""),"Colombia")</f>
        <v>Colombia</v>
      </c>
      <c r="E6868" s="135"/>
      <c r="F6868" s="31"/>
    </row>
    <row r="6869">
      <c r="A6869" s="134" t="str">
        <f>IFERROR(__xludf.DUMMYFUNCTION("""COMPUTED_VALUE"""),"Puerto De Santa Maria")</f>
        <v>Puerto De Santa Maria</v>
      </c>
      <c r="B6869" s="120" t="str">
        <f>IFERROR(__xludf.DUMMYFUNCTION("""COMPUTED_VALUE"""),"PXS")</f>
        <v>PXS</v>
      </c>
      <c r="C6869" s="120" t="str">
        <f>IFERROR(__xludf.DUMMYFUNCTION("""COMPUTED_VALUE"""),"Puerto De Santa Maria")</f>
        <v>Puerto De Santa Maria</v>
      </c>
      <c r="D6869" s="120" t="str">
        <f>IFERROR(__xludf.DUMMYFUNCTION("""COMPUTED_VALUE"""),"Spain")</f>
        <v>Spain</v>
      </c>
      <c r="E6869" s="135"/>
      <c r="F6869" s="31"/>
    </row>
    <row r="6870">
      <c r="A6870" s="134" t="str">
        <f>IFERROR(__xludf.DUMMYFUNCTION("""COMPUTED_VALUE"""),"Puerto del Rosario")</f>
        <v>Puerto del Rosario</v>
      </c>
      <c r="B6870" s="120" t="str">
        <f>IFERROR(__xludf.DUMMYFUNCTION("""COMPUTED_VALUE"""),"FUE")</f>
        <v>FUE</v>
      </c>
      <c r="C6870" s="120" t="str">
        <f>IFERROR(__xludf.DUMMYFUNCTION("""COMPUTED_VALUE"""),"Fuerteventura")</f>
        <v>Fuerteventura</v>
      </c>
      <c r="D6870" s="120" t="str">
        <f>IFERROR(__xludf.DUMMYFUNCTION("""COMPUTED_VALUE"""),"Spain")</f>
        <v>Spain</v>
      </c>
      <c r="E6870" s="135"/>
      <c r="F6870" s="31"/>
    </row>
    <row r="6871">
      <c r="A6871" s="134" t="str">
        <f>IFERROR(__xludf.DUMMYFUNCTION("""COMPUTED_VALUE"""),"Puerto Deseado")</f>
        <v>Puerto Deseado</v>
      </c>
      <c r="B6871" s="120" t="str">
        <f>IFERROR(__xludf.DUMMYFUNCTION("""COMPUTED_VALUE"""),"PUD")</f>
        <v>PUD</v>
      </c>
      <c r="C6871" s="120" t="str">
        <f>IFERROR(__xludf.DUMMYFUNCTION("""COMPUTED_VALUE"""),"Puerto Deseado")</f>
        <v>Puerto Deseado</v>
      </c>
      <c r="D6871" s="120" t="str">
        <f>IFERROR(__xludf.DUMMYFUNCTION("""COMPUTED_VALUE"""),"Argentina")</f>
        <v>Argentina</v>
      </c>
      <c r="E6871" s="135"/>
      <c r="F6871" s="31"/>
    </row>
    <row r="6872">
      <c r="A6872" s="134" t="str">
        <f>IFERROR(__xludf.DUMMYFUNCTION("""COMPUTED_VALUE"""),"Puerto Escondido")</f>
        <v>Puerto Escondido</v>
      </c>
      <c r="B6872" s="120" t="str">
        <f>IFERROR(__xludf.DUMMYFUNCTION("""COMPUTED_VALUE"""),"PXM")</f>
        <v>PXM</v>
      </c>
      <c r="C6872" s="120" t="str">
        <f>IFERROR(__xludf.DUMMYFUNCTION("""COMPUTED_VALUE"""),"Puerto Escondido")</f>
        <v>Puerto Escondido</v>
      </c>
      <c r="D6872" s="120" t="str">
        <f>IFERROR(__xludf.DUMMYFUNCTION("""COMPUTED_VALUE"""),"Mexico")</f>
        <v>Mexico</v>
      </c>
      <c r="E6872" s="135"/>
      <c r="F6872" s="31"/>
    </row>
    <row r="6873">
      <c r="A6873" s="134" t="str">
        <f>IFERROR(__xludf.DUMMYFUNCTION("""COMPUTED_VALUE"""),"Puerto Inirida")</f>
        <v>Puerto Inirida</v>
      </c>
      <c r="B6873" s="120" t="str">
        <f>IFERROR(__xludf.DUMMYFUNCTION("""COMPUTED_VALUE"""),"PDA")</f>
        <v>PDA</v>
      </c>
      <c r="C6873" s="120" t="str">
        <f>IFERROR(__xludf.DUMMYFUNCTION("""COMPUTED_VALUE"""),"Puerto Inirida")</f>
        <v>Puerto Inirida</v>
      </c>
      <c r="D6873" s="120" t="str">
        <f>IFERROR(__xludf.DUMMYFUNCTION("""COMPUTED_VALUE"""),"Colombia")</f>
        <v>Colombia</v>
      </c>
      <c r="E6873" s="135"/>
      <c r="F6873" s="31"/>
    </row>
    <row r="6874">
      <c r="A6874" s="134" t="str">
        <f>IFERROR(__xludf.DUMMYFUNCTION("""COMPUTED_VALUE"""),"Puerto Jimenez")</f>
        <v>Puerto Jimenez</v>
      </c>
      <c r="B6874" s="120" t="str">
        <f>IFERROR(__xludf.DUMMYFUNCTION("""COMPUTED_VALUE"""),"PJM")</f>
        <v>PJM</v>
      </c>
      <c r="C6874" s="120" t="str">
        <f>IFERROR(__xludf.DUMMYFUNCTION("""COMPUTED_VALUE"""),"Puerto Jimenez")</f>
        <v>Puerto Jimenez</v>
      </c>
      <c r="D6874" s="120" t="str">
        <f>IFERROR(__xludf.DUMMYFUNCTION("""COMPUTED_VALUE"""),"Costa Rica")</f>
        <v>Costa Rica</v>
      </c>
      <c r="E6874" s="135"/>
      <c r="F6874" s="31"/>
    </row>
    <row r="6875">
      <c r="A6875" s="134" t="str">
        <f>IFERROR(__xludf.DUMMYFUNCTION("""COMPUTED_VALUE"""),"Puerto Juarez")</f>
        <v>Puerto Juarez</v>
      </c>
      <c r="B6875" s="120" t="str">
        <f>IFERROR(__xludf.DUMMYFUNCTION("""COMPUTED_VALUE"""),"PJZ")</f>
        <v>PJZ</v>
      </c>
      <c r="C6875" s="120" t="str">
        <f>IFERROR(__xludf.DUMMYFUNCTION("""COMPUTED_VALUE"""),"Puerto Juarez")</f>
        <v>Puerto Juarez</v>
      </c>
      <c r="D6875" s="120" t="str">
        <f>IFERROR(__xludf.DUMMYFUNCTION("""COMPUTED_VALUE"""),"Mexico")</f>
        <v>Mexico</v>
      </c>
      <c r="E6875" s="135"/>
      <c r="F6875" s="31"/>
    </row>
    <row r="6876">
      <c r="A6876" s="134" t="str">
        <f>IFERROR(__xludf.DUMMYFUNCTION("""COMPUTED_VALUE"""),"Puerto La Cruz")</f>
        <v>Puerto La Cruz</v>
      </c>
      <c r="B6876" s="120" t="str">
        <f>IFERROR(__xludf.DUMMYFUNCTION("""COMPUTED_VALUE"""),"UPC")</f>
        <v>UPC</v>
      </c>
      <c r="C6876" s="120" t="str">
        <f>IFERROR(__xludf.DUMMYFUNCTION("""COMPUTED_VALUE"""),"Puerto La Cruz")</f>
        <v>Puerto La Cruz</v>
      </c>
      <c r="D6876" s="120" t="str">
        <f>IFERROR(__xludf.DUMMYFUNCTION("""COMPUTED_VALUE"""),"Spain")</f>
        <v>Spain</v>
      </c>
      <c r="E6876" s="135"/>
      <c r="F6876" s="31"/>
    </row>
    <row r="6877">
      <c r="A6877" s="134" t="str">
        <f>IFERROR(__xludf.DUMMYFUNCTION("""COMPUTED_VALUE"""),"Puerto La Victoria")</f>
        <v>Puerto La Victoria</v>
      </c>
      <c r="B6877" s="120" t="str">
        <f>IFERROR(__xludf.DUMMYFUNCTION("""COMPUTED_VALUE"""),"PCJ")</f>
        <v>PCJ</v>
      </c>
      <c r="C6877" s="120" t="str">
        <f>IFERROR(__xludf.DUMMYFUNCTION("""COMPUTED_VALUE"""),"Puerto La Victoria")</f>
        <v>Puerto La Victoria</v>
      </c>
      <c r="D6877" s="120" t="str">
        <f>IFERROR(__xludf.DUMMYFUNCTION("""COMPUTED_VALUE"""),"Paraguay")</f>
        <v>Paraguay</v>
      </c>
      <c r="E6877" s="135"/>
      <c r="F6877" s="31"/>
    </row>
    <row r="6878">
      <c r="A6878" s="134" t="str">
        <f>IFERROR(__xludf.DUMMYFUNCTION("""COMPUTED_VALUE"""),"Puerto Leda")</f>
        <v>Puerto Leda</v>
      </c>
      <c r="B6878" s="120" t="str">
        <f>IFERROR(__xludf.DUMMYFUNCTION("""COMPUTED_VALUE"""),"PBT")</f>
        <v>PBT</v>
      </c>
      <c r="C6878" s="120" t="str">
        <f>IFERROR(__xludf.DUMMYFUNCTION("""COMPUTED_VALUE"""),"Puerto Leda")</f>
        <v>Puerto Leda</v>
      </c>
      <c r="D6878" s="120" t="str">
        <f>IFERROR(__xludf.DUMMYFUNCTION("""COMPUTED_VALUE"""),"Paraguay")</f>
        <v>Paraguay</v>
      </c>
      <c r="E6878" s="135"/>
      <c r="F6878" s="31"/>
    </row>
    <row r="6879">
      <c r="A6879" s="134" t="str">
        <f>IFERROR(__xludf.DUMMYFUNCTION("""COMPUTED_VALUE"""),"Puerto Leguizamo")</f>
        <v>Puerto Leguizamo</v>
      </c>
      <c r="B6879" s="120" t="str">
        <f>IFERROR(__xludf.DUMMYFUNCTION("""COMPUTED_VALUE"""),"LQM")</f>
        <v>LQM</v>
      </c>
      <c r="C6879" s="120" t="str">
        <f>IFERROR(__xludf.DUMMYFUNCTION("""COMPUTED_VALUE"""),"Puerto Leguizamo")</f>
        <v>Puerto Leguizamo</v>
      </c>
      <c r="D6879" s="120" t="str">
        <f>IFERROR(__xludf.DUMMYFUNCTION("""COMPUTED_VALUE"""),"Colombia")</f>
        <v>Colombia</v>
      </c>
      <c r="E6879" s="135"/>
      <c r="F6879" s="31"/>
    </row>
    <row r="6880">
      <c r="A6880" s="134" t="str">
        <f>IFERROR(__xludf.DUMMYFUNCTION("""COMPUTED_VALUE"""),"Puerto Lempira")</f>
        <v>Puerto Lempira</v>
      </c>
      <c r="B6880" s="120" t="str">
        <f>IFERROR(__xludf.DUMMYFUNCTION("""COMPUTED_VALUE"""),"PEU")</f>
        <v>PEU</v>
      </c>
      <c r="C6880" s="120" t="str">
        <f>IFERROR(__xludf.DUMMYFUNCTION("""COMPUTED_VALUE"""),"Puerto Lempira")</f>
        <v>Puerto Lempira</v>
      </c>
      <c r="D6880" s="120" t="str">
        <f>IFERROR(__xludf.DUMMYFUNCTION("""COMPUTED_VALUE"""),"Honduras")</f>
        <v>Honduras</v>
      </c>
      <c r="E6880" s="135"/>
      <c r="F6880" s="31"/>
    </row>
    <row r="6881">
      <c r="A6881" s="134" t="str">
        <f>IFERROR(__xludf.DUMMYFUNCTION("""COMPUTED_VALUE"""),"Puerto Madryn")</f>
        <v>Puerto Madryn</v>
      </c>
      <c r="B6881" s="120" t="str">
        <f>IFERROR(__xludf.DUMMYFUNCTION("""COMPUTED_VALUE"""),"PMY")</f>
        <v>PMY</v>
      </c>
      <c r="C6881" s="120" t="str">
        <f>IFERROR(__xludf.DUMMYFUNCTION("""COMPUTED_VALUE"""),"El Tehuelche")</f>
        <v>El Tehuelche</v>
      </c>
      <c r="D6881" s="120" t="str">
        <f>IFERROR(__xludf.DUMMYFUNCTION("""COMPUTED_VALUE"""),"Argentina")</f>
        <v>Argentina</v>
      </c>
      <c r="E6881" s="135"/>
      <c r="F6881" s="31"/>
    </row>
    <row r="6882">
      <c r="A6882" s="134" t="str">
        <f>IFERROR(__xludf.DUMMYFUNCTION("""COMPUTED_VALUE"""),"Puerto Maldonado")</f>
        <v>Puerto Maldonado</v>
      </c>
      <c r="B6882" s="120" t="str">
        <f>IFERROR(__xludf.DUMMYFUNCTION("""COMPUTED_VALUE"""),"PEM")</f>
        <v>PEM</v>
      </c>
      <c r="C6882" s="120" t="str">
        <f>IFERROR(__xludf.DUMMYFUNCTION("""COMPUTED_VALUE"""),"Puerto Maldonado")</f>
        <v>Puerto Maldonado</v>
      </c>
      <c r="D6882" s="120" t="str">
        <f>IFERROR(__xludf.DUMMYFUNCTION("""COMPUTED_VALUE"""),"Peru")</f>
        <v>Peru</v>
      </c>
      <c r="E6882" s="135"/>
      <c r="F6882" s="31"/>
    </row>
    <row r="6883">
      <c r="A6883" s="134" t="str">
        <f>IFERROR(__xludf.DUMMYFUNCTION("""COMPUTED_VALUE"""),"Puerto Montt")</f>
        <v>Puerto Montt</v>
      </c>
      <c r="B6883" s="120" t="str">
        <f>IFERROR(__xludf.DUMMYFUNCTION("""COMPUTED_VALUE"""),"PMC")</f>
        <v>PMC</v>
      </c>
      <c r="C6883" s="120" t="str">
        <f>IFERROR(__xludf.DUMMYFUNCTION("""COMPUTED_VALUE"""),"Tepual")</f>
        <v>Tepual</v>
      </c>
      <c r="D6883" s="120" t="str">
        <f>IFERROR(__xludf.DUMMYFUNCTION("""COMPUTED_VALUE"""),"Chile")</f>
        <v>Chile</v>
      </c>
      <c r="E6883" s="135"/>
      <c r="F6883" s="31"/>
    </row>
    <row r="6884">
      <c r="A6884" s="134" t="str">
        <f>IFERROR(__xludf.DUMMYFUNCTION("""COMPUTED_VALUE"""),"Puerto Natales")</f>
        <v>Puerto Natales</v>
      </c>
      <c r="B6884" s="120" t="str">
        <f>IFERROR(__xludf.DUMMYFUNCTION("""COMPUTED_VALUE"""),"PNT")</f>
        <v>PNT</v>
      </c>
      <c r="C6884" s="120" t="str">
        <f>IFERROR(__xludf.DUMMYFUNCTION("""COMPUTED_VALUE"""),"Teniente J. Gallardo")</f>
        <v>Teniente J. Gallardo</v>
      </c>
      <c r="D6884" s="120" t="str">
        <f>IFERROR(__xludf.DUMMYFUNCTION("""COMPUTED_VALUE"""),"Chile")</f>
        <v>Chile</v>
      </c>
      <c r="E6884" s="135"/>
      <c r="F6884" s="31"/>
    </row>
    <row r="6885">
      <c r="A6885" s="134" t="str">
        <f>IFERROR(__xludf.DUMMYFUNCTION("""COMPUTED_VALUE"""),"Puerto Obaldia")</f>
        <v>Puerto Obaldia</v>
      </c>
      <c r="B6885" s="120" t="str">
        <f>IFERROR(__xludf.DUMMYFUNCTION("""COMPUTED_VALUE"""),"PUE")</f>
        <v>PUE</v>
      </c>
      <c r="C6885" s="120" t="str">
        <f>IFERROR(__xludf.DUMMYFUNCTION("""COMPUTED_VALUE"""),"Puerto Obaldia")</f>
        <v>Puerto Obaldia</v>
      </c>
      <c r="D6885" s="120" t="str">
        <f>IFERROR(__xludf.DUMMYFUNCTION("""COMPUTED_VALUE"""),"Panama")</f>
        <v>Panama</v>
      </c>
      <c r="E6885" s="135"/>
      <c r="F6885" s="31"/>
    </row>
    <row r="6886">
      <c r="A6886" s="134" t="str">
        <f>IFERROR(__xludf.DUMMYFUNCTION("""COMPUTED_VALUE"""),"Puerto Ordaz")</f>
        <v>Puerto Ordaz</v>
      </c>
      <c r="B6886" s="120" t="str">
        <f>IFERROR(__xludf.DUMMYFUNCTION("""COMPUTED_VALUE"""),"PZO")</f>
        <v>PZO</v>
      </c>
      <c r="C6886" s="120" t="str">
        <f>IFERROR(__xludf.DUMMYFUNCTION("""COMPUTED_VALUE"""),"Puerto Ordaz")</f>
        <v>Puerto Ordaz</v>
      </c>
      <c r="D6886" s="120" t="str">
        <f>IFERROR(__xludf.DUMMYFUNCTION("""COMPUTED_VALUE"""),"Venezuela")</f>
        <v>Venezuela</v>
      </c>
      <c r="E6886" s="135"/>
      <c r="F6886" s="31"/>
    </row>
    <row r="6887">
      <c r="A6887" s="134" t="str">
        <f>IFERROR(__xludf.DUMMYFUNCTION("""COMPUTED_VALUE"""),"Puerto Paez")</f>
        <v>Puerto Paez</v>
      </c>
      <c r="B6887" s="120" t="str">
        <f>IFERROR(__xludf.DUMMYFUNCTION("""COMPUTED_VALUE"""),"PPZ")</f>
        <v>PPZ</v>
      </c>
      <c r="C6887" s="120" t="str">
        <f>IFERROR(__xludf.DUMMYFUNCTION("""COMPUTED_VALUE"""),"Puerto Paez")</f>
        <v>Puerto Paez</v>
      </c>
      <c r="D6887" s="120" t="str">
        <f>IFERROR(__xludf.DUMMYFUNCTION("""COMPUTED_VALUE"""),"Venezuela")</f>
        <v>Venezuela</v>
      </c>
      <c r="E6887" s="135"/>
      <c r="F6887" s="31"/>
    </row>
    <row r="6888">
      <c r="A6888" s="134" t="str">
        <f>IFERROR(__xludf.DUMMYFUNCTION("""COMPUTED_VALUE"""),"Puerto Penasco")</f>
        <v>Puerto Penasco</v>
      </c>
      <c r="B6888" s="120" t="str">
        <f>IFERROR(__xludf.DUMMYFUNCTION("""COMPUTED_VALUE"""),"PPE")</f>
        <v>PPE</v>
      </c>
      <c r="C6888" s="120" t="str">
        <f>IFERROR(__xludf.DUMMYFUNCTION("""COMPUTED_VALUE"""),"Puerto Penasco")</f>
        <v>Puerto Penasco</v>
      </c>
      <c r="D6888" s="120" t="str">
        <f>IFERROR(__xludf.DUMMYFUNCTION("""COMPUTED_VALUE"""),"Mexico")</f>
        <v>Mexico</v>
      </c>
      <c r="E6888" s="135"/>
      <c r="F6888" s="31"/>
    </row>
    <row r="6889">
      <c r="A6889" s="134" t="str">
        <f>IFERROR(__xludf.DUMMYFUNCTION("""COMPUTED_VALUE"""),"Puerto Plata")</f>
        <v>Puerto Plata</v>
      </c>
      <c r="B6889" s="120" t="str">
        <f>IFERROR(__xludf.DUMMYFUNCTION("""COMPUTED_VALUE"""),"POP")</f>
        <v>POP</v>
      </c>
      <c r="C6889" s="120" t="str">
        <f>IFERROR(__xludf.DUMMYFUNCTION("""COMPUTED_VALUE"""),"La Union")</f>
        <v>La Union</v>
      </c>
      <c r="D6889" s="120" t="str">
        <f>IFERROR(__xludf.DUMMYFUNCTION("""COMPUTED_VALUE"""),"Dominican Republic")</f>
        <v>Dominican Republic</v>
      </c>
      <c r="E6889" s="135"/>
      <c r="F6889" s="31"/>
    </row>
    <row r="6890">
      <c r="A6890" s="134" t="str">
        <f>IFERROR(__xludf.DUMMYFUNCTION("""COMPUTED_VALUE"""),"Puerto Princesa")</f>
        <v>Puerto Princesa</v>
      </c>
      <c r="B6890" s="120" t="str">
        <f>IFERROR(__xludf.DUMMYFUNCTION("""COMPUTED_VALUE"""),"PPS")</f>
        <v>PPS</v>
      </c>
      <c r="C6890" s="120" t="str">
        <f>IFERROR(__xludf.DUMMYFUNCTION("""COMPUTED_VALUE"""),"Puerto Princesa")</f>
        <v>Puerto Princesa</v>
      </c>
      <c r="D6890" s="120" t="str">
        <f>IFERROR(__xludf.DUMMYFUNCTION("""COMPUTED_VALUE"""),"Philippines")</f>
        <v>Philippines</v>
      </c>
      <c r="E6890" s="135"/>
      <c r="F6890" s="31"/>
    </row>
    <row r="6891">
      <c r="A6891" s="134" t="str">
        <f>IFERROR(__xludf.DUMMYFUNCTION("""COMPUTED_VALUE"""),"Puerto Rico")</f>
        <v>Puerto Rico</v>
      </c>
      <c r="B6891" s="120" t="str">
        <f>IFERROR(__xludf.DUMMYFUNCTION("""COMPUTED_VALUE"""),"PUR")</f>
        <v>PUR</v>
      </c>
      <c r="C6891" s="120" t="str">
        <f>IFERROR(__xludf.DUMMYFUNCTION("""COMPUTED_VALUE"""),"Puerto Rico")</f>
        <v>Puerto Rico</v>
      </c>
      <c r="D6891" s="120" t="str">
        <f>IFERROR(__xludf.DUMMYFUNCTION("""COMPUTED_VALUE"""),"Bolivia")</f>
        <v>Bolivia</v>
      </c>
      <c r="E6891" s="135"/>
      <c r="F6891" s="31"/>
    </row>
    <row r="6892">
      <c r="A6892" s="134" t="str">
        <f>IFERROR(__xludf.DUMMYFUNCTION("""COMPUTED_VALUE"""),"Puerto Rico")</f>
        <v>Puerto Rico</v>
      </c>
      <c r="B6892" s="120" t="str">
        <f>IFERROR(__xludf.DUMMYFUNCTION("""COMPUTED_VALUE"""),"PCC")</f>
        <v>PCC</v>
      </c>
      <c r="C6892" s="120" t="str">
        <f>IFERROR(__xludf.DUMMYFUNCTION("""COMPUTED_VALUE"""),"Puerto Rico")</f>
        <v>Puerto Rico</v>
      </c>
      <c r="D6892" s="120" t="str">
        <f>IFERROR(__xludf.DUMMYFUNCTION("""COMPUTED_VALUE"""),"Colombia")</f>
        <v>Colombia</v>
      </c>
      <c r="E6892" s="135"/>
      <c r="F6892" s="31"/>
    </row>
    <row r="6893">
      <c r="A6893" s="134" t="str">
        <f>IFERROR(__xludf.DUMMYFUNCTION("""COMPUTED_VALUE"""),"Puerto Suarez")</f>
        <v>Puerto Suarez</v>
      </c>
      <c r="B6893" s="120" t="str">
        <f>IFERROR(__xludf.DUMMYFUNCTION("""COMPUTED_VALUE"""),"PSZ")</f>
        <v>PSZ</v>
      </c>
      <c r="C6893" s="120" t="str">
        <f>IFERROR(__xludf.DUMMYFUNCTION("""COMPUTED_VALUE"""),"Puerto Suarez")</f>
        <v>Puerto Suarez</v>
      </c>
      <c r="D6893" s="120" t="str">
        <f>IFERROR(__xludf.DUMMYFUNCTION("""COMPUTED_VALUE"""),"Bolivia")</f>
        <v>Bolivia</v>
      </c>
      <c r="E6893" s="135"/>
      <c r="F6893" s="31"/>
    </row>
    <row r="6894">
      <c r="A6894" s="134" t="str">
        <f>IFERROR(__xludf.DUMMYFUNCTION("""COMPUTED_VALUE"""),"Puerto Vallarta")</f>
        <v>Puerto Vallarta</v>
      </c>
      <c r="B6894" s="120" t="str">
        <f>IFERROR(__xludf.DUMMYFUNCTION("""COMPUTED_VALUE"""),"PVR")</f>
        <v>PVR</v>
      </c>
      <c r="C6894" s="120" t="str">
        <f>IFERROR(__xludf.DUMMYFUNCTION("""COMPUTED_VALUE"""),"Ordaz")</f>
        <v>Ordaz</v>
      </c>
      <c r="D6894" s="120" t="str">
        <f>IFERROR(__xludf.DUMMYFUNCTION("""COMPUTED_VALUE"""),"Mexico")</f>
        <v>Mexico</v>
      </c>
      <c r="E6894" s="135"/>
      <c r="F6894" s="31"/>
    </row>
    <row r="6895">
      <c r="A6895" s="134" t="str">
        <f>IFERROR(__xludf.DUMMYFUNCTION("""COMPUTED_VALUE"""),"Puerto Varas")</f>
        <v>Puerto Varas</v>
      </c>
      <c r="B6895" s="120" t="str">
        <f>IFERROR(__xludf.DUMMYFUNCTION("""COMPUTED_VALUE"""),"PUX")</f>
        <v>PUX</v>
      </c>
      <c r="C6895" s="120" t="str">
        <f>IFERROR(__xludf.DUMMYFUNCTION("""COMPUTED_VALUE"""),"Puerto Varas")</f>
        <v>Puerto Varas</v>
      </c>
      <c r="D6895" s="120" t="str">
        <f>IFERROR(__xludf.DUMMYFUNCTION("""COMPUTED_VALUE"""),"Chile")</f>
        <v>Chile</v>
      </c>
      <c r="E6895" s="135"/>
      <c r="F6895" s="31"/>
    </row>
    <row r="6896">
      <c r="A6896" s="134" t="str">
        <f>IFERROR(__xludf.DUMMYFUNCTION("""COMPUTED_VALUE"""),"Puerto Williams")</f>
        <v>Puerto Williams</v>
      </c>
      <c r="B6896" s="120" t="str">
        <f>IFERROR(__xludf.DUMMYFUNCTION("""COMPUTED_VALUE"""),"WPU")</f>
        <v>WPU</v>
      </c>
      <c r="C6896" s="120" t="str">
        <f>IFERROR(__xludf.DUMMYFUNCTION("""COMPUTED_VALUE"""),"Puerto Williams")</f>
        <v>Puerto Williams</v>
      </c>
      <c r="D6896" s="120" t="str">
        <f>IFERROR(__xludf.DUMMYFUNCTION("""COMPUTED_VALUE"""),"Chile")</f>
        <v>Chile</v>
      </c>
      <c r="E6896" s="135"/>
      <c r="F6896" s="31"/>
    </row>
    <row r="6897">
      <c r="A6897" s="134" t="str">
        <f>IFERROR(__xludf.DUMMYFUNCTION("""COMPUTED_VALUE"""),"Puertollano")</f>
        <v>Puertollano</v>
      </c>
      <c r="B6897" s="120" t="str">
        <f>IFERROR(__xludf.DUMMYFUNCTION("""COMPUTED_VALUE"""),"UER")</f>
        <v>UER</v>
      </c>
      <c r="C6897" s="120" t="str">
        <f>IFERROR(__xludf.DUMMYFUNCTION("""COMPUTED_VALUE"""),"Puertollano")</f>
        <v>Puertollano</v>
      </c>
      <c r="D6897" s="120" t="str">
        <f>IFERROR(__xludf.DUMMYFUNCTION("""COMPUTED_VALUE"""),"Spain")</f>
        <v>Spain</v>
      </c>
      <c r="E6897" s="135"/>
      <c r="F6897" s="31"/>
    </row>
    <row r="6898">
      <c r="A6898" s="134" t="str">
        <f>IFERROR(__xludf.DUMMYFUNCTION("""COMPUTED_VALUE"""),"Puka Puka")</f>
        <v>Puka Puka</v>
      </c>
      <c r="B6898" s="120" t="str">
        <f>IFERROR(__xludf.DUMMYFUNCTION("""COMPUTED_VALUE"""),"PKP")</f>
        <v>PKP</v>
      </c>
      <c r="C6898" s="120" t="str">
        <f>IFERROR(__xludf.DUMMYFUNCTION("""COMPUTED_VALUE"""),"Puka Puka")</f>
        <v>Puka Puka</v>
      </c>
      <c r="D6898" s="120" t="str">
        <f>IFERROR(__xludf.DUMMYFUNCTION("""COMPUTED_VALUE"""),"French Polynesia")</f>
        <v>French Polynesia</v>
      </c>
      <c r="E6898" s="135"/>
      <c r="F6898" s="31"/>
    </row>
    <row r="6899">
      <c r="A6899" s="134" t="str">
        <f>IFERROR(__xludf.DUMMYFUNCTION("""COMPUTED_VALUE"""),"Puka Puka Is/Attol")</f>
        <v>Puka Puka Is/Attol</v>
      </c>
      <c r="B6899" s="120" t="str">
        <f>IFERROR(__xludf.DUMMYFUNCTION("""COMPUTED_VALUE"""),"PZK")</f>
        <v>PZK</v>
      </c>
      <c r="C6899" s="120" t="str">
        <f>IFERROR(__xludf.DUMMYFUNCTION("""COMPUTED_VALUE"""),"Puka Puka Is/Attol")</f>
        <v>Puka Puka Is/Attol</v>
      </c>
      <c r="D6899" s="120" t="str">
        <f>IFERROR(__xludf.DUMMYFUNCTION("""COMPUTED_VALUE"""),"Cook Islands")</f>
        <v>Cook Islands</v>
      </c>
      <c r="E6899" s="135"/>
      <c r="F6899" s="31"/>
    </row>
    <row r="6900">
      <c r="A6900" s="134" t="str">
        <f>IFERROR(__xludf.DUMMYFUNCTION("""COMPUTED_VALUE"""),"Pukarua")</f>
        <v>Pukarua</v>
      </c>
      <c r="B6900" s="120" t="str">
        <f>IFERROR(__xludf.DUMMYFUNCTION("""COMPUTED_VALUE"""),"PUK")</f>
        <v>PUK</v>
      </c>
      <c r="C6900" s="120" t="str">
        <f>IFERROR(__xludf.DUMMYFUNCTION("""COMPUTED_VALUE"""),"Pukarua")</f>
        <v>Pukarua</v>
      </c>
      <c r="D6900" s="120" t="str">
        <f>IFERROR(__xludf.DUMMYFUNCTION("""COMPUTED_VALUE"""),"French Polynesia")</f>
        <v>French Polynesia</v>
      </c>
      <c r="E6900" s="135"/>
      <c r="F6900" s="31"/>
    </row>
    <row r="6901">
      <c r="A6901" s="134" t="str">
        <f>IFERROR(__xludf.DUMMYFUNCTION("""COMPUTED_VALUE"""),"Pukatawagan")</f>
        <v>Pukatawagan</v>
      </c>
      <c r="B6901" s="120" t="str">
        <f>IFERROR(__xludf.DUMMYFUNCTION("""COMPUTED_VALUE"""),"XPK")</f>
        <v>XPK</v>
      </c>
      <c r="C6901" s="120" t="str">
        <f>IFERROR(__xludf.DUMMYFUNCTION("""COMPUTED_VALUE"""),"Pukatawagan")</f>
        <v>Pukatawagan</v>
      </c>
      <c r="D6901" s="120" t="str">
        <f>IFERROR(__xludf.DUMMYFUNCTION("""COMPUTED_VALUE"""),"Canada")</f>
        <v>Canada</v>
      </c>
      <c r="E6901" s="135"/>
      <c r="F6901" s="31"/>
    </row>
    <row r="6902">
      <c r="A6902" s="134" t="str">
        <f>IFERROR(__xludf.DUMMYFUNCTION("""COMPUTED_VALUE"""),"Pula")</f>
        <v>Pula</v>
      </c>
      <c r="B6902" s="120" t="str">
        <f>IFERROR(__xludf.DUMMYFUNCTION("""COMPUTED_VALUE"""),"PUY")</f>
        <v>PUY</v>
      </c>
      <c r="C6902" s="120" t="str">
        <f>IFERROR(__xludf.DUMMYFUNCTION("""COMPUTED_VALUE"""),"Pula")</f>
        <v>Pula</v>
      </c>
      <c r="D6902" s="120" t="str">
        <f>IFERROR(__xludf.DUMMYFUNCTION("""COMPUTED_VALUE"""),"Croatia")</f>
        <v>Croatia</v>
      </c>
      <c r="E6902" s="135"/>
      <c r="F6902" s="31"/>
    </row>
    <row r="6903">
      <c r="A6903" s="134" t="str">
        <f>IFERROR(__xludf.DUMMYFUNCTION("""COMPUTED_VALUE"""),"Pulau Layang-Layang Is")</f>
        <v>Pulau Layang-Layang Is</v>
      </c>
      <c r="B6903" s="120" t="str">
        <f>IFERROR(__xludf.DUMMYFUNCTION("""COMPUTED_VALUE"""),"LAC")</f>
        <v>LAC</v>
      </c>
      <c r="C6903" s="120" t="str">
        <f>IFERROR(__xludf.DUMMYFUNCTION("""COMPUTED_VALUE"""),"Layang-Layang Airstrip")</f>
        <v>Layang-Layang Airstrip</v>
      </c>
      <c r="D6903" s="120" t="str">
        <f>IFERROR(__xludf.DUMMYFUNCTION("""COMPUTED_VALUE"""),"Malaysia")</f>
        <v>Malaysia</v>
      </c>
      <c r="E6903" s="135"/>
      <c r="F6903" s="31"/>
    </row>
    <row r="6904">
      <c r="A6904" s="134" t="str">
        <f>IFERROR(__xludf.DUMMYFUNCTION("""COMPUTED_VALUE"""),"Pulau Panjang")</f>
        <v>Pulau Panjang</v>
      </c>
      <c r="B6904" s="120" t="str">
        <f>IFERROR(__xludf.DUMMYFUNCTION("""COMPUTED_VALUE"""),"PPJ")</f>
        <v>PPJ</v>
      </c>
      <c r="C6904" s="120" t="str">
        <f>IFERROR(__xludf.DUMMYFUNCTION("""COMPUTED_VALUE"""),"Pulau Panjang")</f>
        <v>Pulau Panjang</v>
      </c>
      <c r="D6904" s="120" t="str">
        <f>IFERROR(__xludf.DUMMYFUNCTION("""COMPUTED_VALUE"""),"Indonesia")</f>
        <v>Indonesia</v>
      </c>
      <c r="E6904" s="135"/>
      <c r="F6904" s="31"/>
    </row>
    <row r="6905">
      <c r="A6905" s="134" t="str">
        <f>IFERROR(__xludf.DUMMYFUNCTION("""COMPUTED_VALUE"""),"Pullman")</f>
        <v>Pullman</v>
      </c>
      <c r="B6905" s="120" t="str">
        <f>IFERROR(__xludf.DUMMYFUNCTION("""COMPUTED_VALUE"""),"PUW")</f>
        <v>PUW</v>
      </c>
      <c r="C6905" s="120" t="str">
        <f>IFERROR(__xludf.DUMMYFUNCTION("""COMPUTED_VALUE"""),"Pullman-Moscow Regional Airport")</f>
        <v>Pullman-Moscow Regional Airport</v>
      </c>
      <c r="D6905" s="120" t="str">
        <f>IFERROR(__xludf.DUMMYFUNCTION("""COMPUTED_VALUE"""),"United States")</f>
        <v>United States</v>
      </c>
      <c r="E6905" s="135"/>
      <c r="F6905" s="31"/>
    </row>
    <row r="6906">
      <c r="A6906" s="134" t="str">
        <f>IFERROR(__xludf.DUMMYFUNCTION("""COMPUTED_VALUE"""),"Pumani")</f>
        <v>Pumani</v>
      </c>
      <c r="B6906" s="120" t="str">
        <f>IFERROR(__xludf.DUMMYFUNCTION("""COMPUTED_VALUE"""),"PMN")</f>
        <v>PMN</v>
      </c>
      <c r="C6906" s="120" t="str">
        <f>IFERROR(__xludf.DUMMYFUNCTION("""COMPUTED_VALUE"""),"Pumani")</f>
        <v>Pumani</v>
      </c>
      <c r="D6906" s="120" t="str">
        <f>IFERROR(__xludf.DUMMYFUNCTION("""COMPUTED_VALUE"""),"Papua New Guinea")</f>
        <v>Papua New Guinea</v>
      </c>
      <c r="E6906" s="135"/>
      <c r="F6906" s="31"/>
    </row>
    <row r="6907">
      <c r="A6907" s="134" t="str">
        <f>IFERROR(__xludf.DUMMYFUNCTION("""COMPUTED_VALUE"""),"Pune")</f>
        <v>Pune</v>
      </c>
      <c r="B6907" s="120" t="str">
        <f>IFERROR(__xludf.DUMMYFUNCTION("""COMPUTED_VALUE"""),"PNQ")</f>
        <v>PNQ</v>
      </c>
      <c r="C6907" s="120" t="str">
        <f>IFERROR(__xludf.DUMMYFUNCTION("""COMPUTED_VALUE"""),"Lohegaon")</f>
        <v>Lohegaon</v>
      </c>
      <c r="D6907" s="120" t="str">
        <f>IFERROR(__xludf.DUMMYFUNCTION("""COMPUTED_VALUE"""),"India")</f>
        <v>India</v>
      </c>
      <c r="E6907" s="135"/>
      <c r="F6907" s="31"/>
    </row>
    <row r="6908">
      <c r="A6908" s="134" t="str">
        <f>IFERROR(__xludf.DUMMYFUNCTION("""COMPUTED_VALUE"""),"Punia")</f>
        <v>Punia</v>
      </c>
      <c r="B6908" s="120" t="str">
        <f>IFERROR(__xludf.DUMMYFUNCTION("""COMPUTED_VALUE"""),"PUN")</f>
        <v>PUN</v>
      </c>
      <c r="C6908" s="120" t="str">
        <f>IFERROR(__xludf.DUMMYFUNCTION("""COMPUTED_VALUE"""),"Punia")</f>
        <v>Punia</v>
      </c>
      <c r="D6908" s="120" t="str">
        <f>IFERROR(__xludf.DUMMYFUNCTION("""COMPUTED_VALUE"""),"Zaire")</f>
        <v>Zaire</v>
      </c>
      <c r="E6908" s="135"/>
      <c r="F6908" s="31"/>
    </row>
    <row r="6909">
      <c r="A6909" s="134" t="str">
        <f>IFERROR(__xludf.DUMMYFUNCTION("""COMPUTED_VALUE"""),"Punta Alegre")</f>
        <v>Punta Alegre</v>
      </c>
      <c r="B6909" s="120" t="str">
        <f>IFERROR(__xludf.DUMMYFUNCTION("""COMPUTED_VALUE"""),"UPA")</f>
        <v>UPA</v>
      </c>
      <c r="C6909" s="120" t="str">
        <f>IFERROR(__xludf.DUMMYFUNCTION("""COMPUTED_VALUE"""),"Punta Alegre")</f>
        <v>Punta Alegre</v>
      </c>
      <c r="D6909" s="120" t="str">
        <f>IFERROR(__xludf.DUMMYFUNCTION("""COMPUTED_VALUE"""),"Cuba")</f>
        <v>Cuba</v>
      </c>
      <c r="E6909" s="135"/>
      <c r="F6909" s="31"/>
    </row>
    <row r="6910">
      <c r="A6910" s="134" t="str">
        <f>IFERROR(__xludf.DUMMYFUNCTION("""COMPUTED_VALUE"""),"Punta Arenas")</f>
        <v>Punta Arenas</v>
      </c>
      <c r="B6910" s="120" t="str">
        <f>IFERROR(__xludf.DUMMYFUNCTION("""COMPUTED_VALUE"""),"PUQ")</f>
        <v>PUQ</v>
      </c>
      <c r="C6910" s="120" t="str">
        <f>IFERROR(__xludf.DUMMYFUNCTION("""COMPUTED_VALUE"""),"Pres Ibanez")</f>
        <v>Pres Ibanez</v>
      </c>
      <c r="D6910" s="120" t="str">
        <f>IFERROR(__xludf.DUMMYFUNCTION("""COMPUTED_VALUE"""),"Chile")</f>
        <v>Chile</v>
      </c>
      <c r="E6910" s="135"/>
      <c r="F6910" s="31"/>
    </row>
    <row r="6911">
      <c r="A6911" s="134" t="str">
        <f>IFERROR(__xludf.DUMMYFUNCTION("""COMPUTED_VALUE"""),"Punta Cana")</f>
        <v>Punta Cana</v>
      </c>
      <c r="B6911" s="120" t="str">
        <f>IFERROR(__xludf.DUMMYFUNCTION("""COMPUTED_VALUE"""),"PUJ")</f>
        <v>PUJ</v>
      </c>
      <c r="C6911" s="120" t="str">
        <f>IFERROR(__xludf.DUMMYFUNCTION("""COMPUTED_VALUE"""),"Punta Cana")</f>
        <v>Punta Cana</v>
      </c>
      <c r="D6911" s="120" t="str">
        <f>IFERROR(__xludf.DUMMYFUNCTION("""COMPUTED_VALUE"""),"Dominican Republic")</f>
        <v>Dominican Republic</v>
      </c>
      <c r="E6911" s="135"/>
      <c r="F6911" s="31"/>
    </row>
    <row r="6912">
      <c r="A6912" s="134" t="str">
        <f>IFERROR(__xludf.DUMMYFUNCTION("""COMPUTED_VALUE"""),"Punta Chivato")</f>
        <v>Punta Chivato</v>
      </c>
      <c r="B6912" s="120" t="str">
        <f>IFERROR(__xludf.DUMMYFUNCTION("""COMPUTED_VALUE"""),"PCV")</f>
        <v>PCV</v>
      </c>
      <c r="C6912" s="120" t="str">
        <f>IFERROR(__xludf.DUMMYFUNCTION("""COMPUTED_VALUE"""),"Punta Chivato")</f>
        <v>Punta Chivato</v>
      </c>
      <c r="D6912" s="120" t="str">
        <f>IFERROR(__xludf.DUMMYFUNCTION("""COMPUTED_VALUE"""),"Mexico")</f>
        <v>Mexico</v>
      </c>
      <c r="E6912" s="135"/>
      <c r="F6912" s="31"/>
    </row>
    <row r="6913">
      <c r="A6913" s="134" t="str">
        <f>IFERROR(__xludf.DUMMYFUNCTION("""COMPUTED_VALUE"""),"Punta Colorada")</f>
        <v>Punta Colorada</v>
      </c>
      <c r="B6913" s="120" t="str">
        <f>IFERROR(__xludf.DUMMYFUNCTION("""COMPUTED_VALUE"""),"PCO")</f>
        <v>PCO</v>
      </c>
      <c r="C6913" s="120" t="str">
        <f>IFERROR(__xludf.DUMMYFUNCTION("""COMPUTED_VALUE"""),"Punta Colorada")</f>
        <v>Punta Colorada</v>
      </c>
      <c r="D6913" s="120" t="str">
        <f>IFERROR(__xludf.DUMMYFUNCTION("""COMPUTED_VALUE"""),"Mexico")</f>
        <v>Mexico</v>
      </c>
      <c r="E6913" s="135"/>
      <c r="F6913" s="31"/>
    </row>
    <row r="6914">
      <c r="A6914" s="134" t="str">
        <f>IFERROR(__xludf.DUMMYFUNCTION("""COMPUTED_VALUE"""),"Punta De Maisi")</f>
        <v>Punta De Maisi</v>
      </c>
      <c r="B6914" s="120" t="str">
        <f>IFERROR(__xludf.DUMMYFUNCTION("""COMPUTED_VALUE"""),"UMA")</f>
        <v>UMA</v>
      </c>
      <c r="C6914" s="120" t="str">
        <f>IFERROR(__xludf.DUMMYFUNCTION("""COMPUTED_VALUE"""),"Punta De Maisi")</f>
        <v>Punta De Maisi</v>
      </c>
      <c r="D6914" s="120" t="str">
        <f>IFERROR(__xludf.DUMMYFUNCTION("""COMPUTED_VALUE"""),"Cuba")</f>
        <v>Cuba</v>
      </c>
      <c r="E6914" s="135"/>
      <c r="F6914" s="31"/>
    </row>
    <row r="6915">
      <c r="A6915" s="134" t="str">
        <f>IFERROR(__xludf.DUMMYFUNCTION("""COMPUTED_VALUE"""),"Maldonado")</f>
        <v>Maldonado</v>
      </c>
      <c r="B6915" s="120" t="str">
        <f>IFERROR(__xludf.DUMMYFUNCTION("""COMPUTED_VALUE"""),"PDP")</f>
        <v>PDP</v>
      </c>
      <c r="C6915" s="120" t="str">
        <f>IFERROR(__xludf.DUMMYFUNCTION("""COMPUTED_VALUE"""),"Capitan Corbeta CA Curbelo International Airport")</f>
        <v>Capitan Corbeta CA Curbelo International Airport</v>
      </c>
      <c r="D6915" s="120" t="str">
        <f>IFERROR(__xludf.DUMMYFUNCTION("""COMPUTED_VALUE"""),"Uruguay")</f>
        <v>Uruguay</v>
      </c>
      <c r="E6915" s="135"/>
      <c r="F6915" s="31"/>
    </row>
    <row r="6916">
      <c r="A6916" s="134" t="str">
        <f>IFERROR(__xludf.DUMMYFUNCTION("""COMPUTED_VALUE"""),"Punta Gorda")</f>
        <v>Punta Gorda</v>
      </c>
      <c r="B6916" s="120" t="str">
        <f>IFERROR(__xludf.DUMMYFUNCTION("""COMPUTED_VALUE"""),"PND")</f>
        <v>PND</v>
      </c>
      <c r="C6916" s="120" t="str">
        <f>IFERROR(__xludf.DUMMYFUNCTION("""COMPUTED_VALUE"""),"Punta Gorda")</f>
        <v>Punta Gorda</v>
      </c>
      <c r="D6916" s="120" t="str">
        <f>IFERROR(__xludf.DUMMYFUNCTION("""COMPUTED_VALUE"""),"Belize")</f>
        <v>Belize</v>
      </c>
      <c r="E6916" s="135"/>
      <c r="F6916" s="31"/>
    </row>
    <row r="6917">
      <c r="A6917" s="134" t="str">
        <f>IFERROR(__xludf.DUMMYFUNCTION("""COMPUTED_VALUE"""),"Punta Gorda")</f>
        <v>Punta Gorda</v>
      </c>
      <c r="B6917" s="120" t="str">
        <f>IFERROR(__xludf.DUMMYFUNCTION("""COMPUTED_VALUE"""),"PGD")</f>
        <v>PGD</v>
      </c>
      <c r="C6917" s="120" t="str">
        <f>IFERROR(__xludf.DUMMYFUNCTION("""COMPUTED_VALUE"""),"Charlotte County")</f>
        <v>Charlotte County</v>
      </c>
      <c r="D6917" s="120" t="str">
        <f>IFERROR(__xludf.DUMMYFUNCTION("""COMPUTED_VALUE"""),"United States")</f>
        <v>United States</v>
      </c>
      <c r="E6917" s="135"/>
      <c r="F6917" s="31"/>
    </row>
    <row r="6918">
      <c r="A6918" s="134" t="str">
        <f>IFERROR(__xludf.DUMMYFUNCTION("""COMPUTED_VALUE"""),"Punta Islita")</f>
        <v>Punta Islita</v>
      </c>
      <c r="B6918" s="120" t="str">
        <f>IFERROR(__xludf.DUMMYFUNCTION("""COMPUTED_VALUE"""),"PBP")</f>
        <v>PBP</v>
      </c>
      <c r="C6918" s="120" t="str">
        <f>IFERROR(__xludf.DUMMYFUNCTION("""COMPUTED_VALUE"""),"Punta Islita")</f>
        <v>Punta Islita</v>
      </c>
      <c r="D6918" s="120" t="str">
        <f>IFERROR(__xludf.DUMMYFUNCTION("""COMPUTED_VALUE"""),"Costa Rica")</f>
        <v>Costa Rica</v>
      </c>
      <c r="E6918" s="135"/>
      <c r="F6918" s="31"/>
    </row>
    <row r="6919">
      <c r="A6919" s="134" t="str">
        <f>IFERROR(__xludf.DUMMYFUNCTION("""COMPUTED_VALUE"""),"Punta Renes")</f>
        <v>Punta Renes</v>
      </c>
      <c r="B6919" s="120" t="str">
        <f>IFERROR(__xludf.DUMMYFUNCTION("""COMPUTED_VALUE"""),"JAP")</f>
        <v>JAP</v>
      </c>
      <c r="C6919" s="120" t="str">
        <f>IFERROR(__xludf.DUMMYFUNCTION("""COMPUTED_VALUE"""),"Punta Renes")</f>
        <v>Punta Renes</v>
      </c>
      <c r="D6919" s="120" t="str">
        <f>IFERROR(__xludf.DUMMYFUNCTION("""COMPUTED_VALUE"""),"Costa Rica")</f>
        <v>Costa Rica</v>
      </c>
      <c r="E6919" s="135"/>
      <c r="F6919" s="31"/>
    </row>
    <row r="6920">
      <c r="A6920" s="134" t="str">
        <f>IFERROR(__xludf.DUMMYFUNCTION("""COMPUTED_VALUE"""),"Pureni")</f>
        <v>Pureni</v>
      </c>
      <c r="B6920" s="120" t="str">
        <f>IFERROR(__xludf.DUMMYFUNCTION("""COMPUTED_VALUE"""),"PUI")</f>
        <v>PUI</v>
      </c>
      <c r="C6920" s="120" t="str">
        <f>IFERROR(__xludf.DUMMYFUNCTION("""COMPUTED_VALUE"""),"Pureni")</f>
        <v>Pureni</v>
      </c>
      <c r="D6920" s="120" t="str">
        <f>IFERROR(__xludf.DUMMYFUNCTION("""COMPUTED_VALUE"""),"Papua New Guinea")</f>
        <v>Papua New Guinea</v>
      </c>
      <c r="E6920" s="135"/>
      <c r="F6920" s="31"/>
    </row>
    <row r="6921">
      <c r="A6921" s="134" t="str">
        <f>IFERROR(__xludf.DUMMYFUNCTION("""COMPUTED_VALUE"""),"Purwokerto")</f>
        <v>Purwokerto</v>
      </c>
      <c r="B6921" s="120" t="str">
        <f>IFERROR(__xludf.DUMMYFUNCTION("""COMPUTED_VALUE"""),"PWL")</f>
        <v>PWL</v>
      </c>
      <c r="C6921" s="120" t="str">
        <f>IFERROR(__xludf.DUMMYFUNCTION("""COMPUTED_VALUE"""),"Purwokerto")</f>
        <v>Purwokerto</v>
      </c>
      <c r="D6921" s="120" t="str">
        <f>IFERROR(__xludf.DUMMYFUNCTION("""COMPUTED_VALUE"""),"Indonesia")</f>
        <v>Indonesia</v>
      </c>
      <c r="E6921" s="135"/>
      <c r="F6921" s="31"/>
    </row>
    <row r="6922">
      <c r="A6922" s="134" t="str">
        <f>IFERROR(__xludf.DUMMYFUNCTION("""COMPUTED_VALUE"""),"Putao")</f>
        <v>Putao</v>
      </c>
      <c r="B6922" s="120" t="str">
        <f>IFERROR(__xludf.DUMMYFUNCTION("""COMPUTED_VALUE"""),"PBU")</f>
        <v>PBU</v>
      </c>
      <c r="C6922" s="120" t="str">
        <f>IFERROR(__xludf.DUMMYFUNCTION("""COMPUTED_VALUE"""),"Putao")</f>
        <v>Putao</v>
      </c>
      <c r="D6922" s="120" t="str">
        <f>IFERROR(__xludf.DUMMYFUNCTION("""COMPUTED_VALUE"""),"Myanmar")</f>
        <v>Myanmar</v>
      </c>
      <c r="E6922" s="135"/>
      <c r="F6922" s="31"/>
    </row>
    <row r="6923">
      <c r="A6923" s="134" t="str">
        <f>IFERROR(__xludf.DUMMYFUNCTION("""COMPUTED_VALUE"""),"Puttaparthi")</f>
        <v>Puttaparthi</v>
      </c>
      <c r="B6923" s="120" t="str">
        <f>IFERROR(__xludf.DUMMYFUNCTION("""COMPUTED_VALUE"""),"PUT")</f>
        <v>PUT</v>
      </c>
      <c r="C6923" s="120" t="str">
        <f>IFERROR(__xludf.DUMMYFUNCTION("""COMPUTED_VALUE"""),"Puttaprathe")</f>
        <v>Puttaprathe</v>
      </c>
      <c r="D6923" s="120" t="str">
        <f>IFERROR(__xludf.DUMMYFUNCTION("""COMPUTED_VALUE"""),"India")</f>
        <v>India</v>
      </c>
      <c r="E6923" s="135"/>
      <c r="F6923" s="31"/>
    </row>
    <row r="6924">
      <c r="A6924" s="134" t="str">
        <f>IFERROR(__xludf.DUMMYFUNCTION("""COMPUTED_VALUE"""),"Putumayo")</f>
        <v>Putumayo</v>
      </c>
      <c r="B6924" s="120" t="str">
        <f>IFERROR(__xludf.DUMMYFUNCTION("""COMPUTED_VALUE"""),"PYO")</f>
        <v>PYO</v>
      </c>
      <c r="C6924" s="120" t="str">
        <f>IFERROR(__xludf.DUMMYFUNCTION("""COMPUTED_VALUE"""),"Putumayo")</f>
        <v>Putumayo</v>
      </c>
      <c r="D6924" s="120" t="str">
        <f>IFERROR(__xludf.DUMMYFUNCTION("""COMPUTED_VALUE"""),"Ecuador")</f>
        <v>Ecuador</v>
      </c>
      <c r="E6924" s="135"/>
      <c r="F6924" s="31"/>
    </row>
    <row r="6925">
      <c r="A6925" s="134" t="str">
        <f>IFERROR(__xludf.DUMMYFUNCTION("""COMPUTED_VALUE"""),"Putussibau")</f>
        <v>Putussibau</v>
      </c>
      <c r="B6925" s="120" t="str">
        <f>IFERROR(__xludf.DUMMYFUNCTION("""COMPUTED_VALUE"""),"PSU")</f>
        <v>PSU</v>
      </c>
      <c r="C6925" s="120" t="str">
        <f>IFERROR(__xludf.DUMMYFUNCTION("""COMPUTED_VALUE"""),"Putussibau")</f>
        <v>Putussibau</v>
      </c>
      <c r="D6925" s="120" t="str">
        <f>IFERROR(__xludf.DUMMYFUNCTION("""COMPUTED_VALUE"""),"Indonesia")</f>
        <v>Indonesia</v>
      </c>
      <c r="E6925" s="135"/>
      <c r="F6925" s="31"/>
    </row>
    <row r="6926">
      <c r="A6926" s="134" t="str">
        <f>IFERROR(__xludf.DUMMYFUNCTION("""COMPUTED_VALUE"""),"Pweto")</f>
        <v>Pweto</v>
      </c>
      <c r="B6926" s="120" t="str">
        <f>IFERROR(__xludf.DUMMYFUNCTION("""COMPUTED_VALUE"""),"PWO")</f>
        <v>PWO</v>
      </c>
      <c r="C6926" s="120" t="str">
        <f>IFERROR(__xludf.DUMMYFUNCTION("""COMPUTED_VALUE"""),"Pweto")</f>
        <v>Pweto</v>
      </c>
      <c r="D6926" s="120" t="str">
        <f>IFERROR(__xludf.DUMMYFUNCTION("""COMPUTED_VALUE"""),"Zaire")</f>
        <v>Zaire</v>
      </c>
      <c r="E6926" s="135"/>
      <c r="F6926" s="31"/>
    </row>
    <row r="6927">
      <c r="A6927" s="134" t="str">
        <f>IFERROR(__xludf.DUMMYFUNCTION("""COMPUTED_VALUE"""),"Pyongyang")</f>
        <v>Pyongyang</v>
      </c>
      <c r="B6927" s="120" t="str">
        <f>IFERROR(__xludf.DUMMYFUNCTION("""COMPUTED_VALUE"""),"FNJ")</f>
        <v>FNJ</v>
      </c>
      <c r="C6927" s="120" t="str">
        <f>IFERROR(__xludf.DUMMYFUNCTION("""COMPUTED_VALUE"""),"Sunan")</f>
        <v>Sunan</v>
      </c>
      <c r="D6927" s="120" t="str">
        <f>IFERROR(__xludf.DUMMYFUNCTION("""COMPUTED_VALUE"""),"Korea (North)")</f>
        <v>Korea (North)</v>
      </c>
      <c r="E6927" s="135"/>
      <c r="F6927" s="31"/>
    </row>
    <row r="6928">
      <c r="A6928" s="134" t="str">
        <f>IFERROR(__xludf.DUMMYFUNCTION("""COMPUTED_VALUE"""),"Pyrgos")</f>
        <v>Pyrgos</v>
      </c>
      <c r="B6928" s="120" t="str">
        <f>IFERROR(__xludf.DUMMYFUNCTION("""COMPUTED_VALUE"""),"PYR")</f>
        <v>PYR</v>
      </c>
      <c r="C6928" s="120" t="str">
        <f>IFERROR(__xludf.DUMMYFUNCTION("""COMPUTED_VALUE"""),"Andravida")</f>
        <v>Andravida</v>
      </c>
      <c r="D6928" s="120" t="str">
        <f>IFERROR(__xludf.DUMMYFUNCTION("""COMPUTED_VALUE"""),"Greece")</f>
        <v>Greece</v>
      </c>
      <c r="E6928" s="135"/>
      <c r="F6928" s="31"/>
    </row>
    <row r="6929">
      <c r="A6929" s="134" t="str">
        <f>IFERROR(__xludf.DUMMYFUNCTION("""COMPUTED_VALUE"""),"Qaanaaq")</f>
        <v>Qaanaaq</v>
      </c>
      <c r="B6929" s="120" t="str">
        <f>IFERROR(__xludf.DUMMYFUNCTION("""COMPUTED_VALUE"""),"NAQ")</f>
        <v>NAQ</v>
      </c>
      <c r="C6929" s="120" t="str">
        <f>IFERROR(__xludf.DUMMYFUNCTION("""COMPUTED_VALUE"""),"Qaanaaq")</f>
        <v>Qaanaaq</v>
      </c>
      <c r="D6929" s="120" t="str">
        <f>IFERROR(__xludf.DUMMYFUNCTION("""COMPUTED_VALUE"""),"Greenland")</f>
        <v>Greenland</v>
      </c>
      <c r="E6929" s="135"/>
      <c r="F6929" s="31"/>
    </row>
    <row r="6930">
      <c r="A6930" s="134" t="str">
        <f>IFERROR(__xludf.DUMMYFUNCTION("""COMPUTED_VALUE"""),"Qaarsut")</f>
        <v>Qaarsut</v>
      </c>
      <c r="B6930" s="120" t="str">
        <f>IFERROR(__xludf.DUMMYFUNCTION("""COMPUTED_VALUE"""),"JQA")</f>
        <v>JQA</v>
      </c>
      <c r="C6930" s="120" t="str">
        <f>IFERROR(__xludf.DUMMYFUNCTION("""COMPUTED_VALUE"""),"Qaarsut")</f>
        <v>Qaarsut</v>
      </c>
      <c r="D6930" s="120" t="str">
        <f>IFERROR(__xludf.DUMMYFUNCTION("""COMPUTED_VALUE"""),"Greenland")</f>
        <v>Greenland</v>
      </c>
      <c r="E6930" s="135"/>
      <c r="F6930" s="31"/>
    </row>
    <row r="6931">
      <c r="A6931" s="134" t="str">
        <f>IFERROR(__xludf.DUMMYFUNCTION("""COMPUTED_VALUE"""),"Qachas Nek")</f>
        <v>Qachas Nek</v>
      </c>
      <c r="B6931" s="120" t="str">
        <f>IFERROR(__xludf.DUMMYFUNCTION("""COMPUTED_VALUE"""),"UNE")</f>
        <v>UNE</v>
      </c>
      <c r="C6931" s="120" t="str">
        <f>IFERROR(__xludf.DUMMYFUNCTION("""COMPUTED_VALUE"""),"Qachas Nek")</f>
        <v>Qachas Nek</v>
      </c>
      <c r="D6931" s="120" t="str">
        <f>IFERROR(__xludf.DUMMYFUNCTION("""COMPUTED_VALUE"""),"Lesotho")</f>
        <v>Lesotho</v>
      </c>
      <c r="E6931" s="135"/>
      <c r="F6931" s="31"/>
    </row>
    <row r="6932">
      <c r="A6932" s="134" t="str">
        <f>IFERROR(__xludf.DUMMYFUNCTION("""COMPUTED_VALUE"""),"Qaisumah")</f>
        <v>Qaisumah</v>
      </c>
      <c r="B6932" s="120" t="str">
        <f>IFERROR(__xludf.DUMMYFUNCTION("""COMPUTED_VALUE"""),"AQI")</f>
        <v>AQI</v>
      </c>
      <c r="C6932" s="120" t="str">
        <f>IFERROR(__xludf.DUMMYFUNCTION("""COMPUTED_VALUE"""),"Qaisumah")</f>
        <v>Qaisumah</v>
      </c>
      <c r="D6932" s="120" t="str">
        <f>IFERROR(__xludf.DUMMYFUNCTION("""COMPUTED_VALUE"""),"Saudi Arabia")</f>
        <v>Saudi Arabia</v>
      </c>
      <c r="E6932" s="135"/>
      <c r="F6932" s="31"/>
    </row>
    <row r="6933">
      <c r="A6933" s="134" t="str">
        <f>IFERROR(__xludf.DUMMYFUNCTION("""COMPUTED_VALUE"""),"Qala Nau")</f>
        <v>Qala Nau</v>
      </c>
      <c r="B6933" s="120" t="str">
        <f>IFERROR(__xludf.DUMMYFUNCTION("""COMPUTED_VALUE"""),"LQN")</f>
        <v>LQN</v>
      </c>
      <c r="C6933" s="120" t="str">
        <f>IFERROR(__xludf.DUMMYFUNCTION("""COMPUTED_VALUE"""),"Qala Nau")</f>
        <v>Qala Nau</v>
      </c>
      <c r="D6933" s="120" t="str">
        <f>IFERROR(__xludf.DUMMYFUNCTION("""COMPUTED_VALUE"""),"Afghanistan")</f>
        <v>Afghanistan</v>
      </c>
      <c r="E6933" s="135"/>
      <c r="F6933" s="31"/>
    </row>
    <row r="6934">
      <c r="A6934" s="134" t="str">
        <f>IFERROR(__xludf.DUMMYFUNCTION("""COMPUTED_VALUE"""),"Qaqortoq")</f>
        <v>Qaqortoq</v>
      </c>
      <c r="B6934" s="120" t="str">
        <f>IFERROR(__xludf.DUMMYFUNCTION("""COMPUTED_VALUE"""),"JJU")</f>
        <v>JJU</v>
      </c>
      <c r="C6934" s="120" t="str">
        <f>IFERROR(__xludf.DUMMYFUNCTION("""COMPUTED_VALUE"""),"Heliport")</f>
        <v>Heliport</v>
      </c>
      <c r="D6934" s="120" t="str">
        <f>IFERROR(__xludf.DUMMYFUNCTION("""COMPUTED_VALUE"""),"Greenland")</f>
        <v>Greenland</v>
      </c>
      <c r="E6934" s="135"/>
      <c r="F6934" s="31"/>
    </row>
    <row r="6935">
      <c r="A6935" s="134" t="str">
        <f>IFERROR(__xludf.DUMMYFUNCTION("""COMPUTED_VALUE"""),"Qasigiannguit")</f>
        <v>Qasigiannguit</v>
      </c>
      <c r="B6935" s="120" t="str">
        <f>IFERROR(__xludf.DUMMYFUNCTION("""COMPUTED_VALUE"""),"JCH")</f>
        <v>JCH</v>
      </c>
      <c r="C6935" s="120" t="str">
        <f>IFERROR(__xludf.DUMMYFUNCTION("""COMPUTED_VALUE"""),"Qasigiannguit")</f>
        <v>Qasigiannguit</v>
      </c>
      <c r="D6935" s="120" t="str">
        <f>IFERROR(__xludf.DUMMYFUNCTION("""COMPUTED_VALUE"""),"Greenland")</f>
        <v>Greenland</v>
      </c>
      <c r="E6935" s="135"/>
      <c r="F6935" s="31"/>
    </row>
    <row r="6936">
      <c r="A6936" s="134" t="str">
        <f>IFERROR(__xludf.DUMMYFUNCTION("""COMPUTED_VALUE"""),"Qeqertaq")</f>
        <v>Qeqertaq</v>
      </c>
      <c r="B6936" s="120" t="str">
        <f>IFERROR(__xludf.DUMMYFUNCTION("""COMPUTED_VALUE"""),"PQT")</f>
        <v>PQT</v>
      </c>
      <c r="C6936" s="120" t="str">
        <f>IFERROR(__xludf.DUMMYFUNCTION("""COMPUTED_VALUE"""),"Heliport")</f>
        <v>Heliport</v>
      </c>
      <c r="D6936" s="120" t="str">
        <f>IFERROR(__xludf.DUMMYFUNCTION("""COMPUTED_VALUE"""),"Denmark")</f>
        <v>Denmark</v>
      </c>
      <c r="E6936" s="135"/>
      <c r="F6936" s="31"/>
    </row>
    <row r="6937">
      <c r="A6937" s="134" t="str">
        <f>IFERROR(__xludf.DUMMYFUNCTION("""COMPUTED_VALUE"""),"Qeqertarsuaq")</f>
        <v>Qeqertarsuaq</v>
      </c>
      <c r="B6937" s="120" t="str">
        <f>IFERROR(__xludf.DUMMYFUNCTION("""COMPUTED_VALUE"""),"JGO")</f>
        <v>JGO</v>
      </c>
      <c r="C6937" s="120" t="str">
        <f>IFERROR(__xludf.DUMMYFUNCTION("""COMPUTED_VALUE"""),"Qeqertarsuaq")</f>
        <v>Qeqertarsuaq</v>
      </c>
      <c r="D6937" s="120" t="str">
        <f>IFERROR(__xludf.DUMMYFUNCTION("""COMPUTED_VALUE"""),"Greenland")</f>
        <v>Greenland</v>
      </c>
      <c r="E6937" s="135"/>
      <c r="F6937" s="31"/>
    </row>
    <row r="6938">
      <c r="A6938" s="134" t="str">
        <f>IFERROR(__xludf.DUMMYFUNCTION("""COMPUTED_VALUE"""),"Qiemo")</f>
        <v>Qiemo</v>
      </c>
      <c r="B6938" s="120" t="str">
        <f>IFERROR(__xludf.DUMMYFUNCTION("""COMPUTED_VALUE"""),"IQM")</f>
        <v>IQM</v>
      </c>
      <c r="C6938" s="120" t="str">
        <f>IFERROR(__xludf.DUMMYFUNCTION("""COMPUTED_VALUE"""),"Qiemo")</f>
        <v>Qiemo</v>
      </c>
      <c r="D6938" s="120" t="str">
        <f>IFERROR(__xludf.DUMMYFUNCTION("""COMPUTED_VALUE"""),"China")</f>
        <v>China</v>
      </c>
      <c r="E6938" s="135"/>
      <c r="F6938" s="31"/>
    </row>
    <row r="6939">
      <c r="A6939" s="134" t="str">
        <f>IFERROR(__xludf.DUMMYFUNCTION("""COMPUTED_VALUE"""),"Qikiqtarjuaq")</f>
        <v>Qikiqtarjuaq</v>
      </c>
      <c r="B6939" s="120" t="str">
        <f>IFERROR(__xludf.DUMMYFUNCTION("""COMPUTED_VALUE"""),"YVM")</f>
        <v>YVM</v>
      </c>
      <c r="C6939" s="120" t="str">
        <f>IFERROR(__xludf.DUMMYFUNCTION("""COMPUTED_VALUE"""),"Qikiqtarjuaq")</f>
        <v>Qikiqtarjuaq</v>
      </c>
      <c r="D6939" s="120" t="str">
        <f>IFERROR(__xludf.DUMMYFUNCTION("""COMPUTED_VALUE"""),"Canada")</f>
        <v>Canada</v>
      </c>
      <c r="E6939" s="135"/>
      <c r="F6939" s="31"/>
    </row>
    <row r="6940">
      <c r="A6940" s="134" t="str">
        <f>IFERROR(__xludf.DUMMYFUNCTION("""COMPUTED_VALUE"""),"Qingdao")</f>
        <v>Qingdao</v>
      </c>
      <c r="B6940" s="120" t="str">
        <f>IFERROR(__xludf.DUMMYFUNCTION("""COMPUTED_VALUE"""),"TAO")</f>
        <v>TAO</v>
      </c>
      <c r="C6940" s="120" t="str">
        <f>IFERROR(__xludf.DUMMYFUNCTION("""COMPUTED_VALUE"""),"Qingdao")</f>
        <v>Qingdao</v>
      </c>
      <c r="D6940" s="120" t="str">
        <f>IFERROR(__xludf.DUMMYFUNCTION("""COMPUTED_VALUE"""),"China")</f>
        <v>China</v>
      </c>
      <c r="E6940" s="135"/>
      <c r="F6940" s="31"/>
    </row>
    <row r="6941">
      <c r="A6941" s="134" t="str">
        <f>IFERROR(__xludf.DUMMYFUNCTION("""COMPUTED_VALUE"""),"Qingyang")</f>
        <v>Qingyang</v>
      </c>
      <c r="B6941" s="120" t="str">
        <f>IFERROR(__xludf.DUMMYFUNCTION("""COMPUTED_VALUE"""),"IQN")</f>
        <v>IQN</v>
      </c>
      <c r="C6941" s="120" t="str">
        <f>IFERROR(__xludf.DUMMYFUNCTION("""COMPUTED_VALUE"""),"Qingyang")</f>
        <v>Qingyang</v>
      </c>
      <c r="D6941" s="120" t="str">
        <f>IFERROR(__xludf.DUMMYFUNCTION("""COMPUTED_VALUE"""),"China")</f>
        <v>China</v>
      </c>
      <c r="E6941" s="135"/>
      <c r="F6941" s="31"/>
    </row>
    <row r="6942">
      <c r="A6942" s="134" t="str">
        <f>IFERROR(__xludf.DUMMYFUNCTION("""COMPUTED_VALUE"""),"Qinhuangdao")</f>
        <v>Qinhuangdao</v>
      </c>
      <c r="B6942" s="120" t="str">
        <f>IFERROR(__xludf.DUMMYFUNCTION("""COMPUTED_VALUE"""),"SHP")</f>
        <v>SHP</v>
      </c>
      <c r="C6942" s="120" t="str">
        <f>IFERROR(__xludf.DUMMYFUNCTION("""COMPUTED_VALUE"""),"Qinhuangdao")</f>
        <v>Qinhuangdao</v>
      </c>
      <c r="D6942" s="120" t="str">
        <f>IFERROR(__xludf.DUMMYFUNCTION("""COMPUTED_VALUE"""),"China")</f>
        <v>China</v>
      </c>
      <c r="E6942" s="135"/>
      <c r="F6942" s="31"/>
    </row>
    <row r="6943">
      <c r="A6943" s="134" t="str">
        <f>IFERROR(__xludf.DUMMYFUNCTION("""COMPUTED_VALUE"""),"Qiqihar")</f>
        <v>Qiqihar</v>
      </c>
      <c r="B6943" s="120" t="str">
        <f>IFERROR(__xludf.DUMMYFUNCTION("""COMPUTED_VALUE"""),"NDG")</f>
        <v>NDG</v>
      </c>
      <c r="C6943" s="120" t="str">
        <f>IFERROR(__xludf.DUMMYFUNCTION("""COMPUTED_VALUE"""),"Qiqihar")</f>
        <v>Qiqihar</v>
      </c>
      <c r="D6943" s="120" t="str">
        <f>IFERROR(__xludf.DUMMYFUNCTION("""COMPUTED_VALUE"""),"China")</f>
        <v>China</v>
      </c>
      <c r="E6943" s="135"/>
      <c r="F6943" s="31"/>
    </row>
    <row r="6944">
      <c r="A6944" s="134" t="str">
        <f>IFERROR(__xludf.DUMMYFUNCTION("""COMPUTED_VALUE"""),"Qishn")</f>
        <v>Qishn</v>
      </c>
      <c r="B6944" s="120" t="str">
        <f>IFERROR(__xludf.DUMMYFUNCTION("""COMPUTED_VALUE"""),"IHN")</f>
        <v>IHN</v>
      </c>
      <c r="C6944" s="120" t="str">
        <f>IFERROR(__xludf.DUMMYFUNCTION("""COMPUTED_VALUE"""),"Qishn")</f>
        <v>Qishn</v>
      </c>
      <c r="D6944" s="120" t="str">
        <f>IFERROR(__xludf.DUMMYFUNCTION("""COMPUTED_VALUE"""),"Yemen")</f>
        <v>Yemen</v>
      </c>
      <c r="E6944" s="135"/>
      <c r="F6944" s="31"/>
    </row>
    <row r="6945">
      <c r="A6945" s="134" t="str">
        <f>IFERROR(__xludf.DUMMYFUNCTION("""COMPUTED_VALUE"""),"Quakertown")</f>
        <v>Quakertown</v>
      </c>
      <c r="B6945" s="120" t="str">
        <f>IFERROR(__xludf.DUMMYFUNCTION("""COMPUTED_VALUE"""),"UKT")</f>
        <v>UKT</v>
      </c>
      <c r="C6945" s="120" t="str">
        <f>IFERROR(__xludf.DUMMYFUNCTION("""COMPUTED_VALUE"""),"Upper Bucks")</f>
        <v>Upper Bucks</v>
      </c>
      <c r="D6945" s="120" t="str">
        <f>IFERROR(__xludf.DUMMYFUNCTION("""COMPUTED_VALUE"""),"United States")</f>
        <v>United States</v>
      </c>
      <c r="E6945" s="135"/>
      <c r="F6945" s="31"/>
    </row>
    <row r="6946">
      <c r="A6946" s="134" t="str">
        <f>IFERROR(__xludf.DUMMYFUNCTION("""COMPUTED_VALUE"""),"Qualicum")</f>
        <v>Qualicum</v>
      </c>
      <c r="B6946" s="120" t="str">
        <f>IFERROR(__xludf.DUMMYFUNCTION("""COMPUTED_VALUE"""),"XQU")</f>
        <v>XQU</v>
      </c>
      <c r="C6946" s="120" t="str">
        <f>IFERROR(__xludf.DUMMYFUNCTION("""COMPUTED_VALUE"""),"Qualicum")</f>
        <v>Qualicum</v>
      </c>
      <c r="D6946" s="120" t="str">
        <f>IFERROR(__xludf.DUMMYFUNCTION("""COMPUTED_VALUE"""),"Canada")</f>
        <v>Canada</v>
      </c>
      <c r="E6946" s="135"/>
      <c r="F6946" s="31"/>
    </row>
    <row r="6947">
      <c r="A6947" s="134" t="str">
        <f>IFERROR(__xludf.DUMMYFUNCTION("""COMPUTED_VALUE"""),"Quanduc")</f>
        <v>Quanduc</v>
      </c>
      <c r="B6947" s="120" t="str">
        <f>IFERROR(__xludf.DUMMYFUNCTION("""COMPUTED_VALUE"""),"HOO")</f>
        <v>HOO</v>
      </c>
      <c r="C6947" s="120" t="str">
        <f>IFERROR(__xludf.DUMMYFUNCTION("""COMPUTED_VALUE"""),"Nhon Co")</f>
        <v>Nhon Co</v>
      </c>
      <c r="D6947" s="120" t="str">
        <f>IFERROR(__xludf.DUMMYFUNCTION("""COMPUTED_VALUE"""),"Vietnam")</f>
        <v>Vietnam</v>
      </c>
      <c r="E6947" s="135"/>
      <c r="F6947" s="31"/>
    </row>
    <row r="6948">
      <c r="A6948" s="134" t="str">
        <f>IFERROR(__xludf.DUMMYFUNCTION("""COMPUTED_VALUE"""),"Quang Ngai")</f>
        <v>Quang Ngai</v>
      </c>
      <c r="B6948" s="120" t="str">
        <f>IFERROR(__xludf.DUMMYFUNCTION("""COMPUTED_VALUE"""),"XNG")</f>
        <v>XNG</v>
      </c>
      <c r="C6948" s="120" t="str">
        <f>IFERROR(__xludf.DUMMYFUNCTION("""COMPUTED_VALUE"""),"Quang Ngai")</f>
        <v>Quang Ngai</v>
      </c>
      <c r="D6948" s="120" t="str">
        <f>IFERROR(__xludf.DUMMYFUNCTION("""COMPUTED_VALUE"""),"Vietnam")</f>
        <v>Vietnam</v>
      </c>
      <c r="E6948" s="135"/>
      <c r="F6948" s="31"/>
    </row>
    <row r="6949">
      <c r="A6949" s="134" t="str">
        <f>IFERROR(__xludf.DUMMYFUNCTION("""COMPUTED_VALUE"""),"Quantico")</f>
        <v>Quantico</v>
      </c>
      <c r="B6949" s="120" t="str">
        <f>IFERROR(__xludf.DUMMYFUNCTION("""COMPUTED_VALUE"""),"NYG")</f>
        <v>NYG</v>
      </c>
      <c r="C6949" s="120" t="str">
        <f>IFERROR(__xludf.DUMMYFUNCTION("""COMPUTED_VALUE"""),"Quantanico Nas")</f>
        <v>Quantanico Nas</v>
      </c>
      <c r="D6949" s="120" t="str">
        <f>IFERROR(__xludf.DUMMYFUNCTION("""COMPUTED_VALUE"""),"United States")</f>
        <v>United States</v>
      </c>
      <c r="E6949" s="135"/>
      <c r="F6949" s="31"/>
    </row>
    <row r="6950">
      <c r="A6950" s="134" t="str">
        <f>IFERROR(__xludf.DUMMYFUNCTION("""COMPUTED_VALUE"""),"Quaqtaq")</f>
        <v>Quaqtaq</v>
      </c>
      <c r="B6950" s="120" t="str">
        <f>IFERROR(__xludf.DUMMYFUNCTION("""COMPUTED_VALUE"""),"YQC")</f>
        <v>YQC</v>
      </c>
      <c r="C6950" s="120" t="str">
        <f>IFERROR(__xludf.DUMMYFUNCTION("""COMPUTED_VALUE"""),"Quaqtaq")</f>
        <v>Quaqtaq</v>
      </c>
      <c r="D6950" s="120" t="str">
        <f>IFERROR(__xludf.DUMMYFUNCTION("""COMPUTED_VALUE"""),"Canada")</f>
        <v>Canada</v>
      </c>
      <c r="E6950" s="135"/>
      <c r="F6950" s="31"/>
    </row>
    <row r="6951">
      <c r="A6951" s="134" t="str">
        <f>IFERROR(__xludf.DUMMYFUNCTION("""COMPUTED_VALUE"""),"Québec City")</f>
        <v>Québec City</v>
      </c>
      <c r="B6951" s="120" t="str">
        <f>IFERROR(__xludf.DUMMYFUNCTION("""COMPUTED_VALUE"""),"YQB")</f>
        <v>YQB</v>
      </c>
      <c r="C6951" s="120" t="str">
        <f>IFERROR(__xludf.DUMMYFUNCTION("""COMPUTED_VALUE"""),"Québec")</f>
        <v>Québec</v>
      </c>
      <c r="D6951" s="120" t="str">
        <f>IFERROR(__xludf.DUMMYFUNCTION("""COMPUTED_VALUE"""),"Canada")</f>
        <v>Canada</v>
      </c>
      <c r="E6951" s="135"/>
      <c r="F6951" s="31"/>
    </row>
    <row r="6952">
      <c r="A6952" s="134" t="str">
        <f>IFERROR(__xludf.DUMMYFUNCTION("""COMPUTED_VALUE"""),"Quebec")</f>
        <v>Quebec</v>
      </c>
      <c r="B6952" s="120" t="str">
        <f>IFERROR(__xludf.DUMMYFUNCTION("""COMPUTED_VALUE"""),"XFZ")</f>
        <v>XFZ</v>
      </c>
      <c r="C6952" s="120" t="str">
        <f>IFERROR(__xludf.DUMMYFUNCTION("""COMPUTED_VALUE"""),"Charny")</f>
        <v>Charny</v>
      </c>
      <c r="D6952" s="120" t="str">
        <f>IFERROR(__xludf.DUMMYFUNCTION("""COMPUTED_VALUE"""),"Canada")</f>
        <v>Canada</v>
      </c>
      <c r="E6952" s="135"/>
      <c r="F6952" s="31"/>
    </row>
    <row r="6953">
      <c r="A6953" s="134" t="str">
        <f>IFERROR(__xludf.DUMMYFUNCTION("""COMPUTED_VALUE"""),"Quebec")</f>
        <v>Quebec</v>
      </c>
      <c r="B6953" s="120" t="str">
        <f>IFERROR(__xludf.DUMMYFUNCTION("""COMPUTED_VALUE"""),"XLJ")</f>
        <v>XLJ</v>
      </c>
      <c r="C6953" s="120" t="str">
        <f>IFERROR(__xludf.DUMMYFUNCTION("""COMPUTED_VALUE"""),"Quebec Stn. Rail Svce.")</f>
        <v>Quebec Stn. Rail Svce.</v>
      </c>
      <c r="D6953" s="120" t="str">
        <f>IFERROR(__xludf.DUMMYFUNCTION("""COMPUTED_VALUE"""),"Canada")</f>
        <v>Canada</v>
      </c>
      <c r="E6953" s="135"/>
      <c r="F6953" s="31"/>
    </row>
    <row r="6954">
      <c r="A6954" s="134" t="str">
        <f>IFERROR(__xludf.DUMMYFUNCTION("""COMPUTED_VALUE"""),"Quebec")</f>
        <v>Quebec</v>
      </c>
      <c r="B6954" s="120" t="str">
        <f>IFERROR(__xludf.DUMMYFUNCTION("""COMPUTED_VALUE"""),"XFY")</f>
        <v>XFY</v>
      </c>
      <c r="C6954" s="120" t="str">
        <f>IFERROR(__xludf.DUMMYFUNCTION("""COMPUTED_VALUE"""),"Sainte-Foy Rail Svce.")</f>
        <v>Sainte-Foy Rail Svce.</v>
      </c>
      <c r="D6954" s="120" t="str">
        <f>IFERROR(__xludf.DUMMYFUNCTION("""COMPUTED_VALUE"""),"Canada")</f>
        <v>Canada</v>
      </c>
      <c r="E6954" s="135"/>
      <c r="F6954" s="31"/>
    </row>
    <row r="6955">
      <c r="A6955" s="134" t="str">
        <f>IFERROR(__xludf.DUMMYFUNCTION("""COMPUTED_VALUE"""),"Queen")</f>
        <v>Queen</v>
      </c>
      <c r="B6955" s="120" t="str">
        <f>IFERROR(__xludf.DUMMYFUNCTION("""COMPUTED_VALUE"""),"UQE")</f>
        <v>UQE</v>
      </c>
      <c r="C6955" s="120" t="str">
        <f>IFERROR(__xludf.DUMMYFUNCTION("""COMPUTED_VALUE"""),"Queen")</f>
        <v>Queen</v>
      </c>
      <c r="D6955" s="120" t="str">
        <f>IFERROR(__xludf.DUMMYFUNCTION("""COMPUTED_VALUE"""),"United States")</f>
        <v>United States</v>
      </c>
      <c r="E6955" s="135"/>
      <c r="F6955" s="31"/>
    </row>
    <row r="6956">
      <c r="A6956" s="134" t="str">
        <f>IFERROR(__xludf.DUMMYFUNCTION("""COMPUTED_VALUE"""),"Queen Charlotte Is")</f>
        <v>Queen Charlotte Is</v>
      </c>
      <c r="B6956" s="120" t="str">
        <f>IFERROR(__xludf.DUMMYFUNCTION("""COMPUTED_VALUE"""),"ZQS")</f>
        <v>ZQS</v>
      </c>
      <c r="C6956" s="120" t="str">
        <f>IFERROR(__xludf.DUMMYFUNCTION("""COMPUTED_VALUE"""),"Queen Charlotte Is")</f>
        <v>Queen Charlotte Is</v>
      </c>
      <c r="D6956" s="120" t="str">
        <f>IFERROR(__xludf.DUMMYFUNCTION("""COMPUTED_VALUE"""),"Canada")</f>
        <v>Canada</v>
      </c>
      <c r="E6956" s="135"/>
      <c r="F6956" s="31"/>
    </row>
    <row r="6957">
      <c r="A6957" s="134" t="str">
        <f>IFERROR(__xludf.DUMMYFUNCTION("""COMPUTED_VALUE"""),"Queenstown")</f>
        <v>Queenstown</v>
      </c>
      <c r="B6957" s="120" t="str">
        <f>IFERROR(__xludf.DUMMYFUNCTION("""COMPUTED_VALUE"""),"ZQN")</f>
        <v>ZQN</v>
      </c>
      <c r="C6957" s="120" t="str">
        <f>IFERROR(__xludf.DUMMYFUNCTION("""COMPUTED_VALUE"""),"Frankton")</f>
        <v>Frankton</v>
      </c>
      <c r="D6957" s="120" t="str">
        <f>IFERROR(__xludf.DUMMYFUNCTION("""COMPUTED_VALUE"""),"New Zealand (Aotearoa)")</f>
        <v>New Zealand (Aotearoa)</v>
      </c>
      <c r="E6957" s="135"/>
      <c r="F6957" s="31"/>
    </row>
    <row r="6958">
      <c r="A6958" s="134" t="str">
        <f>IFERROR(__xludf.DUMMYFUNCTION("""COMPUTED_VALUE"""),"Queenstown")</f>
        <v>Queenstown</v>
      </c>
      <c r="B6958" s="120" t="str">
        <f>IFERROR(__xludf.DUMMYFUNCTION("""COMPUTED_VALUE"""),"UEE")</f>
        <v>UEE</v>
      </c>
      <c r="C6958" s="120" t="str">
        <f>IFERROR(__xludf.DUMMYFUNCTION("""COMPUTED_VALUE"""),"Queenstown")</f>
        <v>Queenstown</v>
      </c>
      <c r="D6958" s="120" t="str">
        <f>IFERROR(__xludf.DUMMYFUNCTION("""COMPUTED_VALUE"""),"Australia")</f>
        <v>Australia</v>
      </c>
      <c r="E6958" s="135"/>
      <c r="F6958" s="31"/>
    </row>
    <row r="6959">
      <c r="A6959" s="134" t="str">
        <f>IFERROR(__xludf.DUMMYFUNCTION("""COMPUTED_VALUE"""),"Queenstown")</f>
        <v>Queenstown</v>
      </c>
      <c r="B6959" s="120" t="str">
        <f>IFERROR(__xludf.DUMMYFUNCTION("""COMPUTED_VALUE"""),"UTW")</f>
        <v>UTW</v>
      </c>
      <c r="C6959" s="120" t="str">
        <f>IFERROR(__xludf.DUMMYFUNCTION("""COMPUTED_VALUE"""),"Queenstown")</f>
        <v>Queenstown</v>
      </c>
      <c r="D6959" s="120" t="str">
        <f>IFERROR(__xludf.DUMMYFUNCTION("""COMPUTED_VALUE"""),"South Africa")</f>
        <v>South Africa</v>
      </c>
      <c r="E6959" s="135"/>
      <c r="F6959" s="31"/>
    </row>
    <row r="6960">
      <c r="A6960" s="134" t="str">
        <f>IFERROR(__xludf.DUMMYFUNCTION("""COMPUTED_VALUE"""),"Quelimane")</f>
        <v>Quelimane</v>
      </c>
      <c r="B6960" s="120" t="str">
        <f>IFERROR(__xludf.DUMMYFUNCTION("""COMPUTED_VALUE"""),"UEL")</f>
        <v>UEL</v>
      </c>
      <c r="C6960" s="120" t="str">
        <f>IFERROR(__xludf.DUMMYFUNCTION("""COMPUTED_VALUE"""),"Quelimane")</f>
        <v>Quelimane</v>
      </c>
      <c r="D6960" s="120" t="str">
        <f>IFERROR(__xludf.DUMMYFUNCTION("""COMPUTED_VALUE"""),"Mozambique")</f>
        <v>Mozambique</v>
      </c>
      <c r="E6960" s="135"/>
      <c r="F6960" s="31"/>
    </row>
    <row r="6961">
      <c r="A6961" s="134" t="str">
        <f>IFERROR(__xludf.DUMMYFUNCTION("""COMPUTED_VALUE"""),"Pavones")</f>
        <v>Pavones</v>
      </c>
      <c r="B6961" s="120" t="str">
        <f>IFERROR(__xludf.DUMMYFUNCTION("""COMPUTED_VALUE"""),"XQP")</f>
        <v>XQP</v>
      </c>
      <c r="C6961" s="120" t="str">
        <f>IFERROR(__xludf.DUMMYFUNCTION("""COMPUTED_VALUE"""),"Quepos")</f>
        <v>Quepos</v>
      </c>
      <c r="D6961" s="120" t="str">
        <f>IFERROR(__xludf.DUMMYFUNCTION("""COMPUTED_VALUE"""),"Costa Rica")</f>
        <v>Costa Rica</v>
      </c>
      <c r="E6961" s="135"/>
      <c r="F6961" s="31"/>
    </row>
    <row r="6962">
      <c r="A6962" s="134" t="str">
        <f>IFERROR(__xludf.DUMMYFUNCTION("""COMPUTED_VALUE"""),"Queretaro")</f>
        <v>Queretaro</v>
      </c>
      <c r="B6962" s="120" t="str">
        <f>IFERROR(__xludf.DUMMYFUNCTION("""COMPUTED_VALUE"""),"QRO")</f>
        <v>QRO</v>
      </c>
      <c r="C6962" s="120" t="str">
        <f>IFERROR(__xludf.DUMMYFUNCTION("""COMPUTED_VALUE"""),"Queretaro")</f>
        <v>Queretaro</v>
      </c>
      <c r="D6962" s="120" t="str">
        <f>IFERROR(__xludf.DUMMYFUNCTION("""COMPUTED_VALUE"""),"Mexico")</f>
        <v>Mexico</v>
      </c>
      <c r="E6962" s="135"/>
      <c r="F6962" s="31"/>
    </row>
    <row r="6963">
      <c r="A6963" s="134" t="str">
        <f>IFERROR(__xludf.DUMMYFUNCTION("""COMPUTED_VALUE"""),"Quesnel")</f>
        <v>Quesnel</v>
      </c>
      <c r="B6963" s="120" t="str">
        <f>IFERROR(__xludf.DUMMYFUNCTION("""COMPUTED_VALUE"""),"YQZ")</f>
        <v>YQZ</v>
      </c>
      <c r="C6963" s="120" t="str">
        <f>IFERROR(__xludf.DUMMYFUNCTION("""COMPUTED_VALUE"""),"Quesnel")</f>
        <v>Quesnel</v>
      </c>
      <c r="D6963" s="120" t="str">
        <f>IFERROR(__xludf.DUMMYFUNCTION("""COMPUTED_VALUE"""),"Canada")</f>
        <v>Canada</v>
      </c>
      <c r="E6963" s="135"/>
      <c r="F6963" s="31"/>
    </row>
    <row r="6964">
      <c r="A6964" s="134" t="str">
        <f>IFERROR(__xludf.DUMMYFUNCTION("""COMPUTED_VALUE"""),"Quetta")</f>
        <v>Quetta</v>
      </c>
      <c r="B6964" s="120" t="str">
        <f>IFERROR(__xludf.DUMMYFUNCTION("""COMPUTED_VALUE"""),"UET")</f>
        <v>UET</v>
      </c>
      <c r="C6964" s="120" t="str">
        <f>IFERROR(__xludf.DUMMYFUNCTION("""COMPUTED_VALUE"""),"Quetta")</f>
        <v>Quetta</v>
      </c>
      <c r="D6964" s="120" t="str">
        <f>IFERROR(__xludf.DUMMYFUNCTION("""COMPUTED_VALUE"""),"Pakistan")</f>
        <v>Pakistan</v>
      </c>
      <c r="E6964" s="135"/>
      <c r="F6964" s="31"/>
    </row>
    <row r="6965">
      <c r="A6965" s="134" t="str">
        <f>IFERROR(__xludf.DUMMYFUNCTION("""COMPUTED_VALUE"""),"Quetzaltenango")</f>
        <v>Quetzaltenango</v>
      </c>
      <c r="B6965" s="120" t="str">
        <f>IFERROR(__xludf.DUMMYFUNCTION("""COMPUTED_VALUE"""),"AAZ")</f>
        <v>AAZ</v>
      </c>
      <c r="C6965" s="120" t="str">
        <f>IFERROR(__xludf.DUMMYFUNCTION("""COMPUTED_VALUE"""),"Quetzaltenango Airport")</f>
        <v>Quetzaltenango Airport</v>
      </c>
      <c r="D6965" s="120" t="str">
        <f>IFERROR(__xludf.DUMMYFUNCTION("""COMPUTED_VALUE"""),"Guatemala")</f>
        <v>Guatemala</v>
      </c>
      <c r="E6965" s="135"/>
      <c r="F6965" s="31"/>
    </row>
    <row r="6966">
      <c r="A6966" s="134" t="str">
        <f>IFERROR(__xludf.DUMMYFUNCTION("""COMPUTED_VALUE"""),"Qui Nhon")</f>
        <v>Qui Nhon</v>
      </c>
      <c r="B6966" s="120" t="str">
        <f>IFERROR(__xludf.DUMMYFUNCTION("""COMPUTED_VALUE"""),"UIH")</f>
        <v>UIH</v>
      </c>
      <c r="C6966" s="120" t="str">
        <f>IFERROR(__xludf.DUMMYFUNCTION("""COMPUTED_VALUE"""),"Qui Nhon")</f>
        <v>Qui Nhon</v>
      </c>
      <c r="D6966" s="120" t="str">
        <f>IFERROR(__xludf.DUMMYFUNCTION("""COMPUTED_VALUE"""),"Vietnam")</f>
        <v>Vietnam</v>
      </c>
      <c r="E6966" s="135"/>
      <c r="F6966" s="31"/>
    </row>
    <row r="6967">
      <c r="A6967" s="134" t="str">
        <f>IFERROR(__xludf.DUMMYFUNCTION("""COMPUTED_VALUE"""),"Quibdo")</f>
        <v>Quibdo</v>
      </c>
      <c r="B6967" s="120" t="str">
        <f>IFERROR(__xludf.DUMMYFUNCTION("""COMPUTED_VALUE"""),"UIB")</f>
        <v>UIB</v>
      </c>
      <c r="C6967" s="120" t="str">
        <f>IFERROR(__xludf.DUMMYFUNCTION("""COMPUTED_VALUE"""),"Quibdo")</f>
        <v>Quibdo</v>
      </c>
      <c r="D6967" s="120" t="str">
        <f>IFERROR(__xludf.DUMMYFUNCTION("""COMPUTED_VALUE"""),"Colombia")</f>
        <v>Colombia</v>
      </c>
      <c r="E6967" s="135"/>
      <c r="F6967" s="31"/>
    </row>
    <row r="6968">
      <c r="A6968" s="134" t="str">
        <f>IFERROR(__xludf.DUMMYFUNCTION("""COMPUTED_VALUE"""),"Quiche")</f>
        <v>Quiche</v>
      </c>
      <c r="B6968" s="120" t="str">
        <f>IFERROR(__xludf.DUMMYFUNCTION("""COMPUTED_VALUE"""),"AQB")</f>
        <v>AQB</v>
      </c>
      <c r="C6968" s="120" t="str">
        <f>IFERROR(__xludf.DUMMYFUNCTION("""COMPUTED_VALUE"""),"Quiche Airport")</f>
        <v>Quiche Airport</v>
      </c>
      <c r="D6968" s="120" t="str">
        <f>IFERROR(__xludf.DUMMYFUNCTION("""COMPUTED_VALUE"""),"Guatemala")</f>
        <v>Guatemala</v>
      </c>
      <c r="E6968" s="135"/>
      <c r="F6968" s="31"/>
    </row>
    <row r="6969">
      <c r="A6969" s="134" t="str">
        <f>IFERROR(__xludf.DUMMYFUNCTION("""COMPUTED_VALUE"""),"Quillayute")</f>
        <v>Quillayute</v>
      </c>
      <c r="B6969" s="120" t="str">
        <f>IFERROR(__xludf.DUMMYFUNCTION("""COMPUTED_VALUE"""),"UIL")</f>
        <v>UIL</v>
      </c>
      <c r="C6969" s="120" t="str">
        <f>IFERROR(__xludf.DUMMYFUNCTION("""COMPUTED_VALUE"""),"Quillayute State")</f>
        <v>Quillayute State</v>
      </c>
      <c r="D6969" s="120" t="str">
        <f>IFERROR(__xludf.DUMMYFUNCTION("""COMPUTED_VALUE"""),"United States")</f>
        <v>United States</v>
      </c>
      <c r="E6969" s="135"/>
      <c r="F6969" s="31"/>
    </row>
    <row r="6970">
      <c r="A6970" s="134" t="str">
        <f>IFERROR(__xludf.DUMMYFUNCTION("""COMPUTED_VALUE"""),"Quilpie")</f>
        <v>Quilpie</v>
      </c>
      <c r="B6970" s="120" t="str">
        <f>IFERROR(__xludf.DUMMYFUNCTION("""COMPUTED_VALUE"""),"ULP")</f>
        <v>ULP</v>
      </c>
      <c r="C6970" s="120" t="str">
        <f>IFERROR(__xludf.DUMMYFUNCTION("""COMPUTED_VALUE"""),"Quilpie")</f>
        <v>Quilpie</v>
      </c>
      <c r="D6970" s="120" t="str">
        <f>IFERROR(__xludf.DUMMYFUNCTION("""COMPUTED_VALUE"""),"Australia")</f>
        <v>Australia</v>
      </c>
      <c r="E6970" s="135"/>
      <c r="F6970" s="31"/>
    </row>
    <row r="6971">
      <c r="A6971" s="134" t="str">
        <f>IFERROR(__xludf.DUMMYFUNCTION("""COMPUTED_VALUE"""),"Quimper")</f>
        <v>Quimper</v>
      </c>
      <c r="B6971" s="120" t="str">
        <f>IFERROR(__xludf.DUMMYFUNCTION("""COMPUTED_VALUE"""),"UIP")</f>
        <v>UIP</v>
      </c>
      <c r="C6971" s="120" t="str">
        <f>IFERROR(__xludf.DUMMYFUNCTION("""COMPUTED_VALUE"""),"Pluguffan")</f>
        <v>Pluguffan</v>
      </c>
      <c r="D6971" s="120" t="str">
        <f>IFERROR(__xludf.DUMMYFUNCTION("""COMPUTED_VALUE"""),"France")</f>
        <v>France</v>
      </c>
      <c r="E6971" s="135"/>
      <c r="F6971" s="31"/>
    </row>
    <row r="6972">
      <c r="A6972" s="134" t="str">
        <f>IFERROR(__xludf.DUMMYFUNCTION("""COMPUTED_VALUE"""),"Quincemil")</f>
        <v>Quincemil</v>
      </c>
      <c r="B6972" s="120" t="str">
        <f>IFERROR(__xludf.DUMMYFUNCTION("""COMPUTED_VALUE"""),"UMI")</f>
        <v>UMI</v>
      </c>
      <c r="C6972" s="120" t="str">
        <f>IFERROR(__xludf.DUMMYFUNCTION("""COMPUTED_VALUE"""),"Quincemil")</f>
        <v>Quincemil</v>
      </c>
      <c r="D6972" s="120" t="str">
        <f>IFERROR(__xludf.DUMMYFUNCTION("""COMPUTED_VALUE"""),"Peru")</f>
        <v>Peru</v>
      </c>
      <c r="E6972" s="135"/>
      <c r="F6972" s="31"/>
    </row>
    <row r="6973">
      <c r="A6973" s="134" t="str">
        <f>IFERROR(__xludf.DUMMYFUNCTION("""COMPUTED_VALUE"""),"Quincy")</f>
        <v>Quincy</v>
      </c>
      <c r="B6973" s="120" t="str">
        <f>IFERROR(__xludf.DUMMYFUNCTION("""COMPUTED_VALUE"""),"UIN")</f>
        <v>UIN</v>
      </c>
      <c r="C6973" s="120" t="str">
        <f>IFERROR(__xludf.DUMMYFUNCTION("""COMPUTED_VALUE"""),"Municipal")</f>
        <v>Municipal</v>
      </c>
      <c r="D6973" s="120" t="str">
        <f>IFERROR(__xludf.DUMMYFUNCTION("""COMPUTED_VALUE"""),"United States")</f>
        <v>United States</v>
      </c>
      <c r="E6973" s="135"/>
      <c r="F6973" s="31"/>
    </row>
    <row r="6974">
      <c r="A6974" s="134" t="str">
        <f>IFERROR(__xludf.DUMMYFUNCTION("""COMPUTED_VALUE"""),"Quincy")</f>
        <v>Quincy</v>
      </c>
      <c r="B6974" s="120" t="str">
        <f>IFERROR(__xludf.DUMMYFUNCTION("""COMPUTED_VALUE"""),"MQI")</f>
        <v>MQI</v>
      </c>
      <c r="C6974" s="120" t="str">
        <f>IFERROR(__xludf.DUMMYFUNCTION("""COMPUTED_VALUE"""),"Quincy")</f>
        <v>Quincy</v>
      </c>
      <c r="D6974" s="120" t="str">
        <f>IFERROR(__xludf.DUMMYFUNCTION("""COMPUTED_VALUE"""),"United States")</f>
        <v>United States</v>
      </c>
      <c r="E6974" s="135"/>
      <c r="F6974" s="31"/>
    </row>
    <row r="6975">
      <c r="A6975" s="134" t="str">
        <f>IFERROR(__xludf.DUMMYFUNCTION("""COMPUTED_VALUE"""),"Quine Hill")</f>
        <v>Quine Hill</v>
      </c>
      <c r="B6975" s="120" t="str">
        <f>IFERROR(__xludf.DUMMYFUNCTION("""COMPUTED_VALUE"""),"UIQ")</f>
        <v>UIQ</v>
      </c>
      <c r="C6975" s="120" t="str">
        <f>IFERROR(__xludf.DUMMYFUNCTION("""COMPUTED_VALUE"""),"Quine Hill")</f>
        <v>Quine Hill</v>
      </c>
      <c r="D6975" s="120" t="str">
        <f>IFERROR(__xludf.DUMMYFUNCTION("""COMPUTED_VALUE"""),"Vanuatu")</f>
        <v>Vanuatu</v>
      </c>
      <c r="E6975" s="135"/>
      <c r="F6975" s="31"/>
    </row>
    <row r="6976">
      <c r="A6976" s="134" t="str">
        <f>IFERROR(__xludf.DUMMYFUNCTION("""COMPUTED_VALUE"""),"Quinhagak")</f>
        <v>Quinhagak</v>
      </c>
      <c r="B6976" s="120" t="str">
        <f>IFERROR(__xludf.DUMMYFUNCTION("""COMPUTED_VALUE"""),"KWN")</f>
        <v>KWN</v>
      </c>
      <c r="C6976" s="120" t="str">
        <f>IFERROR(__xludf.DUMMYFUNCTION("""COMPUTED_VALUE"""),"Kwinhagak")</f>
        <v>Kwinhagak</v>
      </c>
      <c r="D6976" s="120" t="str">
        <f>IFERROR(__xludf.DUMMYFUNCTION("""COMPUTED_VALUE"""),"United States")</f>
        <v>United States</v>
      </c>
      <c r="E6976" s="135"/>
      <c r="F6976" s="31"/>
    </row>
    <row r="6977">
      <c r="A6977" s="134" t="str">
        <f>IFERROR(__xludf.DUMMYFUNCTION("""COMPUTED_VALUE"""),"Quirindi")</f>
        <v>Quirindi</v>
      </c>
      <c r="B6977" s="120" t="str">
        <f>IFERROR(__xludf.DUMMYFUNCTION("""COMPUTED_VALUE"""),"UIR")</f>
        <v>UIR</v>
      </c>
      <c r="C6977" s="120" t="str">
        <f>IFERROR(__xludf.DUMMYFUNCTION("""COMPUTED_VALUE"""),"Quirindi")</f>
        <v>Quirindi</v>
      </c>
      <c r="D6977" s="120" t="str">
        <f>IFERROR(__xludf.DUMMYFUNCTION("""COMPUTED_VALUE"""),"Australia")</f>
        <v>Australia</v>
      </c>
      <c r="E6977" s="135"/>
      <c r="F6977" s="31"/>
    </row>
    <row r="6978">
      <c r="A6978" s="134" t="str">
        <f>IFERROR(__xludf.DUMMYFUNCTION("""COMPUTED_VALUE"""),"Quito")</f>
        <v>Quito</v>
      </c>
      <c r="B6978" s="120" t="str">
        <f>IFERROR(__xludf.DUMMYFUNCTION("""COMPUTED_VALUE"""),"UIO")</f>
        <v>UIO</v>
      </c>
      <c r="C6978" s="120" t="str">
        <f>IFERROR(__xludf.DUMMYFUNCTION("""COMPUTED_VALUE"""),"Mariscal Sucr")</f>
        <v>Mariscal Sucr</v>
      </c>
      <c r="D6978" s="120" t="str">
        <f>IFERROR(__xludf.DUMMYFUNCTION("""COMPUTED_VALUE"""),"Ecuador")</f>
        <v>Ecuador</v>
      </c>
      <c r="E6978" s="135"/>
      <c r="F6978" s="31"/>
    </row>
    <row r="6979">
      <c r="A6979" s="134" t="str">
        <f>IFERROR(__xludf.DUMMYFUNCTION("""COMPUTED_VALUE"""),"Quonset Point")</f>
        <v>Quonset Point</v>
      </c>
      <c r="B6979" s="120" t="str">
        <f>IFERROR(__xludf.DUMMYFUNCTION("""COMPUTED_VALUE"""),"NCO")</f>
        <v>NCO</v>
      </c>
      <c r="C6979" s="120" t="str">
        <f>IFERROR(__xludf.DUMMYFUNCTION("""COMPUTED_VALUE"""),"NAS")</f>
        <v>NAS</v>
      </c>
      <c r="D6979" s="120" t="str">
        <f>IFERROR(__xludf.DUMMYFUNCTION("""COMPUTED_VALUE"""),"United States")</f>
        <v>United States</v>
      </c>
      <c r="E6979" s="135"/>
      <c r="F6979" s="31"/>
    </row>
    <row r="6980">
      <c r="A6980" s="134" t="str">
        <f>IFERROR(__xludf.DUMMYFUNCTION("""COMPUTED_VALUE"""),"Quthing")</f>
        <v>Quthing</v>
      </c>
      <c r="B6980" s="120" t="str">
        <f>IFERROR(__xludf.DUMMYFUNCTION("""COMPUTED_VALUE"""),"UTG")</f>
        <v>UTG</v>
      </c>
      <c r="C6980" s="120" t="str">
        <f>IFERROR(__xludf.DUMMYFUNCTION("""COMPUTED_VALUE"""),"Quthing")</f>
        <v>Quthing</v>
      </c>
      <c r="D6980" s="120" t="str">
        <f>IFERROR(__xludf.DUMMYFUNCTION("""COMPUTED_VALUE"""),"Lesotho")</f>
        <v>Lesotho</v>
      </c>
      <c r="E6980" s="135"/>
      <c r="F6980" s="31"/>
    </row>
    <row r="6981">
      <c r="A6981" s="134" t="str">
        <f>IFERROR(__xludf.DUMMYFUNCTION("""COMPUTED_VALUE"""),"Rabaraba")</f>
        <v>Rabaraba</v>
      </c>
      <c r="B6981" s="120" t="str">
        <f>IFERROR(__xludf.DUMMYFUNCTION("""COMPUTED_VALUE"""),"RBP")</f>
        <v>RBP</v>
      </c>
      <c r="C6981" s="120" t="str">
        <f>IFERROR(__xludf.DUMMYFUNCTION("""COMPUTED_VALUE"""),"Rabaraba")</f>
        <v>Rabaraba</v>
      </c>
      <c r="D6981" s="120" t="str">
        <f>IFERROR(__xludf.DUMMYFUNCTION("""COMPUTED_VALUE"""),"Papua New Guinea")</f>
        <v>Papua New Guinea</v>
      </c>
      <c r="E6981" s="135"/>
      <c r="F6981" s="31"/>
    </row>
    <row r="6982">
      <c r="A6982" s="134" t="str">
        <f>IFERROR(__xludf.DUMMYFUNCTION("""COMPUTED_VALUE"""),"Rabat")</f>
        <v>Rabat</v>
      </c>
      <c r="B6982" s="120" t="str">
        <f>IFERROR(__xludf.DUMMYFUNCTION("""COMPUTED_VALUE"""),"RBA")</f>
        <v>RBA</v>
      </c>
      <c r="C6982" s="120" t="str">
        <f>IFERROR(__xludf.DUMMYFUNCTION("""COMPUTED_VALUE"""),"Sale")</f>
        <v>Sale</v>
      </c>
      <c r="D6982" s="120" t="str">
        <f>IFERROR(__xludf.DUMMYFUNCTION("""COMPUTED_VALUE"""),"Morocco")</f>
        <v>Morocco</v>
      </c>
      <c r="E6982" s="135"/>
      <c r="F6982" s="31"/>
    </row>
    <row r="6983">
      <c r="A6983" s="134" t="str">
        <f>IFERROR(__xludf.DUMMYFUNCTION("""COMPUTED_VALUE"""),"Rabaul")</f>
        <v>Rabaul</v>
      </c>
      <c r="B6983" s="120" t="str">
        <f>IFERROR(__xludf.DUMMYFUNCTION("""COMPUTED_VALUE"""),"RAB")</f>
        <v>RAB</v>
      </c>
      <c r="C6983" s="120" t="str">
        <f>IFERROR(__xludf.DUMMYFUNCTION("""COMPUTED_VALUE"""),"Tokua")</f>
        <v>Tokua</v>
      </c>
      <c r="D6983" s="120" t="str">
        <f>IFERROR(__xludf.DUMMYFUNCTION("""COMPUTED_VALUE"""),"Papua New Guinea")</f>
        <v>Papua New Guinea</v>
      </c>
      <c r="E6983" s="135"/>
      <c r="F6983" s="31"/>
    </row>
    <row r="6984">
      <c r="A6984" s="134" t="str">
        <f>IFERROR(__xludf.DUMMYFUNCTION("""COMPUTED_VALUE"""),"Rabi")</f>
        <v>Rabi</v>
      </c>
      <c r="B6984" s="120" t="str">
        <f>IFERROR(__xludf.DUMMYFUNCTION("""COMPUTED_VALUE"""),"RBI")</f>
        <v>RBI</v>
      </c>
      <c r="C6984" s="120" t="str">
        <f>IFERROR(__xludf.DUMMYFUNCTION("""COMPUTED_VALUE"""),"Rabi")</f>
        <v>Rabi</v>
      </c>
      <c r="D6984" s="120" t="str">
        <f>IFERROR(__xludf.DUMMYFUNCTION("""COMPUTED_VALUE"""),"Fiji")</f>
        <v>Fiji</v>
      </c>
      <c r="E6984" s="135"/>
      <c r="F6984" s="31"/>
    </row>
    <row r="6985">
      <c r="A6985" s="134" t="str">
        <f>IFERROR(__xludf.DUMMYFUNCTION("""COMPUTED_VALUE"""),"Rach Gia")</f>
        <v>Rach Gia</v>
      </c>
      <c r="B6985" s="120" t="str">
        <f>IFERROR(__xludf.DUMMYFUNCTION("""COMPUTED_VALUE"""),"VKG")</f>
        <v>VKG</v>
      </c>
      <c r="C6985" s="120" t="str">
        <f>IFERROR(__xludf.DUMMYFUNCTION("""COMPUTED_VALUE"""),"Rach Gia")</f>
        <v>Rach Gia</v>
      </c>
      <c r="D6985" s="120" t="str">
        <f>IFERROR(__xludf.DUMMYFUNCTION("""COMPUTED_VALUE"""),"Vietnam")</f>
        <v>Vietnam</v>
      </c>
      <c r="E6985" s="135"/>
      <c r="F6985" s="31"/>
    </row>
    <row r="6986">
      <c r="A6986" s="134" t="str">
        <f>IFERROR(__xludf.DUMMYFUNCTION("""COMPUTED_VALUE"""),"Racine")</f>
        <v>Racine</v>
      </c>
      <c r="B6986" s="120" t="str">
        <f>IFERROR(__xludf.DUMMYFUNCTION("""COMPUTED_VALUE"""),"RAC")</f>
        <v>RAC</v>
      </c>
      <c r="C6986" s="120" t="str">
        <f>IFERROR(__xludf.DUMMYFUNCTION("""COMPUTED_VALUE"""),"Horlick")</f>
        <v>Horlick</v>
      </c>
      <c r="D6986" s="120" t="str">
        <f>IFERROR(__xludf.DUMMYFUNCTION("""COMPUTED_VALUE"""),"United States")</f>
        <v>United States</v>
      </c>
      <c r="E6986" s="135"/>
      <c r="F6986" s="31"/>
    </row>
    <row r="6987">
      <c r="A6987" s="134" t="str">
        <f>IFERROR(__xludf.DUMMYFUNCTION("""COMPUTED_VALUE"""),"Raduzhnyi")</f>
        <v>Raduzhnyi</v>
      </c>
      <c r="B6987" s="120" t="str">
        <f>IFERROR(__xludf.DUMMYFUNCTION("""COMPUTED_VALUE"""),"RAT")</f>
        <v>RAT</v>
      </c>
      <c r="C6987" s="120" t="str">
        <f>IFERROR(__xludf.DUMMYFUNCTION("""COMPUTED_VALUE"""),"Raduzhnyi")</f>
        <v>Raduzhnyi</v>
      </c>
      <c r="D6987" s="120" t="str">
        <f>IFERROR(__xludf.DUMMYFUNCTION("""COMPUTED_VALUE"""),"Russia")</f>
        <v>Russia</v>
      </c>
      <c r="E6987" s="135"/>
      <c r="F6987" s="31"/>
    </row>
    <row r="6988">
      <c r="A6988" s="134" t="str">
        <f>IFERROR(__xludf.DUMMYFUNCTION("""COMPUTED_VALUE"""),"Rae Lakes")</f>
        <v>Rae Lakes</v>
      </c>
      <c r="B6988" s="120" t="str">
        <f>IFERROR(__xludf.DUMMYFUNCTION("""COMPUTED_VALUE"""),"YRA")</f>
        <v>YRA</v>
      </c>
      <c r="C6988" s="120" t="str">
        <f>IFERROR(__xludf.DUMMYFUNCTION("""COMPUTED_VALUE"""),"Rae Lakes")</f>
        <v>Rae Lakes</v>
      </c>
      <c r="D6988" s="120" t="str">
        <f>IFERROR(__xludf.DUMMYFUNCTION("""COMPUTED_VALUE"""),"Canada")</f>
        <v>Canada</v>
      </c>
      <c r="E6988" s="135"/>
      <c r="F6988" s="31"/>
    </row>
    <row r="6989">
      <c r="A6989" s="134" t="str">
        <f>IFERROR(__xludf.DUMMYFUNCTION("""COMPUTED_VALUE"""),"Rafai")</f>
        <v>Rafai</v>
      </c>
      <c r="B6989" s="120" t="str">
        <f>IFERROR(__xludf.DUMMYFUNCTION("""COMPUTED_VALUE"""),"RFA")</f>
        <v>RFA</v>
      </c>
      <c r="C6989" s="120" t="str">
        <f>IFERROR(__xludf.DUMMYFUNCTION("""COMPUTED_VALUE"""),"Rafai")</f>
        <v>Rafai</v>
      </c>
      <c r="D6989" s="120" t="str">
        <f>IFERROR(__xludf.DUMMYFUNCTION("""COMPUTED_VALUE"""),"Central African Republic")</f>
        <v>Central African Republic</v>
      </c>
      <c r="E6989" s="135"/>
      <c r="F6989" s="31"/>
    </row>
    <row r="6990">
      <c r="A6990" s="134" t="str">
        <f>IFERROR(__xludf.DUMMYFUNCTION("""COMPUTED_VALUE"""),"Rafha")</f>
        <v>Rafha</v>
      </c>
      <c r="B6990" s="120" t="str">
        <f>IFERROR(__xludf.DUMMYFUNCTION("""COMPUTED_VALUE"""),"RAH")</f>
        <v>RAH</v>
      </c>
      <c r="C6990" s="120" t="str">
        <f>IFERROR(__xludf.DUMMYFUNCTION("""COMPUTED_VALUE"""),"Rafha")</f>
        <v>Rafha</v>
      </c>
      <c r="D6990" s="120" t="str">
        <f>IFERROR(__xludf.DUMMYFUNCTION("""COMPUTED_VALUE"""),"Saudi Arabia")</f>
        <v>Saudi Arabia</v>
      </c>
      <c r="E6990" s="135"/>
      <c r="F6990" s="31"/>
    </row>
    <row r="6991">
      <c r="A6991" s="134" t="str">
        <f>IFERROR(__xludf.DUMMYFUNCTION("""COMPUTED_VALUE"""),"Rafsanjan")</f>
        <v>Rafsanjan</v>
      </c>
      <c r="B6991" s="120" t="str">
        <f>IFERROR(__xludf.DUMMYFUNCTION("""COMPUTED_VALUE"""),"RJN")</f>
        <v>RJN</v>
      </c>
      <c r="C6991" s="120" t="str">
        <f>IFERROR(__xludf.DUMMYFUNCTION("""COMPUTED_VALUE"""),"Rafsanjan")</f>
        <v>Rafsanjan</v>
      </c>
      <c r="D6991" s="120" t="str">
        <f>IFERROR(__xludf.DUMMYFUNCTION("""COMPUTED_VALUE"""),"Iran")</f>
        <v>Iran</v>
      </c>
      <c r="E6991" s="135"/>
      <c r="F6991" s="31"/>
    </row>
    <row r="6992">
      <c r="A6992" s="134" t="str">
        <f>IFERROR(__xludf.DUMMYFUNCTION("""COMPUTED_VALUE"""),"Raglan")</f>
        <v>Raglan</v>
      </c>
      <c r="B6992" s="120" t="str">
        <f>IFERROR(__xludf.DUMMYFUNCTION("""COMPUTED_VALUE"""),"RAG")</f>
        <v>RAG</v>
      </c>
      <c r="C6992" s="120" t="str">
        <f>IFERROR(__xludf.DUMMYFUNCTION("""COMPUTED_VALUE"""),"Raglan")</f>
        <v>Raglan</v>
      </c>
      <c r="D6992" s="120" t="str">
        <f>IFERROR(__xludf.DUMMYFUNCTION("""COMPUTED_VALUE"""),"New Zealand (Aotearoa)")</f>
        <v>New Zealand (Aotearoa)</v>
      </c>
      <c r="E6992" s="135"/>
      <c r="F6992" s="31"/>
    </row>
    <row r="6993">
      <c r="A6993" s="134" t="str">
        <f>IFERROR(__xludf.DUMMYFUNCTION("""COMPUTED_VALUE"""),"Raha")</f>
        <v>Raha</v>
      </c>
      <c r="B6993" s="120" t="str">
        <f>IFERROR(__xludf.DUMMYFUNCTION("""COMPUTED_VALUE"""),"RAQ")</f>
        <v>RAQ</v>
      </c>
      <c r="C6993" s="120" t="str">
        <f>IFERROR(__xludf.DUMMYFUNCTION("""COMPUTED_VALUE"""),"Sugimanuru")</f>
        <v>Sugimanuru</v>
      </c>
      <c r="D6993" s="120" t="str">
        <f>IFERROR(__xludf.DUMMYFUNCTION("""COMPUTED_VALUE"""),"Indonesia")</f>
        <v>Indonesia</v>
      </c>
      <c r="E6993" s="135"/>
      <c r="F6993" s="31"/>
    </row>
    <row r="6994">
      <c r="A6994" s="134" t="str">
        <f>IFERROR(__xludf.DUMMYFUNCTION("""COMPUTED_VALUE"""),"Rahim Yar Khan")</f>
        <v>Rahim Yar Khan</v>
      </c>
      <c r="B6994" s="120" t="str">
        <f>IFERROR(__xludf.DUMMYFUNCTION("""COMPUTED_VALUE"""),"RYK")</f>
        <v>RYK</v>
      </c>
      <c r="C6994" s="120" t="str">
        <f>IFERROR(__xludf.DUMMYFUNCTION("""COMPUTED_VALUE"""),"Rahim Yar Khan")</f>
        <v>Rahim Yar Khan</v>
      </c>
      <c r="D6994" s="120" t="str">
        <f>IFERROR(__xludf.DUMMYFUNCTION("""COMPUTED_VALUE"""),"Pakistan")</f>
        <v>Pakistan</v>
      </c>
      <c r="E6994" s="135"/>
      <c r="F6994" s="31"/>
    </row>
    <row r="6995">
      <c r="A6995" s="134" t="str">
        <f>IFERROR(__xludf.DUMMYFUNCTION("""COMPUTED_VALUE"""),"Raiatea")</f>
        <v>Raiatea</v>
      </c>
      <c r="B6995" s="120" t="str">
        <f>IFERROR(__xludf.DUMMYFUNCTION("""COMPUTED_VALUE"""),"RFP")</f>
        <v>RFP</v>
      </c>
      <c r="C6995" s="120" t="str">
        <f>IFERROR(__xludf.DUMMYFUNCTION("""COMPUTED_VALUE"""),"Raiatea")</f>
        <v>Raiatea</v>
      </c>
      <c r="D6995" s="120" t="str">
        <f>IFERROR(__xludf.DUMMYFUNCTION("""COMPUTED_VALUE"""),"French Polynesia")</f>
        <v>French Polynesia</v>
      </c>
      <c r="E6995" s="135"/>
      <c r="F6995" s="31"/>
    </row>
    <row r="6996">
      <c r="A6996" s="134" t="str">
        <f>IFERROR(__xludf.DUMMYFUNCTION("""COMPUTED_VALUE"""),"Rail (Generic)")</f>
        <v>Rail (Generic)</v>
      </c>
      <c r="B6996" s="120" t="str">
        <f>IFERROR(__xludf.DUMMYFUNCTION("""COMPUTED_VALUE"""),"XZE")</f>
        <v>XZE</v>
      </c>
      <c r="C6996" s="120" t="str">
        <f>IFERROR(__xludf.DUMMYFUNCTION("""COMPUTED_VALUE"""),"Off line Point")</f>
        <v>Off line Point</v>
      </c>
      <c r="D6996" s="120" t="str">
        <f>IFERROR(__xludf.DUMMYFUNCTION("""COMPUTED_VALUE"""),"Germany")</f>
        <v>Germany</v>
      </c>
      <c r="E6996" s="135"/>
      <c r="F6996" s="31"/>
    </row>
    <row r="6997">
      <c r="A6997" s="134" t="str">
        <f>IFERROR(__xludf.DUMMYFUNCTION("""COMPUTED_VALUE"""),"Rail (Generic)")</f>
        <v>Rail (Generic)</v>
      </c>
      <c r="B6997" s="120" t="str">
        <f>IFERROR(__xludf.DUMMYFUNCTION("""COMPUTED_VALUE"""),"XZJ")</f>
        <v>XZJ</v>
      </c>
      <c r="C6997" s="120" t="str">
        <f>IFERROR(__xludf.DUMMYFUNCTION("""COMPUTED_VALUE"""),"Off line Point")</f>
        <v>Off line Point</v>
      </c>
      <c r="D6997" s="120" t="str">
        <f>IFERROR(__xludf.DUMMYFUNCTION("""COMPUTED_VALUE"""),"Japan")</f>
        <v>Japan</v>
      </c>
      <c r="E6997" s="135"/>
      <c r="F6997" s="31"/>
    </row>
    <row r="6998">
      <c r="A6998" s="134" t="str">
        <f>IFERROR(__xludf.DUMMYFUNCTION("""COMPUTED_VALUE"""),"Rail (Generic)")</f>
        <v>Rail (Generic)</v>
      </c>
      <c r="B6998" s="120" t="str">
        <f>IFERROR(__xludf.DUMMYFUNCTION("""COMPUTED_VALUE"""),"XZU")</f>
        <v>XZU</v>
      </c>
      <c r="C6998" s="120" t="str">
        <f>IFERROR(__xludf.DUMMYFUNCTION("""COMPUTED_VALUE"""),"Off line Point")</f>
        <v>Off line Point</v>
      </c>
      <c r="D6998" s="120" t="str">
        <f>IFERROR(__xludf.DUMMYFUNCTION("""COMPUTED_VALUE"""),"United States")</f>
        <v>United States</v>
      </c>
      <c r="E6998" s="135"/>
      <c r="F6998" s="31"/>
    </row>
    <row r="6999">
      <c r="A6999" s="134" t="str">
        <f>IFERROR(__xludf.DUMMYFUNCTION("""COMPUTED_VALUE"""),"Rail (Generic)")</f>
        <v>Rail (Generic)</v>
      </c>
      <c r="B6999" s="120" t="str">
        <f>IFERROR(__xludf.DUMMYFUNCTION("""COMPUTED_VALUE"""),"XZQ")</f>
        <v>XZQ</v>
      </c>
      <c r="C6999" s="120" t="str">
        <f>IFERROR(__xludf.DUMMYFUNCTION("""COMPUTED_VALUE"""),"Pass Rail")</f>
        <v>Pass Rail</v>
      </c>
      <c r="D6999" s="120" t="str">
        <f>IFERROR(__xludf.DUMMYFUNCTION("""COMPUTED_VALUE"""),"Sweden")</f>
        <v>Sweden</v>
      </c>
      <c r="E6999" s="135"/>
      <c r="F6999" s="31"/>
    </row>
    <row r="7000">
      <c r="A7000" s="134" t="str">
        <f>IFERROR(__xludf.DUMMYFUNCTION("""COMPUTED_VALUE"""),"Rail (Generic)")</f>
        <v>Rail (Generic)</v>
      </c>
      <c r="B7000" s="120" t="str">
        <f>IFERROR(__xludf.DUMMYFUNCTION("""COMPUTED_VALUE"""),"XZX")</f>
        <v>XZX</v>
      </c>
      <c r="C7000" s="120" t="str">
        <f>IFERROR(__xludf.DUMMYFUNCTION("""COMPUTED_VALUE"""),"Off line Point")</f>
        <v>Off line Point</v>
      </c>
      <c r="D7000" s="120" t="str">
        <f>IFERROR(__xludf.DUMMYFUNCTION("""COMPUTED_VALUE"""),"Australia")</f>
        <v>Australia</v>
      </c>
      <c r="E7000" s="135"/>
      <c r="F7000" s="31"/>
    </row>
    <row r="7001">
      <c r="A7001" s="134" t="str">
        <f>IFERROR(__xludf.DUMMYFUNCTION("""COMPUTED_VALUE"""),"Rainbow Lake")</f>
        <v>Rainbow Lake</v>
      </c>
      <c r="B7001" s="120" t="str">
        <f>IFERROR(__xludf.DUMMYFUNCTION("""COMPUTED_VALUE"""),"YOP")</f>
        <v>YOP</v>
      </c>
      <c r="C7001" s="120" t="str">
        <f>IFERROR(__xludf.DUMMYFUNCTION("""COMPUTED_VALUE"""),"Rainbow Lake")</f>
        <v>Rainbow Lake</v>
      </c>
      <c r="D7001" s="120" t="str">
        <f>IFERROR(__xludf.DUMMYFUNCTION("""COMPUTED_VALUE"""),"Canada")</f>
        <v>Canada</v>
      </c>
      <c r="E7001" s="135"/>
      <c r="F7001" s="31"/>
    </row>
    <row r="7002">
      <c r="A7002" s="134" t="str">
        <f>IFERROR(__xludf.DUMMYFUNCTION("""COMPUTED_VALUE"""),"Raipur")</f>
        <v>Raipur</v>
      </c>
      <c r="B7002" s="120" t="str">
        <f>IFERROR(__xludf.DUMMYFUNCTION("""COMPUTED_VALUE"""),"RPR")</f>
        <v>RPR</v>
      </c>
      <c r="C7002" s="120" t="str">
        <f>IFERROR(__xludf.DUMMYFUNCTION("""COMPUTED_VALUE"""),"Raipur")</f>
        <v>Raipur</v>
      </c>
      <c r="D7002" s="120" t="str">
        <f>IFERROR(__xludf.DUMMYFUNCTION("""COMPUTED_VALUE"""),"India")</f>
        <v>India</v>
      </c>
      <c r="E7002" s="135"/>
      <c r="F7002" s="31"/>
    </row>
    <row r="7003">
      <c r="A7003" s="134" t="str">
        <f>IFERROR(__xludf.DUMMYFUNCTION("""COMPUTED_VALUE"""),"Rairua")</f>
        <v>Rairua</v>
      </c>
      <c r="B7003" s="120" t="str">
        <f>IFERROR(__xludf.DUMMYFUNCTION("""COMPUTED_VALUE"""),"RVV")</f>
        <v>RVV</v>
      </c>
      <c r="C7003" s="120" t="str">
        <f>IFERROR(__xludf.DUMMYFUNCTION("""COMPUTED_VALUE"""),"Raivavae")</f>
        <v>Raivavae</v>
      </c>
      <c r="D7003" s="120" t="str">
        <f>IFERROR(__xludf.DUMMYFUNCTION("""COMPUTED_VALUE"""),"French Polynesia")</f>
        <v>French Polynesia</v>
      </c>
      <c r="E7003" s="135"/>
      <c r="F7003" s="31"/>
    </row>
    <row r="7004">
      <c r="A7004" s="134" t="str">
        <f>IFERROR(__xludf.DUMMYFUNCTION("""COMPUTED_VALUE"""),"Rajahmundry")</f>
        <v>Rajahmundry</v>
      </c>
      <c r="B7004" s="120" t="str">
        <f>IFERROR(__xludf.DUMMYFUNCTION("""COMPUTED_VALUE"""),"RJA")</f>
        <v>RJA</v>
      </c>
      <c r="C7004" s="120" t="str">
        <f>IFERROR(__xludf.DUMMYFUNCTION("""COMPUTED_VALUE"""),"Rajahmundry")</f>
        <v>Rajahmundry</v>
      </c>
      <c r="D7004" s="120" t="str">
        <f>IFERROR(__xludf.DUMMYFUNCTION("""COMPUTED_VALUE"""),"India")</f>
        <v>India</v>
      </c>
      <c r="E7004" s="135"/>
      <c r="F7004" s="31"/>
    </row>
    <row r="7005">
      <c r="A7005" s="134" t="str">
        <f>IFERROR(__xludf.DUMMYFUNCTION("""COMPUTED_VALUE"""),"Rajbiraj")</f>
        <v>Rajbiraj</v>
      </c>
      <c r="B7005" s="120" t="str">
        <f>IFERROR(__xludf.DUMMYFUNCTION("""COMPUTED_VALUE"""),"RJB")</f>
        <v>RJB</v>
      </c>
      <c r="C7005" s="120" t="str">
        <f>IFERROR(__xludf.DUMMYFUNCTION("""COMPUTED_VALUE"""),"Rajbiraj")</f>
        <v>Rajbiraj</v>
      </c>
      <c r="D7005" s="120" t="str">
        <f>IFERROR(__xludf.DUMMYFUNCTION("""COMPUTED_VALUE"""),"Nepal")</f>
        <v>Nepal</v>
      </c>
      <c r="E7005" s="135"/>
      <c r="F7005" s="31"/>
    </row>
    <row r="7006">
      <c r="A7006" s="134" t="str">
        <f>IFERROR(__xludf.DUMMYFUNCTION("""COMPUTED_VALUE"""),"Rajkot")</f>
        <v>Rajkot</v>
      </c>
      <c r="B7006" s="120" t="str">
        <f>IFERROR(__xludf.DUMMYFUNCTION("""COMPUTED_VALUE"""),"RAJ")</f>
        <v>RAJ</v>
      </c>
      <c r="C7006" s="120" t="str">
        <f>IFERROR(__xludf.DUMMYFUNCTION("""COMPUTED_VALUE"""),"Civil")</f>
        <v>Civil</v>
      </c>
      <c r="D7006" s="120" t="str">
        <f>IFERROR(__xludf.DUMMYFUNCTION("""COMPUTED_VALUE"""),"India")</f>
        <v>India</v>
      </c>
      <c r="E7006" s="135"/>
      <c r="F7006" s="31"/>
    </row>
    <row r="7007">
      <c r="A7007" s="134" t="str">
        <f>IFERROR(__xludf.DUMMYFUNCTION("""COMPUTED_VALUE"""),"Rajouri")</f>
        <v>Rajouri</v>
      </c>
      <c r="B7007" s="120" t="str">
        <f>IFERROR(__xludf.DUMMYFUNCTION("""COMPUTED_VALUE"""),"RJI")</f>
        <v>RJI</v>
      </c>
      <c r="C7007" s="120" t="str">
        <f>IFERROR(__xludf.DUMMYFUNCTION("""COMPUTED_VALUE"""),"Rajouri")</f>
        <v>Rajouri</v>
      </c>
      <c r="D7007" s="120" t="str">
        <f>IFERROR(__xludf.DUMMYFUNCTION("""COMPUTED_VALUE"""),"India")</f>
        <v>India</v>
      </c>
      <c r="E7007" s="135"/>
      <c r="F7007" s="31"/>
    </row>
    <row r="7008">
      <c r="A7008" s="134" t="str">
        <f>IFERROR(__xludf.DUMMYFUNCTION("""COMPUTED_VALUE"""),"Rajshahi")</f>
        <v>Rajshahi</v>
      </c>
      <c r="B7008" s="120" t="str">
        <f>IFERROR(__xludf.DUMMYFUNCTION("""COMPUTED_VALUE"""),"RJH")</f>
        <v>RJH</v>
      </c>
      <c r="C7008" s="120" t="str">
        <f>IFERROR(__xludf.DUMMYFUNCTION("""COMPUTED_VALUE"""),"Rajshahi")</f>
        <v>Rajshahi</v>
      </c>
      <c r="D7008" s="120" t="str">
        <f>IFERROR(__xludf.DUMMYFUNCTION("""COMPUTED_VALUE"""),"Bangladesh")</f>
        <v>Bangladesh</v>
      </c>
      <c r="E7008" s="135"/>
      <c r="F7008" s="31"/>
    </row>
    <row r="7009">
      <c r="A7009" s="134" t="str">
        <f>IFERROR(__xludf.DUMMYFUNCTION("""COMPUTED_VALUE"""),"Rakanda")</f>
        <v>Rakanda</v>
      </c>
      <c r="B7009" s="120" t="str">
        <f>IFERROR(__xludf.DUMMYFUNCTION("""COMPUTED_VALUE"""),"RAA")</f>
        <v>RAA</v>
      </c>
      <c r="C7009" s="120" t="str">
        <f>IFERROR(__xludf.DUMMYFUNCTION("""COMPUTED_VALUE"""),"Rakanda")</f>
        <v>Rakanda</v>
      </c>
      <c r="D7009" s="120" t="str">
        <f>IFERROR(__xludf.DUMMYFUNCTION("""COMPUTED_VALUE"""),"Papua New Guinea")</f>
        <v>Papua New Guinea</v>
      </c>
      <c r="E7009" s="135"/>
      <c r="F7009" s="31"/>
    </row>
    <row r="7010">
      <c r="A7010" s="134" t="str">
        <f>IFERROR(__xludf.DUMMYFUNCTION("""COMPUTED_VALUE"""),"Raleigh/Durham")</f>
        <v>Raleigh/Durham</v>
      </c>
      <c r="B7010" s="120" t="str">
        <f>IFERROR(__xludf.DUMMYFUNCTION("""COMPUTED_VALUE"""),"RDU")</f>
        <v>RDU</v>
      </c>
      <c r="C7010" s="120" t="str">
        <f>IFERROR(__xludf.DUMMYFUNCTION("""COMPUTED_VALUE"""),"Raleigh-Durham International Airport")</f>
        <v>Raleigh-Durham International Airport</v>
      </c>
      <c r="D7010" s="120" t="str">
        <f>IFERROR(__xludf.DUMMYFUNCTION("""COMPUTED_VALUE"""),"United States")</f>
        <v>United States</v>
      </c>
      <c r="E7010" s="135"/>
      <c r="F7010" s="31"/>
    </row>
    <row r="7011">
      <c r="A7011" s="134" t="str">
        <f>IFERROR(__xludf.DUMMYFUNCTION("""COMPUTED_VALUE"""),"Ramadan")</f>
        <v>Ramadan</v>
      </c>
      <c r="B7011" s="120" t="str">
        <f>IFERROR(__xludf.DUMMYFUNCTION("""COMPUTED_VALUE"""),"TFR")</f>
        <v>TFR</v>
      </c>
      <c r="C7011" s="120" t="str">
        <f>IFERROR(__xludf.DUMMYFUNCTION("""COMPUTED_VALUE"""),"Ramadan")</f>
        <v>Ramadan</v>
      </c>
      <c r="D7011" s="120" t="str">
        <f>IFERROR(__xludf.DUMMYFUNCTION("""COMPUTED_VALUE"""),"Egypt")</f>
        <v>Egypt</v>
      </c>
      <c r="E7011" s="135"/>
      <c r="F7011" s="31"/>
    </row>
    <row r="7012">
      <c r="A7012" s="134" t="str">
        <f>IFERROR(__xludf.DUMMYFUNCTION("""COMPUTED_VALUE"""),"Ramadi")</f>
        <v>Ramadi</v>
      </c>
      <c r="B7012" s="120" t="str">
        <f>IFERROR(__xludf.DUMMYFUNCTION("""COMPUTED_VALUE"""),"XTM")</f>
        <v>XTM</v>
      </c>
      <c r="C7012" s="120" t="str">
        <f>IFERROR(__xludf.DUMMYFUNCTION("""COMPUTED_VALUE"""),"Ramidi")</f>
        <v>Ramidi</v>
      </c>
      <c r="D7012" s="120" t="str">
        <f>IFERROR(__xludf.DUMMYFUNCTION("""COMPUTED_VALUE"""),"Iraq")</f>
        <v>Iraq</v>
      </c>
      <c r="E7012" s="135"/>
      <c r="F7012" s="31"/>
    </row>
    <row r="7013">
      <c r="A7013" s="134" t="str">
        <f>IFERROR(__xludf.DUMMYFUNCTION("""COMPUTED_VALUE"""),"Ramagundam")</f>
        <v>Ramagundam</v>
      </c>
      <c r="B7013" s="120" t="str">
        <f>IFERROR(__xludf.DUMMYFUNCTION("""COMPUTED_VALUE"""),"RMD")</f>
        <v>RMD</v>
      </c>
      <c r="C7013" s="120" t="str">
        <f>IFERROR(__xludf.DUMMYFUNCTION("""COMPUTED_VALUE"""),"Ramagundam")</f>
        <v>Ramagundam</v>
      </c>
      <c r="D7013" s="120" t="str">
        <f>IFERROR(__xludf.DUMMYFUNCTION("""COMPUTED_VALUE"""),"India")</f>
        <v>India</v>
      </c>
      <c r="E7013" s="135"/>
      <c r="F7013" s="31"/>
    </row>
    <row r="7014">
      <c r="A7014" s="134" t="str">
        <f>IFERROR(__xludf.DUMMYFUNCTION("""COMPUTED_VALUE"""),"Ramata")</f>
        <v>Ramata</v>
      </c>
      <c r="B7014" s="120" t="str">
        <f>IFERROR(__xludf.DUMMYFUNCTION("""COMPUTED_VALUE"""),"RBV")</f>
        <v>RBV</v>
      </c>
      <c r="C7014" s="120" t="str">
        <f>IFERROR(__xludf.DUMMYFUNCTION("""COMPUTED_VALUE"""),"Ramata")</f>
        <v>Ramata</v>
      </c>
      <c r="D7014" s="120" t="str">
        <f>IFERROR(__xludf.DUMMYFUNCTION("""COMPUTED_VALUE"""),"Solomon Islands")</f>
        <v>Solomon Islands</v>
      </c>
      <c r="E7014" s="135"/>
      <c r="F7014" s="31"/>
    </row>
    <row r="7015">
      <c r="A7015" s="134" t="str">
        <f>IFERROR(__xludf.DUMMYFUNCTION("""COMPUTED_VALUE"""),"Ramechhap")</f>
        <v>Ramechhap</v>
      </c>
      <c r="B7015" s="120" t="str">
        <f>IFERROR(__xludf.DUMMYFUNCTION("""COMPUTED_VALUE"""),"RHP")</f>
        <v>RHP</v>
      </c>
      <c r="C7015" s="120" t="str">
        <f>IFERROR(__xludf.DUMMYFUNCTION("""COMPUTED_VALUE"""),"Ramechhap")</f>
        <v>Ramechhap</v>
      </c>
      <c r="D7015" s="120" t="str">
        <f>IFERROR(__xludf.DUMMYFUNCTION("""COMPUTED_VALUE"""),"Nepal")</f>
        <v>Nepal</v>
      </c>
      <c r="E7015" s="135"/>
      <c r="F7015" s="31"/>
    </row>
    <row r="7016">
      <c r="A7016" s="134" t="str">
        <f>IFERROR(__xludf.DUMMYFUNCTION("""COMPUTED_VALUE"""),"Ramingining")</f>
        <v>Ramingining</v>
      </c>
      <c r="B7016" s="120" t="str">
        <f>IFERROR(__xludf.DUMMYFUNCTION("""COMPUTED_VALUE"""),"RAM")</f>
        <v>RAM</v>
      </c>
      <c r="C7016" s="120" t="str">
        <f>IFERROR(__xludf.DUMMYFUNCTION("""COMPUTED_VALUE"""),"Ramingining")</f>
        <v>Ramingining</v>
      </c>
      <c r="D7016" s="120" t="str">
        <f>IFERROR(__xludf.DUMMYFUNCTION("""COMPUTED_VALUE"""),"Australia")</f>
        <v>Australia</v>
      </c>
      <c r="E7016" s="135"/>
      <c r="F7016" s="31"/>
    </row>
    <row r="7017">
      <c r="A7017" s="134" t="str">
        <f>IFERROR(__xludf.DUMMYFUNCTION("""COMPUTED_VALUE"""),"Rampart")</f>
        <v>Rampart</v>
      </c>
      <c r="B7017" s="120" t="str">
        <f>IFERROR(__xludf.DUMMYFUNCTION("""COMPUTED_VALUE"""),"RMP")</f>
        <v>RMP</v>
      </c>
      <c r="C7017" s="120" t="str">
        <f>IFERROR(__xludf.DUMMYFUNCTION("""COMPUTED_VALUE"""),"Rampart")</f>
        <v>Rampart</v>
      </c>
      <c r="D7017" s="120" t="str">
        <f>IFERROR(__xludf.DUMMYFUNCTION("""COMPUTED_VALUE"""),"United States")</f>
        <v>United States</v>
      </c>
      <c r="E7017" s="135"/>
      <c r="F7017" s="31"/>
    </row>
    <row r="7018">
      <c r="A7018" s="134" t="str">
        <f>IFERROR(__xludf.DUMMYFUNCTION("""COMPUTED_VALUE"""),"Ramsar")</f>
        <v>Ramsar</v>
      </c>
      <c r="B7018" s="120" t="str">
        <f>IFERROR(__xludf.DUMMYFUNCTION("""COMPUTED_VALUE"""),"RZR")</f>
        <v>RZR</v>
      </c>
      <c r="C7018" s="120" t="str">
        <f>IFERROR(__xludf.DUMMYFUNCTION("""COMPUTED_VALUE"""),"Ramsar")</f>
        <v>Ramsar</v>
      </c>
      <c r="D7018" s="120" t="str">
        <f>IFERROR(__xludf.DUMMYFUNCTION("""COMPUTED_VALUE"""),"Iran")</f>
        <v>Iran</v>
      </c>
      <c r="E7018" s="135"/>
      <c r="F7018" s="31"/>
    </row>
    <row r="7019">
      <c r="A7019" s="134" t="str">
        <f>IFERROR(__xludf.DUMMYFUNCTION("""COMPUTED_VALUE"""),"Ramstein")</f>
        <v>Ramstein</v>
      </c>
      <c r="B7019" s="120" t="str">
        <f>IFERROR(__xludf.DUMMYFUNCTION("""COMPUTED_VALUE"""),"RMS")</f>
        <v>RMS</v>
      </c>
      <c r="C7019" s="120" t="str">
        <f>IFERROR(__xludf.DUMMYFUNCTION("""COMPUTED_VALUE"""),"Ramstein")</f>
        <v>Ramstein</v>
      </c>
      <c r="D7019" s="120" t="str">
        <f>IFERROR(__xludf.DUMMYFUNCTION("""COMPUTED_VALUE"""),"Germany")</f>
        <v>Germany</v>
      </c>
      <c r="E7019" s="135"/>
      <c r="F7019" s="31"/>
    </row>
    <row r="7020">
      <c r="A7020" s="134" t="str">
        <f>IFERROR(__xludf.DUMMYFUNCTION("""COMPUTED_VALUE"""),"Ranau")</f>
        <v>Ranau</v>
      </c>
      <c r="B7020" s="120" t="str">
        <f>IFERROR(__xludf.DUMMYFUNCTION("""COMPUTED_VALUE"""),"RNU")</f>
        <v>RNU</v>
      </c>
      <c r="C7020" s="120" t="str">
        <f>IFERROR(__xludf.DUMMYFUNCTION("""COMPUTED_VALUE"""),"Ranau")</f>
        <v>Ranau</v>
      </c>
      <c r="D7020" s="120" t="str">
        <f>IFERROR(__xludf.DUMMYFUNCTION("""COMPUTED_VALUE"""),"Malaysia")</f>
        <v>Malaysia</v>
      </c>
      <c r="E7020" s="135"/>
      <c r="F7020" s="31"/>
    </row>
    <row r="7021">
      <c r="A7021" s="134" t="str">
        <f>IFERROR(__xludf.DUMMYFUNCTION("""COMPUTED_VALUE"""),"Ranchi")</f>
        <v>Ranchi</v>
      </c>
      <c r="B7021" s="120" t="str">
        <f>IFERROR(__xludf.DUMMYFUNCTION("""COMPUTED_VALUE"""),"IXR")</f>
        <v>IXR</v>
      </c>
      <c r="C7021" s="120" t="str">
        <f>IFERROR(__xludf.DUMMYFUNCTION("""COMPUTED_VALUE"""),"Ranchi")</f>
        <v>Ranchi</v>
      </c>
      <c r="D7021" s="120" t="str">
        <f>IFERROR(__xludf.DUMMYFUNCTION("""COMPUTED_VALUE"""),"India")</f>
        <v>India</v>
      </c>
      <c r="E7021" s="135"/>
      <c r="F7021" s="31"/>
    </row>
    <row r="7022">
      <c r="A7022" s="134" t="str">
        <f>IFERROR(__xludf.DUMMYFUNCTION("""COMPUTED_VALUE"""),"Rancho")</f>
        <v>Rancho</v>
      </c>
      <c r="B7022" s="120" t="str">
        <f>IFERROR(__xludf.DUMMYFUNCTION("""COMPUTED_VALUE"""),"RBK")</f>
        <v>RBK</v>
      </c>
      <c r="C7022" s="120" t="str">
        <f>IFERROR(__xludf.DUMMYFUNCTION("""COMPUTED_VALUE"""),"French Valley")</f>
        <v>French Valley</v>
      </c>
      <c r="D7022" s="120" t="str">
        <f>IFERROR(__xludf.DUMMYFUNCTION("""COMPUTED_VALUE"""),"United States")</f>
        <v>United States</v>
      </c>
      <c r="E7022" s="135"/>
      <c r="F7022" s="31"/>
    </row>
    <row r="7023">
      <c r="A7023" s="134" t="str">
        <f>IFERROR(__xludf.DUMMYFUNCTION("""COMPUTED_VALUE"""),"Rangely")</f>
        <v>Rangely</v>
      </c>
      <c r="B7023" s="120" t="str">
        <f>IFERROR(__xludf.DUMMYFUNCTION("""COMPUTED_VALUE"""),"RNG")</f>
        <v>RNG</v>
      </c>
      <c r="C7023" s="120" t="str">
        <f>IFERROR(__xludf.DUMMYFUNCTION("""COMPUTED_VALUE"""),"Rangely")</f>
        <v>Rangely</v>
      </c>
      <c r="D7023" s="120" t="str">
        <f>IFERROR(__xludf.DUMMYFUNCTION("""COMPUTED_VALUE"""),"United States")</f>
        <v>United States</v>
      </c>
      <c r="E7023" s="135"/>
      <c r="F7023" s="31"/>
    </row>
    <row r="7024">
      <c r="A7024" s="134" t="str">
        <f>IFERROR(__xludf.DUMMYFUNCTION("""COMPUTED_VALUE"""),"Ranger")</f>
        <v>Ranger</v>
      </c>
      <c r="B7024" s="120" t="str">
        <f>IFERROR(__xludf.DUMMYFUNCTION("""COMPUTED_VALUE"""),"RGR")</f>
        <v>RGR</v>
      </c>
      <c r="C7024" s="120" t="str">
        <f>IFERROR(__xludf.DUMMYFUNCTION("""COMPUTED_VALUE"""),"Ranger Municipal")</f>
        <v>Ranger Municipal</v>
      </c>
      <c r="D7024" s="120" t="str">
        <f>IFERROR(__xludf.DUMMYFUNCTION("""COMPUTED_VALUE"""),"United States")</f>
        <v>United States</v>
      </c>
      <c r="E7024" s="135"/>
      <c r="F7024" s="31"/>
    </row>
    <row r="7025">
      <c r="A7025" s="134" t="str">
        <f>IFERROR(__xludf.DUMMYFUNCTION("""COMPUTED_VALUE"""),"Rangiroa")</f>
        <v>Rangiroa</v>
      </c>
      <c r="B7025" s="120" t="str">
        <f>IFERROR(__xludf.DUMMYFUNCTION("""COMPUTED_VALUE"""),"RGI")</f>
        <v>RGI</v>
      </c>
      <c r="C7025" s="120" t="str">
        <f>IFERROR(__xludf.DUMMYFUNCTION("""COMPUTED_VALUE"""),"Rangiroa")</f>
        <v>Rangiroa</v>
      </c>
      <c r="D7025" s="120" t="str">
        <f>IFERROR(__xludf.DUMMYFUNCTION("""COMPUTED_VALUE"""),"French Polynesia")</f>
        <v>French Polynesia</v>
      </c>
      <c r="E7025" s="135"/>
      <c r="F7025" s="31"/>
    </row>
    <row r="7026">
      <c r="A7026" s="134" t="str">
        <f>IFERROR(__xludf.DUMMYFUNCTION("""COMPUTED_VALUE"""),"Rangpur")</f>
        <v>Rangpur</v>
      </c>
      <c r="B7026" s="120" t="str">
        <f>IFERROR(__xludf.DUMMYFUNCTION("""COMPUTED_VALUE"""),"RAU")</f>
        <v>RAU</v>
      </c>
      <c r="C7026" s="120" t="str">
        <f>IFERROR(__xludf.DUMMYFUNCTION("""COMPUTED_VALUE"""),"Rangpur")</f>
        <v>Rangpur</v>
      </c>
      <c r="D7026" s="120" t="str">
        <f>IFERROR(__xludf.DUMMYFUNCTION("""COMPUTED_VALUE"""),"Bangladesh")</f>
        <v>Bangladesh</v>
      </c>
      <c r="E7026" s="135"/>
      <c r="F7026" s="31"/>
    </row>
    <row r="7027">
      <c r="A7027" s="134" t="str">
        <f>IFERROR(__xludf.DUMMYFUNCTION("""COMPUTED_VALUE"""),"Rankin Inlet")</f>
        <v>Rankin Inlet</v>
      </c>
      <c r="B7027" s="120" t="str">
        <f>IFERROR(__xludf.DUMMYFUNCTION("""COMPUTED_VALUE"""),"YRT")</f>
        <v>YRT</v>
      </c>
      <c r="C7027" s="120" t="str">
        <f>IFERROR(__xludf.DUMMYFUNCTION("""COMPUTED_VALUE"""),"Rankin Inlet")</f>
        <v>Rankin Inlet</v>
      </c>
      <c r="D7027" s="120" t="str">
        <f>IFERROR(__xludf.DUMMYFUNCTION("""COMPUTED_VALUE"""),"Canada")</f>
        <v>Canada</v>
      </c>
      <c r="E7027" s="135"/>
      <c r="F7027" s="31"/>
    </row>
    <row r="7028">
      <c r="A7028" s="134" t="str">
        <f>IFERROR(__xludf.DUMMYFUNCTION("""COMPUTED_VALUE"""),"Ranong")</f>
        <v>Ranong</v>
      </c>
      <c r="B7028" s="120" t="str">
        <f>IFERROR(__xludf.DUMMYFUNCTION("""COMPUTED_VALUE"""),"UNN")</f>
        <v>UNN</v>
      </c>
      <c r="C7028" s="120" t="str">
        <f>IFERROR(__xludf.DUMMYFUNCTION("""COMPUTED_VALUE"""),"Ranong")</f>
        <v>Ranong</v>
      </c>
      <c r="D7028" s="120" t="str">
        <f>IFERROR(__xludf.DUMMYFUNCTION("""COMPUTED_VALUE"""),"Thailand")</f>
        <v>Thailand</v>
      </c>
      <c r="E7028" s="135"/>
      <c r="F7028" s="31"/>
    </row>
    <row r="7029">
      <c r="A7029" s="134" t="str">
        <f>IFERROR(__xludf.DUMMYFUNCTION("""COMPUTED_VALUE"""),"Ransiki")</f>
        <v>Ransiki</v>
      </c>
      <c r="B7029" s="120" t="str">
        <f>IFERROR(__xludf.DUMMYFUNCTION("""COMPUTED_VALUE"""),"RSK")</f>
        <v>RSK</v>
      </c>
      <c r="C7029" s="120" t="str">
        <f>IFERROR(__xludf.DUMMYFUNCTION("""COMPUTED_VALUE"""),"Ransiki")</f>
        <v>Ransiki</v>
      </c>
      <c r="D7029" s="120" t="str">
        <f>IFERROR(__xludf.DUMMYFUNCTION("""COMPUTED_VALUE"""),"Indonesia")</f>
        <v>Indonesia</v>
      </c>
      <c r="E7029" s="135"/>
      <c r="F7029" s="31"/>
    </row>
    <row r="7030">
      <c r="A7030" s="134" t="str">
        <f>IFERROR(__xludf.DUMMYFUNCTION("""COMPUTED_VALUE"""),"Rapid City")</f>
        <v>Rapid City</v>
      </c>
      <c r="B7030" s="120" t="str">
        <f>IFERROR(__xludf.DUMMYFUNCTION("""COMPUTED_VALUE"""),"RCA")</f>
        <v>RCA</v>
      </c>
      <c r="C7030" s="120" t="str">
        <f>IFERROR(__xludf.DUMMYFUNCTION("""COMPUTED_VALUE"""),"Ellsworth AFB")</f>
        <v>Ellsworth AFB</v>
      </c>
      <c r="D7030" s="120" t="str">
        <f>IFERROR(__xludf.DUMMYFUNCTION("""COMPUTED_VALUE"""),"United States")</f>
        <v>United States</v>
      </c>
      <c r="E7030" s="135"/>
      <c r="F7030" s="31"/>
    </row>
    <row r="7031">
      <c r="A7031" s="134" t="str">
        <f>IFERROR(__xludf.DUMMYFUNCTION("""COMPUTED_VALUE"""),"Rapid City")</f>
        <v>Rapid City</v>
      </c>
      <c r="B7031" s="120" t="str">
        <f>IFERROR(__xludf.DUMMYFUNCTION("""COMPUTED_VALUE"""),"RAP")</f>
        <v>RAP</v>
      </c>
      <c r="C7031" s="120" t="str">
        <f>IFERROR(__xludf.DUMMYFUNCTION("""COMPUTED_VALUE"""),"Regional")</f>
        <v>Regional</v>
      </c>
      <c r="D7031" s="120" t="str">
        <f>IFERROR(__xludf.DUMMYFUNCTION("""COMPUTED_VALUE"""),"United States")</f>
        <v>United States</v>
      </c>
      <c r="E7031" s="135"/>
      <c r="F7031" s="31"/>
    </row>
    <row r="7032">
      <c r="A7032" s="134" t="str">
        <f>IFERROR(__xludf.DUMMYFUNCTION("""COMPUTED_VALUE"""),"Rarotonga")</f>
        <v>Rarotonga</v>
      </c>
      <c r="B7032" s="120" t="str">
        <f>IFERROR(__xludf.DUMMYFUNCTION("""COMPUTED_VALUE"""),"RAR")</f>
        <v>RAR</v>
      </c>
      <c r="C7032" s="120" t="str">
        <f>IFERROR(__xludf.DUMMYFUNCTION("""COMPUTED_VALUE"""),"Rarotonga")</f>
        <v>Rarotonga</v>
      </c>
      <c r="D7032" s="120" t="str">
        <f>IFERROR(__xludf.DUMMYFUNCTION("""COMPUTED_VALUE"""),"Cook Islands")</f>
        <v>Cook Islands</v>
      </c>
      <c r="E7032" s="135"/>
      <c r="F7032" s="31"/>
    </row>
    <row r="7033">
      <c r="A7033" s="134" t="str">
        <f>IFERROR(__xludf.DUMMYFUNCTION("""COMPUTED_VALUE"""),"Ras Al Khaimah")</f>
        <v>Ras Al Khaimah</v>
      </c>
      <c r="B7033" s="120" t="str">
        <f>IFERROR(__xludf.DUMMYFUNCTION("""COMPUTED_VALUE"""),"RKT")</f>
        <v>RKT</v>
      </c>
      <c r="C7033" s="120" t="str">
        <f>IFERROR(__xludf.DUMMYFUNCTION("""COMPUTED_VALUE"""),"Ras Al Khaimah")</f>
        <v>Ras Al Khaimah</v>
      </c>
      <c r="D7033" s="120" t="str">
        <f>IFERROR(__xludf.DUMMYFUNCTION("""COMPUTED_VALUE"""),"United Arab Emirates")</f>
        <v>United Arab Emirates</v>
      </c>
      <c r="E7033" s="135"/>
      <c r="F7033" s="31"/>
    </row>
    <row r="7034">
      <c r="A7034" s="134" t="str">
        <f>IFERROR(__xludf.DUMMYFUNCTION("""COMPUTED_VALUE"""),"Rasht")</f>
        <v>Rasht</v>
      </c>
      <c r="B7034" s="120" t="str">
        <f>IFERROR(__xludf.DUMMYFUNCTION("""COMPUTED_VALUE"""),"RAS")</f>
        <v>RAS</v>
      </c>
      <c r="C7034" s="120" t="str">
        <f>IFERROR(__xludf.DUMMYFUNCTION("""COMPUTED_VALUE"""),"Rasht")</f>
        <v>Rasht</v>
      </c>
      <c r="D7034" s="120" t="str">
        <f>IFERROR(__xludf.DUMMYFUNCTION("""COMPUTED_VALUE"""),"Iran")</f>
        <v>Iran</v>
      </c>
      <c r="E7034" s="135"/>
      <c r="F7034" s="31"/>
    </row>
    <row r="7035">
      <c r="A7035" s="134" t="str">
        <f>IFERROR(__xludf.DUMMYFUNCTION("""COMPUTED_VALUE"""),"Raspberry Strait")</f>
        <v>Raspberry Strait</v>
      </c>
      <c r="B7035" s="120" t="str">
        <f>IFERROR(__xludf.DUMMYFUNCTION("""COMPUTED_VALUE"""),"RSP")</f>
        <v>RSP</v>
      </c>
      <c r="C7035" s="120" t="str">
        <f>IFERROR(__xludf.DUMMYFUNCTION("""COMPUTED_VALUE"""),"Raspberry Strait")</f>
        <v>Raspberry Strait</v>
      </c>
      <c r="D7035" s="120" t="str">
        <f>IFERROR(__xludf.DUMMYFUNCTION("""COMPUTED_VALUE"""),"United States")</f>
        <v>United States</v>
      </c>
      <c r="E7035" s="135"/>
      <c r="F7035" s="31"/>
    </row>
    <row r="7036">
      <c r="A7036" s="134" t="str">
        <f>IFERROR(__xludf.DUMMYFUNCTION("""COMPUTED_VALUE"""),"Ratanakiri")</f>
        <v>Ratanakiri</v>
      </c>
      <c r="B7036" s="120" t="str">
        <f>IFERROR(__xludf.DUMMYFUNCTION("""COMPUTED_VALUE"""),"RBE")</f>
        <v>RBE</v>
      </c>
      <c r="C7036" s="120" t="str">
        <f>IFERROR(__xludf.DUMMYFUNCTION("""COMPUTED_VALUE"""),"Ratanakiri")</f>
        <v>Ratanakiri</v>
      </c>
      <c r="D7036" s="120" t="str">
        <f>IFERROR(__xludf.DUMMYFUNCTION("""COMPUTED_VALUE"""),"Cambodia")</f>
        <v>Cambodia</v>
      </c>
      <c r="E7036" s="135"/>
      <c r="F7036" s="31"/>
    </row>
    <row r="7037">
      <c r="A7037" s="134" t="str">
        <f>IFERROR(__xludf.DUMMYFUNCTION("""COMPUTED_VALUE"""),"Ratnagiri")</f>
        <v>Ratnagiri</v>
      </c>
      <c r="B7037" s="120" t="str">
        <f>IFERROR(__xludf.DUMMYFUNCTION("""COMPUTED_VALUE"""),"RTC")</f>
        <v>RTC</v>
      </c>
      <c r="C7037" s="120" t="str">
        <f>IFERROR(__xludf.DUMMYFUNCTION("""COMPUTED_VALUE"""),"Ratnagiri")</f>
        <v>Ratnagiri</v>
      </c>
      <c r="D7037" s="120" t="str">
        <f>IFERROR(__xludf.DUMMYFUNCTION("""COMPUTED_VALUE"""),"India")</f>
        <v>India</v>
      </c>
      <c r="E7037" s="135"/>
      <c r="F7037" s="31"/>
    </row>
    <row r="7038">
      <c r="A7038" s="134" t="str">
        <f>IFERROR(__xludf.DUMMYFUNCTION("""COMPUTED_VALUE"""),"Raton")</f>
        <v>Raton</v>
      </c>
      <c r="B7038" s="120" t="str">
        <f>IFERROR(__xludf.DUMMYFUNCTION("""COMPUTED_VALUE"""),"RTN")</f>
        <v>RTN</v>
      </c>
      <c r="C7038" s="120" t="str">
        <f>IFERROR(__xludf.DUMMYFUNCTION("""COMPUTED_VALUE"""),"Crews Field")</f>
        <v>Crews Field</v>
      </c>
      <c r="D7038" s="120" t="str">
        <f>IFERROR(__xludf.DUMMYFUNCTION("""COMPUTED_VALUE"""),"United States")</f>
        <v>United States</v>
      </c>
      <c r="E7038" s="135"/>
      <c r="F7038" s="31"/>
    </row>
    <row r="7039">
      <c r="A7039" s="134" t="str">
        <f>IFERROR(__xludf.DUMMYFUNCTION("""COMPUTED_VALUE"""),"Raudha")</f>
        <v>Raudha</v>
      </c>
      <c r="B7039" s="120" t="str">
        <f>IFERROR(__xludf.DUMMYFUNCTION("""COMPUTED_VALUE"""),"RXA")</f>
        <v>RXA</v>
      </c>
      <c r="C7039" s="120" t="str">
        <f>IFERROR(__xludf.DUMMYFUNCTION("""COMPUTED_VALUE"""),"Raudha")</f>
        <v>Raudha</v>
      </c>
      <c r="D7039" s="120" t="str">
        <f>IFERROR(__xludf.DUMMYFUNCTION("""COMPUTED_VALUE"""),"Yemen")</f>
        <v>Yemen</v>
      </c>
      <c r="E7039" s="135"/>
      <c r="F7039" s="31"/>
    </row>
    <row r="7040">
      <c r="A7040" s="134" t="str">
        <f>IFERROR(__xludf.DUMMYFUNCTION("""COMPUTED_VALUE"""),"Raufarhofn")</f>
        <v>Raufarhofn</v>
      </c>
      <c r="B7040" s="120" t="str">
        <f>IFERROR(__xludf.DUMMYFUNCTION("""COMPUTED_VALUE"""),"RFN")</f>
        <v>RFN</v>
      </c>
      <c r="C7040" s="120" t="str">
        <f>IFERROR(__xludf.DUMMYFUNCTION("""COMPUTED_VALUE"""),"Raufarhofn")</f>
        <v>Raufarhofn</v>
      </c>
      <c r="D7040" s="120" t="str">
        <f>IFERROR(__xludf.DUMMYFUNCTION("""COMPUTED_VALUE"""),"Iceland")</f>
        <v>Iceland</v>
      </c>
      <c r="E7040" s="135"/>
      <c r="F7040" s="31"/>
    </row>
    <row r="7041">
      <c r="A7041" s="134" t="str">
        <f>IFERROR(__xludf.DUMMYFUNCTION("""COMPUTED_VALUE"""),"Raufoss")</f>
        <v>Raufoss</v>
      </c>
      <c r="B7041" s="120" t="str">
        <f>IFERROR(__xludf.DUMMYFUNCTION("""COMPUTED_VALUE"""),"ZMQ")</f>
        <v>ZMQ</v>
      </c>
      <c r="C7041" s="120" t="str">
        <f>IFERROR(__xludf.DUMMYFUNCTION("""COMPUTED_VALUE"""),"Railway")</f>
        <v>Railway</v>
      </c>
      <c r="D7041" s="120" t="str">
        <f>IFERROR(__xludf.DUMMYFUNCTION("""COMPUTED_VALUE"""),"Norway")</f>
        <v>Norway</v>
      </c>
      <c r="E7041" s="135"/>
      <c r="F7041" s="31"/>
    </row>
    <row r="7042">
      <c r="A7042" s="134" t="str">
        <f>IFERROR(__xludf.DUMMYFUNCTION("""COMPUTED_VALUE"""),"Ravenna")</f>
        <v>Ravenna</v>
      </c>
      <c r="B7042" s="120" t="str">
        <f>IFERROR(__xludf.DUMMYFUNCTION("""COMPUTED_VALUE"""),"RAN")</f>
        <v>RAN</v>
      </c>
      <c r="C7042" s="120" t="str">
        <f>IFERROR(__xludf.DUMMYFUNCTION("""COMPUTED_VALUE"""),"La Spreta")</f>
        <v>La Spreta</v>
      </c>
      <c r="D7042" s="120" t="str">
        <f>IFERROR(__xludf.DUMMYFUNCTION("""COMPUTED_VALUE"""),"Italy")</f>
        <v>Italy</v>
      </c>
      <c r="E7042" s="135"/>
      <c r="F7042" s="31"/>
    </row>
    <row r="7043">
      <c r="A7043" s="134" t="str">
        <f>IFERROR(__xludf.DUMMYFUNCTION("""COMPUTED_VALUE"""),"Ravensthorpe")</f>
        <v>Ravensthorpe</v>
      </c>
      <c r="B7043" s="120" t="str">
        <f>IFERROR(__xludf.DUMMYFUNCTION("""COMPUTED_VALUE"""),"RVT")</f>
        <v>RVT</v>
      </c>
      <c r="C7043" s="120" t="str">
        <f>IFERROR(__xludf.DUMMYFUNCTION("""COMPUTED_VALUE"""),"Ravensthorpe")</f>
        <v>Ravensthorpe</v>
      </c>
      <c r="D7043" s="120" t="str">
        <f>IFERROR(__xludf.DUMMYFUNCTION("""COMPUTED_VALUE"""),"Australia")</f>
        <v>Australia</v>
      </c>
      <c r="E7043" s="135"/>
      <c r="F7043" s="31"/>
    </row>
    <row r="7044">
      <c r="A7044" s="134" t="str">
        <f>IFERROR(__xludf.DUMMYFUNCTION("""COMPUTED_VALUE"""),"Rawala Kot")</f>
        <v>Rawala Kot</v>
      </c>
      <c r="B7044" s="120" t="str">
        <f>IFERROR(__xludf.DUMMYFUNCTION("""COMPUTED_VALUE"""),"RAZ")</f>
        <v>RAZ</v>
      </c>
      <c r="C7044" s="120" t="str">
        <f>IFERROR(__xludf.DUMMYFUNCTION("""COMPUTED_VALUE"""),"Rawala Kot")</f>
        <v>Rawala Kot</v>
      </c>
      <c r="D7044" s="120" t="str">
        <f>IFERROR(__xludf.DUMMYFUNCTION("""COMPUTED_VALUE"""),"Pakistan")</f>
        <v>Pakistan</v>
      </c>
      <c r="E7044" s="135"/>
      <c r="F7044" s="31"/>
    </row>
    <row r="7045">
      <c r="A7045" s="134" t="str">
        <f>IFERROR(__xludf.DUMMYFUNCTION("""COMPUTED_VALUE"""),"Rawlins")</f>
        <v>Rawlins</v>
      </c>
      <c r="B7045" s="120" t="str">
        <f>IFERROR(__xludf.DUMMYFUNCTION("""COMPUTED_VALUE"""),"RWL")</f>
        <v>RWL</v>
      </c>
      <c r="C7045" s="120" t="str">
        <f>IFERROR(__xludf.DUMMYFUNCTION("""COMPUTED_VALUE"""),"Rawlins")</f>
        <v>Rawlins</v>
      </c>
      <c r="D7045" s="120" t="str">
        <f>IFERROR(__xludf.DUMMYFUNCTION("""COMPUTED_VALUE"""),"United States")</f>
        <v>United States</v>
      </c>
      <c r="E7045" s="135"/>
      <c r="F7045" s="31"/>
    </row>
    <row r="7046">
      <c r="A7046" s="134" t="str">
        <f>IFERROR(__xludf.DUMMYFUNCTION("""COMPUTED_VALUE"""),"Reading")</f>
        <v>Reading</v>
      </c>
      <c r="B7046" s="120" t="str">
        <f>IFERROR(__xludf.DUMMYFUNCTION("""COMPUTED_VALUE"""),"RDG")</f>
        <v>RDG</v>
      </c>
      <c r="C7046" s="120" t="str">
        <f>IFERROR(__xludf.DUMMYFUNCTION("""COMPUTED_VALUE"""),"Municipal/Spaatz Fld")</f>
        <v>Municipal/Spaatz Fld</v>
      </c>
      <c r="D7046" s="120" t="str">
        <f>IFERROR(__xludf.DUMMYFUNCTION("""COMPUTED_VALUE"""),"United States")</f>
        <v>United States</v>
      </c>
      <c r="E7046" s="135"/>
      <c r="F7046" s="31"/>
    </row>
    <row r="7047">
      <c r="A7047" s="134" t="str">
        <f>IFERROR(__xludf.DUMMYFUNCTION("""COMPUTED_VALUE"""),"Reao")</f>
        <v>Reao</v>
      </c>
      <c r="B7047" s="120" t="str">
        <f>IFERROR(__xludf.DUMMYFUNCTION("""COMPUTED_VALUE"""),"REA")</f>
        <v>REA</v>
      </c>
      <c r="C7047" s="120" t="str">
        <f>IFERROR(__xludf.DUMMYFUNCTION("""COMPUTED_VALUE"""),"Reao")</f>
        <v>Reao</v>
      </c>
      <c r="D7047" s="120" t="str">
        <f>IFERROR(__xludf.DUMMYFUNCTION("""COMPUTED_VALUE"""),"French Polynesia")</f>
        <v>French Polynesia</v>
      </c>
      <c r="E7047" s="135"/>
      <c r="F7047" s="31"/>
    </row>
    <row r="7048">
      <c r="A7048" s="134" t="str">
        <f>IFERROR(__xludf.DUMMYFUNCTION("""COMPUTED_VALUE"""),"Rebun")</f>
        <v>Rebun</v>
      </c>
      <c r="B7048" s="120" t="str">
        <f>IFERROR(__xludf.DUMMYFUNCTION("""COMPUTED_VALUE"""),"RBJ")</f>
        <v>RBJ</v>
      </c>
      <c r="C7048" s="120" t="str">
        <f>IFERROR(__xludf.DUMMYFUNCTION("""COMPUTED_VALUE"""),"Rebun")</f>
        <v>Rebun</v>
      </c>
      <c r="D7048" s="120" t="str">
        <f>IFERROR(__xludf.DUMMYFUNCTION("""COMPUTED_VALUE"""),"Japan")</f>
        <v>Japan</v>
      </c>
      <c r="E7048" s="135"/>
      <c r="F7048" s="31"/>
    </row>
    <row r="7049">
      <c r="A7049" s="134" t="str">
        <f>IFERROR(__xludf.DUMMYFUNCTION("""COMPUTED_VALUE"""),"Rechlin")</f>
        <v>Rechlin</v>
      </c>
      <c r="B7049" s="120" t="str">
        <f>IFERROR(__xludf.DUMMYFUNCTION("""COMPUTED_VALUE"""),"REB")</f>
        <v>REB</v>
      </c>
      <c r="C7049" s="120" t="str">
        <f>IFERROR(__xludf.DUMMYFUNCTION("""COMPUTED_VALUE"""),"Rechlin")</f>
        <v>Rechlin</v>
      </c>
      <c r="D7049" s="120" t="str">
        <f>IFERROR(__xludf.DUMMYFUNCTION("""COMPUTED_VALUE"""),"Germany")</f>
        <v>Germany</v>
      </c>
      <c r="E7049" s="135"/>
      <c r="F7049" s="31"/>
    </row>
    <row r="7050">
      <c r="A7050" s="134" t="str">
        <f>IFERROR(__xludf.DUMMYFUNCTION("""COMPUTED_VALUE"""),"Recife")</f>
        <v>Recife</v>
      </c>
      <c r="B7050" s="120" t="str">
        <f>IFERROR(__xludf.DUMMYFUNCTION("""COMPUTED_VALUE"""),"REC")</f>
        <v>REC</v>
      </c>
      <c r="C7050" s="120" t="str">
        <f>IFERROR(__xludf.DUMMYFUNCTION("""COMPUTED_VALUE"""),"Guararapes Intl")</f>
        <v>Guararapes Intl</v>
      </c>
      <c r="D7050" s="120" t="str">
        <f>IFERROR(__xludf.DUMMYFUNCTION("""COMPUTED_VALUE"""),"Brazil")</f>
        <v>Brazil</v>
      </c>
      <c r="E7050" s="135"/>
      <c r="F7050" s="31"/>
    </row>
    <row r="7051">
      <c r="A7051" s="134" t="str">
        <f>IFERROR(__xludf.DUMMYFUNCTION("""COMPUTED_VALUE"""),"Reconquista")</f>
        <v>Reconquista</v>
      </c>
      <c r="B7051" s="120" t="str">
        <f>IFERROR(__xludf.DUMMYFUNCTION("""COMPUTED_VALUE"""),"RCQ")</f>
        <v>RCQ</v>
      </c>
      <c r="C7051" s="120" t="str">
        <f>IFERROR(__xludf.DUMMYFUNCTION("""COMPUTED_VALUE"""),"Reconquista")</f>
        <v>Reconquista</v>
      </c>
      <c r="D7051" s="120" t="str">
        <f>IFERROR(__xludf.DUMMYFUNCTION("""COMPUTED_VALUE"""),"Argentina")</f>
        <v>Argentina</v>
      </c>
      <c r="E7051" s="135"/>
      <c r="F7051" s="31"/>
    </row>
    <row r="7052">
      <c r="A7052" s="134" t="str">
        <f>IFERROR(__xludf.DUMMYFUNCTION("""COMPUTED_VALUE"""),"Red Bluff")</f>
        <v>Red Bluff</v>
      </c>
      <c r="B7052" s="120" t="str">
        <f>IFERROR(__xludf.DUMMYFUNCTION("""COMPUTED_VALUE"""),"RBL")</f>
        <v>RBL</v>
      </c>
      <c r="C7052" s="120" t="str">
        <f>IFERROR(__xludf.DUMMYFUNCTION("""COMPUTED_VALUE"""),"Red Bluff Fss")</f>
        <v>Red Bluff Fss</v>
      </c>
      <c r="D7052" s="120" t="str">
        <f>IFERROR(__xludf.DUMMYFUNCTION("""COMPUTED_VALUE"""),"United States")</f>
        <v>United States</v>
      </c>
      <c r="E7052" s="135"/>
      <c r="F7052" s="31"/>
    </row>
    <row r="7053">
      <c r="A7053" s="134" t="str">
        <f>IFERROR(__xludf.DUMMYFUNCTION("""COMPUTED_VALUE"""),"Red Deer")</f>
        <v>Red Deer</v>
      </c>
      <c r="B7053" s="120" t="str">
        <f>IFERROR(__xludf.DUMMYFUNCTION("""COMPUTED_VALUE"""),"YQF")</f>
        <v>YQF</v>
      </c>
      <c r="C7053" s="120" t="str">
        <f>IFERROR(__xludf.DUMMYFUNCTION("""COMPUTED_VALUE"""),"Red Deer")</f>
        <v>Red Deer</v>
      </c>
      <c r="D7053" s="120" t="str">
        <f>IFERROR(__xludf.DUMMYFUNCTION("""COMPUTED_VALUE"""),"Canada")</f>
        <v>Canada</v>
      </c>
      <c r="E7053" s="135"/>
      <c r="F7053" s="31"/>
    </row>
    <row r="7054">
      <c r="A7054" s="134" t="str">
        <f>IFERROR(__xludf.DUMMYFUNCTION("""COMPUTED_VALUE"""),"Red Devil")</f>
        <v>Red Devil</v>
      </c>
      <c r="B7054" s="120" t="str">
        <f>IFERROR(__xludf.DUMMYFUNCTION("""COMPUTED_VALUE"""),"RDV")</f>
        <v>RDV</v>
      </c>
      <c r="C7054" s="120" t="str">
        <f>IFERROR(__xludf.DUMMYFUNCTION("""COMPUTED_VALUE"""),"Red Devil")</f>
        <v>Red Devil</v>
      </c>
      <c r="D7054" s="120" t="str">
        <f>IFERROR(__xludf.DUMMYFUNCTION("""COMPUTED_VALUE"""),"United States")</f>
        <v>United States</v>
      </c>
      <c r="E7054" s="135"/>
      <c r="F7054" s="31"/>
    </row>
    <row r="7055">
      <c r="A7055" s="134" t="str">
        <f>IFERROR(__xludf.DUMMYFUNCTION("""COMPUTED_VALUE"""),"Red Dog")</f>
        <v>Red Dog</v>
      </c>
      <c r="B7055" s="120" t="str">
        <f>IFERROR(__xludf.DUMMYFUNCTION("""COMPUTED_VALUE"""),"RDB")</f>
        <v>RDB</v>
      </c>
      <c r="C7055" s="120" t="str">
        <f>IFERROR(__xludf.DUMMYFUNCTION("""COMPUTED_VALUE"""),"Red Dog")</f>
        <v>Red Dog</v>
      </c>
      <c r="D7055" s="120" t="str">
        <f>IFERROR(__xludf.DUMMYFUNCTION("""COMPUTED_VALUE"""),"United States")</f>
        <v>United States</v>
      </c>
      <c r="E7055" s="135"/>
      <c r="F7055" s="31"/>
    </row>
    <row r="7056">
      <c r="A7056" s="134" t="str">
        <f>IFERROR(__xludf.DUMMYFUNCTION("""COMPUTED_VALUE"""),"Red Lake")</f>
        <v>Red Lake</v>
      </c>
      <c r="B7056" s="120" t="str">
        <f>IFERROR(__xludf.DUMMYFUNCTION("""COMPUTED_VALUE"""),"YRL")</f>
        <v>YRL</v>
      </c>
      <c r="C7056" s="120" t="str">
        <f>IFERROR(__xludf.DUMMYFUNCTION("""COMPUTED_VALUE"""),"Red Lake")</f>
        <v>Red Lake</v>
      </c>
      <c r="D7056" s="120" t="str">
        <f>IFERROR(__xludf.DUMMYFUNCTION("""COMPUTED_VALUE"""),"Canada")</f>
        <v>Canada</v>
      </c>
      <c r="E7056" s="135"/>
      <c r="F7056" s="31"/>
    </row>
    <row r="7057">
      <c r="A7057" s="134" t="str">
        <f>IFERROR(__xludf.DUMMYFUNCTION("""COMPUTED_VALUE"""),"Red River")</f>
        <v>Red River</v>
      </c>
      <c r="B7057" s="120" t="str">
        <f>IFERROR(__xludf.DUMMYFUNCTION("""COMPUTED_VALUE"""),"RDR")</f>
        <v>RDR</v>
      </c>
      <c r="C7057" s="120" t="str">
        <f>IFERROR(__xludf.DUMMYFUNCTION("""COMPUTED_VALUE"""),"Grand Forks AFB")</f>
        <v>Grand Forks AFB</v>
      </c>
      <c r="D7057" s="120" t="str">
        <f>IFERROR(__xludf.DUMMYFUNCTION("""COMPUTED_VALUE"""),"United States")</f>
        <v>United States</v>
      </c>
      <c r="E7057" s="135"/>
      <c r="F7057" s="31"/>
    </row>
    <row r="7058">
      <c r="A7058" s="134" t="str">
        <f>IFERROR(__xludf.DUMMYFUNCTION("""COMPUTED_VALUE"""),"Red Sucker Lake")</f>
        <v>Red Sucker Lake</v>
      </c>
      <c r="B7058" s="120" t="str">
        <f>IFERROR(__xludf.DUMMYFUNCTION("""COMPUTED_VALUE"""),"YRS")</f>
        <v>YRS</v>
      </c>
      <c r="C7058" s="120" t="str">
        <f>IFERROR(__xludf.DUMMYFUNCTION("""COMPUTED_VALUE"""),"Red Sucker Lake")</f>
        <v>Red Sucker Lake</v>
      </c>
      <c r="D7058" s="120" t="str">
        <f>IFERROR(__xludf.DUMMYFUNCTION("""COMPUTED_VALUE"""),"Canada")</f>
        <v>Canada</v>
      </c>
      <c r="E7058" s="135"/>
      <c r="F7058" s="31"/>
    </row>
    <row r="7059">
      <c r="A7059" s="134" t="str">
        <f>IFERROR(__xludf.DUMMYFUNCTION("""COMPUTED_VALUE"""),"Redang")</f>
        <v>Redang</v>
      </c>
      <c r="B7059" s="120" t="str">
        <f>IFERROR(__xludf.DUMMYFUNCTION("""COMPUTED_VALUE"""),"RDN")</f>
        <v>RDN</v>
      </c>
      <c r="C7059" s="120" t="str">
        <f>IFERROR(__xludf.DUMMYFUNCTION("""COMPUTED_VALUE"""),"LTS Pulau Redang")</f>
        <v>LTS Pulau Redang</v>
      </c>
      <c r="D7059" s="120" t="str">
        <f>IFERROR(__xludf.DUMMYFUNCTION("""COMPUTED_VALUE"""),"Malaysia")</f>
        <v>Malaysia</v>
      </c>
      <c r="E7059" s="135"/>
      <c r="F7059" s="31"/>
    </row>
    <row r="7060">
      <c r="A7060" s="134" t="str">
        <f>IFERROR(__xludf.DUMMYFUNCTION("""COMPUTED_VALUE"""),"Redcliffe")</f>
        <v>Redcliffe</v>
      </c>
      <c r="B7060" s="120" t="str">
        <f>IFERROR(__xludf.DUMMYFUNCTION("""COMPUTED_VALUE"""),"RCL")</f>
        <v>RCL</v>
      </c>
      <c r="C7060" s="120" t="str">
        <f>IFERROR(__xludf.DUMMYFUNCTION("""COMPUTED_VALUE"""),"Redcliffe")</f>
        <v>Redcliffe</v>
      </c>
      <c r="D7060" s="120" t="str">
        <f>IFERROR(__xludf.DUMMYFUNCTION("""COMPUTED_VALUE"""),"Vanuatu")</f>
        <v>Vanuatu</v>
      </c>
      <c r="E7060" s="135"/>
      <c r="F7060" s="31"/>
    </row>
    <row r="7061">
      <c r="A7061" s="134" t="str">
        <f>IFERROR(__xludf.DUMMYFUNCTION("""COMPUTED_VALUE"""),"Redding")</f>
        <v>Redding</v>
      </c>
      <c r="B7061" s="120" t="str">
        <f>IFERROR(__xludf.DUMMYFUNCTION("""COMPUTED_VALUE"""),"RDD")</f>
        <v>RDD</v>
      </c>
      <c r="C7061" s="120" t="str">
        <f>IFERROR(__xludf.DUMMYFUNCTION("""COMPUTED_VALUE"""),"Redding")</f>
        <v>Redding</v>
      </c>
      <c r="D7061" s="120" t="str">
        <f>IFERROR(__xludf.DUMMYFUNCTION("""COMPUTED_VALUE"""),"United States")</f>
        <v>United States</v>
      </c>
      <c r="E7061" s="135"/>
      <c r="F7061" s="31"/>
    </row>
    <row r="7062">
      <c r="A7062" s="134" t="str">
        <f>IFERROR(__xludf.DUMMYFUNCTION("""COMPUTED_VALUE"""),"Redencao")</f>
        <v>Redencao</v>
      </c>
      <c r="B7062" s="120" t="str">
        <f>IFERROR(__xludf.DUMMYFUNCTION("""COMPUTED_VALUE"""),"RDC")</f>
        <v>RDC</v>
      </c>
      <c r="C7062" s="120" t="str">
        <f>IFERROR(__xludf.DUMMYFUNCTION("""COMPUTED_VALUE"""),"Redencao")</f>
        <v>Redencao</v>
      </c>
      <c r="D7062" s="120" t="str">
        <f>IFERROR(__xludf.DUMMYFUNCTION("""COMPUTED_VALUE"""),"Brazil")</f>
        <v>Brazil</v>
      </c>
      <c r="E7062" s="135"/>
      <c r="F7062" s="31"/>
    </row>
    <row r="7063">
      <c r="A7063" s="134" t="str">
        <f>IFERROR(__xludf.DUMMYFUNCTION("""COMPUTED_VALUE"""),"Redmond")</f>
        <v>Redmond</v>
      </c>
      <c r="B7063" s="120" t="str">
        <f>IFERROR(__xludf.DUMMYFUNCTION("""COMPUTED_VALUE"""),"RDM")</f>
        <v>RDM</v>
      </c>
      <c r="C7063" s="120" t="str">
        <f>IFERROR(__xludf.DUMMYFUNCTION("""COMPUTED_VALUE"""),"Roberts Field")</f>
        <v>Roberts Field</v>
      </c>
      <c r="D7063" s="120" t="str">
        <f>IFERROR(__xludf.DUMMYFUNCTION("""COMPUTED_VALUE"""),"United States")</f>
        <v>United States</v>
      </c>
      <c r="E7063" s="135"/>
      <c r="F7063" s="31"/>
    </row>
    <row r="7064">
      <c r="A7064" s="134" t="str">
        <f>IFERROR(__xludf.DUMMYFUNCTION("""COMPUTED_VALUE"""),"Redwood Falls")</f>
        <v>Redwood Falls</v>
      </c>
      <c r="B7064" s="120" t="str">
        <f>IFERROR(__xludf.DUMMYFUNCTION("""COMPUTED_VALUE"""),"RWF")</f>
        <v>RWF</v>
      </c>
      <c r="C7064" s="120" t="str">
        <f>IFERROR(__xludf.DUMMYFUNCTION("""COMPUTED_VALUE"""),"Redwood Falls Muni")</f>
        <v>Redwood Falls Muni</v>
      </c>
      <c r="D7064" s="120" t="str">
        <f>IFERROR(__xludf.DUMMYFUNCTION("""COMPUTED_VALUE"""),"United States")</f>
        <v>United States</v>
      </c>
      <c r="E7064" s="135"/>
      <c r="F7064" s="31"/>
    </row>
    <row r="7065">
      <c r="A7065" s="134" t="str">
        <f>IFERROR(__xludf.DUMMYFUNCTION("""COMPUTED_VALUE"""),"Reed City")</f>
        <v>Reed City</v>
      </c>
      <c r="B7065" s="120" t="str">
        <f>IFERROR(__xludf.DUMMYFUNCTION("""COMPUTED_VALUE"""),"RCT")</f>
        <v>RCT</v>
      </c>
      <c r="C7065" s="120" t="str">
        <f>IFERROR(__xludf.DUMMYFUNCTION("""COMPUTED_VALUE"""),"Miller Field")</f>
        <v>Miller Field</v>
      </c>
      <c r="D7065" s="120" t="str">
        <f>IFERROR(__xludf.DUMMYFUNCTION("""COMPUTED_VALUE"""),"United States")</f>
        <v>United States</v>
      </c>
      <c r="E7065" s="135"/>
      <c r="F7065" s="31"/>
    </row>
    <row r="7066">
      <c r="A7066" s="134" t="str">
        <f>IFERROR(__xludf.DUMMYFUNCTION("""COMPUTED_VALUE"""),"Reedsville")</f>
        <v>Reedsville</v>
      </c>
      <c r="B7066" s="120" t="str">
        <f>IFERROR(__xludf.DUMMYFUNCTION("""COMPUTED_VALUE"""),"RED")</f>
        <v>RED</v>
      </c>
      <c r="C7066" s="120" t="str">
        <f>IFERROR(__xludf.DUMMYFUNCTION("""COMPUTED_VALUE"""),"Mifflin County")</f>
        <v>Mifflin County</v>
      </c>
      <c r="D7066" s="120" t="str">
        <f>IFERROR(__xludf.DUMMYFUNCTION("""COMPUTED_VALUE"""),"United States")</f>
        <v>United States</v>
      </c>
      <c r="E7066" s="135"/>
      <c r="F7066" s="31"/>
    </row>
    <row r="7067">
      <c r="A7067" s="134" t="str">
        <f>IFERROR(__xludf.DUMMYFUNCTION("""COMPUTED_VALUE"""),"Refugio")</f>
        <v>Refugio</v>
      </c>
      <c r="B7067" s="120" t="str">
        <f>IFERROR(__xludf.DUMMYFUNCTION("""COMPUTED_VALUE"""),"RFG")</f>
        <v>RFG</v>
      </c>
      <c r="C7067" s="120" t="str">
        <f>IFERROR(__xludf.DUMMYFUNCTION("""COMPUTED_VALUE"""),"Rooke Field")</f>
        <v>Rooke Field</v>
      </c>
      <c r="D7067" s="120" t="str">
        <f>IFERROR(__xludf.DUMMYFUNCTION("""COMPUTED_VALUE"""),"United States")</f>
        <v>United States</v>
      </c>
      <c r="E7067" s="135"/>
      <c r="F7067" s="31"/>
    </row>
    <row r="7068">
      <c r="A7068" s="134" t="str">
        <f>IFERROR(__xludf.DUMMYFUNCTION("""COMPUTED_VALUE"""),"Reggio Calabria")</f>
        <v>Reggio Calabria</v>
      </c>
      <c r="B7068" s="120" t="str">
        <f>IFERROR(__xludf.DUMMYFUNCTION("""COMPUTED_VALUE"""),"REG")</f>
        <v>REG</v>
      </c>
      <c r="C7068" s="120" t="str">
        <f>IFERROR(__xludf.DUMMYFUNCTION("""COMPUTED_VALUE"""),"Tito Menniti")</f>
        <v>Tito Menniti</v>
      </c>
      <c r="D7068" s="120" t="str">
        <f>IFERROR(__xludf.DUMMYFUNCTION("""COMPUTED_VALUE"""),"Italy")</f>
        <v>Italy</v>
      </c>
      <c r="E7068" s="135"/>
      <c r="F7068" s="31"/>
    </row>
    <row r="7069">
      <c r="A7069" s="134" t="str">
        <f>IFERROR(__xludf.DUMMYFUNCTION("""COMPUTED_VALUE"""),"Regina")</f>
        <v>Regina</v>
      </c>
      <c r="B7069" s="120" t="str">
        <f>IFERROR(__xludf.DUMMYFUNCTION("""COMPUTED_VALUE"""),"REI")</f>
        <v>REI</v>
      </c>
      <c r="C7069" s="120" t="str">
        <f>IFERROR(__xludf.DUMMYFUNCTION("""COMPUTED_VALUE"""),"Regina")</f>
        <v>Regina</v>
      </c>
      <c r="D7069" s="120" t="str">
        <f>IFERROR(__xludf.DUMMYFUNCTION("""COMPUTED_VALUE"""),"French Guiana")</f>
        <v>French Guiana</v>
      </c>
      <c r="E7069" s="135"/>
      <c r="F7069" s="31"/>
    </row>
    <row r="7070">
      <c r="A7070" s="134" t="str">
        <f>IFERROR(__xludf.DUMMYFUNCTION("""COMPUTED_VALUE"""),"Regina, Saskatchewan")</f>
        <v>Regina, Saskatchewan</v>
      </c>
      <c r="B7070" s="120" t="str">
        <f>IFERROR(__xludf.DUMMYFUNCTION("""COMPUTED_VALUE"""),"YQR")</f>
        <v>YQR</v>
      </c>
      <c r="C7070" s="120" t="str">
        <f>IFERROR(__xludf.DUMMYFUNCTION("""COMPUTED_VALUE"""),"Regina")</f>
        <v>Regina</v>
      </c>
      <c r="D7070" s="120" t="str">
        <f>IFERROR(__xludf.DUMMYFUNCTION("""COMPUTED_VALUE"""),"Canada")</f>
        <v>Canada</v>
      </c>
      <c r="E7070" s="135"/>
      <c r="F7070" s="31"/>
    </row>
    <row r="7071">
      <c r="A7071" s="134" t="str">
        <f>IFERROR(__xludf.DUMMYFUNCTION("""COMPUTED_VALUE"""),"Rehoboth Beach")</f>
        <v>Rehoboth Beach</v>
      </c>
      <c r="B7071" s="120" t="str">
        <f>IFERROR(__xludf.DUMMYFUNCTION("""COMPUTED_VALUE"""),"REH")</f>
        <v>REH</v>
      </c>
      <c r="C7071" s="120" t="str">
        <f>IFERROR(__xludf.DUMMYFUNCTION("""COMPUTED_VALUE"""),"Rehoboth Beach")</f>
        <v>Rehoboth Beach</v>
      </c>
      <c r="D7071" s="120" t="str">
        <f>IFERROR(__xludf.DUMMYFUNCTION("""COMPUTED_VALUE"""),"United States")</f>
        <v>United States</v>
      </c>
      <c r="E7071" s="135"/>
      <c r="F7071" s="31"/>
    </row>
    <row r="7072">
      <c r="A7072" s="134" t="str">
        <f>IFERROR(__xludf.DUMMYFUNCTION("""COMPUTED_VALUE"""),"Reims")</f>
        <v>Reims</v>
      </c>
      <c r="B7072" s="120" t="str">
        <f>IFERROR(__xludf.DUMMYFUNCTION("""COMPUTED_VALUE"""),"RHE")</f>
        <v>RHE</v>
      </c>
      <c r="C7072" s="120" t="str">
        <f>IFERROR(__xludf.DUMMYFUNCTION("""COMPUTED_VALUE"""),"Reims")</f>
        <v>Reims</v>
      </c>
      <c r="D7072" s="120" t="str">
        <f>IFERROR(__xludf.DUMMYFUNCTION("""COMPUTED_VALUE"""),"France")</f>
        <v>France</v>
      </c>
      <c r="E7072" s="135"/>
      <c r="F7072" s="31"/>
    </row>
    <row r="7073">
      <c r="A7073" s="134" t="str">
        <f>IFERROR(__xludf.DUMMYFUNCTION("""COMPUTED_VALUE"""),"Reivilo")</f>
        <v>Reivilo</v>
      </c>
      <c r="B7073" s="120" t="str">
        <f>IFERROR(__xludf.DUMMYFUNCTION("""COMPUTED_VALUE"""),"RVO")</f>
        <v>RVO</v>
      </c>
      <c r="C7073" s="120" t="str">
        <f>IFERROR(__xludf.DUMMYFUNCTION("""COMPUTED_VALUE"""),"Reivilo")</f>
        <v>Reivilo</v>
      </c>
      <c r="D7073" s="120" t="str">
        <f>IFERROR(__xludf.DUMMYFUNCTION("""COMPUTED_VALUE"""),"South Africa")</f>
        <v>South Africa</v>
      </c>
      <c r="E7073" s="135"/>
      <c r="F7073" s="31"/>
    </row>
    <row r="7074">
      <c r="A7074" s="134" t="str">
        <f>IFERROR(__xludf.DUMMYFUNCTION("""COMPUTED_VALUE"""),"Rengat")</f>
        <v>Rengat</v>
      </c>
      <c r="B7074" s="120" t="str">
        <f>IFERROR(__xludf.DUMMYFUNCTION("""COMPUTED_VALUE"""),"RGT")</f>
        <v>RGT</v>
      </c>
      <c r="C7074" s="120" t="str">
        <f>IFERROR(__xludf.DUMMYFUNCTION("""COMPUTED_VALUE"""),"Japura")</f>
        <v>Japura</v>
      </c>
      <c r="D7074" s="120" t="str">
        <f>IFERROR(__xludf.DUMMYFUNCTION("""COMPUTED_VALUE"""),"Indonesia")</f>
        <v>Indonesia</v>
      </c>
      <c r="E7074" s="135"/>
      <c r="F7074" s="31"/>
    </row>
    <row r="7075">
      <c r="A7075" s="134" t="str">
        <f>IFERROR(__xludf.DUMMYFUNCTION("""COMPUTED_VALUE"""),"Renmark")</f>
        <v>Renmark</v>
      </c>
      <c r="B7075" s="120" t="str">
        <f>IFERROR(__xludf.DUMMYFUNCTION("""COMPUTED_VALUE"""),"RMK")</f>
        <v>RMK</v>
      </c>
      <c r="C7075" s="120" t="str">
        <f>IFERROR(__xludf.DUMMYFUNCTION("""COMPUTED_VALUE"""),"Renmark")</f>
        <v>Renmark</v>
      </c>
      <c r="D7075" s="120" t="str">
        <f>IFERROR(__xludf.DUMMYFUNCTION("""COMPUTED_VALUE"""),"Australia")</f>
        <v>Australia</v>
      </c>
      <c r="E7075" s="135"/>
      <c r="F7075" s="31"/>
    </row>
    <row r="7076">
      <c r="A7076" s="134" t="str">
        <f>IFERROR(__xludf.DUMMYFUNCTION("""COMPUTED_VALUE"""),"Rennell")</f>
        <v>Rennell</v>
      </c>
      <c r="B7076" s="120" t="str">
        <f>IFERROR(__xludf.DUMMYFUNCTION("""COMPUTED_VALUE"""),"RNL")</f>
        <v>RNL</v>
      </c>
      <c r="C7076" s="120" t="str">
        <f>IFERROR(__xludf.DUMMYFUNCTION("""COMPUTED_VALUE"""),"Rennell")</f>
        <v>Rennell</v>
      </c>
      <c r="D7076" s="120" t="str">
        <f>IFERROR(__xludf.DUMMYFUNCTION("""COMPUTED_VALUE"""),"Solomon Islands")</f>
        <v>Solomon Islands</v>
      </c>
      <c r="E7076" s="135"/>
      <c r="F7076" s="31"/>
    </row>
    <row r="7077">
      <c r="A7077" s="134" t="str">
        <f>IFERROR(__xludf.DUMMYFUNCTION("""COMPUTED_VALUE"""),"Rennes")</f>
        <v>Rennes</v>
      </c>
      <c r="B7077" s="120" t="str">
        <f>IFERROR(__xludf.DUMMYFUNCTION("""COMPUTED_VALUE"""),"ZFJ")</f>
        <v>ZFJ</v>
      </c>
      <c r="C7077" s="120" t="str">
        <f>IFERROR(__xludf.DUMMYFUNCTION("""COMPUTED_VALUE"""),"Gare de Rennes")</f>
        <v>Gare de Rennes</v>
      </c>
      <c r="D7077" s="120" t="str">
        <f>IFERROR(__xludf.DUMMYFUNCTION("""COMPUTED_VALUE"""),"France")</f>
        <v>France</v>
      </c>
      <c r="E7077" s="135"/>
      <c r="F7077" s="31"/>
    </row>
    <row r="7078">
      <c r="A7078" s="134" t="str">
        <f>IFERROR(__xludf.DUMMYFUNCTION("""COMPUTED_VALUE"""),"Rennes")</f>
        <v>Rennes</v>
      </c>
      <c r="B7078" s="120" t="str">
        <f>IFERROR(__xludf.DUMMYFUNCTION("""COMPUTED_VALUE"""),"RNS")</f>
        <v>RNS</v>
      </c>
      <c r="C7078" s="120" t="str">
        <f>IFERROR(__xludf.DUMMYFUNCTION("""COMPUTED_VALUE"""),"St Jacques")</f>
        <v>St Jacques</v>
      </c>
      <c r="D7078" s="120" t="str">
        <f>IFERROR(__xludf.DUMMYFUNCTION("""COMPUTED_VALUE"""),"France")</f>
        <v>France</v>
      </c>
      <c r="E7078" s="135"/>
      <c r="F7078" s="31"/>
    </row>
    <row r="7079">
      <c r="A7079" s="134" t="str">
        <f>IFERROR(__xludf.DUMMYFUNCTION("""COMPUTED_VALUE"""),"Rensselaer")</f>
        <v>Rensselaer</v>
      </c>
      <c r="B7079" s="120" t="str">
        <f>IFERROR(__xludf.DUMMYFUNCTION("""COMPUTED_VALUE"""),"RNZ")</f>
        <v>RNZ</v>
      </c>
      <c r="C7079" s="120" t="str">
        <f>IFERROR(__xludf.DUMMYFUNCTION("""COMPUTED_VALUE"""),"Rensselaer")</f>
        <v>Rensselaer</v>
      </c>
      <c r="D7079" s="120" t="str">
        <f>IFERROR(__xludf.DUMMYFUNCTION("""COMPUTED_VALUE"""),"United States")</f>
        <v>United States</v>
      </c>
      <c r="E7079" s="135"/>
      <c r="F7079" s="31"/>
    </row>
    <row r="7080">
      <c r="A7080" s="134" t="str">
        <f>IFERROR(__xludf.DUMMYFUNCTION("""COMPUTED_VALUE"""),"Renton")</f>
        <v>Renton</v>
      </c>
      <c r="B7080" s="120" t="str">
        <f>IFERROR(__xludf.DUMMYFUNCTION("""COMPUTED_VALUE"""),"RNT")</f>
        <v>RNT</v>
      </c>
      <c r="C7080" s="120" t="str">
        <f>IFERROR(__xludf.DUMMYFUNCTION("""COMPUTED_VALUE"""),"Renton")</f>
        <v>Renton</v>
      </c>
      <c r="D7080" s="120" t="str">
        <f>IFERROR(__xludf.DUMMYFUNCTION("""COMPUTED_VALUE"""),"United States")</f>
        <v>United States</v>
      </c>
      <c r="E7080" s="135"/>
      <c r="F7080" s="31"/>
    </row>
    <row r="7081">
      <c r="A7081" s="134" t="str">
        <f>IFERROR(__xludf.DUMMYFUNCTION("""COMPUTED_VALUE"""),"Repulse Bay")</f>
        <v>Repulse Bay</v>
      </c>
      <c r="B7081" s="120" t="str">
        <f>IFERROR(__xludf.DUMMYFUNCTION("""COMPUTED_VALUE"""),"YUT")</f>
        <v>YUT</v>
      </c>
      <c r="C7081" s="120" t="str">
        <f>IFERROR(__xludf.DUMMYFUNCTION("""COMPUTED_VALUE"""),"Repulse Bay")</f>
        <v>Repulse Bay</v>
      </c>
      <c r="D7081" s="120" t="str">
        <f>IFERROR(__xludf.DUMMYFUNCTION("""COMPUTED_VALUE"""),"Canada")</f>
        <v>Canada</v>
      </c>
      <c r="E7081" s="135"/>
      <c r="F7081" s="31"/>
    </row>
    <row r="7082">
      <c r="A7082" s="134" t="str">
        <f>IFERROR(__xludf.DUMMYFUNCTION("""COMPUTED_VALUE"""),"Resende")</f>
        <v>Resende</v>
      </c>
      <c r="B7082" s="120" t="str">
        <f>IFERROR(__xludf.DUMMYFUNCTION("""COMPUTED_VALUE"""),"REZ")</f>
        <v>REZ</v>
      </c>
      <c r="C7082" s="120" t="str">
        <f>IFERROR(__xludf.DUMMYFUNCTION("""COMPUTED_VALUE"""),"Resende")</f>
        <v>Resende</v>
      </c>
      <c r="D7082" s="120" t="str">
        <f>IFERROR(__xludf.DUMMYFUNCTION("""COMPUTED_VALUE"""),"Brazil")</f>
        <v>Brazil</v>
      </c>
      <c r="E7082" s="135"/>
      <c r="F7082" s="31"/>
    </row>
    <row r="7083">
      <c r="A7083" s="134" t="str">
        <f>IFERROR(__xludf.DUMMYFUNCTION("""COMPUTED_VALUE"""),"Reserved")</f>
        <v>Reserved</v>
      </c>
      <c r="B7083" s="120" t="str">
        <f>IFERROR(__xludf.DUMMYFUNCTION("""COMPUTED_VALUE"""),"QSP")</f>
        <v>QSP</v>
      </c>
      <c r="C7083" s="120" t="str">
        <f>IFERROR(__xludf.DUMMYFUNCTION("""COMPUTED_VALUE"""),"Network Service Code")</f>
        <v>Network Service Code</v>
      </c>
      <c r="D7083" s="120"/>
      <c r="E7083" s="135"/>
      <c r="F7083" s="31"/>
    </row>
    <row r="7084">
      <c r="A7084" s="134" t="str">
        <f>IFERROR(__xludf.DUMMYFUNCTION("""COMPUTED_VALUE"""),"Resistencia")</f>
        <v>Resistencia</v>
      </c>
      <c r="B7084" s="120" t="str">
        <f>IFERROR(__xludf.DUMMYFUNCTION("""COMPUTED_VALUE"""),"RES")</f>
        <v>RES</v>
      </c>
      <c r="C7084" s="120" t="str">
        <f>IFERROR(__xludf.DUMMYFUNCTION("""COMPUTED_VALUE"""),"Resistencia")</f>
        <v>Resistencia</v>
      </c>
      <c r="D7084" s="120" t="str">
        <f>IFERROR(__xludf.DUMMYFUNCTION("""COMPUTED_VALUE"""),"Argentina")</f>
        <v>Argentina</v>
      </c>
      <c r="E7084" s="135"/>
      <c r="F7084" s="31"/>
    </row>
    <row r="7085">
      <c r="A7085" s="134" t="str">
        <f>IFERROR(__xludf.DUMMYFUNCTION("""COMPUTED_VALUE"""),"Resolute")</f>
        <v>Resolute</v>
      </c>
      <c r="B7085" s="120" t="str">
        <f>IFERROR(__xludf.DUMMYFUNCTION("""COMPUTED_VALUE"""),"YRB")</f>
        <v>YRB</v>
      </c>
      <c r="C7085" s="120" t="str">
        <f>IFERROR(__xludf.DUMMYFUNCTION("""COMPUTED_VALUE"""),"Resolute")</f>
        <v>Resolute</v>
      </c>
      <c r="D7085" s="120" t="str">
        <f>IFERROR(__xludf.DUMMYFUNCTION("""COMPUTED_VALUE"""),"Canada")</f>
        <v>Canada</v>
      </c>
      <c r="E7085" s="135"/>
      <c r="F7085" s="31"/>
    </row>
    <row r="7086">
      <c r="A7086" s="134" t="str">
        <f>IFERROR(__xludf.DUMMYFUNCTION("""COMPUTED_VALUE"""),"Resolution Island")</f>
        <v>Resolution Island</v>
      </c>
      <c r="B7086" s="120" t="str">
        <f>IFERROR(__xludf.DUMMYFUNCTION("""COMPUTED_VALUE"""),"YRE")</f>
        <v>YRE</v>
      </c>
      <c r="C7086" s="120" t="str">
        <f>IFERROR(__xludf.DUMMYFUNCTION("""COMPUTED_VALUE"""),"Resolution Island")</f>
        <v>Resolution Island</v>
      </c>
      <c r="D7086" s="120" t="str">
        <f>IFERROR(__xludf.DUMMYFUNCTION("""COMPUTED_VALUE"""),"Canada")</f>
        <v>Canada</v>
      </c>
      <c r="E7086" s="135"/>
      <c r="F7086" s="31"/>
    </row>
    <row r="7087">
      <c r="A7087" s="134" t="str">
        <f>IFERROR(__xludf.DUMMYFUNCTION("""COMPUTED_VALUE"""),"Retalhuleu")</f>
        <v>Retalhuleu</v>
      </c>
      <c r="B7087" s="120" t="str">
        <f>IFERROR(__xludf.DUMMYFUNCTION("""COMPUTED_VALUE"""),"RER")</f>
        <v>RER</v>
      </c>
      <c r="C7087" s="120" t="str">
        <f>IFERROR(__xludf.DUMMYFUNCTION("""COMPUTED_VALUE"""),"Base Aerea Del Sur")</f>
        <v>Base Aerea Del Sur</v>
      </c>
      <c r="D7087" s="120" t="str">
        <f>IFERROR(__xludf.DUMMYFUNCTION("""COMPUTED_VALUE"""),"Guatemala")</f>
        <v>Guatemala</v>
      </c>
      <c r="E7087" s="135"/>
      <c r="F7087" s="31"/>
    </row>
    <row r="7088">
      <c r="A7088" s="134" t="str">
        <f>IFERROR(__xludf.DUMMYFUNCTION("""COMPUTED_VALUE"""),"Reus")</f>
        <v>Reus</v>
      </c>
      <c r="B7088" s="120" t="str">
        <f>IFERROR(__xludf.DUMMYFUNCTION("""COMPUTED_VALUE"""),"REU")</f>
        <v>REU</v>
      </c>
      <c r="C7088" s="120" t="str">
        <f>IFERROR(__xludf.DUMMYFUNCTION("""COMPUTED_VALUE"""),"Reus")</f>
        <v>Reus</v>
      </c>
      <c r="D7088" s="120" t="str">
        <f>IFERROR(__xludf.DUMMYFUNCTION("""COMPUTED_VALUE"""),"Spain")</f>
        <v>Spain</v>
      </c>
      <c r="E7088" s="135"/>
      <c r="F7088" s="31"/>
    </row>
    <row r="7089">
      <c r="A7089" s="134" t="str">
        <f>IFERROR(__xludf.DUMMYFUNCTION("""COMPUTED_VALUE"""),"Revelstoke")</f>
        <v>Revelstoke</v>
      </c>
      <c r="B7089" s="120" t="str">
        <f>IFERROR(__xludf.DUMMYFUNCTION("""COMPUTED_VALUE"""),"YRV")</f>
        <v>YRV</v>
      </c>
      <c r="C7089" s="120" t="str">
        <f>IFERROR(__xludf.DUMMYFUNCTION("""COMPUTED_VALUE"""),"Revelstoke")</f>
        <v>Revelstoke</v>
      </c>
      <c r="D7089" s="120" t="str">
        <f>IFERROR(__xludf.DUMMYFUNCTION("""COMPUTED_VALUE"""),"Canada")</f>
        <v>Canada</v>
      </c>
      <c r="E7089" s="135"/>
      <c r="F7089" s="31"/>
    </row>
    <row r="7090">
      <c r="A7090" s="134" t="str">
        <f>IFERROR(__xludf.DUMMYFUNCTION("""COMPUTED_VALUE"""),"Rewa")</f>
        <v>Rewa</v>
      </c>
      <c r="B7090" s="120" t="str">
        <f>IFERROR(__xludf.DUMMYFUNCTION("""COMPUTED_VALUE"""),"REW")</f>
        <v>REW</v>
      </c>
      <c r="C7090" s="120" t="str">
        <f>IFERROR(__xludf.DUMMYFUNCTION("""COMPUTED_VALUE"""),"Rewa")</f>
        <v>Rewa</v>
      </c>
      <c r="D7090" s="120" t="str">
        <f>IFERROR(__xludf.DUMMYFUNCTION("""COMPUTED_VALUE"""),"India")</f>
        <v>India</v>
      </c>
      <c r="E7090" s="135"/>
      <c r="F7090" s="31"/>
    </row>
    <row r="7091">
      <c r="A7091" s="134" t="str">
        <f>IFERROR(__xludf.DUMMYFUNCTION("""COMPUTED_VALUE"""),"Reyes")</f>
        <v>Reyes</v>
      </c>
      <c r="B7091" s="120" t="str">
        <f>IFERROR(__xludf.DUMMYFUNCTION("""COMPUTED_VALUE"""),"REY")</f>
        <v>REY</v>
      </c>
      <c r="C7091" s="120" t="str">
        <f>IFERROR(__xludf.DUMMYFUNCTION("""COMPUTED_VALUE"""),"Reyes")</f>
        <v>Reyes</v>
      </c>
      <c r="D7091" s="120" t="str">
        <f>IFERROR(__xludf.DUMMYFUNCTION("""COMPUTED_VALUE"""),"Bolivia")</f>
        <v>Bolivia</v>
      </c>
      <c r="E7091" s="135"/>
      <c r="F7091" s="31"/>
    </row>
    <row r="7092">
      <c r="A7092" s="134" t="str">
        <f>IFERROR(__xludf.DUMMYFUNCTION("""COMPUTED_VALUE"""),"Reykholar")</f>
        <v>Reykholar</v>
      </c>
      <c r="B7092" s="120" t="str">
        <f>IFERROR(__xludf.DUMMYFUNCTION("""COMPUTED_VALUE"""),"RHA")</f>
        <v>RHA</v>
      </c>
      <c r="C7092" s="120" t="str">
        <f>IFERROR(__xludf.DUMMYFUNCTION("""COMPUTED_VALUE"""),"Reykholar")</f>
        <v>Reykholar</v>
      </c>
      <c r="D7092" s="120" t="str">
        <f>IFERROR(__xludf.DUMMYFUNCTION("""COMPUTED_VALUE"""),"Iceland")</f>
        <v>Iceland</v>
      </c>
      <c r="E7092" s="135"/>
      <c r="F7092" s="31"/>
    </row>
    <row r="7093">
      <c r="A7093" s="134" t="str">
        <f>IFERROR(__xludf.DUMMYFUNCTION("""COMPUTED_VALUE"""),"Reykjavik")</f>
        <v>Reykjavik</v>
      </c>
      <c r="B7093" s="120" t="str">
        <f>IFERROR(__xludf.DUMMYFUNCTION("""COMPUTED_VALUE"""),"KEF")</f>
        <v>KEF</v>
      </c>
      <c r="C7093" s="120" t="str">
        <f>IFERROR(__xludf.DUMMYFUNCTION("""COMPUTED_VALUE"""),"Keflavik International")</f>
        <v>Keflavik International</v>
      </c>
      <c r="D7093" s="120" t="str">
        <f>IFERROR(__xludf.DUMMYFUNCTION("""COMPUTED_VALUE"""),"Iceland")</f>
        <v>Iceland</v>
      </c>
      <c r="E7093" s="135"/>
      <c r="F7093" s="31"/>
    </row>
    <row r="7094">
      <c r="A7094" s="134" t="str">
        <f>IFERROR(__xludf.DUMMYFUNCTION("""COMPUTED_VALUE"""),"Reykjavik")</f>
        <v>Reykjavik</v>
      </c>
      <c r="B7094" s="120" t="str">
        <f>IFERROR(__xludf.DUMMYFUNCTION("""COMPUTED_VALUE"""),"RKV")</f>
        <v>RKV</v>
      </c>
      <c r="C7094" s="120" t="str">
        <f>IFERROR(__xludf.DUMMYFUNCTION("""COMPUTED_VALUE"""),"Reykjavik Domestic")</f>
        <v>Reykjavik Domestic</v>
      </c>
      <c r="D7094" s="120" t="str">
        <f>IFERROR(__xludf.DUMMYFUNCTION("""COMPUTED_VALUE"""),"Iceland")</f>
        <v>Iceland</v>
      </c>
      <c r="E7094" s="135"/>
      <c r="F7094" s="31"/>
    </row>
    <row r="7095">
      <c r="A7095" s="134" t="str">
        <f>IFERROR(__xludf.DUMMYFUNCTION("""COMPUTED_VALUE"""),"Reynosa")</f>
        <v>Reynosa</v>
      </c>
      <c r="B7095" s="120" t="str">
        <f>IFERROR(__xludf.DUMMYFUNCTION("""COMPUTED_VALUE"""),"REX")</f>
        <v>REX</v>
      </c>
      <c r="C7095" s="120" t="str">
        <f>IFERROR(__xludf.DUMMYFUNCTION("""COMPUTED_VALUE"""),"Gen Lucio Blanco")</f>
        <v>Gen Lucio Blanco</v>
      </c>
      <c r="D7095" s="120" t="str">
        <f>IFERROR(__xludf.DUMMYFUNCTION("""COMPUTED_VALUE"""),"Mexico")</f>
        <v>Mexico</v>
      </c>
      <c r="E7095" s="135"/>
      <c r="F7095" s="31"/>
    </row>
    <row r="7096">
      <c r="A7096" s="134" t="str">
        <f>IFERROR(__xludf.DUMMYFUNCTION("""COMPUTED_VALUE"""),"Rheindahlen")</f>
        <v>Rheindahlen</v>
      </c>
      <c r="B7096" s="120" t="str">
        <f>IFERROR(__xludf.DUMMYFUNCTION("""COMPUTED_VALUE"""),"GMY")</f>
        <v>GMY</v>
      </c>
      <c r="C7096" s="120" t="str">
        <f>IFERROR(__xludf.DUMMYFUNCTION("""COMPUTED_VALUE"""),"Rheindahlen")</f>
        <v>Rheindahlen</v>
      </c>
      <c r="D7096" s="120" t="str">
        <f>IFERROR(__xludf.DUMMYFUNCTION("""COMPUTED_VALUE"""),"Germany")</f>
        <v>Germany</v>
      </c>
      <c r="E7096" s="135"/>
      <c r="F7096" s="31"/>
    </row>
    <row r="7097">
      <c r="A7097" s="134" t="str">
        <f>IFERROR(__xludf.DUMMYFUNCTION("""COMPUTED_VALUE"""),"Rhinelander")</f>
        <v>Rhinelander</v>
      </c>
      <c r="B7097" s="120" t="str">
        <f>IFERROR(__xludf.DUMMYFUNCTION("""COMPUTED_VALUE"""),"RHI")</f>
        <v>RHI</v>
      </c>
      <c r="C7097" s="120" t="str">
        <f>IFERROR(__xludf.DUMMYFUNCTION("""COMPUTED_VALUE"""),"Oneida County")</f>
        <v>Oneida County</v>
      </c>
      <c r="D7097" s="120" t="str">
        <f>IFERROR(__xludf.DUMMYFUNCTION("""COMPUTED_VALUE"""),"United States")</f>
        <v>United States</v>
      </c>
      <c r="E7097" s="135"/>
      <c r="F7097" s="31"/>
    </row>
    <row r="7098">
      <c r="A7098" s="134" t="str">
        <f>IFERROR(__xludf.DUMMYFUNCTION("""COMPUTED_VALUE"""),"Rhodes")</f>
        <v>Rhodes</v>
      </c>
      <c r="B7098" s="120" t="str">
        <f>IFERROR(__xludf.DUMMYFUNCTION("""COMPUTED_VALUE"""),"RHO")</f>
        <v>RHO</v>
      </c>
      <c r="C7098" s="120" t="str">
        <f>IFERROR(__xludf.DUMMYFUNCTION("""COMPUTED_VALUE"""),"Diagoras Airport")</f>
        <v>Diagoras Airport</v>
      </c>
      <c r="D7098" s="120" t="str">
        <f>IFERROR(__xludf.DUMMYFUNCTION("""COMPUTED_VALUE"""),"Greece")</f>
        <v>Greece</v>
      </c>
      <c r="E7098" s="135"/>
      <c r="F7098" s="31"/>
    </row>
    <row r="7099">
      <c r="A7099" s="134" t="str">
        <f>IFERROR(__xludf.DUMMYFUNCTION("""COMPUTED_VALUE"""),"Ribeirao Preto")</f>
        <v>Ribeirao Preto</v>
      </c>
      <c r="B7099" s="120" t="str">
        <f>IFERROR(__xludf.DUMMYFUNCTION("""COMPUTED_VALUE"""),"RAO")</f>
        <v>RAO</v>
      </c>
      <c r="C7099" s="120" t="str">
        <f>IFERROR(__xludf.DUMMYFUNCTION("""COMPUTED_VALUE"""),"Leite Lopes")</f>
        <v>Leite Lopes</v>
      </c>
      <c r="D7099" s="120" t="str">
        <f>IFERROR(__xludf.DUMMYFUNCTION("""COMPUTED_VALUE"""),"Brazil")</f>
        <v>Brazil</v>
      </c>
      <c r="E7099" s="135"/>
      <c r="F7099" s="31"/>
    </row>
    <row r="7100">
      <c r="A7100" s="134" t="str">
        <f>IFERROR(__xludf.DUMMYFUNCTION("""COMPUTED_VALUE"""),"Riberalta")</f>
        <v>Riberalta</v>
      </c>
      <c r="B7100" s="120" t="str">
        <f>IFERROR(__xludf.DUMMYFUNCTION("""COMPUTED_VALUE"""),"RIB")</f>
        <v>RIB</v>
      </c>
      <c r="C7100" s="120" t="str">
        <f>IFERROR(__xludf.DUMMYFUNCTION("""COMPUTED_VALUE"""),"Gen Buech")</f>
        <v>Gen Buech</v>
      </c>
      <c r="D7100" s="120" t="str">
        <f>IFERROR(__xludf.DUMMYFUNCTION("""COMPUTED_VALUE"""),"Bolivia")</f>
        <v>Bolivia</v>
      </c>
      <c r="E7100" s="135"/>
      <c r="F7100" s="31"/>
    </row>
    <row r="7101">
      <c r="A7101" s="134" t="str">
        <f>IFERROR(__xludf.DUMMYFUNCTION("""COMPUTED_VALUE"""),"Rice Lake")</f>
        <v>Rice Lake</v>
      </c>
      <c r="B7101" s="120" t="str">
        <f>IFERROR(__xludf.DUMMYFUNCTION("""COMPUTED_VALUE"""),"RIE")</f>
        <v>RIE</v>
      </c>
      <c r="C7101" s="120" t="str">
        <f>IFERROR(__xludf.DUMMYFUNCTION("""COMPUTED_VALUE"""),"Rice Lake")</f>
        <v>Rice Lake</v>
      </c>
      <c r="D7101" s="120" t="str">
        <f>IFERROR(__xludf.DUMMYFUNCTION("""COMPUTED_VALUE"""),"United States")</f>
        <v>United States</v>
      </c>
      <c r="E7101" s="135"/>
      <c r="F7101" s="31"/>
    </row>
    <row r="7102">
      <c r="A7102" s="134" t="str">
        <f>IFERROR(__xludf.DUMMYFUNCTION("""COMPUTED_VALUE"""),"Richard Toll")</f>
        <v>Richard Toll</v>
      </c>
      <c r="B7102" s="120" t="str">
        <f>IFERROR(__xludf.DUMMYFUNCTION("""COMPUTED_VALUE"""),"RDT")</f>
        <v>RDT</v>
      </c>
      <c r="C7102" s="120" t="str">
        <f>IFERROR(__xludf.DUMMYFUNCTION("""COMPUTED_VALUE"""),"Richard Toll")</f>
        <v>Richard Toll</v>
      </c>
      <c r="D7102" s="120" t="str">
        <f>IFERROR(__xludf.DUMMYFUNCTION("""COMPUTED_VALUE"""),"Senegal")</f>
        <v>Senegal</v>
      </c>
      <c r="E7102" s="135"/>
      <c r="F7102" s="31"/>
    </row>
    <row r="7103">
      <c r="A7103" s="134" t="str">
        <f>IFERROR(__xludf.DUMMYFUNCTION("""COMPUTED_VALUE"""),"Richards Bay")</f>
        <v>Richards Bay</v>
      </c>
      <c r="B7103" s="120" t="str">
        <f>IFERROR(__xludf.DUMMYFUNCTION("""COMPUTED_VALUE"""),"RCB")</f>
        <v>RCB</v>
      </c>
      <c r="C7103" s="120" t="str">
        <f>IFERROR(__xludf.DUMMYFUNCTION("""COMPUTED_VALUE"""),"Richards Bay")</f>
        <v>Richards Bay</v>
      </c>
      <c r="D7103" s="120" t="str">
        <f>IFERROR(__xludf.DUMMYFUNCTION("""COMPUTED_VALUE"""),"South Africa")</f>
        <v>South Africa</v>
      </c>
      <c r="E7103" s="135"/>
      <c r="F7103" s="31"/>
    </row>
    <row r="7104">
      <c r="A7104" s="134" t="str">
        <f>IFERROR(__xludf.DUMMYFUNCTION("""COMPUTED_VALUE"""),"Richfield")</f>
        <v>Richfield</v>
      </c>
      <c r="B7104" s="120" t="str">
        <f>IFERROR(__xludf.DUMMYFUNCTION("""COMPUTED_VALUE"""),"RIF")</f>
        <v>RIF</v>
      </c>
      <c r="C7104" s="120" t="str">
        <f>IFERROR(__xludf.DUMMYFUNCTION("""COMPUTED_VALUE"""),"Reynolds")</f>
        <v>Reynolds</v>
      </c>
      <c r="D7104" s="120" t="str">
        <f>IFERROR(__xludf.DUMMYFUNCTION("""COMPUTED_VALUE"""),"United States")</f>
        <v>United States</v>
      </c>
      <c r="E7104" s="135"/>
      <c r="F7104" s="31"/>
    </row>
    <row r="7105">
      <c r="A7105" s="134" t="str">
        <f>IFERROR(__xludf.DUMMYFUNCTION("""COMPUTED_VALUE"""),"Richland")</f>
        <v>Richland</v>
      </c>
      <c r="B7105" s="120" t="str">
        <f>IFERROR(__xludf.DUMMYFUNCTION("""COMPUTED_VALUE"""),"RLD")</f>
        <v>RLD</v>
      </c>
      <c r="C7105" s="120" t="str">
        <f>IFERROR(__xludf.DUMMYFUNCTION("""COMPUTED_VALUE"""),"Richland")</f>
        <v>Richland</v>
      </c>
      <c r="D7105" s="120" t="str">
        <f>IFERROR(__xludf.DUMMYFUNCTION("""COMPUTED_VALUE"""),"United States")</f>
        <v>United States</v>
      </c>
      <c r="E7105" s="135"/>
      <c r="F7105" s="31"/>
    </row>
    <row r="7106">
      <c r="A7106" s="134" t="str">
        <f>IFERROR(__xludf.DUMMYFUNCTION("""COMPUTED_VALUE"""),"Richmond")</f>
        <v>Richmond</v>
      </c>
      <c r="B7106" s="120" t="str">
        <f>IFERROR(__xludf.DUMMYFUNCTION("""COMPUTED_VALUE"""),"RID")</f>
        <v>RID</v>
      </c>
      <c r="C7106" s="120" t="str">
        <f>IFERROR(__xludf.DUMMYFUNCTION("""COMPUTED_VALUE"""),"Richmond")</f>
        <v>Richmond</v>
      </c>
      <c r="D7106" s="120" t="str">
        <f>IFERROR(__xludf.DUMMYFUNCTION("""COMPUTED_VALUE"""),"United States")</f>
        <v>United States</v>
      </c>
      <c r="E7106" s="135"/>
      <c r="F7106" s="31"/>
    </row>
    <row r="7107">
      <c r="A7107" s="134" t="str">
        <f>IFERROR(__xludf.DUMMYFUNCTION("""COMPUTED_VALUE"""),"Richmond")</f>
        <v>Richmond</v>
      </c>
      <c r="B7107" s="120" t="str">
        <f>IFERROR(__xludf.DUMMYFUNCTION("""COMPUTED_VALUE"""),"XRH")</f>
        <v>XRH</v>
      </c>
      <c r="C7107" s="120" t="str">
        <f>IFERROR(__xludf.DUMMYFUNCTION("""COMPUTED_VALUE"""),"Richmond AFB")</f>
        <v>Richmond AFB</v>
      </c>
      <c r="D7107" s="120" t="str">
        <f>IFERROR(__xludf.DUMMYFUNCTION("""COMPUTED_VALUE"""),"Australia")</f>
        <v>Australia</v>
      </c>
      <c r="E7107" s="135"/>
      <c r="F7107" s="31"/>
    </row>
    <row r="7108">
      <c r="A7108" s="134" t="str">
        <f>IFERROR(__xludf.DUMMYFUNCTION("""COMPUTED_VALUE"""),"Richmond")</f>
        <v>Richmond</v>
      </c>
      <c r="B7108" s="120" t="str">
        <f>IFERROR(__xludf.DUMMYFUNCTION("""COMPUTED_VALUE"""),"RCM")</f>
        <v>RCM</v>
      </c>
      <c r="C7108" s="120" t="str">
        <f>IFERROR(__xludf.DUMMYFUNCTION("""COMPUTED_VALUE"""),"Richmond")</f>
        <v>Richmond</v>
      </c>
      <c r="D7108" s="120" t="str">
        <f>IFERROR(__xludf.DUMMYFUNCTION("""COMPUTED_VALUE"""),"Australia")</f>
        <v>Australia</v>
      </c>
      <c r="E7108" s="135"/>
      <c r="F7108" s="31"/>
    </row>
    <row r="7109">
      <c r="A7109" s="134" t="str">
        <f>IFERROR(__xludf.DUMMYFUNCTION("""COMPUTED_VALUE"""),"Richmond")</f>
        <v>Richmond</v>
      </c>
      <c r="B7109" s="120" t="str">
        <f>IFERROR(__xludf.DUMMYFUNCTION("""COMPUTED_VALUE"""),"RIC")</f>
        <v>RIC</v>
      </c>
      <c r="C7109" s="120" t="str">
        <f>IFERROR(__xludf.DUMMYFUNCTION("""COMPUTED_VALUE"""),"Intl (Byrd Field)")</f>
        <v>Intl (Byrd Field)</v>
      </c>
      <c r="D7109" s="120" t="str">
        <f>IFERROR(__xludf.DUMMYFUNCTION("""COMPUTED_VALUE"""),"United States")</f>
        <v>United States</v>
      </c>
      <c r="E7109" s="135"/>
      <c r="F7109" s="31"/>
    </row>
    <row r="7110">
      <c r="A7110" s="134" t="str">
        <f>IFERROR(__xludf.DUMMYFUNCTION("""COMPUTED_VALUE"""),"Richmond")</f>
        <v>Richmond</v>
      </c>
      <c r="B7110" s="120" t="str">
        <f>IFERROR(__xludf.DUMMYFUNCTION("""COMPUTED_VALUE"""),"ZRD")</f>
        <v>ZRD</v>
      </c>
      <c r="C7110" s="120" t="str">
        <f>IFERROR(__xludf.DUMMYFUNCTION("""COMPUTED_VALUE"""),"Richmond VA Rail")</f>
        <v>Richmond VA Rail</v>
      </c>
      <c r="D7110" s="120" t="str">
        <f>IFERROR(__xludf.DUMMYFUNCTION("""COMPUTED_VALUE"""),"United States")</f>
        <v>United States</v>
      </c>
      <c r="E7110" s="135"/>
      <c r="F7110" s="31"/>
    </row>
    <row r="7111">
      <c r="A7111" s="134" t="str">
        <f>IFERROR(__xludf.DUMMYFUNCTION("""COMPUTED_VALUE"""),"Riesa")</f>
        <v>Riesa</v>
      </c>
      <c r="B7111" s="120" t="str">
        <f>IFERROR(__xludf.DUMMYFUNCTION("""COMPUTED_VALUE"""),"IES")</f>
        <v>IES</v>
      </c>
      <c r="C7111" s="120" t="str">
        <f>IFERROR(__xludf.DUMMYFUNCTION("""COMPUTED_VALUE"""),"Riesa")</f>
        <v>Riesa</v>
      </c>
      <c r="D7111" s="120" t="str">
        <f>IFERROR(__xludf.DUMMYFUNCTION("""COMPUTED_VALUE"""),"Germany")</f>
        <v>Germany</v>
      </c>
      <c r="E7111" s="135"/>
      <c r="F7111" s="31"/>
    </row>
    <row r="7112">
      <c r="A7112" s="134" t="str">
        <f>IFERROR(__xludf.DUMMYFUNCTION("""COMPUTED_VALUE"""),"Rifle")</f>
        <v>Rifle</v>
      </c>
      <c r="B7112" s="120" t="str">
        <f>IFERROR(__xludf.DUMMYFUNCTION("""COMPUTED_VALUE"""),"RIL")</f>
        <v>RIL</v>
      </c>
      <c r="C7112" s="120" t="str">
        <f>IFERROR(__xludf.DUMMYFUNCTION("""COMPUTED_VALUE"""),"Garfield County")</f>
        <v>Garfield County</v>
      </c>
      <c r="D7112" s="120" t="str">
        <f>IFERROR(__xludf.DUMMYFUNCTION("""COMPUTED_VALUE"""),"United States")</f>
        <v>United States</v>
      </c>
      <c r="E7112" s="135"/>
      <c r="F7112" s="31"/>
    </row>
    <row r="7113">
      <c r="A7113" s="134" t="str">
        <f>IFERROR(__xludf.DUMMYFUNCTION("""COMPUTED_VALUE"""),"Riga")</f>
        <v>Riga</v>
      </c>
      <c r="B7113" s="120" t="str">
        <f>IFERROR(__xludf.DUMMYFUNCTION("""COMPUTED_VALUE"""),"RIX")</f>
        <v>RIX</v>
      </c>
      <c r="C7113" s="120" t="str">
        <f>IFERROR(__xludf.DUMMYFUNCTION("""COMPUTED_VALUE"""),"Riga International Airport")</f>
        <v>Riga International Airport</v>
      </c>
      <c r="D7113" s="120" t="str">
        <f>IFERROR(__xludf.DUMMYFUNCTION("""COMPUTED_VALUE"""),"Latvia")</f>
        <v>Latvia</v>
      </c>
      <c r="E7113" s="135"/>
      <c r="F7113" s="31"/>
    </row>
    <row r="7114">
      <c r="A7114" s="134" t="str">
        <f>IFERROR(__xludf.DUMMYFUNCTION("""COMPUTED_VALUE"""),"Rigolet")</f>
        <v>Rigolet</v>
      </c>
      <c r="B7114" s="120" t="str">
        <f>IFERROR(__xludf.DUMMYFUNCTION("""COMPUTED_VALUE"""),"YRG")</f>
        <v>YRG</v>
      </c>
      <c r="C7114" s="120" t="str">
        <f>IFERROR(__xludf.DUMMYFUNCTION("""COMPUTED_VALUE"""),"Rigolet")</f>
        <v>Rigolet</v>
      </c>
      <c r="D7114" s="120" t="str">
        <f>IFERROR(__xludf.DUMMYFUNCTION("""COMPUTED_VALUE"""),"Canada")</f>
        <v>Canada</v>
      </c>
      <c r="E7114" s="135"/>
      <c r="F7114" s="31"/>
    </row>
    <row r="7115">
      <c r="A7115" s="134" t="str">
        <f>IFERROR(__xludf.DUMMYFUNCTION("""COMPUTED_VALUE"""),"Rijeka")</f>
        <v>Rijeka</v>
      </c>
      <c r="B7115" s="120" t="str">
        <f>IFERROR(__xludf.DUMMYFUNCTION("""COMPUTED_VALUE"""),"RJK")</f>
        <v>RJK</v>
      </c>
      <c r="C7115" s="120" t="str">
        <f>IFERROR(__xludf.DUMMYFUNCTION("""COMPUTED_VALUE"""),"Rijeka")</f>
        <v>Rijeka</v>
      </c>
      <c r="D7115" s="120" t="str">
        <f>IFERROR(__xludf.DUMMYFUNCTION("""COMPUTED_VALUE"""),"Croatia")</f>
        <v>Croatia</v>
      </c>
      <c r="E7115" s="135"/>
      <c r="F7115" s="31"/>
    </row>
    <row r="7116">
      <c r="A7116" s="134" t="str">
        <f>IFERROR(__xludf.DUMMYFUNCTION("""COMPUTED_VALUE"""),"Rimini")</f>
        <v>Rimini</v>
      </c>
      <c r="B7116" s="120" t="str">
        <f>IFERROR(__xludf.DUMMYFUNCTION("""COMPUTED_VALUE"""),"RMI")</f>
        <v>RMI</v>
      </c>
      <c r="C7116" s="120" t="str">
        <f>IFERROR(__xludf.DUMMYFUNCTION("""COMPUTED_VALUE"""),"Miramare")</f>
        <v>Miramare</v>
      </c>
      <c r="D7116" s="120" t="str">
        <f>IFERROR(__xludf.DUMMYFUNCTION("""COMPUTED_VALUE"""),"Italy")</f>
        <v>Italy</v>
      </c>
      <c r="E7116" s="135"/>
      <c r="F7116" s="31"/>
    </row>
    <row r="7117">
      <c r="A7117" s="134" t="str">
        <f>IFERROR(__xludf.DUMMYFUNCTION("""COMPUTED_VALUE"""),"Rimouski")</f>
        <v>Rimouski</v>
      </c>
      <c r="B7117" s="120" t="str">
        <f>IFERROR(__xludf.DUMMYFUNCTION("""COMPUTED_VALUE"""),"YXK")</f>
        <v>YXK</v>
      </c>
      <c r="C7117" s="120" t="str">
        <f>IFERROR(__xludf.DUMMYFUNCTION("""COMPUTED_VALUE"""),"Rimouski")</f>
        <v>Rimouski</v>
      </c>
      <c r="D7117" s="120" t="str">
        <f>IFERROR(__xludf.DUMMYFUNCTION("""COMPUTED_VALUE"""),"Canada")</f>
        <v>Canada</v>
      </c>
      <c r="E7117" s="135"/>
      <c r="F7117" s="31"/>
    </row>
    <row r="7118">
      <c r="A7118" s="134" t="str">
        <f>IFERROR(__xludf.DUMMYFUNCTION("""COMPUTED_VALUE"""),"Rincon de los Sauces")</f>
        <v>Rincon de los Sauces</v>
      </c>
      <c r="B7118" s="120" t="str">
        <f>IFERROR(__xludf.DUMMYFUNCTION("""COMPUTED_VALUE"""),"RDS")</f>
        <v>RDS</v>
      </c>
      <c r="C7118" s="120" t="str">
        <f>IFERROR(__xludf.DUMMYFUNCTION("""COMPUTED_VALUE"""),"Rincon de los Sauces")</f>
        <v>Rincon de los Sauces</v>
      </c>
      <c r="D7118" s="120" t="str">
        <f>IFERROR(__xludf.DUMMYFUNCTION("""COMPUTED_VALUE"""),"Argentina")</f>
        <v>Argentina</v>
      </c>
      <c r="E7118" s="135"/>
      <c r="F7118" s="31"/>
    </row>
    <row r="7119">
      <c r="A7119" s="134" t="str">
        <f>IFERROR(__xludf.DUMMYFUNCTION("""COMPUTED_VALUE"""),"Ringebu")</f>
        <v>Ringebu</v>
      </c>
      <c r="B7119" s="120" t="str">
        <f>IFERROR(__xludf.DUMMYFUNCTION("""COMPUTED_VALUE"""),"XUQ")</f>
        <v>XUQ</v>
      </c>
      <c r="C7119" s="120" t="str">
        <f>IFERROR(__xludf.DUMMYFUNCTION("""COMPUTED_VALUE"""),"Ringebu Railway")</f>
        <v>Ringebu Railway</v>
      </c>
      <c r="D7119" s="120" t="str">
        <f>IFERROR(__xludf.DUMMYFUNCTION("""COMPUTED_VALUE"""),"Norway")</f>
        <v>Norway</v>
      </c>
      <c r="E7119" s="135"/>
      <c r="F7119" s="31"/>
    </row>
    <row r="7120">
      <c r="A7120" s="134" t="str">
        <f>IFERROR(__xludf.DUMMYFUNCTION("""COMPUTED_VALUE"""),"Ringi Cove")</f>
        <v>Ringi Cove</v>
      </c>
      <c r="B7120" s="120" t="str">
        <f>IFERROR(__xludf.DUMMYFUNCTION("""COMPUTED_VALUE"""),"RIN")</f>
        <v>RIN</v>
      </c>
      <c r="C7120" s="120" t="str">
        <f>IFERROR(__xludf.DUMMYFUNCTION("""COMPUTED_VALUE"""),"Ringi Cove")</f>
        <v>Ringi Cove</v>
      </c>
      <c r="D7120" s="120" t="str">
        <f>IFERROR(__xludf.DUMMYFUNCTION("""COMPUTED_VALUE"""),"Solomon Islands")</f>
        <v>Solomon Islands</v>
      </c>
      <c r="E7120" s="135"/>
      <c r="F7120" s="31"/>
    </row>
    <row r="7121">
      <c r="A7121" s="134" t="str">
        <f>IFERROR(__xludf.DUMMYFUNCTION("""COMPUTED_VALUE"""),"Rio Alzucar")</f>
        <v>Rio Alzucar</v>
      </c>
      <c r="B7121" s="120" t="str">
        <f>IFERROR(__xludf.DUMMYFUNCTION("""COMPUTED_VALUE"""),"RIZ")</f>
        <v>RIZ</v>
      </c>
      <c r="C7121" s="120" t="str">
        <f>IFERROR(__xludf.DUMMYFUNCTION("""COMPUTED_VALUE"""),"Rio Alzucar")</f>
        <v>Rio Alzucar</v>
      </c>
      <c r="D7121" s="120" t="str">
        <f>IFERROR(__xludf.DUMMYFUNCTION("""COMPUTED_VALUE"""),"Panama")</f>
        <v>Panama</v>
      </c>
      <c r="E7121" s="135"/>
      <c r="F7121" s="31"/>
    </row>
    <row r="7122">
      <c r="A7122" s="134" t="str">
        <f>IFERROR(__xludf.DUMMYFUNCTION("""COMPUTED_VALUE"""),"Rio Branco")</f>
        <v>Rio Branco</v>
      </c>
      <c r="B7122" s="120" t="str">
        <f>IFERROR(__xludf.DUMMYFUNCTION("""COMPUTED_VALUE"""),"RBR")</f>
        <v>RBR</v>
      </c>
      <c r="C7122" s="120" t="str">
        <f>IFERROR(__xludf.DUMMYFUNCTION("""COMPUTED_VALUE"""),"Pres. Medici")</f>
        <v>Pres. Medici</v>
      </c>
      <c r="D7122" s="120" t="str">
        <f>IFERROR(__xludf.DUMMYFUNCTION("""COMPUTED_VALUE"""),"Brazil")</f>
        <v>Brazil</v>
      </c>
      <c r="E7122" s="135"/>
      <c r="F7122" s="31"/>
    </row>
    <row r="7123">
      <c r="A7123" s="134" t="str">
        <f>IFERROR(__xludf.DUMMYFUNCTION("""COMPUTED_VALUE"""),"Rio Cuarto")</f>
        <v>Rio Cuarto</v>
      </c>
      <c r="B7123" s="120" t="str">
        <f>IFERROR(__xludf.DUMMYFUNCTION("""COMPUTED_VALUE"""),"RCU")</f>
        <v>RCU</v>
      </c>
      <c r="C7123" s="120" t="str">
        <f>IFERROR(__xludf.DUMMYFUNCTION("""COMPUTED_VALUE"""),"Rio Cuarto")</f>
        <v>Rio Cuarto</v>
      </c>
      <c r="D7123" s="120" t="str">
        <f>IFERROR(__xludf.DUMMYFUNCTION("""COMPUTED_VALUE"""),"Argentina")</f>
        <v>Argentina</v>
      </c>
      <c r="E7123" s="135"/>
      <c r="F7123" s="31"/>
    </row>
    <row r="7124">
      <c r="A7124" s="134" t="str">
        <f>IFERROR(__xludf.DUMMYFUNCTION("""COMPUTED_VALUE"""),"Rio De Janeiro")</f>
        <v>Rio De Janeiro</v>
      </c>
      <c r="B7124" s="120" t="str">
        <f>IFERROR(__xludf.DUMMYFUNCTION("""COMPUTED_VALUE"""),"GIG")</f>
        <v>GIG</v>
      </c>
      <c r="C7124" s="120" t="str">
        <f>IFERROR(__xludf.DUMMYFUNCTION("""COMPUTED_VALUE"""),"Galeão–Antonio Carlos Jobim International Airport")</f>
        <v>Galeão–Antonio Carlos Jobim International Airport</v>
      </c>
      <c r="D7124" s="120" t="str">
        <f>IFERROR(__xludf.DUMMYFUNCTION("""COMPUTED_VALUE"""),"Brazil")</f>
        <v>Brazil</v>
      </c>
      <c r="E7124" s="135"/>
      <c r="F7124" s="31"/>
    </row>
    <row r="7125">
      <c r="A7125" s="134" t="str">
        <f>IFERROR(__xludf.DUMMYFUNCTION("""COMPUTED_VALUE"""),"Rio De Janeiro")</f>
        <v>Rio De Janeiro</v>
      </c>
      <c r="B7125" s="120" t="str">
        <f>IFERROR(__xludf.DUMMYFUNCTION("""COMPUTED_VALUE"""),"SDU")</f>
        <v>SDU</v>
      </c>
      <c r="C7125" s="120" t="str">
        <f>IFERROR(__xludf.DUMMYFUNCTION("""COMPUTED_VALUE"""),"Santos Dumont")</f>
        <v>Santos Dumont</v>
      </c>
      <c r="D7125" s="120" t="str">
        <f>IFERROR(__xludf.DUMMYFUNCTION("""COMPUTED_VALUE"""),"Brazil")</f>
        <v>Brazil</v>
      </c>
      <c r="E7125" s="135"/>
      <c r="F7125" s="31"/>
    </row>
    <row r="7126">
      <c r="A7126" s="134" t="str">
        <f>IFERROR(__xludf.DUMMYFUNCTION("""COMPUTED_VALUE"""),"Rio Dulce")</f>
        <v>Rio Dulce</v>
      </c>
      <c r="B7126" s="120" t="str">
        <f>IFERROR(__xludf.DUMMYFUNCTION("""COMPUTED_VALUE"""),"LCF")</f>
        <v>LCF</v>
      </c>
      <c r="C7126" s="120" t="str">
        <f>IFERROR(__xludf.DUMMYFUNCTION("""COMPUTED_VALUE"""),"Las Vegas")</f>
        <v>Las Vegas</v>
      </c>
      <c r="D7126" s="120" t="str">
        <f>IFERROR(__xludf.DUMMYFUNCTION("""COMPUTED_VALUE"""),"Guatemala")</f>
        <v>Guatemala</v>
      </c>
      <c r="E7126" s="135"/>
      <c r="F7126" s="31"/>
    </row>
    <row r="7127">
      <c r="A7127" s="134" t="str">
        <f>IFERROR(__xludf.DUMMYFUNCTION("""COMPUTED_VALUE"""),"Rio Frio")</f>
        <v>Rio Frio</v>
      </c>
      <c r="B7127" s="120" t="str">
        <f>IFERROR(__xludf.DUMMYFUNCTION("""COMPUTED_VALUE"""),"RFR")</f>
        <v>RFR</v>
      </c>
      <c r="C7127" s="120" t="str">
        <f>IFERROR(__xludf.DUMMYFUNCTION("""COMPUTED_VALUE"""),"Rio Frio")</f>
        <v>Rio Frio</v>
      </c>
      <c r="D7127" s="120" t="str">
        <f>IFERROR(__xludf.DUMMYFUNCTION("""COMPUTED_VALUE"""),"Costa Rica")</f>
        <v>Costa Rica</v>
      </c>
      <c r="E7127" s="135"/>
      <c r="F7127" s="31"/>
    </row>
    <row r="7128">
      <c r="A7128" s="134" t="str">
        <f>IFERROR(__xludf.DUMMYFUNCTION("""COMPUTED_VALUE"""),"Rio Gallegos")</f>
        <v>Rio Gallegos</v>
      </c>
      <c r="B7128" s="120" t="str">
        <f>IFERROR(__xludf.DUMMYFUNCTION("""COMPUTED_VALUE"""),"RGL")</f>
        <v>RGL</v>
      </c>
      <c r="C7128" s="120" t="str">
        <f>IFERROR(__xludf.DUMMYFUNCTION("""COMPUTED_VALUE"""),"Internacional")</f>
        <v>Internacional</v>
      </c>
      <c r="D7128" s="120" t="str">
        <f>IFERROR(__xludf.DUMMYFUNCTION("""COMPUTED_VALUE"""),"Argentina")</f>
        <v>Argentina</v>
      </c>
      <c r="E7128" s="135"/>
      <c r="F7128" s="31"/>
    </row>
    <row r="7129">
      <c r="A7129" s="134" t="str">
        <f>IFERROR(__xludf.DUMMYFUNCTION("""COMPUTED_VALUE"""),"Rio Grande")</f>
        <v>Rio Grande</v>
      </c>
      <c r="B7129" s="120" t="str">
        <f>IFERROR(__xludf.DUMMYFUNCTION("""COMPUTED_VALUE"""),"RIG")</f>
        <v>RIG</v>
      </c>
      <c r="C7129" s="120" t="str">
        <f>IFERROR(__xludf.DUMMYFUNCTION("""COMPUTED_VALUE"""),"Rio Grande")</f>
        <v>Rio Grande</v>
      </c>
      <c r="D7129" s="120" t="str">
        <f>IFERROR(__xludf.DUMMYFUNCTION("""COMPUTED_VALUE"""),"Brazil")</f>
        <v>Brazil</v>
      </c>
      <c r="E7129" s="135"/>
      <c r="F7129" s="31"/>
    </row>
    <row r="7130">
      <c r="A7130" s="134" t="str">
        <f>IFERROR(__xludf.DUMMYFUNCTION("""COMPUTED_VALUE"""),"Rio Grande")</f>
        <v>Rio Grande</v>
      </c>
      <c r="B7130" s="120" t="str">
        <f>IFERROR(__xludf.DUMMYFUNCTION("""COMPUTED_VALUE"""),"RGA")</f>
        <v>RGA</v>
      </c>
      <c r="C7130" s="120" t="str">
        <f>IFERROR(__xludf.DUMMYFUNCTION("""COMPUTED_VALUE"""),"Rio Grande")</f>
        <v>Rio Grande</v>
      </c>
      <c r="D7130" s="120" t="str">
        <f>IFERROR(__xludf.DUMMYFUNCTION("""COMPUTED_VALUE"""),"Argentina")</f>
        <v>Argentina</v>
      </c>
      <c r="E7130" s="135"/>
      <c r="F7130" s="31"/>
    </row>
    <row r="7131">
      <c r="A7131" s="134" t="str">
        <f>IFERROR(__xludf.DUMMYFUNCTION("""COMPUTED_VALUE"""),"Rio Hondo")</f>
        <v>Rio Hondo</v>
      </c>
      <c r="B7131" s="120" t="str">
        <f>IFERROR(__xludf.DUMMYFUNCTION("""COMPUTED_VALUE"""),"RHD")</f>
        <v>RHD</v>
      </c>
      <c r="C7131" s="120" t="str">
        <f>IFERROR(__xludf.DUMMYFUNCTION("""COMPUTED_VALUE"""),"Rio Hondo")</f>
        <v>Rio Hondo</v>
      </c>
      <c r="D7131" s="120" t="str">
        <f>IFERROR(__xludf.DUMMYFUNCTION("""COMPUTED_VALUE"""),"Argentina")</f>
        <v>Argentina</v>
      </c>
      <c r="E7131" s="135"/>
      <c r="F7131" s="31"/>
    </row>
    <row r="7132">
      <c r="A7132" s="134" t="str">
        <f>IFERROR(__xludf.DUMMYFUNCTION("""COMPUTED_VALUE"""),"Rio Mayo")</f>
        <v>Rio Mayo</v>
      </c>
      <c r="B7132" s="120" t="str">
        <f>IFERROR(__xludf.DUMMYFUNCTION("""COMPUTED_VALUE"""),"ROY")</f>
        <v>ROY</v>
      </c>
      <c r="C7132" s="120" t="str">
        <f>IFERROR(__xludf.DUMMYFUNCTION("""COMPUTED_VALUE"""),"Rio Mayo")</f>
        <v>Rio Mayo</v>
      </c>
      <c r="D7132" s="120" t="str">
        <f>IFERROR(__xludf.DUMMYFUNCTION("""COMPUTED_VALUE"""),"Argentina")</f>
        <v>Argentina</v>
      </c>
      <c r="E7132" s="135"/>
      <c r="F7132" s="31"/>
    </row>
    <row r="7133">
      <c r="A7133" s="134" t="str">
        <f>IFERROR(__xludf.DUMMYFUNCTION("""COMPUTED_VALUE"""),"Rio Sidra")</f>
        <v>Rio Sidra</v>
      </c>
      <c r="B7133" s="120" t="str">
        <f>IFERROR(__xludf.DUMMYFUNCTION("""COMPUTED_VALUE"""),"RSI")</f>
        <v>RSI</v>
      </c>
      <c r="C7133" s="120" t="str">
        <f>IFERROR(__xludf.DUMMYFUNCTION("""COMPUTED_VALUE"""),"Rio Sidra")</f>
        <v>Rio Sidra</v>
      </c>
      <c r="D7133" s="120" t="str">
        <f>IFERROR(__xludf.DUMMYFUNCTION("""COMPUTED_VALUE"""),"Panama")</f>
        <v>Panama</v>
      </c>
      <c r="E7133" s="135"/>
      <c r="F7133" s="31"/>
    </row>
    <row r="7134">
      <c r="A7134" s="134" t="str">
        <f>IFERROR(__xludf.DUMMYFUNCTION("""COMPUTED_VALUE"""),"Rio Tigre")</f>
        <v>Rio Tigre</v>
      </c>
      <c r="B7134" s="120" t="str">
        <f>IFERROR(__xludf.DUMMYFUNCTION("""COMPUTED_VALUE"""),"RIT")</f>
        <v>RIT</v>
      </c>
      <c r="C7134" s="120" t="str">
        <f>IFERROR(__xludf.DUMMYFUNCTION("""COMPUTED_VALUE"""),"Rio Tigre")</f>
        <v>Rio Tigre</v>
      </c>
      <c r="D7134" s="120" t="str">
        <f>IFERROR(__xludf.DUMMYFUNCTION("""COMPUTED_VALUE"""),"Panama")</f>
        <v>Panama</v>
      </c>
      <c r="E7134" s="135"/>
      <c r="F7134" s="31"/>
    </row>
    <row r="7135">
      <c r="A7135" s="134" t="str">
        <f>IFERROR(__xludf.DUMMYFUNCTION("""COMPUTED_VALUE"""),"Rio Turbio")</f>
        <v>Rio Turbio</v>
      </c>
      <c r="B7135" s="120" t="str">
        <f>IFERROR(__xludf.DUMMYFUNCTION("""COMPUTED_VALUE"""),"RYO")</f>
        <v>RYO</v>
      </c>
      <c r="C7135" s="120" t="str">
        <f>IFERROR(__xludf.DUMMYFUNCTION("""COMPUTED_VALUE"""),"Rio Turbio")</f>
        <v>Rio Turbio</v>
      </c>
      <c r="D7135" s="120" t="str">
        <f>IFERROR(__xludf.DUMMYFUNCTION("""COMPUTED_VALUE"""),"Argentina")</f>
        <v>Argentina</v>
      </c>
      <c r="E7135" s="135"/>
      <c r="F7135" s="31"/>
    </row>
    <row r="7136">
      <c r="A7136" s="134" t="str">
        <f>IFERROR(__xludf.DUMMYFUNCTION("""COMPUTED_VALUE"""),"Rio Verde")</f>
        <v>Rio Verde</v>
      </c>
      <c r="B7136" s="120" t="str">
        <f>IFERROR(__xludf.DUMMYFUNCTION("""COMPUTED_VALUE"""),"RVD")</f>
        <v>RVD</v>
      </c>
      <c r="C7136" s="120" t="str">
        <f>IFERROR(__xludf.DUMMYFUNCTION("""COMPUTED_VALUE"""),"Rio Verde")</f>
        <v>Rio Verde</v>
      </c>
      <c r="D7136" s="120" t="str">
        <f>IFERROR(__xludf.DUMMYFUNCTION("""COMPUTED_VALUE"""),"Brazil")</f>
        <v>Brazil</v>
      </c>
      <c r="E7136" s="135"/>
      <c r="F7136" s="31"/>
    </row>
    <row r="7137">
      <c r="A7137" s="134" t="str">
        <f>IFERROR(__xludf.DUMMYFUNCTION("""COMPUTED_VALUE"""),"Riohacha")</f>
        <v>Riohacha</v>
      </c>
      <c r="B7137" s="120" t="str">
        <f>IFERROR(__xludf.DUMMYFUNCTION("""COMPUTED_VALUE"""),"RCH")</f>
        <v>RCH</v>
      </c>
      <c r="C7137" s="120" t="str">
        <f>IFERROR(__xludf.DUMMYFUNCTION("""COMPUTED_VALUE"""),"Riohacha")</f>
        <v>Riohacha</v>
      </c>
      <c r="D7137" s="120" t="str">
        <f>IFERROR(__xludf.DUMMYFUNCTION("""COMPUTED_VALUE"""),"Colombia")</f>
        <v>Colombia</v>
      </c>
      <c r="E7137" s="135"/>
      <c r="F7137" s="31"/>
    </row>
    <row r="7138">
      <c r="A7138" s="134" t="str">
        <f>IFERROR(__xludf.DUMMYFUNCTION("""COMPUTED_VALUE"""),"Rioja")</f>
        <v>Rioja</v>
      </c>
      <c r="B7138" s="120" t="str">
        <f>IFERROR(__xludf.DUMMYFUNCTION("""COMPUTED_VALUE"""),"RIJ")</f>
        <v>RIJ</v>
      </c>
      <c r="C7138" s="120" t="str">
        <f>IFERROR(__xludf.DUMMYFUNCTION("""COMPUTED_VALUE"""),"Rioja")</f>
        <v>Rioja</v>
      </c>
      <c r="D7138" s="120" t="str">
        <f>IFERROR(__xludf.DUMMYFUNCTION("""COMPUTED_VALUE"""),"Peru")</f>
        <v>Peru</v>
      </c>
      <c r="E7138" s="135"/>
      <c r="F7138" s="31"/>
    </row>
    <row r="7139">
      <c r="A7139" s="134" t="str">
        <f>IFERROR(__xludf.DUMMYFUNCTION("""COMPUTED_VALUE"""),"Rishiri")</f>
        <v>Rishiri</v>
      </c>
      <c r="B7139" s="120" t="str">
        <f>IFERROR(__xludf.DUMMYFUNCTION("""COMPUTED_VALUE"""),"RIS")</f>
        <v>RIS</v>
      </c>
      <c r="C7139" s="120" t="str">
        <f>IFERROR(__xludf.DUMMYFUNCTION("""COMPUTED_VALUE"""),"Rishiri")</f>
        <v>Rishiri</v>
      </c>
      <c r="D7139" s="120" t="str">
        <f>IFERROR(__xludf.DUMMYFUNCTION("""COMPUTED_VALUE"""),"Japan")</f>
        <v>Japan</v>
      </c>
      <c r="E7139" s="135"/>
      <c r="F7139" s="31"/>
    </row>
    <row r="7140">
      <c r="A7140" s="134" t="str">
        <f>IFERROR(__xludf.DUMMYFUNCTION("""COMPUTED_VALUE"""),"Rivera")</f>
        <v>Rivera</v>
      </c>
      <c r="B7140" s="120" t="str">
        <f>IFERROR(__xludf.DUMMYFUNCTION("""COMPUTED_VALUE"""),"RVY")</f>
        <v>RVY</v>
      </c>
      <c r="C7140" s="120" t="str">
        <f>IFERROR(__xludf.DUMMYFUNCTION("""COMPUTED_VALUE"""),"Rivera")</f>
        <v>Rivera</v>
      </c>
      <c r="D7140" s="120" t="str">
        <f>IFERROR(__xludf.DUMMYFUNCTION("""COMPUTED_VALUE"""),"Uruguay")</f>
        <v>Uruguay</v>
      </c>
      <c r="E7140" s="135"/>
      <c r="F7140" s="31"/>
    </row>
    <row r="7141">
      <c r="A7141" s="134" t="str">
        <f>IFERROR(__xludf.DUMMYFUNCTION("""COMPUTED_VALUE"""),"Rivercess")</f>
        <v>Rivercess</v>
      </c>
      <c r="B7141" s="120" t="str">
        <f>IFERROR(__xludf.DUMMYFUNCTION("""COMPUTED_VALUE"""),"RVC")</f>
        <v>RVC</v>
      </c>
      <c r="C7141" s="120" t="str">
        <f>IFERROR(__xludf.DUMMYFUNCTION("""COMPUTED_VALUE"""),"Rivercess")</f>
        <v>Rivercess</v>
      </c>
      <c r="D7141" s="120" t="str">
        <f>IFERROR(__xludf.DUMMYFUNCTION("""COMPUTED_VALUE"""),"Liberia")</f>
        <v>Liberia</v>
      </c>
      <c r="E7141" s="135"/>
      <c r="F7141" s="31"/>
    </row>
    <row r="7142">
      <c r="A7142" s="134" t="str">
        <f>IFERROR(__xludf.DUMMYFUNCTION("""COMPUTED_VALUE"""),"Rivers")</f>
        <v>Rivers</v>
      </c>
      <c r="B7142" s="120" t="str">
        <f>IFERROR(__xludf.DUMMYFUNCTION("""COMPUTED_VALUE"""),"YYI")</f>
        <v>YYI</v>
      </c>
      <c r="C7142" s="120" t="str">
        <f>IFERROR(__xludf.DUMMYFUNCTION("""COMPUTED_VALUE"""),"Rivers")</f>
        <v>Rivers</v>
      </c>
      <c r="D7142" s="120" t="str">
        <f>IFERROR(__xludf.DUMMYFUNCTION("""COMPUTED_VALUE"""),"Canada")</f>
        <v>Canada</v>
      </c>
      <c r="E7142" s="135"/>
      <c r="F7142" s="31"/>
    </row>
    <row r="7143">
      <c r="A7143" s="134" t="str">
        <f>IFERROR(__xludf.DUMMYFUNCTION("""COMPUTED_VALUE"""),"Owekeno Village")</f>
        <v>Owekeno Village</v>
      </c>
      <c r="B7143" s="120" t="str">
        <f>IFERROR(__xludf.DUMMYFUNCTION("""COMPUTED_VALUE"""),"YRN")</f>
        <v>YRN</v>
      </c>
      <c r="C7143" s="120" t="str">
        <f>IFERROR(__xludf.DUMMYFUNCTION("""COMPUTED_VALUE"""),"Rivers Inlet")</f>
        <v>Rivers Inlet</v>
      </c>
      <c r="D7143" s="120" t="str">
        <f>IFERROR(__xludf.DUMMYFUNCTION("""COMPUTED_VALUE"""),"Canada")</f>
        <v>Canada</v>
      </c>
      <c r="E7143" s="135"/>
      <c r="F7143" s="31"/>
    </row>
    <row r="7144">
      <c r="A7144" s="134" t="str">
        <f>IFERROR(__xludf.DUMMYFUNCTION("""COMPUTED_VALUE"""),"Riverside")</f>
        <v>Riverside</v>
      </c>
      <c r="B7144" s="120" t="str">
        <f>IFERROR(__xludf.DUMMYFUNCTION("""COMPUTED_VALUE"""),"JRD")</f>
        <v>JRD</v>
      </c>
      <c r="C7144" s="120" t="str">
        <f>IFERROR(__xludf.DUMMYFUNCTION("""COMPUTED_VALUE"""),"Heliport")</f>
        <v>Heliport</v>
      </c>
      <c r="D7144" s="120" t="str">
        <f>IFERROR(__xludf.DUMMYFUNCTION("""COMPUTED_VALUE"""),"United States")</f>
        <v>United States</v>
      </c>
      <c r="E7144" s="135"/>
      <c r="F7144" s="31"/>
    </row>
    <row r="7145">
      <c r="A7145" s="134" t="str">
        <f>IFERROR(__xludf.DUMMYFUNCTION("""COMPUTED_VALUE"""),"Riverside")</f>
        <v>Riverside</v>
      </c>
      <c r="B7145" s="120" t="str">
        <f>IFERROR(__xludf.DUMMYFUNCTION("""COMPUTED_VALUE"""),"RIV")</f>
        <v>RIV</v>
      </c>
      <c r="C7145" s="120" t="str">
        <f>IFERROR(__xludf.DUMMYFUNCTION("""COMPUTED_VALUE"""),"March AFB")</f>
        <v>March AFB</v>
      </c>
      <c r="D7145" s="120" t="str">
        <f>IFERROR(__xludf.DUMMYFUNCTION("""COMPUTED_VALUE"""),"United States")</f>
        <v>United States</v>
      </c>
      <c r="E7145" s="135"/>
      <c r="F7145" s="31"/>
    </row>
    <row r="7146">
      <c r="A7146" s="134" t="str">
        <f>IFERROR(__xludf.DUMMYFUNCTION("""COMPUTED_VALUE"""),"Riverside")</f>
        <v>Riverside</v>
      </c>
      <c r="B7146" s="120" t="str">
        <f>IFERROR(__xludf.DUMMYFUNCTION("""COMPUTED_VALUE"""),"RIR")</f>
        <v>RIR</v>
      </c>
      <c r="C7146" s="120" t="str">
        <f>IFERROR(__xludf.DUMMYFUNCTION("""COMPUTED_VALUE"""),"Riverside Fla-Bob")</f>
        <v>Riverside Fla-Bob</v>
      </c>
      <c r="D7146" s="120" t="str">
        <f>IFERROR(__xludf.DUMMYFUNCTION("""COMPUTED_VALUE"""),"United States")</f>
        <v>United States</v>
      </c>
      <c r="E7146" s="135"/>
      <c r="F7146" s="31"/>
    </row>
    <row r="7147">
      <c r="A7147" s="134" t="str">
        <f>IFERROR(__xludf.DUMMYFUNCTION("""COMPUTED_VALUE"""),"Riverside")</f>
        <v>Riverside</v>
      </c>
      <c r="B7147" s="120" t="str">
        <f>IFERROR(__xludf.DUMMYFUNCTION("""COMPUTED_VALUE"""),"RAL")</f>
        <v>RAL</v>
      </c>
      <c r="C7147" s="120" t="str">
        <f>IFERROR(__xludf.DUMMYFUNCTION("""COMPUTED_VALUE"""),"Riverside Municipal")</f>
        <v>Riverside Municipal</v>
      </c>
      <c r="D7147" s="120" t="str">
        <f>IFERROR(__xludf.DUMMYFUNCTION("""COMPUTED_VALUE"""),"United States")</f>
        <v>United States</v>
      </c>
      <c r="E7147" s="135"/>
      <c r="F7147" s="31"/>
    </row>
    <row r="7148">
      <c r="A7148" s="134" t="str">
        <f>IFERROR(__xludf.DUMMYFUNCTION("""COMPUTED_VALUE"""),"Riverton")</f>
        <v>Riverton</v>
      </c>
      <c r="B7148" s="120" t="str">
        <f>IFERROR(__xludf.DUMMYFUNCTION("""COMPUTED_VALUE"""),"RIW")</f>
        <v>RIW</v>
      </c>
      <c r="C7148" s="120" t="str">
        <f>IFERROR(__xludf.DUMMYFUNCTION("""COMPUTED_VALUE"""),"Riverton")</f>
        <v>Riverton</v>
      </c>
      <c r="D7148" s="120" t="str">
        <f>IFERROR(__xludf.DUMMYFUNCTION("""COMPUTED_VALUE"""),"United States")</f>
        <v>United States</v>
      </c>
      <c r="E7148" s="135"/>
      <c r="F7148" s="31"/>
    </row>
    <row r="7149">
      <c r="A7149" s="134" t="str">
        <f>IFERROR(__xludf.DUMMYFUNCTION("""COMPUTED_VALUE"""),"Riviere Au Tonnerre")</f>
        <v>Riviere Au Tonnerre</v>
      </c>
      <c r="B7149" s="120" t="str">
        <f>IFERROR(__xludf.DUMMYFUNCTION("""COMPUTED_VALUE"""),"YTN")</f>
        <v>YTN</v>
      </c>
      <c r="C7149" s="120" t="str">
        <f>IFERROR(__xludf.DUMMYFUNCTION("""COMPUTED_VALUE"""),"Riviere Au Tonnerre")</f>
        <v>Riviere Au Tonnerre</v>
      </c>
      <c r="D7149" s="120" t="str">
        <f>IFERROR(__xludf.DUMMYFUNCTION("""COMPUTED_VALUE"""),"Canada")</f>
        <v>Canada</v>
      </c>
      <c r="E7149" s="135"/>
      <c r="F7149" s="31"/>
    </row>
    <row r="7150">
      <c r="A7150" s="134" t="str">
        <f>IFERROR(__xludf.DUMMYFUNCTION("""COMPUTED_VALUE"""),"Riviere Du Loup")</f>
        <v>Riviere Du Loup</v>
      </c>
      <c r="B7150" s="120" t="str">
        <f>IFERROR(__xludf.DUMMYFUNCTION("""COMPUTED_VALUE"""),"YRI")</f>
        <v>YRI</v>
      </c>
      <c r="C7150" s="120" t="str">
        <f>IFERROR(__xludf.DUMMYFUNCTION("""COMPUTED_VALUE"""),"Riviere Du Loup")</f>
        <v>Riviere Du Loup</v>
      </c>
      <c r="D7150" s="120" t="str">
        <f>IFERROR(__xludf.DUMMYFUNCTION("""COMPUTED_VALUE"""),"Canada")</f>
        <v>Canada</v>
      </c>
      <c r="E7150" s="135"/>
      <c r="F7150" s="31"/>
    </row>
    <row r="7151">
      <c r="A7151" s="134" t="str">
        <f>IFERROR(__xludf.DUMMYFUNCTION("""COMPUTED_VALUE"""),"Riyadh")</f>
        <v>Riyadh</v>
      </c>
      <c r="B7151" s="120" t="str">
        <f>IFERROR(__xludf.DUMMYFUNCTION("""COMPUTED_VALUE"""),"RUH")</f>
        <v>RUH</v>
      </c>
      <c r="C7151" s="120" t="str">
        <f>IFERROR(__xludf.DUMMYFUNCTION("""COMPUTED_VALUE"""),"King Khaled Intl")</f>
        <v>King Khaled Intl</v>
      </c>
      <c r="D7151" s="120" t="str">
        <f>IFERROR(__xludf.DUMMYFUNCTION("""COMPUTED_VALUE"""),"Saudi Arabia")</f>
        <v>Saudi Arabia</v>
      </c>
      <c r="E7151" s="135"/>
      <c r="F7151" s="31"/>
    </row>
    <row r="7152">
      <c r="A7152" s="134" t="str">
        <f>IFERROR(__xludf.DUMMYFUNCTION("""COMPUTED_VALUE"""),"Riyan Mukalla")</f>
        <v>Riyan Mukalla</v>
      </c>
      <c r="B7152" s="120" t="str">
        <f>IFERROR(__xludf.DUMMYFUNCTION("""COMPUTED_VALUE"""),"RIY")</f>
        <v>RIY</v>
      </c>
      <c r="C7152" s="120" t="str">
        <f>IFERROR(__xludf.DUMMYFUNCTION("""COMPUTED_VALUE"""),"Riyan Mukalla")</f>
        <v>Riyan Mukalla</v>
      </c>
      <c r="D7152" s="120" t="str">
        <f>IFERROR(__xludf.DUMMYFUNCTION("""COMPUTED_VALUE"""),"Yemen")</f>
        <v>Yemen</v>
      </c>
      <c r="E7152" s="135"/>
      <c r="F7152" s="31"/>
    </row>
    <row r="7153">
      <c r="A7153" s="134" t="str">
        <f>IFERROR(__xludf.DUMMYFUNCTION("""COMPUTED_VALUE"""),"Roanne")</f>
        <v>Roanne</v>
      </c>
      <c r="B7153" s="120" t="str">
        <f>IFERROR(__xludf.DUMMYFUNCTION("""COMPUTED_VALUE"""),"RNE")</f>
        <v>RNE</v>
      </c>
      <c r="C7153" s="120" t="str">
        <f>IFERROR(__xludf.DUMMYFUNCTION("""COMPUTED_VALUE"""),"Renaison")</f>
        <v>Renaison</v>
      </c>
      <c r="D7153" s="120" t="str">
        <f>IFERROR(__xludf.DUMMYFUNCTION("""COMPUTED_VALUE"""),"France")</f>
        <v>France</v>
      </c>
      <c r="E7153" s="135"/>
      <c r="F7153" s="31"/>
    </row>
    <row r="7154">
      <c r="A7154" s="134" t="str">
        <f>IFERROR(__xludf.DUMMYFUNCTION("""COMPUTED_VALUE"""),"Roanoke")</f>
        <v>Roanoke</v>
      </c>
      <c r="B7154" s="120" t="str">
        <f>IFERROR(__xludf.DUMMYFUNCTION("""COMPUTED_VALUE"""),"ROA")</f>
        <v>ROA</v>
      </c>
      <c r="C7154" s="120" t="str">
        <f>IFERROR(__xludf.DUMMYFUNCTION("""COMPUTED_VALUE"""),"Municipal")</f>
        <v>Municipal</v>
      </c>
      <c r="D7154" s="120" t="str">
        <f>IFERROR(__xludf.DUMMYFUNCTION("""COMPUTED_VALUE"""),"United States")</f>
        <v>United States</v>
      </c>
      <c r="E7154" s="135"/>
      <c r="F7154" s="31"/>
    </row>
    <row r="7155">
      <c r="A7155" s="134" t="str">
        <f>IFERROR(__xludf.DUMMYFUNCTION("""COMPUTED_VALUE"""),"Roanoke Rapids")</f>
        <v>Roanoke Rapids</v>
      </c>
      <c r="B7155" s="120" t="str">
        <f>IFERROR(__xludf.DUMMYFUNCTION("""COMPUTED_VALUE"""),"RZZ")</f>
        <v>RZZ</v>
      </c>
      <c r="C7155" s="120" t="str">
        <f>IFERROR(__xludf.DUMMYFUNCTION("""COMPUTED_VALUE"""),"Halifax County")</f>
        <v>Halifax County</v>
      </c>
      <c r="D7155" s="120" t="str">
        <f>IFERROR(__xludf.DUMMYFUNCTION("""COMPUTED_VALUE"""),"United States")</f>
        <v>United States</v>
      </c>
      <c r="E7155" s="135"/>
      <c r="F7155" s="31"/>
    </row>
    <row r="7156">
      <c r="A7156" s="134" t="str">
        <f>IFERROR(__xludf.DUMMYFUNCTION("""COMPUTED_VALUE"""),"Roatan")</f>
        <v>Roatan</v>
      </c>
      <c r="B7156" s="120" t="str">
        <f>IFERROR(__xludf.DUMMYFUNCTION("""COMPUTED_VALUE"""),"RTB")</f>
        <v>RTB</v>
      </c>
      <c r="C7156" s="120" t="str">
        <f>IFERROR(__xludf.DUMMYFUNCTION("""COMPUTED_VALUE"""),"Roatan")</f>
        <v>Roatan</v>
      </c>
      <c r="D7156" s="120" t="str">
        <f>IFERROR(__xludf.DUMMYFUNCTION("""COMPUTED_VALUE"""),"Honduras")</f>
        <v>Honduras</v>
      </c>
      <c r="E7156" s="135"/>
      <c r="F7156" s="31"/>
    </row>
    <row r="7157">
      <c r="A7157" s="134" t="str">
        <f>IFERROR(__xludf.DUMMYFUNCTION("""COMPUTED_VALUE"""),"Robertson")</f>
        <v>Robertson</v>
      </c>
      <c r="B7157" s="120" t="str">
        <f>IFERROR(__xludf.DUMMYFUNCTION("""COMPUTED_VALUE"""),"ROD")</f>
        <v>ROD</v>
      </c>
      <c r="C7157" s="120" t="str">
        <f>IFERROR(__xludf.DUMMYFUNCTION("""COMPUTED_VALUE"""),"Robertson")</f>
        <v>Robertson</v>
      </c>
      <c r="D7157" s="120" t="str">
        <f>IFERROR(__xludf.DUMMYFUNCTION("""COMPUTED_VALUE"""),"South Africa")</f>
        <v>South Africa</v>
      </c>
      <c r="E7157" s="135"/>
      <c r="F7157" s="31"/>
    </row>
    <row r="7158">
      <c r="A7158" s="134" t="str">
        <f>IFERROR(__xludf.DUMMYFUNCTION("""COMPUTED_VALUE"""),"Roberval")</f>
        <v>Roberval</v>
      </c>
      <c r="B7158" s="120" t="str">
        <f>IFERROR(__xludf.DUMMYFUNCTION("""COMPUTED_VALUE"""),"YRJ")</f>
        <v>YRJ</v>
      </c>
      <c r="C7158" s="120" t="str">
        <f>IFERROR(__xludf.DUMMYFUNCTION("""COMPUTED_VALUE"""),"Roberval")</f>
        <v>Roberval</v>
      </c>
      <c r="D7158" s="120" t="str">
        <f>IFERROR(__xludf.DUMMYFUNCTION("""COMPUTED_VALUE"""),"Canada")</f>
        <v>Canada</v>
      </c>
      <c r="E7158" s="135"/>
      <c r="F7158" s="31"/>
    </row>
    <row r="7159">
      <c r="A7159" s="134" t="str">
        <f>IFERROR(__xludf.DUMMYFUNCTION("""COMPUTED_VALUE"""),"Robinhood")</f>
        <v>Robinhood</v>
      </c>
      <c r="B7159" s="120" t="str">
        <f>IFERROR(__xludf.DUMMYFUNCTION("""COMPUTED_VALUE"""),"ROH")</f>
        <v>ROH</v>
      </c>
      <c r="C7159" s="120" t="str">
        <f>IFERROR(__xludf.DUMMYFUNCTION("""COMPUTED_VALUE"""),"Robinhood")</f>
        <v>Robinhood</v>
      </c>
      <c r="D7159" s="120" t="str">
        <f>IFERROR(__xludf.DUMMYFUNCTION("""COMPUTED_VALUE"""),"Australia")</f>
        <v>Australia</v>
      </c>
      <c r="E7159" s="135"/>
      <c r="F7159" s="31"/>
    </row>
    <row r="7160">
      <c r="A7160" s="134" t="str">
        <f>IFERROR(__xludf.DUMMYFUNCTION("""COMPUTED_VALUE"""),"Robinson River")</f>
        <v>Robinson River</v>
      </c>
      <c r="B7160" s="120" t="str">
        <f>IFERROR(__xludf.DUMMYFUNCTION("""COMPUTED_VALUE"""),"RRV")</f>
        <v>RRV</v>
      </c>
      <c r="C7160" s="120" t="str">
        <f>IFERROR(__xludf.DUMMYFUNCTION("""COMPUTED_VALUE"""),"Robinson River")</f>
        <v>Robinson River</v>
      </c>
      <c r="D7160" s="120" t="str">
        <f>IFERROR(__xludf.DUMMYFUNCTION("""COMPUTED_VALUE"""),"Australia")</f>
        <v>Australia</v>
      </c>
      <c r="E7160" s="135"/>
      <c r="F7160" s="31"/>
    </row>
    <row r="7161">
      <c r="A7161" s="134" t="str">
        <f>IFERROR(__xludf.DUMMYFUNCTION("""COMPUTED_VALUE"""),"Robinson River")</f>
        <v>Robinson River</v>
      </c>
      <c r="B7161" s="120" t="str">
        <f>IFERROR(__xludf.DUMMYFUNCTION("""COMPUTED_VALUE"""),"RNR")</f>
        <v>RNR</v>
      </c>
      <c r="C7161" s="120" t="str">
        <f>IFERROR(__xludf.DUMMYFUNCTION("""COMPUTED_VALUE"""),"Robinson River")</f>
        <v>Robinson River</v>
      </c>
      <c r="D7161" s="120" t="str">
        <f>IFERROR(__xludf.DUMMYFUNCTION("""COMPUTED_VALUE"""),"Papua New Guinea")</f>
        <v>Papua New Guinea</v>
      </c>
      <c r="E7161" s="135"/>
      <c r="F7161" s="31"/>
    </row>
    <row r="7162">
      <c r="A7162" s="134" t="str">
        <f>IFERROR(__xludf.DUMMYFUNCTION("""COMPUTED_VALUE"""),"Robinvale")</f>
        <v>Robinvale</v>
      </c>
      <c r="B7162" s="120" t="str">
        <f>IFERROR(__xludf.DUMMYFUNCTION("""COMPUTED_VALUE"""),"RBC")</f>
        <v>RBC</v>
      </c>
      <c r="C7162" s="120" t="str">
        <f>IFERROR(__xludf.DUMMYFUNCTION("""COMPUTED_VALUE"""),"Robinvale")</f>
        <v>Robinvale</v>
      </c>
      <c r="D7162" s="120" t="str">
        <f>IFERROR(__xludf.DUMMYFUNCTION("""COMPUTED_VALUE"""),"Australia")</f>
        <v>Australia</v>
      </c>
      <c r="E7162" s="135"/>
      <c r="F7162" s="31"/>
    </row>
    <row r="7163">
      <c r="A7163" s="134" t="str">
        <f>IFERROR(__xludf.DUMMYFUNCTION("""COMPUTED_VALUE"""),"Robore")</f>
        <v>Robore</v>
      </c>
      <c r="B7163" s="120" t="str">
        <f>IFERROR(__xludf.DUMMYFUNCTION("""COMPUTED_VALUE"""),"RBO")</f>
        <v>RBO</v>
      </c>
      <c r="C7163" s="120" t="str">
        <f>IFERROR(__xludf.DUMMYFUNCTION("""COMPUTED_VALUE"""),"Robore")</f>
        <v>Robore</v>
      </c>
      <c r="D7163" s="120" t="str">
        <f>IFERROR(__xludf.DUMMYFUNCTION("""COMPUTED_VALUE"""),"Bolivia")</f>
        <v>Bolivia</v>
      </c>
      <c r="E7163" s="135"/>
      <c r="F7163" s="31"/>
    </row>
    <row r="7164">
      <c r="A7164" s="134" t="str">
        <f>IFERROR(__xludf.DUMMYFUNCTION("""COMPUTED_VALUE"""),"Roche Harbor")</f>
        <v>Roche Harbor</v>
      </c>
      <c r="B7164" s="120" t="str">
        <f>IFERROR(__xludf.DUMMYFUNCTION("""COMPUTED_VALUE"""),"RCE")</f>
        <v>RCE</v>
      </c>
      <c r="C7164" s="120" t="str">
        <f>IFERROR(__xludf.DUMMYFUNCTION("""COMPUTED_VALUE"""),"Roche Harbor")</f>
        <v>Roche Harbor</v>
      </c>
      <c r="D7164" s="120" t="str">
        <f>IFERROR(__xludf.DUMMYFUNCTION("""COMPUTED_VALUE"""),"United States")</f>
        <v>United States</v>
      </c>
      <c r="E7164" s="135"/>
      <c r="F7164" s="31"/>
    </row>
    <row r="7165">
      <c r="A7165" s="134" t="str">
        <f>IFERROR(__xludf.DUMMYFUNCTION("""COMPUTED_VALUE"""),"Rochefort")</f>
        <v>Rochefort</v>
      </c>
      <c r="B7165" s="120" t="str">
        <f>IFERROR(__xludf.DUMMYFUNCTION("""COMPUTED_VALUE"""),"RCO")</f>
        <v>RCO</v>
      </c>
      <c r="C7165" s="120" t="str">
        <f>IFERROR(__xludf.DUMMYFUNCTION("""COMPUTED_VALUE"""),"Saint Agnant")</f>
        <v>Saint Agnant</v>
      </c>
      <c r="D7165" s="120" t="str">
        <f>IFERROR(__xludf.DUMMYFUNCTION("""COMPUTED_VALUE"""),"France")</f>
        <v>France</v>
      </c>
      <c r="E7165" s="135"/>
      <c r="F7165" s="31"/>
    </row>
    <row r="7166">
      <c r="A7166" s="134" t="str">
        <f>IFERROR(__xludf.DUMMYFUNCTION("""COMPUTED_VALUE"""),"Rochester")</f>
        <v>Rochester</v>
      </c>
      <c r="B7166" s="120" t="str">
        <f>IFERROR(__xludf.DUMMYFUNCTION("""COMPUTED_VALUE"""),"RCS")</f>
        <v>RCS</v>
      </c>
      <c r="C7166" s="120" t="str">
        <f>IFERROR(__xludf.DUMMYFUNCTION("""COMPUTED_VALUE"""),"Rochester")</f>
        <v>Rochester</v>
      </c>
      <c r="D7166" s="120" t="str">
        <f>IFERROR(__xludf.DUMMYFUNCTION("""COMPUTED_VALUE"""),"United Kingdom")</f>
        <v>United Kingdom</v>
      </c>
      <c r="E7166" s="135"/>
      <c r="F7166" s="31"/>
    </row>
    <row r="7167">
      <c r="A7167" s="134" t="str">
        <f>IFERROR(__xludf.DUMMYFUNCTION("""COMPUTED_VALUE"""),"Rochester")</f>
        <v>Rochester</v>
      </c>
      <c r="B7167" s="120" t="str">
        <f>IFERROR(__xludf.DUMMYFUNCTION("""COMPUTED_VALUE"""),"RCR")</f>
        <v>RCR</v>
      </c>
      <c r="C7167" s="120" t="str">
        <f>IFERROR(__xludf.DUMMYFUNCTION("""COMPUTED_VALUE"""),"Fulton County")</f>
        <v>Fulton County</v>
      </c>
      <c r="D7167" s="120" t="str">
        <f>IFERROR(__xludf.DUMMYFUNCTION("""COMPUTED_VALUE"""),"United States")</f>
        <v>United States</v>
      </c>
      <c r="E7167" s="135"/>
      <c r="F7167" s="31"/>
    </row>
    <row r="7168">
      <c r="A7168" s="134" t="str">
        <f>IFERROR(__xludf.DUMMYFUNCTION("""COMPUTED_VALUE"""),"Rochester")</f>
        <v>Rochester</v>
      </c>
      <c r="B7168" s="120" t="str">
        <f>IFERROR(__xludf.DUMMYFUNCTION("""COMPUTED_VALUE"""),"RST")</f>
        <v>RST</v>
      </c>
      <c r="C7168" s="120" t="str">
        <f>IFERROR(__xludf.DUMMYFUNCTION("""COMPUTED_VALUE"""),"Municipal")</f>
        <v>Municipal</v>
      </c>
      <c r="D7168" s="120" t="str">
        <f>IFERROR(__xludf.DUMMYFUNCTION("""COMPUTED_VALUE"""),"United States")</f>
        <v>United States</v>
      </c>
      <c r="E7168" s="135"/>
      <c r="F7168" s="31"/>
    </row>
    <row r="7169">
      <c r="A7169" s="134" t="str">
        <f>IFERROR(__xludf.DUMMYFUNCTION("""COMPUTED_VALUE"""),"Rochester")</f>
        <v>Rochester</v>
      </c>
      <c r="B7169" s="120" t="str">
        <f>IFERROR(__xludf.DUMMYFUNCTION("""COMPUTED_VALUE"""),"JRC")</f>
        <v>JRC</v>
      </c>
      <c r="C7169" s="120" t="str">
        <f>IFERROR(__xludf.DUMMYFUNCTION("""COMPUTED_VALUE"""),"Municipal Heliport")</f>
        <v>Municipal Heliport</v>
      </c>
      <c r="D7169" s="120" t="str">
        <f>IFERROR(__xludf.DUMMYFUNCTION("""COMPUTED_VALUE"""),"United States")</f>
        <v>United States</v>
      </c>
      <c r="E7169" s="135"/>
      <c r="F7169" s="31"/>
    </row>
    <row r="7170">
      <c r="A7170" s="134" t="str">
        <f>IFERROR(__xludf.DUMMYFUNCTION("""COMPUTED_VALUE"""),"Rochester")</f>
        <v>Rochester</v>
      </c>
      <c r="B7170" s="120" t="str">
        <f>IFERROR(__xludf.DUMMYFUNCTION("""COMPUTED_VALUE"""),"ROC")</f>
        <v>ROC</v>
      </c>
      <c r="C7170" s="120" t="str">
        <f>IFERROR(__xludf.DUMMYFUNCTION("""COMPUTED_VALUE"""),"Monroe County")</f>
        <v>Monroe County</v>
      </c>
      <c r="D7170" s="120" t="str">
        <f>IFERROR(__xludf.DUMMYFUNCTION("""COMPUTED_VALUE"""),"United States")</f>
        <v>United States</v>
      </c>
      <c r="E7170" s="135"/>
      <c r="F7170" s="31"/>
    </row>
    <row r="7171">
      <c r="A7171" s="134" t="str">
        <f>IFERROR(__xludf.DUMMYFUNCTION("""COMPUTED_VALUE"""),"Rochester")</f>
        <v>Rochester</v>
      </c>
      <c r="B7171" s="120" t="str">
        <f>IFERROR(__xludf.DUMMYFUNCTION("""COMPUTED_VALUE"""),"ZTE")</f>
        <v>ZTE</v>
      </c>
      <c r="C7171" s="120" t="str">
        <f>IFERROR(__xludf.DUMMYFUNCTION("""COMPUTED_VALUE"""),"Rochester NY Rail")</f>
        <v>Rochester NY Rail</v>
      </c>
      <c r="D7171" s="120" t="str">
        <f>IFERROR(__xludf.DUMMYFUNCTION("""COMPUTED_VALUE"""),"United States")</f>
        <v>United States</v>
      </c>
      <c r="E7171" s="135"/>
      <c r="F7171" s="31"/>
    </row>
    <row r="7172">
      <c r="A7172" s="134" t="str">
        <f>IFERROR(__xludf.DUMMYFUNCTION("""COMPUTED_VALUE"""),"Rock Hill")</f>
        <v>Rock Hill</v>
      </c>
      <c r="B7172" s="120" t="str">
        <f>IFERROR(__xludf.DUMMYFUNCTION("""COMPUTED_VALUE"""),"RKH")</f>
        <v>RKH</v>
      </c>
      <c r="C7172" s="120" t="str">
        <f>IFERROR(__xludf.DUMMYFUNCTION("""COMPUTED_VALUE"""),"Rock Hill")</f>
        <v>Rock Hill</v>
      </c>
      <c r="D7172" s="120" t="str">
        <f>IFERROR(__xludf.DUMMYFUNCTION("""COMPUTED_VALUE"""),"United States")</f>
        <v>United States</v>
      </c>
      <c r="E7172" s="135"/>
      <c r="F7172" s="31"/>
    </row>
    <row r="7173">
      <c r="A7173" s="134" t="str">
        <f>IFERROR(__xludf.DUMMYFUNCTION("""COMPUTED_VALUE"""),"Rock Sound")</f>
        <v>Rock Sound</v>
      </c>
      <c r="B7173" s="120" t="str">
        <f>IFERROR(__xludf.DUMMYFUNCTION("""COMPUTED_VALUE"""),"RSD")</f>
        <v>RSD</v>
      </c>
      <c r="C7173" s="120" t="str">
        <f>IFERROR(__xludf.DUMMYFUNCTION("""COMPUTED_VALUE"""),"S Eleuthera")</f>
        <v>S Eleuthera</v>
      </c>
      <c r="D7173" s="120" t="str">
        <f>IFERROR(__xludf.DUMMYFUNCTION("""COMPUTED_VALUE"""),"Bahamas")</f>
        <v>Bahamas</v>
      </c>
      <c r="E7173" s="135"/>
      <c r="F7173" s="31"/>
    </row>
    <row r="7174">
      <c r="A7174" s="134" t="str">
        <f>IFERROR(__xludf.DUMMYFUNCTION("""COMPUTED_VALUE"""),"Rock Springs")</f>
        <v>Rock Springs</v>
      </c>
      <c r="B7174" s="120" t="str">
        <f>IFERROR(__xludf.DUMMYFUNCTION("""COMPUTED_VALUE"""),"RKS")</f>
        <v>RKS</v>
      </c>
      <c r="C7174" s="120" t="str">
        <f>IFERROR(__xludf.DUMMYFUNCTION("""COMPUTED_VALUE"""),"Sweetwater County")</f>
        <v>Sweetwater County</v>
      </c>
      <c r="D7174" s="120" t="str">
        <f>IFERROR(__xludf.DUMMYFUNCTION("""COMPUTED_VALUE"""),"United States")</f>
        <v>United States</v>
      </c>
      <c r="E7174" s="135"/>
      <c r="F7174" s="31"/>
    </row>
    <row r="7175">
      <c r="A7175" s="134" t="str">
        <f>IFERROR(__xludf.DUMMYFUNCTION("""COMPUTED_VALUE"""),"Rockdale")</f>
        <v>Rockdale</v>
      </c>
      <c r="B7175" s="120" t="str">
        <f>IFERROR(__xludf.DUMMYFUNCTION("""COMPUTED_VALUE"""),"RCK")</f>
        <v>RCK</v>
      </c>
      <c r="C7175" s="120" t="str">
        <f>IFERROR(__xludf.DUMMYFUNCTION("""COMPUTED_VALUE"""),"Coffield")</f>
        <v>Coffield</v>
      </c>
      <c r="D7175" s="120" t="str">
        <f>IFERROR(__xludf.DUMMYFUNCTION("""COMPUTED_VALUE"""),"United States")</f>
        <v>United States</v>
      </c>
      <c r="E7175" s="135"/>
      <c r="F7175" s="31"/>
    </row>
    <row r="7176">
      <c r="A7176" s="134" t="str">
        <f>IFERROR(__xludf.DUMMYFUNCTION("""COMPUTED_VALUE"""),"Rockford")</f>
        <v>Rockford</v>
      </c>
      <c r="B7176" s="120" t="str">
        <f>IFERROR(__xludf.DUMMYFUNCTION("""COMPUTED_VALUE"""),"RMC")</f>
        <v>RMC</v>
      </c>
      <c r="C7176" s="120" t="str">
        <f>IFERROR(__xludf.DUMMYFUNCTION("""COMPUTED_VALUE"""),"Machesney")</f>
        <v>Machesney</v>
      </c>
      <c r="D7176" s="120" t="str">
        <f>IFERROR(__xludf.DUMMYFUNCTION("""COMPUTED_VALUE"""),"United States")</f>
        <v>United States</v>
      </c>
      <c r="E7176" s="135"/>
      <c r="F7176" s="31"/>
    </row>
    <row r="7177">
      <c r="A7177" s="134" t="str">
        <f>IFERROR(__xludf.DUMMYFUNCTION("""COMPUTED_VALUE"""),"Rockford")</f>
        <v>Rockford</v>
      </c>
      <c r="B7177" s="120" t="str">
        <f>IFERROR(__xludf.DUMMYFUNCTION("""COMPUTED_VALUE"""),"ZRF")</f>
        <v>ZRF</v>
      </c>
      <c r="C7177" s="120" t="str">
        <f>IFERROR(__xludf.DUMMYFUNCTION("""COMPUTED_VALUE"""),"Park &amp; Ride Bus Svc")</f>
        <v>Park &amp; Ride Bus Svc</v>
      </c>
      <c r="D7177" s="120" t="str">
        <f>IFERROR(__xludf.DUMMYFUNCTION("""COMPUTED_VALUE"""),"United States")</f>
        <v>United States</v>
      </c>
      <c r="E7177" s="135"/>
      <c r="F7177" s="31"/>
    </row>
    <row r="7178">
      <c r="A7178" s="134" t="str">
        <f>IFERROR(__xludf.DUMMYFUNCTION("""COMPUTED_VALUE"""),"Rockford")</f>
        <v>Rockford</v>
      </c>
      <c r="B7178" s="120" t="str">
        <f>IFERROR(__xludf.DUMMYFUNCTION("""COMPUTED_VALUE"""),"ZRK")</f>
        <v>ZRK</v>
      </c>
      <c r="C7178" s="120" t="str">
        <f>IFERROR(__xludf.DUMMYFUNCTION("""COMPUTED_VALUE"""),"VanGalder Bus Termina")</f>
        <v>VanGalder Bus Termina</v>
      </c>
      <c r="D7178" s="120" t="str">
        <f>IFERROR(__xludf.DUMMYFUNCTION("""COMPUTED_VALUE"""),"United States")</f>
        <v>United States</v>
      </c>
      <c r="E7178" s="135"/>
      <c r="F7178" s="31"/>
    </row>
    <row r="7179">
      <c r="A7179" s="134" t="str">
        <f>IFERROR(__xludf.DUMMYFUNCTION("""COMPUTED_VALUE"""),"Rockhampton")</f>
        <v>Rockhampton</v>
      </c>
      <c r="B7179" s="120" t="str">
        <f>IFERROR(__xludf.DUMMYFUNCTION("""COMPUTED_VALUE"""),"ROK")</f>
        <v>ROK</v>
      </c>
      <c r="C7179" s="120" t="str">
        <f>IFERROR(__xludf.DUMMYFUNCTION("""COMPUTED_VALUE"""),"Rockhampton")</f>
        <v>Rockhampton</v>
      </c>
      <c r="D7179" s="120" t="str">
        <f>IFERROR(__xludf.DUMMYFUNCTION("""COMPUTED_VALUE"""),"Australia")</f>
        <v>Australia</v>
      </c>
      <c r="E7179" s="135"/>
      <c r="F7179" s="31"/>
    </row>
    <row r="7180">
      <c r="A7180" s="134" t="str">
        <f>IFERROR(__xludf.DUMMYFUNCTION("""COMPUTED_VALUE"""),"Rockhampton Downs")</f>
        <v>Rockhampton Downs</v>
      </c>
      <c r="B7180" s="120" t="str">
        <f>IFERROR(__xludf.DUMMYFUNCTION("""COMPUTED_VALUE"""),"RDA")</f>
        <v>RDA</v>
      </c>
      <c r="C7180" s="120" t="str">
        <f>IFERROR(__xludf.DUMMYFUNCTION("""COMPUTED_VALUE"""),"Rockhampton Downs")</f>
        <v>Rockhampton Downs</v>
      </c>
      <c r="D7180" s="120" t="str">
        <f>IFERROR(__xludf.DUMMYFUNCTION("""COMPUTED_VALUE"""),"Australia")</f>
        <v>Australia</v>
      </c>
      <c r="E7180" s="135"/>
      <c r="F7180" s="31"/>
    </row>
    <row r="7181">
      <c r="A7181" s="134" t="str">
        <f>IFERROR(__xludf.DUMMYFUNCTION("""COMPUTED_VALUE"""),"Rockland")</f>
        <v>Rockland</v>
      </c>
      <c r="B7181" s="120" t="str">
        <f>IFERROR(__xludf.DUMMYFUNCTION("""COMPUTED_VALUE"""),"RKD")</f>
        <v>RKD</v>
      </c>
      <c r="C7181" s="120" t="str">
        <f>IFERROR(__xludf.DUMMYFUNCTION("""COMPUTED_VALUE"""),"Knox County Regional")</f>
        <v>Knox County Regional</v>
      </c>
      <c r="D7181" s="120" t="str">
        <f>IFERROR(__xludf.DUMMYFUNCTION("""COMPUTED_VALUE"""),"United States")</f>
        <v>United States</v>
      </c>
      <c r="E7181" s="135"/>
      <c r="F7181" s="31"/>
    </row>
    <row r="7182">
      <c r="A7182" s="134" t="str">
        <f>IFERROR(__xludf.DUMMYFUNCTION("""COMPUTED_VALUE"""),"Rockport")</f>
        <v>Rockport</v>
      </c>
      <c r="B7182" s="120" t="str">
        <f>IFERROR(__xludf.DUMMYFUNCTION("""COMPUTED_VALUE"""),"RKP")</f>
        <v>RKP</v>
      </c>
      <c r="C7182" s="120" t="str">
        <f>IFERROR(__xludf.DUMMYFUNCTION("""COMPUTED_VALUE"""),"Aransas County")</f>
        <v>Aransas County</v>
      </c>
      <c r="D7182" s="120" t="str">
        <f>IFERROR(__xludf.DUMMYFUNCTION("""COMPUTED_VALUE"""),"United States")</f>
        <v>United States</v>
      </c>
      <c r="E7182" s="135"/>
      <c r="F7182" s="31"/>
    </row>
    <row r="7183">
      <c r="A7183" s="134" t="str">
        <f>IFERROR(__xludf.DUMMYFUNCTION("""COMPUTED_VALUE"""),"Rockwood")</f>
        <v>Rockwood</v>
      </c>
      <c r="B7183" s="120" t="str">
        <f>IFERROR(__xludf.DUMMYFUNCTION("""COMPUTED_VALUE"""),"RKW")</f>
        <v>RKW</v>
      </c>
      <c r="C7183" s="120" t="str">
        <f>IFERROR(__xludf.DUMMYFUNCTION("""COMPUTED_VALUE"""),"Municipal")</f>
        <v>Municipal</v>
      </c>
      <c r="D7183" s="120" t="str">
        <f>IFERROR(__xludf.DUMMYFUNCTION("""COMPUTED_VALUE"""),"United States")</f>
        <v>United States</v>
      </c>
      <c r="E7183" s="135"/>
      <c r="F7183" s="31"/>
    </row>
    <row r="7184">
      <c r="A7184" s="134" t="str">
        <f>IFERROR(__xludf.DUMMYFUNCTION("""COMPUTED_VALUE"""),"Rocky Mount")</f>
        <v>Rocky Mount</v>
      </c>
      <c r="B7184" s="120" t="str">
        <f>IFERROR(__xludf.DUMMYFUNCTION("""COMPUTED_VALUE"""),"RWI")</f>
        <v>RWI</v>
      </c>
      <c r="C7184" s="120" t="str">
        <f>IFERROR(__xludf.DUMMYFUNCTION("""COMPUTED_VALUE"""),"Rocky Mount-Wilson")</f>
        <v>Rocky Mount-Wilson</v>
      </c>
      <c r="D7184" s="120" t="str">
        <f>IFERROR(__xludf.DUMMYFUNCTION("""COMPUTED_VALUE"""),"United States")</f>
        <v>United States</v>
      </c>
      <c r="E7184" s="135"/>
      <c r="F7184" s="31"/>
    </row>
    <row r="7185">
      <c r="A7185" s="134" t="str">
        <f>IFERROR(__xludf.DUMMYFUNCTION("""COMPUTED_VALUE"""),"Rocky Mountain House")</f>
        <v>Rocky Mountain House</v>
      </c>
      <c r="B7185" s="120" t="str">
        <f>IFERROR(__xludf.DUMMYFUNCTION("""COMPUTED_VALUE"""),"YRM")</f>
        <v>YRM</v>
      </c>
      <c r="C7185" s="120" t="str">
        <f>IFERROR(__xludf.DUMMYFUNCTION("""COMPUTED_VALUE"""),"Rocky Mountain House")</f>
        <v>Rocky Mountain House</v>
      </c>
      <c r="D7185" s="120" t="str">
        <f>IFERROR(__xludf.DUMMYFUNCTION("""COMPUTED_VALUE"""),"Canada")</f>
        <v>Canada</v>
      </c>
      <c r="E7185" s="135"/>
      <c r="F7185" s="31"/>
    </row>
    <row r="7186">
      <c r="A7186" s="134" t="str">
        <f>IFERROR(__xludf.DUMMYFUNCTION("""COMPUTED_VALUE"""),"Rodez")</f>
        <v>Rodez</v>
      </c>
      <c r="B7186" s="120" t="str">
        <f>IFERROR(__xludf.DUMMYFUNCTION("""COMPUTED_VALUE"""),"RDZ")</f>
        <v>RDZ</v>
      </c>
      <c r="C7186" s="120" t="str">
        <f>IFERROR(__xludf.DUMMYFUNCTION("""COMPUTED_VALUE"""),"Marcillac")</f>
        <v>Marcillac</v>
      </c>
      <c r="D7186" s="120" t="str">
        <f>IFERROR(__xludf.DUMMYFUNCTION("""COMPUTED_VALUE"""),"France")</f>
        <v>France</v>
      </c>
      <c r="E7186" s="135"/>
      <c r="F7186" s="31"/>
    </row>
    <row r="7187">
      <c r="A7187" s="134" t="str">
        <f>IFERROR(__xludf.DUMMYFUNCTION("""COMPUTED_VALUE"""),"Rodrigues Is")</f>
        <v>Rodrigues Is</v>
      </c>
      <c r="B7187" s="120" t="str">
        <f>IFERROR(__xludf.DUMMYFUNCTION("""COMPUTED_VALUE"""),"RRG")</f>
        <v>RRG</v>
      </c>
      <c r="C7187" s="120" t="str">
        <f>IFERROR(__xludf.DUMMYFUNCTION("""COMPUTED_VALUE"""),"Rodrigues Is")</f>
        <v>Rodrigues Is</v>
      </c>
      <c r="D7187" s="120" t="str">
        <f>IFERROR(__xludf.DUMMYFUNCTION("""COMPUTED_VALUE"""),"Mauritius")</f>
        <v>Mauritius</v>
      </c>
      <c r="E7187" s="135"/>
      <c r="F7187" s="31"/>
    </row>
    <row r="7188">
      <c r="A7188" s="134" t="str">
        <f>IFERROR(__xludf.DUMMYFUNCTION("""COMPUTED_VALUE"""),"Rodriguez De Men")</f>
        <v>Rodriguez De Men</v>
      </c>
      <c r="B7188" s="120" t="str">
        <f>IFERROR(__xludf.DUMMYFUNCTION("""COMPUTED_VALUE"""),"RIM")</f>
        <v>RIM</v>
      </c>
      <c r="C7188" s="120" t="str">
        <f>IFERROR(__xludf.DUMMYFUNCTION("""COMPUTED_VALUE"""),"Rodriguez De Men")</f>
        <v>Rodriguez De Men</v>
      </c>
      <c r="D7188" s="120" t="str">
        <f>IFERROR(__xludf.DUMMYFUNCTION("""COMPUTED_VALUE"""),"Peru")</f>
        <v>Peru</v>
      </c>
      <c r="E7188" s="135"/>
      <c r="F7188" s="31"/>
    </row>
    <row r="7189">
      <c r="A7189" s="134" t="str">
        <f>IFERROR(__xludf.DUMMYFUNCTION("""COMPUTED_VALUE"""),"Roebourne")</f>
        <v>Roebourne</v>
      </c>
      <c r="B7189" s="120" t="str">
        <f>IFERROR(__xludf.DUMMYFUNCTION("""COMPUTED_VALUE"""),"RBU")</f>
        <v>RBU</v>
      </c>
      <c r="C7189" s="120" t="str">
        <f>IFERROR(__xludf.DUMMYFUNCTION("""COMPUTED_VALUE"""),"Roebourne")</f>
        <v>Roebourne</v>
      </c>
      <c r="D7189" s="120" t="str">
        <f>IFERROR(__xludf.DUMMYFUNCTION("""COMPUTED_VALUE"""),"Australia")</f>
        <v>Australia</v>
      </c>
      <c r="E7189" s="135"/>
      <c r="F7189" s="31"/>
    </row>
    <row r="7190">
      <c r="A7190" s="134" t="str">
        <f>IFERROR(__xludf.DUMMYFUNCTION("""COMPUTED_VALUE"""),"Roervik")</f>
        <v>Roervik</v>
      </c>
      <c r="B7190" s="120" t="str">
        <f>IFERROR(__xludf.DUMMYFUNCTION("""COMPUTED_VALUE"""),"RVK")</f>
        <v>RVK</v>
      </c>
      <c r="C7190" s="120" t="str">
        <f>IFERROR(__xludf.DUMMYFUNCTION("""COMPUTED_VALUE"""),"Ryumsjoen Aprt")</f>
        <v>Ryumsjoen Aprt</v>
      </c>
      <c r="D7190" s="120" t="str">
        <f>IFERROR(__xludf.DUMMYFUNCTION("""COMPUTED_VALUE"""),"Norway")</f>
        <v>Norway</v>
      </c>
      <c r="E7190" s="135"/>
      <c r="F7190" s="31"/>
    </row>
    <row r="7191">
      <c r="A7191" s="134" t="str">
        <f>IFERROR(__xludf.DUMMYFUNCTION("""COMPUTED_VALUE"""),"Rogers")</f>
        <v>Rogers</v>
      </c>
      <c r="B7191" s="120" t="str">
        <f>IFERROR(__xludf.DUMMYFUNCTION("""COMPUTED_VALUE"""),"ROG")</f>
        <v>ROG</v>
      </c>
      <c r="C7191" s="120" t="str">
        <f>IFERROR(__xludf.DUMMYFUNCTION("""COMPUTED_VALUE"""),"Rogers")</f>
        <v>Rogers</v>
      </c>
      <c r="D7191" s="120" t="str">
        <f>IFERROR(__xludf.DUMMYFUNCTION("""COMPUTED_VALUE"""),"United States")</f>
        <v>United States</v>
      </c>
      <c r="E7191" s="135"/>
      <c r="F7191" s="31"/>
    </row>
    <row r="7192">
      <c r="A7192" s="134" t="str">
        <f>IFERROR(__xludf.DUMMYFUNCTION("""COMPUTED_VALUE"""),"Roi Et")</f>
        <v>Roi Et</v>
      </c>
      <c r="B7192" s="120" t="str">
        <f>IFERROR(__xludf.DUMMYFUNCTION("""COMPUTED_VALUE"""),"ROI")</f>
        <v>ROI</v>
      </c>
      <c r="C7192" s="120" t="str">
        <f>IFERROR(__xludf.DUMMYFUNCTION("""COMPUTED_VALUE"""),"Roi Et Airport")</f>
        <v>Roi Et Airport</v>
      </c>
      <c r="D7192" s="120" t="str">
        <f>IFERROR(__xludf.DUMMYFUNCTION("""COMPUTED_VALUE"""),"Thailand")</f>
        <v>Thailand</v>
      </c>
      <c r="E7192" s="135"/>
      <c r="F7192" s="31"/>
    </row>
    <row r="7193">
      <c r="A7193" s="134" t="str">
        <f>IFERROR(__xludf.DUMMYFUNCTION("""COMPUTED_VALUE"""),"Rokeby")</f>
        <v>Rokeby</v>
      </c>
      <c r="B7193" s="120" t="str">
        <f>IFERROR(__xludf.DUMMYFUNCTION("""COMPUTED_VALUE"""),"RKY")</f>
        <v>RKY</v>
      </c>
      <c r="C7193" s="120" t="str">
        <f>IFERROR(__xludf.DUMMYFUNCTION("""COMPUTED_VALUE"""),"Rokeby")</f>
        <v>Rokeby</v>
      </c>
      <c r="D7193" s="120" t="str">
        <f>IFERROR(__xludf.DUMMYFUNCTION("""COMPUTED_VALUE"""),"Australia")</f>
        <v>Australia</v>
      </c>
      <c r="E7193" s="135"/>
      <c r="F7193" s="31"/>
    </row>
    <row r="7194">
      <c r="A7194" s="134" t="str">
        <f>IFERROR(__xludf.DUMMYFUNCTION("""COMPUTED_VALUE"""),"Rokot")</f>
        <v>Rokot</v>
      </c>
      <c r="B7194" s="120" t="str">
        <f>IFERROR(__xludf.DUMMYFUNCTION("""COMPUTED_VALUE"""),"RKI")</f>
        <v>RKI</v>
      </c>
      <c r="C7194" s="120" t="str">
        <f>IFERROR(__xludf.DUMMYFUNCTION("""COMPUTED_VALUE"""),"Rokot")</f>
        <v>Rokot</v>
      </c>
      <c r="D7194" s="120" t="str">
        <f>IFERROR(__xludf.DUMMYFUNCTION("""COMPUTED_VALUE"""),"Indonesia")</f>
        <v>Indonesia</v>
      </c>
      <c r="E7194" s="135"/>
      <c r="F7194" s="31"/>
    </row>
    <row r="7195">
      <c r="A7195" s="134" t="str">
        <f>IFERROR(__xludf.DUMMYFUNCTION("""COMPUTED_VALUE"""),"Rolla")</f>
        <v>Rolla</v>
      </c>
      <c r="B7195" s="120" t="str">
        <f>IFERROR(__xludf.DUMMYFUNCTION("""COMPUTED_VALUE"""),"RLA")</f>
        <v>RLA</v>
      </c>
      <c r="C7195" s="120" t="str">
        <f>IFERROR(__xludf.DUMMYFUNCTION("""COMPUTED_VALUE"""),"National")</f>
        <v>National</v>
      </c>
      <c r="D7195" s="120" t="str">
        <f>IFERROR(__xludf.DUMMYFUNCTION("""COMPUTED_VALUE"""),"United States")</f>
        <v>United States</v>
      </c>
      <c r="E7195" s="135"/>
      <c r="F7195" s="31"/>
    </row>
    <row r="7196">
      <c r="A7196" s="134" t="str">
        <f>IFERROR(__xludf.DUMMYFUNCTION("""COMPUTED_VALUE"""),"Rolpa")</f>
        <v>Rolpa</v>
      </c>
      <c r="B7196" s="120" t="str">
        <f>IFERROR(__xludf.DUMMYFUNCTION("""COMPUTED_VALUE"""),"RPA")</f>
        <v>RPA</v>
      </c>
      <c r="C7196" s="120" t="str">
        <f>IFERROR(__xludf.DUMMYFUNCTION("""COMPUTED_VALUE"""),"Rolpa")</f>
        <v>Rolpa</v>
      </c>
      <c r="D7196" s="120" t="str">
        <f>IFERROR(__xludf.DUMMYFUNCTION("""COMPUTED_VALUE"""),"Nepal")</f>
        <v>Nepal</v>
      </c>
      <c r="E7196" s="135"/>
      <c r="F7196" s="31"/>
    </row>
    <row r="7197">
      <c r="A7197" s="134" t="str">
        <f>IFERROR(__xludf.DUMMYFUNCTION("""COMPUTED_VALUE"""),"Roma")</f>
        <v>Roma</v>
      </c>
      <c r="B7197" s="120" t="str">
        <f>IFERROR(__xludf.DUMMYFUNCTION("""COMPUTED_VALUE"""),"RMA")</f>
        <v>RMA</v>
      </c>
      <c r="C7197" s="120" t="str">
        <f>IFERROR(__xludf.DUMMYFUNCTION("""COMPUTED_VALUE"""),"Roma")</f>
        <v>Roma</v>
      </c>
      <c r="D7197" s="120" t="str">
        <f>IFERROR(__xludf.DUMMYFUNCTION("""COMPUTED_VALUE"""),"Australia")</f>
        <v>Australia</v>
      </c>
      <c r="E7197" s="135"/>
      <c r="F7197" s="31"/>
    </row>
    <row r="7198">
      <c r="A7198" s="134" t="str">
        <f>IFERROR(__xludf.DUMMYFUNCTION("""COMPUTED_VALUE"""),"Roma")</f>
        <v>Roma</v>
      </c>
      <c r="B7198" s="120" t="str">
        <f>IFERROR(__xludf.DUMMYFUNCTION("""COMPUTED_VALUE"""),"FAL")</f>
        <v>FAL</v>
      </c>
      <c r="C7198" s="120" t="str">
        <f>IFERROR(__xludf.DUMMYFUNCTION("""COMPUTED_VALUE"""),"Falcon State")</f>
        <v>Falcon State</v>
      </c>
      <c r="D7198" s="120" t="str">
        <f>IFERROR(__xludf.DUMMYFUNCTION("""COMPUTED_VALUE"""),"United States")</f>
        <v>United States</v>
      </c>
      <c r="E7198" s="135"/>
      <c r="F7198" s="31"/>
    </row>
    <row r="7199">
      <c r="A7199" s="134" t="str">
        <f>IFERROR(__xludf.DUMMYFUNCTION("""COMPUTED_VALUE"""),"Rome")</f>
        <v>Rome</v>
      </c>
      <c r="B7199" s="120" t="str">
        <f>IFERROR(__xludf.DUMMYFUNCTION("""COMPUTED_VALUE"""),"RMG")</f>
        <v>RMG</v>
      </c>
      <c r="C7199" s="120" t="str">
        <f>IFERROR(__xludf.DUMMYFUNCTION("""COMPUTED_VALUE"""),"Richard B Russell")</f>
        <v>Richard B Russell</v>
      </c>
      <c r="D7199" s="120" t="str">
        <f>IFERROR(__xludf.DUMMYFUNCTION("""COMPUTED_VALUE"""),"United States")</f>
        <v>United States</v>
      </c>
      <c r="E7199" s="135"/>
      <c r="F7199" s="31"/>
    </row>
    <row r="7200">
      <c r="A7200" s="134" t="str">
        <f>IFERROR(__xludf.DUMMYFUNCTION("""COMPUTED_VALUE"""),"Rome")</f>
        <v>Rome</v>
      </c>
      <c r="B7200" s="120" t="str">
        <f>IFERROR(__xludf.DUMMYFUNCTION("""COMPUTED_VALUE"""),"CIA")</f>
        <v>CIA</v>
      </c>
      <c r="C7200" s="120" t="str">
        <f>IFERROR(__xludf.DUMMYFUNCTION("""COMPUTED_VALUE"""),"Ciampino")</f>
        <v>Ciampino</v>
      </c>
      <c r="D7200" s="120" t="str">
        <f>IFERROR(__xludf.DUMMYFUNCTION("""COMPUTED_VALUE"""),"Italy")</f>
        <v>Italy</v>
      </c>
      <c r="E7200" s="135"/>
      <c r="F7200" s="31"/>
    </row>
    <row r="7201">
      <c r="A7201" s="134" t="str">
        <f>IFERROR(__xludf.DUMMYFUNCTION("""COMPUTED_VALUE"""),"Rome")</f>
        <v>Rome</v>
      </c>
      <c r="B7201" s="120" t="str">
        <f>IFERROR(__xludf.DUMMYFUNCTION("""COMPUTED_VALUE"""),"FCO")</f>
        <v>FCO</v>
      </c>
      <c r="C7201" s="120" t="str">
        <f>IFERROR(__xludf.DUMMYFUNCTION("""COMPUTED_VALUE"""),"Leonardo Da Vinci (Fiumicino)")</f>
        <v>Leonardo Da Vinci (Fiumicino)</v>
      </c>
      <c r="D7201" s="120" t="str">
        <f>IFERROR(__xludf.DUMMYFUNCTION("""COMPUTED_VALUE"""),"Italy")</f>
        <v>Italy</v>
      </c>
      <c r="E7201" s="135"/>
      <c r="F7201" s="31"/>
    </row>
    <row r="7202">
      <c r="A7202" s="134" t="str">
        <f>IFERROR(__xludf.DUMMYFUNCTION("""COMPUTED_VALUE"""),"Rome")</f>
        <v>Rome</v>
      </c>
      <c r="B7202" s="120" t="str">
        <f>IFERROR(__xludf.DUMMYFUNCTION("""COMPUTED_VALUE"""),"XVY")</f>
        <v>XVY</v>
      </c>
      <c r="C7202" s="120" t="str">
        <f>IFERROR(__xludf.DUMMYFUNCTION("""COMPUTED_VALUE"""),"Mestre Rail Stn.")</f>
        <v>Mestre Rail Stn.</v>
      </c>
      <c r="D7202" s="120" t="str">
        <f>IFERROR(__xludf.DUMMYFUNCTION("""COMPUTED_VALUE"""),"Italy")</f>
        <v>Italy</v>
      </c>
      <c r="E7202" s="135"/>
      <c r="F7202" s="31"/>
    </row>
    <row r="7203">
      <c r="A7203" s="134" t="str">
        <f>IFERROR(__xludf.DUMMYFUNCTION("""COMPUTED_VALUE"""),"Rome")</f>
        <v>Rome</v>
      </c>
      <c r="B7203" s="120" t="str">
        <f>IFERROR(__xludf.DUMMYFUNCTION("""COMPUTED_VALUE"""),"XRJ")</f>
        <v>XRJ</v>
      </c>
      <c r="C7203" s="120" t="str">
        <f>IFERROR(__xludf.DUMMYFUNCTION("""COMPUTED_VALUE"""),"Termini Rail Stn.")</f>
        <v>Termini Rail Stn.</v>
      </c>
      <c r="D7203" s="120" t="str">
        <f>IFERROR(__xludf.DUMMYFUNCTION("""COMPUTED_VALUE"""),"Italy")</f>
        <v>Italy</v>
      </c>
      <c r="E7203" s="135"/>
      <c r="F7203" s="31"/>
    </row>
    <row r="7204">
      <c r="A7204" s="134" t="str">
        <f>IFERROR(__xludf.DUMMYFUNCTION("""COMPUTED_VALUE"""),"Rome")</f>
        <v>Rome</v>
      </c>
      <c r="B7204" s="120" t="str">
        <f>IFERROR(__xludf.DUMMYFUNCTION("""COMPUTED_VALUE"""),"RME")</f>
        <v>RME</v>
      </c>
      <c r="C7204" s="120" t="str">
        <f>IFERROR(__xludf.DUMMYFUNCTION("""COMPUTED_VALUE"""),"Griffiss AFB")</f>
        <v>Griffiss AFB</v>
      </c>
      <c r="D7204" s="120" t="str">
        <f>IFERROR(__xludf.DUMMYFUNCTION("""COMPUTED_VALUE"""),"United States")</f>
        <v>United States</v>
      </c>
      <c r="E7204" s="135"/>
      <c r="F7204" s="31"/>
    </row>
    <row r="7205">
      <c r="A7205" s="134" t="str">
        <f>IFERROR(__xludf.DUMMYFUNCTION("""COMPUTED_VALUE"""),"Rome")</f>
        <v>Rome</v>
      </c>
      <c r="B7205" s="120" t="str">
        <f>IFERROR(__xludf.DUMMYFUNCTION("""COMPUTED_VALUE"""),"REO")</f>
        <v>REO</v>
      </c>
      <c r="C7205" s="120" t="str">
        <f>IFERROR(__xludf.DUMMYFUNCTION("""COMPUTED_VALUE"""),"State")</f>
        <v>State</v>
      </c>
      <c r="D7205" s="120" t="str">
        <f>IFERROR(__xludf.DUMMYFUNCTION("""COMPUTED_VALUE"""),"United States")</f>
        <v>United States</v>
      </c>
      <c r="E7205" s="135"/>
      <c r="F7205" s="31"/>
    </row>
    <row r="7206">
      <c r="A7206" s="134" t="str">
        <f>IFERROR(__xludf.DUMMYFUNCTION("""COMPUTED_VALUE"""),"Ronda")</f>
        <v>Ronda</v>
      </c>
      <c r="B7206" s="120" t="str">
        <f>IFERROR(__xludf.DUMMYFUNCTION("""COMPUTED_VALUE"""),"RRA")</f>
        <v>RRA</v>
      </c>
      <c r="C7206" s="120" t="str">
        <f>IFERROR(__xludf.DUMMYFUNCTION("""COMPUTED_VALUE"""),"Ronda")</f>
        <v>Ronda</v>
      </c>
      <c r="D7206" s="120" t="str">
        <f>IFERROR(__xludf.DUMMYFUNCTION("""COMPUTED_VALUE"""),"Spain")</f>
        <v>Spain</v>
      </c>
      <c r="E7206" s="135"/>
      <c r="F7206" s="31"/>
    </row>
    <row r="7207">
      <c r="A7207" s="134" t="str">
        <f>IFERROR(__xludf.DUMMYFUNCTION("""COMPUTED_VALUE"""),"Rondon")</f>
        <v>Rondon</v>
      </c>
      <c r="B7207" s="120" t="str">
        <f>IFERROR(__xludf.DUMMYFUNCTION("""COMPUTED_VALUE"""),"RON")</f>
        <v>RON</v>
      </c>
      <c r="C7207" s="120" t="str">
        <f>IFERROR(__xludf.DUMMYFUNCTION("""COMPUTED_VALUE"""),"Rondon")</f>
        <v>Rondon</v>
      </c>
      <c r="D7207" s="120" t="str">
        <f>IFERROR(__xludf.DUMMYFUNCTION("""COMPUTED_VALUE"""),"Colombia")</f>
        <v>Colombia</v>
      </c>
      <c r="E7207" s="135"/>
      <c r="F7207" s="31"/>
    </row>
    <row r="7208">
      <c r="A7208" s="134" t="str">
        <f>IFERROR(__xludf.DUMMYFUNCTION("""COMPUTED_VALUE"""),"Rondonopolis")</f>
        <v>Rondonopolis</v>
      </c>
      <c r="B7208" s="120" t="str">
        <f>IFERROR(__xludf.DUMMYFUNCTION("""COMPUTED_VALUE"""),"ROO")</f>
        <v>ROO</v>
      </c>
      <c r="C7208" s="120" t="str">
        <f>IFERROR(__xludf.DUMMYFUNCTION("""COMPUTED_VALUE"""),"Rondonopolis")</f>
        <v>Rondonopolis</v>
      </c>
      <c r="D7208" s="120" t="str">
        <f>IFERROR(__xludf.DUMMYFUNCTION("""COMPUTED_VALUE"""),"Brazil")</f>
        <v>Brazil</v>
      </c>
      <c r="E7208" s="135"/>
      <c r="F7208" s="31"/>
    </row>
    <row r="7209">
      <c r="A7209" s="134" t="str">
        <f>IFERROR(__xludf.DUMMYFUNCTION("""COMPUTED_VALUE"""),"Rongelap Island")</f>
        <v>Rongelap Island</v>
      </c>
      <c r="B7209" s="120" t="str">
        <f>IFERROR(__xludf.DUMMYFUNCTION("""COMPUTED_VALUE"""),"RNP")</f>
        <v>RNP</v>
      </c>
      <c r="C7209" s="120" t="str">
        <f>IFERROR(__xludf.DUMMYFUNCTION("""COMPUTED_VALUE"""),"Rongelap Island")</f>
        <v>Rongelap Island</v>
      </c>
      <c r="D7209" s="120" t="str">
        <f>IFERROR(__xludf.DUMMYFUNCTION("""COMPUTED_VALUE"""),"Marshall Islands")</f>
        <v>Marshall Islands</v>
      </c>
      <c r="E7209" s="135"/>
      <c r="F7209" s="31"/>
    </row>
    <row r="7210">
      <c r="A7210" s="134" t="str">
        <f>IFERROR(__xludf.DUMMYFUNCTION("""COMPUTED_VALUE"""),"Ronneby")</f>
        <v>Ronneby</v>
      </c>
      <c r="B7210" s="120" t="str">
        <f>IFERROR(__xludf.DUMMYFUNCTION("""COMPUTED_VALUE"""),"RNB")</f>
        <v>RNB</v>
      </c>
      <c r="C7210" s="120" t="str">
        <f>IFERROR(__xludf.DUMMYFUNCTION("""COMPUTED_VALUE"""),"Kallinge")</f>
        <v>Kallinge</v>
      </c>
      <c r="D7210" s="120" t="str">
        <f>IFERROR(__xludf.DUMMYFUNCTION("""COMPUTED_VALUE"""),"Sweden")</f>
        <v>Sweden</v>
      </c>
      <c r="E7210" s="135"/>
      <c r="F7210" s="31"/>
    </row>
    <row r="7211">
      <c r="A7211" s="134" t="str">
        <f>IFERROR(__xludf.DUMMYFUNCTION("""COMPUTED_VALUE"""),"Ronneby")</f>
        <v>Ronneby</v>
      </c>
      <c r="B7211" s="120" t="str">
        <f>IFERROR(__xludf.DUMMYFUNCTION("""COMPUTED_VALUE"""),"XWK")</f>
        <v>XWK</v>
      </c>
      <c r="C7211" s="120" t="str">
        <f>IFERROR(__xludf.DUMMYFUNCTION("""COMPUTED_VALUE"""),"Karlskrona Rail Svc.")</f>
        <v>Karlskrona Rail Svc.</v>
      </c>
      <c r="D7211" s="120" t="str">
        <f>IFERROR(__xludf.DUMMYFUNCTION("""COMPUTED_VALUE"""),"Sweden")</f>
        <v>Sweden</v>
      </c>
      <c r="E7211" s="135"/>
      <c r="F7211" s="31"/>
    </row>
    <row r="7212">
      <c r="A7212" s="134" t="str">
        <f>IFERROR(__xludf.DUMMYFUNCTION("""COMPUTED_VALUE"""),"Roosevelt")</f>
        <v>Roosevelt</v>
      </c>
      <c r="B7212" s="120" t="str">
        <f>IFERROR(__xludf.DUMMYFUNCTION("""COMPUTED_VALUE"""),"ROL")</f>
        <v>ROL</v>
      </c>
      <c r="C7212" s="120" t="str">
        <f>IFERROR(__xludf.DUMMYFUNCTION("""COMPUTED_VALUE"""),"Roosevelt")</f>
        <v>Roosevelt</v>
      </c>
      <c r="D7212" s="120" t="str">
        <f>IFERROR(__xludf.DUMMYFUNCTION("""COMPUTED_VALUE"""),"United States")</f>
        <v>United States</v>
      </c>
      <c r="E7212" s="135"/>
      <c r="F7212" s="31"/>
    </row>
    <row r="7213">
      <c r="A7213" s="134" t="str">
        <f>IFERROR(__xludf.DUMMYFUNCTION("""COMPUTED_VALUE"""),"Roosevelt Roads")</f>
        <v>Roosevelt Roads</v>
      </c>
      <c r="B7213" s="120" t="str">
        <f>IFERROR(__xludf.DUMMYFUNCTION("""COMPUTED_VALUE"""),"NRR")</f>
        <v>NRR</v>
      </c>
      <c r="C7213" s="120" t="str">
        <f>IFERROR(__xludf.DUMMYFUNCTION("""COMPUTED_VALUE"""),"Roosevelt NAS")</f>
        <v>Roosevelt NAS</v>
      </c>
      <c r="D7213" s="120" t="str">
        <f>IFERROR(__xludf.DUMMYFUNCTION("""COMPUTED_VALUE"""),"Puerto Rico")</f>
        <v>Puerto Rico</v>
      </c>
      <c r="E7213" s="135"/>
      <c r="F7213" s="31"/>
    </row>
    <row r="7214">
      <c r="A7214" s="134" t="str">
        <f>IFERROR(__xludf.DUMMYFUNCTION("""COMPUTED_VALUE"""),"Roper Bar")</f>
        <v>Roper Bar</v>
      </c>
      <c r="B7214" s="120" t="str">
        <f>IFERROR(__xludf.DUMMYFUNCTION("""COMPUTED_VALUE"""),"RPB")</f>
        <v>RPB</v>
      </c>
      <c r="C7214" s="120" t="str">
        <f>IFERROR(__xludf.DUMMYFUNCTION("""COMPUTED_VALUE"""),"Roper Bar")</f>
        <v>Roper Bar</v>
      </c>
      <c r="D7214" s="120" t="str">
        <f>IFERROR(__xludf.DUMMYFUNCTION("""COMPUTED_VALUE"""),"Australia")</f>
        <v>Australia</v>
      </c>
      <c r="E7214" s="135"/>
      <c r="F7214" s="31"/>
    </row>
    <row r="7215">
      <c r="A7215" s="134" t="str">
        <f>IFERROR(__xludf.DUMMYFUNCTION("""COMPUTED_VALUE"""),"Roper Valley")</f>
        <v>Roper Valley</v>
      </c>
      <c r="B7215" s="120" t="str">
        <f>IFERROR(__xludf.DUMMYFUNCTION("""COMPUTED_VALUE"""),"RPV")</f>
        <v>RPV</v>
      </c>
      <c r="C7215" s="120" t="str">
        <f>IFERROR(__xludf.DUMMYFUNCTION("""COMPUTED_VALUE"""),"Roper Valley")</f>
        <v>Roper Valley</v>
      </c>
      <c r="D7215" s="120" t="str">
        <f>IFERROR(__xludf.DUMMYFUNCTION("""COMPUTED_VALUE"""),"Australia")</f>
        <v>Australia</v>
      </c>
      <c r="E7215" s="135"/>
      <c r="F7215" s="31"/>
    </row>
    <row r="7216">
      <c r="A7216" s="134" t="str">
        <f>IFERROR(__xludf.DUMMYFUNCTION("""COMPUTED_VALUE"""),"Roros")</f>
        <v>Roros</v>
      </c>
      <c r="B7216" s="120" t="str">
        <f>IFERROR(__xludf.DUMMYFUNCTION("""COMPUTED_VALUE"""),"RRS")</f>
        <v>RRS</v>
      </c>
      <c r="C7216" s="120" t="str">
        <f>IFERROR(__xludf.DUMMYFUNCTION("""COMPUTED_VALUE"""),"Roros")</f>
        <v>Roros</v>
      </c>
      <c r="D7216" s="120" t="str">
        <f>IFERROR(__xludf.DUMMYFUNCTION("""COMPUTED_VALUE"""),"Norway")</f>
        <v>Norway</v>
      </c>
      <c r="E7216" s="135"/>
      <c r="F7216" s="31"/>
    </row>
    <row r="7217">
      <c r="A7217" s="134" t="str">
        <f>IFERROR(__xludf.DUMMYFUNCTION("""COMPUTED_VALUE"""),"Rosario")</f>
        <v>Rosario</v>
      </c>
      <c r="B7217" s="120" t="str">
        <f>IFERROR(__xludf.DUMMYFUNCTION("""COMPUTED_VALUE"""),"ROS")</f>
        <v>ROS</v>
      </c>
      <c r="C7217" s="120" t="str">
        <f>IFERROR(__xludf.DUMMYFUNCTION("""COMPUTED_VALUE"""),"Fisherton")</f>
        <v>Fisherton</v>
      </c>
      <c r="D7217" s="120" t="str">
        <f>IFERROR(__xludf.DUMMYFUNCTION("""COMPUTED_VALUE"""),"Argentina")</f>
        <v>Argentina</v>
      </c>
      <c r="E7217" s="135"/>
      <c r="F7217" s="31"/>
    </row>
    <row r="7218">
      <c r="A7218" s="134" t="str">
        <f>IFERROR(__xludf.DUMMYFUNCTION("""COMPUTED_VALUE"""),"Rosario")</f>
        <v>Rosario</v>
      </c>
      <c r="B7218" s="120" t="str">
        <f>IFERROR(__xludf.DUMMYFUNCTION("""COMPUTED_VALUE"""),"RSJ")</f>
        <v>RSJ</v>
      </c>
      <c r="C7218" s="120" t="str">
        <f>IFERROR(__xludf.DUMMYFUNCTION("""COMPUTED_VALUE"""),"Rosario SPB")</f>
        <v>Rosario SPB</v>
      </c>
      <c r="D7218" s="120" t="str">
        <f>IFERROR(__xludf.DUMMYFUNCTION("""COMPUTED_VALUE"""),"United States")</f>
        <v>United States</v>
      </c>
      <c r="E7218" s="135"/>
      <c r="F7218" s="31"/>
    </row>
    <row r="7219">
      <c r="A7219" s="134" t="str">
        <f>IFERROR(__xludf.DUMMYFUNCTION("""COMPUTED_VALUE"""),"Roseau")</f>
        <v>Roseau</v>
      </c>
      <c r="B7219" s="120" t="str">
        <f>IFERROR(__xludf.DUMMYFUNCTION("""COMPUTED_VALUE"""),"ROX")</f>
        <v>ROX</v>
      </c>
      <c r="C7219" s="120" t="str">
        <f>IFERROR(__xludf.DUMMYFUNCTION("""COMPUTED_VALUE"""),"Municipal")</f>
        <v>Municipal</v>
      </c>
      <c r="D7219" s="120" t="str">
        <f>IFERROR(__xludf.DUMMYFUNCTION("""COMPUTED_VALUE"""),"United States")</f>
        <v>United States</v>
      </c>
      <c r="E7219" s="135"/>
      <c r="F7219" s="31"/>
    </row>
    <row r="7220">
      <c r="A7220" s="134" t="str">
        <f>IFERROR(__xludf.DUMMYFUNCTION("""COMPUTED_VALUE"""),"Roseberth")</f>
        <v>Roseberth</v>
      </c>
      <c r="B7220" s="120" t="str">
        <f>IFERROR(__xludf.DUMMYFUNCTION("""COMPUTED_VALUE"""),"RSB")</f>
        <v>RSB</v>
      </c>
      <c r="C7220" s="120" t="str">
        <f>IFERROR(__xludf.DUMMYFUNCTION("""COMPUTED_VALUE"""),"Roseberth")</f>
        <v>Roseberth</v>
      </c>
      <c r="D7220" s="120" t="str">
        <f>IFERROR(__xludf.DUMMYFUNCTION("""COMPUTED_VALUE"""),"Australia")</f>
        <v>Australia</v>
      </c>
      <c r="E7220" s="135"/>
      <c r="F7220" s="31"/>
    </row>
    <row r="7221">
      <c r="A7221" s="134" t="str">
        <f>IFERROR(__xludf.DUMMYFUNCTION("""COMPUTED_VALUE"""),"Roseburg")</f>
        <v>Roseburg</v>
      </c>
      <c r="B7221" s="120" t="str">
        <f>IFERROR(__xludf.DUMMYFUNCTION("""COMPUTED_VALUE"""),"RBG")</f>
        <v>RBG</v>
      </c>
      <c r="C7221" s="120" t="str">
        <f>IFERROR(__xludf.DUMMYFUNCTION("""COMPUTED_VALUE"""),"Municipal")</f>
        <v>Municipal</v>
      </c>
      <c r="D7221" s="120" t="str">
        <f>IFERROR(__xludf.DUMMYFUNCTION("""COMPUTED_VALUE"""),"United States")</f>
        <v>United States</v>
      </c>
      <c r="E7221" s="135"/>
      <c r="F7221" s="31"/>
    </row>
    <row r="7222">
      <c r="A7222" s="134" t="str">
        <f>IFERROR(__xludf.DUMMYFUNCTION("""COMPUTED_VALUE"""),"Roseires")</f>
        <v>Roseires</v>
      </c>
      <c r="B7222" s="120" t="str">
        <f>IFERROR(__xludf.DUMMYFUNCTION("""COMPUTED_VALUE"""),"RSS")</f>
        <v>RSS</v>
      </c>
      <c r="C7222" s="120" t="str">
        <f>IFERROR(__xludf.DUMMYFUNCTION("""COMPUTED_VALUE"""),"Roseires")</f>
        <v>Roseires</v>
      </c>
      <c r="D7222" s="120" t="str">
        <f>IFERROR(__xludf.DUMMYFUNCTION("""COMPUTED_VALUE"""),"Sudan")</f>
        <v>Sudan</v>
      </c>
      <c r="E7222" s="135"/>
      <c r="F7222" s="31"/>
    </row>
    <row r="7223">
      <c r="A7223" s="134" t="str">
        <f>IFERROR(__xludf.DUMMYFUNCTION("""COMPUTED_VALUE"""),"Rosella Plains")</f>
        <v>Rosella Plains</v>
      </c>
      <c r="B7223" s="120" t="str">
        <f>IFERROR(__xludf.DUMMYFUNCTION("""COMPUTED_VALUE"""),"RLP")</f>
        <v>RLP</v>
      </c>
      <c r="C7223" s="120" t="str">
        <f>IFERROR(__xludf.DUMMYFUNCTION("""COMPUTED_VALUE"""),"Rosella Plains")</f>
        <v>Rosella Plains</v>
      </c>
      <c r="D7223" s="120" t="str">
        <f>IFERROR(__xludf.DUMMYFUNCTION("""COMPUTED_VALUE"""),"Australia")</f>
        <v>Australia</v>
      </c>
      <c r="E7223" s="135"/>
      <c r="F7223" s="31"/>
    </row>
    <row r="7224">
      <c r="A7224" s="134" t="str">
        <f>IFERROR(__xludf.DUMMYFUNCTION("""COMPUTED_VALUE"""),"Rosh Pina")</f>
        <v>Rosh Pina</v>
      </c>
      <c r="B7224" s="120" t="str">
        <f>IFERROR(__xludf.DUMMYFUNCTION("""COMPUTED_VALUE"""),"RPN")</f>
        <v>RPN</v>
      </c>
      <c r="C7224" s="120" t="str">
        <f>IFERROR(__xludf.DUMMYFUNCTION("""COMPUTED_VALUE"""),"Rosh Pina")</f>
        <v>Rosh Pina</v>
      </c>
      <c r="D7224" s="120" t="str">
        <f>IFERROR(__xludf.DUMMYFUNCTION("""COMPUTED_VALUE"""),"Israel")</f>
        <v>Israel</v>
      </c>
      <c r="E7224" s="135"/>
      <c r="F7224" s="31"/>
    </row>
    <row r="7225">
      <c r="A7225" s="134" t="str">
        <f>IFERROR(__xludf.DUMMYFUNCTION("""COMPUTED_VALUE"""),"Rosh Pina")</f>
        <v>Rosh Pina</v>
      </c>
      <c r="B7225" s="120" t="str">
        <f>IFERROR(__xludf.DUMMYFUNCTION("""COMPUTED_VALUE"""),"RHN")</f>
        <v>RHN</v>
      </c>
      <c r="C7225" s="120" t="str">
        <f>IFERROR(__xludf.DUMMYFUNCTION("""COMPUTED_VALUE"""),"Rosh Pina")</f>
        <v>Rosh Pina</v>
      </c>
      <c r="D7225" s="120" t="str">
        <f>IFERROR(__xludf.DUMMYFUNCTION("""COMPUTED_VALUE"""),"Namibia")</f>
        <v>Namibia</v>
      </c>
      <c r="E7225" s="135"/>
      <c r="F7225" s="31"/>
    </row>
    <row r="7226">
      <c r="A7226" s="134" t="str">
        <f>IFERROR(__xludf.DUMMYFUNCTION("""COMPUTED_VALUE"""),"Rosita")</f>
        <v>Rosita</v>
      </c>
      <c r="B7226" s="120" t="str">
        <f>IFERROR(__xludf.DUMMYFUNCTION("""COMPUTED_VALUE"""),"RFS")</f>
        <v>RFS</v>
      </c>
      <c r="C7226" s="120" t="str">
        <f>IFERROR(__xludf.DUMMYFUNCTION("""COMPUTED_VALUE"""),"Rosita")</f>
        <v>Rosita</v>
      </c>
      <c r="D7226" s="120" t="str">
        <f>IFERROR(__xludf.DUMMYFUNCTION("""COMPUTED_VALUE"""),"Nicaragua")</f>
        <v>Nicaragua</v>
      </c>
      <c r="E7226" s="135"/>
      <c r="F7226" s="31"/>
    </row>
    <row r="7227">
      <c r="A7227" s="134" t="str">
        <f>IFERROR(__xludf.DUMMYFUNCTION("""COMPUTED_VALUE"""),"Ross River")</f>
        <v>Ross River</v>
      </c>
      <c r="B7227" s="120" t="str">
        <f>IFERROR(__xludf.DUMMYFUNCTION("""COMPUTED_VALUE"""),"XRR")</f>
        <v>XRR</v>
      </c>
      <c r="C7227" s="120" t="str">
        <f>IFERROR(__xludf.DUMMYFUNCTION("""COMPUTED_VALUE"""),"Ross River")</f>
        <v>Ross River</v>
      </c>
      <c r="D7227" s="120" t="str">
        <f>IFERROR(__xludf.DUMMYFUNCTION("""COMPUTED_VALUE"""),"Canada")</f>
        <v>Canada</v>
      </c>
      <c r="E7227" s="135"/>
      <c r="F7227" s="31"/>
    </row>
    <row r="7228">
      <c r="A7228" s="134" t="str">
        <f>IFERROR(__xludf.DUMMYFUNCTION("""COMPUTED_VALUE"""),"Rost")</f>
        <v>Rost</v>
      </c>
      <c r="B7228" s="120" t="str">
        <f>IFERROR(__xludf.DUMMYFUNCTION("""COMPUTED_VALUE"""),"RET")</f>
        <v>RET</v>
      </c>
      <c r="C7228" s="120" t="str">
        <f>IFERROR(__xludf.DUMMYFUNCTION("""COMPUTED_VALUE"""),"Stolport")</f>
        <v>Stolport</v>
      </c>
      <c r="D7228" s="120" t="str">
        <f>IFERROR(__xludf.DUMMYFUNCTION("""COMPUTED_VALUE"""),"Norway")</f>
        <v>Norway</v>
      </c>
      <c r="E7228" s="135"/>
      <c r="F7228" s="31"/>
    </row>
    <row r="7229">
      <c r="A7229" s="134" t="str">
        <f>IFERROR(__xludf.DUMMYFUNCTION("""COMPUTED_VALUE"""),"Rostock-laage")</f>
        <v>Rostock-laage</v>
      </c>
      <c r="B7229" s="120" t="str">
        <f>IFERROR(__xludf.DUMMYFUNCTION("""COMPUTED_VALUE"""),"RLG")</f>
        <v>RLG</v>
      </c>
      <c r="C7229" s="120" t="str">
        <f>IFERROR(__xludf.DUMMYFUNCTION("""COMPUTED_VALUE"""),"Laage")</f>
        <v>Laage</v>
      </c>
      <c r="D7229" s="120" t="str">
        <f>IFERROR(__xludf.DUMMYFUNCTION("""COMPUTED_VALUE"""),"Germany")</f>
        <v>Germany</v>
      </c>
      <c r="E7229" s="135"/>
      <c r="F7229" s="31"/>
    </row>
    <row r="7230">
      <c r="A7230" s="134" t="str">
        <f>IFERROR(__xludf.DUMMYFUNCTION("""COMPUTED_VALUE"""),"Rostov")</f>
        <v>Rostov</v>
      </c>
      <c r="B7230" s="120" t="str">
        <f>IFERROR(__xludf.DUMMYFUNCTION("""COMPUTED_VALUE"""),"ROV")</f>
        <v>ROV</v>
      </c>
      <c r="C7230" s="120" t="str">
        <f>IFERROR(__xludf.DUMMYFUNCTION("""COMPUTED_VALUE"""),"Rostov")</f>
        <v>Rostov</v>
      </c>
      <c r="D7230" s="120" t="str">
        <f>IFERROR(__xludf.DUMMYFUNCTION("""COMPUTED_VALUE"""),"Russia")</f>
        <v>Russia</v>
      </c>
      <c r="E7230" s="135"/>
      <c r="F7230" s="31"/>
    </row>
    <row r="7231">
      <c r="A7231" s="134" t="str">
        <f>IFERROR(__xludf.DUMMYFUNCTION("""COMPUTED_VALUE"""),"Roswell")</f>
        <v>Roswell</v>
      </c>
      <c r="B7231" s="120" t="str">
        <f>IFERROR(__xludf.DUMMYFUNCTION("""COMPUTED_VALUE"""),"ROW")</f>
        <v>ROW</v>
      </c>
      <c r="C7231" s="120" t="str">
        <f>IFERROR(__xludf.DUMMYFUNCTION("""COMPUTED_VALUE"""),"Industrial")</f>
        <v>Industrial</v>
      </c>
      <c r="D7231" s="120" t="str">
        <f>IFERROR(__xludf.DUMMYFUNCTION("""COMPUTED_VALUE"""),"United States")</f>
        <v>United States</v>
      </c>
      <c r="E7231" s="135"/>
      <c r="F7231" s="31"/>
    </row>
    <row r="7232">
      <c r="A7232" s="134" t="str">
        <f>IFERROR(__xludf.DUMMYFUNCTION("""COMPUTED_VALUE"""),"Rota")</f>
        <v>Rota</v>
      </c>
      <c r="B7232" s="120" t="str">
        <f>IFERROR(__xludf.DUMMYFUNCTION("""COMPUTED_VALUE"""),"ROP")</f>
        <v>ROP</v>
      </c>
      <c r="C7232" s="120" t="str">
        <f>IFERROR(__xludf.DUMMYFUNCTION("""COMPUTED_VALUE"""),"Rota")</f>
        <v>Rota</v>
      </c>
      <c r="D7232" s="120" t="str">
        <f>IFERROR(__xludf.DUMMYFUNCTION("""COMPUTED_VALUE"""),"Northern Mariana Islands")</f>
        <v>Northern Mariana Islands</v>
      </c>
      <c r="E7232" s="135"/>
      <c r="F7232" s="31"/>
    </row>
    <row r="7233">
      <c r="A7233" s="134" t="str">
        <f>IFERROR(__xludf.DUMMYFUNCTION("""COMPUTED_VALUE"""),"Rothesay")</f>
        <v>Rothesay</v>
      </c>
      <c r="B7233" s="120" t="str">
        <f>IFERROR(__xludf.DUMMYFUNCTION("""COMPUTED_VALUE"""),"RAY")</f>
        <v>RAY</v>
      </c>
      <c r="C7233" s="120" t="str">
        <f>IFERROR(__xludf.DUMMYFUNCTION("""COMPUTED_VALUE"""),"Heliport")</f>
        <v>Heliport</v>
      </c>
      <c r="D7233" s="120" t="str">
        <f>IFERROR(__xludf.DUMMYFUNCTION("""COMPUTED_VALUE"""),"United Kingdom")</f>
        <v>United Kingdom</v>
      </c>
      <c r="E7233" s="135"/>
      <c r="F7233" s="31"/>
    </row>
    <row r="7234">
      <c r="A7234" s="134" t="str">
        <f>IFERROR(__xludf.DUMMYFUNCTION("""COMPUTED_VALUE"""),"Roti")</f>
        <v>Roti</v>
      </c>
      <c r="B7234" s="120" t="str">
        <f>IFERROR(__xludf.DUMMYFUNCTION("""COMPUTED_VALUE"""),"RTI")</f>
        <v>RTI</v>
      </c>
      <c r="C7234" s="120" t="str">
        <f>IFERROR(__xludf.DUMMYFUNCTION("""COMPUTED_VALUE"""),"Roti")</f>
        <v>Roti</v>
      </c>
      <c r="D7234" s="120" t="str">
        <f>IFERROR(__xludf.DUMMYFUNCTION("""COMPUTED_VALUE"""),"Indonesia")</f>
        <v>Indonesia</v>
      </c>
      <c r="E7234" s="135"/>
      <c r="F7234" s="31"/>
    </row>
    <row r="7235">
      <c r="A7235" s="134" t="str">
        <f>IFERROR(__xludf.DUMMYFUNCTION("""COMPUTED_VALUE"""),"Rotorua")</f>
        <v>Rotorua</v>
      </c>
      <c r="B7235" s="120" t="str">
        <f>IFERROR(__xludf.DUMMYFUNCTION("""COMPUTED_VALUE"""),"ROT")</f>
        <v>ROT</v>
      </c>
      <c r="C7235" s="120" t="str">
        <f>IFERROR(__xludf.DUMMYFUNCTION("""COMPUTED_VALUE"""),"Rotorua")</f>
        <v>Rotorua</v>
      </c>
      <c r="D7235" s="120" t="str">
        <f>IFERROR(__xludf.DUMMYFUNCTION("""COMPUTED_VALUE"""),"New Zealand (Aotearoa)")</f>
        <v>New Zealand (Aotearoa)</v>
      </c>
      <c r="E7235" s="135"/>
      <c r="F7235" s="31"/>
    </row>
    <row r="7236">
      <c r="A7236" s="134" t="str">
        <f>IFERROR(__xludf.DUMMYFUNCTION("""COMPUTED_VALUE"""),"Rotterdam")</f>
        <v>Rotterdam</v>
      </c>
      <c r="B7236" s="120" t="str">
        <f>IFERROR(__xludf.DUMMYFUNCTION("""COMPUTED_VALUE"""),"RTM")</f>
        <v>RTM</v>
      </c>
      <c r="C7236" s="120" t="str">
        <f>IFERROR(__xludf.DUMMYFUNCTION("""COMPUTED_VALUE"""),"Rotterdam")</f>
        <v>Rotterdam</v>
      </c>
      <c r="D7236" s="120" t="str">
        <f>IFERROR(__xludf.DUMMYFUNCTION("""COMPUTED_VALUE"""),"Netherlands")</f>
        <v>Netherlands</v>
      </c>
      <c r="E7236" s="135"/>
      <c r="F7236" s="31"/>
    </row>
    <row r="7237">
      <c r="A7237" s="134" t="str">
        <f>IFERROR(__xludf.DUMMYFUNCTION("""COMPUTED_VALUE"""),"Rotterdam")</f>
        <v>Rotterdam</v>
      </c>
      <c r="B7237" s="120" t="str">
        <f>IFERROR(__xludf.DUMMYFUNCTION("""COMPUTED_VALUE"""),"QRH")</f>
        <v>QRH</v>
      </c>
      <c r="C7237" s="120" t="str">
        <f>IFERROR(__xludf.DUMMYFUNCTION("""COMPUTED_VALUE"""),"Central Station")</f>
        <v>Central Station</v>
      </c>
      <c r="D7237" s="120" t="str">
        <f>IFERROR(__xludf.DUMMYFUNCTION("""COMPUTED_VALUE"""),"Netherlands")</f>
        <v>Netherlands</v>
      </c>
      <c r="E7237" s="135"/>
      <c r="F7237" s="31"/>
    </row>
    <row r="7238">
      <c r="A7238" s="134" t="str">
        <f>IFERROR(__xludf.DUMMYFUNCTION("""COMPUTED_VALUE"""),"Rottnest Island")</f>
        <v>Rottnest Island</v>
      </c>
      <c r="B7238" s="120" t="str">
        <f>IFERROR(__xludf.DUMMYFUNCTION("""COMPUTED_VALUE"""),"RTS")</f>
        <v>RTS</v>
      </c>
      <c r="C7238" s="120" t="str">
        <f>IFERROR(__xludf.DUMMYFUNCTION("""COMPUTED_VALUE"""),"Rottnest Island")</f>
        <v>Rottnest Island</v>
      </c>
      <c r="D7238" s="120" t="str">
        <f>IFERROR(__xludf.DUMMYFUNCTION("""COMPUTED_VALUE"""),"Australia")</f>
        <v>Australia</v>
      </c>
      <c r="E7238" s="135"/>
      <c r="F7238" s="31"/>
    </row>
    <row r="7239">
      <c r="A7239" s="134" t="str">
        <f>IFERROR(__xludf.DUMMYFUNCTION("""COMPUTED_VALUE"""),"Rotuma Island")</f>
        <v>Rotuma Island</v>
      </c>
      <c r="B7239" s="120" t="str">
        <f>IFERROR(__xludf.DUMMYFUNCTION("""COMPUTED_VALUE"""),"RTA")</f>
        <v>RTA</v>
      </c>
      <c r="C7239" s="120" t="str">
        <f>IFERROR(__xludf.DUMMYFUNCTION("""COMPUTED_VALUE"""),"Rotuma Island")</f>
        <v>Rotuma Island</v>
      </c>
      <c r="D7239" s="120" t="str">
        <f>IFERROR(__xludf.DUMMYFUNCTION("""COMPUTED_VALUE"""),"Fiji")</f>
        <v>Fiji</v>
      </c>
      <c r="E7239" s="135"/>
      <c r="F7239" s="31"/>
    </row>
    <row r="7240">
      <c r="A7240" s="134" t="str">
        <f>IFERROR(__xludf.DUMMYFUNCTION("""COMPUTED_VALUE"""),"Rotunda")</f>
        <v>Rotunda</v>
      </c>
      <c r="B7240" s="120" t="str">
        <f>IFERROR(__xludf.DUMMYFUNCTION("""COMPUTED_VALUE"""),"RTD")</f>
        <v>RTD</v>
      </c>
      <c r="C7240" s="120" t="str">
        <f>IFERROR(__xludf.DUMMYFUNCTION("""COMPUTED_VALUE"""),"Rotunda")</f>
        <v>Rotunda</v>
      </c>
      <c r="D7240" s="120" t="str">
        <f>IFERROR(__xludf.DUMMYFUNCTION("""COMPUTED_VALUE"""),"United States")</f>
        <v>United States</v>
      </c>
      <c r="E7240" s="135"/>
      <c r="F7240" s="31"/>
    </row>
    <row r="7241">
      <c r="A7241" s="134" t="str">
        <f>IFERROR(__xludf.DUMMYFUNCTION("""COMPUTED_VALUE"""),"Rouen")</f>
        <v>Rouen</v>
      </c>
      <c r="B7241" s="120" t="str">
        <f>IFERROR(__xludf.DUMMYFUNCTION("""COMPUTED_VALUE"""),"URO")</f>
        <v>URO</v>
      </c>
      <c r="C7241" s="120" t="str">
        <f>IFERROR(__xludf.DUMMYFUNCTION("""COMPUTED_VALUE"""),"Boos")</f>
        <v>Boos</v>
      </c>
      <c r="D7241" s="120" t="str">
        <f>IFERROR(__xludf.DUMMYFUNCTION("""COMPUTED_VALUE"""),"France")</f>
        <v>France</v>
      </c>
      <c r="E7241" s="135"/>
      <c r="F7241" s="31"/>
    </row>
    <row r="7242">
      <c r="A7242" s="134" t="str">
        <f>IFERROR(__xludf.DUMMYFUNCTION("""COMPUTED_VALUE"""),"Round Lake")</f>
        <v>Round Lake</v>
      </c>
      <c r="B7242" s="120" t="str">
        <f>IFERROR(__xludf.DUMMYFUNCTION("""COMPUTED_VALUE"""),"ZRJ")</f>
        <v>ZRJ</v>
      </c>
      <c r="C7242" s="120" t="str">
        <f>IFERROR(__xludf.DUMMYFUNCTION("""COMPUTED_VALUE"""),"Round Lake")</f>
        <v>Round Lake</v>
      </c>
      <c r="D7242" s="120" t="str">
        <f>IFERROR(__xludf.DUMMYFUNCTION("""COMPUTED_VALUE"""),"Canada")</f>
        <v>Canada</v>
      </c>
      <c r="E7242" s="135"/>
      <c r="F7242" s="31"/>
    </row>
    <row r="7243">
      <c r="A7243" s="134" t="str">
        <f>IFERROR(__xludf.DUMMYFUNCTION("""COMPUTED_VALUE"""),"Roundup")</f>
        <v>Roundup</v>
      </c>
      <c r="B7243" s="120" t="str">
        <f>IFERROR(__xludf.DUMMYFUNCTION("""COMPUTED_VALUE"""),"RPX")</f>
        <v>RPX</v>
      </c>
      <c r="C7243" s="120" t="str">
        <f>IFERROR(__xludf.DUMMYFUNCTION("""COMPUTED_VALUE"""),"Roundup")</f>
        <v>Roundup</v>
      </c>
      <c r="D7243" s="120" t="str">
        <f>IFERROR(__xludf.DUMMYFUNCTION("""COMPUTED_VALUE"""),"United States")</f>
        <v>United States</v>
      </c>
      <c r="E7243" s="135"/>
      <c r="F7243" s="31"/>
    </row>
    <row r="7244">
      <c r="A7244" s="134" t="str">
        <f>IFERROR(__xludf.DUMMYFUNCTION("""COMPUTED_VALUE"""),"Rourkela")</f>
        <v>Rourkela</v>
      </c>
      <c r="B7244" s="120" t="str">
        <f>IFERROR(__xludf.DUMMYFUNCTION("""COMPUTED_VALUE"""),"RRK")</f>
        <v>RRK</v>
      </c>
      <c r="C7244" s="120" t="str">
        <f>IFERROR(__xludf.DUMMYFUNCTION("""COMPUTED_VALUE"""),"Rourkela")</f>
        <v>Rourkela</v>
      </c>
      <c r="D7244" s="120" t="str">
        <f>IFERROR(__xludf.DUMMYFUNCTION("""COMPUTED_VALUE"""),"India")</f>
        <v>India</v>
      </c>
      <c r="E7244" s="135"/>
      <c r="F7244" s="31"/>
    </row>
    <row r="7245">
      <c r="A7245" s="134" t="str">
        <f>IFERROR(__xludf.DUMMYFUNCTION("""COMPUTED_VALUE"""),"Rouses Point")</f>
        <v>Rouses Point</v>
      </c>
      <c r="B7245" s="120" t="str">
        <f>IFERROR(__xludf.DUMMYFUNCTION("""COMPUTED_VALUE"""),"RSX")</f>
        <v>RSX</v>
      </c>
      <c r="C7245" s="120" t="str">
        <f>IFERROR(__xludf.DUMMYFUNCTION("""COMPUTED_VALUE"""),"Rouses Point")</f>
        <v>Rouses Point</v>
      </c>
      <c r="D7245" s="120" t="str">
        <f>IFERROR(__xludf.DUMMYFUNCTION("""COMPUTED_VALUE"""),"United States")</f>
        <v>United States</v>
      </c>
      <c r="E7245" s="135"/>
      <c r="F7245" s="31"/>
    </row>
    <row r="7246">
      <c r="A7246" s="134" t="str">
        <f>IFERROR(__xludf.DUMMYFUNCTION("""COMPUTED_VALUE"""),"Rousse")</f>
        <v>Rousse</v>
      </c>
      <c r="B7246" s="120" t="str">
        <f>IFERROR(__xludf.DUMMYFUNCTION("""COMPUTED_VALUE"""),"ROU")</f>
        <v>ROU</v>
      </c>
      <c r="C7246" s="120" t="str">
        <f>IFERROR(__xludf.DUMMYFUNCTION("""COMPUTED_VALUE"""),"Rousse")</f>
        <v>Rousse</v>
      </c>
      <c r="D7246" s="120" t="str">
        <f>IFERROR(__xludf.DUMMYFUNCTION("""COMPUTED_VALUE"""),"Bulgaria")</f>
        <v>Bulgaria</v>
      </c>
      <c r="E7246" s="135"/>
      <c r="F7246" s="31"/>
    </row>
    <row r="7247">
      <c r="A7247" s="134" t="str">
        <f>IFERROR(__xludf.DUMMYFUNCTION("""COMPUTED_VALUE"""),"Rouyn")</f>
        <v>Rouyn</v>
      </c>
      <c r="B7247" s="120" t="str">
        <f>IFERROR(__xludf.DUMMYFUNCTION("""COMPUTED_VALUE"""),"YUY")</f>
        <v>YUY</v>
      </c>
      <c r="C7247" s="120" t="str">
        <f>IFERROR(__xludf.DUMMYFUNCTION("""COMPUTED_VALUE"""),"Rouyn")</f>
        <v>Rouyn</v>
      </c>
      <c r="D7247" s="120" t="str">
        <f>IFERROR(__xludf.DUMMYFUNCTION("""COMPUTED_VALUE"""),"Canada")</f>
        <v>Canada</v>
      </c>
      <c r="E7247" s="135"/>
      <c r="F7247" s="31"/>
    </row>
    <row r="7248">
      <c r="A7248" s="134" t="str">
        <f>IFERROR(__xludf.DUMMYFUNCTION("""COMPUTED_VALUE"""),"Rovaniemi")</f>
        <v>Rovaniemi</v>
      </c>
      <c r="B7248" s="120" t="str">
        <f>IFERROR(__xludf.DUMMYFUNCTION("""COMPUTED_VALUE"""),"RVN")</f>
        <v>RVN</v>
      </c>
      <c r="C7248" s="120" t="str">
        <f>IFERROR(__xludf.DUMMYFUNCTION("""COMPUTED_VALUE"""),"Rovaniemi")</f>
        <v>Rovaniemi</v>
      </c>
      <c r="D7248" s="120" t="str">
        <f>IFERROR(__xludf.DUMMYFUNCTION("""COMPUTED_VALUE"""),"Finland")</f>
        <v>Finland</v>
      </c>
      <c r="E7248" s="135"/>
      <c r="F7248" s="31"/>
    </row>
    <row r="7249">
      <c r="A7249" s="134" t="str">
        <f>IFERROR(__xludf.DUMMYFUNCTION("""COMPUTED_VALUE"""),"Rovno")</f>
        <v>Rovno</v>
      </c>
      <c r="B7249" s="120" t="str">
        <f>IFERROR(__xludf.DUMMYFUNCTION("""COMPUTED_VALUE"""),"RWN")</f>
        <v>RWN</v>
      </c>
      <c r="C7249" s="120" t="str">
        <f>IFERROR(__xludf.DUMMYFUNCTION("""COMPUTED_VALUE"""),"Rovno")</f>
        <v>Rovno</v>
      </c>
      <c r="D7249" s="120" t="str">
        <f>IFERROR(__xludf.DUMMYFUNCTION("""COMPUTED_VALUE"""),"Ukraine")</f>
        <v>Ukraine</v>
      </c>
      <c r="E7249" s="135"/>
      <c r="F7249" s="31"/>
    </row>
    <row r="7250">
      <c r="A7250" s="134" t="str">
        <f>IFERROR(__xludf.DUMMYFUNCTION("""COMPUTED_VALUE"""),"Rowan Bay")</f>
        <v>Rowan Bay</v>
      </c>
      <c r="B7250" s="120" t="str">
        <f>IFERROR(__xludf.DUMMYFUNCTION("""COMPUTED_VALUE"""),"RWB")</f>
        <v>RWB</v>
      </c>
      <c r="C7250" s="120" t="str">
        <f>IFERROR(__xludf.DUMMYFUNCTION("""COMPUTED_VALUE"""),"Rowan Bay")</f>
        <v>Rowan Bay</v>
      </c>
      <c r="D7250" s="120" t="str">
        <f>IFERROR(__xludf.DUMMYFUNCTION("""COMPUTED_VALUE"""),"United States")</f>
        <v>United States</v>
      </c>
      <c r="E7250" s="135"/>
      <c r="F7250" s="31"/>
    </row>
    <row r="7251">
      <c r="A7251" s="134" t="str">
        <f>IFERROR(__xludf.DUMMYFUNCTION("""COMPUTED_VALUE"""),"Roxas City")</f>
        <v>Roxas City</v>
      </c>
      <c r="B7251" s="120" t="str">
        <f>IFERROR(__xludf.DUMMYFUNCTION("""COMPUTED_VALUE"""),"RXS")</f>
        <v>RXS</v>
      </c>
      <c r="C7251" s="120" t="str">
        <f>IFERROR(__xludf.DUMMYFUNCTION("""COMPUTED_VALUE"""),"Roxas City")</f>
        <v>Roxas City</v>
      </c>
      <c r="D7251" s="120" t="str">
        <f>IFERROR(__xludf.DUMMYFUNCTION("""COMPUTED_VALUE"""),"Philippines")</f>
        <v>Philippines</v>
      </c>
      <c r="E7251" s="135"/>
      <c r="F7251" s="31"/>
    </row>
    <row r="7252">
      <c r="A7252" s="134" t="str">
        <f>IFERROR(__xludf.DUMMYFUNCTION("""COMPUTED_VALUE"""),"Roy Hill")</f>
        <v>Roy Hill</v>
      </c>
      <c r="B7252" s="120" t="str">
        <f>IFERROR(__xludf.DUMMYFUNCTION("""COMPUTED_VALUE"""),"RHL")</f>
        <v>RHL</v>
      </c>
      <c r="C7252" s="120" t="str">
        <f>IFERROR(__xludf.DUMMYFUNCTION("""COMPUTED_VALUE"""),"Roy Hill")</f>
        <v>Roy Hill</v>
      </c>
      <c r="D7252" s="120" t="str">
        <f>IFERROR(__xludf.DUMMYFUNCTION("""COMPUTED_VALUE"""),"Australia")</f>
        <v>Australia</v>
      </c>
      <c r="E7252" s="135"/>
      <c r="F7252" s="31"/>
    </row>
    <row r="7253">
      <c r="A7253" s="134" t="str">
        <f>IFERROR(__xludf.DUMMYFUNCTION("""COMPUTED_VALUE"""),"Royan")</f>
        <v>Royan</v>
      </c>
      <c r="B7253" s="120" t="str">
        <f>IFERROR(__xludf.DUMMYFUNCTION("""COMPUTED_VALUE"""),"RYN")</f>
        <v>RYN</v>
      </c>
      <c r="C7253" s="120" t="str">
        <f>IFERROR(__xludf.DUMMYFUNCTION("""COMPUTED_VALUE"""),"Medis")</f>
        <v>Medis</v>
      </c>
      <c r="D7253" s="120" t="str">
        <f>IFERROR(__xludf.DUMMYFUNCTION("""COMPUTED_VALUE"""),"France")</f>
        <v>France</v>
      </c>
      <c r="E7253" s="135"/>
      <c r="F7253" s="31"/>
    </row>
    <row r="7254">
      <c r="A7254" s="134" t="str">
        <f>IFERROR(__xludf.DUMMYFUNCTION("""COMPUTED_VALUE"""),"Rubelsanto")</f>
        <v>Rubelsanto</v>
      </c>
      <c r="B7254" s="120" t="str">
        <f>IFERROR(__xludf.DUMMYFUNCTION("""COMPUTED_VALUE"""),"RUV")</f>
        <v>RUV</v>
      </c>
      <c r="C7254" s="120" t="str">
        <f>IFERROR(__xludf.DUMMYFUNCTION("""COMPUTED_VALUE"""),"Rubelsanto")</f>
        <v>Rubelsanto</v>
      </c>
      <c r="D7254" s="120" t="str">
        <f>IFERROR(__xludf.DUMMYFUNCTION("""COMPUTED_VALUE"""),"Guatemala")</f>
        <v>Guatemala</v>
      </c>
      <c r="E7254" s="135"/>
      <c r="F7254" s="31"/>
    </row>
    <row r="7255">
      <c r="A7255" s="134" t="str">
        <f>IFERROR(__xludf.DUMMYFUNCTION("""COMPUTED_VALUE"""),"Ruby")</f>
        <v>Ruby</v>
      </c>
      <c r="B7255" s="120" t="str">
        <f>IFERROR(__xludf.DUMMYFUNCTION("""COMPUTED_VALUE"""),"RBY")</f>
        <v>RBY</v>
      </c>
      <c r="C7255" s="120" t="str">
        <f>IFERROR(__xludf.DUMMYFUNCTION("""COMPUTED_VALUE"""),"Ruby")</f>
        <v>Ruby</v>
      </c>
      <c r="D7255" s="120" t="str">
        <f>IFERROR(__xludf.DUMMYFUNCTION("""COMPUTED_VALUE"""),"United States")</f>
        <v>United States</v>
      </c>
      <c r="E7255" s="135"/>
      <c r="F7255" s="31"/>
    </row>
    <row r="7256">
      <c r="A7256" s="134" t="str">
        <f>IFERROR(__xludf.DUMMYFUNCTION("""COMPUTED_VALUE"""),"Rugao")</f>
        <v>Rugao</v>
      </c>
      <c r="B7256" s="120" t="str">
        <f>IFERROR(__xludf.DUMMYFUNCTION("""COMPUTED_VALUE"""),"RUG")</f>
        <v>RUG</v>
      </c>
      <c r="C7256" s="120" t="str">
        <f>IFERROR(__xludf.DUMMYFUNCTION("""COMPUTED_VALUE"""),"Rugao")</f>
        <v>Rugao</v>
      </c>
      <c r="D7256" s="120" t="str">
        <f>IFERROR(__xludf.DUMMYFUNCTION("""COMPUTED_VALUE"""),"China")</f>
        <v>China</v>
      </c>
      <c r="E7256" s="135"/>
      <c r="F7256" s="31"/>
    </row>
    <row r="7257">
      <c r="A7257" s="134" t="str">
        <f>IFERROR(__xludf.DUMMYFUNCTION("""COMPUTED_VALUE"""),"Ruhengeri")</f>
        <v>Ruhengeri</v>
      </c>
      <c r="B7257" s="120" t="str">
        <f>IFERROR(__xludf.DUMMYFUNCTION("""COMPUTED_VALUE"""),"RHG")</f>
        <v>RHG</v>
      </c>
      <c r="C7257" s="120" t="str">
        <f>IFERROR(__xludf.DUMMYFUNCTION("""COMPUTED_VALUE"""),"Ruhengeri")</f>
        <v>Ruhengeri</v>
      </c>
      <c r="D7257" s="120" t="str">
        <f>IFERROR(__xludf.DUMMYFUNCTION("""COMPUTED_VALUE"""),"Rwanda")</f>
        <v>Rwanda</v>
      </c>
      <c r="E7257" s="135"/>
      <c r="F7257" s="31"/>
    </row>
    <row r="7258">
      <c r="A7258" s="134" t="str">
        <f>IFERROR(__xludf.DUMMYFUNCTION("""COMPUTED_VALUE"""),"Ruidoso")</f>
        <v>Ruidoso</v>
      </c>
      <c r="B7258" s="120" t="str">
        <f>IFERROR(__xludf.DUMMYFUNCTION("""COMPUTED_VALUE"""),"RUI")</f>
        <v>RUI</v>
      </c>
      <c r="C7258" s="120" t="str">
        <f>IFERROR(__xludf.DUMMYFUNCTION("""COMPUTED_VALUE"""),"Municipal")</f>
        <v>Municipal</v>
      </c>
      <c r="D7258" s="120" t="str">
        <f>IFERROR(__xludf.DUMMYFUNCTION("""COMPUTED_VALUE"""),"United States")</f>
        <v>United States</v>
      </c>
      <c r="E7258" s="135"/>
      <c r="F7258" s="31"/>
    </row>
    <row r="7259">
      <c r="A7259" s="134" t="str">
        <f>IFERROR(__xludf.DUMMYFUNCTION("""COMPUTED_VALUE"""),"Rukumkot")</f>
        <v>Rukumkot</v>
      </c>
      <c r="B7259" s="120" t="str">
        <f>IFERROR(__xludf.DUMMYFUNCTION("""COMPUTED_VALUE"""),"RUK")</f>
        <v>RUK</v>
      </c>
      <c r="C7259" s="120" t="str">
        <f>IFERROR(__xludf.DUMMYFUNCTION("""COMPUTED_VALUE"""),"Rukumkot")</f>
        <v>Rukumkot</v>
      </c>
      <c r="D7259" s="120" t="str">
        <f>IFERROR(__xludf.DUMMYFUNCTION("""COMPUTED_VALUE"""),"Nepal")</f>
        <v>Nepal</v>
      </c>
      <c r="E7259" s="135"/>
      <c r="F7259" s="31"/>
    </row>
    <row r="7260">
      <c r="A7260" s="134" t="str">
        <f>IFERROR(__xludf.DUMMYFUNCTION("""COMPUTED_VALUE"""),"Rum Cay")</f>
        <v>Rum Cay</v>
      </c>
      <c r="B7260" s="120" t="str">
        <f>IFERROR(__xludf.DUMMYFUNCTION("""COMPUTED_VALUE"""),"RCY")</f>
        <v>RCY</v>
      </c>
      <c r="C7260" s="120" t="str">
        <f>IFERROR(__xludf.DUMMYFUNCTION("""COMPUTED_VALUE"""),"Rum Cay")</f>
        <v>Rum Cay</v>
      </c>
      <c r="D7260" s="120" t="str">
        <f>IFERROR(__xludf.DUMMYFUNCTION("""COMPUTED_VALUE"""),"Bahamas")</f>
        <v>Bahamas</v>
      </c>
      <c r="E7260" s="135"/>
      <c r="F7260" s="31"/>
    </row>
    <row r="7261">
      <c r="A7261" s="134" t="str">
        <f>IFERROR(__xludf.DUMMYFUNCTION("""COMPUTED_VALUE"""),"Rumginae")</f>
        <v>Rumginae</v>
      </c>
      <c r="B7261" s="120" t="str">
        <f>IFERROR(__xludf.DUMMYFUNCTION("""COMPUTED_VALUE"""),"RMN")</f>
        <v>RMN</v>
      </c>
      <c r="C7261" s="120" t="str">
        <f>IFERROR(__xludf.DUMMYFUNCTION("""COMPUTED_VALUE"""),"Rumginae")</f>
        <v>Rumginae</v>
      </c>
      <c r="D7261" s="120" t="str">
        <f>IFERROR(__xludf.DUMMYFUNCTION("""COMPUTED_VALUE"""),"Papua New Guinea")</f>
        <v>Papua New Guinea</v>
      </c>
      <c r="E7261" s="135"/>
      <c r="F7261" s="31"/>
    </row>
    <row r="7262">
      <c r="A7262" s="134" t="str">
        <f>IFERROR(__xludf.DUMMYFUNCTION("""COMPUTED_VALUE"""),"Rumjatar")</f>
        <v>Rumjatar</v>
      </c>
      <c r="B7262" s="120" t="str">
        <f>IFERROR(__xludf.DUMMYFUNCTION("""COMPUTED_VALUE"""),"RUM")</f>
        <v>RUM</v>
      </c>
      <c r="C7262" s="120" t="str">
        <f>IFERROR(__xludf.DUMMYFUNCTION("""COMPUTED_VALUE"""),"Rumjatar")</f>
        <v>Rumjatar</v>
      </c>
      <c r="D7262" s="120" t="str">
        <f>IFERROR(__xludf.DUMMYFUNCTION("""COMPUTED_VALUE"""),"Nepal")</f>
        <v>Nepal</v>
      </c>
      <c r="E7262" s="135"/>
      <c r="F7262" s="31"/>
    </row>
    <row r="7263">
      <c r="A7263" s="134" t="str">
        <f>IFERROR(__xludf.DUMMYFUNCTION("""COMPUTED_VALUE"""),"Rundu")</f>
        <v>Rundu</v>
      </c>
      <c r="B7263" s="120" t="str">
        <f>IFERROR(__xludf.DUMMYFUNCTION("""COMPUTED_VALUE"""),"NDU")</f>
        <v>NDU</v>
      </c>
      <c r="C7263" s="120" t="str">
        <f>IFERROR(__xludf.DUMMYFUNCTION("""COMPUTED_VALUE"""),"Rundu")</f>
        <v>Rundu</v>
      </c>
      <c r="D7263" s="120" t="str">
        <f>IFERROR(__xludf.DUMMYFUNCTION("""COMPUTED_VALUE"""),"Namibia")</f>
        <v>Namibia</v>
      </c>
      <c r="E7263" s="135"/>
      <c r="F7263" s="31"/>
    </row>
    <row r="7264">
      <c r="A7264" s="134" t="str">
        <f>IFERROR(__xludf.DUMMYFUNCTION("""COMPUTED_VALUE"""),"Rupert")</f>
        <v>Rupert</v>
      </c>
      <c r="B7264" s="120" t="str">
        <f>IFERROR(__xludf.DUMMYFUNCTION("""COMPUTED_VALUE"""),"BYI")</f>
        <v>BYI</v>
      </c>
      <c r="C7264" s="120" t="str">
        <f>IFERROR(__xludf.DUMMYFUNCTION("""COMPUTED_VALUE"""),"Rupert")</f>
        <v>Rupert</v>
      </c>
      <c r="D7264" s="120" t="str">
        <f>IFERROR(__xludf.DUMMYFUNCTION("""COMPUTED_VALUE"""),"United States")</f>
        <v>United States</v>
      </c>
      <c r="E7264" s="135"/>
      <c r="F7264" s="31"/>
    </row>
    <row r="7265">
      <c r="A7265" s="134" t="str">
        <f>IFERROR(__xludf.DUMMYFUNCTION("""COMPUTED_VALUE"""),"Rupsi")</f>
        <v>Rupsi</v>
      </c>
      <c r="B7265" s="120" t="str">
        <f>IFERROR(__xludf.DUMMYFUNCTION("""COMPUTED_VALUE"""),"RUP")</f>
        <v>RUP</v>
      </c>
      <c r="C7265" s="120" t="str">
        <f>IFERROR(__xludf.DUMMYFUNCTION("""COMPUTED_VALUE"""),"Rupsi")</f>
        <v>Rupsi</v>
      </c>
      <c r="D7265" s="120" t="str">
        <f>IFERROR(__xludf.DUMMYFUNCTION("""COMPUTED_VALUE"""),"India")</f>
        <v>India</v>
      </c>
      <c r="E7265" s="135"/>
      <c r="F7265" s="31"/>
    </row>
    <row r="7266">
      <c r="A7266" s="134" t="str">
        <f>IFERROR(__xludf.DUMMYFUNCTION("""COMPUTED_VALUE"""),"Rurrenabaque")</f>
        <v>Rurrenabaque</v>
      </c>
      <c r="B7266" s="120" t="str">
        <f>IFERROR(__xludf.DUMMYFUNCTION("""COMPUTED_VALUE"""),"RBQ")</f>
        <v>RBQ</v>
      </c>
      <c r="C7266" s="120" t="str">
        <f>IFERROR(__xludf.DUMMYFUNCTION("""COMPUTED_VALUE"""),"Rurrenabaque")</f>
        <v>Rurrenabaque</v>
      </c>
      <c r="D7266" s="120" t="str">
        <f>IFERROR(__xludf.DUMMYFUNCTION("""COMPUTED_VALUE"""),"Bolivia")</f>
        <v>Bolivia</v>
      </c>
      <c r="E7266" s="135"/>
      <c r="F7266" s="31"/>
    </row>
    <row r="7267">
      <c r="A7267" s="134" t="str">
        <f>IFERROR(__xludf.DUMMYFUNCTION("""COMPUTED_VALUE"""),"Rurutu")</f>
        <v>Rurutu</v>
      </c>
      <c r="B7267" s="120" t="str">
        <f>IFERROR(__xludf.DUMMYFUNCTION("""COMPUTED_VALUE"""),"RUR")</f>
        <v>RUR</v>
      </c>
      <c r="C7267" s="120" t="str">
        <f>IFERROR(__xludf.DUMMYFUNCTION("""COMPUTED_VALUE"""),"Rurutu")</f>
        <v>Rurutu</v>
      </c>
      <c r="D7267" s="120" t="str">
        <f>IFERROR(__xludf.DUMMYFUNCTION("""COMPUTED_VALUE"""),"French Polynesia")</f>
        <v>French Polynesia</v>
      </c>
      <c r="E7267" s="135"/>
      <c r="F7267" s="31"/>
    </row>
    <row r="7268">
      <c r="A7268" s="134" t="str">
        <f>IFERROR(__xludf.DUMMYFUNCTION("""COMPUTED_VALUE"""),"Russell")</f>
        <v>Russell</v>
      </c>
      <c r="B7268" s="120" t="str">
        <f>IFERROR(__xludf.DUMMYFUNCTION("""COMPUTED_VALUE"""),"RSL")</f>
        <v>RSL</v>
      </c>
      <c r="C7268" s="120" t="str">
        <f>IFERROR(__xludf.DUMMYFUNCTION("""COMPUTED_VALUE"""),"Russell")</f>
        <v>Russell</v>
      </c>
      <c r="D7268" s="120" t="str">
        <f>IFERROR(__xludf.DUMMYFUNCTION("""COMPUTED_VALUE"""),"United States")</f>
        <v>United States</v>
      </c>
      <c r="E7268" s="135"/>
      <c r="F7268" s="31"/>
    </row>
    <row r="7269">
      <c r="A7269" s="134" t="str">
        <f>IFERROR(__xludf.DUMMYFUNCTION("""COMPUTED_VALUE"""),"Russian Mission")</f>
        <v>Russian Mission</v>
      </c>
      <c r="B7269" s="120" t="str">
        <f>IFERROR(__xludf.DUMMYFUNCTION("""COMPUTED_VALUE"""),"RSH")</f>
        <v>RSH</v>
      </c>
      <c r="C7269" s="120" t="str">
        <f>IFERROR(__xludf.DUMMYFUNCTION("""COMPUTED_VALUE"""),"Russian SPB")</f>
        <v>Russian SPB</v>
      </c>
      <c r="D7269" s="120" t="str">
        <f>IFERROR(__xludf.DUMMYFUNCTION("""COMPUTED_VALUE"""),"United States")</f>
        <v>United States</v>
      </c>
      <c r="E7269" s="135"/>
      <c r="F7269" s="31"/>
    </row>
    <row r="7270">
      <c r="A7270" s="134" t="str">
        <f>IFERROR(__xludf.DUMMYFUNCTION("""COMPUTED_VALUE"""),"Ruston")</f>
        <v>Ruston</v>
      </c>
      <c r="B7270" s="120" t="str">
        <f>IFERROR(__xludf.DUMMYFUNCTION("""COMPUTED_VALUE"""),"RSN")</f>
        <v>RSN</v>
      </c>
      <c r="C7270" s="120" t="str">
        <f>IFERROR(__xludf.DUMMYFUNCTION("""COMPUTED_VALUE"""),"Ruston")</f>
        <v>Ruston</v>
      </c>
      <c r="D7270" s="120" t="str">
        <f>IFERROR(__xludf.DUMMYFUNCTION("""COMPUTED_VALUE"""),"United States")</f>
        <v>United States</v>
      </c>
      <c r="E7270" s="135"/>
      <c r="F7270" s="31"/>
    </row>
    <row r="7271">
      <c r="A7271" s="134" t="str">
        <f>IFERROR(__xludf.DUMMYFUNCTION("""COMPUTED_VALUE"""),"Ruteng")</f>
        <v>Ruteng</v>
      </c>
      <c r="B7271" s="120" t="str">
        <f>IFERROR(__xludf.DUMMYFUNCTION("""COMPUTED_VALUE"""),"RTG")</f>
        <v>RTG</v>
      </c>
      <c r="C7271" s="120" t="str">
        <f>IFERROR(__xludf.DUMMYFUNCTION("""COMPUTED_VALUE"""),"Ruteng")</f>
        <v>Ruteng</v>
      </c>
      <c r="D7271" s="120" t="str">
        <f>IFERROR(__xludf.DUMMYFUNCTION("""COMPUTED_VALUE"""),"Indonesia")</f>
        <v>Indonesia</v>
      </c>
      <c r="E7271" s="135"/>
      <c r="F7271" s="31"/>
    </row>
    <row r="7272">
      <c r="A7272" s="134" t="str">
        <f>IFERROR(__xludf.DUMMYFUNCTION("""COMPUTED_VALUE"""),"Ruti")</f>
        <v>Ruti</v>
      </c>
      <c r="B7272" s="120" t="str">
        <f>IFERROR(__xludf.DUMMYFUNCTION("""COMPUTED_VALUE"""),"RUU")</f>
        <v>RUU</v>
      </c>
      <c r="C7272" s="120" t="str">
        <f>IFERROR(__xludf.DUMMYFUNCTION("""COMPUTED_VALUE"""),"Ruti")</f>
        <v>Ruti</v>
      </c>
      <c r="D7272" s="120" t="str">
        <f>IFERROR(__xludf.DUMMYFUNCTION("""COMPUTED_VALUE"""),"Papua New Guinea")</f>
        <v>Papua New Guinea</v>
      </c>
      <c r="E7272" s="135"/>
      <c r="F7272" s="31"/>
    </row>
    <row r="7273">
      <c r="A7273" s="134" t="str">
        <f>IFERROR(__xludf.DUMMYFUNCTION("""COMPUTED_VALUE"""),"Rutland")</f>
        <v>Rutland</v>
      </c>
      <c r="B7273" s="120" t="str">
        <f>IFERROR(__xludf.DUMMYFUNCTION("""COMPUTED_VALUE"""),"RUT")</f>
        <v>RUT</v>
      </c>
      <c r="C7273" s="120" t="str">
        <f>IFERROR(__xludf.DUMMYFUNCTION("""COMPUTED_VALUE"""),"Rutland")</f>
        <v>Rutland</v>
      </c>
      <c r="D7273" s="120" t="str">
        <f>IFERROR(__xludf.DUMMYFUNCTION("""COMPUTED_VALUE"""),"United States")</f>
        <v>United States</v>
      </c>
      <c r="E7273" s="135"/>
      <c r="F7273" s="31"/>
    </row>
    <row r="7274">
      <c r="A7274" s="134" t="str">
        <f>IFERROR(__xludf.DUMMYFUNCTION("""COMPUTED_VALUE"""),"Rutland Plains")</f>
        <v>Rutland Plains</v>
      </c>
      <c r="B7274" s="120" t="str">
        <f>IFERROR(__xludf.DUMMYFUNCTION("""COMPUTED_VALUE"""),"RTP")</f>
        <v>RTP</v>
      </c>
      <c r="C7274" s="120" t="str">
        <f>IFERROR(__xludf.DUMMYFUNCTION("""COMPUTED_VALUE"""),"Rutland Plains")</f>
        <v>Rutland Plains</v>
      </c>
      <c r="D7274" s="120" t="str">
        <f>IFERROR(__xludf.DUMMYFUNCTION("""COMPUTED_VALUE"""),"Australia")</f>
        <v>Australia</v>
      </c>
      <c r="E7274" s="135"/>
      <c r="F7274" s="31"/>
    </row>
    <row r="7275">
      <c r="A7275" s="134" t="str">
        <f>IFERROR(__xludf.DUMMYFUNCTION("""COMPUTED_VALUE"""),"Ryazan")</f>
        <v>Ryazan</v>
      </c>
      <c r="B7275" s="120" t="str">
        <f>IFERROR(__xludf.DUMMYFUNCTION("""COMPUTED_VALUE"""),"RZN")</f>
        <v>RZN</v>
      </c>
      <c r="C7275" s="120" t="str">
        <f>IFERROR(__xludf.DUMMYFUNCTION("""COMPUTED_VALUE"""),"Ryazan")</f>
        <v>Ryazan</v>
      </c>
      <c r="D7275" s="120" t="str">
        <f>IFERROR(__xludf.DUMMYFUNCTION("""COMPUTED_VALUE"""),"Russia")</f>
        <v>Russia</v>
      </c>
      <c r="E7275" s="135"/>
      <c r="F7275" s="31"/>
    </row>
    <row r="7276">
      <c r="A7276" s="134" t="str">
        <f>IFERROR(__xludf.DUMMYFUNCTION("""COMPUTED_VALUE"""),"Rybinsk")</f>
        <v>Rybinsk</v>
      </c>
      <c r="B7276" s="120" t="str">
        <f>IFERROR(__xludf.DUMMYFUNCTION("""COMPUTED_VALUE"""),"RYB")</f>
        <v>RYB</v>
      </c>
      <c r="C7276" s="120" t="str">
        <f>IFERROR(__xludf.DUMMYFUNCTION("""COMPUTED_VALUE"""),"Rybinsk")</f>
        <v>Rybinsk</v>
      </c>
      <c r="D7276" s="120" t="str">
        <f>IFERROR(__xludf.DUMMYFUNCTION("""COMPUTED_VALUE"""),"Russia")</f>
        <v>Russia</v>
      </c>
      <c r="E7276" s="135"/>
      <c r="F7276" s="31"/>
    </row>
    <row r="7277">
      <c r="A7277" s="134" t="str">
        <f>IFERROR(__xludf.DUMMYFUNCTION("""COMPUTED_VALUE"""),"Ryotsu Sado Is")</f>
        <v>Ryotsu Sado Is</v>
      </c>
      <c r="B7277" s="120" t="str">
        <f>IFERROR(__xludf.DUMMYFUNCTION("""COMPUTED_VALUE"""),"SDO")</f>
        <v>SDO</v>
      </c>
      <c r="C7277" s="120" t="str">
        <f>IFERROR(__xludf.DUMMYFUNCTION("""COMPUTED_VALUE"""),"Ryotsu Sado Is")</f>
        <v>Ryotsu Sado Is</v>
      </c>
      <c r="D7277" s="120" t="str">
        <f>IFERROR(__xludf.DUMMYFUNCTION("""COMPUTED_VALUE"""),"Japan")</f>
        <v>Japan</v>
      </c>
      <c r="E7277" s="135"/>
      <c r="F7277" s="31"/>
    </row>
    <row r="7278">
      <c r="A7278" s="134" t="str">
        <f>IFERROR(__xludf.DUMMYFUNCTION("""COMPUTED_VALUE"""),"Rzeszow")</f>
        <v>Rzeszow</v>
      </c>
      <c r="B7278" s="120" t="str">
        <f>IFERROR(__xludf.DUMMYFUNCTION("""COMPUTED_VALUE"""),"RZE")</f>
        <v>RZE</v>
      </c>
      <c r="C7278" s="120" t="str">
        <f>IFERROR(__xludf.DUMMYFUNCTION("""COMPUTED_VALUE"""),"Jasionka")</f>
        <v>Jasionka</v>
      </c>
      <c r="D7278" s="120" t="str">
        <f>IFERROR(__xludf.DUMMYFUNCTION("""COMPUTED_VALUE"""),"Poland")</f>
        <v>Poland</v>
      </c>
      <c r="E7278" s="135"/>
      <c r="F7278" s="31"/>
    </row>
    <row r="7279">
      <c r="A7279" s="134" t="str">
        <f>IFERROR(__xludf.DUMMYFUNCTION("""COMPUTED_VALUE"""),"S.Cristobal deL Casas")</f>
        <v>S.Cristobal deL Casas</v>
      </c>
      <c r="B7279" s="120" t="str">
        <f>IFERROR(__xludf.DUMMYFUNCTION("""COMPUTED_VALUE"""),"SZT")</f>
        <v>SZT</v>
      </c>
      <c r="C7279" s="120" t="str">
        <f>IFERROR(__xludf.DUMMYFUNCTION("""COMPUTED_VALUE"""),"San Cristobal Airport")</f>
        <v>San Cristobal Airport</v>
      </c>
      <c r="D7279" s="120" t="str">
        <f>IFERROR(__xludf.DUMMYFUNCTION("""COMPUTED_VALUE"""),"Mexico")</f>
        <v>Mexico</v>
      </c>
      <c r="E7279" s="135"/>
      <c r="F7279" s="31"/>
    </row>
    <row r="7280">
      <c r="A7280" s="134" t="str">
        <f>IFERROR(__xludf.DUMMYFUNCTION("""COMPUTED_VALUE"""),"Saarbruecken")</f>
        <v>Saarbruecken</v>
      </c>
      <c r="B7280" s="120" t="str">
        <f>IFERROR(__xludf.DUMMYFUNCTION("""COMPUTED_VALUE"""),"SCN")</f>
        <v>SCN</v>
      </c>
      <c r="C7280" s="120" t="str">
        <f>IFERROR(__xludf.DUMMYFUNCTION("""COMPUTED_VALUE"""),"Ensheim")</f>
        <v>Ensheim</v>
      </c>
      <c r="D7280" s="120" t="str">
        <f>IFERROR(__xludf.DUMMYFUNCTION("""COMPUTED_VALUE"""),"Germany")</f>
        <v>Germany</v>
      </c>
      <c r="E7280" s="135"/>
      <c r="F7280" s="31"/>
    </row>
    <row r="7281">
      <c r="A7281" s="134" t="str">
        <f>IFERROR(__xludf.DUMMYFUNCTION("""COMPUTED_VALUE"""),"Saba Island")</f>
        <v>Saba Island</v>
      </c>
      <c r="B7281" s="120" t="str">
        <f>IFERROR(__xludf.DUMMYFUNCTION("""COMPUTED_VALUE"""),"SAB")</f>
        <v>SAB</v>
      </c>
      <c r="C7281" s="120" t="str">
        <f>IFERROR(__xludf.DUMMYFUNCTION("""COMPUTED_VALUE"""),"J. Yrausquin")</f>
        <v>J. Yrausquin</v>
      </c>
      <c r="D7281" s="120" t="str">
        <f>IFERROR(__xludf.DUMMYFUNCTION("""COMPUTED_VALUE"""),"Netherlands Antilles")</f>
        <v>Netherlands Antilles</v>
      </c>
      <c r="E7281" s="135"/>
      <c r="F7281" s="31"/>
    </row>
    <row r="7282">
      <c r="A7282" s="134" t="str">
        <f>IFERROR(__xludf.DUMMYFUNCTION("""COMPUTED_VALUE"""),"Sabah")</f>
        <v>Sabah</v>
      </c>
      <c r="B7282" s="120" t="str">
        <f>IFERROR(__xludf.DUMMYFUNCTION("""COMPUTED_VALUE"""),"SBV")</f>
        <v>SBV</v>
      </c>
      <c r="C7282" s="120" t="str">
        <f>IFERROR(__xludf.DUMMYFUNCTION("""COMPUTED_VALUE"""),"Sabah")</f>
        <v>Sabah</v>
      </c>
      <c r="D7282" s="120" t="str">
        <f>IFERROR(__xludf.DUMMYFUNCTION("""COMPUTED_VALUE"""),"Papua New Guinea")</f>
        <v>Papua New Guinea</v>
      </c>
      <c r="E7282" s="135"/>
      <c r="F7282" s="31"/>
    </row>
    <row r="7283">
      <c r="A7283" s="134" t="str">
        <f>IFERROR(__xludf.DUMMYFUNCTION("""COMPUTED_VALUE"""),"Sabana De Mar")</f>
        <v>Sabana De Mar</v>
      </c>
      <c r="B7283" s="120" t="str">
        <f>IFERROR(__xludf.DUMMYFUNCTION("""COMPUTED_VALUE"""),"SNX")</f>
        <v>SNX</v>
      </c>
      <c r="C7283" s="120" t="str">
        <f>IFERROR(__xludf.DUMMYFUNCTION("""COMPUTED_VALUE"""),"Sabana De Mar")</f>
        <v>Sabana De Mar</v>
      </c>
      <c r="D7283" s="120" t="str">
        <f>IFERROR(__xludf.DUMMYFUNCTION("""COMPUTED_VALUE"""),"Dominican Republic")</f>
        <v>Dominican Republic</v>
      </c>
      <c r="E7283" s="135"/>
      <c r="F7283" s="31"/>
    </row>
    <row r="7284">
      <c r="A7284" s="134" t="str">
        <f>IFERROR(__xludf.DUMMYFUNCTION("""COMPUTED_VALUE"""),"Sabana De Torres")</f>
        <v>Sabana De Torres</v>
      </c>
      <c r="B7284" s="120" t="str">
        <f>IFERROR(__xludf.DUMMYFUNCTION("""COMPUTED_VALUE"""),"SNT")</f>
        <v>SNT</v>
      </c>
      <c r="C7284" s="120" t="str">
        <f>IFERROR(__xludf.DUMMYFUNCTION("""COMPUTED_VALUE"""),"Sabana De Torres")</f>
        <v>Sabana De Torres</v>
      </c>
      <c r="D7284" s="120" t="str">
        <f>IFERROR(__xludf.DUMMYFUNCTION("""COMPUTED_VALUE"""),"Colombia")</f>
        <v>Colombia</v>
      </c>
      <c r="E7284" s="135"/>
      <c r="F7284" s="31"/>
    </row>
    <row r="7285">
      <c r="A7285" s="134" t="str">
        <f>IFERROR(__xludf.DUMMYFUNCTION("""COMPUTED_VALUE"""),"Sabang")</f>
        <v>Sabang</v>
      </c>
      <c r="B7285" s="120" t="str">
        <f>IFERROR(__xludf.DUMMYFUNCTION("""COMPUTED_VALUE"""),"SBG")</f>
        <v>SBG</v>
      </c>
      <c r="C7285" s="120" t="str">
        <f>IFERROR(__xludf.DUMMYFUNCTION("""COMPUTED_VALUE"""),"Narita")</f>
        <v>Narita</v>
      </c>
      <c r="D7285" s="120" t="str">
        <f>IFERROR(__xludf.DUMMYFUNCTION("""COMPUTED_VALUE"""),"Indonesia")</f>
        <v>Indonesia</v>
      </c>
      <c r="E7285" s="135"/>
      <c r="F7285" s="31"/>
    </row>
    <row r="7286">
      <c r="A7286" s="134" t="str">
        <f>IFERROR(__xludf.DUMMYFUNCTION("""COMPUTED_VALUE"""),"Sabi Sabi")</f>
        <v>Sabi Sabi</v>
      </c>
      <c r="B7286" s="120" t="str">
        <f>IFERROR(__xludf.DUMMYFUNCTION("""COMPUTED_VALUE"""),"GSS")</f>
        <v>GSS</v>
      </c>
      <c r="C7286" s="120" t="str">
        <f>IFERROR(__xludf.DUMMYFUNCTION("""COMPUTED_VALUE"""),"Sabi Sabi")</f>
        <v>Sabi Sabi</v>
      </c>
      <c r="D7286" s="120" t="str">
        <f>IFERROR(__xludf.DUMMYFUNCTION("""COMPUTED_VALUE"""),"South Africa")</f>
        <v>South Africa</v>
      </c>
      <c r="E7286" s="135"/>
      <c r="F7286" s="31"/>
    </row>
    <row r="7287">
      <c r="A7287" s="134" t="str">
        <f>IFERROR(__xludf.DUMMYFUNCTION("""COMPUTED_VALUE"""),"Sable Island")</f>
        <v>Sable Island</v>
      </c>
      <c r="B7287" s="120" t="str">
        <f>IFERROR(__xludf.DUMMYFUNCTION("""COMPUTED_VALUE"""),"YSA")</f>
        <v>YSA</v>
      </c>
      <c r="C7287" s="120" t="str">
        <f>IFERROR(__xludf.DUMMYFUNCTION("""COMPUTED_VALUE"""),"Sable Island")</f>
        <v>Sable Island</v>
      </c>
      <c r="D7287" s="120" t="str">
        <f>IFERROR(__xludf.DUMMYFUNCTION("""COMPUTED_VALUE"""),"Canada")</f>
        <v>Canada</v>
      </c>
      <c r="E7287" s="135"/>
      <c r="F7287" s="31"/>
    </row>
    <row r="7288">
      <c r="A7288" s="134" t="str">
        <f>IFERROR(__xludf.DUMMYFUNCTION("""COMPUTED_VALUE"""),"Sabzevar")</f>
        <v>Sabzevar</v>
      </c>
      <c r="B7288" s="120" t="str">
        <f>IFERROR(__xludf.DUMMYFUNCTION("""COMPUTED_VALUE"""),"AFZ")</f>
        <v>AFZ</v>
      </c>
      <c r="C7288" s="120" t="str">
        <f>IFERROR(__xludf.DUMMYFUNCTION("""COMPUTED_VALUE"""),"Sabzevar")</f>
        <v>Sabzevar</v>
      </c>
      <c r="D7288" s="120" t="str">
        <f>IFERROR(__xludf.DUMMYFUNCTION("""COMPUTED_VALUE"""),"Iran")</f>
        <v>Iran</v>
      </c>
      <c r="E7288" s="135"/>
      <c r="F7288" s="31"/>
    </row>
    <row r="7289">
      <c r="A7289" s="134" t="str">
        <f>IFERROR(__xludf.DUMMYFUNCTION("""COMPUTED_VALUE"""),"Sachigo Lake")</f>
        <v>Sachigo Lake</v>
      </c>
      <c r="B7289" s="120" t="str">
        <f>IFERROR(__xludf.DUMMYFUNCTION("""COMPUTED_VALUE"""),"ZPB")</f>
        <v>ZPB</v>
      </c>
      <c r="C7289" s="120" t="str">
        <f>IFERROR(__xludf.DUMMYFUNCTION("""COMPUTED_VALUE"""),"Sachigo Lake")</f>
        <v>Sachigo Lake</v>
      </c>
      <c r="D7289" s="120" t="str">
        <f>IFERROR(__xludf.DUMMYFUNCTION("""COMPUTED_VALUE"""),"Canada")</f>
        <v>Canada</v>
      </c>
      <c r="E7289" s="135"/>
      <c r="F7289" s="31"/>
    </row>
    <row r="7290">
      <c r="A7290" s="134" t="str">
        <f>IFERROR(__xludf.DUMMYFUNCTION("""COMPUTED_VALUE"""),"Sachs Harbour")</f>
        <v>Sachs Harbour</v>
      </c>
      <c r="B7290" s="120" t="str">
        <f>IFERROR(__xludf.DUMMYFUNCTION("""COMPUTED_VALUE"""),"YSY")</f>
        <v>YSY</v>
      </c>
      <c r="C7290" s="120" t="str">
        <f>IFERROR(__xludf.DUMMYFUNCTION("""COMPUTED_VALUE"""),"Sachs Harbour")</f>
        <v>Sachs Harbour</v>
      </c>
      <c r="D7290" s="120" t="str">
        <f>IFERROR(__xludf.DUMMYFUNCTION("""COMPUTED_VALUE"""),"Canada")</f>
        <v>Canada</v>
      </c>
      <c r="E7290" s="135"/>
      <c r="F7290" s="31"/>
    </row>
    <row r="7291">
      <c r="A7291" s="134" t="str">
        <f>IFERROR(__xludf.DUMMYFUNCTION("""COMPUTED_VALUE"""),"Sacramento")</f>
        <v>Sacramento</v>
      </c>
      <c r="B7291" s="120" t="str">
        <f>IFERROR(__xludf.DUMMYFUNCTION("""COMPUTED_VALUE"""),"SAC")</f>
        <v>SAC</v>
      </c>
      <c r="C7291" s="120" t="str">
        <f>IFERROR(__xludf.DUMMYFUNCTION("""COMPUTED_VALUE"""),"Executive")</f>
        <v>Executive</v>
      </c>
      <c r="D7291" s="120" t="str">
        <f>IFERROR(__xludf.DUMMYFUNCTION("""COMPUTED_VALUE"""),"United States")</f>
        <v>United States</v>
      </c>
      <c r="E7291" s="135"/>
      <c r="F7291" s="31"/>
    </row>
    <row r="7292">
      <c r="A7292" s="134" t="str">
        <f>IFERROR(__xludf.DUMMYFUNCTION("""COMPUTED_VALUE"""),"Sacramento")</f>
        <v>Sacramento</v>
      </c>
      <c r="B7292" s="120" t="str">
        <f>IFERROR(__xludf.DUMMYFUNCTION("""COMPUTED_VALUE"""),"MHR")</f>
        <v>MHR</v>
      </c>
      <c r="C7292" s="120" t="str">
        <f>IFERROR(__xludf.DUMMYFUNCTION("""COMPUTED_VALUE"""),"Mather AFB")</f>
        <v>Mather AFB</v>
      </c>
      <c r="D7292" s="120" t="str">
        <f>IFERROR(__xludf.DUMMYFUNCTION("""COMPUTED_VALUE"""),"United States")</f>
        <v>United States</v>
      </c>
      <c r="E7292" s="135"/>
      <c r="F7292" s="31"/>
    </row>
    <row r="7293">
      <c r="A7293" s="134" t="str">
        <f>IFERROR(__xludf.DUMMYFUNCTION("""COMPUTED_VALUE"""),"Sacramento")</f>
        <v>Sacramento</v>
      </c>
      <c r="B7293" s="120" t="str">
        <f>IFERROR(__xludf.DUMMYFUNCTION("""COMPUTED_VALUE"""),"MCC")</f>
        <v>MCC</v>
      </c>
      <c r="C7293" s="120" t="str">
        <f>IFERROR(__xludf.DUMMYFUNCTION("""COMPUTED_VALUE"""),"Mcclellan AFB")</f>
        <v>Mcclellan AFB</v>
      </c>
      <c r="D7293" s="120" t="str">
        <f>IFERROR(__xludf.DUMMYFUNCTION("""COMPUTED_VALUE"""),"United States")</f>
        <v>United States</v>
      </c>
      <c r="E7293" s="135"/>
      <c r="F7293" s="31"/>
    </row>
    <row r="7294">
      <c r="A7294" s="134" t="str">
        <f>IFERROR(__xludf.DUMMYFUNCTION("""COMPUTED_VALUE"""),"Sacramento")</f>
        <v>Sacramento</v>
      </c>
      <c r="B7294" s="120" t="str">
        <f>IFERROR(__xludf.DUMMYFUNCTION("""COMPUTED_VALUE"""),"SMF")</f>
        <v>SMF</v>
      </c>
      <c r="C7294" s="120" t="str">
        <f>IFERROR(__xludf.DUMMYFUNCTION("""COMPUTED_VALUE"""),"Sacramento International")</f>
        <v>Sacramento International</v>
      </c>
      <c r="D7294" s="120" t="str">
        <f>IFERROR(__xludf.DUMMYFUNCTION("""COMPUTED_VALUE"""),"United States")</f>
        <v>United States</v>
      </c>
      <c r="E7294" s="135"/>
      <c r="F7294" s="31"/>
    </row>
    <row r="7295">
      <c r="A7295" s="134" t="str">
        <f>IFERROR(__xludf.DUMMYFUNCTION("""COMPUTED_VALUE"""),"Sacramento")</f>
        <v>Sacramento</v>
      </c>
      <c r="B7295" s="120" t="str">
        <f>IFERROR(__xludf.DUMMYFUNCTION("""COMPUTED_VALUE"""),"SCK")</f>
        <v>SCK</v>
      </c>
      <c r="C7295" s="120" t="str">
        <f>IFERROR(__xludf.DUMMYFUNCTION("""COMPUTED_VALUE"""),"Stockton")</f>
        <v>Stockton</v>
      </c>
      <c r="D7295" s="120" t="str">
        <f>IFERROR(__xludf.DUMMYFUNCTION("""COMPUTED_VALUE"""),"United States")</f>
        <v>United States</v>
      </c>
      <c r="E7295" s="135"/>
      <c r="F7295" s="31"/>
    </row>
    <row r="7296">
      <c r="A7296" s="134" t="str">
        <f>IFERROR(__xludf.DUMMYFUNCTION("""COMPUTED_VALUE"""),"Sadah")</f>
        <v>Sadah</v>
      </c>
      <c r="B7296" s="120" t="str">
        <f>IFERROR(__xludf.DUMMYFUNCTION("""COMPUTED_VALUE"""),"SYE")</f>
        <v>SYE</v>
      </c>
      <c r="C7296" s="120" t="str">
        <f>IFERROR(__xludf.DUMMYFUNCTION("""COMPUTED_VALUE"""),"Sadah")</f>
        <v>Sadah</v>
      </c>
      <c r="D7296" s="120" t="str">
        <f>IFERROR(__xludf.DUMMYFUNCTION("""COMPUTED_VALUE"""),"Yemen")</f>
        <v>Yemen</v>
      </c>
      <c r="E7296" s="135"/>
      <c r="F7296" s="31"/>
    </row>
    <row r="7297">
      <c r="A7297" s="134" t="str">
        <f>IFERROR(__xludf.DUMMYFUNCTION("""COMPUTED_VALUE"""),"Sado Shima")</f>
        <v>Sado Shima</v>
      </c>
      <c r="B7297" s="120" t="str">
        <f>IFERROR(__xludf.DUMMYFUNCTION("""COMPUTED_VALUE"""),"SDS")</f>
        <v>SDS</v>
      </c>
      <c r="C7297" s="120" t="str">
        <f>IFERROR(__xludf.DUMMYFUNCTION("""COMPUTED_VALUE"""),"Sado Shima")</f>
        <v>Sado Shima</v>
      </c>
      <c r="D7297" s="120" t="str">
        <f>IFERROR(__xludf.DUMMYFUNCTION("""COMPUTED_VALUE"""),"Japan")</f>
        <v>Japan</v>
      </c>
      <c r="E7297" s="135"/>
      <c r="F7297" s="31"/>
    </row>
    <row r="7298">
      <c r="A7298" s="134" t="str">
        <f>IFERROR(__xludf.DUMMYFUNCTION("""COMPUTED_VALUE"""),"Saenz Pena")</f>
        <v>Saenz Pena</v>
      </c>
      <c r="B7298" s="120" t="str">
        <f>IFERROR(__xludf.DUMMYFUNCTION("""COMPUTED_VALUE"""),"SZQ")</f>
        <v>SZQ</v>
      </c>
      <c r="C7298" s="120" t="str">
        <f>IFERROR(__xludf.DUMMYFUNCTION("""COMPUTED_VALUE"""),"Saenz Pena")</f>
        <v>Saenz Pena</v>
      </c>
      <c r="D7298" s="120" t="str">
        <f>IFERROR(__xludf.DUMMYFUNCTION("""COMPUTED_VALUE"""),"Argentina")</f>
        <v>Argentina</v>
      </c>
      <c r="E7298" s="135"/>
      <c r="F7298" s="31"/>
    </row>
    <row r="7299">
      <c r="A7299" s="134" t="str">
        <f>IFERROR(__xludf.DUMMYFUNCTION("""COMPUTED_VALUE"""),"Safford")</f>
        <v>Safford</v>
      </c>
      <c r="B7299" s="120" t="str">
        <f>IFERROR(__xludf.DUMMYFUNCTION("""COMPUTED_VALUE"""),"SAD")</f>
        <v>SAD</v>
      </c>
      <c r="C7299" s="120" t="str">
        <f>IFERROR(__xludf.DUMMYFUNCTION("""COMPUTED_VALUE"""),"Safford")</f>
        <v>Safford</v>
      </c>
      <c r="D7299" s="120" t="str">
        <f>IFERROR(__xludf.DUMMYFUNCTION("""COMPUTED_VALUE"""),"United States")</f>
        <v>United States</v>
      </c>
      <c r="E7299" s="135"/>
      <c r="F7299" s="31"/>
    </row>
    <row r="7300">
      <c r="A7300" s="134" t="str">
        <f>IFERROR(__xludf.DUMMYFUNCTION("""COMPUTED_VALUE"""),"Safi")</f>
        <v>Safi</v>
      </c>
      <c r="B7300" s="120" t="str">
        <f>IFERROR(__xludf.DUMMYFUNCTION("""COMPUTED_VALUE"""),"SFI")</f>
        <v>SFI</v>
      </c>
      <c r="C7300" s="120" t="str">
        <f>IFERROR(__xludf.DUMMYFUNCTION("""COMPUTED_VALUE"""),"Safi")</f>
        <v>Safi</v>
      </c>
      <c r="D7300" s="120" t="str">
        <f>IFERROR(__xludf.DUMMYFUNCTION("""COMPUTED_VALUE"""),"Morocco")</f>
        <v>Morocco</v>
      </c>
      <c r="E7300" s="135"/>
      <c r="F7300" s="31"/>
    </row>
    <row r="7301">
      <c r="A7301" s="134" t="str">
        <f>IFERROR(__xludf.DUMMYFUNCTION("""COMPUTED_VALUE"""),"Safia")</f>
        <v>Safia</v>
      </c>
      <c r="B7301" s="120" t="str">
        <f>IFERROR(__xludf.DUMMYFUNCTION("""COMPUTED_VALUE"""),"SFU")</f>
        <v>SFU</v>
      </c>
      <c r="C7301" s="120" t="str">
        <f>IFERROR(__xludf.DUMMYFUNCTION("""COMPUTED_VALUE"""),"Safia")</f>
        <v>Safia</v>
      </c>
      <c r="D7301" s="120" t="str">
        <f>IFERROR(__xludf.DUMMYFUNCTION("""COMPUTED_VALUE"""),"Papua New Guinea")</f>
        <v>Papua New Guinea</v>
      </c>
      <c r="E7301" s="135"/>
      <c r="F7301" s="31"/>
    </row>
    <row r="7302">
      <c r="A7302" s="134" t="str">
        <f>IFERROR(__xludf.DUMMYFUNCTION("""COMPUTED_VALUE"""),"Saga")</f>
        <v>Saga</v>
      </c>
      <c r="B7302" s="120" t="str">
        <f>IFERROR(__xludf.DUMMYFUNCTION("""COMPUTED_VALUE"""),"HSG")</f>
        <v>HSG</v>
      </c>
      <c r="C7302" s="120" t="str">
        <f>IFERROR(__xludf.DUMMYFUNCTION("""COMPUTED_VALUE"""),"Saga")</f>
        <v>Saga</v>
      </c>
      <c r="D7302" s="120" t="str">
        <f>IFERROR(__xludf.DUMMYFUNCTION("""COMPUTED_VALUE"""),"Japan")</f>
        <v>Japan</v>
      </c>
      <c r="E7302" s="135"/>
      <c r="F7302" s="31"/>
    </row>
    <row r="7303">
      <c r="A7303" s="134" t="str">
        <f>IFERROR(__xludf.DUMMYFUNCTION("""COMPUTED_VALUE"""),"Sagarai")</f>
        <v>Sagarai</v>
      </c>
      <c r="B7303" s="120" t="str">
        <f>IFERROR(__xludf.DUMMYFUNCTION("""COMPUTED_VALUE"""),"SGJ")</f>
        <v>SGJ</v>
      </c>
      <c r="C7303" s="120" t="str">
        <f>IFERROR(__xludf.DUMMYFUNCTION("""COMPUTED_VALUE"""),"Sagarai")</f>
        <v>Sagarai</v>
      </c>
      <c r="D7303" s="120" t="str">
        <f>IFERROR(__xludf.DUMMYFUNCTION("""COMPUTED_VALUE"""),"Papua New Guinea")</f>
        <v>Papua New Guinea</v>
      </c>
      <c r="E7303" s="135"/>
      <c r="F7303" s="31"/>
    </row>
    <row r="7304">
      <c r="A7304" s="134" t="str">
        <f>IFERROR(__xludf.DUMMYFUNCTION("""COMPUTED_VALUE"""),"Saginaw")</f>
        <v>Saginaw</v>
      </c>
      <c r="B7304" s="120" t="str">
        <f>IFERROR(__xludf.DUMMYFUNCTION("""COMPUTED_VALUE"""),"MBS")</f>
        <v>MBS</v>
      </c>
      <c r="C7304" s="120" t="str">
        <f>IFERROR(__xludf.DUMMYFUNCTION("""COMPUTED_VALUE"""),"Tri City")</f>
        <v>Tri City</v>
      </c>
      <c r="D7304" s="120" t="str">
        <f>IFERROR(__xludf.DUMMYFUNCTION("""COMPUTED_VALUE"""),"United States")</f>
        <v>United States</v>
      </c>
      <c r="E7304" s="135"/>
      <c r="F7304" s="31"/>
    </row>
    <row r="7305">
      <c r="A7305" s="134" t="str">
        <f>IFERROR(__xludf.DUMMYFUNCTION("""COMPUTED_VALUE"""),"Saginaw Bay")</f>
        <v>Saginaw Bay</v>
      </c>
      <c r="B7305" s="120" t="str">
        <f>IFERROR(__xludf.DUMMYFUNCTION("""COMPUTED_VALUE"""),"SGW")</f>
        <v>SGW</v>
      </c>
      <c r="C7305" s="120" t="str">
        <f>IFERROR(__xludf.DUMMYFUNCTION("""COMPUTED_VALUE"""),"Saginaw Bay")</f>
        <v>Saginaw Bay</v>
      </c>
      <c r="D7305" s="120" t="str">
        <f>IFERROR(__xludf.DUMMYFUNCTION("""COMPUTED_VALUE"""),"United States")</f>
        <v>United States</v>
      </c>
      <c r="E7305" s="135"/>
      <c r="F7305" s="31"/>
    </row>
    <row r="7306">
      <c r="A7306" s="134" t="str">
        <f>IFERROR(__xludf.DUMMYFUNCTION("""COMPUTED_VALUE"""),"Saglek")</f>
        <v>Saglek</v>
      </c>
      <c r="B7306" s="120" t="str">
        <f>IFERROR(__xludf.DUMMYFUNCTION("""COMPUTED_VALUE"""),"YSV")</f>
        <v>YSV</v>
      </c>
      <c r="C7306" s="120" t="str">
        <f>IFERROR(__xludf.DUMMYFUNCTION("""COMPUTED_VALUE"""),"Saglek")</f>
        <v>Saglek</v>
      </c>
      <c r="D7306" s="120" t="str">
        <f>IFERROR(__xludf.DUMMYFUNCTION("""COMPUTED_VALUE"""),"Canada")</f>
        <v>Canada</v>
      </c>
      <c r="E7306" s="135"/>
      <c r="F7306" s="31"/>
    </row>
    <row r="7307">
      <c r="A7307" s="134" t="str">
        <f>IFERROR(__xludf.DUMMYFUNCTION("""COMPUTED_VALUE"""),"Sagwon")</f>
        <v>Sagwon</v>
      </c>
      <c r="B7307" s="120" t="str">
        <f>IFERROR(__xludf.DUMMYFUNCTION("""COMPUTED_VALUE"""),"SAG")</f>
        <v>SAG</v>
      </c>
      <c r="C7307" s="120" t="str">
        <f>IFERROR(__xludf.DUMMYFUNCTION("""COMPUTED_VALUE"""),"Sagwon")</f>
        <v>Sagwon</v>
      </c>
      <c r="D7307" s="120" t="str">
        <f>IFERROR(__xludf.DUMMYFUNCTION("""COMPUTED_VALUE"""),"United States")</f>
        <v>United States</v>
      </c>
      <c r="E7307" s="135"/>
      <c r="F7307" s="31"/>
    </row>
    <row r="7308">
      <c r="A7308" s="134" t="str">
        <f>IFERROR(__xludf.DUMMYFUNCTION("""COMPUTED_VALUE"""),"Sahabat 16")</f>
        <v>Sahabat 16</v>
      </c>
      <c r="B7308" s="120" t="str">
        <f>IFERROR(__xludf.DUMMYFUNCTION("""COMPUTED_VALUE"""),"SXS")</f>
        <v>SXS</v>
      </c>
      <c r="C7308" s="120" t="str">
        <f>IFERROR(__xludf.DUMMYFUNCTION("""COMPUTED_VALUE"""),"Sahabat 16")</f>
        <v>Sahabat 16</v>
      </c>
      <c r="D7308" s="120" t="str">
        <f>IFERROR(__xludf.DUMMYFUNCTION("""COMPUTED_VALUE"""),"Malaysia")</f>
        <v>Malaysia</v>
      </c>
      <c r="E7308" s="135"/>
      <c r="F7308" s="31"/>
    </row>
    <row r="7309">
      <c r="A7309" s="134" t="str">
        <f>IFERROR(__xludf.DUMMYFUNCTION("""COMPUTED_VALUE"""),"Sahand")</f>
        <v>Sahand</v>
      </c>
      <c r="B7309" s="120" t="str">
        <f>IFERROR(__xludf.DUMMYFUNCTION("""COMPUTED_VALUE"""),"ACP")</f>
        <v>ACP</v>
      </c>
      <c r="C7309" s="120" t="str">
        <f>IFERROR(__xludf.DUMMYFUNCTION("""COMPUTED_VALUE"""),"Sahand")</f>
        <v>Sahand</v>
      </c>
      <c r="D7309" s="120" t="str">
        <f>IFERROR(__xludf.DUMMYFUNCTION("""COMPUTED_VALUE"""),"Iran")</f>
        <v>Iran</v>
      </c>
      <c r="E7309" s="135"/>
      <c r="F7309" s="31"/>
    </row>
    <row r="7310">
      <c r="A7310" s="134" t="str">
        <f>IFERROR(__xludf.DUMMYFUNCTION("""COMPUTED_VALUE"""),"Sahiwal")</f>
        <v>Sahiwal</v>
      </c>
      <c r="B7310" s="120" t="str">
        <f>IFERROR(__xludf.DUMMYFUNCTION("""COMPUTED_VALUE"""),"SWN")</f>
        <v>SWN</v>
      </c>
      <c r="C7310" s="120" t="str">
        <f>IFERROR(__xludf.DUMMYFUNCTION("""COMPUTED_VALUE"""),"Sahiwal")</f>
        <v>Sahiwal</v>
      </c>
      <c r="D7310" s="120" t="str">
        <f>IFERROR(__xludf.DUMMYFUNCTION("""COMPUTED_VALUE"""),"Pakistan")</f>
        <v>Pakistan</v>
      </c>
      <c r="E7310" s="135"/>
      <c r="F7310" s="31"/>
    </row>
    <row r="7311">
      <c r="A7311" s="134" t="str">
        <f>IFERROR(__xludf.DUMMYFUNCTION("""COMPUTED_VALUE"""),"Saibai Island")</f>
        <v>Saibai Island</v>
      </c>
      <c r="B7311" s="120" t="str">
        <f>IFERROR(__xludf.DUMMYFUNCTION("""COMPUTED_VALUE"""),"SBR")</f>
        <v>SBR</v>
      </c>
      <c r="C7311" s="120" t="str">
        <f>IFERROR(__xludf.DUMMYFUNCTION("""COMPUTED_VALUE"""),"Saibai Island")</f>
        <v>Saibai Island</v>
      </c>
      <c r="D7311" s="120" t="str">
        <f>IFERROR(__xludf.DUMMYFUNCTION("""COMPUTED_VALUE"""),"Australia")</f>
        <v>Australia</v>
      </c>
      <c r="E7311" s="135"/>
      <c r="F7311" s="31"/>
    </row>
    <row r="7312">
      <c r="A7312" s="134" t="str">
        <f>IFERROR(__xludf.DUMMYFUNCTION("""COMPUTED_VALUE"""),"Saidor")</f>
        <v>Saidor</v>
      </c>
      <c r="B7312" s="120" t="str">
        <f>IFERROR(__xludf.DUMMYFUNCTION("""COMPUTED_VALUE"""),"SDI")</f>
        <v>SDI</v>
      </c>
      <c r="C7312" s="120" t="str">
        <f>IFERROR(__xludf.DUMMYFUNCTION("""COMPUTED_VALUE"""),"Saidor")</f>
        <v>Saidor</v>
      </c>
      <c r="D7312" s="120" t="str">
        <f>IFERROR(__xludf.DUMMYFUNCTION("""COMPUTED_VALUE"""),"Papua New Guinea")</f>
        <v>Papua New Guinea</v>
      </c>
      <c r="E7312" s="135"/>
      <c r="F7312" s="31"/>
    </row>
    <row r="7313">
      <c r="A7313" s="134" t="str">
        <f>IFERROR(__xludf.DUMMYFUNCTION("""COMPUTED_VALUE"""),"Saidpur")</f>
        <v>Saidpur</v>
      </c>
      <c r="B7313" s="120" t="str">
        <f>IFERROR(__xludf.DUMMYFUNCTION("""COMPUTED_VALUE"""),"SPD")</f>
        <v>SPD</v>
      </c>
      <c r="C7313" s="120" t="str">
        <f>IFERROR(__xludf.DUMMYFUNCTION("""COMPUTED_VALUE"""),"Saidpur")</f>
        <v>Saidpur</v>
      </c>
      <c r="D7313" s="120" t="str">
        <f>IFERROR(__xludf.DUMMYFUNCTION("""COMPUTED_VALUE"""),"Bangladesh")</f>
        <v>Bangladesh</v>
      </c>
      <c r="E7313" s="135"/>
      <c r="F7313" s="31"/>
    </row>
    <row r="7314">
      <c r="A7314" s="134" t="str">
        <f>IFERROR(__xludf.DUMMYFUNCTION("""COMPUTED_VALUE"""),"Saidu Sharif")</f>
        <v>Saidu Sharif</v>
      </c>
      <c r="B7314" s="120" t="str">
        <f>IFERROR(__xludf.DUMMYFUNCTION("""COMPUTED_VALUE"""),"SDT")</f>
        <v>SDT</v>
      </c>
      <c r="C7314" s="120" t="str">
        <f>IFERROR(__xludf.DUMMYFUNCTION("""COMPUTED_VALUE"""),"Saidu Sharif")</f>
        <v>Saidu Sharif</v>
      </c>
      <c r="D7314" s="120" t="str">
        <f>IFERROR(__xludf.DUMMYFUNCTION("""COMPUTED_VALUE"""),"Pakistan")</f>
        <v>Pakistan</v>
      </c>
      <c r="E7314" s="135"/>
      <c r="F7314" s="31"/>
    </row>
    <row r="7315">
      <c r="A7315" s="134" t="str">
        <f>IFERROR(__xludf.DUMMYFUNCTION("""COMPUTED_VALUE"""),"Saint Cloud")</f>
        <v>Saint Cloud</v>
      </c>
      <c r="B7315" s="120" t="str">
        <f>IFERROR(__xludf.DUMMYFUNCTION("""COMPUTED_VALUE"""),"STC")</f>
        <v>STC</v>
      </c>
      <c r="C7315" s="120" t="str">
        <f>IFERROR(__xludf.DUMMYFUNCTION("""COMPUTED_VALUE"""),"Municipal")</f>
        <v>Municipal</v>
      </c>
      <c r="D7315" s="120" t="str">
        <f>IFERROR(__xludf.DUMMYFUNCTION("""COMPUTED_VALUE"""),"United States")</f>
        <v>United States</v>
      </c>
      <c r="E7315" s="135"/>
      <c r="F7315" s="31"/>
    </row>
    <row r="7316">
      <c r="A7316" s="134" t="str">
        <f>IFERROR(__xludf.DUMMYFUNCTION("""COMPUTED_VALUE"""),"Saint Cloud")</f>
        <v>Saint Cloud</v>
      </c>
      <c r="B7316" s="120" t="str">
        <f>IFERROR(__xludf.DUMMYFUNCTION("""COMPUTED_VALUE"""),"JSK")</f>
        <v>JSK</v>
      </c>
      <c r="C7316" s="120" t="str">
        <f>IFERROR(__xludf.DUMMYFUNCTION("""COMPUTED_VALUE"""),"Municipal Heliport")</f>
        <v>Municipal Heliport</v>
      </c>
      <c r="D7316" s="120" t="str">
        <f>IFERROR(__xludf.DUMMYFUNCTION("""COMPUTED_VALUE"""),"United States")</f>
        <v>United States</v>
      </c>
      <c r="E7316" s="135"/>
      <c r="F7316" s="31"/>
    </row>
    <row r="7317">
      <c r="A7317" s="134" t="str">
        <f>IFERROR(__xludf.DUMMYFUNCTION("""COMPUTED_VALUE"""),"Saint George")</f>
        <v>Saint George</v>
      </c>
      <c r="B7317" s="120" t="str">
        <f>IFERROR(__xludf.DUMMYFUNCTION("""COMPUTED_VALUE"""),"SGU")</f>
        <v>SGU</v>
      </c>
      <c r="C7317" s="120" t="str">
        <f>IFERROR(__xludf.DUMMYFUNCTION("""COMPUTED_VALUE"""),"Municipal")</f>
        <v>Municipal</v>
      </c>
      <c r="D7317" s="120" t="str">
        <f>IFERROR(__xludf.DUMMYFUNCTION("""COMPUTED_VALUE"""),"United States")</f>
        <v>United States</v>
      </c>
      <c r="E7317" s="135"/>
      <c r="F7317" s="31"/>
    </row>
    <row r="7318">
      <c r="A7318" s="134" t="str">
        <f>IFERROR(__xludf.DUMMYFUNCTION("""COMPUTED_VALUE"""),"Saint John")</f>
        <v>Saint John</v>
      </c>
      <c r="B7318" s="120" t="str">
        <f>IFERROR(__xludf.DUMMYFUNCTION("""COMPUTED_VALUE"""),"YSJ")</f>
        <v>YSJ</v>
      </c>
      <c r="C7318" s="120" t="str">
        <f>IFERROR(__xludf.DUMMYFUNCTION("""COMPUTED_VALUE"""),"Saint John")</f>
        <v>Saint John</v>
      </c>
      <c r="D7318" s="120" t="str">
        <f>IFERROR(__xludf.DUMMYFUNCTION("""COMPUTED_VALUE"""),"Canada")</f>
        <v>Canada</v>
      </c>
      <c r="E7318" s="135"/>
      <c r="F7318" s="31"/>
    </row>
    <row r="7319">
      <c r="A7319" s="134" t="str">
        <f>IFERROR(__xludf.DUMMYFUNCTION("""COMPUTED_VALUE"""),"Saint Marys")</f>
        <v>Saint Marys</v>
      </c>
      <c r="B7319" s="120" t="str">
        <f>IFERROR(__xludf.DUMMYFUNCTION("""COMPUTED_VALUE"""),"KSM")</f>
        <v>KSM</v>
      </c>
      <c r="C7319" s="120" t="str">
        <f>IFERROR(__xludf.DUMMYFUNCTION("""COMPUTED_VALUE"""),"Saint Marys")</f>
        <v>Saint Marys</v>
      </c>
      <c r="D7319" s="120" t="str">
        <f>IFERROR(__xludf.DUMMYFUNCTION("""COMPUTED_VALUE"""),"United States")</f>
        <v>United States</v>
      </c>
      <c r="E7319" s="135"/>
      <c r="F7319" s="31"/>
    </row>
    <row r="7320">
      <c r="A7320" s="134" t="str">
        <f>IFERROR(__xludf.DUMMYFUNCTION("""COMPUTED_VALUE"""),"Saint Paul Island")</f>
        <v>Saint Paul Island</v>
      </c>
      <c r="B7320" s="120" t="str">
        <f>IFERROR(__xludf.DUMMYFUNCTION("""COMPUTED_VALUE"""),"SNP")</f>
        <v>SNP</v>
      </c>
      <c r="C7320" s="120" t="str">
        <f>IFERROR(__xludf.DUMMYFUNCTION("""COMPUTED_VALUE"""),"Saint Paul Island")</f>
        <v>Saint Paul Island</v>
      </c>
      <c r="D7320" s="120" t="str">
        <f>IFERROR(__xludf.DUMMYFUNCTION("""COMPUTED_VALUE"""),"United States")</f>
        <v>United States</v>
      </c>
      <c r="E7320" s="135"/>
      <c r="F7320" s="31"/>
    </row>
    <row r="7321">
      <c r="A7321" s="134" t="str">
        <f>IFERROR(__xludf.DUMMYFUNCTION("""COMPUTED_VALUE"""),"Saint Tropez")</f>
        <v>Saint Tropez</v>
      </c>
      <c r="B7321" s="120" t="str">
        <f>IFERROR(__xludf.DUMMYFUNCTION("""COMPUTED_VALUE"""),"XPZ")</f>
        <v>XPZ</v>
      </c>
      <c r="C7321" s="120" t="str">
        <f>IFERROR(__xludf.DUMMYFUNCTION("""COMPUTED_VALUE"""),"Harbour")</f>
        <v>Harbour</v>
      </c>
      <c r="D7321" s="120" t="str">
        <f>IFERROR(__xludf.DUMMYFUNCTION("""COMPUTED_VALUE"""),"France")</f>
        <v>France</v>
      </c>
      <c r="E7321" s="135"/>
      <c r="F7321" s="31"/>
    </row>
    <row r="7322">
      <c r="A7322" s="134" t="str">
        <f>IFERROR(__xludf.DUMMYFUNCTION("""COMPUTED_VALUE"""),"Saint Tropez")</f>
        <v>Saint Tropez</v>
      </c>
      <c r="B7322" s="120" t="str">
        <f>IFERROR(__xludf.DUMMYFUNCTION("""COMPUTED_VALUE"""),"LTT")</f>
        <v>LTT</v>
      </c>
      <c r="C7322" s="120" t="str">
        <f>IFERROR(__xludf.DUMMYFUNCTION("""COMPUTED_VALUE"""),"La Mole")</f>
        <v>La Mole</v>
      </c>
      <c r="D7322" s="120" t="str">
        <f>IFERROR(__xludf.DUMMYFUNCTION("""COMPUTED_VALUE"""),"France")</f>
        <v>France</v>
      </c>
      <c r="E7322" s="135"/>
      <c r="F7322" s="31"/>
    </row>
    <row r="7323">
      <c r="A7323" s="134" t="str">
        <f>IFERROR(__xludf.DUMMYFUNCTION("""COMPUTED_VALUE"""),"Saint Yan")</f>
        <v>Saint Yan</v>
      </c>
      <c r="B7323" s="120" t="str">
        <f>IFERROR(__xludf.DUMMYFUNCTION("""COMPUTED_VALUE"""),"SYT")</f>
        <v>SYT</v>
      </c>
      <c r="C7323" s="120" t="str">
        <f>IFERROR(__xludf.DUMMYFUNCTION("""COMPUTED_VALUE"""),"Charolais Bourgogne S.")</f>
        <v>Charolais Bourgogne S.</v>
      </c>
      <c r="D7323" s="120" t="str">
        <f>IFERROR(__xludf.DUMMYFUNCTION("""COMPUTED_VALUE"""),"France")</f>
        <v>France</v>
      </c>
      <c r="E7323" s="135"/>
      <c r="F7323" s="31"/>
    </row>
    <row r="7324">
      <c r="A7324" s="134" t="str">
        <f>IFERROR(__xludf.DUMMYFUNCTION("""COMPUTED_VALUE"""),"Sainte Marie")</f>
        <v>Sainte Marie</v>
      </c>
      <c r="B7324" s="120" t="str">
        <f>IFERROR(__xludf.DUMMYFUNCTION("""COMPUTED_VALUE"""),"SMS")</f>
        <v>SMS</v>
      </c>
      <c r="C7324" s="120" t="str">
        <f>IFERROR(__xludf.DUMMYFUNCTION("""COMPUTED_VALUE"""),"Sainte Marie")</f>
        <v>Sainte Marie</v>
      </c>
      <c r="D7324" s="120" t="str">
        <f>IFERROR(__xludf.DUMMYFUNCTION("""COMPUTED_VALUE"""),"Madagascar")</f>
        <v>Madagascar</v>
      </c>
      <c r="E7324" s="135"/>
      <c r="F7324" s="31"/>
    </row>
    <row r="7325">
      <c r="A7325" s="134" t="str">
        <f>IFERROR(__xludf.DUMMYFUNCTION("""COMPUTED_VALUE"""),"Saipan")</f>
        <v>Saipan</v>
      </c>
      <c r="B7325" s="120" t="str">
        <f>IFERROR(__xludf.DUMMYFUNCTION("""COMPUTED_VALUE"""),"SPN")</f>
        <v>SPN</v>
      </c>
      <c r="C7325" s="120" t="str">
        <f>IFERROR(__xludf.DUMMYFUNCTION("""COMPUTED_VALUE"""),"International")</f>
        <v>International</v>
      </c>
      <c r="D7325" s="120" t="str">
        <f>IFERROR(__xludf.DUMMYFUNCTION("""COMPUTED_VALUE"""),"Northern Mariana Islands")</f>
        <v>Northern Mariana Islands</v>
      </c>
      <c r="E7325" s="135"/>
      <c r="F7325" s="31"/>
    </row>
    <row r="7326">
      <c r="A7326" s="134" t="str">
        <f>IFERROR(__xludf.DUMMYFUNCTION("""COMPUTED_VALUE"""),"Sakon Nakhon")</f>
        <v>Sakon Nakhon</v>
      </c>
      <c r="B7326" s="120" t="str">
        <f>IFERROR(__xludf.DUMMYFUNCTION("""COMPUTED_VALUE"""),"SNO")</f>
        <v>SNO</v>
      </c>
      <c r="C7326" s="120" t="str">
        <f>IFERROR(__xludf.DUMMYFUNCTION("""COMPUTED_VALUE"""),"Sakon Nakhon")</f>
        <v>Sakon Nakhon</v>
      </c>
      <c r="D7326" s="120" t="str">
        <f>IFERROR(__xludf.DUMMYFUNCTION("""COMPUTED_VALUE"""),"Thailand")</f>
        <v>Thailand</v>
      </c>
      <c r="E7326" s="135"/>
      <c r="F7326" s="31"/>
    </row>
    <row r="7327">
      <c r="A7327" s="134" t="str">
        <f>IFERROR(__xludf.DUMMYFUNCTION("""COMPUTED_VALUE"""),"Sal")</f>
        <v>Sal</v>
      </c>
      <c r="B7327" s="120" t="str">
        <f>IFERROR(__xludf.DUMMYFUNCTION("""COMPUTED_VALUE"""),"SID")</f>
        <v>SID</v>
      </c>
      <c r="C7327" s="120" t="str">
        <f>IFERROR(__xludf.DUMMYFUNCTION("""COMPUTED_VALUE"""),"Amilcar Cabral Intl")</f>
        <v>Amilcar Cabral Intl</v>
      </c>
      <c r="D7327" s="120" t="str">
        <f>IFERROR(__xludf.DUMMYFUNCTION("""COMPUTED_VALUE"""),"Cape Verde")</f>
        <v>Cape Verde</v>
      </c>
      <c r="E7327" s="135"/>
      <c r="F7327" s="31"/>
    </row>
    <row r="7328">
      <c r="A7328" s="134" t="str">
        <f>IFERROR(__xludf.DUMMYFUNCTION("""COMPUTED_VALUE"""),"Sala")</f>
        <v>Sala</v>
      </c>
      <c r="B7328" s="120" t="str">
        <f>IFERROR(__xludf.DUMMYFUNCTION("""COMPUTED_VALUE"""),"XYX")</f>
        <v>XYX</v>
      </c>
      <c r="C7328" s="120" t="str">
        <f>IFERROR(__xludf.DUMMYFUNCTION("""COMPUTED_VALUE"""),"Sala")</f>
        <v>Sala</v>
      </c>
      <c r="D7328" s="120" t="str">
        <f>IFERROR(__xludf.DUMMYFUNCTION("""COMPUTED_VALUE"""),"Sweden")</f>
        <v>Sweden</v>
      </c>
      <c r="E7328" s="135"/>
      <c r="F7328" s="31"/>
    </row>
    <row r="7329">
      <c r="A7329" s="134" t="str">
        <f>IFERROR(__xludf.DUMMYFUNCTION("""COMPUTED_VALUE"""),"Salalah")</f>
        <v>Salalah</v>
      </c>
      <c r="B7329" s="120" t="str">
        <f>IFERROR(__xludf.DUMMYFUNCTION("""COMPUTED_VALUE"""),"SLL")</f>
        <v>SLL</v>
      </c>
      <c r="C7329" s="120" t="str">
        <f>IFERROR(__xludf.DUMMYFUNCTION("""COMPUTED_VALUE"""),"Salalah")</f>
        <v>Salalah</v>
      </c>
      <c r="D7329" s="120" t="str">
        <f>IFERROR(__xludf.DUMMYFUNCTION("""COMPUTED_VALUE"""),"Oman")</f>
        <v>Oman</v>
      </c>
      <c r="E7329" s="135"/>
      <c r="F7329" s="31"/>
    </row>
    <row r="7330">
      <c r="A7330" s="134" t="str">
        <f>IFERROR(__xludf.DUMMYFUNCTION("""COMPUTED_VALUE"""),"Salamanca")</f>
        <v>Salamanca</v>
      </c>
      <c r="B7330" s="120" t="str">
        <f>IFERROR(__xludf.DUMMYFUNCTION("""COMPUTED_VALUE"""),"SLM")</f>
        <v>SLM</v>
      </c>
      <c r="C7330" s="120" t="str">
        <f>IFERROR(__xludf.DUMMYFUNCTION("""COMPUTED_VALUE"""),"Matacan")</f>
        <v>Matacan</v>
      </c>
      <c r="D7330" s="120" t="str">
        <f>IFERROR(__xludf.DUMMYFUNCTION("""COMPUTED_VALUE"""),"Spain")</f>
        <v>Spain</v>
      </c>
      <c r="E7330" s="135"/>
      <c r="F7330" s="31"/>
    </row>
    <row r="7331">
      <c r="A7331" s="134" t="str">
        <f>IFERROR(__xludf.DUMMYFUNCTION("""COMPUTED_VALUE"""),"Salamo")</f>
        <v>Salamo</v>
      </c>
      <c r="B7331" s="120" t="str">
        <f>IFERROR(__xludf.DUMMYFUNCTION("""COMPUTED_VALUE"""),"SAM")</f>
        <v>SAM</v>
      </c>
      <c r="C7331" s="120" t="str">
        <f>IFERROR(__xludf.DUMMYFUNCTION("""COMPUTED_VALUE"""),"Salamo")</f>
        <v>Salamo</v>
      </c>
      <c r="D7331" s="120" t="str">
        <f>IFERROR(__xludf.DUMMYFUNCTION("""COMPUTED_VALUE"""),"Papua New Guinea")</f>
        <v>Papua New Guinea</v>
      </c>
      <c r="E7331" s="135"/>
      <c r="F7331" s="31"/>
    </row>
    <row r="7332">
      <c r="A7332" s="134" t="str">
        <f>IFERROR(__xludf.DUMMYFUNCTION("""COMPUTED_VALUE"""),"Saldanha Bay")</f>
        <v>Saldanha Bay</v>
      </c>
      <c r="B7332" s="120" t="str">
        <f>IFERROR(__xludf.DUMMYFUNCTION("""COMPUTED_VALUE"""),"SDB")</f>
        <v>SDB</v>
      </c>
      <c r="C7332" s="120" t="str">
        <f>IFERROR(__xludf.DUMMYFUNCTION("""COMPUTED_VALUE"""),"Langebaanweg")</f>
        <v>Langebaanweg</v>
      </c>
      <c r="D7332" s="120" t="str">
        <f>IFERROR(__xludf.DUMMYFUNCTION("""COMPUTED_VALUE"""),"South Africa")</f>
        <v>South Africa</v>
      </c>
      <c r="E7332" s="135"/>
      <c r="F7332" s="31"/>
    </row>
    <row r="7333">
      <c r="A7333" s="134" t="str">
        <f>IFERROR(__xludf.DUMMYFUNCTION("""COMPUTED_VALUE"""),"Sale")</f>
        <v>Sale</v>
      </c>
      <c r="B7333" s="120" t="str">
        <f>IFERROR(__xludf.DUMMYFUNCTION("""COMPUTED_VALUE"""),"SXE")</f>
        <v>SXE</v>
      </c>
      <c r="C7333" s="120" t="str">
        <f>IFERROR(__xludf.DUMMYFUNCTION("""COMPUTED_VALUE"""),"Sale")</f>
        <v>Sale</v>
      </c>
      <c r="D7333" s="120" t="str">
        <f>IFERROR(__xludf.DUMMYFUNCTION("""COMPUTED_VALUE"""),"Australia")</f>
        <v>Australia</v>
      </c>
      <c r="E7333" s="135"/>
      <c r="F7333" s="31"/>
    </row>
    <row r="7334">
      <c r="A7334" s="134" t="str">
        <f>IFERROR(__xludf.DUMMYFUNCTION("""COMPUTED_VALUE"""),"Salekhard")</f>
        <v>Salekhard</v>
      </c>
      <c r="B7334" s="120" t="str">
        <f>IFERROR(__xludf.DUMMYFUNCTION("""COMPUTED_VALUE"""),"SLY")</f>
        <v>SLY</v>
      </c>
      <c r="C7334" s="120" t="str">
        <f>IFERROR(__xludf.DUMMYFUNCTION("""COMPUTED_VALUE"""),"Salekhard")</f>
        <v>Salekhard</v>
      </c>
      <c r="D7334" s="120" t="str">
        <f>IFERROR(__xludf.DUMMYFUNCTION("""COMPUTED_VALUE"""),"Russia")</f>
        <v>Russia</v>
      </c>
      <c r="E7334" s="135"/>
      <c r="F7334" s="31"/>
    </row>
    <row r="7335">
      <c r="A7335" s="134" t="str">
        <f>IFERROR(__xludf.DUMMYFUNCTION("""COMPUTED_VALUE"""),"Salem")</f>
        <v>Salem</v>
      </c>
      <c r="B7335" s="120" t="str">
        <f>IFERROR(__xludf.DUMMYFUNCTION("""COMPUTED_VALUE"""),"SLO")</f>
        <v>SLO</v>
      </c>
      <c r="C7335" s="120" t="str">
        <f>IFERROR(__xludf.DUMMYFUNCTION("""COMPUTED_VALUE"""),"Leckrone")</f>
        <v>Leckrone</v>
      </c>
      <c r="D7335" s="120" t="str">
        <f>IFERROR(__xludf.DUMMYFUNCTION("""COMPUTED_VALUE"""),"United States")</f>
        <v>United States</v>
      </c>
      <c r="E7335" s="135"/>
      <c r="F7335" s="31"/>
    </row>
    <row r="7336">
      <c r="A7336" s="134" t="str">
        <f>IFERROR(__xludf.DUMMYFUNCTION("""COMPUTED_VALUE"""),"Salem")</f>
        <v>Salem</v>
      </c>
      <c r="B7336" s="120" t="str">
        <f>IFERROR(__xludf.DUMMYFUNCTION("""COMPUTED_VALUE"""),"SXV")</f>
        <v>SXV</v>
      </c>
      <c r="C7336" s="120" t="str">
        <f>IFERROR(__xludf.DUMMYFUNCTION("""COMPUTED_VALUE"""),"Salem")</f>
        <v>Salem</v>
      </c>
      <c r="D7336" s="120" t="str">
        <f>IFERROR(__xludf.DUMMYFUNCTION("""COMPUTED_VALUE"""),"India")</f>
        <v>India</v>
      </c>
      <c r="E7336" s="135"/>
      <c r="F7336" s="31"/>
    </row>
    <row r="7337">
      <c r="A7337" s="134" t="str">
        <f>IFERROR(__xludf.DUMMYFUNCTION("""COMPUTED_VALUE"""),"Salem")</f>
        <v>Salem</v>
      </c>
      <c r="B7337" s="120" t="str">
        <f>IFERROR(__xludf.DUMMYFUNCTION("""COMPUTED_VALUE"""),"SLE")</f>
        <v>SLE</v>
      </c>
      <c r="C7337" s="120" t="str">
        <f>IFERROR(__xludf.DUMMYFUNCTION("""COMPUTED_VALUE"""),"Mcnary Field")</f>
        <v>Mcnary Field</v>
      </c>
      <c r="D7337" s="120" t="str">
        <f>IFERROR(__xludf.DUMMYFUNCTION("""COMPUTED_VALUE"""),"United States")</f>
        <v>United States</v>
      </c>
      <c r="E7337" s="135"/>
      <c r="F7337" s="31"/>
    </row>
    <row r="7338">
      <c r="A7338" s="134" t="str">
        <f>IFERROR(__xludf.DUMMYFUNCTION("""COMPUTED_VALUE"""),"Salida")</f>
        <v>Salida</v>
      </c>
      <c r="B7338" s="120" t="str">
        <f>IFERROR(__xludf.DUMMYFUNCTION("""COMPUTED_VALUE"""),"SLT")</f>
        <v>SLT</v>
      </c>
      <c r="C7338" s="120" t="str">
        <f>IFERROR(__xludf.DUMMYFUNCTION("""COMPUTED_VALUE"""),"Salida")</f>
        <v>Salida</v>
      </c>
      <c r="D7338" s="120" t="str">
        <f>IFERROR(__xludf.DUMMYFUNCTION("""COMPUTED_VALUE"""),"United States")</f>
        <v>United States</v>
      </c>
      <c r="E7338" s="135"/>
      <c r="F7338" s="31"/>
    </row>
    <row r="7339">
      <c r="A7339" s="134" t="str">
        <f>IFERROR(__xludf.DUMMYFUNCTION("""COMPUTED_VALUE"""),"Salima")</f>
        <v>Salima</v>
      </c>
      <c r="B7339" s="120" t="str">
        <f>IFERROR(__xludf.DUMMYFUNCTION("""COMPUTED_VALUE"""),"LMB")</f>
        <v>LMB</v>
      </c>
      <c r="C7339" s="120" t="str">
        <f>IFERROR(__xludf.DUMMYFUNCTION("""COMPUTED_VALUE"""),"Salima")</f>
        <v>Salima</v>
      </c>
      <c r="D7339" s="120" t="str">
        <f>IFERROR(__xludf.DUMMYFUNCTION("""COMPUTED_VALUE"""),"Malawi")</f>
        <v>Malawi</v>
      </c>
      <c r="E7339" s="135"/>
      <c r="F7339" s="31"/>
    </row>
    <row r="7340">
      <c r="A7340" s="134" t="str">
        <f>IFERROR(__xludf.DUMMYFUNCTION("""COMPUTED_VALUE"""),"Salina")</f>
        <v>Salina</v>
      </c>
      <c r="B7340" s="120" t="str">
        <f>IFERROR(__xludf.DUMMYFUNCTION("""COMPUTED_VALUE"""),"ZIQ")</f>
        <v>ZIQ</v>
      </c>
      <c r="C7340" s="120" t="str">
        <f>IFERROR(__xludf.DUMMYFUNCTION("""COMPUTED_VALUE"""),"Harbour (Eolie Island)")</f>
        <v>Harbour (Eolie Island)</v>
      </c>
      <c r="D7340" s="120" t="str">
        <f>IFERROR(__xludf.DUMMYFUNCTION("""COMPUTED_VALUE"""),"Italy")</f>
        <v>Italy</v>
      </c>
      <c r="E7340" s="135"/>
      <c r="F7340" s="31"/>
    </row>
    <row r="7341">
      <c r="A7341" s="134" t="str">
        <f>IFERROR(__xludf.DUMMYFUNCTION("""COMPUTED_VALUE"""),"Salina")</f>
        <v>Salina</v>
      </c>
      <c r="B7341" s="120" t="str">
        <f>IFERROR(__xludf.DUMMYFUNCTION("""COMPUTED_VALUE"""),"SLN")</f>
        <v>SLN</v>
      </c>
      <c r="C7341" s="120" t="str">
        <f>IFERROR(__xludf.DUMMYFUNCTION("""COMPUTED_VALUE"""),"Salina")</f>
        <v>Salina</v>
      </c>
      <c r="D7341" s="120" t="str">
        <f>IFERROR(__xludf.DUMMYFUNCTION("""COMPUTED_VALUE"""),"United States")</f>
        <v>United States</v>
      </c>
      <c r="E7341" s="135"/>
      <c r="F7341" s="31"/>
    </row>
    <row r="7342">
      <c r="A7342" s="134" t="str">
        <f>IFERROR(__xludf.DUMMYFUNCTION("""COMPUTED_VALUE"""),"Salina")</f>
        <v>Salina</v>
      </c>
      <c r="B7342" s="120" t="str">
        <f>IFERROR(__xludf.DUMMYFUNCTION("""COMPUTED_VALUE"""),"SBO")</f>
        <v>SBO</v>
      </c>
      <c r="C7342" s="120" t="str">
        <f>IFERROR(__xludf.DUMMYFUNCTION("""COMPUTED_VALUE"""),"Salina")</f>
        <v>Salina</v>
      </c>
      <c r="D7342" s="120" t="str">
        <f>IFERROR(__xludf.DUMMYFUNCTION("""COMPUTED_VALUE"""),"United States")</f>
        <v>United States</v>
      </c>
      <c r="E7342" s="135"/>
      <c r="F7342" s="31"/>
    </row>
    <row r="7343">
      <c r="A7343" s="134" t="str">
        <f>IFERROR(__xludf.DUMMYFUNCTION("""COMPUTED_VALUE"""),"Salina Cruz")</f>
        <v>Salina Cruz</v>
      </c>
      <c r="B7343" s="120" t="str">
        <f>IFERROR(__xludf.DUMMYFUNCTION("""COMPUTED_VALUE"""),"SCX")</f>
        <v>SCX</v>
      </c>
      <c r="C7343" s="120" t="str">
        <f>IFERROR(__xludf.DUMMYFUNCTION("""COMPUTED_VALUE"""),"Salina Cruz")</f>
        <v>Salina Cruz</v>
      </c>
      <c r="D7343" s="120" t="str">
        <f>IFERROR(__xludf.DUMMYFUNCTION("""COMPUTED_VALUE"""),"Mexico")</f>
        <v>Mexico</v>
      </c>
      <c r="E7343" s="135"/>
      <c r="F7343" s="31"/>
    </row>
    <row r="7344">
      <c r="A7344" s="134" t="str">
        <f>IFERROR(__xludf.DUMMYFUNCTION("""COMPUTED_VALUE"""),"Salinas")</f>
        <v>Salinas</v>
      </c>
      <c r="B7344" s="120" t="str">
        <f>IFERROR(__xludf.DUMMYFUNCTION("""COMPUTED_VALUE"""),"SNS")</f>
        <v>SNS</v>
      </c>
      <c r="C7344" s="120" t="str">
        <f>IFERROR(__xludf.DUMMYFUNCTION("""COMPUTED_VALUE"""),"Salinas")</f>
        <v>Salinas</v>
      </c>
      <c r="D7344" s="120" t="str">
        <f>IFERROR(__xludf.DUMMYFUNCTION("""COMPUTED_VALUE"""),"United States")</f>
        <v>United States</v>
      </c>
      <c r="E7344" s="135"/>
      <c r="F7344" s="31"/>
    </row>
    <row r="7345">
      <c r="A7345" s="134" t="str">
        <f>IFERROR(__xludf.DUMMYFUNCTION("""COMPUTED_VALUE"""),"Salinas")</f>
        <v>Salinas</v>
      </c>
      <c r="B7345" s="120" t="str">
        <f>IFERROR(__xludf.DUMMYFUNCTION("""COMPUTED_VALUE"""),"SNC")</f>
        <v>SNC</v>
      </c>
      <c r="C7345" s="120" t="str">
        <f>IFERROR(__xludf.DUMMYFUNCTION("""COMPUTED_VALUE"""),"Salinas")</f>
        <v>Salinas</v>
      </c>
      <c r="D7345" s="120" t="str">
        <f>IFERROR(__xludf.DUMMYFUNCTION("""COMPUTED_VALUE"""),"Ecuador")</f>
        <v>Ecuador</v>
      </c>
      <c r="E7345" s="135"/>
      <c r="F7345" s="31"/>
    </row>
    <row r="7346">
      <c r="A7346" s="134" t="str">
        <f>IFERROR(__xludf.DUMMYFUNCTION("""COMPUTED_VALUE"""),"Salisbury")</f>
        <v>Salisbury</v>
      </c>
      <c r="B7346" s="120" t="str">
        <f>IFERROR(__xludf.DUMMYFUNCTION("""COMPUTED_VALUE"""),"SRW")</f>
        <v>SRW</v>
      </c>
      <c r="C7346" s="120" t="str">
        <f>IFERROR(__xludf.DUMMYFUNCTION("""COMPUTED_VALUE"""),"Rowan County")</f>
        <v>Rowan County</v>
      </c>
      <c r="D7346" s="120" t="str">
        <f>IFERROR(__xludf.DUMMYFUNCTION("""COMPUTED_VALUE"""),"United States")</f>
        <v>United States</v>
      </c>
      <c r="E7346" s="135"/>
      <c r="F7346" s="31"/>
    </row>
    <row r="7347">
      <c r="A7347" s="134" t="str">
        <f>IFERROR(__xludf.DUMMYFUNCTION("""COMPUTED_VALUE"""),"Salisbury-Ocean City")</f>
        <v>Salisbury-Ocean City</v>
      </c>
      <c r="B7347" s="120" t="str">
        <f>IFERROR(__xludf.DUMMYFUNCTION("""COMPUTED_VALUE"""),"SBY")</f>
        <v>SBY</v>
      </c>
      <c r="C7347" s="120" t="str">
        <f>IFERROR(__xludf.DUMMYFUNCTION("""COMPUTED_VALUE"""),"Wicomico Regional")</f>
        <v>Wicomico Regional</v>
      </c>
      <c r="D7347" s="120" t="str">
        <f>IFERROR(__xludf.DUMMYFUNCTION("""COMPUTED_VALUE"""),"United States")</f>
        <v>United States</v>
      </c>
      <c r="E7347" s="135"/>
      <c r="F7347" s="31"/>
    </row>
    <row r="7348">
      <c r="A7348" s="134" t="str">
        <f>IFERROR(__xludf.DUMMYFUNCTION("""COMPUTED_VALUE"""),"Salluit")</f>
        <v>Salluit</v>
      </c>
      <c r="B7348" s="120" t="str">
        <f>IFERROR(__xludf.DUMMYFUNCTION("""COMPUTED_VALUE"""),"YZG")</f>
        <v>YZG</v>
      </c>
      <c r="C7348" s="120" t="str">
        <f>IFERROR(__xludf.DUMMYFUNCTION("""COMPUTED_VALUE"""),"Salluit")</f>
        <v>Salluit</v>
      </c>
      <c r="D7348" s="120" t="str">
        <f>IFERROR(__xludf.DUMMYFUNCTION("""COMPUTED_VALUE"""),"Canada")</f>
        <v>Canada</v>
      </c>
      <c r="E7348" s="135"/>
      <c r="F7348" s="31"/>
    </row>
    <row r="7349">
      <c r="A7349" s="134" t="str">
        <f>IFERROR(__xludf.DUMMYFUNCTION("""COMPUTED_VALUE"""),"Salmon")</f>
        <v>Salmon</v>
      </c>
      <c r="B7349" s="120" t="str">
        <f>IFERROR(__xludf.DUMMYFUNCTION("""COMPUTED_VALUE"""),"SMN")</f>
        <v>SMN</v>
      </c>
      <c r="C7349" s="120" t="str">
        <f>IFERROR(__xludf.DUMMYFUNCTION("""COMPUTED_VALUE"""),"Salmon")</f>
        <v>Salmon</v>
      </c>
      <c r="D7349" s="120" t="str">
        <f>IFERROR(__xludf.DUMMYFUNCTION("""COMPUTED_VALUE"""),"United States")</f>
        <v>United States</v>
      </c>
      <c r="E7349" s="135"/>
      <c r="F7349" s="31"/>
    </row>
    <row r="7350">
      <c r="A7350" s="134" t="str">
        <f>IFERROR(__xludf.DUMMYFUNCTION("""COMPUTED_VALUE"""),"Salmon Arm")</f>
        <v>Salmon Arm</v>
      </c>
      <c r="B7350" s="120" t="str">
        <f>IFERROR(__xludf.DUMMYFUNCTION("""COMPUTED_VALUE"""),"YSN")</f>
        <v>YSN</v>
      </c>
      <c r="C7350" s="120" t="str">
        <f>IFERROR(__xludf.DUMMYFUNCTION("""COMPUTED_VALUE"""),"Salmon Arm")</f>
        <v>Salmon Arm</v>
      </c>
      <c r="D7350" s="120" t="str">
        <f>IFERROR(__xludf.DUMMYFUNCTION("""COMPUTED_VALUE"""),"Canada")</f>
        <v>Canada</v>
      </c>
      <c r="E7350" s="135"/>
      <c r="F7350" s="31"/>
    </row>
    <row r="7351">
      <c r="A7351" s="134" t="str">
        <f>IFERROR(__xludf.DUMMYFUNCTION("""COMPUTED_VALUE"""),"Salt Cay")</f>
        <v>Salt Cay</v>
      </c>
      <c r="B7351" s="120" t="str">
        <f>IFERROR(__xludf.DUMMYFUNCTION("""COMPUTED_VALUE"""),"SLX")</f>
        <v>SLX</v>
      </c>
      <c r="C7351" s="120" t="str">
        <f>IFERROR(__xludf.DUMMYFUNCTION("""COMPUTED_VALUE"""),"Salt Cay")</f>
        <v>Salt Cay</v>
      </c>
      <c r="D7351" s="120" t="str">
        <f>IFERROR(__xludf.DUMMYFUNCTION("""COMPUTED_VALUE"""),"Turks and Caicos Islands")</f>
        <v>Turks and Caicos Islands</v>
      </c>
      <c r="E7351" s="135"/>
      <c r="F7351" s="31"/>
    </row>
    <row r="7352">
      <c r="A7352" s="134" t="str">
        <f>IFERROR(__xludf.DUMMYFUNCTION("""COMPUTED_VALUE"""),"Salt Lake City")</f>
        <v>Salt Lake City</v>
      </c>
      <c r="B7352" s="120" t="str">
        <f>IFERROR(__xludf.DUMMYFUNCTION("""COMPUTED_VALUE"""),"SLC")</f>
        <v>SLC</v>
      </c>
      <c r="C7352" s="120" t="str">
        <f>IFERROR(__xludf.DUMMYFUNCTION("""COMPUTED_VALUE"""),"International")</f>
        <v>International</v>
      </c>
      <c r="D7352" s="120" t="str">
        <f>IFERROR(__xludf.DUMMYFUNCTION("""COMPUTED_VALUE"""),"United States")</f>
        <v>United States</v>
      </c>
      <c r="E7352" s="135"/>
      <c r="F7352" s="31"/>
    </row>
    <row r="7353">
      <c r="A7353" s="134" t="str">
        <f>IFERROR(__xludf.DUMMYFUNCTION("""COMPUTED_VALUE"""),"Salta")</f>
        <v>Salta</v>
      </c>
      <c r="B7353" s="120" t="str">
        <f>IFERROR(__xludf.DUMMYFUNCTION("""COMPUTED_VALUE"""),"SLA")</f>
        <v>SLA</v>
      </c>
      <c r="C7353" s="120" t="str">
        <f>IFERROR(__xludf.DUMMYFUNCTION("""COMPUTED_VALUE"""),"Gen Belgrano")</f>
        <v>Gen Belgrano</v>
      </c>
      <c r="D7353" s="120" t="str">
        <f>IFERROR(__xludf.DUMMYFUNCTION("""COMPUTED_VALUE"""),"Argentina")</f>
        <v>Argentina</v>
      </c>
      <c r="E7353" s="135"/>
      <c r="F7353" s="31"/>
    </row>
    <row r="7354">
      <c r="A7354" s="134" t="str">
        <f>IFERROR(__xludf.DUMMYFUNCTION("""COMPUTED_VALUE"""),"Saltillo")</f>
        <v>Saltillo</v>
      </c>
      <c r="B7354" s="120" t="str">
        <f>IFERROR(__xludf.DUMMYFUNCTION("""COMPUTED_VALUE"""),"SLW")</f>
        <v>SLW</v>
      </c>
      <c r="C7354" s="120" t="str">
        <f>IFERROR(__xludf.DUMMYFUNCTION("""COMPUTED_VALUE"""),"Saltillo")</f>
        <v>Saltillo</v>
      </c>
      <c r="D7354" s="120" t="str">
        <f>IFERROR(__xludf.DUMMYFUNCTION("""COMPUTED_VALUE"""),"Mexico")</f>
        <v>Mexico</v>
      </c>
      <c r="E7354" s="135"/>
      <c r="F7354" s="31"/>
    </row>
    <row r="7355">
      <c r="A7355" s="134" t="str">
        <f>IFERROR(__xludf.DUMMYFUNCTION("""COMPUTED_VALUE"""),"Salto")</f>
        <v>Salto</v>
      </c>
      <c r="B7355" s="120" t="str">
        <f>IFERROR(__xludf.DUMMYFUNCTION("""COMPUTED_VALUE"""),"STY")</f>
        <v>STY</v>
      </c>
      <c r="C7355" s="120" t="str">
        <f>IFERROR(__xludf.DUMMYFUNCTION("""COMPUTED_VALUE"""),"Salto")</f>
        <v>Salto</v>
      </c>
      <c r="D7355" s="120" t="str">
        <f>IFERROR(__xludf.DUMMYFUNCTION("""COMPUTED_VALUE"""),"Uruguay")</f>
        <v>Uruguay</v>
      </c>
      <c r="E7355" s="135"/>
      <c r="F7355" s="31"/>
    </row>
    <row r="7356">
      <c r="A7356" s="134" t="str">
        <f>IFERROR(__xludf.DUMMYFUNCTION("""COMPUTED_VALUE"""),"Salton City")</f>
        <v>Salton City</v>
      </c>
      <c r="B7356" s="120" t="str">
        <f>IFERROR(__xludf.DUMMYFUNCTION("""COMPUTED_VALUE"""),"SAS")</f>
        <v>SAS</v>
      </c>
      <c r="C7356" s="120" t="str">
        <f>IFERROR(__xludf.DUMMYFUNCTION("""COMPUTED_VALUE"""),"Salton City")</f>
        <v>Salton City</v>
      </c>
      <c r="D7356" s="120" t="str">
        <f>IFERROR(__xludf.DUMMYFUNCTION("""COMPUTED_VALUE"""),"United States")</f>
        <v>United States</v>
      </c>
      <c r="E7356" s="135"/>
      <c r="F7356" s="31"/>
    </row>
    <row r="7357">
      <c r="A7357" s="134" t="str">
        <f>IFERROR(__xludf.DUMMYFUNCTION("""COMPUTED_VALUE"""),"Salvador")</f>
        <v>Salvador</v>
      </c>
      <c r="B7357" s="120" t="str">
        <f>IFERROR(__xludf.DUMMYFUNCTION("""COMPUTED_VALUE"""),"SSA")</f>
        <v>SSA</v>
      </c>
      <c r="C7357" s="120" t="str">
        <f>IFERROR(__xludf.DUMMYFUNCTION("""COMPUTED_VALUE"""),"Arpt Luis R. Magalhaes")</f>
        <v>Arpt Luis R. Magalhaes</v>
      </c>
      <c r="D7357" s="120" t="str">
        <f>IFERROR(__xludf.DUMMYFUNCTION("""COMPUTED_VALUE"""),"Brazil")</f>
        <v>Brazil</v>
      </c>
      <c r="E7357" s="135"/>
      <c r="F7357" s="31"/>
    </row>
    <row r="7358">
      <c r="A7358" s="134" t="str">
        <f>IFERROR(__xludf.DUMMYFUNCTION("""COMPUTED_VALUE"""),"Salzburg")</f>
        <v>Salzburg</v>
      </c>
      <c r="B7358" s="120" t="str">
        <f>IFERROR(__xludf.DUMMYFUNCTION("""COMPUTED_VALUE"""),"SZG")</f>
        <v>SZG</v>
      </c>
      <c r="C7358" s="120" t="str">
        <f>IFERROR(__xludf.DUMMYFUNCTION("""COMPUTED_VALUE"""),"W.A. Mozart")</f>
        <v>W.A. Mozart</v>
      </c>
      <c r="D7358" s="120" t="str">
        <f>IFERROR(__xludf.DUMMYFUNCTION("""COMPUTED_VALUE"""),"Austria")</f>
        <v>Austria</v>
      </c>
      <c r="E7358" s="135"/>
      <c r="F7358" s="31"/>
    </row>
    <row r="7359">
      <c r="A7359" s="134" t="str">
        <f>IFERROR(__xludf.DUMMYFUNCTION("""COMPUTED_VALUE"""),"Sam Neua")</f>
        <v>Sam Neua</v>
      </c>
      <c r="B7359" s="120" t="str">
        <f>IFERROR(__xludf.DUMMYFUNCTION("""COMPUTED_VALUE"""),"NEU")</f>
        <v>NEU</v>
      </c>
      <c r="C7359" s="120" t="str">
        <f>IFERROR(__xludf.DUMMYFUNCTION("""COMPUTED_VALUE"""),"Sam Neua")</f>
        <v>Sam Neua</v>
      </c>
      <c r="D7359" s="120" t="str">
        <f>IFERROR(__xludf.DUMMYFUNCTION("""COMPUTED_VALUE"""),"Laos")</f>
        <v>Laos</v>
      </c>
      <c r="E7359" s="135"/>
      <c r="F7359" s="31"/>
    </row>
    <row r="7360">
      <c r="A7360" s="134" t="str">
        <f>IFERROR(__xludf.DUMMYFUNCTION("""COMPUTED_VALUE"""),"Samara")</f>
        <v>Samara</v>
      </c>
      <c r="B7360" s="120" t="str">
        <f>IFERROR(__xludf.DUMMYFUNCTION("""COMPUTED_VALUE"""),"KUF")</f>
        <v>KUF</v>
      </c>
      <c r="C7360" s="120" t="str">
        <f>IFERROR(__xludf.DUMMYFUNCTION("""COMPUTED_VALUE"""),"Samara")</f>
        <v>Samara</v>
      </c>
      <c r="D7360" s="120" t="str">
        <f>IFERROR(__xludf.DUMMYFUNCTION("""COMPUTED_VALUE"""),"Russia")</f>
        <v>Russia</v>
      </c>
      <c r="E7360" s="135"/>
      <c r="F7360" s="31"/>
    </row>
    <row r="7361">
      <c r="A7361" s="134" t="str">
        <f>IFERROR(__xludf.DUMMYFUNCTION("""COMPUTED_VALUE"""),"Samarai Island")</f>
        <v>Samarai Island</v>
      </c>
      <c r="B7361" s="120" t="str">
        <f>IFERROR(__xludf.DUMMYFUNCTION("""COMPUTED_VALUE"""),"SQT")</f>
        <v>SQT</v>
      </c>
      <c r="C7361" s="120" t="str">
        <f>IFERROR(__xludf.DUMMYFUNCTION("""COMPUTED_VALUE"""),"China Straits Airstrip")</f>
        <v>China Straits Airstrip</v>
      </c>
      <c r="D7361" s="120" t="str">
        <f>IFERROR(__xludf.DUMMYFUNCTION("""COMPUTED_VALUE"""),"Papua New Guinea")</f>
        <v>Papua New Guinea</v>
      </c>
      <c r="E7361" s="135"/>
      <c r="F7361" s="31"/>
    </row>
    <row r="7362">
      <c r="A7362" s="134" t="str">
        <f>IFERROR(__xludf.DUMMYFUNCTION("""COMPUTED_VALUE"""),"Samarinda")</f>
        <v>Samarinda</v>
      </c>
      <c r="B7362" s="120" t="str">
        <f>IFERROR(__xludf.DUMMYFUNCTION("""COMPUTED_VALUE"""),"SRI")</f>
        <v>SRI</v>
      </c>
      <c r="C7362" s="120" t="str">
        <f>IFERROR(__xludf.DUMMYFUNCTION("""COMPUTED_VALUE"""),"Samarinda")</f>
        <v>Samarinda</v>
      </c>
      <c r="D7362" s="120" t="str">
        <f>IFERROR(__xludf.DUMMYFUNCTION("""COMPUTED_VALUE"""),"Indonesia")</f>
        <v>Indonesia</v>
      </c>
      <c r="E7362" s="135"/>
      <c r="F7362" s="31"/>
    </row>
    <row r="7363">
      <c r="A7363" s="134" t="str">
        <f>IFERROR(__xludf.DUMMYFUNCTION("""COMPUTED_VALUE"""),"Samarkand")</f>
        <v>Samarkand</v>
      </c>
      <c r="B7363" s="120" t="str">
        <f>IFERROR(__xludf.DUMMYFUNCTION("""COMPUTED_VALUE"""),"SKD")</f>
        <v>SKD</v>
      </c>
      <c r="C7363" s="120" t="str">
        <f>IFERROR(__xludf.DUMMYFUNCTION("""COMPUTED_VALUE"""),"Samarkand")</f>
        <v>Samarkand</v>
      </c>
      <c r="D7363" s="120" t="str">
        <f>IFERROR(__xludf.DUMMYFUNCTION("""COMPUTED_VALUE"""),"Uzbekistan")</f>
        <v>Uzbekistan</v>
      </c>
      <c r="E7363" s="135"/>
      <c r="F7363" s="31"/>
    </row>
    <row r="7364">
      <c r="A7364" s="134" t="str">
        <f>IFERROR(__xludf.DUMMYFUNCTION("""COMPUTED_VALUE"""),"Sambava")</f>
        <v>Sambava</v>
      </c>
      <c r="B7364" s="120" t="str">
        <f>IFERROR(__xludf.DUMMYFUNCTION("""COMPUTED_VALUE"""),"SVB")</f>
        <v>SVB</v>
      </c>
      <c r="C7364" s="120" t="str">
        <f>IFERROR(__xludf.DUMMYFUNCTION("""COMPUTED_VALUE"""),"Sambava")</f>
        <v>Sambava</v>
      </c>
      <c r="D7364" s="120" t="str">
        <f>IFERROR(__xludf.DUMMYFUNCTION("""COMPUTED_VALUE"""),"Madagascar")</f>
        <v>Madagascar</v>
      </c>
      <c r="E7364" s="135"/>
      <c r="F7364" s="31"/>
    </row>
    <row r="7365">
      <c r="A7365" s="134" t="str">
        <f>IFERROR(__xludf.DUMMYFUNCTION("""COMPUTED_VALUE"""),"Sambu")</f>
        <v>Sambu</v>
      </c>
      <c r="B7365" s="120" t="str">
        <f>IFERROR(__xludf.DUMMYFUNCTION("""COMPUTED_VALUE"""),"SAX")</f>
        <v>SAX</v>
      </c>
      <c r="C7365" s="120" t="str">
        <f>IFERROR(__xludf.DUMMYFUNCTION("""COMPUTED_VALUE"""),"Sambu")</f>
        <v>Sambu</v>
      </c>
      <c r="D7365" s="120" t="str">
        <f>IFERROR(__xludf.DUMMYFUNCTION("""COMPUTED_VALUE"""),"Panama")</f>
        <v>Panama</v>
      </c>
      <c r="E7365" s="135"/>
      <c r="F7365" s="31"/>
    </row>
    <row r="7366">
      <c r="A7366" s="134" t="str">
        <f>IFERROR(__xludf.DUMMYFUNCTION("""COMPUTED_VALUE"""),"Samburu")</f>
        <v>Samburu</v>
      </c>
      <c r="B7366" s="120" t="str">
        <f>IFERROR(__xludf.DUMMYFUNCTION("""COMPUTED_VALUE"""),"UAS")</f>
        <v>UAS</v>
      </c>
      <c r="C7366" s="120" t="str">
        <f>IFERROR(__xludf.DUMMYFUNCTION("""COMPUTED_VALUE"""),"Samburu")</f>
        <v>Samburu</v>
      </c>
      <c r="D7366" s="120" t="str">
        <f>IFERROR(__xludf.DUMMYFUNCTION("""COMPUTED_VALUE"""),"Kenya")</f>
        <v>Kenya</v>
      </c>
      <c r="E7366" s="135"/>
      <c r="F7366" s="31"/>
    </row>
    <row r="7367">
      <c r="A7367" s="134" t="str">
        <f>IFERROR(__xludf.DUMMYFUNCTION("""COMPUTED_VALUE"""),"Samcheok")</f>
        <v>Samcheok</v>
      </c>
      <c r="B7367" s="120" t="str">
        <f>IFERROR(__xludf.DUMMYFUNCTION("""COMPUTED_VALUE"""),"SUK")</f>
        <v>SUK</v>
      </c>
      <c r="C7367" s="120" t="str">
        <f>IFERROR(__xludf.DUMMYFUNCTION("""COMPUTED_VALUE"""),"Samcheok")</f>
        <v>Samcheok</v>
      </c>
      <c r="D7367" s="120" t="str">
        <f>IFERROR(__xludf.DUMMYFUNCTION("""COMPUTED_VALUE"""),"Korea (South)")</f>
        <v>Korea (South)</v>
      </c>
      <c r="E7367" s="135"/>
      <c r="F7367" s="31"/>
    </row>
    <row r="7368">
      <c r="A7368" s="134" t="str">
        <f>IFERROR(__xludf.DUMMYFUNCTION("""COMPUTED_VALUE"""),"Samos")</f>
        <v>Samos</v>
      </c>
      <c r="B7368" s="120" t="str">
        <f>IFERROR(__xludf.DUMMYFUNCTION("""COMPUTED_VALUE"""),"SMI")</f>
        <v>SMI</v>
      </c>
      <c r="C7368" s="120" t="str">
        <f>IFERROR(__xludf.DUMMYFUNCTION("""COMPUTED_VALUE"""),"Samos")</f>
        <v>Samos</v>
      </c>
      <c r="D7368" s="120" t="str">
        <f>IFERROR(__xludf.DUMMYFUNCTION("""COMPUTED_VALUE"""),"Greece")</f>
        <v>Greece</v>
      </c>
      <c r="E7368" s="135"/>
      <c r="F7368" s="31"/>
    </row>
    <row r="7369">
      <c r="A7369" s="134" t="str">
        <f>IFERROR(__xludf.DUMMYFUNCTION("""COMPUTED_VALUE"""),"Sampit")</f>
        <v>Sampit</v>
      </c>
      <c r="B7369" s="120" t="str">
        <f>IFERROR(__xludf.DUMMYFUNCTION("""COMPUTED_VALUE"""),"SMQ")</f>
        <v>SMQ</v>
      </c>
      <c r="C7369" s="120" t="str">
        <f>IFERROR(__xludf.DUMMYFUNCTION("""COMPUTED_VALUE"""),"Sampit")</f>
        <v>Sampit</v>
      </c>
      <c r="D7369" s="120" t="str">
        <f>IFERROR(__xludf.DUMMYFUNCTION("""COMPUTED_VALUE"""),"Indonesia")</f>
        <v>Indonesia</v>
      </c>
      <c r="E7369" s="135"/>
      <c r="F7369" s="31"/>
    </row>
    <row r="7370">
      <c r="A7370" s="134" t="str">
        <f>IFERROR(__xludf.DUMMYFUNCTION("""COMPUTED_VALUE"""),"Samsun")</f>
        <v>Samsun</v>
      </c>
      <c r="B7370" s="120" t="str">
        <f>IFERROR(__xludf.DUMMYFUNCTION("""COMPUTED_VALUE"""),"SZF")</f>
        <v>SZF</v>
      </c>
      <c r="C7370" s="120" t="str">
        <f>IFERROR(__xludf.DUMMYFUNCTION("""COMPUTED_VALUE"""),"Carsamba")</f>
        <v>Carsamba</v>
      </c>
      <c r="D7370" s="120" t="str">
        <f>IFERROR(__xludf.DUMMYFUNCTION("""COMPUTED_VALUE"""),"Turkey")</f>
        <v>Turkey</v>
      </c>
      <c r="E7370" s="135"/>
      <c r="F7370" s="31"/>
    </row>
    <row r="7371">
      <c r="A7371" s="134" t="str">
        <f>IFERROR(__xludf.DUMMYFUNCTION("""COMPUTED_VALUE"""),"Samsun/carsamba")</f>
        <v>Samsun/carsamba</v>
      </c>
      <c r="B7371" s="120" t="str">
        <f>IFERROR(__xludf.DUMMYFUNCTION("""COMPUTED_VALUE"""),"SSX")</f>
        <v>SSX</v>
      </c>
      <c r="C7371" s="120" t="str">
        <f>IFERROR(__xludf.DUMMYFUNCTION("""COMPUTED_VALUE"""),"Samsun")</f>
        <v>Samsun</v>
      </c>
      <c r="D7371" s="120" t="str">
        <f>IFERROR(__xludf.DUMMYFUNCTION("""COMPUTED_VALUE"""),"Turkey")</f>
        <v>Turkey</v>
      </c>
      <c r="E7371" s="135"/>
      <c r="F7371" s="31"/>
    </row>
    <row r="7372">
      <c r="A7372" s="134" t="str">
        <f>IFERROR(__xludf.DUMMYFUNCTION("""COMPUTED_VALUE"""),"San Andres Island")</f>
        <v>San Andres Island</v>
      </c>
      <c r="B7372" s="120" t="str">
        <f>IFERROR(__xludf.DUMMYFUNCTION("""COMPUTED_VALUE"""),"ADZ")</f>
        <v>ADZ</v>
      </c>
      <c r="C7372" s="120" t="str">
        <f>IFERROR(__xludf.DUMMYFUNCTION("""COMPUTED_VALUE"""),"San Andres Island")</f>
        <v>San Andres Island</v>
      </c>
      <c r="D7372" s="120" t="str">
        <f>IFERROR(__xludf.DUMMYFUNCTION("""COMPUTED_VALUE"""),"Colombia")</f>
        <v>Colombia</v>
      </c>
      <c r="E7372" s="135"/>
      <c r="F7372" s="31"/>
    </row>
    <row r="7373">
      <c r="A7373" s="134" t="str">
        <f>IFERROR(__xludf.DUMMYFUNCTION("""COMPUTED_VALUE"""),"San Andros")</f>
        <v>San Andros</v>
      </c>
      <c r="B7373" s="120" t="str">
        <f>IFERROR(__xludf.DUMMYFUNCTION("""COMPUTED_VALUE"""),"SAQ")</f>
        <v>SAQ</v>
      </c>
      <c r="C7373" s="120" t="str">
        <f>IFERROR(__xludf.DUMMYFUNCTION("""COMPUTED_VALUE"""),"San Andros")</f>
        <v>San Andros</v>
      </c>
      <c r="D7373" s="120" t="str">
        <f>IFERROR(__xludf.DUMMYFUNCTION("""COMPUTED_VALUE"""),"Bahamas")</f>
        <v>Bahamas</v>
      </c>
      <c r="E7373" s="135"/>
      <c r="F7373" s="31"/>
    </row>
    <row r="7374">
      <c r="A7374" s="134" t="str">
        <f>IFERROR(__xludf.DUMMYFUNCTION("""COMPUTED_VALUE"""),"San Angelo")</f>
        <v>San Angelo</v>
      </c>
      <c r="B7374" s="120" t="str">
        <f>IFERROR(__xludf.DUMMYFUNCTION("""COMPUTED_VALUE"""),"GOF")</f>
        <v>GOF</v>
      </c>
      <c r="C7374" s="120" t="str">
        <f>IFERROR(__xludf.DUMMYFUNCTION("""COMPUTED_VALUE"""),"Goodfellow AFB")</f>
        <v>Goodfellow AFB</v>
      </c>
      <c r="D7374" s="120" t="str">
        <f>IFERROR(__xludf.DUMMYFUNCTION("""COMPUTED_VALUE"""),"United States")</f>
        <v>United States</v>
      </c>
      <c r="E7374" s="135"/>
      <c r="F7374" s="31"/>
    </row>
    <row r="7375">
      <c r="A7375" s="134" t="str">
        <f>IFERROR(__xludf.DUMMYFUNCTION("""COMPUTED_VALUE"""),"San Angelo")</f>
        <v>San Angelo</v>
      </c>
      <c r="B7375" s="120" t="str">
        <f>IFERROR(__xludf.DUMMYFUNCTION("""COMPUTED_VALUE"""),"SJT")</f>
        <v>SJT</v>
      </c>
      <c r="C7375" s="120" t="str">
        <f>IFERROR(__xludf.DUMMYFUNCTION("""COMPUTED_VALUE"""),"Mathis Fld")</f>
        <v>Mathis Fld</v>
      </c>
      <c r="D7375" s="120" t="str">
        <f>IFERROR(__xludf.DUMMYFUNCTION("""COMPUTED_VALUE"""),"United States")</f>
        <v>United States</v>
      </c>
      <c r="E7375" s="135"/>
      <c r="F7375" s="31"/>
    </row>
    <row r="7376">
      <c r="A7376" s="134" t="str">
        <f>IFERROR(__xludf.DUMMYFUNCTION("""COMPUTED_VALUE"""),"San Antonio")</f>
        <v>San Antonio</v>
      </c>
      <c r="B7376" s="120" t="str">
        <f>IFERROR(__xludf.DUMMYFUNCTION("""COMPUTED_VALUE"""),"SAT")</f>
        <v>SAT</v>
      </c>
      <c r="C7376" s="120" t="str">
        <f>IFERROR(__xludf.DUMMYFUNCTION("""COMPUTED_VALUE"""),"San Antonio International")</f>
        <v>San Antonio International</v>
      </c>
      <c r="D7376" s="120" t="str">
        <f>IFERROR(__xludf.DUMMYFUNCTION("""COMPUTED_VALUE"""),"United States")</f>
        <v>United States</v>
      </c>
      <c r="E7376" s="135"/>
      <c r="F7376" s="31"/>
    </row>
    <row r="7377">
      <c r="A7377" s="134" t="str">
        <f>IFERROR(__xludf.DUMMYFUNCTION("""COMPUTED_VALUE"""),"San Antonio")</f>
        <v>San Antonio</v>
      </c>
      <c r="B7377" s="120" t="str">
        <f>IFERROR(__xludf.DUMMYFUNCTION("""COMPUTED_VALUE"""),"SKF")</f>
        <v>SKF</v>
      </c>
      <c r="C7377" s="120" t="str">
        <f>IFERROR(__xludf.DUMMYFUNCTION("""COMPUTED_VALUE"""),"Kelly AFB")</f>
        <v>Kelly AFB</v>
      </c>
      <c r="D7377" s="120" t="str">
        <f>IFERROR(__xludf.DUMMYFUNCTION("""COMPUTED_VALUE"""),"United States")</f>
        <v>United States</v>
      </c>
      <c r="E7377" s="135"/>
      <c r="F7377" s="31"/>
    </row>
    <row r="7378">
      <c r="A7378" s="134" t="str">
        <f>IFERROR(__xludf.DUMMYFUNCTION("""COMPUTED_VALUE"""),"San Antonio")</f>
        <v>San Antonio</v>
      </c>
      <c r="B7378" s="120" t="str">
        <f>IFERROR(__xludf.DUMMYFUNCTION("""COMPUTED_VALUE"""),"MDA")</f>
        <v>MDA</v>
      </c>
      <c r="C7378" s="120" t="str">
        <f>IFERROR(__xludf.DUMMYFUNCTION("""COMPUTED_VALUE"""),"Martindale AAF")</f>
        <v>Martindale AAF</v>
      </c>
      <c r="D7378" s="120" t="str">
        <f>IFERROR(__xludf.DUMMYFUNCTION("""COMPUTED_VALUE"""),"United States")</f>
        <v>United States</v>
      </c>
      <c r="E7378" s="135"/>
      <c r="F7378" s="31"/>
    </row>
    <row r="7379">
      <c r="A7379" s="134" t="str">
        <f>IFERROR(__xludf.DUMMYFUNCTION("""COMPUTED_VALUE"""),"San Antonio")</f>
        <v>San Antonio</v>
      </c>
      <c r="B7379" s="120" t="str">
        <f>IFERROR(__xludf.DUMMYFUNCTION("""COMPUTED_VALUE"""),"RND")</f>
        <v>RND</v>
      </c>
      <c r="C7379" s="120" t="str">
        <f>IFERROR(__xludf.DUMMYFUNCTION("""COMPUTED_VALUE"""),"Randolph AFB")</f>
        <v>Randolph AFB</v>
      </c>
      <c r="D7379" s="120" t="str">
        <f>IFERROR(__xludf.DUMMYFUNCTION("""COMPUTED_VALUE"""),"United States")</f>
        <v>United States</v>
      </c>
      <c r="E7379" s="135"/>
      <c r="F7379" s="31"/>
    </row>
    <row r="7380">
      <c r="A7380" s="134" t="str">
        <f>IFERROR(__xludf.DUMMYFUNCTION("""COMPUTED_VALUE"""),"San Antonio")</f>
        <v>San Antonio</v>
      </c>
      <c r="B7380" s="120" t="str">
        <f>IFERROR(__xludf.DUMMYFUNCTION("""COMPUTED_VALUE"""),"SSF")</f>
        <v>SSF</v>
      </c>
      <c r="C7380" s="120" t="str">
        <f>IFERROR(__xludf.DUMMYFUNCTION("""COMPUTED_VALUE"""),"Stinson Municipal")</f>
        <v>Stinson Municipal</v>
      </c>
      <c r="D7380" s="120" t="str">
        <f>IFERROR(__xludf.DUMMYFUNCTION("""COMPUTED_VALUE"""),"United States")</f>
        <v>United States</v>
      </c>
      <c r="E7380" s="135"/>
      <c r="F7380" s="31"/>
    </row>
    <row r="7381">
      <c r="A7381" s="134" t="str">
        <f>IFERROR(__xludf.DUMMYFUNCTION("""COMPUTED_VALUE"""),"San Antonio")</f>
        <v>San Antonio</v>
      </c>
      <c r="B7381" s="120" t="str">
        <f>IFERROR(__xludf.DUMMYFUNCTION("""COMPUTED_VALUE"""),"SVZ")</f>
        <v>SVZ</v>
      </c>
      <c r="C7381" s="120" t="str">
        <f>IFERROR(__xludf.DUMMYFUNCTION("""COMPUTED_VALUE"""),"San Antonio")</f>
        <v>San Antonio</v>
      </c>
      <c r="D7381" s="120" t="str">
        <f>IFERROR(__xludf.DUMMYFUNCTION("""COMPUTED_VALUE"""),"Venezuela")</f>
        <v>Venezuela</v>
      </c>
      <c r="E7381" s="135"/>
      <c r="F7381" s="31"/>
    </row>
    <row r="7382">
      <c r="A7382" s="134" t="str">
        <f>IFERROR(__xludf.DUMMYFUNCTION("""COMPUTED_VALUE"""),"San Antonio Oeste")</f>
        <v>San Antonio Oeste</v>
      </c>
      <c r="B7382" s="120" t="str">
        <f>IFERROR(__xludf.DUMMYFUNCTION("""COMPUTED_VALUE"""),"OES")</f>
        <v>OES</v>
      </c>
      <c r="C7382" s="120" t="str">
        <f>IFERROR(__xludf.DUMMYFUNCTION("""COMPUTED_VALUE"""),"San Antonio Oeste")</f>
        <v>San Antonio Oeste</v>
      </c>
      <c r="D7382" s="120" t="str">
        <f>IFERROR(__xludf.DUMMYFUNCTION("""COMPUTED_VALUE"""),"Argentina")</f>
        <v>Argentina</v>
      </c>
      <c r="E7382" s="135"/>
      <c r="F7382" s="31"/>
    </row>
    <row r="7383">
      <c r="A7383" s="134" t="str">
        <f>IFERROR(__xludf.DUMMYFUNCTION("""COMPUTED_VALUE"""),"San Bernardino")</f>
        <v>San Bernardino</v>
      </c>
      <c r="B7383" s="120" t="str">
        <f>IFERROR(__xludf.DUMMYFUNCTION("""COMPUTED_VALUE"""),"SBD")</f>
        <v>SBD</v>
      </c>
      <c r="C7383" s="120" t="str">
        <f>IFERROR(__xludf.DUMMYFUNCTION("""COMPUTED_VALUE"""),"Norton Afb")</f>
        <v>Norton Afb</v>
      </c>
      <c r="D7383" s="120" t="str">
        <f>IFERROR(__xludf.DUMMYFUNCTION("""COMPUTED_VALUE"""),"United States")</f>
        <v>United States</v>
      </c>
      <c r="E7383" s="135"/>
      <c r="F7383" s="31"/>
    </row>
    <row r="7384">
      <c r="A7384" s="134" t="str">
        <f>IFERROR(__xludf.DUMMYFUNCTION("""COMPUTED_VALUE"""),"San Bernardino")</f>
        <v>San Bernardino</v>
      </c>
      <c r="B7384" s="120" t="str">
        <f>IFERROR(__xludf.DUMMYFUNCTION("""COMPUTED_VALUE"""),"SBT")</f>
        <v>SBT</v>
      </c>
      <c r="C7384" s="120" t="str">
        <f>IFERROR(__xludf.DUMMYFUNCTION("""COMPUTED_VALUE"""),"Tri-City")</f>
        <v>Tri-City</v>
      </c>
      <c r="D7384" s="120" t="str">
        <f>IFERROR(__xludf.DUMMYFUNCTION("""COMPUTED_VALUE"""),"United States")</f>
        <v>United States</v>
      </c>
      <c r="E7384" s="135"/>
      <c r="F7384" s="31"/>
    </row>
    <row r="7385">
      <c r="A7385" s="134" t="str">
        <f>IFERROR(__xludf.DUMMYFUNCTION("""COMPUTED_VALUE"""),"San Blas")</f>
        <v>San Blas</v>
      </c>
      <c r="B7385" s="120" t="str">
        <f>IFERROR(__xludf.DUMMYFUNCTION("""COMPUTED_VALUE"""),"NBL")</f>
        <v>NBL</v>
      </c>
      <c r="C7385" s="120" t="str">
        <f>IFERROR(__xludf.DUMMYFUNCTION("""COMPUTED_VALUE"""),"San Blas")</f>
        <v>San Blas</v>
      </c>
      <c r="D7385" s="120" t="str">
        <f>IFERROR(__xludf.DUMMYFUNCTION("""COMPUTED_VALUE"""),"Panama")</f>
        <v>Panama</v>
      </c>
      <c r="E7385" s="135"/>
      <c r="F7385" s="31"/>
    </row>
    <row r="7386">
      <c r="A7386" s="134" t="str">
        <f>IFERROR(__xludf.DUMMYFUNCTION("""COMPUTED_VALUE"""),"San Borja")</f>
        <v>San Borja</v>
      </c>
      <c r="B7386" s="120" t="str">
        <f>IFERROR(__xludf.DUMMYFUNCTION("""COMPUTED_VALUE"""),"SRJ")</f>
        <v>SRJ</v>
      </c>
      <c r="C7386" s="120" t="str">
        <f>IFERROR(__xludf.DUMMYFUNCTION("""COMPUTED_VALUE"""),"Capitan G Q Guardia")</f>
        <v>Capitan G Q Guardia</v>
      </c>
      <c r="D7386" s="120" t="str">
        <f>IFERROR(__xludf.DUMMYFUNCTION("""COMPUTED_VALUE"""),"Bolivia")</f>
        <v>Bolivia</v>
      </c>
      <c r="E7386" s="135"/>
      <c r="F7386" s="31"/>
    </row>
    <row r="7387">
      <c r="A7387" s="134" t="str">
        <f>IFERROR(__xludf.DUMMYFUNCTION("""COMPUTED_VALUE"""),"San Carlos")</f>
        <v>San Carlos</v>
      </c>
      <c r="B7387" s="120" t="str">
        <f>IFERROR(__xludf.DUMMYFUNCTION("""COMPUTED_VALUE"""),"SQL")</f>
        <v>SQL</v>
      </c>
      <c r="C7387" s="120" t="str">
        <f>IFERROR(__xludf.DUMMYFUNCTION("""COMPUTED_VALUE"""),"San Carlos")</f>
        <v>San Carlos</v>
      </c>
      <c r="D7387" s="120" t="str">
        <f>IFERROR(__xludf.DUMMYFUNCTION("""COMPUTED_VALUE"""),"United States")</f>
        <v>United States</v>
      </c>
      <c r="E7387" s="135"/>
      <c r="F7387" s="31"/>
    </row>
    <row r="7388">
      <c r="A7388" s="134" t="str">
        <f>IFERROR(__xludf.DUMMYFUNCTION("""COMPUTED_VALUE"""),"San Carlos")</f>
        <v>San Carlos</v>
      </c>
      <c r="B7388" s="120" t="str">
        <f>IFERROR(__xludf.DUMMYFUNCTION("""COMPUTED_VALUE"""),"NCR")</f>
        <v>NCR</v>
      </c>
      <c r="C7388" s="120" t="str">
        <f>IFERROR(__xludf.DUMMYFUNCTION("""COMPUTED_VALUE"""),"San Carlos")</f>
        <v>San Carlos</v>
      </c>
      <c r="D7388" s="120" t="str">
        <f>IFERROR(__xludf.DUMMYFUNCTION("""COMPUTED_VALUE"""),"Nicaragua")</f>
        <v>Nicaragua</v>
      </c>
      <c r="E7388" s="135"/>
      <c r="F7388" s="31"/>
    </row>
    <row r="7389">
      <c r="A7389" s="134" t="str">
        <f>IFERROR(__xludf.DUMMYFUNCTION("""COMPUTED_VALUE"""),"San Carlos DeBariloche")</f>
        <v>San Carlos DeBariloche</v>
      </c>
      <c r="B7389" s="120" t="str">
        <f>IFERROR(__xludf.DUMMYFUNCTION("""COMPUTED_VALUE"""),"BRC")</f>
        <v>BRC</v>
      </c>
      <c r="C7389" s="120" t="str">
        <f>IFERROR(__xludf.DUMMYFUNCTION("""COMPUTED_VALUE"""),"International")</f>
        <v>International</v>
      </c>
      <c r="D7389" s="120" t="str">
        <f>IFERROR(__xludf.DUMMYFUNCTION("""COMPUTED_VALUE"""),"Argentina")</f>
        <v>Argentina</v>
      </c>
      <c r="E7389" s="135"/>
      <c r="F7389" s="31"/>
    </row>
    <row r="7390">
      <c r="A7390" s="134" t="str">
        <f>IFERROR(__xludf.DUMMYFUNCTION("""COMPUTED_VALUE"""),"San Cristobal")</f>
        <v>San Cristobal</v>
      </c>
      <c r="B7390" s="120" t="str">
        <f>IFERROR(__xludf.DUMMYFUNCTION("""COMPUTED_VALUE"""),"SCY")</f>
        <v>SCY</v>
      </c>
      <c r="C7390" s="120" t="str">
        <f>IFERROR(__xludf.DUMMYFUNCTION("""COMPUTED_VALUE"""),"San Cristobal Airport")</f>
        <v>San Cristobal Airport</v>
      </c>
      <c r="D7390" s="120" t="str">
        <f>IFERROR(__xludf.DUMMYFUNCTION("""COMPUTED_VALUE"""),"Ecuador")</f>
        <v>Ecuador</v>
      </c>
      <c r="E7390" s="135"/>
      <c r="F7390" s="31"/>
    </row>
    <row r="7391">
      <c r="A7391" s="134" t="str">
        <f>IFERROR(__xludf.DUMMYFUNCTION("""COMPUTED_VALUE"""),"San Cristobal")</f>
        <v>San Cristobal</v>
      </c>
      <c r="B7391" s="120" t="str">
        <f>IFERROR(__xludf.DUMMYFUNCTION("""COMPUTED_VALUE"""),"SCI")</f>
        <v>SCI</v>
      </c>
      <c r="C7391" s="120" t="str">
        <f>IFERROR(__xludf.DUMMYFUNCTION("""COMPUTED_VALUE"""),"San Cristobal")</f>
        <v>San Cristobal</v>
      </c>
      <c r="D7391" s="120" t="str">
        <f>IFERROR(__xludf.DUMMYFUNCTION("""COMPUTED_VALUE"""),"Venezuela")</f>
        <v>Venezuela</v>
      </c>
      <c r="E7391" s="135"/>
      <c r="F7391" s="31"/>
    </row>
    <row r="7392">
      <c r="A7392" s="134" t="str">
        <f>IFERROR(__xludf.DUMMYFUNCTION("""COMPUTED_VALUE"""),"San Diego")</f>
        <v>San Diego</v>
      </c>
      <c r="B7392" s="120" t="str">
        <f>IFERROR(__xludf.DUMMYFUNCTION("""COMPUTED_VALUE"""),"SDM")</f>
        <v>SDM</v>
      </c>
      <c r="C7392" s="120" t="str">
        <f>IFERROR(__xludf.DUMMYFUNCTION("""COMPUTED_VALUE"""),"Brown Field Municipal")</f>
        <v>Brown Field Municipal</v>
      </c>
      <c r="D7392" s="120" t="str">
        <f>IFERROR(__xludf.DUMMYFUNCTION("""COMPUTED_VALUE"""),"United States")</f>
        <v>United States</v>
      </c>
      <c r="E7392" s="135"/>
      <c r="F7392" s="31"/>
    </row>
    <row r="7393">
      <c r="A7393" s="134" t="str">
        <f>IFERROR(__xludf.DUMMYFUNCTION("""COMPUTED_VALUE"""),"San Diego")</f>
        <v>San Diego</v>
      </c>
      <c r="B7393" s="120" t="str">
        <f>IFERROR(__xludf.DUMMYFUNCTION("""COMPUTED_VALUE"""),"CLD")</f>
        <v>CLD</v>
      </c>
      <c r="C7393" s="120" t="str">
        <f>IFERROR(__xludf.DUMMYFUNCTION("""COMPUTED_VALUE"""),"Carlsbad")</f>
        <v>Carlsbad</v>
      </c>
      <c r="D7393" s="120" t="str">
        <f>IFERROR(__xludf.DUMMYFUNCTION("""COMPUTED_VALUE"""),"United States")</f>
        <v>United States</v>
      </c>
      <c r="E7393" s="135"/>
      <c r="F7393" s="31"/>
    </row>
    <row r="7394">
      <c r="A7394" s="134" t="str">
        <f>IFERROR(__xludf.DUMMYFUNCTION("""COMPUTED_VALUE"""),"San Diego")</f>
        <v>San Diego</v>
      </c>
      <c r="B7394" s="120" t="str">
        <f>IFERROR(__xludf.DUMMYFUNCTION("""COMPUTED_VALUE"""),"SEE")</f>
        <v>SEE</v>
      </c>
      <c r="C7394" s="120" t="str">
        <f>IFERROR(__xludf.DUMMYFUNCTION("""COMPUTED_VALUE"""),"Gillespie Field")</f>
        <v>Gillespie Field</v>
      </c>
      <c r="D7394" s="120" t="str">
        <f>IFERROR(__xludf.DUMMYFUNCTION("""COMPUTED_VALUE"""),"United States")</f>
        <v>United States</v>
      </c>
      <c r="E7394" s="135"/>
      <c r="F7394" s="31"/>
    </row>
    <row r="7395">
      <c r="A7395" s="134" t="str">
        <f>IFERROR(__xludf.DUMMYFUNCTION("""COMPUTED_VALUE"""),"San Diego")</f>
        <v>San Diego</v>
      </c>
      <c r="B7395" s="120" t="str">
        <f>IFERROR(__xludf.DUMMYFUNCTION("""COMPUTED_VALUE"""),"SAN")</f>
        <v>SAN</v>
      </c>
      <c r="C7395" s="120" t="str">
        <f>IFERROR(__xludf.DUMMYFUNCTION("""COMPUTED_VALUE"""),"Lindberg Fld S. Diego")</f>
        <v>Lindberg Fld S. Diego</v>
      </c>
      <c r="D7395" s="120" t="str">
        <f>IFERROR(__xludf.DUMMYFUNCTION("""COMPUTED_VALUE"""),"United States")</f>
        <v>United States</v>
      </c>
      <c r="E7395" s="135"/>
      <c r="F7395" s="31"/>
    </row>
    <row r="7396">
      <c r="A7396" s="134" t="str">
        <f>IFERROR(__xludf.DUMMYFUNCTION("""COMPUTED_VALUE"""),"San Diego")</f>
        <v>San Diego</v>
      </c>
      <c r="B7396" s="120" t="str">
        <f>IFERROR(__xludf.DUMMYFUNCTION("""COMPUTED_VALUE"""),"NKX")</f>
        <v>NKX</v>
      </c>
      <c r="C7396" s="120" t="str">
        <f>IFERROR(__xludf.DUMMYFUNCTION("""COMPUTED_VALUE"""),"Miramar MCAS")</f>
        <v>Miramar MCAS</v>
      </c>
      <c r="D7396" s="120" t="str">
        <f>IFERROR(__xludf.DUMMYFUNCTION("""COMPUTED_VALUE"""),"United States")</f>
        <v>United States</v>
      </c>
      <c r="E7396" s="135"/>
      <c r="F7396" s="31"/>
    </row>
    <row r="7397">
      <c r="A7397" s="134" t="str">
        <f>IFERROR(__xludf.DUMMYFUNCTION("""COMPUTED_VALUE"""),"San Diego")</f>
        <v>San Diego</v>
      </c>
      <c r="B7397" s="120" t="str">
        <f>IFERROR(__xludf.DUMMYFUNCTION("""COMPUTED_VALUE"""),"MYF")</f>
        <v>MYF</v>
      </c>
      <c r="C7397" s="120" t="str">
        <f>IFERROR(__xludf.DUMMYFUNCTION("""COMPUTED_VALUE"""),"Montgomery Field")</f>
        <v>Montgomery Field</v>
      </c>
      <c r="D7397" s="120" t="str">
        <f>IFERROR(__xludf.DUMMYFUNCTION("""COMPUTED_VALUE"""),"United States")</f>
        <v>United States</v>
      </c>
      <c r="E7397" s="135"/>
      <c r="F7397" s="31"/>
    </row>
    <row r="7398">
      <c r="A7398" s="134" t="str">
        <f>IFERROR(__xludf.DUMMYFUNCTION("""COMPUTED_VALUE"""),"San Diego")</f>
        <v>San Diego</v>
      </c>
      <c r="B7398" s="120" t="str">
        <f>IFERROR(__xludf.DUMMYFUNCTION("""COMPUTED_VALUE"""),"NZY")</f>
        <v>NZY</v>
      </c>
      <c r="C7398" s="120" t="str">
        <f>IFERROR(__xludf.DUMMYFUNCTION("""COMPUTED_VALUE"""),"North Island Nas")</f>
        <v>North Island Nas</v>
      </c>
      <c r="D7398" s="120" t="str">
        <f>IFERROR(__xludf.DUMMYFUNCTION("""COMPUTED_VALUE"""),"United States")</f>
        <v>United States</v>
      </c>
      <c r="E7398" s="135"/>
      <c r="F7398" s="31"/>
    </row>
    <row r="7399">
      <c r="A7399" s="134" t="str">
        <f>IFERROR(__xludf.DUMMYFUNCTION("""COMPUTED_VALUE"""),"San Domino Island")</f>
        <v>San Domino Island</v>
      </c>
      <c r="B7399" s="120" t="str">
        <f>IFERROR(__xludf.DUMMYFUNCTION("""COMPUTED_VALUE"""),"TQR")</f>
        <v>TQR</v>
      </c>
      <c r="C7399" s="120" t="str">
        <f>IFERROR(__xludf.DUMMYFUNCTION("""COMPUTED_VALUE"""),"San Domino Island")</f>
        <v>San Domino Island</v>
      </c>
      <c r="D7399" s="120" t="str">
        <f>IFERROR(__xludf.DUMMYFUNCTION("""COMPUTED_VALUE"""),"Italy")</f>
        <v>Italy</v>
      </c>
      <c r="E7399" s="135"/>
      <c r="F7399" s="31"/>
    </row>
    <row r="7400">
      <c r="A7400" s="134" t="str">
        <f>IFERROR(__xludf.DUMMYFUNCTION("""COMPUTED_VALUE"""),"San Esteban")</f>
        <v>San Esteban</v>
      </c>
      <c r="B7400" s="120" t="str">
        <f>IFERROR(__xludf.DUMMYFUNCTION("""COMPUTED_VALUE"""),"SET")</f>
        <v>SET</v>
      </c>
      <c r="C7400" s="120" t="str">
        <f>IFERROR(__xludf.DUMMYFUNCTION("""COMPUTED_VALUE"""),"San Esteban")</f>
        <v>San Esteban</v>
      </c>
      <c r="D7400" s="120" t="str">
        <f>IFERROR(__xludf.DUMMYFUNCTION("""COMPUTED_VALUE"""),"Honduras")</f>
        <v>Honduras</v>
      </c>
      <c r="E7400" s="135"/>
      <c r="F7400" s="31"/>
    </row>
    <row r="7401">
      <c r="A7401" s="134" t="str">
        <f>IFERROR(__xludf.DUMMYFUNCTION("""COMPUTED_VALUE"""),"San Felipe")</f>
        <v>San Felipe</v>
      </c>
      <c r="B7401" s="120" t="str">
        <f>IFERROR(__xludf.DUMMYFUNCTION("""COMPUTED_VALUE"""),"SSD")</f>
        <v>SSD</v>
      </c>
      <c r="C7401" s="120" t="str">
        <f>IFERROR(__xludf.DUMMYFUNCTION("""COMPUTED_VALUE"""),"San Felipe")</f>
        <v>San Felipe</v>
      </c>
      <c r="D7401" s="120" t="str">
        <f>IFERROR(__xludf.DUMMYFUNCTION("""COMPUTED_VALUE"""),"Colombia")</f>
        <v>Colombia</v>
      </c>
      <c r="E7401" s="135"/>
      <c r="F7401" s="31"/>
    </row>
    <row r="7402">
      <c r="A7402" s="134" t="str">
        <f>IFERROR(__xludf.DUMMYFUNCTION("""COMPUTED_VALUE"""),"San Felipe")</f>
        <v>San Felipe</v>
      </c>
      <c r="B7402" s="120" t="str">
        <f>IFERROR(__xludf.DUMMYFUNCTION("""COMPUTED_VALUE"""),"SFH")</f>
        <v>SFH</v>
      </c>
      <c r="C7402" s="120" t="str">
        <f>IFERROR(__xludf.DUMMYFUNCTION("""COMPUTED_VALUE"""),"San Felipe")</f>
        <v>San Felipe</v>
      </c>
      <c r="D7402" s="120" t="str">
        <f>IFERROR(__xludf.DUMMYFUNCTION("""COMPUTED_VALUE"""),"Mexico")</f>
        <v>Mexico</v>
      </c>
      <c r="E7402" s="135"/>
      <c r="F7402" s="31"/>
    </row>
    <row r="7403">
      <c r="A7403" s="134" t="str">
        <f>IFERROR(__xludf.DUMMYFUNCTION("""COMPUTED_VALUE"""),"San Felipe")</f>
        <v>San Felipe</v>
      </c>
      <c r="B7403" s="120" t="str">
        <f>IFERROR(__xludf.DUMMYFUNCTION("""COMPUTED_VALUE"""),"SNF")</f>
        <v>SNF</v>
      </c>
      <c r="C7403" s="120" t="str">
        <f>IFERROR(__xludf.DUMMYFUNCTION("""COMPUTED_VALUE"""),"San Felipe")</f>
        <v>San Felipe</v>
      </c>
      <c r="D7403" s="120" t="str">
        <f>IFERROR(__xludf.DUMMYFUNCTION("""COMPUTED_VALUE"""),"Venezuela")</f>
        <v>Venezuela</v>
      </c>
      <c r="E7403" s="135"/>
      <c r="F7403" s="31"/>
    </row>
    <row r="7404">
      <c r="A7404" s="134" t="str">
        <f>IFERROR(__xludf.DUMMYFUNCTION("""COMPUTED_VALUE"""),"San Felix")</f>
        <v>San Felix</v>
      </c>
      <c r="B7404" s="120" t="str">
        <f>IFERROR(__xludf.DUMMYFUNCTION("""COMPUTED_VALUE"""),"SFX")</f>
        <v>SFX</v>
      </c>
      <c r="C7404" s="120" t="str">
        <f>IFERROR(__xludf.DUMMYFUNCTION("""COMPUTED_VALUE"""),"San Felix")</f>
        <v>San Felix</v>
      </c>
      <c r="D7404" s="120" t="str">
        <f>IFERROR(__xludf.DUMMYFUNCTION("""COMPUTED_VALUE"""),"Venezuela")</f>
        <v>Venezuela</v>
      </c>
      <c r="E7404" s="135"/>
      <c r="F7404" s="31"/>
    </row>
    <row r="7405">
      <c r="A7405" s="134" t="str">
        <f>IFERROR(__xludf.DUMMYFUNCTION("""COMPUTED_VALUE"""),"San Fernando")</f>
        <v>San Fernando</v>
      </c>
      <c r="B7405" s="120" t="str">
        <f>IFERROR(__xludf.DUMMYFUNCTION("""COMPUTED_VALUE"""),"SFR")</f>
        <v>SFR</v>
      </c>
      <c r="C7405" s="120" t="str">
        <f>IFERROR(__xludf.DUMMYFUNCTION("""COMPUTED_VALUE"""),"San Fernando")</f>
        <v>San Fernando</v>
      </c>
      <c r="D7405" s="120" t="str">
        <f>IFERROR(__xludf.DUMMYFUNCTION("""COMPUTED_VALUE"""),"Columbia")</f>
        <v>Columbia</v>
      </c>
      <c r="E7405" s="135"/>
      <c r="F7405" s="31"/>
    </row>
    <row r="7406">
      <c r="A7406" s="134" t="str">
        <f>IFERROR(__xludf.DUMMYFUNCTION("""COMPUTED_VALUE"""),"San Fernando")</f>
        <v>San Fernando</v>
      </c>
      <c r="B7406" s="120" t="str">
        <f>IFERROR(__xludf.DUMMYFUNCTION("""COMPUTED_VALUE"""),"FES")</f>
        <v>FES</v>
      </c>
      <c r="C7406" s="120" t="str">
        <f>IFERROR(__xludf.DUMMYFUNCTION("""COMPUTED_VALUE"""),"San Fernando")</f>
        <v>San Fernando</v>
      </c>
      <c r="D7406" s="120" t="str">
        <f>IFERROR(__xludf.DUMMYFUNCTION("""COMPUTED_VALUE"""),"Spain")</f>
        <v>Spain</v>
      </c>
      <c r="E7406" s="135"/>
      <c r="F7406" s="31"/>
    </row>
    <row r="7407">
      <c r="A7407" s="134" t="str">
        <f>IFERROR(__xludf.DUMMYFUNCTION("""COMPUTED_VALUE"""),"San Fernando")</f>
        <v>San Fernando</v>
      </c>
      <c r="B7407" s="120" t="str">
        <f>IFERROR(__xludf.DUMMYFUNCTION("""COMPUTED_VALUE"""),"SFE")</f>
        <v>SFE</v>
      </c>
      <c r="C7407" s="120" t="str">
        <f>IFERROR(__xludf.DUMMYFUNCTION("""COMPUTED_VALUE"""),"San Fernando")</f>
        <v>San Fernando</v>
      </c>
      <c r="D7407" s="120" t="str">
        <f>IFERROR(__xludf.DUMMYFUNCTION("""COMPUTED_VALUE"""),"Philippines")</f>
        <v>Philippines</v>
      </c>
      <c r="E7407" s="135"/>
      <c r="F7407" s="31"/>
    </row>
    <row r="7408">
      <c r="A7408" s="134" t="str">
        <f>IFERROR(__xludf.DUMMYFUNCTION("""COMPUTED_VALUE"""),"San Fernando De Apure")</f>
        <v>San Fernando De Apure</v>
      </c>
      <c r="B7408" s="120" t="str">
        <f>IFERROR(__xludf.DUMMYFUNCTION("""COMPUTED_VALUE"""),"SFD")</f>
        <v>SFD</v>
      </c>
      <c r="C7408" s="120" t="str">
        <f>IFERROR(__xludf.DUMMYFUNCTION("""COMPUTED_VALUE"""),"Las Flecheras")</f>
        <v>Las Flecheras</v>
      </c>
      <c r="D7408" s="120" t="str">
        <f>IFERROR(__xludf.DUMMYFUNCTION("""COMPUTED_VALUE"""),"Venezuela")</f>
        <v>Venezuela</v>
      </c>
      <c r="E7408" s="135"/>
      <c r="F7408" s="31"/>
    </row>
    <row r="7409">
      <c r="A7409" s="134" t="str">
        <f>IFERROR(__xludf.DUMMYFUNCTION("""COMPUTED_VALUE"""),"San Francisco")</f>
        <v>San Francisco</v>
      </c>
      <c r="B7409" s="120" t="str">
        <f>IFERROR(__xludf.DUMMYFUNCTION("""COMPUTED_VALUE"""),"JCC")</f>
        <v>JCC</v>
      </c>
      <c r="C7409" s="120" t="str">
        <f>IFERROR(__xludf.DUMMYFUNCTION("""COMPUTED_VALUE"""),"China Basin Heliport")</f>
        <v>China Basin Heliport</v>
      </c>
      <c r="D7409" s="120" t="str">
        <f>IFERROR(__xludf.DUMMYFUNCTION("""COMPUTED_VALUE"""),"United States")</f>
        <v>United States</v>
      </c>
      <c r="E7409" s="135"/>
      <c r="F7409" s="31"/>
    </row>
    <row r="7410">
      <c r="A7410" s="134" t="str">
        <f>IFERROR(__xludf.DUMMYFUNCTION("""COMPUTED_VALUE"""),"San Francisco")</f>
        <v>San Francisco</v>
      </c>
      <c r="B7410" s="120" t="str">
        <f>IFERROR(__xludf.DUMMYFUNCTION("""COMPUTED_VALUE"""),"EMB")</f>
        <v>EMB</v>
      </c>
      <c r="C7410" s="120" t="str">
        <f>IFERROR(__xludf.DUMMYFUNCTION("""COMPUTED_VALUE"""),"Embarkadero")</f>
        <v>Embarkadero</v>
      </c>
      <c r="D7410" s="120" t="str">
        <f>IFERROR(__xludf.DUMMYFUNCTION("""COMPUTED_VALUE"""),"United States")</f>
        <v>United States</v>
      </c>
      <c r="E7410" s="135"/>
      <c r="F7410" s="31"/>
    </row>
    <row r="7411">
      <c r="A7411" s="134" t="str">
        <f>IFERROR(__xludf.DUMMYFUNCTION("""COMPUTED_VALUE"""),"San Francisco")</f>
        <v>San Francisco</v>
      </c>
      <c r="B7411" s="120" t="str">
        <f>IFERROR(__xludf.DUMMYFUNCTION("""COMPUTED_VALUE"""),"SFO")</f>
        <v>SFO</v>
      </c>
      <c r="C7411" s="120" t="str">
        <f>IFERROR(__xludf.DUMMYFUNCTION("""COMPUTED_VALUE"""),"San Francisco International")</f>
        <v>San Francisco International</v>
      </c>
      <c r="D7411" s="120" t="str">
        <f>IFERROR(__xludf.DUMMYFUNCTION("""COMPUTED_VALUE"""),"United States")</f>
        <v>United States</v>
      </c>
      <c r="E7411" s="135"/>
      <c r="F7411" s="31"/>
    </row>
    <row r="7412">
      <c r="A7412" s="134" t="str">
        <f>IFERROR(__xludf.DUMMYFUNCTION("""COMPUTED_VALUE"""),"San Giovanni Rotondo")</f>
        <v>San Giovanni Rotondo</v>
      </c>
      <c r="B7412" s="120" t="str">
        <f>IFERROR(__xludf.DUMMYFUNCTION("""COMPUTED_VALUE"""),"GBN")</f>
        <v>GBN</v>
      </c>
      <c r="C7412" s="120" t="str">
        <f>IFERROR(__xludf.DUMMYFUNCTION("""COMPUTED_VALUE"""),"San Giovanni Rotondo")</f>
        <v>San Giovanni Rotondo</v>
      </c>
      <c r="D7412" s="120" t="str">
        <f>IFERROR(__xludf.DUMMYFUNCTION("""COMPUTED_VALUE"""),"Italy")</f>
        <v>Italy</v>
      </c>
      <c r="E7412" s="135"/>
      <c r="F7412" s="31"/>
    </row>
    <row r="7413">
      <c r="A7413" s="134" t="str">
        <f>IFERROR(__xludf.DUMMYFUNCTION("""COMPUTED_VALUE"""),"San Ignacio")</f>
        <v>San Ignacio</v>
      </c>
      <c r="B7413" s="120" t="str">
        <f>IFERROR(__xludf.DUMMYFUNCTION("""COMPUTED_VALUE"""),"SQS")</f>
        <v>SQS</v>
      </c>
      <c r="C7413" s="120" t="str">
        <f>IFERROR(__xludf.DUMMYFUNCTION("""COMPUTED_VALUE"""),"Matthew Spain")</f>
        <v>Matthew Spain</v>
      </c>
      <c r="D7413" s="120" t="str">
        <f>IFERROR(__xludf.DUMMYFUNCTION("""COMPUTED_VALUE"""),"Belize")</f>
        <v>Belize</v>
      </c>
      <c r="E7413" s="135"/>
      <c r="F7413" s="31"/>
    </row>
    <row r="7414">
      <c r="A7414" s="134" t="str">
        <f>IFERROR(__xludf.DUMMYFUNCTION("""COMPUTED_VALUE"""),"San Ignacio")</f>
        <v>San Ignacio</v>
      </c>
      <c r="B7414" s="120" t="str">
        <f>IFERROR(__xludf.DUMMYFUNCTION("""COMPUTED_VALUE"""),"SGM")</f>
        <v>SGM</v>
      </c>
      <c r="C7414" s="120" t="str">
        <f>IFERROR(__xludf.DUMMYFUNCTION("""COMPUTED_VALUE"""),"San Ignacio")</f>
        <v>San Ignacio</v>
      </c>
      <c r="D7414" s="120" t="str">
        <f>IFERROR(__xludf.DUMMYFUNCTION("""COMPUTED_VALUE"""),"Mexico")</f>
        <v>Mexico</v>
      </c>
      <c r="E7414" s="135"/>
      <c r="F7414" s="31"/>
    </row>
    <row r="7415">
      <c r="A7415" s="134" t="str">
        <f>IFERROR(__xludf.DUMMYFUNCTION("""COMPUTED_VALUE"""),"San Ignacio De M")</f>
        <v>San Ignacio De M</v>
      </c>
      <c r="B7415" s="120" t="str">
        <f>IFERROR(__xludf.DUMMYFUNCTION("""COMPUTED_VALUE"""),"SNM")</f>
        <v>SNM</v>
      </c>
      <c r="C7415" s="120" t="str">
        <f>IFERROR(__xludf.DUMMYFUNCTION("""COMPUTED_VALUE"""),"San Ignacio De M")</f>
        <v>San Ignacio De M</v>
      </c>
      <c r="D7415" s="120" t="str">
        <f>IFERROR(__xludf.DUMMYFUNCTION("""COMPUTED_VALUE"""),"Bolivia")</f>
        <v>Bolivia</v>
      </c>
      <c r="E7415" s="135"/>
      <c r="F7415" s="31"/>
    </row>
    <row r="7416">
      <c r="A7416" s="134" t="str">
        <f>IFERROR(__xludf.DUMMYFUNCTION("""COMPUTED_VALUE"""),"San Ignacio De Velasco")</f>
        <v>San Ignacio De Velasco</v>
      </c>
      <c r="B7416" s="120" t="str">
        <f>IFERROR(__xludf.DUMMYFUNCTION("""COMPUTED_VALUE"""),"SNG")</f>
        <v>SNG</v>
      </c>
      <c r="C7416" s="120" t="str">
        <f>IFERROR(__xludf.DUMMYFUNCTION("""COMPUTED_VALUE"""),"San Ignacio De Velasco")</f>
        <v>San Ignacio De Velasco</v>
      </c>
      <c r="D7416" s="120" t="str">
        <f>IFERROR(__xludf.DUMMYFUNCTION("""COMPUTED_VALUE"""),"Bolivia")</f>
        <v>Bolivia</v>
      </c>
      <c r="E7416" s="135"/>
      <c r="F7416" s="31"/>
    </row>
    <row r="7417">
      <c r="A7417" s="134" t="str">
        <f>IFERROR(__xludf.DUMMYFUNCTION("""COMPUTED_VALUE"""),"San Javier")</f>
        <v>San Javier</v>
      </c>
      <c r="B7417" s="120" t="str">
        <f>IFERROR(__xludf.DUMMYFUNCTION("""COMPUTED_VALUE"""),"SJV")</f>
        <v>SJV</v>
      </c>
      <c r="C7417" s="120" t="str">
        <f>IFERROR(__xludf.DUMMYFUNCTION("""COMPUTED_VALUE"""),"San Javier")</f>
        <v>San Javier</v>
      </c>
      <c r="D7417" s="120" t="str">
        <f>IFERROR(__xludf.DUMMYFUNCTION("""COMPUTED_VALUE"""),"Bolivia")</f>
        <v>Bolivia</v>
      </c>
      <c r="E7417" s="135"/>
      <c r="F7417" s="31"/>
    </row>
    <row r="7418">
      <c r="A7418" s="134" t="str">
        <f>IFERROR(__xludf.DUMMYFUNCTION("""COMPUTED_VALUE"""),"San Joaquin")</f>
        <v>San Joaquin</v>
      </c>
      <c r="B7418" s="120" t="str">
        <f>IFERROR(__xludf.DUMMYFUNCTION("""COMPUTED_VALUE"""),"SJB")</f>
        <v>SJB</v>
      </c>
      <c r="C7418" s="120" t="str">
        <f>IFERROR(__xludf.DUMMYFUNCTION("""COMPUTED_VALUE"""),"San Joaquin")</f>
        <v>San Joaquin</v>
      </c>
      <c r="D7418" s="120" t="str">
        <f>IFERROR(__xludf.DUMMYFUNCTION("""COMPUTED_VALUE"""),"Bolivia")</f>
        <v>Bolivia</v>
      </c>
      <c r="E7418" s="135"/>
      <c r="F7418" s="31"/>
    </row>
    <row r="7419">
      <c r="A7419" s="134" t="str">
        <f>IFERROR(__xludf.DUMMYFUNCTION("""COMPUTED_VALUE"""),"San Jose")</f>
        <v>San Jose</v>
      </c>
      <c r="B7419" s="120" t="str">
        <f>IFERROR(__xludf.DUMMYFUNCTION("""COMPUTED_VALUE"""),"SJS")</f>
        <v>SJS</v>
      </c>
      <c r="C7419" s="120" t="str">
        <f>IFERROR(__xludf.DUMMYFUNCTION("""COMPUTED_VALUE"""),"San Jose")</f>
        <v>San Jose</v>
      </c>
      <c r="D7419" s="120" t="str">
        <f>IFERROR(__xludf.DUMMYFUNCTION("""COMPUTED_VALUE"""),"Bolivia")</f>
        <v>Bolivia</v>
      </c>
      <c r="E7419" s="135"/>
      <c r="F7419" s="31"/>
    </row>
    <row r="7420">
      <c r="A7420" s="134" t="str">
        <f>IFERROR(__xludf.DUMMYFUNCTION("""COMPUTED_VALUE"""),"San Jose")</f>
        <v>San Jose</v>
      </c>
      <c r="B7420" s="120" t="str">
        <f>IFERROR(__xludf.DUMMYFUNCTION("""COMPUTED_VALUE"""),"SJC")</f>
        <v>SJC</v>
      </c>
      <c r="C7420" s="120" t="str">
        <f>IFERROR(__xludf.DUMMYFUNCTION("""COMPUTED_VALUE"""),"Mineta San Jose International Airport")</f>
        <v>Mineta San Jose International Airport</v>
      </c>
      <c r="D7420" s="120" t="str">
        <f>IFERROR(__xludf.DUMMYFUNCTION("""COMPUTED_VALUE"""),"United States")</f>
        <v>United States</v>
      </c>
      <c r="E7420" s="135"/>
      <c r="F7420" s="31"/>
    </row>
    <row r="7421">
      <c r="A7421" s="134" t="str">
        <f>IFERROR(__xludf.DUMMYFUNCTION("""COMPUTED_VALUE"""),"San Jose")</f>
        <v>San Jose</v>
      </c>
      <c r="B7421" s="120" t="str">
        <f>IFERROR(__xludf.DUMMYFUNCTION("""COMPUTED_VALUE"""),"RHV")</f>
        <v>RHV</v>
      </c>
      <c r="C7421" s="120" t="str">
        <f>IFERROR(__xludf.DUMMYFUNCTION("""COMPUTED_VALUE"""),"Reid-Hillview")</f>
        <v>Reid-Hillview</v>
      </c>
      <c r="D7421" s="120" t="str">
        <f>IFERROR(__xludf.DUMMYFUNCTION("""COMPUTED_VALUE"""),"United States")</f>
        <v>United States</v>
      </c>
      <c r="E7421" s="135"/>
      <c r="F7421" s="31"/>
    </row>
    <row r="7422">
      <c r="A7422" s="134" t="str">
        <f>IFERROR(__xludf.DUMMYFUNCTION("""COMPUTED_VALUE"""),"San Jose")</f>
        <v>San Jose</v>
      </c>
      <c r="B7422" s="120" t="str">
        <f>IFERROR(__xludf.DUMMYFUNCTION("""COMPUTED_VALUE"""),"SJO")</f>
        <v>SJO</v>
      </c>
      <c r="C7422" s="120" t="str">
        <f>IFERROR(__xludf.DUMMYFUNCTION("""COMPUTED_VALUE"""),"Juan Santamaria Intl")</f>
        <v>Juan Santamaria Intl</v>
      </c>
      <c r="D7422" s="120" t="str">
        <f>IFERROR(__xludf.DUMMYFUNCTION("""COMPUTED_VALUE"""),"Costa Rica")</f>
        <v>Costa Rica</v>
      </c>
      <c r="E7422" s="135"/>
      <c r="F7422" s="31"/>
    </row>
    <row r="7423">
      <c r="A7423" s="134" t="str">
        <f>IFERROR(__xludf.DUMMYFUNCTION("""COMPUTED_VALUE"""),"San Jose")</f>
        <v>San Jose</v>
      </c>
      <c r="B7423" s="120" t="str">
        <f>IFERROR(__xludf.DUMMYFUNCTION("""COMPUTED_VALUE"""),"SJI")</f>
        <v>SJI</v>
      </c>
      <c r="C7423" s="120" t="str">
        <f>IFERROR(__xludf.DUMMYFUNCTION("""COMPUTED_VALUE"""),"Mcguire Fld")</f>
        <v>Mcguire Fld</v>
      </c>
      <c r="D7423" s="120" t="str">
        <f>IFERROR(__xludf.DUMMYFUNCTION("""COMPUTED_VALUE"""),"Philippines")</f>
        <v>Philippines</v>
      </c>
      <c r="E7423" s="135"/>
      <c r="F7423" s="31"/>
    </row>
    <row r="7424">
      <c r="A7424" s="134" t="str">
        <f>IFERROR(__xludf.DUMMYFUNCTION("""COMPUTED_VALUE"""),"San Jose Cabo")</f>
        <v>San Jose Cabo</v>
      </c>
      <c r="B7424" s="120" t="str">
        <f>IFERROR(__xludf.DUMMYFUNCTION("""COMPUTED_VALUE"""),"SJD")</f>
        <v>SJD</v>
      </c>
      <c r="C7424" s="120" t="str">
        <f>IFERROR(__xludf.DUMMYFUNCTION("""COMPUTED_VALUE"""),"Los Cabos")</f>
        <v>Los Cabos</v>
      </c>
      <c r="D7424" s="120" t="str">
        <f>IFERROR(__xludf.DUMMYFUNCTION("""COMPUTED_VALUE"""),"Mexico")</f>
        <v>Mexico</v>
      </c>
      <c r="E7424" s="135"/>
      <c r="F7424" s="31"/>
    </row>
    <row r="7425">
      <c r="A7425" s="134" t="str">
        <f>IFERROR(__xludf.DUMMYFUNCTION("""COMPUTED_VALUE"""),"San Jose Del Gua")</f>
        <v>San Jose Del Gua</v>
      </c>
      <c r="B7425" s="120" t="str">
        <f>IFERROR(__xludf.DUMMYFUNCTION("""COMPUTED_VALUE"""),"SJE")</f>
        <v>SJE</v>
      </c>
      <c r="C7425" s="120" t="str">
        <f>IFERROR(__xludf.DUMMYFUNCTION("""COMPUTED_VALUE"""),"San Jose Del Gua")</f>
        <v>San Jose Del Gua</v>
      </c>
      <c r="D7425" s="120" t="str">
        <f>IFERROR(__xludf.DUMMYFUNCTION("""COMPUTED_VALUE"""),"Colombia")</f>
        <v>Colombia</v>
      </c>
      <c r="E7425" s="135"/>
      <c r="F7425" s="31"/>
    </row>
    <row r="7426">
      <c r="A7426" s="134" t="str">
        <f>IFERROR(__xludf.DUMMYFUNCTION("""COMPUTED_VALUE"""),"San Juan")</f>
        <v>San Juan</v>
      </c>
      <c r="B7426" s="120" t="str">
        <f>IFERROR(__xludf.DUMMYFUNCTION("""COMPUTED_VALUE"""),"WSJ")</f>
        <v>WSJ</v>
      </c>
      <c r="C7426" s="120" t="str">
        <f>IFERROR(__xludf.DUMMYFUNCTION("""COMPUTED_VALUE"""),"San Juan SPB")</f>
        <v>San Juan SPB</v>
      </c>
      <c r="D7426" s="120" t="str">
        <f>IFERROR(__xludf.DUMMYFUNCTION("""COMPUTED_VALUE"""),"United States")</f>
        <v>United States</v>
      </c>
      <c r="E7426" s="135"/>
      <c r="F7426" s="31"/>
    </row>
    <row r="7427">
      <c r="A7427" s="134" t="str">
        <f>IFERROR(__xludf.DUMMYFUNCTION("""COMPUTED_VALUE"""),"San Juan")</f>
        <v>San Juan</v>
      </c>
      <c r="B7427" s="120" t="str">
        <f>IFERROR(__xludf.DUMMYFUNCTION("""COMPUTED_VALUE"""),"SJM")</f>
        <v>SJM</v>
      </c>
      <c r="C7427" s="120" t="str">
        <f>IFERROR(__xludf.DUMMYFUNCTION("""COMPUTED_VALUE"""),"San Juan")</f>
        <v>San Juan</v>
      </c>
      <c r="D7427" s="120" t="str">
        <f>IFERROR(__xludf.DUMMYFUNCTION("""COMPUTED_VALUE"""),"Dominican Republic")</f>
        <v>Dominican Republic</v>
      </c>
      <c r="E7427" s="135"/>
      <c r="F7427" s="31"/>
    </row>
    <row r="7428">
      <c r="A7428" s="134" t="str">
        <f>IFERROR(__xludf.DUMMYFUNCTION("""COMPUTED_VALUE"""),"San Juan")</f>
        <v>San Juan</v>
      </c>
      <c r="B7428" s="120" t="str">
        <f>IFERROR(__xludf.DUMMYFUNCTION("""COMPUTED_VALUE"""),"SJA")</f>
        <v>SJA</v>
      </c>
      <c r="C7428" s="120" t="str">
        <f>IFERROR(__xludf.DUMMYFUNCTION("""COMPUTED_VALUE"""),"San Juan")</f>
        <v>San Juan</v>
      </c>
      <c r="D7428" s="120" t="str">
        <f>IFERROR(__xludf.DUMMYFUNCTION("""COMPUTED_VALUE"""),"Peru")</f>
        <v>Peru</v>
      </c>
      <c r="E7428" s="135"/>
      <c r="F7428" s="31"/>
    </row>
    <row r="7429">
      <c r="A7429" s="134" t="str">
        <f>IFERROR(__xludf.DUMMYFUNCTION("""COMPUTED_VALUE"""),"San Juan")</f>
        <v>San Juan</v>
      </c>
      <c r="B7429" s="120" t="str">
        <f>IFERROR(__xludf.DUMMYFUNCTION("""COMPUTED_VALUE"""),"SIG")</f>
        <v>SIG</v>
      </c>
      <c r="C7429" s="120" t="str">
        <f>IFERROR(__xludf.DUMMYFUNCTION("""COMPUTED_VALUE"""),"Isla Grande")</f>
        <v>Isla Grande</v>
      </c>
      <c r="D7429" s="120" t="str">
        <f>IFERROR(__xludf.DUMMYFUNCTION("""COMPUTED_VALUE"""),"Puerto Rico")</f>
        <v>Puerto Rico</v>
      </c>
      <c r="E7429" s="135"/>
      <c r="F7429" s="31"/>
    </row>
    <row r="7430">
      <c r="A7430" s="134" t="str">
        <f>IFERROR(__xludf.DUMMYFUNCTION("""COMPUTED_VALUE"""),"San Juan")</f>
        <v>San Juan</v>
      </c>
      <c r="B7430" s="120" t="str">
        <f>IFERROR(__xludf.DUMMYFUNCTION("""COMPUTED_VALUE"""),"SJU")</f>
        <v>SJU</v>
      </c>
      <c r="C7430" s="120" t="str">
        <f>IFERROR(__xludf.DUMMYFUNCTION("""COMPUTED_VALUE"""),"Luis Munoz Marin Intl")</f>
        <v>Luis Munoz Marin Intl</v>
      </c>
      <c r="D7430" s="120" t="str">
        <f>IFERROR(__xludf.DUMMYFUNCTION("""COMPUTED_VALUE"""),"Puerto Rico")</f>
        <v>Puerto Rico</v>
      </c>
      <c r="E7430" s="135"/>
      <c r="F7430" s="31"/>
    </row>
    <row r="7431">
      <c r="A7431" s="134" t="str">
        <f>IFERROR(__xludf.DUMMYFUNCTION("""COMPUTED_VALUE"""),"San Juan")</f>
        <v>San Juan</v>
      </c>
      <c r="B7431" s="120" t="str">
        <f>IFERROR(__xludf.DUMMYFUNCTION("""COMPUTED_VALUE"""),"UAQ")</f>
        <v>UAQ</v>
      </c>
      <c r="C7431" s="120" t="str">
        <f>IFERROR(__xludf.DUMMYFUNCTION("""COMPUTED_VALUE"""),"San Juan")</f>
        <v>San Juan</v>
      </c>
      <c r="D7431" s="120" t="str">
        <f>IFERROR(__xludf.DUMMYFUNCTION("""COMPUTED_VALUE"""),"Argentina")</f>
        <v>Argentina</v>
      </c>
      <c r="E7431" s="135"/>
      <c r="F7431" s="31"/>
    </row>
    <row r="7432">
      <c r="A7432" s="134" t="str">
        <f>IFERROR(__xludf.DUMMYFUNCTION("""COMPUTED_VALUE"""),"San Juan Aposento")</f>
        <v>San Juan Aposento</v>
      </c>
      <c r="B7432" s="120" t="str">
        <f>IFERROR(__xludf.DUMMYFUNCTION("""COMPUTED_VALUE"""),"APE")</f>
        <v>APE</v>
      </c>
      <c r="C7432" s="120" t="str">
        <f>IFERROR(__xludf.DUMMYFUNCTION("""COMPUTED_VALUE"""),"San Juan Aposento")</f>
        <v>San Juan Aposento</v>
      </c>
      <c r="D7432" s="120" t="str">
        <f>IFERROR(__xludf.DUMMYFUNCTION("""COMPUTED_VALUE"""),"Peru")</f>
        <v>Peru</v>
      </c>
      <c r="E7432" s="135"/>
      <c r="F7432" s="31"/>
    </row>
    <row r="7433">
      <c r="A7433" s="134" t="str">
        <f>IFERROR(__xludf.DUMMYFUNCTION("""COMPUTED_VALUE"""),"San Juan D Ur")</f>
        <v>San Juan D Ur</v>
      </c>
      <c r="B7433" s="120" t="str">
        <f>IFERROR(__xludf.DUMMYFUNCTION("""COMPUTED_VALUE"""),"SJR")</f>
        <v>SJR</v>
      </c>
      <c r="C7433" s="120" t="str">
        <f>IFERROR(__xludf.DUMMYFUNCTION("""COMPUTED_VALUE"""),"San Juan D Ur")</f>
        <v>San Juan D Ur</v>
      </c>
      <c r="D7433" s="120" t="str">
        <f>IFERROR(__xludf.DUMMYFUNCTION("""COMPUTED_VALUE"""),"Colombia")</f>
        <v>Colombia</v>
      </c>
      <c r="E7433" s="135"/>
      <c r="F7433" s="31"/>
    </row>
    <row r="7434">
      <c r="A7434" s="134" t="str">
        <f>IFERROR(__xludf.DUMMYFUNCTION("""COMPUTED_VALUE"""),"San Juan Del Cesar")</f>
        <v>San Juan Del Cesar</v>
      </c>
      <c r="B7434" s="120" t="str">
        <f>IFERROR(__xludf.DUMMYFUNCTION("""COMPUTED_VALUE"""),"SJH")</f>
        <v>SJH</v>
      </c>
      <c r="C7434" s="120" t="str">
        <f>IFERROR(__xludf.DUMMYFUNCTION("""COMPUTED_VALUE"""),"San Juan Del Cesar")</f>
        <v>San Juan Del Cesar</v>
      </c>
      <c r="D7434" s="120" t="str">
        <f>IFERROR(__xludf.DUMMYFUNCTION("""COMPUTED_VALUE"""),"Colombia")</f>
        <v>Colombia</v>
      </c>
      <c r="E7434" s="135"/>
      <c r="F7434" s="31"/>
    </row>
    <row r="7435">
      <c r="A7435" s="134" t="str">
        <f>IFERROR(__xludf.DUMMYFUNCTION("""COMPUTED_VALUE"""),"San Julian")</f>
        <v>San Julian</v>
      </c>
      <c r="B7435" s="120" t="str">
        <f>IFERROR(__xludf.DUMMYFUNCTION("""COMPUTED_VALUE"""),"SNJ")</f>
        <v>SNJ</v>
      </c>
      <c r="C7435" s="120" t="str">
        <f>IFERROR(__xludf.DUMMYFUNCTION("""COMPUTED_VALUE"""),"San Julian")</f>
        <v>San Julian</v>
      </c>
      <c r="D7435" s="120" t="str">
        <f>IFERROR(__xludf.DUMMYFUNCTION("""COMPUTED_VALUE"""),"Cuba")</f>
        <v>Cuba</v>
      </c>
      <c r="E7435" s="135"/>
      <c r="F7435" s="31"/>
    </row>
    <row r="7436">
      <c r="A7436" s="134" t="str">
        <f>IFERROR(__xludf.DUMMYFUNCTION("""COMPUTED_VALUE"""),"San Julian")</f>
        <v>San Julian</v>
      </c>
      <c r="B7436" s="120" t="str">
        <f>IFERROR(__xludf.DUMMYFUNCTION("""COMPUTED_VALUE"""),"ULA")</f>
        <v>ULA</v>
      </c>
      <c r="C7436" s="120" t="str">
        <f>IFERROR(__xludf.DUMMYFUNCTION("""COMPUTED_VALUE"""),"San Julian")</f>
        <v>San Julian</v>
      </c>
      <c r="D7436" s="120" t="str">
        <f>IFERROR(__xludf.DUMMYFUNCTION("""COMPUTED_VALUE"""),"Argentina")</f>
        <v>Argentina</v>
      </c>
      <c r="E7436" s="135"/>
      <c r="F7436" s="31"/>
    </row>
    <row r="7437">
      <c r="A7437" s="134" t="str">
        <f>IFERROR(__xludf.DUMMYFUNCTION("""COMPUTED_VALUE"""),"San Luis")</f>
        <v>San Luis</v>
      </c>
      <c r="B7437" s="120" t="str">
        <f>IFERROR(__xludf.DUMMYFUNCTION("""COMPUTED_VALUE"""),"LUQ")</f>
        <v>LUQ</v>
      </c>
      <c r="C7437" s="120" t="str">
        <f>IFERROR(__xludf.DUMMYFUNCTION("""COMPUTED_VALUE"""),"San Luis")</f>
        <v>San Luis</v>
      </c>
      <c r="D7437" s="120" t="str">
        <f>IFERROR(__xludf.DUMMYFUNCTION("""COMPUTED_VALUE"""),"Argentina")</f>
        <v>Argentina</v>
      </c>
      <c r="E7437" s="135"/>
      <c r="F7437" s="31"/>
    </row>
    <row r="7438">
      <c r="A7438" s="134" t="str">
        <f>IFERROR(__xludf.DUMMYFUNCTION("""COMPUTED_VALUE"""),"San Luis De Pale")</f>
        <v>San Luis De Pale</v>
      </c>
      <c r="B7438" s="120" t="str">
        <f>IFERROR(__xludf.DUMMYFUNCTION("""COMPUTED_VALUE"""),"SQE")</f>
        <v>SQE</v>
      </c>
      <c r="C7438" s="120" t="str">
        <f>IFERROR(__xludf.DUMMYFUNCTION("""COMPUTED_VALUE"""),"San Luis De Pale")</f>
        <v>San Luis De Pale</v>
      </c>
      <c r="D7438" s="120" t="str">
        <f>IFERROR(__xludf.DUMMYFUNCTION("""COMPUTED_VALUE"""),"Colombia")</f>
        <v>Colombia</v>
      </c>
      <c r="E7438" s="135"/>
      <c r="F7438" s="31"/>
    </row>
    <row r="7439">
      <c r="A7439" s="134" t="str">
        <f>IFERROR(__xludf.DUMMYFUNCTION("""COMPUTED_VALUE"""),"San Luis Obispo")</f>
        <v>San Luis Obispo</v>
      </c>
      <c r="B7439" s="120" t="str">
        <f>IFERROR(__xludf.DUMMYFUNCTION("""COMPUTED_VALUE"""),"SBP")</f>
        <v>SBP</v>
      </c>
      <c r="C7439" s="120" t="str">
        <f>IFERROR(__xludf.DUMMYFUNCTION("""COMPUTED_VALUE"""),"County Airport")</f>
        <v>County Airport</v>
      </c>
      <c r="D7439" s="120" t="str">
        <f>IFERROR(__xludf.DUMMYFUNCTION("""COMPUTED_VALUE"""),"United States")</f>
        <v>United States</v>
      </c>
      <c r="E7439" s="135"/>
      <c r="F7439" s="31"/>
    </row>
    <row r="7440">
      <c r="A7440" s="134" t="str">
        <f>IFERROR(__xludf.DUMMYFUNCTION("""COMPUTED_VALUE"""),"San Luis Potosi")</f>
        <v>San Luis Potosi</v>
      </c>
      <c r="B7440" s="120" t="str">
        <f>IFERROR(__xludf.DUMMYFUNCTION("""COMPUTED_VALUE"""),"SLP")</f>
        <v>SLP</v>
      </c>
      <c r="C7440" s="120" t="str">
        <f>IFERROR(__xludf.DUMMYFUNCTION("""COMPUTED_VALUE"""),"San Luis Potosi")</f>
        <v>San Luis Potosi</v>
      </c>
      <c r="D7440" s="120" t="str">
        <f>IFERROR(__xludf.DUMMYFUNCTION("""COMPUTED_VALUE"""),"Mexico")</f>
        <v>Mexico</v>
      </c>
      <c r="E7440" s="135"/>
      <c r="F7440" s="31"/>
    </row>
    <row r="7441">
      <c r="A7441" s="134" t="str">
        <f>IFERROR(__xludf.DUMMYFUNCTION("""COMPUTED_VALUE"""),"San Luis Rio Colorado")</f>
        <v>San Luis Rio Colorado</v>
      </c>
      <c r="B7441" s="120" t="str">
        <f>IFERROR(__xludf.DUMMYFUNCTION("""COMPUTED_VALUE"""),"UAC")</f>
        <v>UAC</v>
      </c>
      <c r="C7441" s="120" t="str">
        <f>IFERROR(__xludf.DUMMYFUNCTION("""COMPUTED_VALUE"""),"San Luis Rio Colorado")</f>
        <v>San Luis Rio Colorado</v>
      </c>
      <c r="D7441" s="120" t="str">
        <f>IFERROR(__xludf.DUMMYFUNCTION("""COMPUTED_VALUE"""),"Mexico")</f>
        <v>Mexico</v>
      </c>
      <c r="E7441" s="135"/>
      <c r="F7441" s="31"/>
    </row>
    <row r="7442">
      <c r="A7442" s="134" t="str">
        <f>IFERROR(__xludf.DUMMYFUNCTION("""COMPUTED_VALUE"""),"San Marcos")</f>
        <v>San Marcos</v>
      </c>
      <c r="B7442" s="120" t="str">
        <f>IFERROR(__xludf.DUMMYFUNCTION("""COMPUTED_VALUE"""),"SRS")</f>
        <v>SRS</v>
      </c>
      <c r="C7442" s="120" t="str">
        <f>IFERROR(__xludf.DUMMYFUNCTION("""COMPUTED_VALUE"""),"Santa Fe De Bogota")</f>
        <v>Santa Fe De Bogota</v>
      </c>
      <c r="D7442" s="120" t="str">
        <f>IFERROR(__xludf.DUMMYFUNCTION("""COMPUTED_VALUE"""),"Colombia")</f>
        <v>Colombia</v>
      </c>
      <c r="E7442" s="135"/>
      <c r="F7442" s="31"/>
    </row>
    <row r="7443">
      <c r="A7443" s="134" t="str">
        <f>IFERROR(__xludf.DUMMYFUNCTION("""COMPUTED_VALUE"""),"San Marino")</f>
        <v>San Marino</v>
      </c>
      <c r="B7443" s="120" t="str">
        <f>IFERROR(__xludf.DUMMYFUNCTION("""COMPUTED_VALUE"""),"SAI")</f>
        <v>SAI</v>
      </c>
      <c r="C7443" s="120" t="str">
        <f>IFERROR(__xludf.DUMMYFUNCTION("""COMPUTED_VALUE"""),"San Marino")</f>
        <v>San Marino</v>
      </c>
      <c r="D7443" s="120"/>
      <c r="E7443" s="135"/>
      <c r="F7443" s="31"/>
    </row>
    <row r="7444">
      <c r="A7444" s="134" t="str">
        <f>IFERROR(__xludf.DUMMYFUNCTION("""COMPUTED_VALUE"""),"San Martin DeLos Andes")</f>
        <v>San Martin DeLos Andes</v>
      </c>
      <c r="B7444" s="120" t="str">
        <f>IFERROR(__xludf.DUMMYFUNCTION("""COMPUTED_VALUE"""),"CPC")</f>
        <v>CPC</v>
      </c>
      <c r="C7444" s="120" t="str">
        <f>IFERROR(__xludf.DUMMYFUNCTION("""COMPUTED_VALUE"""),"Chapelco")</f>
        <v>Chapelco</v>
      </c>
      <c r="D7444" s="120" t="str">
        <f>IFERROR(__xludf.DUMMYFUNCTION("""COMPUTED_VALUE"""),"Argentina")</f>
        <v>Argentina</v>
      </c>
      <c r="E7444" s="135"/>
      <c r="F7444" s="31"/>
    </row>
    <row r="7445">
      <c r="A7445" s="134" t="str">
        <f>IFERROR(__xludf.DUMMYFUNCTION("""COMPUTED_VALUE"""),"San Matias")</f>
        <v>San Matias</v>
      </c>
      <c r="B7445" s="120" t="str">
        <f>IFERROR(__xludf.DUMMYFUNCTION("""COMPUTED_VALUE"""),"MQK")</f>
        <v>MQK</v>
      </c>
      <c r="C7445" s="120" t="str">
        <f>IFERROR(__xludf.DUMMYFUNCTION("""COMPUTED_VALUE"""),"San Matias")</f>
        <v>San Matias</v>
      </c>
      <c r="D7445" s="120" t="str">
        <f>IFERROR(__xludf.DUMMYFUNCTION("""COMPUTED_VALUE"""),"Bolivia")</f>
        <v>Bolivia</v>
      </c>
      <c r="E7445" s="135"/>
      <c r="F7445" s="31"/>
    </row>
    <row r="7446">
      <c r="A7446" s="134" t="str">
        <f>IFERROR(__xludf.DUMMYFUNCTION("""COMPUTED_VALUE"""),"San Miguel")</f>
        <v>San Miguel</v>
      </c>
      <c r="B7446" s="120" t="str">
        <f>IFERROR(__xludf.DUMMYFUNCTION("""COMPUTED_VALUE"""),"SYL")</f>
        <v>SYL</v>
      </c>
      <c r="C7446" s="120" t="str">
        <f>IFERROR(__xludf.DUMMYFUNCTION("""COMPUTED_VALUE"""),"Roberts AAF")</f>
        <v>Roberts AAF</v>
      </c>
      <c r="D7446" s="120" t="str">
        <f>IFERROR(__xludf.DUMMYFUNCTION("""COMPUTED_VALUE"""),"United States")</f>
        <v>United States</v>
      </c>
      <c r="E7446" s="135"/>
      <c r="F7446" s="31"/>
    </row>
    <row r="7447">
      <c r="A7447" s="134" t="str">
        <f>IFERROR(__xludf.DUMMYFUNCTION("""COMPUTED_VALUE"""),"San Miguel")</f>
        <v>San Miguel</v>
      </c>
      <c r="B7447" s="120" t="str">
        <f>IFERROR(__xludf.DUMMYFUNCTION("""COMPUTED_VALUE"""),"NMG")</f>
        <v>NMG</v>
      </c>
      <c r="C7447" s="120" t="str">
        <f>IFERROR(__xludf.DUMMYFUNCTION("""COMPUTED_VALUE"""),"San Miguel")</f>
        <v>San Miguel</v>
      </c>
      <c r="D7447" s="120" t="str">
        <f>IFERROR(__xludf.DUMMYFUNCTION("""COMPUTED_VALUE"""),"Panama")</f>
        <v>Panama</v>
      </c>
      <c r="E7447" s="135"/>
      <c r="F7447" s="31"/>
    </row>
    <row r="7448">
      <c r="A7448" s="134" t="str">
        <f>IFERROR(__xludf.DUMMYFUNCTION("""COMPUTED_VALUE"""),"Sevilla")</f>
        <v>Sevilla</v>
      </c>
      <c r="B7448" s="120" t="str">
        <f>IFERROR(__xludf.DUMMYFUNCTION("""COMPUTED_VALUE"""),"SPO")</f>
        <v>SPO</v>
      </c>
      <c r="C7448" s="120" t="str">
        <f>IFERROR(__xludf.DUMMYFUNCTION("""COMPUTED_VALUE"""),"San Pablo")</f>
        <v>San Pablo</v>
      </c>
      <c r="D7448" s="120" t="str">
        <f>IFERROR(__xludf.DUMMYFUNCTION("""COMPUTED_VALUE"""),"Spain")</f>
        <v>Spain</v>
      </c>
      <c r="E7448" s="135"/>
      <c r="F7448" s="31"/>
    </row>
    <row r="7449">
      <c r="A7449" s="134" t="str">
        <f>IFERROR(__xludf.DUMMYFUNCTION("""COMPUTED_VALUE"""),"San Pedro")</f>
        <v>San Pedro</v>
      </c>
      <c r="B7449" s="120" t="str">
        <f>IFERROR(__xludf.DUMMYFUNCTION("""COMPUTED_VALUE"""),"SPR")</f>
        <v>SPR</v>
      </c>
      <c r="C7449" s="120" t="str">
        <f>IFERROR(__xludf.DUMMYFUNCTION("""COMPUTED_VALUE"""),"San Pedro")</f>
        <v>San Pedro</v>
      </c>
      <c r="D7449" s="120" t="str">
        <f>IFERROR(__xludf.DUMMYFUNCTION("""COMPUTED_VALUE"""),"Belize")</f>
        <v>Belize</v>
      </c>
      <c r="E7449" s="135"/>
      <c r="F7449" s="31"/>
    </row>
    <row r="7450">
      <c r="A7450" s="134" t="str">
        <f>IFERROR(__xludf.DUMMYFUNCTION("""COMPUTED_VALUE"""),"San Pedro")</f>
        <v>San Pedro</v>
      </c>
      <c r="B7450" s="120" t="str">
        <f>IFERROR(__xludf.DUMMYFUNCTION("""COMPUTED_VALUE"""),"SPQ")</f>
        <v>SPQ</v>
      </c>
      <c r="C7450" s="120" t="str">
        <f>IFERROR(__xludf.DUMMYFUNCTION("""COMPUTED_VALUE"""),"Catalina SPB")</f>
        <v>Catalina SPB</v>
      </c>
      <c r="D7450" s="120" t="str">
        <f>IFERROR(__xludf.DUMMYFUNCTION("""COMPUTED_VALUE"""),"United States")</f>
        <v>United States</v>
      </c>
      <c r="E7450" s="135"/>
      <c r="F7450" s="31"/>
    </row>
    <row r="7451">
      <c r="A7451" s="134" t="str">
        <f>IFERROR(__xludf.DUMMYFUNCTION("""COMPUTED_VALUE"""),"San Pedro")</f>
        <v>San Pedro</v>
      </c>
      <c r="B7451" s="120" t="str">
        <f>IFERROR(__xludf.DUMMYFUNCTION("""COMPUTED_VALUE"""),"SPY")</f>
        <v>SPY</v>
      </c>
      <c r="C7451" s="120" t="str">
        <f>IFERROR(__xludf.DUMMYFUNCTION("""COMPUTED_VALUE"""),"San Pedro")</f>
        <v>San Pedro</v>
      </c>
      <c r="D7451" s="120" t="str">
        <f>IFERROR(__xludf.DUMMYFUNCTION("""COMPUTED_VALUE"""),"Cote D'Ivoire (Ivory Coast)")</f>
        <v>Cote D'Ivoire (Ivory Coast)</v>
      </c>
      <c r="E7451" s="135"/>
      <c r="F7451" s="31"/>
    </row>
    <row r="7452">
      <c r="A7452" s="134" t="str">
        <f>IFERROR(__xludf.DUMMYFUNCTION("""COMPUTED_VALUE"""),"San Pedro de Alcantara")</f>
        <v>San Pedro de Alcantara</v>
      </c>
      <c r="B7452" s="120" t="str">
        <f>IFERROR(__xludf.DUMMYFUNCTION("""COMPUTED_VALUE"""),"ZRC")</f>
        <v>ZRC</v>
      </c>
      <c r="C7452" s="120" t="str">
        <f>IFERROR(__xludf.DUMMYFUNCTION("""COMPUTED_VALUE"""),"Bus Station")</f>
        <v>Bus Station</v>
      </c>
      <c r="D7452" s="120" t="str">
        <f>IFERROR(__xludf.DUMMYFUNCTION("""COMPUTED_VALUE"""),"Spain")</f>
        <v>Spain</v>
      </c>
      <c r="E7452" s="135"/>
      <c r="F7452" s="31"/>
    </row>
    <row r="7453">
      <c r="A7453" s="134" t="str">
        <f>IFERROR(__xludf.DUMMYFUNCTION("""COMPUTED_VALUE"""),"San Pedro Jagua")</f>
        <v>San Pedro Jagua</v>
      </c>
      <c r="B7453" s="120" t="str">
        <f>IFERROR(__xludf.DUMMYFUNCTION("""COMPUTED_VALUE"""),"SJG")</f>
        <v>SJG</v>
      </c>
      <c r="C7453" s="120" t="str">
        <f>IFERROR(__xludf.DUMMYFUNCTION("""COMPUTED_VALUE"""),"San Pedro Jagua")</f>
        <v>San Pedro Jagua</v>
      </c>
      <c r="D7453" s="120" t="str">
        <f>IFERROR(__xludf.DUMMYFUNCTION("""COMPUTED_VALUE"""),"Colombia")</f>
        <v>Colombia</v>
      </c>
      <c r="E7453" s="135"/>
      <c r="F7453" s="31"/>
    </row>
    <row r="7454">
      <c r="A7454" s="134" t="str">
        <f>IFERROR(__xludf.DUMMYFUNCTION("""COMPUTED_VALUE"""),"San Pedro Sula")</f>
        <v>San Pedro Sula</v>
      </c>
      <c r="B7454" s="120" t="str">
        <f>IFERROR(__xludf.DUMMYFUNCTION("""COMPUTED_VALUE"""),"SAP")</f>
        <v>SAP</v>
      </c>
      <c r="C7454" s="120" t="str">
        <f>IFERROR(__xludf.DUMMYFUNCTION("""COMPUTED_VALUE"""),"Ramon Villeda Morales")</f>
        <v>Ramon Villeda Morales</v>
      </c>
      <c r="D7454" s="120" t="str">
        <f>IFERROR(__xludf.DUMMYFUNCTION("""COMPUTED_VALUE"""),"Honduras")</f>
        <v>Honduras</v>
      </c>
      <c r="E7454" s="135"/>
      <c r="F7454" s="31"/>
    </row>
    <row r="7455">
      <c r="A7455" s="134" t="str">
        <f>IFERROR(__xludf.DUMMYFUNCTION("""COMPUTED_VALUE"""),"San Pedro Uraba")</f>
        <v>San Pedro Uraba</v>
      </c>
      <c r="B7455" s="120" t="str">
        <f>IFERROR(__xludf.DUMMYFUNCTION("""COMPUTED_VALUE"""),"NPU")</f>
        <v>NPU</v>
      </c>
      <c r="C7455" s="120" t="str">
        <f>IFERROR(__xludf.DUMMYFUNCTION("""COMPUTED_VALUE"""),"San Pedro Uraba")</f>
        <v>San Pedro Uraba</v>
      </c>
      <c r="D7455" s="120" t="str">
        <f>IFERROR(__xludf.DUMMYFUNCTION("""COMPUTED_VALUE"""),"Colombia")</f>
        <v>Colombia</v>
      </c>
      <c r="E7455" s="135"/>
      <c r="F7455" s="31"/>
    </row>
    <row r="7456">
      <c r="A7456" s="134" t="str">
        <f>IFERROR(__xludf.DUMMYFUNCTION("""COMPUTED_VALUE"""),"San Quintin")</f>
        <v>San Quintin</v>
      </c>
      <c r="B7456" s="120" t="str">
        <f>IFERROR(__xludf.DUMMYFUNCTION("""COMPUTED_VALUE"""),"SNQ")</f>
        <v>SNQ</v>
      </c>
      <c r="C7456" s="120" t="str">
        <f>IFERROR(__xludf.DUMMYFUNCTION("""COMPUTED_VALUE"""),"San Quintin")</f>
        <v>San Quintin</v>
      </c>
      <c r="D7456" s="120" t="str">
        <f>IFERROR(__xludf.DUMMYFUNCTION("""COMPUTED_VALUE"""),"Mexico")</f>
        <v>Mexico</v>
      </c>
      <c r="E7456" s="135"/>
      <c r="F7456" s="31"/>
    </row>
    <row r="7457">
      <c r="A7457" s="134" t="str">
        <f>IFERROR(__xludf.DUMMYFUNCTION("""COMPUTED_VALUE"""),"San Rafael")</f>
        <v>San Rafael</v>
      </c>
      <c r="B7457" s="120" t="str">
        <f>IFERROR(__xludf.DUMMYFUNCTION("""COMPUTED_VALUE"""),"SRF")</f>
        <v>SRF</v>
      </c>
      <c r="C7457" s="120" t="str">
        <f>IFERROR(__xludf.DUMMYFUNCTION("""COMPUTED_VALUE"""),"Hamilton Field")</f>
        <v>Hamilton Field</v>
      </c>
      <c r="D7457" s="120" t="str">
        <f>IFERROR(__xludf.DUMMYFUNCTION("""COMPUTED_VALUE"""),"United States")</f>
        <v>United States</v>
      </c>
      <c r="E7457" s="135"/>
      <c r="F7457" s="31"/>
    </row>
    <row r="7458">
      <c r="A7458" s="134" t="str">
        <f>IFERROR(__xludf.DUMMYFUNCTION("""COMPUTED_VALUE"""),"San Rafael")</f>
        <v>San Rafael</v>
      </c>
      <c r="B7458" s="120" t="str">
        <f>IFERROR(__xludf.DUMMYFUNCTION("""COMPUTED_VALUE"""),"JSG")</f>
        <v>JSG</v>
      </c>
      <c r="C7458" s="120" t="str">
        <f>IFERROR(__xludf.DUMMYFUNCTION("""COMPUTED_VALUE"""),"San Rafael H/P")</f>
        <v>San Rafael H/P</v>
      </c>
      <c r="D7458" s="120" t="str">
        <f>IFERROR(__xludf.DUMMYFUNCTION("""COMPUTED_VALUE"""),"United States")</f>
        <v>United States</v>
      </c>
      <c r="E7458" s="135"/>
      <c r="F7458" s="31"/>
    </row>
    <row r="7459">
      <c r="A7459" s="134" t="str">
        <f>IFERROR(__xludf.DUMMYFUNCTION("""COMPUTED_VALUE"""),"San Rafael")</f>
        <v>San Rafael</v>
      </c>
      <c r="B7459" s="120" t="str">
        <f>IFERROR(__xludf.DUMMYFUNCTION("""COMPUTED_VALUE"""),"AFA")</f>
        <v>AFA</v>
      </c>
      <c r="C7459" s="120" t="str">
        <f>IFERROR(__xludf.DUMMYFUNCTION("""COMPUTED_VALUE"""),"San Rafael")</f>
        <v>San Rafael</v>
      </c>
      <c r="D7459" s="120" t="str">
        <f>IFERROR(__xludf.DUMMYFUNCTION("""COMPUTED_VALUE"""),"Argentina")</f>
        <v>Argentina</v>
      </c>
      <c r="E7459" s="135"/>
      <c r="F7459" s="31"/>
    </row>
    <row r="7460">
      <c r="A7460" s="134" t="str">
        <f>IFERROR(__xludf.DUMMYFUNCTION("""COMPUTED_VALUE"""),"San Ramon")</f>
        <v>San Ramon</v>
      </c>
      <c r="B7460" s="120" t="str">
        <f>IFERROR(__xludf.DUMMYFUNCTION("""COMPUTED_VALUE"""),"SRD")</f>
        <v>SRD</v>
      </c>
      <c r="C7460" s="120" t="str">
        <f>IFERROR(__xludf.DUMMYFUNCTION("""COMPUTED_VALUE"""),"San Ramon")</f>
        <v>San Ramon</v>
      </c>
      <c r="D7460" s="120" t="str">
        <f>IFERROR(__xludf.DUMMYFUNCTION("""COMPUTED_VALUE"""),"Bolivia")</f>
        <v>Bolivia</v>
      </c>
      <c r="E7460" s="135"/>
      <c r="F7460" s="31"/>
    </row>
    <row r="7461">
      <c r="A7461" s="134" t="str">
        <f>IFERROR(__xludf.DUMMYFUNCTION("""COMPUTED_VALUE"""),"San Salvador")</f>
        <v>San Salvador</v>
      </c>
      <c r="B7461" s="120" t="str">
        <f>IFERROR(__xludf.DUMMYFUNCTION("""COMPUTED_VALUE"""),"ZSA")</f>
        <v>ZSA</v>
      </c>
      <c r="C7461" s="120" t="str">
        <f>IFERROR(__xludf.DUMMYFUNCTION("""COMPUTED_VALUE"""),"San Salvador")</f>
        <v>San Salvador</v>
      </c>
      <c r="D7461" s="120" t="str">
        <f>IFERROR(__xludf.DUMMYFUNCTION("""COMPUTED_VALUE"""),"Brazil")</f>
        <v>Brazil</v>
      </c>
      <c r="E7461" s="135"/>
      <c r="F7461" s="31"/>
    </row>
    <row r="7462">
      <c r="A7462" s="134" t="str">
        <f>IFERROR(__xludf.DUMMYFUNCTION("""COMPUTED_VALUE"""),"San Salvador")</f>
        <v>San Salvador</v>
      </c>
      <c r="B7462" s="120" t="str">
        <f>IFERROR(__xludf.DUMMYFUNCTION("""COMPUTED_VALUE"""),"SAL")</f>
        <v>SAL</v>
      </c>
      <c r="C7462" s="120" t="str">
        <f>IFERROR(__xludf.DUMMYFUNCTION("""COMPUTED_VALUE"""),"Comalapa International")</f>
        <v>Comalapa International</v>
      </c>
      <c r="D7462" s="120" t="str">
        <f>IFERROR(__xludf.DUMMYFUNCTION("""COMPUTED_VALUE"""),"El Salvador")</f>
        <v>El Salvador</v>
      </c>
      <c r="E7462" s="135"/>
      <c r="F7462" s="31"/>
    </row>
    <row r="7463">
      <c r="A7463" s="134" t="str">
        <f>IFERROR(__xludf.DUMMYFUNCTION("""COMPUTED_VALUE"""),"San Salvador De")</f>
        <v>San Salvador De</v>
      </c>
      <c r="B7463" s="120" t="str">
        <f>IFERROR(__xludf.DUMMYFUNCTION("""COMPUTED_VALUE"""),"SVV")</f>
        <v>SVV</v>
      </c>
      <c r="C7463" s="120" t="str">
        <f>IFERROR(__xludf.DUMMYFUNCTION("""COMPUTED_VALUE"""),"San Salvador De")</f>
        <v>San Salvador De</v>
      </c>
      <c r="D7463" s="120" t="str">
        <f>IFERROR(__xludf.DUMMYFUNCTION("""COMPUTED_VALUE"""),"Venezuela")</f>
        <v>Venezuela</v>
      </c>
      <c r="E7463" s="135"/>
      <c r="F7463" s="31"/>
    </row>
    <row r="7464">
      <c r="A7464" s="134" t="str">
        <f>IFERROR(__xludf.DUMMYFUNCTION("""COMPUTED_VALUE"""),"San Sebas De La Gomera")</f>
        <v>San Sebas De La Gomera</v>
      </c>
      <c r="B7464" s="120" t="str">
        <f>IFERROR(__xludf.DUMMYFUNCTION("""COMPUTED_VALUE"""),"GMZ")</f>
        <v>GMZ</v>
      </c>
      <c r="C7464" s="120" t="str">
        <f>IFERROR(__xludf.DUMMYFUNCTION("""COMPUTED_VALUE"""),"La Gomera")</f>
        <v>La Gomera</v>
      </c>
      <c r="D7464" s="120" t="str">
        <f>IFERROR(__xludf.DUMMYFUNCTION("""COMPUTED_VALUE"""),"Spain")</f>
        <v>Spain</v>
      </c>
      <c r="E7464" s="135"/>
      <c r="F7464" s="31"/>
    </row>
    <row r="7465">
      <c r="A7465" s="134" t="str">
        <f>IFERROR(__xludf.DUMMYFUNCTION("""COMPUTED_VALUE"""),"San Sebastian")</f>
        <v>San Sebastian</v>
      </c>
      <c r="B7465" s="120" t="str">
        <f>IFERROR(__xludf.DUMMYFUNCTION("""COMPUTED_VALUE"""),"EAS")</f>
        <v>EAS</v>
      </c>
      <c r="C7465" s="120" t="str">
        <f>IFERROR(__xludf.DUMMYFUNCTION("""COMPUTED_VALUE"""),"San Sebastian")</f>
        <v>San Sebastian</v>
      </c>
      <c r="D7465" s="120" t="str">
        <f>IFERROR(__xludf.DUMMYFUNCTION("""COMPUTED_VALUE"""),"Spain")</f>
        <v>Spain</v>
      </c>
      <c r="E7465" s="135"/>
      <c r="F7465" s="31"/>
    </row>
    <row r="7466">
      <c r="A7466" s="134" t="str">
        <f>IFERROR(__xludf.DUMMYFUNCTION("""COMPUTED_VALUE"""),"San Tome")</f>
        <v>San Tome</v>
      </c>
      <c r="B7466" s="120" t="str">
        <f>IFERROR(__xludf.DUMMYFUNCTION("""COMPUTED_VALUE"""),"SOM")</f>
        <v>SOM</v>
      </c>
      <c r="C7466" s="120" t="str">
        <f>IFERROR(__xludf.DUMMYFUNCTION("""COMPUTED_VALUE"""),"El Tigre")</f>
        <v>El Tigre</v>
      </c>
      <c r="D7466" s="120" t="str">
        <f>IFERROR(__xludf.DUMMYFUNCTION("""COMPUTED_VALUE"""),"Venezuela")</f>
        <v>Venezuela</v>
      </c>
      <c r="E7466" s="135"/>
      <c r="F7466" s="31"/>
    </row>
    <row r="7467">
      <c r="A7467" s="134" t="str">
        <f>IFERROR(__xludf.DUMMYFUNCTION("""COMPUTED_VALUE"""),"San Vicente")</f>
        <v>San Vicente</v>
      </c>
      <c r="B7467" s="120" t="str">
        <f>IFERROR(__xludf.DUMMYFUNCTION("""COMPUTED_VALUE"""),"SVI")</f>
        <v>SVI</v>
      </c>
      <c r="C7467" s="120" t="str">
        <f>IFERROR(__xludf.DUMMYFUNCTION("""COMPUTED_VALUE"""),"San Vicente")</f>
        <v>San Vicente</v>
      </c>
      <c r="D7467" s="120" t="str">
        <f>IFERROR(__xludf.DUMMYFUNCTION("""COMPUTED_VALUE"""),"Colombia")</f>
        <v>Colombia</v>
      </c>
      <c r="E7467" s="135"/>
      <c r="F7467" s="31"/>
    </row>
    <row r="7468">
      <c r="A7468" s="134" t="str">
        <f>IFERROR(__xludf.DUMMYFUNCTION("""COMPUTED_VALUE"""),"San Vito")</f>
        <v>San Vito</v>
      </c>
      <c r="B7468" s="120" t="str">
        <f>IFERROR(__xludf.DUMMYFUNCTION("""COMPUTED_VALUE"""),"TOO")</f>
        <v>TOO</v>
      </c>
      <c r="C7468" s="120" t="str">
        <f>IFERROR(__xludf.DUMMYFUNCTION("""COMPUTED_VALUE"""),"San Vito")</f>
        <v>San Vito</v>
      </c>
      <c r="D7468" s="120" t="str">
        <f>IFERROR(__xludf.DUMMYFUNCTION("""COMPUTED_VALUE"""),"Costa Rica")</f>
        <v>Costa Rica</v>
      </c>
      <c r="E7468" s="135"/>
      <c r="F7468" s="31"/>
    </row>
    <row r="7469">
      <c r="A7469" s="134" t="str">
        <f>IFERROR(__xludf.DUMMYFUNCTION("""COMPUTED_VALUE"""),"Sanana")</f>
        <v>Sanana</v>
      </c>
      <c r="B7469" s="120" t="str">
        <f>IFERROR(__xludf.DUMMYFUNCTION("""COMPUTED_VALUE"""),"SQN")</f>
        <v>SQN</v>
      </c>
      <c r="C7469" s="120" t="str">
        <f>IFERROR(__xludf.DUMMYFUNCTION("""COMPUTED_VALUE"""),"Sanana")</f>
        <v>Sanana</v>
      </c>
      <c r="D7469" s="120" t="str">
        <f>IFERROR(__xludf.DUMMYFUNCTION("""COMPUTED_VALUE"""),"Indonesia")</f>
        <v>Indonesia</v>
      </c>
      <c r="E7469" s="135"/>
      <c r="F7469" s="31"/>
    </row>
    <row r="7470">
      <c r="A7470" s="134" t="str">
        <f>IFERROR(__xludf.DUMMYFUNCTION("""COMPUTED_VALUE"""),"Sanandaj")</f>
        <v>Sanandaj</v>
      </c>
      <c r="B7470" s="120" t="str">
        <f>IFERROR(__xludf.DUMMYFUNCTION("""COMPUTED_VALUE"""),"SDG")</f>
        <v>SDG</v>
      </c>
      <c r="C7470" s="120" t="str">
        <f>IFERROR(__xludf.DUMMYFUNCTION("""COMPUTED_VALUE"""),"Sanandaj")</f>
        <v>Sanandaj</v>
      </c>
      <c r="D7470" s="120" t="str">
        <f>IFERROR(__xludf.DUMMYFUNCTION("""COMPUTED_VALUE"""),"Iran")</f>
        <v>Iran</v>
      </c>
      <c r="E7470" s="135"/>
      <c r="F7470" s="31"/>
    </row>
    <row r="7471">
      <c r="A7471" s="134" t="str">
        <f>IFERROR(__xludf.DUMMYFUNCTION("""COMPUTED_VALUE"""),"Sancti Spiritus")</f>
        <v>Sancti Spiritus</v>
      </c>
      <c r="B7471" s="120" t="str">
        <f>IFERROR(__xludf.DUMMYFUNCTION("""COMPUTED_VALUE"""),"USS")</f>
        <v>USS</v>
      </c>
      <c r="C7471" s="120" t="str">
        <f>IFERROR(__xludf.DUMMYFUNCTION("""COMPUTED_VALUE"""),"Sancti Spiritus")</f>
        <v>Sancti Spiritus</v>
      </c>
      <c r="D7471" s="120" t="str">
        <f>IFERROR(__xludf.DUMMYFUNCTION("""COMPUTED_VALUE"""),"Cuba")</f>
        <v>Cuba</v>
      </c>
      <c r="E7471" s="135"/>
      <c r="F7471" s="31"/>
    </row>
    <row r="7472">
      <c r="A7472" s="134" t="str">
        <f>IFERROR(__xludf.DUMMYFUNCTION("""COMPUTED_VALUE"""),"Sand Point")</f>
        <v>Sand Point</v>
      </c>
      <c r="B7472" s="120" t="str">
        <f>IFERROR(__xludf.DUMMYFUNCTION("""COMPUTED_VALUE"""),"SDP")</f>
        <v>SDP</v>
      </c>
      <c r="C7472" s="120" t="str">
        <f>IFERROR(__xludf.DUMMYFUNCTION("""COMPUTED_VALUE"""),"Municipal")</f>
        <v>Municipal</v>
      </c>
      <c r="D7472" s="120" t="str">
        <f>IFERROR(__xludf.DUMMYFUNCTION("""COMPUTED_VALUE"""),"United States")</f>
        <v>United States</v>
      </c>
      <c r="E7472" s="135"/>
      <c r="F7472" s="31"/>
    </row>
    <row r="7473">
      <c r="A7473" s="134" t="str">
        <f>IFERROR(__xludf.DUMMYFUNCTION("""COMPUTED_VALUE"""),"Sandakan")</f>
        <v>Sandakan</v>
      </c>
      <c r="B7473" s="120" t="str">
        <f>IFERROR(__xludf.DUMMYFUNCTION("""COMPUTED_VALUE"""),"SDK")</f>
        <v>SDK</v>
      </c>
      <c r="C7473" s="120" t="str">
        <f>IFERROR(__xludf.DUMMYFUNCTION("""COMPUTED_VALUE"""),"Sandakan")</f>
        <v>Sandakan</v>
      </c>
      <c r="D7473" s="120" t="str">
        <f>IFERROR(__xludf.DUMMYFUNCTION("""COMPUTED_VALUE"""),"Malaysia")</f>
        <v>Malaysia</v>
      </c>
      <c r="E7473" s="135"/>
      <c r="F7473" s="31"/>
    </row>
    <row r="7474">
      <c r="A7474" s="134" t="str">
        <f>IFERROR(__xludf.DUMMYFUNCTION("""COMPUTED_VALUE"""),"Sandane")</f>
        <v>Sandane</v>
      </c>
      <c r="B7474" s="120" t="str">
        <f>IFERROR(__xludf.DUMMYFUNCTION("""COMPUTED_VALUE"""),"SDN")</f>
        <v>SDN</v>
      </c>
      <c r="C7474" s="120" t="str">
        <f>IFERROR(__xludf.DUMMYFUNCTION("""COMPUTED_VALUE"""),"Sandane")</f>
        <v>Sandane</v>
      </c>
      <c r="D7474" s="120" t="str">
        <f>IFERROR(__xludf.DUMMYFUNCTION("""COMPUTED_VALUE"""),"Norway")</f>
        <v>Norway</v>
      </c>
      <c r="E7474" s="135"/>
      <c r="F7474" s="31"/>
    </row>
    <row r="7475">
      <c r="A7475" s="134" t="str">
        <f>IFERROR(__xludf.DUMMYFUNCTION("""COMPUTED_VALUE"""),"Sanday")</f>
        <v>Sanday</v>
      </c>
      <c r="B7475" s="120" t="str">
        <f>IFERROR(__xludf.DUMMYFUNCTION("""COMPUTED_VALUE"""),"NDY")</f>
        <v>NDY</v>
      </c>
      <c r="C7475" s="120" t="str">
        <f>IFERROR(__xludf.DUMMYFUNCTION("""COMPUTED_VALUE"""),"Sanday")</f>
        <v>Sanday</v>
      </c>
      <c r="D7475" s="120" t="str">
        <f>IFERROR(__xludf.DUMMYFUNCTION("""COMPUTED_VALUE"""),"United Kingdom")</f>
        <v>United Kingdom</v>
      </c>
      <c r="E7475" s="135"/>
      <c r="F7475" s="31"/>
    </row>
    <row r="7476">
      <c r="A7476" s="134" t="str">
        <f>IFERROR(__xludf.DUMMYFUNCTION("""COMPUTED_VALUE"""),"Sandcreek")</f>
        <v>Sandcreek</v>
      </c>
      <c r="B7476" s="120" t="str">
        <f>IFERROR(__xludf.DUMMYFUNCTION("""COMPUTED_VALUE"""),"SDC")</f>
        <v>SDC</v>
      </c>
      <c r="C7476" s="120" t="str">
        <f>IFERROR(__xludf.DUMMYFUNCTION("""COMPUTED_VALUE"""),"Sandcreek")</f>
        <v>Sandcreek</v>
      </c>
      <c r="D7476" s="120" t="str">
        <f>IFERROR(__xludf.DUMMYFUNCTION("""COMPUTED_VALUE"""),"Guyana")</f>
        <v>Guyana</v>
      </c>
      <c r="E7476" s="135"/>
      <c r="F7476" s="31"/>
    </row>
    <row r="7477">
      <c r="A7477" s="134" t="str">
        <f>IFERROR(__xludf.DUMMYFUNCTION("""COMPUTED_VALUE"""),"Sandefjord")</f>
        <v>Sandefjord</v>
      </c>
      <c r="B7477" s="120" t="str">
        <f>IFERROR(__xludf.DUMMYFUNCTION("""COMPUTED_VALUE"""),"ZYS")</f>
        <v>ZYS</v>
      </c>
      <c r="C7477" s="120" t="str">
        <f>IFERROR(__xludf.DUMMYFUNCTION("""COMPUTED_VALUE"""),"Sandefjord Railway Svc")</f>
        <v>Sandefjord Railway Svc</v>
      </c>
      <c r="D7477" s="120" t="str">
        <f>IFERROR(__xludf.DUMMYFUNCTION("""COMPUTED_VALUE"""),"Norway")</f>
        <v>Norway</v>
      </c>
      <c r="E7477" s="135"/>
      <c r="F7477" s="31"/>
    </row>
    <row r="7478">
      <c r="A7478" s="134" t="str">
        <f>IFERROR(__xludf.DUMMYFUNCTION("""COMPUTED_VALUE"""),"Sandnes")</f>
        <v>Sandnes</v>
      </c>
      <c r="B7478" s="120" t="str">
        <f>IFERROR(__xludf.DUMMYFUNCTION("""COMPUTED_VALUE"""),"XKC")</f>
        <v>XKC</v>
      </c>
      <c r="C7478" s="120" t="str">
        <f>IFERROR(__xludf.DUMMYFUNCTION("""COMPUTED_VALUE"""),"Sandnes Rail St.")</f>
        <v>Sandnes Rail St.</v>
      </c>
      <c r="D7478" s="120" t="str">
        <f>IFERROR(__xludf.DUMMYFUNCTION("""COMPUTED_VALUE"""),"Norway")</f>
        <v>Norway</v>
      </c>
      <c r="E7478" s="135"/>
      <c r="F7478" s="31"/>
    </row>
    <row r="7479">
      <c r="A7479" s="134" t="str">
        <f>IFERROR(__xludf.DUMMYFUNCTION("""COMPUTED_VALUE"""),"Sandnessjoen")</f>
        <v>Sandnessjoen</v>
      </c>
      <c r="B7479" s="120" t="str">
        <f>IFERROR(__xludf.DUMMYFUNCTION("""COMPUTED_VALUE"""),"SSJ")</f>
        <v>SSJ</v>
      </c>
      <c r="C7479" s="120" t="str">
        <f>IFERROR(__xludf.DUMMYFUNCTION("""COMPUTED_VALUE"""),"Stokka")</f>
        <v>Stokka</v>
      </c>
      <c r="D7479" s="120" t="str">
        <f>IFERROR(__xludf.DUMMYFUNCTION("""COMPUTED_VALUE"""),"Norway")</f>
        <v>Norway</v>
      </c>
      <c r="E7479" s="135"/>
      <c r="F7479" s="31"/>
    </row>
    <row r="7480">
      <c r="A7480" s="134" t="str">
        <f>IFERROR(__xludf.DUMMYFUNCTION("""COMPUTED_VALUE"""),"Sandringham")</f>
        <v>Sandringham</v>
      </c>
      <c r="B7480" s="120" t="str">
        <f>IFERROR(__xludf.DUMMYFUNCTION("""COMPUTED_VALUE"""),"SRM")</f>
        <v>SRM</v>
      </c>
      <c r="C7480" s="120" t="str">
        <f>IFERROR(__xludf.DUMMYFUNCTION("""COMPUTED_VALUE"""),"Sandringham")</f>
        <v>Sandringham</v>
      </c>
      <c r="D7480" s="120" t="str">
        <f>IFERROR(__xludf.DUMMYFUNCTION("""COMPUTED_VALUE"""),"Australia")</f>
        <v>Australia</v>
      </c>
      <c r="E7480" s="135"/>
      <c r="F7480" s="31"/>
    </row>
    <row r="7481">
      <c r="A7481" s="134" t="str">
        <f>IFERROR(__xludf.DUMMYFUNCTION("""COMPUTED_VALUE"""),"Sandspit")</f>
        <v>Sandspit</v>
      </c>
      <c r="B7481" s="120" t="str">
        <f>IFERROR(__xludf.DUMMYFUNCTION("""COMPUTED_VALUE"""),"YZP")</f>
        <v>YZP</v>
      </c>
      <c r="C7481" s="120" t="str">
        <f>IFERROR(__xludf.DUMMYFUNCTION("""COMPUTED_VALUE"""),"Sandspit")</f>
        <v>Sandspit</v>
      </c>
      <c r="D7481" s="120" t="str">
        <f>IFERROR(__xludf.DUMMYFUNCTION("""COMPUTED_VALUE"""),"Canada")</f>
        <v>Canada</v>
      </c>
      <c r="E7481" s="135"/>
      <c r="F7481" s="31"/>
    </row>
    <row r="7482">
      <c r="A7482" s="134" t="str">
        <f>IFERROR(__xludf.DUMMYFUNCTION("""COMPUTED_VALUE"""),"Sandstone")</f>
        <v>Sandstone</v>
      </c>
      <c r="B7482" s="120" t="str">
        <f>IFERROR(__xludf.DUMMYFUNCTION("""COMPUTED_VALUE"""),"NDS")</f>
        <v>NDS</v>
      </c>
      <c r="C7482" s="120" t="str">
        <f>IFERROR(__xludf.DUMMYFUNCTION("""COMPUTED_VALUE"""),"Sandstone")</f>
        <v>Sandstone</v>
      </c>
      <c r="D7482" s="120" t="str">
        <f>IFERROR(__xludf.DUMMYFUNCTION("""COMPUTED_VALUE"""),"Australia")</f>
        <v>Australia</v>
      </c>
      <c r="E7482" s="135"/>
      <c r="F7482" s="31"/>
    </row>
    <row r="7483">
      <c r="A7483" s="134" t="str">
        <f>IFERROR(__xludf.DUMMYFUNCTION("""COMPUTED_VALUE"""),"Sandusky")</f>
        <v>Sandusky</v>
      </c>
      <c r="B7483" s="120" t="str">
        <f>IFERROR(__xludf.DUMMYFUNCTION("""COMPUTED_VALUE"""),"SKY")</f>
        <v>SKY</v>
      </c>
      <c r="C7483" s="120" t="str">
        <f>IFERROR(__xludf.DUMMYFUNCTION("""COMPUTED_VALUE"""),"Griffing Sandusky")</f>
        <v>Griffing Sandusky</v>
      </c>
      <c r="D7483" s="120" t="str">
        <f>IFERROR(__xludf.DUMMYFUNCTION("""COMPUTED_VALUE"""),"United States")</f>
        <v>United States</v>
      </c>
      <c r="E7483" s="135"/>
      <c r="F7483" s="31"/>
    </row>
    <row r="7484">
      <c r="A7484" s="134" t="str">
        <f>IFERROR(__xludf.DUMMYFUNCTION("""COMPUTED_VALUE"""),"Sandwip")</f>
        <v>Sandwip</v>
      </c>
      <c r="B7484" s="120" t="str">
        <f>IFERROR(__xludf.DUMMYFUNCTION("""COMPUTED_VALUE"""),"SDW")</f>
        <v>SDW</v>
      </c>
      <c r="C7484" s="120" t="str">
        <f>IFERROR(__xludf.DUMMYFUNCTION("""COMPUTED_VALUE"""),"Sandwip")</f>
        <v>Sandwip</v>
      </c>
      <c r="D7484" s="120" t="str">
        <f>IFERROR(__xludf.DUMMYFUNCTION("""COMPUTED_VALUE"""),"Bangladesh")</f>
        <v>Bangladesh</v>
      </c>
      <c r="E7484" s="135"/>
      <c r="F7484" s="31"/>
    </row>
    <row r="7485">
      <c r="A7485" s="134" t="str">
        <f>IFERROR(__xludf.DUMMYFUNCTION("""COMPUTED_VALUE"""),"Sandy Lake")</f>
        <v>Sandy Lake</v>
      </c>
      <c r="B7485" s="120" t="str">
        <f>IFERROR(__xludf.DUMMYFUNCTION("""COMPUTED_VALUE"""),"ZSJ")</f>
        <v>ZSJ</v>
      </c>
      <c r="C7485" s="120" t="str">
        <f>IFERROR(__xludf.DUMMYFUNCTION("""COMPUTED_VALUE"""),"Sandy Lake")</f>
        <v>Sandy Lake</v>
      </c>
      <c r="D7485" s="120" t="str">
        <f>IFERROR(__xludf.DUMMYFUNCTION("""COMPUTED_VALUE"""),"Canada")</f>
        <v>Canada</v>
      </c>
      <c r="E7485" s="135"/>
      <c r="F7485" s="31"/>
    </row>
    <row r="7486">
      <c r="A7486" s="134" t="str">
        <f>IFERROR(__xludf.DUMMYFUNCTION("""COMPUTED_VALUE"""),"Sandy River")</f>
        <v>Sandy River</v>
      </c>
      <c r="B7486" s="120" t="str">
        <f>IFERROR(__xludf.DUMMYFUNCTION("""COMPUTED_VALUE"""),"KSR")</f>
        <v>KSR</v>
      </c>
      <c r="C7486" s="120" t="str">
        <f>IFERROR(__xludf.DUMMYFUNCTION("""COMPUTED_VALUE"""),"Federal No 1")</f>
        <v>Federal No 1</v>
      </c>
      <c r="D7486" s="120" t="str">
        <f>IFERROR(__xludf.DUMMYFUNCTION("""COMPUTED_VALUE"""),"United States")</f>
        <v>United States</v>
      </c>
      <c r="E7486" s="135"/>
      <c r="F7486" s="31"/>
    </row>
    <row r="7487">
      <c r="A7487" s="134" t="str">
        <f>IFERROR(__xludf.DUMMYFUNCTION("""COMPUTED_VALUE"""),"Sanfebagar")</f>
        <v>Sanfebagar</v>
      </c>
      <c r="B7487" s="120" t="str">
        <f>IFERROR(__xludf.DUMMYFUNCTION("""COMPUTED_VALUE"""),"FEB")</f>
        <v>FEB</v>
      </c>
      <c r="C7487" s="120" t="str">
        <f>IFERROR(__xludf.DUMMYFUNCTION("""COMPUTED_VALUE"""),"Sanfebagar")</f>
        <v>Sanfebagar</v>
      </c>
      <c r="D7487" s="120" t="str">
        <f>IFERROR(__xludf.DUMMYFUNCTION("""COMPUTED_VALUE"""),"Nepal")</f>
        <v>Nepal</v>
      </c>
      <c r="E7487" s="135"/>
      <c r="F7487" s="31"/>
    </row>
    <row r="7488">
      <c r="A7488" s="134" t="str">
        <f>IFERROR(__xludf.DUMMYFUNCTION("""COMPUTED_VALUE"""),"Sanford")</f>
        <v>Sanford</v>
      </c>
      <c r="B7488" s="120" t="str">
        <f>IFERROR(__xludf.DUMMYFUNCTION("""COMPUTED_VALUE"""),"SFM")</f>
        <v>SFM</v>
      </c>
      <c r="C7488" s="120" t="str">
        <f>IFERROR(__xludf.DUMMYFUNCTION("""COMPUTED_VALUE"""),"Sanford")</f>
        <v>Sanford</v>
      </c>
      <c r="D7488" s="120" t="str">
        <f>IFERROR(__xludf.DUMMYFUNCTION("""COMPUTED_VALUE"""),"United States")</f>
        <v>United States</v>
      </c>
      <c r="E7488" s="135"/>
      <c r="F7488" s="31"/>
    </row>
    <row r="7489">
      <c r="A7489" s="134" t="str">
        <f>IFERROR(__xludf.DUMMYFUNCTION("""COMPUTED_VALUE"""),"Sanga Sanga")</f>
        <v>Sanga Sanga</v>
      </c>
      <c r="B7489" s="120" t="str">
        <f>IFERROR(__xludf.DUMMYFUNCTION("""COMPUTED_VALUE"""),"SGS")</f>
        <v>SGS</v>
      </c>
      <c r="C7489" s="120" t="str">
        <f>IFERROR(__xludf.DUMMYFUNCTION("""COMPUTED_VALUE"""),"Sanga Sanga")</f>
        <v>Sanga Sanga</v>
      </c>
      <c r="D7489" s="120" t="str">
        <f>IFERROR(__xludf.DUMMYFUNCTION("""COMPUTED_VALUE"""),"Philippines")</f>
        <v>Philippines</v>
      </c>
      <c r="E7489" s="135"/>
      <c r="F7489" s="31"/>
    </row>
    <row r="7490">
      <c r="A7490" s="134" t="str">
        <f>IFERROR(__xludf.DUMMYFUNCTION("""COMPUTED_VALUE"""),"Sangapi")</f>
        <v>Sangapi</v>
      </c>
      <c r="B7490" s="120" t="str">
        <f>IFERROR(__xludf.DUMMYFUNCTION("""COMPUTED_VALUE"""),"SGK")</f>
        <v>SGK</v>
      </c>
      <c r="C7490" s="120" t="str">
        <f>IFERROR(__xludf.DUMMYFUNCTION("""COMPUTED_VALUE"""),"Sangapi")</f>
        <v>Sangapi</v>
      </c>
      <c r="D7490" s="120" t="str">
        <f>IFERROR(__xludf.DUMMYFUNCTION("""COMPUTED_VALUE"""),"Papua New Guinea")</f>
        <v>Papua New Guinea</v>
      </c>
      <c r="E7490" s="135"/>
      <c r="F7490" s="31"/>
    </row>
    <row r="7491">
      <c r="A7491" s="134" t="str">
        <f>IFERROR(__xludf.DUMMYFUNCTION("""COMPUTED_VALUE"""),"Sanggata")</f>
        <v>Sanggata</v>
      </c>
      <c r="B7491" s="120" t="str">
        <f>IFERROR(__xludf.DUMMYFUNCTION("""COMPUTED_VALUE"""),"SGQ")</f>
        <v>SGQ</v>
      </c>
      <c r="C7491" s="120" t="str">
        <f>IFERROR(__xludf.DUMMYFUNCTION("""COMPUTED_VALUE"""),"Sanggata")</f>
        <v>Sanggata</v>
      </c>
      <c r="D7491" s="120" t="str">
        <f>IFERROR(__xludf.DUMMYFUNCTION("""COMPUTED_VALUE"""),"Indonesia")</f>
        <v>Indonesia</v>
      </c>
      <c r="E7491" s="135"/>
      <c r="F7491" s="31"/>
    </row>
    <row r="7492">
      <c r="A7492" s="134" t="str">
        <f>IFERROR(__xludf.DUMMYFUNCTION("""COMPUTED_VALUE"""),"Sangir")</f>
        <v>Sangir</v>
      </c>
      <c r="B7492" s="120" t="str">
        <f>IFERROR(__xludf.DUMMYFUNCTION("""COMPUTED_VALUE"""),"SAE")</f>
        <v>SAE</v>
      </c>
      <c r="C7492" s="120" t="str">
        <f>IFERROR(__xludf.DUMMYFUNCTION("""COMPUTED_VALUE"""),"Sangir")</f>
        <v>Sangir</v>
      </c>
      <c r="D7492" s="120" t="str">
        <f>IFERROR(__xludf.DUMMYFUNCTION("""COMPUTED_VALUE"""),"Indonesia")</f>
        <v>Indonesia</v>
      </c>
      <c r="E7492" s="135"/>
      <c r="F7492" s="31"/>
    </row>
    <row r="7493">
      <c r="A7493" s="134" t="str">
        <f>IFERROR(__xludf.DUMMYFUNCTION("""COMPUTED_VALUE"""),"Sangley Point")</f>
        <v>Sangley Point</v>
      </c>
      <c r="B7493" s="120" t="str">
        <f>IFERROR(__xludf.DUMMYFUNCTION("""COMPUTED_VALUE"""),"NSP")</f>
        <v>NSP</v>
      </c>
      <c r="C7493" s="120" t="str">
        <f>IFERROR(__xludf.DUMMYFUNCTION("""COMPUTED_VALUE"""),"NAF")</f>
        <v>NAF</v>
      </c>
      <c r="D7493" s="120" t="str">
        <f>IFERROR(__xludf.DUMMYFUNCTION("""COMPUTED_VALUE"""),"Philippines")</f>
        <v>Philippines</v>
      </c>
      <c r="E7493" s="135"/>
      <c r="F7493" s="31"/>
    </row>
    <row r="7494">
      <c r="A7494" s="134" t="str">
        <f>IFERROR(__xludf.DUMMYFUNCTION("""COMPUTED_VALUE"""),"Sanikiluaq")</f>
        <v>Sanikiluaq</v>
      </c>
      <c r="B7494" s="120" t="str">
        <f>IFERROR(__xludf.DUMMYFUNCTION("""COMPUTED_VALUE"""),"YSK")</f>
        <v>YSK</v>
      </c>
      <c r="C7494" s="120" t="str">
        <f>IFERROR(__xludf.DUMMYFUNCTION("""COMPUTED_VALUE"""),"Sanikiluaq")</f>
        <v>Sanikiluaq</v>
      </c>
      <c r="D7494" s="120" t="str">
        <f>IFERROR(__xludf.DUMMYFUNCTION("""COMPUTED_VALUE"""),"Canada")</f>
        <v>Canada</v>
      </c>
      <c r="E7494" s="135"/>
      <c r="F7494" s="31"/>
    </row>
    <row r="7495">
      <c r="A7495" s="134" t="str">
        <f>IFERROR(__xludf.DUMMYFUNCTION("""COMPUTED_VALUE"""),"Sanliurfa")</f>
        <v>Sanliurfa</v>
      </c>
      <c r="B7495" s="120" t="str">
        <f>IFERROR(__xludf.DUMMYFUNCTION("""COMPUTED_VALUE"""),"SFQ")</f>
        <v>SFQ</v>
      </c>
      <c r="C7495" s="120" t="str">
        <f>IFERROR(__xludf.DUMMYFUNCTION("""COMPUTED_VALUE"""),"Sanliurfa")</f>
        <v>Sanliurfa</v>
      </c>
      <c r="D7495" s="120" t="str">
        <f>IFERROR(__xludf.DUMMYFUNCTION("""COMPUTED_VALUE"""),"Turkey")</f>
        <v>Turkey</v>
      </c>
      <c r="E7495" s="135"/>
      <c r="F7495" s="31"/>
    </row>
    <row r="7496">
      <c r="A7496" s="134" t="str">
        <f>IFERROR(__xludf.DUMMYFUNCTION("""COMPUTED_VALUE"""),"Sans Souci")</f>
        <v>Sans Souci</v>
      </c>
      <c r="B7496" s="120" t="str">
        <f>IFERROR(__xludf.DUMMYFUNCTION("""COMPUTED_VALUE"""),"YSI")</f>
        <v>YSI</v>
      </c>
      <c r="C7496" s="120" t="str">
        <f>IFERROR(__xludf.DUMMYFUNCTION("""COMPUTED_VALUE"""),"Sans Souci")</f>
        <v>Sans Souci</v>
      </c>
      <c r="D7496" s="120" t="str">
        <f>IFERROR(__xludf.DUMMYFUNCTION("""COMPUTED_VALUE"""),"Canada")</f>
        <v>Canada</v>
      </c>
      <c r="E7496" s="135"/>
      <c r="F7496" s="31"/>
    </row>
    <row r="7497">
      <c r="A7497" s="134" t="str">
        <f>IFERROR(__xludf.DUMMYFUNCTION("""COMPUTED_VALUE"""),"Santa Ana")</f>
        <v>Santa Ana</v>
      </c>
      <c r="B7497" s="120" t="str">
        <f>IFERROR(__xludf.DUMMYFUNCTION("""COMPUTED_VALUE"""),"SBL")</f>
        <v>SBL</v>
      </c>
      <c r="C7497" s="120" t="str">
        <f>IFERROR(__xludf.DUMMYFUNCTION("""COMPUTED_VALUE"""),"Yacuma")</f>
        <v>Yacuma</v>
      </c>
      <c r="D7497" s="120" t="str">
        <f>IFERROR(__xludf.DUMMYFUNCTION("""COMPUTED_VALUE"""),"Bolivia")</f>
        <v>Bolivia</v>
      </c>
      <c r="E7497" s="135"/>
      <c r="F7497" s="31"/>
    </row>
    <row r="7498">
      <c r="A7498" s="134" t="str">
        <f>IFERROR(__xludf.DUMMYFUNCTION("""COMPUTED_VALUE"""),"Santa Ana")</f>
        <v>Santa Ana</v>
      </c>
      <c r="B7498" s="120" t="str">
        <f>IFERROR(__xludf.DUMMYFUNCTION("""COMPUTED_VALUE"""),"JOC")</f>
        <v>JOC</v>
      </c>
      <c r="C7498" s="120" t="str">
        <f>IFERROR(__xludf.DUMMYFUNCTION("""COMPUTED_VALUE"""),"Centerport Heliport")</f>
        <v>Centerport Heliport</v>
      </c>
      <c r="D7498" s="120" t="str">
        <f>IFERROR(__xludf.DUMMYFUNCTION("""COMPUTED_VALUE"""),"United States")</f>
        <v>United States</v>
      </c>
      <c r="E7498" s="135"/>
      <c r="F7498" s="31"/>
    </row>
    <row r="7499">
      <c r="A7499" s="134" t="str">
        <f>IFERROR(__xludf.DUMMYFUNCTION("""COMPUTED_VALUE"""),"Santa Ana")</f>
        <v>Santa Ana</v>
      </c>
      <c r="B7499" s="120" t="str">
        <f>IFERROR(__xludf.DUMMYFUNCTION("""COMPUTED_VALUE"""),"DNT")</f>
        <v>DNT</v>
      </c>
      <c r="C7499" s="120" t="str">
        <f>IFERROR(__xludf.DUMMYFUNCTION("""COMPUTED_VALUE"""),"Downtown Heliport")</f>
        <v>Downtown Heliport</v>
      </c>
      <c r="D7499" s="120" t="str">
        <f>IFERROR(__xludf.DUMMYFUNCTION("""COMPUTED_VALUE"""),"United States")</f>
        <v>United States</v>
      </c>
      <c r="E7499" s="135"/>
      <c r="F7499" s="31"/>
    </row>
    <row r="7500">
      <c r="A7500" s="134" t="str">
        <f>IFERROR(__xludf.DUMMYFUNCTION("""COMPUTED_VALUE"""),"Santa Ana")</f>
        <v>Santa Ana</v>
      </c>
      <c r="B7500" s="120" t="str">
        <f>IFERROR(__xludf.DUMMYFUNCTION("""COMPUTED_VALUE"""),"SNA")</f>
        <v>SNA</v>
      </c>
      <c r="C7500" s="120" t="str">
        <f>IFERROR(__xludf.DUMMYFUNCTION("""COMPUTED_VALUE"""),"John Wayne")</f>
        <v>John Wayne</v>
      </c>
      <c r="D7500" s="120" t="str">
        <f>IFERROR(__xludf.DUMMYFUNCTION("""COMPUTED_VALUE"""),"United States")</f>
        <v>United States</v>
      </c>
      <c r="E7500" s="135"/>
      <c r="F7500" s="31"/>
    </row>
    <row r="7501">
      <c r="A7501" s="134" t="str">
        <f>IFERROR(__xludf.DUMMYFUNCTION("""COMPUTED_VALUE"""),"Santa Ana")</f>
        <v>Santa Ana</v>
      </c>
      <c r="B7501" s="120" t="str">
        <f>IFERROR(__xludf.DUMMYFUNCTION("""COMPUTED_VALUE"""),"SQB")</f>
        <v>SQB</v>
      </c>
      <c r="C7501" s="120" t="str">
        <f>IFERROR(__xludf.DUMMYFUNCTION("""COMPUTED_VALUE"""),"Santa Ana")</f>
        <v>Santa Ana</v>
      </c>
      <c r="D7501" s="120" t="str">
        <f>IFERROR(__xludf.DUMMYFUNCTION("""COMPUTED_VALUE"""),"Colombia")</f>
        <v>Colombia</v>
      </c>
      <c r="E7501" s="135"/>
      <c r="F7501" s="31"/>
    </row>
    <row r="7502">
      <c r="A7502" s="134" t="str">
        <f>IFERROR(__xludf.DUMMYFUNCTION("""COMPUTED_VALUE"""),"Santa Ana")</f>
        <v>Santa Ana</v>
      </c>
      <c r="B7502" s="120" t="str">
        <f>IFERROR(__xludf.DUMMYFUNCTION("""COMPUTED_VALUE"""),"NNB")</f>
        <v>NNB</v>
      </c>
      <c r="C7502" s="120" t="str">
        <f>IFERROR(__xludf.DUMMYFUNCTION("""COMPUTED_VALUE"""),"Santa Ana")</f>
        <v>Santa Ana</v>
      </c>
      <c r="D7502" s="120" t="str">
        <f>IFERROR(__xludf.DUMMYFUNCTION("""COMPUTED_VALUE"""),"Solomon Islands")</f>
        <v>Solomon Islands</v>
      </c>
      <c r="E7502" s="135"/>
      <c r="F7502" s="31"/>
    </row>
    <row r="7503">
      <c r="A7503" s="134" t="str">
        <f>IFERROR(__xludf.DUMMYFUNCTION("""COMPUTED_VALUE"""),"Santa Barbara")</f>
        <v>Santa Barbara</v>
      </c>
      <c r="B7503" s="120" t="str">
        <f>IFERROR(__xludf.DUMMYFUNCTION("""COMPUTED_VALUE"""),"SBA")</f>
        <v>SBA</v>
      </c>
      <c r="C7503" s="120" t="str">
        <f>IFERROR(__xludf.DUMMYFUNCTION("""COMPUTED_VALUE"""),"Municipal")</f>
        <v>Municipal</v>
      </c>
      <c r="D7503" s="120" t="str">
        <f>IFERROR(__xludf.DUMMYFUNCTION("""COMPUTED_VALUE"""),"United States")</f>
        <v>United States</v>
      </c>
      <c r="E7503" s="135"/>
      <c r="F7503" s="31"/>
    </row>
    <row r="7504">
      <c r="A7504" s="134" t="str">
        <f>IFERROR(__xludf.DUMMYFUNCTION("""COMPUTED_VALUE"""),"Santa Barbara")</f>
        <v>Santa Barbara</v>
      </c>
      <c r="B7504" s="120" t="str">
        <f>IFERROR(__xludf.DUMMYFUNCTION("""COMPUTED_VALUE"""),"SZN")</f>
        <v>SZN</v>
      </c>
      <c r="C7504" s="120" t="str">
        <f>IFERROR(__xludf.DUMMYFUNCTION("""COMPUTED_VALUE"""),"Santa Cruz Island")</f>
        <v>Santa Cruz Island</v>
      </c>
      <c r="D7504" s="120" t="str">
        <f>IFERROR(__xludf.DUMMYFUNCTION("""COMPUTED_VALUE"""),"United States")</f>
        <v>United States</v>
      </c>
      <c r="E7504" s="135"/>
      <c r="F7504" s="31"/>
    </row>
    <row r="7505">
      <c r="A7505" s="134" t="str">
        <f>IFERROR(__xludf.DUMMYFUNCTION("""COMPUTED_VALUE"""),"Santa Barbara Ba")</f>
        <v>Santa Barbara Ba</v>
      </c>
      <c r="B7505" s="120" t="str">
        <f>IFERROR(__xludf.DUMMYFUNCTION("""COMPUTED_VALUE"""),"SBB")</f>
        <v>SBB</v>
      </c>
      <c r="C7505" s="120" t="str">
        <f>IFERROR(__xludf.DUMMYFUNCTION("""COMPUTED_VALUE"""),"Santa Barbara Ba")</f>
        <v>Santa Barbara Ba</v>
      </c>
      <c r="D7505" s="120" t="str">
        <f>IFERROR(__xludf.DUMMYFUNCTION("""COMPUTED_VALUE"""),"Venezuela")</f>
        <v>Venezuela</v>
      </c>
      <c r="E7505" s="135"/>
      <c r="F7505" s="31"/>
    </row>
    <row r="7506">
      <c r="A7506" s="134" t="str">
        <f>IFERROR(__xludf.DUMMYFUNCTION("""COMPUTED_VALUE"""),"Santa Barbara Ed")</f>
        <v>Santa Barbara Ed</v>
      </c>
      <c r="B7506" s="120" t="str">
        <f>IFERROR(__xludf.DUMMYFUNCTION("""COMPUTED_VALUE"""),"STB")</f>
        <v>STB</v>
      </c>
      <c r="C7506" s="120" t="str">
        <f>IFERROR(__xludf.DUMMYFUNCTION("""COMPUTED_VALUE"""),"L Delicias")</f>
        <v>L Delicias</v>
      </c>
      <c r="D7506" s="120" t="str">
        <f>IFERROR(__xludf.DUMMYFUNCTION("""COMPUTED_VALUE"""),"Venezuela")</f>
        <v>Venezuela</v>
      </c>
      <c r="E7506" s="135"/>
      <c r="F7506" s="31"/>
    </row>
    <row r="7507">
      <c r="A7507" s="134" t="str">
        <f>IFERROR(__xludf.DUMMYFUNCTION("""COMPUTED_VALUE"""),"Santa Carolina")</f>
        <v>Santa Carolina</v>
      </c>
      <c r="B7507" s="120" t="str">
        <f>IFERROR(__xludf.DUMMYFUNCTION("""COMPUTED_VALUE"""),"NTC")</f>
        <v>NTC</v>
      </c>
      <c r="C7507" s="120" t="str">
        <f>IFERROR(__xludf.DUMMYFUNCTION("""COMPUTED_VALUE"""),"Santa Carolina")</f>
        <v>Santa Carolina</v>
      </c>
      <c r="D7507" s="120" t="str">
        <f>IFERROR(__xludf.DUMMYFUNCTION("""COMPUTED_VALUE"""),"Mozambique")</f>
        <v>Mozambique</v>
      </c>
      <c r="E7507" s="135"/>
      <c r="F7507" s="31"/>
    </row>
    <row r="7508">
      <c r="A7508" s="134" t="str">
        <f>IFERROR(__xludf.DUMMYFUNCTION("""COMPUTED_VALUE"""),"Santa Catalina")</f>
        <v>Santa Catalina</v>
      </c>
      <c r="B7508" s="120" t="str">
        <f>IFERROR(__xludf.DUMMYFUNCTION("""COMPUTED_VALUE"""),"SCA")</f>
        <v>SCA</v>
      </c>
      <c r="C7508" s="120" t="str">
        <f>IFERROR(__xludf.DUMMYFUNCTION("""COMPUTED_VALUE"""),"Santa Catalina")</f>
        <v>Santa Catalina</v>
      </c>
      <c r="D7508" s="120" t="str">
        <f>IFERROR(__xludf.DUMMYFUNCTION("""COMPUTED_VALUE"""),"Colombia")</f>
        <v>Colombia</v>
      </c>
      <c r="E7508" s="135"/>
      <c r="F7508" s="31"/>
    </row>
    <row r="7509">
      <c r="A7509" s="134" t="str">
        <f>IFERROR(__xludf.DUMMYFUNCTION("""COMPUTED_VALUE"""),"Santa Clara")</f>
        <v>Santa Clara</v>
      </c>
      <c r="B7509" s="120" t="str">
        <f>IFERROR(__xludf.DUMMYFUNCTION("""COMPUTED_VALUE"""),"SNU")</f>
        <v>SNU</v>
      </c>
      <c r="C7509" s="120" t="str">
        <f>IFERROR(__xludf.DUMMYFUNCTION("""COMPUTED_VALUE"""),"Santa Clara")</f>
        <v>Santa Clara</v>
      </c>
      <c r="D7509" s="120" t="str">
        <f>IFERROR(__xludf.DUMMYFUNCTION("""COMPUTED_VALUE"""),"Cuba")</f>
        <v>Cuba</v>
      </c>
      <c r="E7509" s="135"/>
      <c r="F7509" s="31"/>
    </row>
    <row r="7510">
      <c r="A7510" s="134" t="str">
        <f>IFERROR(__xludf.DUMMYFUNCTION("""COMPUTED_VALUE"""),"Santa Cruz")</f>
        <v>Santa Cruz</v>
      </c>
      <c r="B7510" s="120" t="str">
        <f>IFERROR(__xludf.DUMMYFUNCTION("""COMPUTED_VALUE"""),"SRZ")</f>
        <v>SRZ</v>
      </c>
      <c r="C7510" s="120" t="str">
        <f>IFERROR(__xludf.DUMMYFUNCTION("""COMPUTED_VALUE"""),"El Trompillo")</f>
        <v>El Trompillo</v>
      </c>
      <c r="D7510" s="120" t="str">
        <f>IFERROR(__xludf.DUMMYFUNCTION("""COMPUTED_VALUE"""),"Bolivia")</f>
        <v>Bolivia</v>
      </c>
      <c r="E7510" s="135"/>
      <c r="F7510" s="31"/>
    </row>
    <row r="7511">
      <c r="A7511" s="134" t="str">
        <f>IFERROR(__xludf.DUMMYFUNCTION("""COMPUTED_VALUE"""),"Assuncion")</f>
        <v>Assuncion</v>
      </c>
      <c r="B7511" s="120" t="str">
        <f>IFERROR(__xludf.DUMMYFUNCTION("""COMPUTED_VALUE"""),"VVI")</f>
        <v>VVI</v>
      </c>
      <c r="C7511" s="120" t="str">
        <f>IFERROR(__xludf.DUMMYFUNCTION("""COMPUTED_VALUE"""),"Viru Viru Intl")</f>
        <v>Viru Viru Intl</v>
      </c>
      <c r="D7511" s="120" t="str">
        <f>IFERROR(__xludf.DUMMYFUNCTION("""COMPUTED_VALUE"""),"Bolivia")</f>
        <v>Bolivia</v>
      </c>
      <c r="E7511" s="135"/>
      <c r="F7511" s="31"/>
    </row>
    <row r="7512">
      <c r="A7512" s="134" t="str">
        <f>IFERROR(__xludf.DUMMYFUNCTION("""COMPUTED_VALUE"""),"Santa Cruz")</f>
        <v>Santa Cruz</v>
      </c>
      <c r="B7512" s="120" t="str">
        <f>IFERROR(__xludf.DUMMYFUNCTION("""COMPUTED_VALUE"""),"STU")</f>
        <v>STU</v>
      </c>
      <c r="C7512" s="120" t="str">
        <f>IFERROR(__xludf.DUMMYFUNCTION("""COMPUTED_VALUE"""),"Santa Cruz")</f>
        <v>Santa Cruz</v>
      </c>
      <c r="D7512" s="120" t="str">
        <f>IFERROR(__xludf.DUMMYFUNCTION("""COMPUTED_VALUE"""),"Belize")</f>
        <v>Belize</v>
      </c>
      <c r="E7512" s="135"/>
      <c r="F7512" s="31"/>
    </row>
    <row r="7513">
      <c r="A7513" s="134" t="str">
        <f>IFERROR(__xludf.DUMMYFUNCTION("""COMPUTED_VALUE"""),"Santa Cruz")</f>
        <v>Santa Cruz</v>
      </c>
      <c r="B7513" s="120" t="str">
        <f>IFERROR(__xludf.DUMMYFUNCTION("""COMPUTED_VALUE"""),"SRU")</f>
        <v>SRU</v>
      </c>
      <c r="C7513" s="120" t="str">
        <f>IFERROR(__xludf.DUMMYFUNCTION("""COMPUTED_VALUE"""),"Skypark")</f>
        <v>Skypark</v>
      </c>
      <c r="D7513" s="120" t="str">
        <f>IFERROR(__xludf.DUMMYFUNCTION("""COMPUTED_VALUE"""),"United States")</f>
        <v>United States</v>
      </c>
      <c r="E7513" s="135"/>
      <c r="F7513" s="31"/>
    </row>
    <row r="7514">
      <c r="A7514" s="134" t="str">
        <f>IFERROR(__xludf.DUMMYFUNCTION("""COMPUTED_VALUE"""),"Santa Cruz")</f>
        <v>Santa Cruz</v>
      </c>
      <c r="B7514" s="120" t="str">
        <f>IFERROR(__xludf.DUMMYFUNCTION("""COMPUTED_VALUE"""),"SZC")</f>
        <v>SZC</v>
      </c>
      <c r="C7514" s="120" t="str">
        <f>IFERROR(__xludf.DUMMYFUNCTION("""COMPUTED_VALUE"""),"Guanacaste")</f>
        <v>Guanacaste</v>
      </c>
      <c r="D7514" s="120" t="str">
        <f>IFERROR(__xludf.DUMMYFUNCTION("""COMPUTED_VALUE"""),"Costa Rica")</f>
        <v>Costa Rica</v>
      </c>
      <c r="E7514" s="135"/>
      <c r="F7514" s="31"/>
    </row>
    <row r="7515">
      <c r="A7515" s="134" t="str">
        <f>IFERROR(__xludf.DUMMYFUNCTION("""COMPUTED_VALUE"""),"Santa Cruz")</f>
        <v>Santa Cruz</v>
      </c>
      <c r="B7515" s="120" t="str">
        <f>IFERROR(__xludf.DUMMYFUNCTION("""COMPUTED_VALUE"""),"SNZ")</f>
        <v>SNZ</v>
      </c>
      <c r="C7515" s="120" t="str">
        <f>IFERROR(__xludf.DUMMYFUNCTION("""COMPUTED_VALUE"""),"Santa Cruz")</f>
        <v>Santa Cruz</v>
      </c>
      <c r="D7515" s="120" t="str">
        <f>IFERROR(__xludf.DUMMYFUNCTION("""COMPUTED_VALUE"""),"Brazil")</f>
        <v>Brazil</v>
      </c>
      <c r="E7515" s="135"/>
      <c r="F7515" s="31"/>
    </row>
    <row r="7516">
      <c r="A7516" s="134" t="str">
        <f>IFERROR(__xludf.DUMMYFUNCTION("""COMPUTED_VALUE"""),"Santa Cruz")</f>
        <v>Santa Cruz</v>
      </c>
      <c r="B7516" s="120" t="str">
        <f>IFERROR(__xludf.DUMMYFUNCTION("""COMPUTED_VALUE"""),"RZA")</f>
        <v>RZA</v>
      </c>
      <c r="C7516" s="120" t="str">
        <f>IFERROR(__xludf.DUMMYFUNCTION("""COMPUTED_VALUE"""),"Santa Cruz")</f>
        <v>Santa Cruz</v>
      </c>
      <c r="D7516" s="120" t="str">
        <f>IFERROR(__xludf.DUMMYFUNCTION("""COMPUTED_VALUE"""),"Argentina")</f>
        <v>Argentina</v>
      </c>
      <c r="E7516" s="135"/>
      <c r="F7516" s="31"/>
    </row>
    <row r="7517">
      <c r="A7517" s="134" t="str">
        <f>IFERROR(__xludf.DUMMYFUNCTION("""COMPUTED_VALUE"""),"Santa Cruz De La Palma")</f>
        <v>Santa Cruz De La Palma</v>
      </c>
      <c r="B7517" s="120" t="str">
        <f>IFERROR(__xludf.DUMMYFUNCTION("""COMPUTED_VALUE"""),"SPC")</f>
        <v>SPC</v>
      </c>
      <c r="C7517" s="120" t="str">
        <f>IFERROR(__xludf.DUMMYFUNCTION("""COMPUTED_VALUE"""),"La Palma")</f>
        <v>La Palma</v>
      </c>
      <c r="D7517" s="120" t="str">
        <f>IFERROR(__xludf.DUMMYFUNCTION("""COMPUTED_VALUE"""),"Spain")</f>
        <v>Spain</v>
      </c>
      <c r="E7517" s="135"/>
      <c r="F7517" s="31"/>
    </row>
    <row r="7518">
      <c r="A7518" s="134" t="str">
        <f>IFERROR(__xludf.DUMMYFUNCTION("""COMPUTED_VALUE"""),"Santa Cruz Do Sul")</f>
        <v>Santa Cruz Do Sul</v>
      </c>
      <c r="B7518" s="120" t="str">
        <f>IFERROR(__xludf.DUMMYFUNCTION("""COMPUTED_VALUE"""),"CSU")</f>
        <v>CSU</v>
      </c>
      <c r="C7518" s="120" t="str">
        <f>IFERROR(__xludf.DUMMYFUNCTION("""COMPUTED_VALUE"""),"Santa Cruz Do Sul")</f>
        <v>Santa Cruz Do Sul</v>
      </c>
      <c r="D7518" s="120" t="str">
        <f>IFERROR(__xludf.DUMMYFUNCTION("""COMPUTED_VALUE"""),"Brazil")</f>
        <v>Brazil</v>
      </c>
      <c r="E7518" s="135"/>
      <c r="F7518" s="31"/>
    </row>
    <row r="7519">
      <c r="A7519" s="134" t="str">
        <f>IFERROR(__xludf.DUMMYFUNCTION("""COMPUTED_VALUE"""),"Santa Cruz Is")</f>
        <v>Santa Cruz Is</v>
      </c>
      <c r="B7519" s="120" t="str">
        <f>IFERROR(__xludf.DUMMYFUNCTION("""COMPUTED_VALUE"""),"SCZ")</f>
        <v>SCZ</v>
      </c>
      <c r="C7519" s="120" t="str">
        <f>IFERROR(__xludf.DUMMYFUNCTION("""COMPUTED_VALUE"""),"Santa Cruz Is")</f>
        <v>Santa Cruz Is</v>
      </c>
      <c r="D7519" s="120" t="str">
        <f>IFERROR(__xludf.DUMMYFUNCTION("""COMPUTED_VALUE"""),"Solomon Islands")</f>
        <v>Solomon Islands</v>
      </c>
      <c r="E7519" s="135"/>
      <c r="F7519" s="31"/>
    </row>
    <row r="7520">
      <c r="A7520" s="134" t="str">
        <f>IFERROR(__xludf.DUMMYFUNCTION("""COMPUTED_VALUE"""),"Santa Elena")</f>
        <v>Santa Elena</v>
      </c>
      <c r="B7520" s="120" t="str">
        <f>IFERROR(__xludf.DUMMYFUNCTION("""COMPUTED_VALUE"""),"SNV")</f>
        <v>SNV</v>
      </c>
      <c r="C7520" s="120" t="str">
        <f>IFERROR(__xludf.DUMMYFUNCTION("""COMPUTED_VALUE"""),"Santa Elena")</f>
        <v>Santa Elena</v>
      </c>
      <c r="D7520" s="120" t="str">
        <f>IFERROR(__xludf.DUMMYFUNCTION("""COMPUTED_VALUE"""),"Venezuela")</f>
        <v>Venezuela</v>
      </c>
      <c r="E7520" s="135"/>
      <c r="F7520" s="31"/>
    </row>
    <row r="7521">
      <c r="A7521" s="134" t="str">
        <f>IFERROR(__xludf.DUMMYFUNCTION("""COMPUTED_VALUE"""),"Santa Fe")</f>
        <v>Santa Fe</v>
      </c>
      <c r="B7521" s="120" t="str">
        <f>IFERROR(__xludf.DUMMYFUNCTION("""COMPUTED_VALUE"""),"SAF")</f>
        <v>SAF</v>
      </c>
      <c r="C7521" s="120" t="str">
        <f>IFERROR(__xludf.DUMMYFUNCTION("""COMPUTED_VALUE"""),"Santa Fe")</f>
        <v>Santa Fe</v>
      </c>
      <c r="D7521" s="120" t="str">
        <f>IFERROR(__xludf.DUMMYFUNCTION("""COMPUTED_VALUE"""),"United States")</f>
        <v>United States</v>
      </c>
      <c r="E7521" s="135"/>
      <c r="F7521" s="31"/>
    </row>
    <row r="7522">
      <c r="A7522" s="134" t="str">
        <f>IFERROR(__xludf.DUMMYFUNCTION("""COMPUTED_VALUE"""),"Santa Fe")</f>
        <v>Santa Fe</v>
      </c>
      <c r="B7522" s="120" t="str">
        <f>IFERROR(__xludf.DUMMYFUNCTION("""COMPUTED_VALUE"""),"ZSH")</f>
        <v>ZSH</v>
      </c>
      <c r="C7522" s="120" t="str">
        <f>IFERROR(__xludf.DUMMYFUNCTION("""COMPUTED_VALUE"""),"Bus Station")</f>
        <v>Bus Station</v>
      </c>
      <c r="D7522" s="120" t="str">
        <f>IFERROR(__xludf.DUMMYFUNCTION("""COMPUTED_VALUE"""),"United States")</f>
        <v>United States</v>
      </c>
      <c r="E7522" s="135"/>
      <c r="F7522" s="31"/>
    </row>
    <row r="7523">
      <c r="A7523" s="134" t="str">
        <f>IFERROR(__xludf.DUMMYFUNCTION("""COMPUTED_VALUE"""),"Santa Fe")</f>
        <v>Santa Fe</v>
      </c>
      <c r="B7523" s="120" t="str">
        <f>IFERROR(__xludf.DUMMYFUNCTION("""COMPUTED_VALUE"""),"SFW")</f>
        <v>SFW</v>
      </c>
      <c r="C7523" s="120" t="str">
        <f>IFERROR(__xludf.DUMMYFUNCTION("""COMPUTED_VALUE"""),"Santa Fe")</f>
        <v>Santa Fe</v>
      </c>
      <c r="D7523" s="120" t="str">
        <f>IFERROR(__xludf.DUMMYFUNCTION("""COMPUTED_VALUE"""),"Panama")</f>
        <v>Panama</v>
      </c>
      <c r="E7523" s="135"/>
      <c r="F7523" s="31"/>
    </row>
    <row r="7524">
      <c r="A7524" s="134" t="str">
        <f>IFERROR(__xludf.DUMMYFUNCTION("""COMPUTED_VALUE"""),"Santa Fe")</f>
        <v>Santa Fe</v>
      </c>
      <c r="B7524" s="120" t="str">
        <f>IFERROR(__xludf.DUMMYFUNCTION("""COMPUTED_VALUE"""),"SFN")</f>
        <v>SFN</v>
      </c>
      <c r="C7524" s="120" t="str">
        <f>IFERROR(__xludf.DUMMYFUNCTION("""COMPUTED_VALUE"""),"Santa Fe")</f>
        <v>Santa Fe</v>
      </c>
      <c r="D7524" s="120" t="str">
        <f>IFERROR(__xludf.DUMMYFUNCTION("""COMPUTED_VALUE"""),"Argentina")</f>
        <v>Argentina</v>
      </c>
      <c r="E7524" s="135"/>
      <c r="F7524" s="31"/>
    </row>
    <row r="7525">
      <c r="A7525" s="134" t="str">
        <f>IFERROR(__xludf.DUMMYFUNCTION("""COMPUTED_VALUE"""),"Santa Fe Do Sul")</f>
        <v>Santa Fe Do Sul</v>
      </c>
      <c r="B7525" s="120" t="str">
        <f>IFERROR(__xludf.DUMMYFUNCTION("""COMPUTED_VALUE"""),"SFV")</f>
        <v>SFV</v>
      </c>
      <c r="C7525" s="120" t="str">
        <f>IFERROR(__xludf.DUMMYFUNCTION("""COMPUTED_VALUE"""),"Santa Fe Do Sul")</f>
        <v>Santa Fe Do Sul</v>
      </c>
      <c r="D7525" s="120" t="str">
        <f>IFERROR(__xludf.DUMMYFUNCTION("""COMPUTED_VALUE"""),"Brazil")</f>
        <v>Brazil</v>
      </c>
      <c r="E7525" s="135"/>
      <c r="F7525" s="31"/>
    </row>
    <row r="7526">
      <c r="A7526" s="134" t="str">
        <f>IFERROR(__xludf.DUMMYFUNCTION("""COMPUTED_VALUE"""),"Santa Isabel do Morro")</f>
        <v>Santa Isabel do Morro</v>
      </c>
      <c r="B7526" s="120" t="str">
        <f>IFERROR(__xludf.DUMMYFUNCTION("""COMPUTED_VALUE"""),"IDO")</f>
        <v>IDO</v>
      </c>
      <c r="C7526" s="120" t="str">
        <f>IFERROR(__xludf.DUMMYFUNCTION("""COMPUTED_VALUE"""),"Rio")</f>
        <v>Rio</v>
      </c>
      <c r="D7526" s="120" t="str">
        <f>IFERROR(__xludf.DUMMYFUNCTION("""COMPUTED_VALUE"""),"Brazil")</f>
        <v>Brazil</v>
      </c>
      <c r="E7526" s="135"/>
      <c r="F7526" s="31"/>
    </row>
    <row r="7527">
      <c r="A7527" s="134" t="str">
        <f>IFERROR(__xludf.DUMMYFUNCTION("""COMPUTED_VALUE"""),"Santa Katarina")</f>
        <v>Santa Katarina</v>
      </c>
      <c r="B7527" s="120" t="str">
        <f>IFERROR(__xludf.DUMMYFUNCTION("""COMPUTED_VALUE"""),"SKV")</f>
        <v>SKV</v>
      </c>
      <c r="C7527" s="120" t="str">
        <f>IFERROR(__xludf.DUMMYFUNCTION("""COMPUTED_VALUE"""),"Mount Sinai")</f>
        <v>Mount Sinai</v>
      </c>
      <c r="D7527" s="120" t="str">
        <f>IFERROR(__xludf.DUMMYFUNCTION("""COMPUTED_VALUE"""),"Egypt")</f>
        <v>Egypt</v>
      </c>
      <c r="E7527" s="135"/>
      <c r="F7527" s="31"/>
    </row>
    <row r="7528">
      <c r="A7528" s="134" t="str">
        <f>IFERROR(__xludf.DUMMYFUNCTION("""COMPUTED_VALUE"""),"Santa Maria")</f>
        <v>Santa Maria</v>
      </c>
      <c r="B7528" s="120" t="str">
        <f>IFERROR(__xludf.DUMMYFUNCTION("""COMPUTED_VALUE"""),"SMX")</f>
        <v>SMX</v>
      </c>
      <c r="C7528" s="120" t="str">
        <f>IFERROR(__xludf.DUMMYFUNCTION("""COMPUTED_VALUE"""),"Public")</f>
        <v>Public</v>
      </c>
      <c r="D7528" s="120" t="str">
        <f>IFERROR(__xludf.DUMMYFUNCTION("""COMPUTED_VALUE"""),"United States")</f>
        <v>United States</v>
      </c>
      <c r="E7528" s="135"/>
      <c r="F7528" s="31"/>
    </row>
    <row r="7529">
      <c r="A7529" s="134" t="str">
        <f>IFERROR(__xludf.DUMMYFUNCTION("""COMPUTED_VALUE"""),"Santa Maria")</f>
        <v>Santa Maria</v>
      </c>
      <c r="B7529" s="120" t="str">
        <f>IFERROR(__xludf.DUMMYFUNCTION("""COMPUTED_VALUE"""),"SMC")</f>
        <v>SMC</v>
      </c>
      <c r="C7529" s="120" t="str">
        <f>IFERROR(__xludf.DUMMYFUNCTION("""COMPUTED_VALUE"""),"Santa Maria")</f>
        <v>Santa Maria</v>
      </c>
      <c r="D7529" s="120" t="str">
        <f>IFERROR(__xludf.DUMMYFUNCTION("""COMPUTED_VALUE"""),"Colombia")</f>
        <v>Colombia</v>
      </c>
      <c r="E7529" s="135"/>
      <c r="F7529" s="31"/>
    </row>
    <row r="7530">
      <c r="A7530" s="134" t="str">
        <f>IFERROR(__xludf.DUMMYFUNCTION("""COMPUTED_VALUE"""),"Santa Maria")</f>
        <v>Santa Maria</v>
      </c>
      <c r="B7530" s="120" t="str">
        <f>IFERROR(__xludf.DUMMYFUNCTION("""COMPUTED_VALUE"""),"SMG")</f>
        <v>SMG</v>
      </c>
      <c r="C7530" s="120" t="str">
        <f>IFERROR(__xludf.DUMMYFUNCTION("""COMPUTED_VALUE"""),"Santa Maria")</f>
        <v>Santa Maria</v>
      </c>
      <c r="D7530" s="120" t="str">
        <f>IFERROR(__xludf.DUMMYFUNCTION("""COMPUTED_VALUE"""),"Peru")</f>
        <v>Peru</v>
      </c>
      <c r="E7530" s="135"/>
      <c r="F7530" s="31"/>
    </row>
    <row r="7531">
      <c r="A7531" s="134" t="str">
        <f>IFERROR(__xludf.DUMMYFUNCTION("""COMPUTED_VALUE"""),"Santa Maria")</f>
        <v>Santa Maria</v>
      </c>
      <c r="B7531" s="120" t="str">
        <f>IFERROR(__xludf.DUMMYFUNCTION("""COMPUTED_VALUE"""),"SMA")</f>
        <v>SMA</v>
      </c>
      <c r="C7531" s="120" t="str">
        <f>IFERROR(__xludf.DUMMYFUNCTION("""COMPUTED_VALUE"""),"Vila Do Porto")</f>
        <v>Vila Do Porto</v>
      </c>
      <c r="D7531" s="120" t="str">
        <f>IFERROR(__xludf.DUMMYFUNCTION("""COMPUTED_VALUE"""),"Portugal")</f>
        <v>Portugal</v>
      </c>
      <c r="E7531" s="135"/>
      <c r="F7531" s="31"/>
    </row>
    <row r="7532">
      <c r="A7532" s="134" t="str">
        <f>IFERROR(__xludf.DUMMYFUNCTION("""COMPUTED_VALUE"""),"Santa Maria")</f>
        <v>Santa Maria</v>
      </c>
      <c r="B7532" s="120" t="str">
        <f>IFERROR(__xludf.DUMMYFUNCTION("""COMPUTED_VALUE"""),"RIA")</f>
        <v>RIA</v>
      </c>
      <c r="C7532" s="120" t="str">
        <f>IFERROR(__xludf.DUMMYFUNCTION("""COMPUTED_VALUE"""),"Base Aerea")</f>
        <v>Base Aerea</v>
      </c>
      <c r="D7532" s="120" t="str">
        <f>IFERROR(__xludf.DUMMYFUNCTION("""COMPUTED_VALUE"""),"Brazil")</f>
        <v>Brazil</v>
      </c>
      <c r="E7532" s="135"/>
      <c r="F7532" s="31"/>
    </row>
    <row r="7533">
      <c r="A7533" s="134" t="str">
        <f>IFERROR(__xludf.DUMMYFUNCTION("""COMPUTED_VALUE"""),"Santa Marta")</f>
        <v>Santa Marta</v>
      </c>
      <c r="B7533" s="120" t="str">
        <f>IFERROR(__xludf.DUMMYFUNCTION("""COMPUTED_VALUE"""),"SMR")</f>
        <v>SMR</v>
      </c>
      <c r="C7533" s="120" t="str">
        <f>IFERROR(__xludf.DUMMYFUNCTION("""COMPUTED_VALUE"""),"Simon Bolivar")</f>
        <v>Simon Bolivar</v>
      </c>
      <c r="D7533" s="120" t="str">
        <f>IFERROR(__xludf.DUMMYFUNCTION("""COMPUTED_VALUE"""),"Colombia")</f>
        <v>Colombia</v>
      </c>
      <c r="E7533" s="135"/>
      <c r="F7533" s="31"/>
    </row>
    <row r="7534">
      <c r="A7534" s="134" t="str">
        <f>IFERROR(__xludf.DUMMYFUNCTION("""COMPUTED_VALUE"""),"Santa Monica")</f>
        <v>Santa Monica</v>
      </c>
      <c r="B7534" s="120" t="str">
        <f>IFERROR(__xludf.DUMMYFUNCTION("""COMPUTED_VALUE"""),"SMO")</f>
        <v>SMO</v>
      </c>
      <c r="C7534" s="120" t="str">
        <f>IFERROR(__xludf.DUMMYFUNCTION("""COMPUTED_VALUE"""),"Santa Monica")</f>
        <v>Santa Monica</v>
      </c>
      <c r="D7534" s="120" t="str">
        <f>IFERROR(__xludf.DUMMYFUNCTION("""COMPUTED_VALUE"""),"United States")</f>
        <v>United States</v>
      </c>
      <c r="E7534" s="135"/>
      <c r="F7534" s="31"/>
    </row>
    <row r="7535">
      <c r="A7535" s="134" t="str">
        <f>IFERROR(__xludf.DUMMYFUNCTION("""COMPUTED_VALUE"""),"Santa Paula")</f>
        <v>Santa Paula</v>
      </c>
      <c r="B7535" s="120" t="str">
        <f>IFERROR(__xludf.DUMMYFUNCTION("""COMPUTED_VALUE"""),"SZP")</f>
        <v>SZP</v>
      </c>
      <c r="C7535" s="120" t="str">
        <f>IFERROR(__xludf.DUMMYFUNCTION("""COMPUTED_VALUE"""),"Santa Paula")</f>
        <v>Santa Paula</v>
      </c>
      <c r="D7535" s="120" t="str">
        <f>IFERROR(__xludf.DUMMYFUNCTION("""COMPUTED_VALUE"""),"United States")</f>
        <v>United States</v>
      </c>
      <c r="E7535" s="135"/>
      <c r="F7535" s="31"/>
    </row>
    <row r="7536">
      <c r="A7536" s="134" t="str">
        <f>IFERROR(__xludf.DUMMYFUNCTION("""COMPUTED_VALUE"""),"Santa Rosa")</f>
        <v>Santa Rosa</v>
      </c>
      <c r="B7536" s="120" t="str">
        <f>IFERROR(__xludf.DUMMYFUNCTION("""COMPUTED_VALUE"""),"SRB")</f>
        <v>SRB</v>
      </c>
      <c r="C7536" s="120" t="str">
        <f>IFERROR(__xludf.DUMMYFUNCTION("""COMPUTED_VALUE"""),"Santa Rosa")</f>
        <v>Santa Rosa</v>
      </c>
      <c r="D7536" s="120" t="str">
        <f>IFERROR(__xludf.DUMMYFUNCTION("""COMPUTED_VALUE"""),"Bolivia")</f>
        <v>Bolivia</v>
      </c>
      <c r="E7536" s="135"/>
      <c r="F7536" s="31"/>
    </row>
    <row r="7537">
      <c r="A7537" s="134" t="str">
        <f>IFERROR(__xludf.DUMMYFUNCTION("""COMPUTED_VALUE"""),"Santa Rosa")</f>
        <v>Santa Rosa</v>
      </c>
      <c r="B7537" s="120" t="str">
        <f>IFERROR(__xludf.DUMMYFUNCTION("""COMPUTED_VALUE"""),"STS")</f>
        <v>STS</v>
      </c>
      <c r="C7537" s="120" t="str">
        <f>IFERROR(__xludf.DUMMYFUNCTION("""COMPUTED_VALUE"""),"Sonoma County")</f>
        <v>Sonoma County</v>
      </c>
      <c r="D7537" s="120" t="str">
        <f>IFERROR(__xludf.DUMMYFUNCTION("""COMPUTED_VALUE"""),"United States")</f>
        <v>United States</v>
      </c>
      <c r="E7537" s="135"/>
      <c r="F7537" s="31"/>
    </row>
    <row r="7538">
      <c r="A7538" s="134" t="str">
        <f>IFERROR(__xludf.DUMMYFUNCTION("""COMPUTED_VALUE"""),"Santa Rosa")</f>
        <v>Santa Rosa</v>
      </c>
      <c r="B7538" s="120" t="str">
        <f>IFERROR(__xludf.DUMMYFUNCTION("""COMPUTED_VALUE"""),"RSA")</f>
        <v>RSA</v>
      </c>
      <c r="C7538" s="120" t="str">
        <f>IFERROR(__xludf.DUMMYFUNCTION("""COMPUTED_VALUE"""),"Santa Rosa")</f>
        <v>Santa Rosa</v>
      </c>
      <c r="D7538" s="120" t="str">
        <f>IFERROR(__xludf.DUMMYFUNCTION("""COMPUTED_VALUE"""),"Argentina")</f>
        <v>Argentina</v>
      </c>
      <c r="E7538" s="135"/>
      <c r="F7538" s="31"/>
    </row>
    <row r="7539">
      <c r="A7539" s="134" t="str">
        <f>IFERROR(__xludf.DUMMYFUNCTION("""COMPUTED_VALUE"""),"Santa Rosa")</f>
        <v>Santa Rosa</v>
      </c>
      <c r="B7539" s="120" t="str">
        <f>IFERROR(__xludf.DUMMYFUNCTION("""COMPUTED_VALUE"""),"SRA")</f>
        <v>SRA</v>
      </c>
      <c r="C7539" s="120" t="str">
        <f>IFERROR(__xludf.DUMMYFUNCTION("""COMPUTED_VALUE"""),"Santa Rosa")</f>
        <v>Santa Rosa</v>
      </c>
      <c r="D7539" s="120" t="str">
        <f>IFERROR(__xludf.DUMMYFUNCTION("""COMPUTED_VALUE"""),"Brazil")</f>
        <v>Brazil</v>
      </c>
      <c r="E7539" s="135"/>
      <c r="F7539" s="31"/>
    </row>
    <row r="7540">
      <c r="A7540" s="134" t="str">
        <f>IFERROR(__xludf.DUMMYFUNCTION("""COMPUTED_VALUE"""),"Santa Rosa Copan")</f>
        <v>Santa Rosa Copan</v>
      </c>
      <c r="B7540" s="120" t="str">
        <f>IFERROR(__xludf.DUMMYFUNCTION("""COMPUTED_VALUE"""),"SDH")</f>
        <v>SDH</v>
      </c>
      <c r="C7540" s="120" t="str">
        <f>IFERROR(__xludf.DUMMYFUNCTION("""COMPUTED_VALUE"""),"Santa Rosa Copan")</f>
        <v>Santa Rosa Copan</v>
      </c>
      <c r="D7540" s="120" t="str">
        <f>IFERROR(__xludf.DUMMYFUNCTION("""COMPUTED_VALUE"""),"Honduras")</f>
        <v>Honduras</v>
      </c>
      <c r="E7540" s="135"/>
      <c r="F7540" s="31"/>
    </row>
    <row r="7541">
      <c r="A7541" s="134" t="str">
        <f>IFERROR(__xludf.DUMMYFUNCTION("""COMPUTED_VALUE"""),"Santa Rosalia")</f>
        <v>Santa Rosalia</v>
      </c>
      <c r="B7541" s="120" t="str">
        <f>IFERROR(__xludf.DUMMYFUNCTION("""COMPUTED_VALUE"""),"SSL")</f>
        <v>SSL</v>
      </c>
      <c r="C7541" s="120" t="str">
        <f>IFERROR(__xludf.DUMMYFUNCTION("""COMPUTED_VALUE"""),"Santa Rosalia")</f>
        <v>Santa Rosalia</v>
      </c>
      <c r="D7541" s="120" t="str">
        <f>IFERROR(__xludf.DUMMYFUNCTION("""COMPUTED_VALUE"""),"Colombia")</f>
        <v>Colombia</v>
      </c>
      <c r="E7541" s="135"/>
      <c r="F7541" s="31"/>
    </row>
    <row r="7542">
      <c r="A7542" s="134" t="str">
        <f>IFERROR(__xludf.DUMMYFUNCTION("""COMPUTED_VALUE"""),"Santa Rosalia")</f>
        <v>Santa Rosalia</v>
      </c>
      <c r="B7542" s="120" t="str">
        <f>IFERROR(__xludf.DUMMYFUNCTION("""COMPUTED_VALUE"""),"SRL")</f>
        <v>SRL</v>
      </c>
      <c r="C7542" s="120" t="str">
        <f>IFERROR(__xludf.DUMMYFUNCTION("""COMPUTED_VALUE"""),"Santa Rosalia")</f>
        <v>Santa Rosalia</v>
      </c>
      <c r="D7542" s="120" t="str">
        <f>IFERROR(__xludf.DUMMYFUNCTION("""COMPUTED_VALUE"""),"Mexico")</f>
        <v>Mexico</v>
      </c>
      <c r="E7542" s="135"/>
      <c r="F7542" s="31"/>
    </row>
    <row r="7543">
      <c r="A7543" s="134" t="str">
        <f>IFERROR(__xludf.DUMMYFUNCTION("""COMPUTED_VALUE"""),"Santa Teresita")</f>
        <v>Santa Teresita</v>
      </c>
      <c r="B7543" s="120" t="str">
        <f>IFERROR(__xludf.DUMMYFUNCTION("""COMPUTED_VALUE"""),"SST")</f>
        <v>SST</v>
      </c>
      <c r="C7543" s="120" t="str">
        <f>IFERROR(__xludf.DUMMYFUNCTION("""COMPUTED_VALUE"""),"Santa Teresita")</f>
        <v>Santa Teresita</v>
      </c>
      <c r="D7543" s="120" t="str">
        <f>IFERROR(__xludf.DUMMYFUNCTION("""COMPUTED_VALUE"""),"Argentina")</f>
        <v>Argentina</v>
      </c>
      <c r="E7543" s="135"/>
      <c r="F7543" s="31"/>
    </row>
    <row r="7544">
      <c r="A7544" s="134" t="str">
        <f>IFERROR(__xludf.DUMMYFUNCTION("""COMPUTED_VALUE"""),"Santa Terezinha")</f>
        <v>Santa Terezinha</v>
      </c>
      <c r="B7544" s="120" t="str">
        <f>IFERROR(__xludf.DUMMYFUNCTION("""COMPUTED_VALUE"""),"STZ")</f>
        <v>STZ</v>
      </c>
      <c r="C7544" s="120" t="str">
        <f>IFERROR(__xludf.DUMMYFUNCTION("""COMPUTED_VALUE"""),"Confresa")</f>
        <v>Confresa</v>
      </c>
      <c r="D7544" s="120" t="str">
        <f>IFERROR(__xludf.DUMMYFUNCTION("""COMPUTED_VALUE"""),"Brazil")</f>
        <v>Brazil</v>
      </c>
      <c r="E7544" s="135"/>
      <c r="F7544" s="31"/>
    </row>
    <row r="7545">
      <c r="A7545" s="134" t="str">
        <f>IFERROR(__xludf.DUMMYFUNCTION("""COMPUTED_VALUE"""),"Oakland")</f>
        <v>Oakland</v>
      </c>
      <c r="B7545" s="120" t="str">
        <f>IFERROR(__xludf.DUMMYFUNCTION("""COMPUTED_VALUE"""),"CTQ")</f>
        <v>CTQ</v>
      </c>
      <c r="C7545" s="120" t="str">
        <f>IFERROR(__xludf.DUMMYFUNCTION("""COMPUTED_VALUE"""),"Oakland")</f>
        <v>Oakland</v>
      </c>
      <c r="D7545" s="120" t="str">
        <f>IFERROR(__xludf.DUMMYFUNCTION("""COMPUTED_VALUE"""),"America")</f>
        <v>America</v>
      </c>
      <c r="E7545" s="135"/>
      <c r="F7545" s="31"/>
    </row>
    <row r="7546">
      <c r="A7546" s="134" t="str">
        <f>IFERROR(__xludf.DUMMYFUNCTION("""COMPUTED_VALUE"""),"Santa Ynez")</f>
        <v>Santa Ynez</v>
      </c>
      <c r="B7546" s="120" t="str">
        <f>IFERROR(__xludf.DUMMYFUNCTION("""COMPUTED_VALUE"""),"SQA")</f>
        <v>SQA</v>
      </c>
      <c r="C7546" s="120" t="str">
        <f>IFERROR(__xludf.DUMMYFUNCTION("""COMPUTED_VALUE"""),"Santa Ynez")</f>
        <v>Santa Ynez</v>
      </c>
      <c r="D7546" s="120" t="str">
        <f>IFERROR(__xludf.DUMMYFUNCTION("""COMPUTED_VALUE"""),"United States")</f>
        <v>United States</v>
      </c>
      <c r="E7546" s="135"/>
      <c r="F7546" s="31"/>
    </row>
    <row r="7547">
      <c r="A7547" s="134" t="str">
        <f>IFERROR(__xludf.DUMMYFUNCTION("""COMPUTED_VALUE"""),"Santana Do Araguaia")</f>
        <v>Santana Do Araguaia</v>
      </c>
      <c r="B7547" s="120" t="str">
        <f>IFERROR(__xludf.DUMMYFUNCTION("""COMPUTED_VALUE"""),"CMP")</f>
        <v>CMP</v>
      </c>
      <c r="C7547" s="120" t="str">
        <f>IFERROR(__xludf.DUMMYFUNCTION("""COMPUTED_VALUE"""),"Campo Alegre")</f>
        <v>Campo Alegre</v>
      </c>
      <c r="D7547" s="120" t="str">
        <f>IFERROR(__xludf.DUMMYFUNCTION("""COMPUTED_VALUE"""),"Brazil")</f>
        <v>Brazil</v>
      </c>
      <c r="E7547" s="135"/>
      <c r="F7547" s="31"/>
    </row>
    <row r="7548">
      <c r="A7548" s="134" t="str">
        <f>IFERROR(__xludf.DUMMYFUNCTION("""COMPUTED_VALUE"""),"Santana Ramos")</f>
        <v>Santana Ramos</v>
      </c>
      <c r="B7548" s="120" t="str">
        <f>IFERROR(__xludf.DUMMYFUNCTION("""COMPUTED_VALUE"""),"SRO")</f>
        <v>SRO</v>
      </c>
      <c r="C7548" s="120" t="str">
        <f>IFERROR(__xludf.DUMMYFUNCTION("""COMPUTED_VALUE"""),"Santana Ramos")</f>
        <v>Santana Ramos</v>
      </c>
      <c r="D7548" s="120" t="str">
        <f>IFERROR(__xludf.DUMMYFUNCTION("""COMPUTED_VALUE"""),"Colombia")</f>
        <v>Colombia</v>
      </c>
      <c r="E7548" s="135"/>
      <c r="F7548" s="31"/>
    </row>
    <row r="7549">
      <c r="A7549" s="134" t="str">
        <f>IFERROR(__xludf.DUMMYFUNCTION("""COMPUTED_VALUE"""),"Santander")</f>
        <v>Santander</v>
      </c>
      <c r="B7549" s="120" t="str">
        <f>IFERROR(__xludf.DUMMYFUNCTION("""COMPUTED_VALUE"""),"SDR")</f>
        <v>SDR</v>
      </c>
      <c r="C7549" s="120" t="str">
        <f>IFERROR(__xludf.DUMMYFUNCTION("""COMPUTED_VALUE"""),"Santander")</f>
        <v>Santander</v>
      </c>
      <c r="D7549" s="120" t="str">
        <f>IFERROR(__xludf.DUMMYFUNCTION("""COMPUTED_VALUE"""),"Spain")</f>
        <v>Spain</v>
      </c>
      <c r="E7549" s="135"/>
      <c r="F7549" s="31"/>
    </row>
    <row r="7550">
      <c r="A7550" s="134" t="str">
        <f>IFERROR(__xludf.DUMMYFUNCTION("""COMPUTED_VALUE"""),"Santarem")</f>
        <v>Santarem</v>
      </c>
      <c r="B7550" s="120" t="str">
        <f>IFERROR(__xludf.DUMMYFUNCTION("""COMPUTED_VALUE"""),"STM")</f>
        <v>STM</v>
      </c>
      <c r="C7550" s="120" t="str">
        <f>IFERROR(__xludf.DUMMYFUNCTION("""COMPUTED_VALUE"""),"Eduardo Gomes")</f>
        <v>Eduardo Gomes</v>
      </c>
      <c r="D7550" s="120" t="str">
        <f>IFERROR(__xludf.DUMMYFUNCTION("""COMPUTED_VALUE"""),"Brazil")</f>
        <v>Brazil</v>
      </c>
      <c r="E7550" s="135"/>
      <c r="F7550" s="31"/>
    </row>
    <row r="7551">
      <c r="A7551" s="134" t="str">
        <f>IFERROR(__xludf.DUMMYFUNCTION("""COMPUTED_VALUE"""),"Santiago")</f>
        <v>Santiago</v>
      </c>
      <c r="B7551" s="120" t="str">
        <f>IFERROR(__xludf.DUMMYFUNCTION("""COMPUTED_VALUE"""),"SCL")</f>
        <v>SCL</v>
      </c>
      <c r="C7551" s="120" t="str">
        <f>IFERROR(__xludf.DUMMYFUNCTION("""COMPUTED_VALUE"""),"Arturo Merino Benitez")</f>
        <v>Arturo Merino Benitez</v>
      </c>
      <c r="D7551" s="120" t="str">
        <f>IFERROR(__xludf.DUMMYFUNCTION("""COMPUTED_VALUE"""),"Chile")</f>
        <v>Chile</v>
      </c>
      <c r="E7551" s="135"/>
      <c r="F7551" s="31"/>
    </row>
    <row r="7552">
      <c r="A7552" s="134" t="str">
        <f>IFERROR(__xludf.DUMMYFUNCTION("""COMPUTED_VALUE"""),"Santiago")</f>
        <v>Santiago</v>
      </c>
      <c r="B7552" s="120" t="str">
        <f>IFERROR(__xludf.DUMMYFUNCTION("""COMPUTED_VALUE"""),"ULC")</f>
        <v>ULC</v>
      </c>
      <c r="C7552" s="120" t="str">
        <f>IFERROR(__xludf.DUMMYFUNCTION("""COMPUTED_VALUE"""),"Los Cerrillos")</f>
        <v>Los Cerrillos</v>
      </c>
      <c r="D7552" s="120" t="str">
        <f>IFERROR(__xludf.DUMMYFUNCTION("""COMPUTED_VALUE"""),"Chile")</f>
        <v>Chile</v>
      </c>
      <c r="E7552" s="135"/>
      <c r="F7552" s="31"/>
    </row>
    <row r="7553">
      <c r="A7553" s="134" t="str">
        <f>IFERROR(__xludf.DUMMYFUNCTION("""COMPUTED_VALUE"""),"Santiago")</f>
        <v>Santiago</v>
      </c>
      <c r="B7553" s="120" t="str">
        <f>IFERROR(__xludf.DUMMYFUNCTION("""COMPUTED_VALUE"""),"SCU")</f>
        <v>SCU</v>
      </c>
      <c r="C7553" s="120" t="str">
        <f>IFERROR(__xludf.DUMMYFUNCTION("""COMPUTED_VALUE"""),"Antonio Maceo")</f>
        <v>Antonio Maceo</v>
      </c>
      <c r="D7553" s="120" t="str">
        <f>IFERROR(__xludf.DUMMYFUNCTION("""COMPUTED_VALUE"""),"Cuba")</f>
        <v>Cuba</v>
      </c>
      <c r="E7553" s="135"/>
      <c r="F7553" s="31"/>
    </row>
    <row r="7554">
      <c r="A7554" s="134" t="str">
        <f>IFERROR(__xludf.DUMMYFUNCTION("""COMPUTED_VALUE"""),"Santiago")</f>
        <v>Santiago</v>
      </c>
      <c r="B7554" s="120" t="str">
        <f>IFERROR(__xludf.DUMMYFUNCTION("""COMPUTED_VALUE"""),"STI")</f>
        <v>STI</v>
      </c>
      <c r="C7554" s="120" t="str">
        <f>IFERROR(__xludf.DUMMYFUNCTION("""COMPUTED_VALUE"""),"Municipal")</f>
        <v>Municipal</v>
      </c>
      <c r="D7554" s="120" t="str">
        <f>IFERROR(__xludf.DUMMYFUNCTION("""COMPUTED_VALUE"""),"Dominican Republic")</f>
        <v>Dominican Republic</v>
      </c>
      <c r="E7554" s="135"/>
      <c r="F7554" s="31"/>
    </row>
    <row r="7555">
      <c r="A7555" s="134" t="str">
        <f>IFERROR(__xludf.DUMMYFUNCTION("""COMPUTED_VALUE"""),"Santiago")</f>
        <v>Santiago</v>
      </c>
      <c r="B7555" s="120" t="str">
        <f>IFERROR(__xludf.DUMMYFUNCTION("""COMPUTED_VALUE"""),"SYP")</f>
        <v>SYP</v>
      </c>
      <c r="C7555" s="120" t="str">
        <f>IFERROR(__xludf.DUMMYFUNCTION("""COMPUTED_VALUE"""),"Santiago")</f>
        <v>Santiago</v>
      </c>
      <c r="D7555" s="120" t="str">
        <f>IFERROR(__xludf.DUMMYFUNCTION("""COMPUTED_VALUE"""),"Panama")</f>
        <v>Panama</v>
      </c>
      <c r="E7555" s="135"/>
      <c r="F7555" s="31"/>
    </row>
    <row r="7556">
      <c r="A7556" s="134" t="str">
        <f>IFERROR(__xludf.DUMMYFUNCTION("""COMPUTED_VALUE"""),"Santiago De Compostela")</f>
        <v>Santiago De Compostela</v>
      </c>
      <c r="B7556" s="120" t="str">
        <f>IFERROR(__xludf.DUMMYFUNCTION("""COMPUTED_VALUE"""),"SCQ")</f>
        <v>SCQ</v>
      </c>
      <c r="C7556" s="120" t="str">
        <f>IFERROR(__xludf.DUMMYFUNCTION("""COMPUTED_VALUE"""),"Santiago De Compostela")</f>
        <v>Santiago De Compostela</v>
      </c>
      <c r="D7556" s="120" t="str">
        <f>IFERROR(__xludf.DUMMYFUNCTION("""COMPUTED_VALUE"""),"Spain")</f>
        <v>Spain</v>
      </c>
      <c r="E7556" s="135"/>
      <c r="F7556" s="31"/>
    </row>
    <row r="7557">
      <c r="A7557" s="134" t="str">
        <f>IFERROR(__xludf.DUMMYFUNCTION("""COMPUTED_VALUE"""),"Santiago Del Estero")</f>
        <v>Santiago Del Estero</v>
      </c>
      <c r="B7557" s="120" t="str">
        <f>IFERROR(__xludf.DUMMYFUNCTION("""COMPUTED_VALUE"""),"SDE")</f>
        <v>SDE</v>
      </c>
      <c r="C7557" s="120" t="str">
        <f>IFERROR(__xludf.DUMMYFUNCTION("""COMPUTED_VALUE"""),"Santiago Del Estero")</f>
        <v>Santiago Del Estero</v>
      </c>
      <c r="D7557" s="120" t="str">
        <f>IFERROR(__xludf.DUMMYFUNCTION("""COMPUTED_VALUE"""),"Argentina")</f>
        <v>Argentina</v>
      </c>
      <c r="E7557" s="135"/>
      <c r="F7557" s="31"/>
    </row>
    <row r="7558">
      <c r="A7558" s="134" t="str">
        <f>IFERROR(__xludf.DUMMYFUNCTION("""COMPUTED_VALUE"""),"Santo Angelo")</f>
        <v>Santo Angelo</v>
      </c>
      <c r="B7558" s="120" t="str">
        <f>IFERROR(__xludf.DUMMYFUNCTION("""COMPUTED_VALUE"""),"GEL")</f>
        <v>GEL</v>
      </c>
      <c r="C7558" s="120" t="str">
        <f>IFERROR(__xludf.DUMMYFUNCTION("""COMPUTED_VALUE"""),"Sepe Tiaraju")</f>
        <v>Sepe Tiaraju</v>
      </c>
      <c r="D7558" s="120" t="str">
        <f>IFERROR(__xludf.DUMMYFUNCTION("""COMPUTED_VALUE"""),"Brazil")</f>
        <v>Brazil</v>
      </c>
      <c r="E7558" s="135"/>
      <c r="F7558" s="31"/>
    </row>
    <row r="7559">
      <c r="A7559" s="134" t="str">
        <f>IFERROR(__xludf.DUMMYFUNCTION("""COMPUTED_VALUE"""),"Santo Antao")</f>
        <v>Santo Antao</v>
      </c>
      <c r="B7559" s="120" t="str">
        <f>IFERROR(__xludf.DUMMYFUNCTION("""COMPUTED_VALUE"""),"NTO")</f>
        <v>NTO</v>
      </c>
      <c r="C7559" s="120" t="str">
        <f>IFERROR(__xludf.DUMMYFUNCTION("""COMPUTED_VALUE"""),"Santo Antao")</f>
        <v>Santo Antao</v>
      </c>
      <c r="D7559" s="120" t="str">
        <f>IFERROR(__xludf.DUMMYFUNCTION("""COMPUTED_VALUE"""),"Cape Verde")</f>
        <v>Cape Verde</v>
      </c>
      <c r="E7559" s="135"/>
      <c r="F7559" s="31"/>
    </row>
    <row r="7560">
      <c r="A7560" s="134" t="str">
        <f>IFERROR(__xludf.DUMMYFUNCTION("""COMPUTED_VALUE"""),"Santo Domingo")</f>
        <v>Santo Domingo</v>
      </c>
      <c r="B7560" s="120" t="str">
        <f>IFERROR(__xludf.DUMMYFUNCTION("""COMPUTED_VALUE"""),"HEX")</f>
        <v>HEX</v>
      </c>
      <c r="C7560" s="120" t="str">
        <f>IFERROR(__xludf.DUMMYFUNCTION("""COMPUTED_VALUE"""),"Herrera")</f>
        <v>Herrera</v>
      </c>
      <c r="D7560" s="120" t="str">
        <f>IFERROR(__xludf.DUMMYFUNCTION("""COMPUTED_VALUE"""),"Dominican Republic")</f>
        <v>Dominican Republic</v>
      </c>
      <c r="E7560" s="135"/>
      <c r="F7560" s="31"/>
    </row>
    <row r="7561">
      <c r="A7561" s="134" t="str">
        <f>IFERROR(__xludf.DUMMYFUNCTION("""COMPUTED_VALUE"""),"Santo Domingo")</f>
        <v>Santo Domingo</v>
      </c>
      <c r="B7561" s="120" t="str">
        <f>IFERROR(__xludf.DUMMYFUNCTION("""COMPUTED_VALUE"""),"SDQ")</f>
        <v>SDQ</v>
      </c>
      <c r="C7561" s="120" t="str">
        <f>IFERROR(__xludf.DUMMYFUNCTION("""COMPUTED_VALUE"""),"Las Americas")</f>
        <v>Las Americas</v>
      </c>
      <c r="D7561" s="120" t="str">
        <f>IFERROR(__xludf.DUMMYFUNCTION("""COMPUTED_VALUE"""),"Dominican Republic")</f>
        <v>Dominican Republic</v>
      </c>
      <c r="E7561" s="135"/>
      <c r="F7561" s="31"/>
    </row>
    <row r="7562">
      <c r="A7562" s="134" t="str">
        <f>IFERROR(__xludf.DUMMYFUNCTION("""COMPUTED_VALUE"""),"Santo Domingo")</f>
        <v>Santo Domingo</v>
      </c>
      <c r="B7562" s="120" t="str">
        <f>IFERROR(__xludf.DUMMYFUNCTION("""COMPUTED_VALUE"""),"STD")</f>
        <v>STD</v>
      </c>
      <c r="C7562" s="120" t="str">
        <f>IFERROR(__xludf.DUMMYFUNCTION("""COMPUTED_VALUE"""),"Mayo Guerrero")</f>
        <v>Mayo Guerrero</v>
      </c>
      <c r="D7562" s="120" t="str">
        <f>IFERROR(__xludf.DUMMYFUNCTION("""COMPUTED_VALUE"""),"Venezuela")</f>
        <v>Venezuela</v>
      </c>
      <c r="E7562" s="135"/>
      <c r="F7562" s="31"/>
    </row>
    <row r="7563">
      <c r="A7563" s="134" t="str">
        <f>IFERROR(__xludf.DUMMYFUNCTION("""COMPUTED_VALUE"""),"Santos")</f>
        <v>Santos</v>
      </c>
      <c r="B7563" s="120" t="str">
        <f>IFERROR(__xludf.DUMMYFUNCTION("""COMPUTED_VALUE"""),"SSZ")</f>
        <v>SSZ</v>
      </c>
      <c r="C7563" s="120" t="str">
        <f>IFERROR(__xludf.DUMMYFUNCTION("""COMPUTED_VALUE"""),"Santos")</f>
        <v>Santos</v>
      </c>
      <c r="D7563" s="120" t="str">
        <f>IFERROR(__xludf.DUMMYFUNCTION("""COMPUTED_VALUE"""),"Brazil")</f>
        <v>Brazil</v>
      </c>
      <c r="E7563" s="135"/>
      <c r="F7563" s="31"/>
    </row>
    <row r="7564">
      <c r="A7564" s="134" t="str">
        <f>IFERROR(__xludf.DUMMYFUNCTION("""COMPUTED_VALUE"""),"Sanya")</f>
        <v>Sanya</v>
      </c>
      <c r="B7564" s="120" t="str">
        <f>IFERROR(__xludf.DUMMYFUNCTION("""COMPUTED_VALUE"""),"SYX")</f>
        <v>SYX</v>
      </c>
      <c r="C7564" s="120" t="str">
        <f>IFERROR(__xludf.DUMMYFUNCTION("""COMPUTED_VALUE"""),"Sanya")</f>
        <v>Sanya</v>
      </c>
      <c r="D7564" s="120" t="str">
        <f>IFERROR(__xludf.DUMMYFUNCTION("""COMPUTED_VALUE"""),"China")</f>
        <v>China</v>
      </c>
      <c r="E7564" s="135"/>
      <c r="F7564" s="31"/>
    </row>
    <row r="7565">
      <c r="A7565" s="134" t="str">
        <f>IFERROR(__xludf.DUMMYFUNCTION("""COMPUTED_VALUE"""),"Sao Felix Do Araguaia")</f>
        <v>Sao Felix Do Araguaia</v>
      </c>
      <c r="B7565" s="120" t="str">
        <f>IFERROR(__xludf.DUMMYFUNCTION("""COMPUTED_VALUE"""),"SXO")</f>
        <v>SXO</v>
      </c>
      <c r="C7565" s="120" t="str">
        <f>IFERROR(__xludf.DUMMYFUNCTION("""COMPUTED_VALUE"""),"Sao Felix Do Araguaia")</f>
        <v>Sao Felix Do Araguaia</v>
      </c>
      <c r="D7565" s="120" t="str">
        <f>IFERROR(__xludf.DUMMYFUNCTION("""COMPUTED_VALUE"""),"Brazil")</f>
        <v>Brazil</v>
      </c>
      <c r="E7565" s="135"/>
      <c r="F7565" s="31"/>
    </row>
    <row r="7566">
      <c r="A7566" s="134" t="str">
        <f>IFERROR(__xludf.DUMMYFUNCTION("""COMPUTED_VALUE"""),"Sao Felix Do Xingu")</f>
        <v>Sao Felix Do Xingu</v>
      </c>
      <c r="B7566" s="120" t="str">
        <f>IFERROR(__xludf.DUMMYFUNCTION("""COMPUTED_VALUE"""),"SXX")</f>
        <v>SXX</v>
      </c>
      <c r="C7566" s="120" t="str">
        <f>IFERROR(__xludf.DUMMYFUNCTION("""COMPUTED_VALUE"""),"Sao Felix Do Xingu")</f>
        <v>Sao Felix Do Xingu</v>
      </c>
      <c r="D7566" s="120" t="str">
        <f>IFERROR(__xludf.DUMMYFUNCTION("""COMPUTED_VALUE"""),"Brazil")</f>
        <v>Brazil</v>
      </c>
      <c r="E7566" s="135"/>
      <c r="F7566" s="31"/>
    </row>
    <row r="7567">
      <c r="A7567" s="134" t="str">
        <f>IFERROR(__xludf.DUMMYFUNCTION("""COMPUTED_VALUE"""),"Sao Filipe")</f>
        <v>Sao Filipe</v>
      </c>
      <c r="B7567" s="120" t="str">
        <f>IFERROR(__xludf.DUMMYFUNCTION("""COMPUTED_VALUE"""),"SFL")</f>
        <v>SFL</v>
      </c>
      <c r="C7567" s="120" t="str">
        <f>IFERROR(__xludf.DUMMYFUNCTION("""COMPUTED_VALUE"""),"Sao Filipe")</f>
        <v>Sao Filipe</v>
      </c>
      <c r="D7567" s="120" t="str">
        <f>IFERROR(__xludf.DUMMYFUNCTION("""COMPUTED_VALUE"""),"Cape Verde")</f>
        <v>Cape Verde</v>
      </c>
      <c r="E7567" s="135"/>
      <c r="F7567" s="31"/>
    </row>
    <row r="7568">
      <c r="A7568" s="134" t="str">
        <f>IFERROR(__xludf.DUMMYFUNCTION("""COMPUTED_VALUE"""),"Sao Gabriel")</f>
        <v>Sao Gabriel</v>
      </c>
      <c r="B7568" s="120" t="str">
        <f>IFERROR(__xludf.DUMMYFUNCTION("""COMPUTED_VALUE"""),"SJL")</f>
        <v>SJL</v>
      </c>
      <c r="C7568" s="120" t="str">
        <f>IFERROR(__xludf.DUMMYFUNCTION("""COMPUTED_VALUE"""),"Da Cachoeira")</f>
        <v>Da Cachoeira</v>
      </c>
      <c r="D7568" s="120" t="str">
        <f>IFERROR(__xludf.DUMMYFUNCTION("""COMPUTED_VALUE"""),"Brazil")</f>
        <v>Brazil</v>
      </c>
      <c r="E7568" s="135"/>
      <c r="F7568" s="31"/>
    </row>
    <row r="7569">
      <c r="A7569" s="134" t="str">
        <f>IFERROR(__xludf.DUMMYFUNCTION("""COMPUTED_VALUE"""),"Sao Jorge Island")</f>
        <v>Sao Jorge Island</v>
      </c>
      <c r="B7569" s="120" t="str">
        <f>IFERROR(__xludf.DUMMYFUNCTION("""COMPUTED_VALUE"""),"SJZ")</f>
        <v>SJZ</v>
      </c>
      <c r="C7569" s="120" t="str">
        <f>IFERROR(__xludf.DUMMYFUNCTION("""COMPUTED_VALUE"""),"Sao Jorge Island")</f>
        <v>Sao Jorge Island</v>
      </c>
      <c r="D7569" s="120" t="str">
        <f>IFERROR(__xludf.DUMMYFUNCTION("""COMPUTED_VALUE"""),"Portugal")</f>
        <v>Portugal</v>
      </c>
      <c r="E7569" s="135"/>
      <c r="F7569" s="31"/>
    </row>
    <row r="7570">
      <c r="A7570" s="134" t="str">
        <f>IFERROR(__xludf.DUMMYFUNCTION("""COMPUTED_VALUE"""),"Sao Jose Do Rio Preto")</f>
        <v>Sao Jose Do Rio Preto</v>
      </c>
      <c r="B7570" s="120" t="str">
        <f>IFERROR(__xludf.DUMMYFUNCTION("""COMPUTED_VALUE"""),"SJP")</f>
        <v>SJP</v>
      </c>
      <c r="C7570" s="120" t="str">
        <f>IFERROR(__xludf.DUMMYFUNCTION("""COMPUTED_VALUE"""),"Sao Jose Do Rio Preto")</f>
        <v>Sao Jose Do Rio Preto</v>
      </c>
      <c r="D7570" s="120" t="str">
        <f>IFERROR(__xludf.DUMMYFUNCTION("""COMPUTED_VALUE"""),"Brazil")</f>
        <v>Brazil</v>
      </c>
      <c r="E7570" s="135"/>
      <c r="F7570" s="31"/>
    </row>
    <row r="7571">
      <c r="A7571" s="134" t="str">
        <f>IFERROR(__xludf.DUMMYFUNCTION("""COMPUTED_VALUE"""),"Sao Jose Dos Campos")</f>
        <v>Sao Jose Dos Campos</v>
      </c>
      <c r="B7571" s="120" t="str">
        <f>IFERROR(__xludf.DUMMYFUNCTION("""COMPUTED_VALUE"""),"SJK")</f>
        <v>SJK</v>
      </c>
      <c r="C7571" s="120" t="str">
        <f>IFERROR(__xludf.DUMMYFUNCTION("""COMPUTED_VALUE"""),"Sao Jose Dos Campos")</f>
        <v>Sao Jose Dos Campos</v>
      </c>
      <c r="D7571" s="120" t="str">
        <f>IFERROR(__xludf.DUMMYFUNCTION("""COMPUTED_VALUE"""),"Brazil")</f>
        <v>Brazil</v>
      </c>
      <c r="E7571" s="135"/>
      <c r="F7571" s="31"/>
    </row>
    <row r="7572">
      <c r="A7572" s="134" t="str">
        <f>IFERROR(__xludf.DUMMYFUNCTION("""COMPUTED_VALUE"""),"Sao Lourenco")</f>
        <v>Sao Lourenco</v>
      </c>
      <c r="B7572" s="120" t="str">
        <f>IFERROR(__xludf.DUMMYFUNCTION("""COMPUTED_VALUE"""),"SSO")</f>
        <v>SSO</v>
      </c>
      <c r="C7572" s="120" t="str">
        <f>IFERROR(__xludf.DUMMYFUNCTION("""COMPUTED_VALUE"""),"Sao Lourenco")</f>
        <v>Sao Lourenco</v>
      </c>
      <c r="D7572" s="120" t="str">
        <f>IFERROR(__xludf.DUMMYFUNCTION("""COMPUTED_VALUE"""),"Brazil")</f>
        <v>Brazil</v>
      </c>
      <c r="E7572" s="135"/>
      <c r="F7572" s="31"/>
    </row>
    <row r="7573">
      <c r="A7573" s="134" t="str">
        <f>IFERROR(__xludf.DUMMYFUNCTION("""COMPUTED_VALUE"""),"Sao Lourenco Do Sul")</f>
        <v>Sao Lourenco Do Sul</v>
      </c>
      <c r="B7573" s="120" t="str">
        <f>IFERROR(__xludf.DUMMYFUNCTION("""COMPUTED_VALUE"""),"SQY")</f>
        <v>SQY</v>
      </c>
      <c r="C7573" s="120" t="str">
        <f>IFERROR(__xludf.DUMMYFUNCTION("""COMPUTED_VALUE"""),"Sao Lourenco Do Sul")</f>
        <v>Sao Lourenco Do Sul</v>
      </c>
      <c r="D7573" s="120" t="str">
        <f>IFERROR(__xludf.DUMMYFUNCTION("""COMPUTED_VALUE"""),"Brazil")</f>
        <v>Brazil</v>
      </c>
      <c r="E7573" s="135"/>
      <c r="F7573" s="31"/>
    </row>
    <row r="7574">
      <c r="A7574" s="134" t="str">
        <f>IFERROR(__xludf.DUMMYFUNCTION("""COMPUTED_VALUE"""),"Salvador")</f>
        <v>Salvador</v>
      </c>
      <c r="B7574" s="120" t="str">
        <f>IFERROR(__xludf.DUMMYFUNCTION("""COMPUTED_VALUE"""),"SLZ")</f>
        <v>SLZ</v>
      </c>
      <c r="C7574" s="120" t="str">
        <f>IFERROR(__xludf.DUMMYFUNCTION("""COMPUTED_VALUE"""),"Mal. Cunha Machado")</f>
        <v>Mal. Cunha Machado</v>
      </c>
      <c r="D7574" s="120" t="str">
        <f>IFERROR(__xludf.DUMMYFUNCTION("""COMPUTED_VALUE"""),"Brazil")</f>
        <v>Brazil</v>
      </c>
      <c r="E7574" s="135"/>
      <c r="F7574" s="31"/>
    </row>
    <row r="7575">
      <c r="A7575" s="134" t="str">
        <f>IFERROR(__xludf.DUMMYFUNCTION("""COMPUTED_VALUE"""),"Sao Mateus")</f>
        <v>Sao Mateus</v>
      </c>
      <c r="B7575" s="120" t="str">
        <f>IFERROR(__xludf.DUMMYFUNCTION("""COMPUTED_VALUE"""),"SBJ")</f>
        <v>SBJ</v>
      </c>
      <c r="C7575" s="120" t="str">
        <f>IFERROR(__xludf.DUMMYFUNCTION("""COMPUTED_VALUE"""),"Sao Mateus")</f>
        <v>Sao Mateus</v>
      </c>
      <c r="D7575" s="120" t="str">
        <f>IFERROR(__xludf.DUMMYFUNCTION("""COMPUTED_VALUE"""),"Brazil")</f>
        <v>Brazil</v>
      </c>
      <c r="E7575" s="135"/>
      <c r="F7575" s="31"/>
    </row>
    <row r="7576">
      <c r="A7576" s="134" t="str">
        <f>IFERROR(__xludf.DUMMYFUNCTION("""COMPUTED_VALUE"""),"Sao Miguel Araguaia")</f>
        <v>Sao Miguel Araguaia</v>
      </c>
      <c r="B7576" s="120" t="str">
        <f>IFERROR(__xludf.DUMMYFUNCTION("""COMPUTED_VALUE"""),"SQM")</f>
        <v>SQM</v>
      </c>
      <c r="C7576" s="120" t="str">
        <f>IFERROR(__xludf.DUMMYFUNCTION("""COMPUTED_VALUE"""),"Sao Miguel Araguaia")</f>
        <v>Sao Miguel Araguaia</v>
      </c>
      <c r="D7576" s="120" t="str">
        <f>IFERROR(__xludf.DUMMYFUNCTION("""COMPUTED_VALUE"""),"Brazil")</f>
        <v>Brazil</v>
      </c>
      <c r="E7576" s="135"/>
      <c r="F7576" s="31"/>
    </row>
    <row r="7577">
      <c r="A7577" s="134" t="str">
        <f>IFERROR(__xludf.DUMMYFUNCTION("""COMPUTED_VALUE"""),"Sao Miguel Do Oeste")</f>
        <v>Sao Miguel Do Oeste</v>
      </c>
      <c r="B7577" s="120" t="str">
        <f>IFERROR(__xludf.DUMMYFUNCTION("""COMPUTED_VALUE"""),"SQX")</f>
        <v>SQX</v>
      </c>
      <c r="C7577" s="120" t="str">
        <f>IFERROR(__xludf.DUMMYFUNCTION("""COMPUTED_VALUE"""),"Sao Miguel Do Oeste")</f>
        <v>Sao Miguel Do Oeste</v>
      </c>
      <c r="D7577" s="120" t="str">
        <f>IFERROR(__xludf.DUMMYFUNCTION("""COMPUTED_VALUE"""),"Brazil")</f>
        <v>Brazil</v>
      </c>
      <c r="E7577" s="135"/>
      <c r="F7577" s="31"/>
    </row>
    <row r="7578">
      <c r="A7578" s="134" t="str">
        <f>IFERROR(__xludf.DUMMYFUNCTION("""COMPUTED_VALUE"""),"Sao Nicolau")</f>
        <v>Sao Nicolau</v>
      </c>
      <c r="B7578" s="120" t="str">
        <f>IFERROR(__xludf.DUMMYFUNCTION("""COMPUTED_VALUE"""),"SNE")</f>
        <v>SNE</v>
      </c>
      <c r="C7578" s="120" t="str">
        <f>IFERROR(__xludf.DUMMYFUNCTION("""COMPUTED_VALUE"""),"Preguica")</f>
        <v>Preguica</v>
      </c>
      <c r="D7578" s="120" t="str">
        <f>IFERROR(__xludf.DUMMYFUNCTION("""COMPUTED_VALUE"""),"Cape Verde")</f>
        <v>Cape Verde</v>
      </c>
      <c r="E7578" s="135"/>
      <c r="F7578" s="31"/>
    </row>
    <row r="7579">
      <c r="A7579" s="134" t="str">
        <f>IFERROR(__xludf.DUMMYFUNCTION("""COMPUTED_VALUE"""),"Sao Paulo")</f>
        <v>Sao Paulo</v>
      </c>
      <c r="B7579" s="120" t="str">
        <f>IFERROR(__xludf.DUMMYFUNCTION("""COMPUTED_VALUE"""),"CGH")</f>
        <v>CGH</v>
      </c>
      <c r="C7579" s="120" t="str">
        <f>IFERROR(__xludf.DUMMYFUNCTION("""COMPUTED_VALUE"""),"Congonhas")</f>
        <v>Congonhas</v>
      </c>
      <c r="D7579" s="120" t="str">
        <f>IFERROR(__xludf.DUMMYFUNCTION("""COMPUTED_VALUE"""),"Brazil")</f>
        <v>Brazil</v>
      </c>
      <c r="E7579" s="135"/>
      <c r="F7579" s="31"/>
    </row>
    <row r="7580">
      <c r="A7580" s="134" t="str">
        <f>IFERROR(__xludf.DUMMYFUNCTION("""COMPUTED_VALUE"""),"Sao Paulo")</f>
        <v>Sao Paulo</v>
      </c>
      <c r="B7580" s="120" t="str">
        <f>IFERROR(__xludf.DUMMYFUNCTION("""COMPUTED_VALUE"""),"GRU")</f>
        <v>GRU</v>
      </c>
      <c r="C7580" s="120" t="str">
        <f>IFERROR(__xludf.DUMMYFUNCTION("""COMPUTED_VALUE"""),"Guarulhos Intl")</f>
        <v>Guarulhos Intl</v>
      </c>
      <c r="D7580" s="120" t="str">
        <f>IFERROR(__xludf.DUMMYFUNCTION("""COMPUTED_VALUE"""),"Brazil")</f>
        <v>Brazil</v>
      </c>
      <c r="E7580" s="135"/>
      <c r="F7580" s="31"/>
    </row>
    <row r="7581">
      <c r="A7581" s="134" t="str">
        <f>IFERROR(__xludf.DUMMYFUNCTION("""COMPUTED_VALUE"""),"Sao Paulo")</f>
        <v>Sao Paulo</v>
      </c>
      <c r="B7581" s="120" t="str">
        <f>IFERROR(__xludf.DUMMYFUNCTION("""COMPUTED_VALUE"""),"VCP")</f>
        <v>VCP</v>
      </c>
      <c r="C7581" s="120" t="str">
        <f>IFERROR(__xludf.DUMMYFUNCTION("""COMPUTED_VALUE"""),"Viracopos")</f>
        <v>Viracopos</v>
      </c>
      <c r="D7581" s="120" t="str">
        <f>IFERROR(__xludf.DUMMYFUNCTION("""COMPUTED_VALUE"""),"Brazil")</f>
        <v>Brazil</v>
      </c>
      <c r="E7581" s="135"/>
      <c r="F7581" s="31"/>
    </row>
    <row r="7582">
      <c r="A7582" s="134" t="str">
        <f>IFERROR(__xludf.DUMMYFUNCTION("""COMPUTED_VALUE"""),"Sao Tome Is")</f>
        <v>Sao Tome Is</v>
      </c>
      <c r="B7582" s="120" t="str">
        <f>IFERROR(__xludf.DUMMYFUNCTION("""COMPUTED_VALUE"""),"TMS")</f>
        <v>TMS</v>
      </c>
      <c r="C7582" s="120" t="str">
        <f>IFERROR(__xludf.DUMMYFUNCTION("""COMPUTED_VALUE"""),"Sao Tome Is")</f>
        <v>Sao Tome Is</v>
      </c>
      <c r="D7582" s="120" t="str">
        <f>IFERROR(__xludf.DUMMYFUNCTION("""COMPUTED_VALUE"""),"Sao Tome and Principe")</f>
        <v>Sao Tome and Principe</v>
      </c>
      <c r="E7582" s="135"/>
      <c r="F7582" s="31"/>
    </row>
    <row r="7583">
      <c r="A7583" s="134" t="str">
        <f>IFERROR(__xludf.DUMMYFUNCTION("""COMPUTED_VALUE"""),"Sao Vicente")</f>
        <v>Sao Vicente</v>
      </c>
      <c r="B7583" s="120" t="str">
        <f>IFERROR(__xludf.DUMMYFUNCTION("""COMPUTED_VALUE"""),"VXE")</f>
        <v>VXE</v>
      </c>
      <c r="C7583" s="120" t="str">
        <f>IFERROR(__xludf.DUMMYFUNCTION("""COMPUTED_VALUE"""),"San Pedro")</f>
        <v>San Pedro</v>
      </c>
      <c r="D7583" s="120" t="str">
        <f>IFERROR(__xludf.DUMMYFUNCTION("""COMPUTED_VALUE"""),"Cape Verde")</f>
        <v>Cape Verde</v>
      </c>
      <c r="E7583" s="135"/>
      <c r="F7583" s="31"/>
    </row>
    <row r="7584">
      <c r="A7584" s="134" t="str">
        <f>IFERROR(__xludf.DUMMYFUNCTION("""COMPUTED_VALUE"""),"Sapmanga")</f>
        <v>Sapmanga</v>
      </c>
      <c r="B7584" s="120" t="str">
        <f>IFERROR(__xludf.DUMMYFUNCTION("""COMPUTED_VALUE"""),"SMH")</f>
        <v>SMH</v>
      </c>
      <c r="C7584" s="120" t="str">
        <f>IFERROR(__xludf.DUMMYFUNCTION("""COMPUTED_VALUE"""),"Sapmanga")</f>
        <v>Sapmanga</v>
      </c>
      <c r="D7584" s="120" t="str">
        <f>IFERROR(__xludf.DUMMYFUNCTION("""COMPUTED_VALUE"""),"Papua New Guinea")</f>
        <v>Papua New Guinea</v>
      </c>
      <c r="E7584" s="135"/>
      <c r="F7584" s="31"/>
    </row>
    <row r="7585">
      <c r="A7585" s="134" t="str">
        <f>IFERROR(__xludf.DUMMYFUNCTION("""COMPUTED_VALUE"""),"Saposoa")</f>
        <v>Saposoa</v>
      </c>
      <c r="B7585" s="120" t="str">
        <f>IFERROR(__xludf.DUMMYFUNCTION("""COMPUTED_VALUE"""),"SQU")</f>
        <v>SQU</v>
      </c>
      <c r="C7585" s="120" t="str">
        <f>IFERROR(__xludf.DUMMYFUNCTION("""COMPUTED_VALUE"""),"Saposoa")</f>
        <v>Saposoa</v>
      </c>
      <c r="D7585" s="120" t="str">
        <f>IFERROR(__xludf.DUMMYFUNCTION("""COMPUTED_VALUE"""),"Peru")</f>
        <v>Peru</v>
      </c>
      <c r="E7585" s="135"/>
      <c r="F7585" s="31"/>
    </row>
    <row r="7586">
      <c r="A7586" s="134" t="str">
        <f>IFERROR(__xludf.DUMMYFUNCTION("""COMPUTED_VALUE"""),"Sapporo")</f>
        <v>Sapporo</v>
      </c>
      <c r="B7586" s="120" t="str">
        <f>IFERROR(__xludf.DUMMYFUNCTION("""COMPUTED_VALUE"""),"CTS")</f>
        <v>CTS</v>
      </c>
      <c r="C7586" s="120" t="str">
        <f>IFERROR(__xludf.DUMMYFUNCTION("""COMPUTED_VALUE"""),"Chitose")</f>
        <v>Chitose</v>
      </c>
      <c r="D7586" s="120" t="str">
        <f>IFERROR(__xludf.DUMMYFUNCTION("""COMPUTED_VALUE"""),"Japan")</f>
        <v>Japan</v>
      </c>
      <c r="E7586" s="135"/>
      <c r="F7586" s="31"/>
    </row>
    <row r="7587">
      <c r="A7587" s="134" t="str">
        <f>IFERROR(__xludf.DUMMYFUNCTION("""COMPUTED_VALUE"""),"Sapporo")</f>
        <v>Sapporo</v>
      </c>
      <c r="B7587" s="120" t="str">
        <f>IFERROR(__xludf.DUMMYFUNCTION("""COMPUTED_VALUE"""),"OKD")</f>
        <v>OKD</v>
      </c>
      <c r="C7587" s="120" t="str">
        <f>IFERROR(__xludf.DUMMYFUNCTION("""COMPUTED_VALUE"""),"Okadama")</f>
        <v>Okadama</v>
      </c>
      <c r="D7587" s="120" t="str">
        <f>IFERROR(__xludf.DUMMYFUNCTION("""COMPUTED_VALUE"""),"Japan")</f>
        <v>Japan</v>
      </c>
      <c r="E7587" s="135"/>
      <c r="F7587" s="31"/>
    </row>
    <row r="7588">
      <c r="A7588" s="134" t="str">
        <f>IFERROR(__xludf.DUMMYFUNCTION("""COMPUTED_VALUE"""),"Saqani")</f>
        <v>Saqani</v>
      </c>
      <c r="B7588" s="120" t="str">
        <f>IFERROR(__xludf.DUMMYFUNCTION("""COMPUTED_VALUE"""),"AQS")</f>
        <v>AQS</v>
      </c>
      <c r="C7588" s="120" t="str">
        <f>IFERROR(__xludf.DUMMYFUNCTION("""COMPUTED_VALUE"""),"Saqani")</f>
        <v>Saqani</v>
      </c>
      <c r="D7588" s="120" t="str">
        <f>IFERROR(__xludf.DUMMYFUNCTION("""COMPUTED_VALUE"""),"Fiji")</f>
        <v>Fiji</v>
      </c>
      <c r="E7588" s="135"/>
      <c r="F7588" s="31"/>
    </row>
    <row r="7589">
      <c r="A7589" s="134" t="str">
        <f>IFERROR(__xludf.DUMMYFUNCTION("""COMPUTED_VALUE"""),"Saqqaq")</f>
        <v>Saqqaq</v>
      </c>
      <c r="B7589" s="120" t="str">
        <f>IFERROR(__xludf.DUMMYFUNCTION("""COMPUTED_VALUE"""),"QUP")</f>
        <v>QUP</v>
      </c>
      <c r="C7589" s="120" t="str">
        <f>IFERROR(__xludf.DUMMYFUNCTION("""COMPUTED_VALUE"""),"Heliport")</f>
        <v>Heliport</v>
      </c>
      <c r="D7589" s="120" t="str">
        <f>IFERROR(__xludf.DUMMYFUNCTION("""COMPUTED_VALUE"""),"Greenland")</f>
        <v>Greenland</v>
      </c>
      <c r="E7589" s="135"/>
      <c r="F7589" s="31"/>
    </row>
    <row r="7590">
      <c r="A7590" s="134" t="str">
        <f>IFERROR(__xludf.DUMMYFUNCTION("""COMPUTED_VALUE"""),"Sara")</f>
        <v>Sara</v>
      </c>
      <c r="B7590" s="120" t="str">
        <f>IFERROR(__xludf.DUMMYFUNCTION("""COMPUTED_VALUE"""),"SSR")</f>
        <v>SSR</v>
      </c>
      <c r="C7590" s="120" t="str">
        <f>IFERROR(__xludf.DUMMYFUNCTION("""COMPUTED_VALUE"""),"Sara")</f>
        <v>Sara</v>
      </c>
      <c r="D7590" s="120" t="str">
        <f>IFERROR(__xludf.DUMMYFUNCTION("""COMPUTED_VALUE"""),"Vanuatu")</f>
        <v>Vanuatu</v>
      </c>
      <c r="E7590" s="135"/>
      <c r="F7590" s="31"/>
    </row>
    <row r="7591">
      <c r="A7591" s="134" t="str">
        <f>IFERROR(__xludf.DUMMYFUNCTION("""COMPUTED_VALUE"""),"Sarajevo")</f>
        <v>Sarajevo</v>
      </c>
      <c r="B7591" s="120" t="str">
        <f>IFERROR(__xludf.DUMMYFUNCTION("""COMPUTED_VALUE"""),"SJJ")</f>
        <v>SJJ</v>
      </c>
      <c r="C7591" s="120" t="str">
        <f>IFERROR(__xludf.DUMMYFUNCTION("""COMPUTED_VALUE"""),"Butmir")</f>
        <v>Butmir</v>
      </c>
      <c r="D7591" s="120" t="str">
        <f>IFERROR(__xludf.DUMMYFUNCTION("""COMPUTED_VALUE"""),"Bosnia and Herzegovina")</f>
        <v>Bosnia and Herzegovina</v>
      </c>
      <c r="E7591" s="135"/>
      <c r="F7591" s="31"/>
    </row>
    <row r="7592">
      <c r="A7592" s="134" t="str">
        <f>IFERROR(__xludf.DUMMYFUNCTION("""COMPUTED_VALUE"""),"Sarakhs")</f>
        <v>Sarakhs</v>
      </c>
      <c r="B7592" s="120" t="str">
        <f>IFERROR(__xludf.DUMMYFUNCTION("""COMPUTED_VALUE"""),"CKT")</f>
        <v>CKT</v>
      </c>
      <c r="C7592" s="120" t="str">
        <f>IFERROR(__xludf.DUMMYFUNCTION("""COMPUTED_VALUE"""),"Sarakhs")</f>
        <v>Sarakhs</v>
      </c>
      <c r="D7592" s="120" t="str">
        <f>IFERROR(__xludf.DUMMYFUNCTION("""COMPUTED_VALUE"""),"Iran")</f>
        <v>Iran</v>
      </c>
      <c r="E7592" s="135"/>
      <c r="F7592" s="31"/>
    </row>
    <row r="7593">
      <c r="A7593" s="134" t="str">
        <f>IFERROR(__xludf.DUMMYFUNCTION("""COMPUTED_VALUE"""),"Saranac Lake")</f>
        <v>Saranac Lake</v>
      </c>
      <c r="B7593" s="120" t="str">
        <f>IFERROR(__xludf.DUMMYFUNCTION("""COMPUTED_VALUE"""),"SLK")</f>
        <v>SLK</v>
      </c>
      <c r="C7593" s="120" t="str">
        <f>IFERROR(__xludf.DUMMYFUNCTION("""COMPUTED_VALUE"""),"Adirondack")</f>
        <v>Adirondack</v>
      </c>
      <c r="D7593" s="120" t="str">
        <f>IFERROR(__xludf.DUMMYFUNCTION("""COMPUTED_VALUE"""),"United States")</f>
        <v>United States</v>
      </c>
      <c r="E7593" s="135"/>
      <c r="F7593" s="31"/>
    </row>
    <row r="7594">
      <c r="A7594" s="134" t="str">
        <f>IFERROR(__xludf.DUMMYFUNCTION("""COMPUTED_VALUE"""),"Saransk")</f>
        <v>Saransk</v>
      </c>
      <c r="B7594" s="120" t="str">
        <f>IFERROR(__xludf.DUMMYFUNCTION("""COMPUTED_VALUE"""),"SKX")</f>
        <v>SKX</v>
      </c>
      <c r="C7594" s="120" t="str">
        <f>IFERROR(__xludf.DUMMYFUNCTION("""COMPUTED_VALUE"""),"Saransk")</f>
        <v>Saransk</v>
      </c>
      <c r="D7594" s="120" t="str">
        <f>IFERROR(__xludf.DUMMYFUNCTION("""COMPUTED_VALUE"""),"Russia")</f>
        <v>Russia</v>
      </c>
      <c r="E7594" s="135"/>
      <c r="F7594" s="31"/>
    </row>
    <row r="7595">
      <c r="A7595" s="134" t="str">
        <f>IFERROR(__xludf.DUMMYFUNCTION("""COMPUTED_VALUE"""),"Sarasota")</f>
        <v>Sarasota</v>
      </c>
      <c r="B7595" s="120" t="str">
        <f>IFERROR(__xludf.DUMMYFUNCTION("""COMPUTED_VALUE"""),"SRQ")</f>
        <v>SRQ</v>
      </c>
      <c r="C7595" s="120" t="str">
        <f>IFERROR(__xludf.DUMMYFUNCTION("""COMPUTED_VALUE"""),"Sarasota-Bradenton International Airport")</f>
        <v>Sarasota-Bradenton International Airport</v>
      </c>
      <c r="D7595" s="120" t="str">
        <f>IFERROR(__xludf.DUMMYFUNCTION("""COMPUTED_VALUE"""),"United States")</f>
        <v>United States</v>
      </c>
      <c r="E7595" s="135"/>
      <c r="F7595" s="31"/>
    </row>
    <row r="7596">
      <c r="A7596" s="134" t="str">
        <f>IFERROR(__xludf.DUMMYFUNCTION("""COMPUTED_VALUE"""),"Saratoga")</f>
        <v>Saratoga</v>
      </c>
      <c r="B7596" s="120" t="str">
        <f>IFERROR(__xludf.DUMMYFUNCTION("""COMPUTED_VALUE"""),"SAA")</f>
        <v>SAA</v>
      </c>
      <c r="C7596" s="120" t="str">
        <f>IFERROR(__xludf.DUMMYFUNCTION("""COMPUTED_VALUE"""),"Shively Field")</f>
        <v>Shively Field</v>
      </c>
      <c r="D7596" s="120" t="str">
        <f>IFERROR(__xludf.DUMMYFUNCTION("""COMPUTED_VALUE"""),"United States")</f>
        <v>United States</v>
      </c>
      <c r="E7596" s="135"/>
      <c r="F7596" s="31"/>
    </row>
    <row r="7597">
      <c r="A7597" s="134" t="str">
        <f>IFERROR(__xludf.DUMMYFUNCTION("""COMPUTED_VALUE"""),"Saratov")</f>
        <v>Saratov</v>
      </c>
      <c r="B7597" s="120" t="str">
        <f>IFERROR(__xludf.DUMMYFUNCTION("""COMPUTED_VALUE"""),"RTW")</f>
        <v>RTW</v>
      </c>
      <c r="C7597" s="120" t="str">
        <f>IFERROR(__xludf.DUMMYFUNCTION("""COMPUTED_VALUE"""),"Saratov")</f>
        <v>Saratov</v>
      </c>
      <c r="D7597" s="120" t="str">
        <f>IFERROR(__xludf.DUMMYFUNCTION("""COMPUTED_VALUE"""),"Russia")</f>
        <v>Russia</v>
      </c>
      <c r="E7597" s="135"/>
      <c r="F7597" s="31"/>
    </row>
    <row r="7598">
      <c r="A7598" s="134" t="str">
        <f>IFERROR(__xludf.DUMMYFUNCTION("""COMPUTED_VALUE"""),"Saravane")</f>
        <v>Saravane</v>
      </c>
      <c r="B7598" s="120" t="str">
        <f>IFERROR(__xludf.DUMMYFUNCTION("""COMPUTED_VALUE"""),"VNA")</f>
        <v>VNA</v>
      </c>
      <c r="C7598" s="120" t="str">
        <f>IFERROR(__xludf.DUMMYFUNCTION("""COMPUTED_VALUE"""),"Saravane")</f>
        <v>Saravane</v>
      </c>
      <c r="D7598" s="120" t="str">
        <f>IFERROR(__xludf.DUMMYFUNCTION("""COMPUTED_VALUE"""),"Laos")</f>
        <v>Laos</v>
      </c>
      <c r="E7598" s="135"/>
      <c r="F7598" s="31"/>
    </row>
    <row r="7599">
      <c r="A7599" s="134" t="str">
        <f>IFERROR(__xludf.DUMMYFUNCTION("""COMPUTED_VALUE"""),"Saravena")</f>
        <v>Saravena</v>
      </c>
      <c r="B7599" s="120" t="str">
        <f>IFERROR(__xludf.DUMMYFUNCTION("""COMPUTED_VALUE"""),"RVE")</f>
        <v>RVE</v>
      </c>
      <c r="C7599" s="120" t="str">
        <f>IFERROR(__xludf.DUMMYFUNCTION("""COMPUTED_VALUE"""),"Los Colonizadores")</f>
        <v>Los Colonizadores</v>
      </c>
      <c r="D7599" s="120" t="str">
        <f>IFERROR(__xludf.DUMMYFUNCTION("""COMPUTED_VALUE"""),"Colombia")</f>
        <v>Colombia</v>
      </c>
      <c r="E7599" s="135"/>
      <c r="F7599" s="31"/>
    </row>
    <row r="7600">
      <c r="A7600" s="134" t="str">
        <f>IFERROR(__xludf.DUMMYFUNCTION("""COMPUTED_VALUE"""),"Sardeh Band")</f>
        <v>Sardeh Band</v>
      </c>
      <c r="B7600" s="120" t="str">
        <f>IFERROR(__xludf.DUMMYFUNCTION("""COMPUTED_VALUE"""),"SBF")</f>
        <v>SBF</v>
      </c>
      <c r="C7600" s="120" t="str">
        <f>IFERROR(__xludf.DUMMYFUNCTION("""COMPUTED_VALUE"""),"Sardeh Band")</f>
        <v>Sardeh Band</v>
      </c>
      <c r="D7600" s="120" t="str">
        <f>IFERROR(__xludf.DUMMYFUNCTION("""COMPUTED_VALUE"""),"Afghanistan")</f>
        <v>Afghanistan</v>
      </c>
      <c r="E7600" s="135"/>
      <c r="F7600" s="31"/>
    </row>
    <row r="7601">
      <c r="A7601" s="134" t="str">
        <f>IFERROR(__xludf.DUMMYFUNCTION("""COMPUTED_VALUE"""),"Sargodha")</f>
        <v>Sargodha</v>
      </c>
      <c r="B7601" s="120" t="str">
        <f>IFERROR(__xludf.DUMMYFUNCTION("""COMPUTED_VALUE"""),"BHW")</f>
        <v>BHW</v>
      </c>
      <c r="C7601" s="120" t="str">
        <f>IFERROR(__xludf.DUMMYFUNCTION("""COMPUTED_VALUE"""),"Bhagatanwala Apt")</f>
        <v>Bhagatanwala Apt</v>
      </c>
      <c r="D7601" s="120" t="str">
        <f>IFERROR(__xludf.DUMMYFUNCTION("""COMPUTED_VALUE"""),"Pakistan")</f>
        <v>Pakistan</v>
      </c>
      <c r="E7601" s="135"/>
      <c r="F7601" s="31"/>
    </row>
    <row r="7602">
      <c r="A7602" s="134" t="str">
        <f>IFERROR(__xludf.DUMMYFUNCTION("""COMPUTED_VALUE"""),"Sargodha")</f>
        <v>Sargodha</v>
      </c>
      <c r="B7602" s="120" t="str">
        <f>IFERROR(__xludf.DUMMYFUNCTION("""COMPUTED_VALUE"""),"SGI")</f>
        <v>SGI</v>
      </c>
      <c r="C7602" s="120" t="str">
        <f>IFERROR(__xludf.DUMMYFUNCTION("""COMPUTED_VALUE"""),"Sargodha Apt")</f>
        <v>Sargodha Apt</v>
      </c>
      <c r="D7602" s="120" t="str">
        <f>IFERROR(__xludf.DUMMYFUNCTION("""COMPUTED_VALUE"""),"Pakistan")</f>
        <v>Pakistan</v>
      </c>
      <c r="E7602" s="135"/>
      <c r="F7602" s="31"/>
    </row>
    <row r="7603">
      <c r="A7603" s="134" t="str">
        <f>IFERROR(__xludf.DUMMYFUNCTION("""COMPUTED_VALUE"""),"Sarh")</f>
        <v>Sarh</v>
      </c>
      <c r="B7603" s="120" t="str">
        <f>IFERROR(__xludf.DUMMYFUNCTION("""COMPUTED_VALUE"""),"SRH")</f>
        <v>SRH</v>
      </c>
      <c r="C7603" s="120" t="str">
        <f>IFERROR(__xludf.DUMMYFUNCTION("""COMPUTED_VALUE"""),"Sarh")</f>
        <v>Sarh</v>
      </c>
      <c r="D7603" s="120" t="str">
        <f>IFERROR(__xludf.DUMMYFUNCTION("""COMPUTED_VALUE"""),"Chad")</f>
        <v>Chad</v>
      </c>
      <c r="E7603" s="135"/>
      <c r="F7603" s="31"/>
    </row>
    <row r="7604">
      <c r="A7604" s="134" t="str">
        <f>IFERROR(__xludf.DUMMYFUNCTION("""COMPUTED_VALUE"""),"Sarichef")</f>
        <v>Sarichef</v>
      </c>
      <c r="B7604" s="120" t="str">
        <f>IFERROR(__xludf.DUMMYFUNCTION("""COMPUTED_VALUE"""),"WSF")</f>
        <v>WSF</v>
      </c>
      <c r="C7604" s="120" t="str">
        <f>IFERROR(__xludf.DUMMYFUNCTION("""COMPUTED_VALUE"""),"Sarichef")</f>
        <v>Sarichef</v>
      </c>
      <c r="D7604" s="120" t="str">
        <f>IFERROR(__xludf.DUMMYFUNCTION("""COMPUTED_VALUE"""),"United States")</f>
        <v>United States</v>
      </c>
      <c r="E7604" s="135"/>
      <c r="F7604" s="31"/>
    </row>
    <row r="7605">
      <c r="A7605" s="134" t="str">
        <f>IFERROR(__xludf.DUMMYFUNCTION("""COMPUTED_VALUE"""),"Sarmi")</f>
        <v>Sarmi</v>
      </c>
      <c r="B7605" s="120" t="str">
        <f>IFERROR(__xludf.DUMMYFUNCTION("""COMPUTED_VALUE"""),"ZRM")</f>
        <v>ZRM</v>
      </c>
      <c r="C7605" s="120" t="str">
        <f>IFERROR(__xludf.DUMMYFUNCTION("""COMPUTED_VALUE"""),"Sarmi")</f>
        <v>Sarmi</v>
      </c>
      <c r="D7605" s="120" t="str">
        <f>IFERROR(__xludf.DUMMYFUNCTION("""COMPUTED_VALUE"""),"Indonesia")</f>
        <v>Indonesia</v>
      </c>
      <c r="E7605" s="135"/>
      <c r="F7605" s="31"/>
    </row>
    <row r="7606">
      <c r="A7606" s="134" t="str">
        <f>IFERROR(__xludf.DUMMYFUNCTION("""COMPUTED_VALUE"""),"Sarnia")</f>
        <v>Sarnia</v>
      </c>
      <c r="B7606" s="120" t="str">
        <f>IFERROR(__xludf.DUMMYFUNCTION("""COMPUTED_VALUE"""),"YZR")</f>
        <v>YZR</v>
      </c>
      <c r="C7606" s="120" t="str">
        <f>IFERROR(__xludf.DUMMYFUNCTION("""COMPUTED_VALUE"""),"Sarnia")</f>
        <v>Sarnia</v>
      </c>
      <c r="D7606" s="120" t="str">
        <f>IFERROR(__xludf.DUMMYFUNCTION("""COMPUTED_VALUE"""),"Canada")</f>
        <v>Canada</v>
      </c>
      <c r="E7606" s="135"/>
      <c r="F7606" s="31"/>
    </row>
    <row r="7607">
      <c r="A7607" s="134" t="str">
        <f>IFERROR(__xludf.DUMMYFUNCTION("""COMPUTED_VALUE"""),"Sarpsborg")</f>
        <v>Sarpsborg</v>
      </c>
      <c r="B7607" s="120" t="str">
        <f>IFERROR(__xludf.DUMMYFUNCTION("""COMPUTED_VALUE"""),"XKQ")</f>
        <v>XKQ</v>
      </c>
      <c r="C7607" s="120" t="str">
        <f>IFERROR(__xludf.DUMMYFUNCTION("""COMPUTED_VALUE"""),"Sarpsborg Rail St.")</f>
        <v>Sarpsborg Rail St.</v>
      </c>
      <c r="D7607" s="120" t="str">
        <f>IFERROR(__xludf.DUMMYFUNCTION("""COMPUTED_VALUE"""),"Norway")</f>
        <v>Norway</v>
      </c>
      <c r="E7607" s="135"/>
      <c r="F7607" s="31"/>
    </row>
    <row r="7608">
      <c r="A7608" s="134" t="str">
        <f>IFERROR(__xludf.DUMMYFUNCTION("""COMPUTED_VALUE"""),"Sartaneja")</f>
        <v>Sartaneja</v>
      </c>
      <c r="B7608" s="120" t="str">
        <f>IFERROR(__xludf.DUMMYFUNCTION("""COMPUTED_VALUE"""),"SJX")</f>
        <v>SJX</v>
      </c>
      <c r="C7608" s="120" t="str">
        <f>IFERROR(__xludf.DUMMYFUNCTION("""COMPUTED_VALUE"""),"Sartaneja")</f>
        <v>Sartaneja</v>
      </c>
      <c r="D7608" s="120" t="str">
        <f>IFERROR(__xludf.DUMMYFUNCTION("""COMPUTED_VALUE"""),"Belize")</f>
        <v>Belize</v>
      </c>
      <c r="E7608" s="135"/>
      <c r="F7608" s="31"/>
    </row>
    <row r="7609">
      <c r="A7609" s="134" t="str">
        <f>IFERROR(__xludf.DUMMYFUNCTION("""COMPUTED_VALUE"""),"Sary")</f>
        <v>Sary</v>
      </c>
      <c r="B7609" s="120" t="str">
        <f>IFERROR(__xludf.DUMMYFUNCTION("""COMPUTED_VALUE"""),"SRY")</f>
        <v>SRY</v>
      </c>
      <c r="C7609" s="120" t="str">
        <f>IFERROR(__xludf.DUMMYFUNCTION("""COMPUTED_VALUE"""),"Dashte Naz")</f>
        <v>Dashte Naz</v>
      </c>
      <c r="D7609" s="120" t="str">
        <f>IFERROR(__xludf.DUMMYFUNCTION("""COMPUTED_VALUE"""),"Iran")</f>
        <v>Iran</v>
      </c>
      <c r="E7609" s="135"/>
      <c r="F7609" s="31"/>
    </row>
    <row r="7610">
      <c r="A7610" s="134" t="str">
        <f>IFERROR(__xludf.DUMMYFUNCTION("""COMPUTED_VALUE"""),"Sasereme")</f>
        <v>Sasereme</v>
      </c>
      <c r="B7610" s="120" t="str">
        <f>IFERROR(__xludf.DUMMYFUNCTION("""COMPUTED_VALUE"""),"TDS")</f>
        <v>TDS</v>
      </c>
      <c r="C7610" s="120" t="str">
        <f>IFERROR(__xludf.DUMMYFUNCTION("""COMPUTED_VALUE"""),"Sasereme")</f>
        <v>Sasereme</v>
      </c>
      <c r="D7610" s="120" t="str">
        <f>IFERROR(__xludf.DUMMYFUNCTION("""COMPUTED_VALUE"""),"Papua New Guinea")</f>
        <v>Papua New Guinea</v>
      </c>
      <c r="E7610" s="135"/>
      <c r="F7610" s="31"/>
    </row>
    <row r="7611">
      <c r="A7611" s="134" t="str">
        <f>IFERROR(__xludf.DUMMYFUNCTION("""COMPUTED_VALUE"""),"Saskatoon")</f>
        <v>Saskatoon</v>
      </c>
      <c r="B7611" s="120" t="str">
        <f>IFERROR(__xludf.DUMMYFUNCTION("""COMPUTED_VALUE"""),"YXE")</f>
        <v>YXE</v>
      </c>
      <c r="C7611" s="120" t="str">
        <f>IFERROR(__xludf.DUMMYFUNCTION("""COMPUTED_VALUE"""),"J.G. Diefenbaker International Airport")</f>
        <v>J.G. Diefenbaker International Airport</v>
      </c>
      <c r="D7611" s="120" t="str">
        <f>IFERROR(__xludf.DUMMYFUNCTION("""COMPUTED_VALUE"""),"Canada")</f>
        <v>Canada</v>
      </c>
      <c r="E7611" s="135"/>
      <c r="F7611" s="31"/>
    </row>
    <row r="7612">
      <c r="A7612" s="134" t="str">
        <f>IFERROR(__xludf.DUMMYFUNCTION("""COMPUTED_VALUE"""),"Sassandra")</f>
        <v>Sassandra</v>
      </c>
      <c r="B7612" s="120" t="str">
        <f>IFERROR(__xludf.DUMMYFUNCTION("""COMPUTED_VALUE"""),"ZSS")</f>
        <v>ZSS</v>
      </c>
      <c r="C7612" s="120" t="str">
        <f>IFERROR(__xludf.DUMMYFUNCTION("""COMPUTED_VALUE"""),"Sassandra")</f>
        <v>Sassandra</v>
      </c>
      <c r="D7612" s="120" t="str">
        <f>IFERROR(__xludf.DUMMYFUNCTION("""COMPUTED_VALUE"""),"Cote D'Ivoire (Ivory Coast)")</f>
        <v>Cote D'Ivoire (Ivory Coast)</v>
      </c>
      <c r="E7612" s="135"/>
      <c r="F7612" s="31"/>
    </row>
    <row r="7613">
      <c r="A7613" s="134" t="str">
        <f>IFERROR(__xludf.DUMMYFUNCTION("""COMPUTED_VALUE"""),"Sasstown")</f>
        <v>Sasstown</v>
      </c>
      <c r="B7613" s="120" t="str">
        <f>IFERROR(__xludf.DUMMYFUNCTION("""COMPUTED_VALUE"""),"SAZ")</f>
        <v>SAZ</v>
      </c>
      <c r="C7613" s="120" t="str">
        <f>IFERROR(__xludf.DUMMYFUNCTION("""COMPUTED_VALUE"""),"Sasstown")</f>
        <v>Sasstown</v>
      </c>
      <c r="D7613" s="120" t="str">
        <f>IFERROR(__xludf.DUMMYFUNCTION("""COMPUTED_VALUE"""),"Liberia")</f>
        <v>Liberia</v>
      </c>
      <c r="E7613" s="135"/>
      <c r="F7613" s="31"/>
    </row>
    <row r="7614">
      <c r="A7614" s="134" t="str">
        <f>IFERROR(__xludf.DUMMYFUNCTION("""COMPUTED_VALUE"""),"Satna")</f>
        <v>Satna</v>
      </c>
      <c r="B7614" s="120" t="str">
        <f>IFERROR(__xludf.DUMMYFUNCTION("""COMPUTED_VALUE"""),"TNI")</f>
        <v>TNI</v>
      </c>
      <c r="C7614" s="120" t="str">
        <f>IFERROR(__xludf.DUMMYFUNCTION("""COMPUTED_VALUE"""),"Satna")</f>
        <v>Satna</v>
      </c>
      <c r="D7614" s="120" t="str">
        <f>IFERROR(__xludf.DUMMYFUNCTION("""COMPUTED_VALUE"""),"India")</f>
        <v>India</v>
      </c>
      <c r="E7614" s="135"/>
      <c r="F7614" s="31"/>
    </row>
    <row r="7615">
      <c r="A7615" s="134" t="str">
        <f>IFERROR(__xludf.DUMMYFUNCTION("""COMPUTED_VALUE"""),"Satu Mare")</f>
        <v>Satu Mare</v>
      </c>
      <c r="B7615" s="120" t="str">
        <f>IFERROR(__xludf.DUMMYFUNCTION("""COMPUTED_VALUE"""),"SUJ")</f>
        <v>SUJ</v>
      </c>
      <c r="C7615" s="120" t="str">
        <f>IFERROR(__xludf.DUMMYFUNCTION("""COMPUTED_VALUE"""),"Satu Mare")</f>
        <v>Satu Mare</v>
      </c>
      <c r="D7615" s="120" t="str">
        <f>IFERROR(__xludf.DUMMYFUNCTION("""COMPUTED_VALUE"""),"Romania")</f>
        <v>Romania</v>
      </c>
      <c r="E7615" s="135"/>
      <c r="F7615" s="31"/>
    </row>
    <row r="7616">
      <c r="A7616" s="134" t="str">
        <f>IFERROR(__xludf.DUMMYFUNCTION("""COMPUTED_VALUE"""),"Satwag")</f>
        <v>Satwag</v>
      </c>
      <c r="B7616" s="120" t="str">
        <f>IFERROR(__xludf.DUMMYFUNCTION("""COMPUTED_VALUE"""),"SWG")</f>
        <v>SWG</v>
      </c>
      <c r="C7616" s="120" t="str">
        <f>IFERROR(__xludf.DUMMYFUNCTION("""COMPUTED_VALUE"""),"Satwag")</f>
        <v>Satwag</v>
      </c>
      <c r="D7616" s="120" t="str">
        <f>IFERROR(__xludf.DUMMYFUNCTION("""COMPUTED_VALUE"""),"Papua New Guinea")</f>
        <v>Papua New Guinea</v>
      </c>
      <c r="E7616" s="135"/>
      <c r="F7616" s="31"/>
    </row>
    <row r="7617">
      <c r="A7617" s="134" t="str">
        <f>IFERROR(__xludf.DUMMYFUNCTION("""COMPUTED_VALUE"""),"Saudarkrokur")</f>
        <v>Saudarkrokur</v>
      </c>
      <c r="B7617" s="120" t="str">
        <f>IFERROR(__xludf.DUMMYFUNCTION("""COMPUTED_VALUE"""),"SAK")</f>
        <v>SAK</v>
      </c>
      <c r="C7617" s="120" t="str">
        <f>IFERROR(__xludf.DUMMYFUNCTION("""COMPUTED_VALUE"""),"Saudarkrokur")</f>
        <v>Saudarkrokur</v>
      </c>
      <c r="D7617" s="120" t="str">
        <f>IFERROR(__xludf.DUMMYFUNCTION("""COMPUTED_VALUE"""),"Iceland")</f>
        <v>Iceland</v>
      </c>
      <c r="E7617" s="135"/>
      <c r="F7617" s="31"/>
    </row>
    <row r="7618">
      <c r="A7618" s="134" t="str">
        <f>IFERROR(__xludf.DUMMYFUNCTION("""COMPUTED_VALUE"""),"Saul")</f>
        <v>Saul</v>
      </c>
      <c r="B7618" s="120" t="str">
        <f>IFERROR(__xludf.DUMMYFUNCTION("""COMPUTED_VALUE"""),"XAU")</f>
        <v>XAU</v>
      </c>
      <c r="C7618" s="120" t="str">
        <f>IFERROR(__xludf.DUMMYFUNCTION("""COMPUTED_VALUE"""),"Saul")</f>
        <v>Saul</v>
      </c>
      <c r="D7618" s="120" t="str">
        <f>IFERROR(__xludf.DUMMYFUNCTION("""COMPUTED_VALUE"""),"French Guiana")</f>
        <v>French Guiana</v>
      </c>
      <c r="E7618" s="135"/>
      <c r="F7618" s="31"/>
    </row>
    <row r="7619">
      <c r="A7619" s="134" t="str">
        <f>IFERROR(__xludf.DUMMYFUNCTION("""COMPUTED_VALUE"""),"Sault Ste Marie")</f>
        <v>Sault Ste Marie</v>
      </c>
      <c r="B7619" s="120" t="str">
        <f>IFERROR(__xludf.DUMMYFUNCTION("""COMPUTED_VALUE"""),"CIU")</f>
        <v>CIU</v>
      </c>
      <c r="C7619" s="120" t="str">
        <f>IFERROR(__xludf.DUMMYFUNCTION("""COMPUTED_VALUE"""),"Chippewa County")</f>
        <v>Chippewa County</v>
      </c>
      <c r="D7619" s="120" t="str">
        <f>IFERROR(__xludf.DUMMYFUNCTION("""COMPUTED_VALUE"""),"United States")</f>
        <v>United States</v>
      </c>
      <c r="E7619" s="135"/>
      <c r="F7619" s="31"/>
    </row>
    <row r="7620">
      <c r="A7620" s="134" t="str">
        <f>IFERROR(__xludf.DUMMYFUNCTION("""COMPUTED_VALUE"""),"Sault Ste Marie")</f>
        <v>Sault Ste Marie</v>
      </c>
      <c r="B7620" s="120" t="str">
        <f>IFERROR(__xludf.DUMMYFUNCTION("""COMPUTED_VALUE"""),"INR")</f>
        <v>INR</v>
      </c>
      <c r="C7620" s="120" t="str">
        <f>IFERROR(__xludf.DUMMYFUNCTION("""COMPUTED_VALUE"""),"Kincheloe AFB")</f>
        <v>Kincheloe AFB</v>
      </c>
      <c r="D7620" s="120" t="str">
        <f>IFERROR(__xludf.DUMMYFUNCTION("""COMPUTED_VALUE"""),"United States")</f>
        <v>United States</v>
      </c>
      <c r="E7620" s="135"/>
      <c r="F7620" s="31"/>
    </row>
    <row r="7621">
      <c r="A7621" s="134" t="str">
        <f>IFERROR(__xludf.DUMMYFUNCTION("""COMPUTED_VALUE"""),"Sault Ste Marie")</f>
        <v>Sault Ste Marie</v>
      </c>
      <c r="B7621" s="120" t="str">
        <f>IFERROR(__xludf.DUMMYFUNCTION("""COMPUTED_VALUE"""),"YAM")</f>
        <v>YAM</v>
      </c>
      <c r="C7621" s="120" t="str">
        <f>IFERROR(__xludf.DUMMYFUNCTION("""COMPUTED_VALUE"""),"Sault Ste Marie")</f>
        <v>Sault Ste Marie</v>
      </c>
      <c r="D7621" s="120" t="str">
        <f>IFERROR(__xludf.DUMMYFUNCTION("""COMPUTED_VALUE"""),"Canada")</f>
        <v>Canada</v>
      </c>
      <c r="E7621" s="135"/>
      <c r="F7621" s="31"/>
    </row>
    <row r="7622">
      <c r="A7622" s="134" t="str">
        <f>IFERROR(__xludf.DUMMYFUNCTION("""COMPUTED_VALUE"""),"Saumlaki")</f>
        <v>Saumlaki</v>
      </c>
      <c r="B7622" s="120" t="str">
        <f>IFERROR(__xludf.DUMMYFUNCTION("""COMPUTED_VALUE"""),"SXK")</f>
        <v>SXK</v>
      </c>
      <c r="C7622" s="120" t="str">
        <f>IFERROR(__xludf.DUMMYFUNCTION("""COMPUTED_VALUE"""),"Saumlaki")</f>
        <v>Saumlaki</v>
      </c>
      <c r="D7622" s="120" t="str">
        <f>IFERROR(__xludf.DUMMYFUNCTION("""COMPUTED_VALUE"""),"Indonesia")</f>
        <v>Indonesia</v>
      </c>
      <c r="E7622" s="135"/>
      <c r="F7622" s="31"/>
    </row>
    <row r="7623">
      <c r="A7623" s="134" t="str">
        <f>IFERROR(__xludf.DUMMYFUNCTION("""COMPUTED_VALUE"""),"Sauren")</f>
        <v>Sauren</v>
      </c>
      <c r="B7623" s="120" t="str">
        <f>IFERROR(__xludf.DUMMYFUNCTION("""COMPUTED_VALUE"""),"SXW")</f>
        <v>SXW</v>
      </c>
      <c r="C7623" s="120" t="str">
        <f>IFERROR(__xludf.DUMMYFUNCTION("""COMPUTED_VALUE"""),"Sauren")</f>
        <v>Sauren</v>
      </c>
      <c r="D7623" s="120" t="str">
        <f>IFERROR(__xludf.DUMMYFUNCTION("""COMPUTED_VALUE"""),"Papua New Guinea")</f>
        <v>Papua New Guinea</v>
      </c>
      <c r="E7623" s="135"/>
      <c r="F7623" s="31"/>
    </row>
    <row r="7624">
      <c r="A7624" s="134" t="str">
        <f>IFERROR(__xludf.DUMMYFUNCTION("""COMPUTED_VALUE"""),"Saurimo")</f>
        <v>Saurimo</v>
      </c>
      <c r="B7624" s="120" t="str">
        <f>IFERROR(__xludf.DUMMYFUNCTION("""COMPUTED_VALUE"""),"VHC")</f>
        <v>VHC</v>
      </c>
      <c r="C7624" s="120" t="str">
        <f>IFERROR(__xludf.DUMMYFUNCTION("""COMPUTED_VALUE"""),"Saurimo")</f>
        <v>Saurimo</v>
      </c>
      <c r="D7624" s="120" t="str">
        <f>IFERROR(__xludf.DUMMYFUNCTION("""COMPUTED_VALUE"""),"Angola")</f>
        <v>Angola</v>
      </c>
      <c r="E7624" s="135"/>
      <c r="F7624" s="31"/>
    </row>
    <row r="7625">
      <c r="A7625" s="134" t="str">
        <f>IFERROR(__xludf.DUMMYFUNCTION("""COMPUTED_VALUE"""),"Sausalito")</f>
        <v>Sausalito</v>
      </c>
      <c r="B7625" s="120" t="str">
        <f>IFERROR(__xludf.DUMMYFUNCTION("""COMPUTED_VALUE"""),"JMC")</f>
        <v>JMC</v>
      </c>
      <c r="C7625" s="120" t="str">
        <f>IFERROR(__xludf.DUMMYFUNCTION("""COMPUTED_VALUE"""),"Marin County")</f>
        <v>Marin County</v>
      </c>
      <c r="D7625" s="120" t="str">
        <f>IFERROR(__xludf.DUMMYFUNCTION("""COMPUTED_VALUE"""),"United States")</f>
        <v>United States</v>
      </c>
      <c r="E7625" s="135"/>
      <c r="F7625" s="31"/>
    </row>
    <row r="7626">
      <c r="A7626" s="134" t="str">
        <f>IFERROR(__xludf.DUMMYFUNCTION("""COMPUTED_VALUE"""),"Savannah")</f>
        <v>Savannah</v>
      </c>
      <c r="B7626" s="120" t="str">
        <f>IFERROR(__xludf.DUMMYFUNCTION("""COMPUTED_VALUE"""),"SVN")</f>
        <v>SVN</v>
      </c>
      <c r="C7626" s="120" t="str">
        <f>IFERROR(__xludf.DUMMYFUNCTION("""COMPUTED_VALUE"""),"Hunter AAF")</f>
        <v>Hunter AAF</v>
      </c>
      <c r="D7626" s="120" t="str">
        <f>IFERROR(__xludf.DUMMYFUNCTION("""COMPUTED_VALUE"""),"United States")</f>
        <v>United States</v>
      </c>
      <c r="E7626" s="135"/>
      <c r="F7626" s="31"/>
    </row>
    <row r="7627">
      <c r="A7627" s="134" t="str">
        <f>IFERROR(__xludf.DUMMYFUNCTION("""COMPUTED_VALUE"""),"Savannah")</f>
        <v>Savannah</v>
      </c>
      <c r="B7627" s="120" t="str">
        <f>IFERROR(__xludf.DUMMYFUNCTION("""COMPUTED_VALUE"""),"SAV")</f>
        <v>SAV</v>
      </c>
      <c r="C7627" s="120" t="str">
        <f>IFERROR(__xludf.DUMMYFUNCTION("""COMPUTED_VALUE"""),"Savannah/Hilton Head")</f>
        <v>Savannah/Hilton Head</v>
      </c>
      <c r="D7627" s="120" t="str">
        <f>IFERROR(__xludf.DUMMYFUNCTION("""COMPUTED_VALUE"""),"United States")</f>
        <v>United States</v>
      </c>
      <c r="E7627" s="135"/>
      <c r="F7627" s="31"/>
    </row>
    <row r="7628">
      <c r="A7628" s="134" t="str">
        <f>IFERROR(__xludf.DUMMYFUNCTION("""COMPUTED_VALUE"""),"Savannakhet")</f>
        <v>Savannakhet</v>
      </c>
      <c r="B7628" s="120" t="str">
        <f>IFERROR(__xludf.DUMMYFUNCTION("""COMPUTED_VALUE"""),"ZVK")</f>
        <v>ZVK</v>
      </c>
      <c r="C7628" s="120" t="str">
        <f>IFERROR(__xludf.DUMMYFUNCTION("""COMPUTED_VALUE"""),"Savannakhet")</f>
        <v>Savannakhet</v>
      </c>
      <c r="D7628" s="120" t="str">
        <f>IFERROR(__xludf.DUMMYFUNCTION("""COMPUTED_VALUE"""),"Laos")</f>
        <v>Laos</v>
      </c>
      <c r="E7628" s="135"/>
      <c r="F7628" s="31"/>
    </row>
    <row r="7629">
      <c r="A7629" s="134" t="str">
        <f>IFERROR(__xludf.DUMMYFUNCTION("""COMPUTED_VALUE"""),"Save")</f>
        <v>Save</v>
      </c>
      <c r="B7629" s="120" t="str">
        <f>IFERROR(__xludf.DUMMYFUNCTION("""COMPUTED_VALUE"""),"SVF")</f>
        <v>SVF</v>
      </c>
      <c r="C7629" s="120" t="str">
        <f>IFERROR(__xludf.DUMMYFUNCTION("""COMPUTED_VALUE"""),"Save")</f>
        <v>Save</v>
      </c>
      <c r="D7629" s="120" t="str">
        <f>IFERROR(__xludf.DUMMYFUNCTION("""COMPUTED_VALUE"""),"Benin")</f>
        <v>Benin</v>
      </c>
      <c r="E7629" s="135"/>
      <c r="F7629" s="31"/>
    </row>
    <row r="7630">
      <c r="A7630" s="134" t="str">
        <f>IFERROR(__xludf.DUMMYFUNCTION("""COMPUTED_VALUE"""),"Savo")</f>
        <v>Savo</v>
      </c>
      <c r="B7630" s="120" t="str">
        <f>IFERROR(__xludf.DUMMYFUNCTION("""COMPUTED_VALUE"""),"SVY")</f>
        <v>SVY</v>
      </c>
      <c r="C7630" s="120" t="str">
        <f>IFERROR(__xludf.DUMMYFUNCTION("""COMPUTED_VALUE"""),"Savo")</f>
        <v>Savo</v>
      </c>
      <c r="D7630" s="120" t="str">
        <f>IFERROR(__xludf.DUMMYFUNCTION("""COMPUTED_VALUE"""),"Solomon Islands")</f>
        <v>Solomon Islands</v>
      </c>
      <c r="E7630" s="135"/>
      <c r="F7630" s="31"/>
    </row>
    <row r="7631">
      <c r="A7631" s="134" t="str">
        <f>IFERROR(__xludf.DUMMYFUNCTION("""COMPUTED_VALUE"""),"Savonlinna")</f>
        <v>Savonlinna</v>
      </c>
      <c r="B7631" s="120" t="str">
        <f>IFERROR(__xludf.DUMMYFUNCTION("""COMPUTED_VALUE"""),"SVL")</f>
        <v>SVL</v>
      </c>
      <c r="C7631" s="120" t="str">
        <f>IFERROR(__xludf.DUMMYFUNCTION("""COMPUTED_VALUE"""),"Savonlinna")</f>
        <v>Savonlinna</v>
      </c>
      <c r="D7631" s="120" t="str">
        <f>IFERROR(__xludf.DUMMYFUNCTION("""COMPUTED_VALUE"""),"Finland")</f>
        <v>Finland</v>
      </c>
      <c r="E7631" s="135"/>
      <c r="F7631" s="31"/>
    </row>
    <row r="7632">
      <c r="A7632" s="134" t="str">
        <f>IFERROR(__xludf.DUMMYFUNCTION("""COMPUTED_VALUE"""),"Savoonga")</f>
        <v>Savoonga</v>
      </c>
      <c r="B7632" s="120" t="str">
        <f>IFERROR(__xludf.DUMMYFUNCTION("""COMPUTED_VALUE"""),"SVA")</f>
        <v>SVA</v>
      </c>
      <c r="C7632" s="120" t="str">
        <f>IFERROR(__xludf.DUMMYFUNCTION("""COMPUTED_VALUE"""),"Savoonga")</f>
        <v>Savoonga</v>
      </c>
      <c r="D7632" s="120" t="str">
        <f>IFERROR(__xludf.DUMMYFUNCTION("""COMPUTED_VALUE"""),"United States")</f>
        <v>United States</v>
      </c>
      <c r="E7632" s="135"/>
      <c r="F7632" s="31"/>
    </row>
    <row r="7633">
      <c r="A7633" s="134" t="str">
        <f>IFERROR(__xludf.DUMMYFUNCTION("""COMPUTED_VALUE"""),"Savusavu")</f>
        <v>Savusavu</v>
      </c>
      <c r="B7633" s="120" t="str">
        <f>IFERROR(__xludf.DUMMYFUNCTION("""COMPUTED_VALUE"""),"SVU")</f>
        <v>SVU</v>
      </c>
      <c r="C7633" s="120" t="str">
        <f>IFERROR(__xludf.DUMMYFUNCTION("""COMPUTED_VALUE"""),"Savusavu")</f>
        <v>Savusavu</v>
      </c>
      <c r="D7633" s="120" t="str">
        <f>IFERROR(__xludf.DUMMYFUNCTION("""COMPUTED_VALUE"""),"Fiji")</f>
        <v>Fiji</v>
      </c>
      <c r="E7633" s="135"/>
      <c r="F7633" s="31"/>
    </row>
    <row r="7634">
      <c r="A7634" s="134" t="str">
        <f>IFERROR(__xludf.DUMMYFUNCTION("""COMPUTED_VALUE"""),"Savuti")</f>
        <v>Savuti</v>
      </c>
      <c r="B7634" s="120" t="str">
        <f>IFERROR(__xludf.DUMMYFUNCTION("""COMPUTED_VALUE"""),"SVT")</f>
        <v>SVT</v>
      </c>
      <c r="C7634" s="120" t="str">
        <f>IFERROR(__xludf.DUMMYFUNCTION("""COMPUTED_VALUE"""),"Savuti")</f>
        <v>Savuti</v>
      </c>
      <c r="D7634" s="120" t="str">
        <f>IFERROR(__xludf.DUMMYFUNCTION("""COMPUTED_VALUE"""),"Botswana")</f>
        <v>Botswana</v>
      </c>
      <c r="E7634" s="135"/>
      <c r="F7634" s="31"/>
    </row>
    <row r="7635">
      <c r="A7635" s="134" t="str">
        <f>IFERROR(__xludf.DUMMYFUNCTION("""COMPUTED_VALUE"""),"Sawan")</f>
        <v>Sawan</v>
      </c>
      <c r="B7635" s="120" t="str">
        <f>IFERROR(__xludf.DUMMYFUNCTION("""COMPUTED_VALUE"""),"RZS")</f>
        <v>RZS</v>
      </c>
      <c r="C7635" s="120" t="str">
        <f>IFERROR(__xludf.DUMMYFUNCTION("""COMPUTED_VALUE"""),"Sawan")</f>
        <v>Sawan</v>
      </c>
      <c r="D7635" s="120" t="str">
        <f>IFERROR(__xludf.DUMMYFUNCTION("""COMPUTED_VALUE"""),"Pakistan")</f>
        <v>Pakistan</v>
      </c>
      <c r="E7635" s="135"/>
      <c r="F7635" s="31"/>
    </row>
    <row r="7636">
      <c r="A7636" s="134" t="str">
        <f>IFERROR(__xludf.DUMMYFUNCTION("""COMPUTED_VALUE"""),"Sawu")</f>
        <v>Sawu</v>
      </c>
      <c r="B7636" s="120" t="str">
        <f>IFERROR(__xludf.DUMMYFUNCTION("""COMPUTED_VALUE"""),"SAU")</f>
        <v>SAU</v>
      </c>
      <c r="C7636" s="120" t="str">
        <f>IFERROR(__xludf.DUMMYFUNCTION("""COMPUTED_VALUE"""),"Sawu")</f>
        <v>Sawu</v>
      </c>
      <c r="D7636" s="120" t="str">
        <f>IFERROR(__xludf.DUMMYFUNCTION("""COMPUTED_VALUE"""),"Indonesia")</f>
        <v>Indonesia</v>
      </c>
      <c r="E7636" s="135"/>
      <c r="F7636" s="31"/>
    </row>
    <row r="7637">
      <c r="A7637" s="134" t="str">
        <f>IFERROR(__xludf.DUMMYFUNCTION("""COMPUTED_VALUE"""),"Sayaboury")</f>
        <v>Sayaboury</v>
      </c>
      <c r="B7637" s="120" t="str">
        <f>IFERROR(__xludf.DUMMYFUNCTION("""COMPUTED_VALUE"""),"ZBY")</f>
        <v>ZBY</v>
      </c>
      <c r="C7637" s="120" t="str">
        <f>IFERROR(__xludf.DUMMYFUNCTION("""COMPUTED_VALUE"""),"Sayaboury")</f>
        <v>Sayaboury</v>
      </c>
      <c r="D7637" s="120" t="str">
        <f>IFERROR(__xludf.DUMMYFUNCTION("""COMPUTED_VALUE"""),"Laos")</f>
        <v>Laos</v>
      </c>
      <c r="E7637" s="135"/>
      <c r="F7637" s="31"/>
    </row>
    <row r="7638">
      <c r="A7638" s="134" t="str">
        <f>IFERROR(__xludf.DUMMYFUNCTION("""COMPUTED_VALUE"""),"Scammon Bay")</f>
        <v>Scammon Bay</v>
      </c>
      <c r="B7638" s="120" t="str">
        <f>IFERROR(__xludf.DUMMYFUNCTION("""COMPUTED_VALUE"""),"SCM")</f>
        <v>SCM</v>
      </c>
      <c r="C7638" s="120" t="str">
        <f>IFERROR(__xludf.DUMMYFUNCTION("""COMPUTED_VALUE"""),"SPB")</f>
        <v>SPB</v>
      </c>
      <c r="D7638" s="120" t="str">
        <f>IFERROR(__xludf.DUMMYFUNCTION("""COMPUTED_VALUE"""),"United States")</f>
        <v>United States</v>
      </c>
      <c r="E7638" s="135"/>
      <c r="F7638" s="31"/>
    </row>
    <row r="7639">
      <c r="A7639" s="134" t="str">
        <f>IFERROR(__xludf.DUMMYFUNCTION("""COMPUTED_VALUE"""),"Scampton")</f>
        <v>Scampton</v>
      </c>
      <c r="B7639" s="120" t="str">
        <f>IFERROR(__xludf.DUMMYFUNCTION("""COMPUTED_VALUE"""),"SQZ")</f>
        <v>SQZ</v>
      </c>
      <c r="C7639" s="120" t="str">
        <f>IFERROR(__xludf.DUMMYFUNCTION("""COMPUTED_VALUE"""),"RAF Station")</f>
        <v>RAF Station</v>
      </c>
      <c r="D7639" s="120" t="str">
        <f>IFERROR(__xludf.DUMMYFUNCTION("""COMPUTED_VALUE"""),"United Kingdom")</f>
        <v>United Kingdom</v>
      </c>
      <c r="E7639" s="135"/>
      <c r="F7639" s="31"/>
    </row>
    <row r="7640">
      <c r="A7640" s="134" t="str">
        <f>IFERROR(__xludf.DUMMYFUNCTION("""COMPUTED_VALUE"""),"Schaumburg")</f>
        <v>Schaumburg</v>
      </c>
      <c r="B7640" s="120" t="str">
        <f>IFERROR(__xludf.DUMMYFUNCTION("""COMPUTED_VALUE"""),"JMH")</f>
        <v>JMH</v>
      </c>
      <c r="C7640" s="120" t="str">
        <f>IFERROR(__xludf.DUMMYFUNCTION("""COMPUTED_VALUE"""),"Marriott Heliport")</f>
        <v>Marriott Heliport</v>
      </c>
      <c r="D7640" s="120" t="str">
        <f>IFERROR(__xludf.DUMMYFUNCTION("""COMPUTED_VALUE"""),"United States")</f>
        <v>United States</v>
      </c>
      <c r="E7640" s="135"/>
      <c r="F7640" s="31"/>
    </row>
    <row r="7641">
      <c r="A7641" s="134" t="str">
        <f>IFERROR(__xludf.DUMMYFUNCTION("""COMPUTED_VALUE"""),"Schefferville")</f>
        <v>Schefferville</v>
      </c>
      <c r="B7641" s="120" t="str">
        <f>IFERROR(__xludf.DUMMYFUNCTION("""COMPUTED_VALUE"""),"YKL")</f>
        <v>YKL</v>
      </c>
      <c r="C7641" s="120" t="str">
        <f>IFERROR(__xludf.DUMMYFUNCTION("""COMPUTED_VALUE"""),"Schefferville")</f>
        <v>Schefferville</v>
      </c>
      <c r="D7641" s="120" t="str">
        <f>IFERROR(__xludf.DUMMYFUNCTION("""COMPUTED_VALUE"""),"Canada")</f>
        <v>Canada</v>
      </c>
      <c r="E7641" s="135"/>
      <c r="F7641" s="31"/>
    </row>
    <row r="7642">
      <c r="A7642" s="134" t="str">
        <f>IFERROR(__xludf.DUMMYFUNCTION("""COMPUTED_VALUE"""),"Schenectady")</f>
        <v>Schenectady</v>
      </c>
      <c r="B7642" s="120" t="str">
        <f>IFERROR(__xludf.DUMMYFUNCTION("""COMPUTED_VALUE"""),"SCH")</f>
        <v>SCH</v>
      </c>
      <c r="C7642" s="120" t="str">
        <f>IFERROR(__xludf.DUMMYFUNCTION("""COMPUTED_VALUE"""),"County")</f>
        <v>County</v>
      </c>
      <c r="D7642" s="120" t="str">
        <f>IFERROR(__xludf.DUMMYFUNCTION("""COMPUTED_VALUE"""),"United States")</f>
        <v>United States</v>
      </c>
      <c r="E7642" s="135"/>
      <c r="F7642" s="31"/>
    </row>
    <row r="7643">
      <c r="A7643" s="134" t="str">
        <f>IFERROR(__xludf.DUMMYFUNCTION("""COMPUTED_VALUE"""),"Schenectady")</f>
        <v>Schenectady</v>
      </c>
      <c r="B7643" s="120" t="str">
        <f>IFERROR(__xludf.DUMMYFUNCTION("""COMPUTED_VALUE"""),"ZTD")</f>
        <v>ZTD</v>
      </c>
      <c r="C7643" s="120" t="str">
        <f>IFERROR(__xludf.DUMMYFUNCTION("""COMPUTED_VALUE"""),"Schenectady Rail")</f>
        <v>Schenectady Rail</v>
      </c>
      <c r="D7643" s="120" t="str">
        <f>IFERROR(__xludf.DUMMYFUNCTION("""COMPUTED_VALUE"""),"United States")</f>
        <v>United States</v>
      </c>
      <c r="E7643" s="135"/>
      <c r="F7643" s="31"/>
    </row>
    <row r="7644">
      <c r="A7644" s="134" t="str">
        <f>IFERROR(__xludf.DUMMYFUNCTION("""COMPUTED_VALUE"""),"Schleswig-Jagel")</f>
        <v>Schleswig-Jagel</v>
      </c>
      <c r="B7644" s="120" t="str">
        <f>IFERROR(__xludf.DUMMYFUNCTION("""COMPUTED_VALUE"""),"WBG")</f>
        <v>WBG</v>
      </c>
      <c r="C7644" s="120" t="str">
        <f>IFERROR(__xludf.DUMMYFUNCTION("""COMPUTED_VALUE"""),"Schleswig-Jagel")</f>
        <v>Schleswig-Jagel</v>
      </c>
      <c r="D7644" s="120" t="str">
        <f>IFERROR(__xludf.DUMMYFUNCTION("""COMPUTED_VALUE"""),"Germany")</f>
        <v>Germany</v>
      </c>
      <c r="E7644" s="135"/>
      <c r="F7644" s="31"/>
    </row>
    <row r="7645">
      <c r="A7645" s="134" t="str">
        <f>IFERROR(__xludf.DUMMYFUNCTION("""COMPUTED_VALUE"""),"Schwerin")</f>
        <v>Schwerin</v>
      </c>
      <c r="B7645" s="120" t="str">
        <f>IFERROR(__xludf.DUMMYFUNCTION("""COMPUTED_VALUE"""),"SZW")</f>
        <v>SZW</v>
      </c>
      <c r="C7645" s="120" t="str">
        <f>IFERROR(__xludf.DUMMYFUNCTION("""COMPUTED_VALUE"""),"Parchim Airport")</f>
        <v>Parchim Airport</v>
      </c>
      <c r="D7645" s="120" t="str">
        <f>IFERROR(__xludf.DUMMYFUNCTION("""COMPUTED_VALUE"""),"Germany")</f>
        <v>Germany</v>
      </c>
      <c r="E7645" s="135"/>
      <c r="F7645" s="31"/>
    </row>
    <row r="7646">
      <c r="A7646" s="134" t="str">
        <f>IFERROR(__xludf.DUMMYFUNCTION("""COMPUTED_VALUE"""),"Scone")</f>
        <v>Scone</v>
      </c>
      <c r="B7646" s="120" t="str">
        <f>IFERROR(__xludf.DUMMYFUNCTION("""COMPUTED_VALUE"""),"NSO")</f>
        <v>NSO</v>
      </c>
      <c r="C7646" s="120" t="str">
        <f>IFERROR(__xludf.DUMMYFUNCTION("""COMPUTED_VALUE"""),"Scone")</f>
        <v>Scone</v>
      </c>
      <c r="D7646" s="120" t="str">
        <f>IFERROR(__xludf.DUMMYFUNCTION("""COMPUTED_VALUE"""),"Australia")</f>
        <v>Australia</v>
      </c>
      <c r="E7646" s="135"/>
      <c r="F7646" s="31"/>
    </row>
    <row r="7647">
      <c r="A7647" s="134" t="str">
        <f>IFERROR(__xludf.DUMMYFUNCTION("""COMPUTED_VALUE"""),"Scottsbluff")</f>
        <v>Scottsbluff</v>
      </c>
      <c r="B7647" s="120" t="str">
        <f>IFERROR(__xludf.DUMMYFUNCTION("""COMPUTED_VALUE"""),"BFF")</f>
        <v>BFF</v>
      </c>
      <c r="C7647" s="120" t="str">
        <f>IFERROR(__xludf.DUMMYFUNCTION("""COMPUTED_VALUE"""),"Scotts Bluff County")</f>
        <v>Scotts Bluff County</v>
      </c>
      <c r="D7647" s="120" t="str">
        <f>IFERROR(__xludf.DUMMYFUNCTION("""COMPUTED_VALUE"""),"United States")</f>
        <v>United States</v>
      </c>
      <c r="E7647" s="135"/>
      <c r="F7647" s="31"/>
    </row>
    <row r="7648">
      <c r="A7648" s="134" t="str">
        <f>IFERROR(__xludf.DUMMYFUNCTION("""COMPUTED_VALUE"""),"Scranton")</f>
        <v>Scranton</v>
      </c>
      <c r="B7648" s="120" t="str">
        <f>IFERROR(__xludf.DUMMYFUNCTION("""COMPUTED_VALUE"""),"SCR")</f>
        <v>SCR</v>
      </c>
      <c r="C7648" s="120" t="str">
        <f>IFERROR(__xludf.DUMMYFUNCTION("""COMPUTED_VALUE"""),"Municipal")</f>
        <v>Municipal</v>
      </c>
      <c r="D7648" s="120" t="str">
        <f>IFERROR(__xludf.DUMMYFUNCTION("""COMPUTED_VALUE"""),"United States")</f>
        <v>United States</v>
      </c>
      <c r="E7648" s="135"/>
      <c r="F7648" s="31"/>
    </row>
    <row r="7649">
      <c r="A7649" s="134" t="str">
        <f>IFERROR(__xludf.DUMMYFUNCTION("""COMPUTED_VALUE"""),"Scribner")</f>
        <v>Scribner</v>
      </c>
      <c r="B7649" s="120" t="str">
        <f>IFERROR(__xludf.DUMMYFUNCTION("""COMPUTED_VALUE"""),"SCB")</f>
        <v>SCB</v>
      </c>
      <c r="C7649" s="120" t="str">
        <f>IFERROR(__xludf.DUMMYFUNCTION("""COMPUTED_VALUE"""),"State")</f>
        <v>State</v>
      </c>
      <c r="D7649" s="120" t="str">
        <f>IFERROR(__xludf.DUMMYFUNCTION("""COMPUTED_VALUE"""),"United States")</f>
        <v>United States</v>
      </c>
      <c r="E7649" s="135"/>
      <c r="F7649" s="31"/>
    </row>
    <row r="7650">
      <c r="A7650" s="134" t="str">
        <f>IFERROR(__xludf.DUMMYFUNCTION("""COMPUTED_VALUE"""),"Scusciuban")</f>
        <v>Scusciuban</v>
      </c>
      <c r="B7650" s="120" t="str">
        <f>IFERROR(__xludf.DUMMYFUNCTION("""COMPUTED_VALUE"""),"CMS")</f>
        <v>CMS</v>
      </c>
      <c r="C7650" s="120" t="str">
        <f>IFERROR(__xludf.DUMMYFUNCTION("""COMPUTED_VALUE"""),"Scusciuban")</f>
        <v>Scusciuban</v>
      </c>
      <c r="D7650" s="120" t="str">
        <f>IFERROR(__xludf.DUMMYFUNCTION("""COMPUTED_VALUE"""),"Somalia")</f>
        <v>Somalia</v>
      </c>
      <c r="E7650" s="135"/>
      <c r="F7650" s="31"/>
    </row>
    <row r="7651">
      <c r="A7651" s="134" t="str">
        <f>IFERROR(__xludf.DUMMYFUNCTION("""COMPUTED_VALUE"""),"Seal Bay")</f>
        <v>Seal Bay</v>
      </c>
      <c r="B7651" s="120" t="str">
        <f>IFERROR(__xludf.DUMMYFUNCTION("""COMPUTED_VALUE"""),"SYB")</f>
        <v>SYB</v>
      </c>
      <c r="C7651" s="120" t="str">
        <f>IFERROR(__xludf.DUMMYFUNCTION("""COMPUTED_VALUE"""),"Seal Bay")</f>
        <v>Seal Bay</v>
      </c>
      <c r="D7651" s="120" t="str">
        <f>IFERROR(__xludf.DUMMYFUNCTION("""COMPUTED_VALUE"""),"United States")</f>
        <v>United States</v>
      </c>
      <c r="E7651" s="135"/>
      <c r="F7651" s="31"/>
    </row>
    <row r="7652">
      <c r="A7652" s="134" t="str">
        <f>IFERROR(__xludf.DUMMYFUNCTION("""COMPUTED_VALUE"""),"Searcy")</f>
        <v>Searcy</v>
      </c>
      <c r="B7652" s="120" t="str">
        <f>IFERROR(__xludf.DUMMYFUNCTION("""COMPUTED_VALUE"""),"SRC")</f>
        <v>SRC</v>
      </c>
      <c r="C7652" s="120" t="str">
        <f>IFERROR(__xludf.DUMMYFUNCTION("""COMPUTED_VALUE"""),"Searcy")</f>
        <v>Searcy</v>
      </c>
      <c r="D7652" s="120" t="str">
        <f>IFERROR(__xludf.DUMMYFUNCTION("""COMPUTED_VALUE"""),"United States")</f>
        <v>United States</v>
      </c>
      <c r="E7652" s="135"/>
      <c r="F7652" s="31"/>
    </row>
    <row r="7653">
      <c r="A7653" s="134" t="str">
        <f>IFERROR(__xludf.DUMMYFUNCTION("""COMPUTED_VALUE"""),"Seattle")</f>
        <v>Seattle</v>
      </c>
      <c r="B7653" s="120" t="str">
        <f>IFERROR(__xludf.DUMMYFUNCTION("""COMPUTED_VALUE"""),"BFI")</f>
        <v>BFI</v>
      </c>
      <c r="C7653" s="120" t="str">
        <f>IFERROR(__xludf.DUMMYFUNCTION("""COMPUTED_VALUE"""),"Boeing Fld Intl")</f>
        <v>Boeing Fld Intl</v>
      </c>
      <c r="D7653" s="120" t="str">
        <f>IFERROR(__xludf.DUMMYFUNCTION("""COMPUTED_VALUE"""),"United States")</f>
        <v>United States</v>
      </c>
      <c r="E7653" s="135"/>
      <c r="F7653" s="31"/>
    </row>
    <row r="7654">
      <c r="A7654" s="134" t="str">
        <f>IFERROR(__xludf.DUMMYFUNCTION("""COMPUTED_VALUE"""),"Seattle")</f>
        <v>Seattle</v>
      </c>
      <c r="B7654" s="120" t="str">
        <f>IFERROR(__xludf.DUMMYFUNCTION("""COMPUTED_VALUE"""),"LKE")</f>
        <v>LKE</v>
      </c>
      <c r="C7654" s="120" t="str">
        <f>IFERROR(__xludf.DUMMYFUNCTION("""COMPUTED_VALUE"""),"Lake Union SPB")</f>
        <v>Lake Union SPB</v>
      </c>
      <c r="D7654" s="120" t="str">
        <f>IFERROR(__xludf.DUMMYFUNCTION("""COMPUTED_VALUE"""),"United States")</f>
        <v>United States</v>
      </c>
      <c r="E7654" s="135"/>
      <c r="F7654" s="31"/>
    </row>
    <row r="7655">
      <c r="A7655" s="134" t="str">
        <f>IFERROR(__xludf.DUMMYFUNCTION("""COMPUTED_VALUE"""),"Seattle")</f>
        <v>Seattle</v>
      </c>
      <c r="B7655" s="120" t="str">
        <f>IFERROR(__xludf.DUMMYFUNCTION("""COMPUTED_VALUE"""),"SEA")</f>
        <v>SEA</v>
      </c>
      <c r="C7655" s="120" t="str">
        <f>IFERROR(__xludf.DUMMYFUNCTION("""COMPUTED_VALUE"""),"Seattle/tacoma International")</f>
        <v>Seattle/tacoma International</v>
      </c>
      <c r="D7655" s="120" t="str">
        <f>IFERROR(__xludf.DUMMYFUNCTION("""COMPUTED_VALUE"""),"United States")</f>
        <v>United States</v>
      </c>
      <c r="E7655" s="135"/>
      <c r="F7655" s="31"/>
    </row>
    <row r="7656">
      <c r="A7656" s="134" t="str">
        <f>IFERROR(__xludf.DUMMYFUNCTION("""COMPUTED_VALUE"""),"Sebba")</f>
        <v>Sebba</v>
      </c>
      <c r="B7656" s="120" t="str">
        <f>IFERROR(__xludf.DUMMYFUNCTION("""COMPUTED_VALUE"""),"XSE")</f>
        <v>XSE</v>
      </c>
      <c r="C7656" s="120" t="str">
        <f>IFERROR(__xludf.DUMMYFUNCTION("""COMPUTED_VALUE"""),"Sebba")</f>
        <v>Sebba</v>
      </c>
      <c r="D7656" s="120" t="str">
        <f>IFERROR(__xludf.DUMMYFUNCTION("""COMPUTED_VALUE"""),"Burkina Faso")</f>
        <v>Burkina Faso</v>
      </c>
      <c r="E7656" s="135"/>
      <c r="F7656" s="31"/>
    </row>
    <row r="7657">
      <c r="A7657" s="134" t="str">
        <f>IFERROR(__xludf.DUMMYFUNCTION("""COMPUTED_VALUE"""),"Sebha")</f>
        <v>Sebha</v>
      </c>
      <c r="B7657" s="120" t="str">
        <f>IFERROR(__xludf.DUMMYFUNCTION("""COMPUTED_VALUE"""),"SEB")</f>
        <v>SEB</v>
      </c>
      <c r="C7657" s="120" t="str">
        <f>IFERROR(__xludf.DUMMYFUNCTION("""COMPUTED_VALUE"""),"Sebha")</f>
        <v>Sebha</v>
      </c>
      <c r="D7657" s="120" t="str">
        <f>IFERROR(__xludf.DUMMYFUNCTION("""COMPUTED_VALUE"""),"Libya")</f>
        <v>Libya</v>
      </c>
      <c r="E7657" s="135"/>
      <c r="F7657" s="31"/>
    </row>
    <row r="7658">
      <c r="A7658" s="134" t="str">
        <f>IFERROR(__xludf.DUMMYFUNCTION("""COMPUTED_VALUE"""),"Sebring")</f>
        <v>Sebring</v>
      </c>
      <c r="B7658" s="120" t="str">
        <f>IFERROR(__xludf.DUMMYFUNCTION("""COMPUTED_VALUE"""),"SEF")</f>
        <v>SEF</v>
      </c>
      <c r="C7658" s="120" t="str">
        <f>IFERROR(__xludf.DUMMYFUNCTION("""COMPUTED_VALUE"""),"Air Terminal")</f>
        <v>Air Terminal</v>
      </c>
      <c r="D7658" s="120" t="str">
        <f>IFERROR(__xludf.DUMMYFUNCTION("""COMPUTED_VALUE"""),"United States")</f>
        <v>United States</v>
      </c>
      <c r="E7658" s="135"/>
      <c r="F7658" s="31"/>
    </row>
    <row r="7659">
      <c r="A7659" s="134" t="str">
        <f>IFERROR(__xludf.DUMMYFUNCTION("""COMPUTED_VALUE"""),"Sechelt")</f>
        <v>Sechelt</v>
      </c>
      <c r="B7659" s="120" t="str">
        <f>IFERROR(__xludf.DUMMYFUNCTION("""COMPUTED_VALUE"""),"YHS")</f>
        <v>YHS</v>
      </c>
      <c r="C7659" s="120" t="str">
        <f>IFERROR(__xludf.DUMMYFUNCTION("""COMPUTED_VALUE"""),"Sechelt")</f>
        <v>Sechelt</v>
      </c>
      <c r="D7659" s="120" t="str">
        <f>IFERROR(__xludf.DUMMYFUNCTION("""COMPUTED_VALUE"""),"Canada")</f>
        <v>Canada</v>
      </c>
      <c r="E7659" s="135"/>
      <c r="F7659" s="31"/>
    </row>
    <row r="7660">
      <c r="A7660" s="134" t="str">
        <f>IFERROR(__xludf.DUMMYFUNCTION("""COMPUTED_VALUE"""),"Secunda")</f>
        <v>Secunda</v>
      </c>
      <c r="B7660" s="120" t="str">
        <f>IFERROR(__xludf.DUMMYFUNCTION("""COMPUTED_VALUE"""),"ZEC")</f>
        <v>ZEC</v>
      </c>
      <c r="C7660" s="120" t="str">
        <f>IFERROR(__xludf.DUMMYFUNCTION("""COMPUTED_VALUE"""),"Secunda")</f>
        <v>Secunda</v>
      </c>
      <c r="D7660" s="120" t="str">
        <f>IFERROR(__xludf.DUMMYFUNCTION("""COMPUTED_VALUE"""),"South Africa")</f>
        <v>South Africa</v>
      </c>
      <c r="E7660" s="135"/>
      <c r="F7660" s="31"/>
    </row>
    <row r="7661">
      <c r="A7661" s="134" t="str">
        <f>IFERROR(__xludf.DUMMYFUNCTION("""COMPUTED_VALUE"""),"Sedalia")</f>
        <v>Sedalia</v>
      </c>
      <c r="B7661" s="120" t="str">
        <f>IFERROR(__xludf.DUMMYFUNCTION("""COMPUTED_VALUE"""),"DMO")</f>
        <v>DMO</v>
      </c>
      <c r="C7661" s="120" t="str">
        <f>IFERROR(__xludf.DUMMYFUNCTION("""COMPUTED_VALUE"""),"Sedalia")</f>
        <v>Sedalia</v>
      </c>
      <c r="D7661" s="120" t="str">
        <f>IFERROR(__xludf.DUMMYFUNCTION("""COMPUTED_VALUE"""),"United States")</f>
        <v>United States</v>
      </c>
      <c r="E7661" s="135"/>
      <c r="F7661" s="31"/>
    </row>
    <row r="7662">
      <c r="A7662" s="134" t="str">
        <f>IFERROR(__xludf.DUMMYFUNCTION("""COMPUTED_VALUE"""),"Sedona")</f>
        <v>Sedona</v>
      </c>
      <c r="B7662" s="120" t="str">
        <f>IFERROR(__xludf.DUMMYFUNCTION("""COMPUTED_VALUE"""),"SDX")</f>
        <v>SDX</v>
      </c>
      <c r="C7662" s="120" t="str">
        <f>IFERROR(__xludf.DUMMYFUNCTION("""COMPUTED_VALUE"""),"Sedona")</f>
        <v>Sedona</v>
      </c>
      <c r="D7662" s="120" t="str">
        <f>IFERROR(__xludf.DUMMYFUNCTION("""COMPUTED_VALUE"""),"United States")</f>
        <v>United States</v>
      </c>
      <c r="E7662" s="135"/>
      <c r="F7662" s="31"/>
    </row>
    <row r="7663">
      <c r="A7663" s="134" t="str">
        <f>IFERROR(__xludf.DUMMYFUNCTION("""COMPUTED_VALUE"""),"Sege")</f>
        <v>Sege</v>
      </c>
      <c r="B7663" s="120" t="str">
        <f>IFERROR(__xludf.DUMMYFUNCTION("""COMPUTED_VALUE"""),"EGM")</f>
        <v>EGM</v>
      </c>
      <c r="C7663" s="120" t="str">
        <f>IFERROR(__xludf.DUMMYFUNCTION("""COMPUTED_VALUE"""),"Sege")</f>
        <v>Sege</v>
      </c>
      <c r="D7663" s="120" t="str">
        <f>IFERROR(__xludf.DUMMYFUNCTION("""COMPUTED_VALUE"""),"Solomon Islands")</f>
        <v>Solomon Islands</v>
      </c>
      <c r="E7663" s="135"/>
      <c r="F7663" s="31"/>
    </row>
    <row r="7664">
      <c r="A7664" s="134" t="str">
        <f>IFERROR(__xludf.DUMMYFUNCTION("""COMPUTED_VALUE"""),"Segou")</f>
        <v>Segou</v>
      </c>
      <c r="B7664" s="120" t="str">
        <f>IFERROR(__xludf.DUMMYFUNCTION("""COMPUTED_VALUE"""),"SZU")</f>
        <v>SZU</v>
      </c>
      <c r="C7664" s="120" t="str">
        <f>IFERROR(__xludf.DUMMYFUNCTION("""COMPUTED_VALUE"""),"Segou")</f>
        <v>Segou</v>
      </c>
      <c r="D7664" s="120" t="str">
        <f>IFERROR(__xludf.DUMMYFUNCTION("""COMPUTED_VALUE"""),"Mali")</f>
        <v>Mali</v>
      </c>
      <c r="E7664" s="135"/>
      <c r="F7664" s="31"/>
    </row>
    <row r="7665">
      <c r="A7665" s="134" t="str">
        <f>IFERROR(__xludf.DUMMYFUNCTION("""COMPUTED_VALUE"""),"Seguela")</f>
        <v>Seguela</v>
      </c>
      <c r="B7665" s="120" t="str">
        <f>IFERROR(__xludf.DUMMYFUNCTION("""COMPUTED_VALUE"""),"SEO")</f>
        <v>SEO</v>
      </c>
      <c r="C7665" s="120" t="str">
        <f>IFERROR(__xludf.DUMMYFUNCTION("""COMPUTED_VALUE"""),"Seguela")</f>
        <v>Seguela</v>
      </c>
      <c r="D7665" s="120" t="str">
        <f>IFERROR(__xludf.DUMMYFUNCTION("""COMPUTED_VALUE"""),"Cote D'Ivoire (Ivory Coast)")</f>
        <v>Cote D'Ivoire (Ivory Coast)</v>
      </c>
      <c r="E7665" s="135"/>
      <c r="F7665" s="31"/>
    </row>
    <row r="7666">
      <c r="A7666" s="134" t="str">
        <f>IFERROR(__xludf.DUMMYFUNCTION("""COMPUTED_VALUE"""),"Sehonghong")</f>
        <v>Sehonghong</v>
      </c>
      <c r="B7666" s="120" t="str">
        <f>IFERROR(__xludf.DUMMYFUNCTION("""COMPUTED_VALUE"""),"SHK")</f>
        <v>SHK</v>
      </c>
      <c r="C7666" s="120" t="str">
        <f>IFERROR(__xludf.DUMMYFUNCTION("""COMPUTED_VALUE"""),"Sehonghong")</f>
        <v>Sehonghong</v>
      </c>
      <c r="D7666" s="120" t="str">
        <f>IFERROR(__xludf.DUMMYFUNCTION("""COMPUTED_VALUE"""),"Lesotho")</f>
        <v>Lesotho</v>
      </c>
      <c r="E7666" s="135"/>
      <c r="F7666" s="31"/>
    </row>
    <row r="7667">
      <c r="A7667" s="134" t="str">
        <f>IFERROR(__xludf.DUMMYFUNCTION("""COMPUTED_VALUE"""),"Sehulea")</f>
        <v>Sehulea</v>
      </c>
      <c r="B7667" s="120" t="str">
        <f>IFERROR(__xludf.DUMMYFUNCTION("""COMPUTED_VALUE"""),"SXH")</f>
        <v>SXH</v>
      </c>
      <c r="C7667" s="120" t="str">
        <f>IFERROR(__xludf.DUMMYFUNCTION("""COMPUTED_VALUE"""),"Sehulea")</f>
        <v>Sehulea</v>
      </c>
      <c r="D7667" s="120" t="str">
        <f>IFERROR(__xludf.DUMMYFUNCTION("""COMPUTED_VALUE"""),"Papua New Guinea")</f>
        <v>Papua New Guinea</v>
      </c>
      <c r="E7667" s="135"/>
      <c r="F7667" s="31"/>
    </row>
    <row r="7668">
      <c r="A7668" s="134" t="str">
        <f>IFERROR(__xludf.DUMMYFUNCTION("""COMPUTED_VALUE"""),"Sehwen Sharif")</f>
        <v>Sehwen Sharif</v>
      </c>
      <c r="B7668" s="120" t="str">
        <f>IFERROR(__xludf.DUMMYFUNCTION("""COMPUTED_VALUE"""),"SYW")</f>
        <v>SYW</v>
      </c>
      <c r="C7668" s="120" t="str">
        <f>IFERROR(__xludf.DUMMYFUNCTION("""COMPUTED_VALUE"""),"Sehwen Sharif")</f>
        <v>Sehwen Sharif</v>
      </c>
      <c r="D7668" s="120" t="str">
        <f>IFERROR(__xludf.DUMMYFUNCTION("""COMPUTED_VALUE"""),"Pakistan")</f>
        <v>Pakistan</v>
      </c>
      <c r="E7668" s="135"/>
      <c r="F7668" s="31"/>
    </row>
    <row r="7669">
      <c r="A7669" s="134" t="str">
        <f>IFERROR(__xludf.DUMMYFUNCTION("""COMPUTED_VALUE"""),"Seinajoki")</f>
        <v>Seinajoki</v>
      </c>
      <c r="B7669" s="120" t="str">
        <f>IFERROR(__xludf.DUMMYFUNCTION("""COMPUTED_VALUE"""),"SJY")</f>
        <v>SJY</v>
      </c>
      <c r="C7669" s="120" t="str">
        <f>IFERROR(__xludf.DUMMYFUNCTION("""COMPUTED_VALUE"""),"Ilmajoki")</f>
        <v>Ilmajoki</v>
      </c>
      <c r="D7669" s="120" t="str">
        <f>IFERROR(__xludf.DUMMYFUNCTION("""COMPUTED_VALUE"""),"Finland")</f>
        <v>Finland</v>
      </c>
      <c r="E7669" s="135"/>
      <c r="F7669" s="31"/>
    </row>
    <row r="7670">
      <c r="A7670" s="134" t="str">
        <f>IFERROR(__xludf.DUMMYFUNCTION("""COMPUTED_VALUE"""),"Seiyun")</f>
        <v>Seiyun</v>
      </c>
      <c r="B7670" s="120" t="str">
        <f>IFERROR(__xludf.DUMMYFUNCTION("""COMPUTED_VALUE"""),"GXF")</f>
        <v>GXF</v>
      </c>
      <c r="C7670" s="120" t="str">
        <f>IFERROR(__xludf.DUMMYFUNCTION("""COMPUTED_VALUE"""),"Seiyun")</f>
        <v>Seiyun</v>
      </c>
      <c r="D7670" s="120" t="str">
        <f>IFERROR(__xludf.DUMMYFUNCTION("""COMPUTED_VALUE"""),"Yemen")</f>
        <v>Yemen</v>
      </c>
      <c r="E7670" s="135"/>
      <c r="F7670" s="31"/>
    </row>
    <row r="7671">
      <c r="A7671" s="134" t="str">
        <f>IFERROR(__xludf.DUMMYFUNCTION("""COMPUTED_VALUE"""),"Sekakes")</f>
        <v>Sekakes</v>
      </c>
      <c r="B7671" s="120" t="str">
        <f>IFERROR(__xludf.DUMMYFUNCTION("""COMPUTED_VALUE"""),"SKQ")</f>
        <v>SKQ</v>
      </c>
      <c r="C7671" s="120" t="str">
        <f>IFERROR(__xludf.DUMMYFUNCTION("""COMPUTED_VALUE"""),"Sekakes")</f>
        <v>Sekakes</v>
      </c>
      <c r="D7671" s="120" t="str">
        <f>IFERROR(__xludf.DUMMYFUNCTION("""COMPUTED_VALUE"""),"Lesotho")</f>
        <v>Lesotho</v>
      </c>
      <c r="E7671" s="135"/>
      <c r="F7671" s="31"/>
    </row>
    <row r="7672">
      <c r="A7672" s="134" t="str">
        <f>IFERROR(__xludf.DUMMYFUNCTION("""COMPUTED_VALUE"""),"Selawik")</f>
        <v>Selawik</v>
      </c>
      <c r="B7672" s="120" t="str">
        <f>IFERROR(__xludf.DUMMYFUNCTION("""COMPUTED_VALUE"""),"WLK")</f>
        <v>WLK</v>
      </c>
      <c r="C7672" s="120" t="str">
        <f>IFERROR(__xludf.DUMMYFUNCTION("""COMPUTED_VALUE"""),"Selawik")</f>
        <v>Selawik</v>
      </c>
      <c r="D7672" s="120" t="str">
        <f>IFERROR(__xludf.DUMMYFUNCTION("""COMPUTED_VALUE"""),"United States")</f>
        <v>United States</v>
      </c>
      <c r="E7672" s="135"/>
      <c r="F7672" s="31"/>
    </row>
    <row r="7673">
      <c r="A7673" s="134" t="str">
        <f>IFERROR(__xludf.DUMMYFUNCTION("""COMPUTED_VALUE"""),"Selbang")</f>
        <v>Selbang</v>
      </c>
      <c r="B7673" s="120" t="str">
        <f>IFERROR(__xludf.DUMMYFUNCTION("""COMPUTED_VALUE"""),"SBC")</f>
        <v>SBC</v>
      </c>
      <c r="C7673" s="120" t="str">
        <f>IFERROR(__xludf.DUMMYFUNCTION("""COMPUTED_VALUE"""),"Selbang")</f>
        <v>Selbang</v>
      </c>
      <c r="D7673" s="120" t="str">
        <f>IFERROR(__xludf.DUMMYFUNCTION("""COMPUTED_VALUE"""),"Papua New Guinea")</f>
        <v>Papua New Guinea</v>
      </c>
      <c r="E7673" s="135"/>
      <c r="F7673" s="31"/>
    </row>
    <row r="7674">
      <c r="A7674" s="134" t="str">
        <f>IFERROR(__xludf.DUMMYFUNCTION("""COMPUTED_VALUE"""),"Seldovia")</f>
        <v>Seldovia</v>
      </c>
      <c r="B7674" s="120" t="str">
        <f>IFERROR(__xludf.DUMMYFUNCTION("""COMPUTED_VALUE"""),"SOV")</f>
        <v>SOV</v>
      </c>
      <c r="C7674" s="120" t="str">
        <f>IFERROR(__xludf.DUMMYFUNCTION("""COMPUTED_VALUE"""),"Seldovia")</f>
        <v>Seldovia</v>
      </c>
      <c r="D7674" s="120" t="str">
        <f>IFERROR(__xludf.DUMMYFUNCTION("""COMPUTED_VALUE"""),"United States")</f>
        <v>United States</v>
      </c>
      <c r="E7674" s="135"/>
      <c r="F7674" s="31"/>
    </row>
    <row r="7675">
      <c r="A7675" s="134" t="str">
        <f>IFERROR(__xludf.DUMMYFUNCTION("""COMPUTED_VALUE"""),"Selebi-Phikwe")</f>
        <v>Selebi-Phikwe</v>
      </c>
      <c r="B7675" s="120" t="str">
        <f>IFERROR(__xludf.DUMMYFUNCTION("""COMPUTED_VALUE"""),"PKW")</f>
        <v>PKW</v>
      </c>
      <c r="C7675" s="120" t="str">
        <f>IFERROR(__xludf.DUMMYFUNCTION("""COMPUTED_VALUE"""),"Selebi-Phikwe")</f>
        <v>Selebi-Phikwe</v>
      </c>
      <c r="D7675" s="120" t="str">
        <f>IFERROR(__xludf.DUMMYFUNCTION("""COMPUTED_VALUE"""),"Botswana")</f>
        <v>Botswana</v>
      </c>
      <c r="E7675" s="135"/>
      <c r="F7675" s="31"/>
    </row>
    <row r="7676">
      <c r="A7676" s="134" t="str">
        <f>IFERROR(__xludf.DUMMYFUNCTION("""COMPUTED_VALUE"""),"Selibaby")</f>
        <v>Selibaby</v>
      </c>
      <c r="B7676" s="120" t="str">
        <f>IFERROR(__xludf.DUMMYFUNCTION("""COMPUTED_VALUE"""),"SEY")</f>
        <v>SEY</v>
      </c>
      <c r="C7676" s="120" t="str">
        <f>IFERROR(__xludf.DUMMYFUNCTION("""COMPUTED_VALUE"""),"Selibaby")</f>
        <v>Selibaby</v>
      </c>
      <c r="D7676" s="120" t="str">
        <f>IFERROR(__xludf.DUMMYFUNCTION("""COMPUTED_VALUE"""),"Mauritania")</f>
        <v>Mauritania</v>
      </c>
      <c r="E7676" s="135"/>
      <c r="F7676" s="31"/>
    </row>
    <row r="7677">
      <c r="A7677" s="134" t="str">
        <f>IFERROR(__xludf.DUMMYFUNCTION("""COMPUTED_VALUE"""),"Selinsgrove")</f>
        <v>Selinsgrove</v>
      </c>
      <c r="B7677" s="120" t="str">
        <f>IFERROR(__xludf.DUMMYFUNCTION("""COMPUTED_VALUE"""),"SEG")</f>
        <v>SEG</v>
      </c>
      <c r="C7677" s="120" t="str">
        <f>IFERROR(__xludf.DUMMYFUNCTION("""COMPUTED_VALUE"""),"Penn Valley")</f>
        <v>Penn Valley</v>
      </c>
      <c r="D7677" s="120" t="str">
        <f>IFERROR(__xludf.DUMMYFUNCTION("""COMPUTED_VALUE"""),"United States")</f>
        <v>United States</v>
      </c>
      <c r="E7677" s="135"/>
      <c r="F7677" s="31"/>
    </row>
    <row r="7678">
      <c r="A7678" s="134" t="str">
        <f>IFERROR(__xludf.DUMMYFUNCTION("""COMPUTED_VALUE"""),"Selje")</f>
        <v>Selje</v>
      </c>
      <c r="B7678" s="120" t="str">
        <f>IFERROR(__xludf.DUMMYFUNCTION("""COMPUTED_VALUE"""),"QFK")</f>
        <v>QFK</v>
      </c>
      <c r="C7678" s="120" t="str">
        <f>IFERROR(__xludf.DUMMYFUNCTION("""COMPUTED_VALUE"""),"Harbour")</f>
        <v>Harbour</v>
      </c>
      <c r="D7678" s="120" t="str">
        <f>IFERROR(__xludf.DUMMYFUNCTION("""COMPUTED_VALUE"""),"Norway")</f>
        <v>Norway</v>
      </c>
      <c r="E7678" s="135"/>
      <c r="F7678" s="31"/>
    </row>
    <row r="7679">
      <c r="A7679" s="134" t="str">
        <f>IFERROR(__xludf.DUMMYFUNCTION("""COMPUTED_VALUE"""),"Selma")</f>
        <v>Selma</v>
      </c>
      <c r="B7679" s="120" t="str">
        <f>IFERROR(__xludf.DUMMYFUNCTION("""COMPUTED_VALUE"""),"SEM")</f>
        <v>SEM</v>
      </c>
      <c r="C7679" s="120" t="str">
        <f>IFERROR(__xludf.DUMMYFUNCTION("""COMPUTED_VALUE"""),"Craig AFB")</f>
        <v>Craig AFB</v>
      </c>
      <c r="D7679" s="120" t="str">
        <f>IFERROR(__xludf.DUMMYFUNCTION("""COMPUTED_VALUE"""),"United States")</f>
        <v>United States</v>
      </c>
      <c r="E7679" s="135"/>
      <c r="F7679" s="31"/>
    </row>
    <row r="7680">
      <c r="A7680" s="134" t="str">
        <f>IFERROR(__xludf.DUMMYFUNCTION("""COMPUTED_VALUE"""),"Selma")</f>
        <v>Selma</v>
      </c>
      <c r="B7680" s="120" t="str">
        <f>IFERROR(__xludf.DUMMYFUNCTION("""COMPUTED_VALUE"""),"SES")</f>
        <v>SES</v>
      </c>
      <c r="C7680" s="120" t="str">
        <f>IFERROR(__xludf.DUMMYFUNCTION("""COMPUTED_VALUE"""),"Selfield")</f>
        <v>Selfield</v>
      </c>
      <c r="D7680" s="120" t="str">
        <f>IFERROR(__xludf.DUMMYFUNCTION("""COMPUTED_VALUE"""),"United States")</f>
        <v>United States</v>
      </c>
      <c r="E7680" s="135"/>
      <c r="F7680" s="31"/>
    </row>
    <row r="7681">
      <c r="A7681" s="134" t="str">
        <f>IFERROR(__xludf.DUMMYFUNCTION("""COMPUTED_VALUE"""),"Semarang")</f>
        <v>Semarang</v>
      </c>
      <c r="B7681" s="120" t="str">
        <f>IFERROR(__xludf.DUMMYFUNCTION("""COMPUTED_VALUE"""),"SRG")</f>
        <v>SRG</v>
      </c>
      <c r="C7681" s="120" t="str">
        <f>IFERROR(__xludf.DUMMYFUNCTION("""COMPUTED_VALUE"""),"Achmad Yani")</f>
        <v>Achmad Yani</v>
      </c>
      <c r="D7681" s="120" t="str">
        <f>IFERROR(__xludf.DUMMYFUNCTION("""COMPUTED_VALUE"""),"Indonesia")</f>
        <v>Indonesia</v>
      </c>
      <c r="E7681" s="135"/>
      <c r="F7681" s="31"/>
    </row>
    <row r="7682">
      <c r="A7682" s="134" t="str">
        <f>IFERROR(__xludf.DUMMYFUNCTION("""COMPUTED_VALUE"""),"Sematan")</f>
        <v>Sematan</v>
      </c>
      <c r="B7682" s="120" t="str">
        <f>IFERROR(__xludf.DUMMYFUNCTION("""COMPUTED_VALUE"""),"BSE")</f>
        <v>BSE</v>
      </c>
      <c r="C7682" s="120" t="str">
        <f>IFERROR(__xludf.DUMMYFUNCTION("""COMPUTED_VALUE"""),"Sematan")</f>
        <v>Sematan</v>
      </c>
      <c r="D7682" s="120" t="str">
        <f>IFERROR(__xludf.DUMMYFUNCTION("""COMPUTED_VALUE"""),"Malaysia")</f>
        <v>Malaysia</v>
      </c>
      <c r="E7682" s="135"/>
      <c r="F7682" s="31"/>
    </row>
    <row r="7683">
      <c r="A7683" s="134" t="str">
        <f>IFERROR(__xludf.DUMMYFUNCTION("""COMPUTED_VALUE"""),"Sembach")</f>
        <v>Sembach</v>
      </c>
      <c r="B7683" s="120" t="str">
        <f>IFERROR(__xludf.DUMMYFUNCTION("""COMPUTED_VALUE"""),"SEX")</f>
        <v>SEX</v>
      </c>
      <c r="C7683" s="120" t="str">
        <f>IFERROR(__xludf.DUMMYFUNCTION("""COMPUTED_VALUE"""),"Sembach")</f>
        <v>Sembach</v>
      </c>
      <c r="D7683" s="120" t="str">
        <f>IFERROR(__xludf.DUMMYFUNCTION("""COMPUTED_VALUE"""),"Germany")</f>
        <v>Germany</v>
      </c>
      <c r="E7683" s="135"/>
      <c r="F7683" s="31"/>
    </row>
    <row r="7684">
      <c r="A7684" s="134" t="str">
        <f>IFERROR(__xludf.DUMMYFUNCTION("""COMPUTED_VALUE"""),"Semera")</f>
        <v>Semera</v>
      </c>
      <c r="B7684" s="120" t="str">
        <f>IFERROR(__xludf.DUMMYFUNCTION("""COMPUTED_VALUE"""),"SZE")</f>
        <v>SZE</v>
      </c>
      <c r="C7684" s="120" t="str">
        <f>IFERROR(__xludf.DUMMYFUNCTION("""COMPUTED_VALUE"""),"Semera Airport")</f>
        <v>Semera Airport</v>
      </c>
      <c r="D7684" s="120" t="str">
        <f>IFERROR(__xludf.DUMMYFUNCTION("""COMPUTED_VALUE"""),"Ethiopia")</f>
        <v>Ethiopia</v>
      </c>
      <c r="E7684" s="135"/>
      <c r="F7684" s="31"/>
    </row>
    <row r="7685">
      <c r="A7685" s="134" t="str">
        <f>IFERROR(__xludf.DUMMYFUNCTION("""COMPUTED_VALUE"""),"Semipalatinsk")</f>
        <v>Semipalatinsk</v>
      </c>
      <c r="B7685" s="120" t="str">
        <f>IFERROR(__xludf.DUMMYFUNCTION("""COMPUTED_VALUE"""),"PLX")</f>
        <v>PLX</v>
      </c>
      <c r="C7685" s="120" t="str">
        <f>IFERROR(__xludf.DUMMYFUNCTION("""COMPUTED_VALUE"""),"Semipalatinsk")</f>
        <v>Semipalatinsk</v>
      </c>
      <c r="D7685" s="120" t="str">
        <f>IFERROR(__xludf.DUMMYFUNCTION("""COMPUTED_VALUE"""),"Kazakhstan")</f>
        <v>Kazakhstan</v>
      </c>
      <c r="E7685" s="135"/>
      <c r="F7685" s="31"/>
    </row>
    <row r="7686">
      <c r="A7686" s="134" t="str">
        <f>IFERROR(__xludf.DUMMYFUNCTION("""COMPUTED_VALUE"""),"Semongkong")</f>
        <v>Semongkong</v>
      </c>
      <c r="B7686" s="120" t="str">
        <f>IFERROR(__xludf.DUMMYFUNCTION("""COMPUTED_VALUE"""),"SOK")</f>
        <v>SOK</v>
      </c>
      <c r="C7686" s="120" t="str">
        <f>IFERROR(__xludf.DUMMYFUNCTION("""COMPUTED_VALUE"""),"Semongkong")</f>
        <v>Semongkong</v>
      </c>
      <c r="D7686" s="120" t="str">
        <f>IFERROR(__xludf.DUMMYFUNCTION("""COMPUTED_VALUE"""),"Lesotho")</f>
        <v>Lesotho</v>
      </c>
      <c r="E7686" s="135"/>
      <c r="F7686" s="31"/>
    </row>
    <row r="7687">
      <c r="A7687" s="134" t="str">
        <f>IFERROR(__xludf.DUMMYFUNCTION("""COMPUTED_VALUE"""),"Semporna")</f>
        <v>Semporna</v>
      </c>
      <c r="B7687" s="120" t="str">
        <f>IFERROR(__xludf.DUMMYFUNCTION("""COMPUTED_VALUE"""),"SMM")</f>
        <v>SMM</v>
      </c>
      <c r="C7687" s="120" t="str">
        <f>IFERROR(__xludf.DUMMYFUNCTION("""COMPUTED_VALUE"""),"Semporna")</f>
        <v>Semporna</v>
      </c>
      <c r="D7687" s="120" t="str">
        <f>IFERROR(__xludf.DUMMYFUNCTION("""COMPUTED_VALUE"""),"Malaysia")</f>
        <v>Malaysia</v>
      </c>
      <c r="E7687" s="135"/>
      <c r="F7687" s="31"/>
    </row>
    <row r="7688">
      <c r="A7688" s="134" t="str">
        <f>IFERROR(__xludf.DUMMYFUNCTION("""COMPUTED_VALUE"""),"Sena Madureira")</f>
        <v>Sena Madureira</v>
      </c>
      <c r="B7688" s="120" t="str">
        <f>IFERROR(__xludf.DUMMYFUNCTION("""COMPUTED_VALUE"""),"ZMD")</f>
        <v>ZMD</v>
      </c>
      <c r="C7688" s="120" t="str">
        <f>IFERROR(__xludf.DUMMYFUNCTION("""COMPUTED_VALUE"""),"Sena Madureira")</f>
        <v>Sena Madureira</v>
      </c>
      <c r="D7688" s="120" t="str">
        <f>IFERROR(__xludf.DUMMYFUNCTION("""COMPUTED_VALUE"""),"Brazil")</f>
        <v>Brazil</v>
      </c>
      <c r="E7688" s="135"/>
      <c r="F7688" s="31"/>
    </row>
    <row r="7689">
      <c r="A7689" s="134" t="str">
        <f>IFERROR(__xludf.DUMMYFUNCTION("""COMPUTED_VALUE"""),"Senanga")</f>
        <v>Senanga</v>
      </c>
      <c r="B7689" s="120" t="str">
        <f>IFERROR(__xludf.DUMMYFUNCTION("""COMPUTED_VALUE"""),"SXG")</f>
        <v>SXG</v>
      </c>
      <c r="C7689" s="120" t="str">
        <f>IFERROR(__xludf.DUMMYFUNCTION("""COMPUTED_VALUE"""),"Senanga")</f>
        <v>Senanga</v>
      </c>
      <c r="D7689" s="120" t="str">
        <f>IFERROR(__xludf.DUMMYFUNCTION("""COMPUTED_VALUE"""),"Zambia")</f>
        <v>Zambia</v>
      </c>
      <c r="E7689" s="135"/>
      <c r="F7689" s="31"/>
    </row>
    <row r="7690">
      <c r="A7690" s="134" t="str">
        <f>IFERROR(__xludf.DUMMYFUNCTION("""COMPUTED_VALUE"""),"Sendai")</f>
        <v>Sendai</v>
      </c>
      <c r="B7690" s="120" t="str">
        <f>IFERROR(__xludf.DUMMYFUNCTION("""COMPUTED_VALUE"""),"SDJ")</f>
        <v>SDJ</v>
      </c>
      <c r="C7690" s="120" t="str">
        <f>IFERROR(__xludf.DUMMYFUNCTION("""COMPUTED_VALUE"""),"Sendai")</f>
        <v>Sendai</v>
      </c>
      <c r="D7690" s="120" t="str">
        <f>IFERROR(__xludf.DUMMYFUNCTION("""COMPUTED_VALUE"""),"Japan")</f>
        <v>Japan</v>
      </c>
      <c r="E7690" s="135"/>
      <c r="F7690" s="31"/>
    </row>
    <row r="7691">
      <c r="A7691" s="134" t="str">
        <f>IFERROR(__xludf.DUMMYFUNCTION("""COMPUTED_VALUE"""),"Senggeh")</f>
        <v>Senggeh</v>
      </c>
      <c r="B7691" s="120" t="str">
        <f>IFERROR(__xludf.DUMMYFUNCTION("""COMPUTED_VALUE"""),"SEH")</f>
        <v>SEH</v>
      </c>
      <c r="C7691" s="120" t="str">
        <f>IFERROR(__xludf.DUMMYFUNCTION("""COMPUTED_VALUE"""),"Senggeh")</f>
        <v>Senggeh</v>
      </c>
      <c r="D7691" s="120" t="str">
        <f>IFERROR(__xludf.DUMMYFUNCTION("""COMPUTED_VALUE"""),"Indonesia")</f>
        <v>Indonesia</v>
      </c>
      <c r="E7691" s="135"/>
      <c r="F7691" s="31"/>
    </row>
    <row r="7692">
      <c r="A7692" s="134" t="str">
        <f>IFERROR(__xludf.DUMMYFUNCTION("""COMPUTED_VALUE"""),"Senggo")</f>
        <v>Senggo</v>
      </c>
      <c r="B7692" s="120" t="str">
        <f>IFERROR(__xludf.DUMMYFUNCTION("""COMPUTED_VALUE"""),"ZEG")</f>
        <v>ZEG</v>
      </c>
      <c r="C7692" s="120" t="str">
        <f>IFERROR(__xludf.DUMMYFUNCTION("""COMPUTED_VALUE"""),"Senggo")</f>
        <v>Senggo</v>
      </c>
      <c r="D7692" s="120" t="str">
        <f>IFERROR(__xludf.DUMMYFUNCTION("""COMPUTED_VALUE"""),"Indonesia")</f>
        <v>Indonesia</v>
      </c>
      <c r="E7692" s="135"/>
      <c r="F7692" s="31"/>
    </row>
    <row r="7693">
      <c r="A7693" s="134" t="str">
        <f>IFERROR(__xludf.DUMMYFUNCTION("""COMPUTED_VALUE"""),"Senhor Do Bonfim")</f>
        <v>Senhor Do Bonfim</v>
      </c>
      <c r="B7693" s="120" t="str">
        <f>IFERROR(__xludf.DUMMYFUNCTION("""COMPUTED_VALUE"""),"SEI")</f>
        <v>SEI</v>
      </c>
      <c r="C7693" s="120" t="str">
        <f>IFERROR(__xludf.DUMMYFUNCTION("""COMPUTED_VALUE"""),"Senhor Do Bonfim")</f>
        <v>Senhor Do Bonfim</v>
      </c>
      <c r="D7693" s="120" t="str">
        <f>IFERROR(__xludf.DUMMYFUNCTION("""COMPUTED_VALUE"""),"Brazil")</f>
        <v>Brazil</v>
      </c>
      <c r="E7693" s="135"/>
      <c r="F7693" s="31"/>
    </row>
    <row r="7694">
      <c r="A7694" s="134" t="str">
        <f>IFERROR(__xludf.DUMMYFUNCTION("""COMPUTED_VALUE"""),"Senipah")</f>
        <v>Senipah</v>
      </c>
      <c r="B7694" s="120" t="str">
        <f>IFERROR(__xludf.DUMMYFUNCTION("""COMPUTED_VALUE"""),"SZH")</f>
        <v>SZH</v>
      </c>
      <c r="C7694" s="120" t="str">
        <f>IFERROR(__xludf.DUMMYFUNCTION("""COMPUTED_VALUE"""),"Senipah")</f>
        <v>Senipah</v>
      </c>
      <c r="D7694" s="120" t="str">
        <f>IFERROR(__xludf.DUMMYFUNCTION("""COMPUTED_VALUE"""),"Indonesia")</f>
        <v>Indonesia</v>
      </c>
      <c r="E7694" s="135"/>
      <c r="F7694" s="31"/>
    </row>
    <row r="7695">
      <c r="A7695" s="134" t="str">
        <f>IFERROR(__xludf.DUMMYFUNCTION("""COMPUTED_VALUE"""),"Seno")</f>
        <v>Seno</v>
      </c>
      <c r="B7695" s="120" t="str">
        <f>IFERROR(__xludf.DUMMYFUNCTION("""COMPUTED_VALUE"""),"SND")</f>
        <v>SND</v>
      </c>
      <c r="C7695" s="120" t="str">
        <f>IFERROR(__xludf.DUMMYFUNCTION("""COMPUTED_VALUE"""),"Seno")</f>
        <v>Seno</v>
      </c>
      <c r="D7695" s="120" t="str">
        <f>IFERROR(__xludf.DUMMYFUNCTION("""COMPUTED_VALUE"""),"Laos")</f>
        <v>Laos</v>
      </c>
      <c r="E7695" s="135"/>
      <c r="F7695" s="31"/>
    </row>
    <row r="7696">
      <c r="A7696" s="134" t="str">
        <f>IFERROR(__xludf.DUMMYFUNCTION("""COMPUTED_VALUE"""),"Seu De Urgel")</f>
        <v>Seu De Urgel</v>
      </c>
      <c r="B7696" s="120" t="str">
        <f>IFERROR(__xludf.DUMMYFUNCTION("""COMPUTED_VALUE"""),"LEU")</f>
        <v>LEU</v>
      </c>
      <c r="C7696" s="120" t="str">
        <f>IFERROR(__xludf.DUMMYFUNCTION("""COMPUTED_VALUE"""),"Aeroport De La Seu")</f>
        <v>Aeroport De La Seu</v>
      </c>
      <c r="D7696" s="120" t="str">
        <f>IFERROR(__xludf.DUMMYFUNCTION("""COMPUTED_VALUE"""),"Spain")</f>
        <v>Spain</v>
      </c>
      <c r="E7696" s="135"/>
      <c r="F7696" s="31"/>
    </row>
    <row r="7697">
      <c r="A7697" s="134" t="str">
        <f>IFERROR(__xludf.DUMMYFUNCTION("""COMPUTED_VALUE"""),"Seoul")</f>
        <v>Seoul</v>
      </c>
      <c r="B7697" s="120" t="str">
        <f>IFERROR(__xludf.DUMMYFUNCTION("""COMPUTED_VALUE"""),"ICN")</f>
        <v>ICN</v>
      </c>
      <c r="C7697" s="120" t="str">
        <f>IFERROR(__xludf.DUMMYFUNCTION("""COMPUTED_VALUE"""),"Seoul (Incheon)")</f>
        <v>Seoul (Incheon)</v>
      </c>
      <c r="D7697" s="120" t="str">
        <f>IFERROR(__xludf.DUMMYFUNCTION("""COMPUTED_VALUE"""),"South Korea")</f>
        <v>South Korea</v>
      </c>
      <c r="E7697" s="135"/>
      <c r="F7697" s="31"/>
    </row>
    <row r="7698">
      <c r="A7698" s="134" t="str">
        <f>IFERROR(__xludf.DUMMYFUNCTION("""COMPUTED_VALUE"""),"Sepik Plains")</f>
        <v>Sepik Plains</v>
      </c>
      <c r="B7698" s="120" t="str">
        <f>IFERROR(__xludf.DUMMYFUNCTION("""COMPUTED_VALUE"""),"SPV")</f>
        <v>SPV</v>
      </c>
      <c r="C7698" s="120" t="str">
        <f>IFERROR(__xludf.DUMMYFUNCTION("""COMPUTED_VALUE"""),"Sepik Plains")</f>
        <v>Sepik Plains</v>
      </c>
      <c r="D7698" s="120" t="str">
        <f>IFERROR(__xludf.DUMMYFUNCTION("""COMPUTED_VALUE"""),"Papua New Guinea")</f>
        <v>Papua New Guinea</v>
      </c>
      <c r="E7698" s="135"/>
      <c r="F7698" s="31"/>
    </row>
    <row r="7699">
      <c r="A7699" s="134" t="str">
        <f>IFERROR(__xludf.DUMMYFUNCTION("""COMPUTED_VALUE"""),"Sept-Iles")</f>
        <v>Sept-Iles</v>
      </c>
      <c r="B7699" s="120" t="str">
        <f>IFERROR(__xludf.DUMMYFUNCTION("""COMPUTED_VALUE"""),"YZV")</f>
        <v>YZV</v>
      </c>
      <c r="C7699" s="120" t="str">
        <f>IFERROR(__xludf.DUMMYFUNCTION("""COMPUTED_VALUE"""),"Sept-Iles")</f>
        <v>Sept-Iles</v>
      </c>
      <c r="D7699" s="120" t="str">
        <f>IFERROR(__xludf.DUMMYFUNCTION("""COMPUTED_VALUE"""),"Canada")</f>
        <v>Canada</v>
      </c>
      <c r="E7699" s="135"/>
      <c r="F7699" s="31"/>
    </row>
    <row r="7700">
      <c r="A7700" s="134" t="str">
        <f>IFERROR(__xludf.DUMMYFUNCTION("""COMPUTED_VALUE"""),"Sepulot")</f>
        <v>Sepulot</v>
      </c>
      <c r="B7700" s="120" t="str">
        <f>IFERROR(__xludf.DUMMYFUNCTION("""COMPUTED_VALUE"""),"SPE")</f>
        <v>SPE</v>
      </c>
      <c r="C7700" s="120" t="str">
        <f>IFERROR(__xludf.DUMMYFUNCTION("""COMPUTED_VALUE"""),"Sepulot")</f>
        <v>Sepulot</v>
      </c>
      <c r="D7700" s="120" t="str">
        <f>IFERROR(__xludf.DUMMYFUNCTION("""COMPUTED_VALUE"""),"Malaysia")</f>
        <v>Malaysia</v>
      </c>
      <c r="E7700" s="135"/>
      <c r="F7700" s="31"/>
    </row>
    <row r="7701">
      <c r="A7701" s="134" t="str">
        <f>IFERROR(__xludf.DUMMYFUNCTION("""COMPUTED_VALUE"""),"Sequim")</f>
        <v>Sequim</v>
      </c>
      <c r="B7701" s="120" t="str">
        <f>IFERROR(__xludf.DUMMYFUNCTION("""COMPUTED_VALUE"""),"SQV")</f>
        <v>SQV</v>
      </c>
      <c r="C7701" s="120" t="str">
        <f>IFERROR(__xludf.DUMMYFUNCTION("""COMPUTED_VALUE"""),"Sequim Valley Arpt")</f>
        <v>Sequim Valley Arpt</v>
      </c>
      <c r="D7701" s="120" t="str">
        <f>IFERROR(__xludf.DUMMYFUNCTION("""COMPUTED_VALUE"""),"United States")</f>
        <v>United States</v>
      </c>
      <c r="E7701" s="135"/>
      <c r="F7701" s="31"/>
    </row>
    <row r="7702">
      <c r="A7702" s="134" t="str">
        <f>IFERROR(__xludf.DUMMYFUNCTION("""COMPUTED_VALUE"""),"Seronera")</f>
        <v>Seronera</v>
      </c>
      <c r="B7702" s="120" t="str">
        <f>IFERROR(__xludf.DUMMYFUNCTION("""COMPUTED_VALUE"""),"SEU")</f>
        <v>SEU</v>
      </c>
      <c r="C7702" s="120" t="str">
        <f>IFERROR(__xludf.DUMMYFUNCTION("""COMPUTED_VALUE"""),"Seronera")</f>
        <v>Seronera</v>
      </c>
      <c r="D7702" s="120" t="str">
        <f>IFERROR(__xludf.DUMMYFUNCTION("""COMPUTED_VALUE"""),"Tanzania")</f>
        <v>Tanzania</v>
      </c>
      <c r="E7702" s="135"/>
      <c r="F7702" s="31"/>
    </row>
    <row r="7703">
      <c r="A7703" s="134" t="str">
        <f>IFERROR(__xludf.DUMMYFUNCTION("""COMPUTED_VALUE"""),"Serra Norte")</f>
        <v>Serra Norte</v>
      </c>
      <c r="B7703" s="120" t="str">
        <f>IFERROR(__xludf.DUMMYFUNCTION("""COMPUTED_VALUE"""),"RRN")</f>
        <v>RRN</v>
      </c>
      <c r="C7703" s="120" t="str">
        <f>IFERROR(__xludf.DUMMYFUNCTION("""COMPUTED_VALUE"""),"Serra Norte")</f>
        <v>Serra Norte</v>
      </c>
      <c r="D7703" s="120" t="str">
        <f>IFERROR(__xludf.DUMMYFUNCTION("""COMPUTED_VALUE"""),"Brazil")</f>
        <v>Brazil</v>
      </c>
      <c r="E7703" s="135"/>
      <c r="F7703" s="31"/>
    </row>
    <row r="7704">
      <c r="A7704" s="134" t="str">
        <f>IFERROR(__xludf.DUMMYFUNCTION("""COMPUTED_VALUE"""),"Serra Pelada")</f>
        <v>Serra Pelada</v>
      </c>
      <c r="B7704" s="120" t="str">
        <f>IFERROR(__xludf.DUMMYFUNCTION("""COMPUTED_VALUE"""),"RSG")</f>
        <v>RSG</v>
      </c>
      <c r="C7704" s="120" t="str">
        <f>IFERROR(__xludf.DUMMYFUNCTION("""COMPUTED_VALUE"""),"Serra Pelada")</f>
        <v>Serra Pelada</v>
      </c>
      <c r="D7704" s="120" t="str">
        <f>IFERROR(__xludf.DUMMYFUNCTION("""COMPUTED_VALUE"""),"Brazil")</f>
        <v>Brazil</v>
      </c>
      <c r="E7704" s="135"/>
      <c r="F7704" s="31"/>
    </row>
    <row r="7705">
      <c r="A7705" s="134" t="str">
        <f>IFERROR(__xludf.DUMMYFUNCTION("""COMPUTED_VALUE"""),"Serre Chevalier")</f>
        <v>Serre Chevalier</v>
      </c>
      <c r="B7705" s="120" t="str">
        <f>IFERROR(__xludf.DUMMYFUNCTION("""COMPUTED_VALUE"""),"SEC")</f>
        <v>SEC</v>
      </c>
      <c r="C7705" s="120" t="str">
        <f>IFERROR(__xludf.DUMMYFUNCTION("""COMPUTED_VALUE"""),"Serre Chevalier")</f>
        <v>Serre Chevalier</v>
      </c>
      <c r="D7705" s="120" t="str">
        <f>IFERROR(__xludf.DUMMYFUNCTION("""COMPUTED_VALUE"""),"France")</f>
        <v>France</v>
      </c>
      <c r="E7705" s="135"/>
      <c r="F7705" s="31"/>
    </row>
    <row r="7706">
      <c r="A7706" s="134" t="str">
        <f>IFERROR(__xludf.DUMMYFUNCTION("""COMPUTED_VALUE"""),"Sert")</f>
        <v>Sert</v>
      </c>
      <c r="B7706" s="120" t="str">
        <f>IFERROR(__xludf.DUMMYFUNCTION("""COMPUTED_VALUE"""),"SRX")</f>
        <v>SRX</v>
      </c>
      <c r="C7706" s="120" t="str">
        <f>IFERROR(__xludf.DUMMYFUNCTION("""COMPUTED_VALUE"""),"Sert")</f>
        <v>Sert</v>
      </c>
      <c r="D7706" s="120" t="str">
        <f>IFERROR(__xludf.DUMMYFUNCTION("""COMPUTED_VALUE"""),"Libya")</f>
        <v>Libya</v>
      </c>
      <c r="E7706" s="135"/>
      <c r="F7706" s="31"/>
    </row>
    <row r="7707">
      <c r="A7707" s="134" t="str">
        <f>IFERROR(__xludf.DUMMYFUNCTION("""COMPUTED_VALUE"""),"Serui")</f>
        <v>Serui</v>
      </c>
      <c r="B7707" s="120" t="str">
        <f>IFERROR(__xludf.DUMMYFUNCTION("""COMPUTED_VALUE"""),"ZRI")</f>
        <v>ZRI</v>
      </c>
      <c r="C7707" s="120" t="str">
        <f>IFERROR(__xludf.DUMMYFUNCTION("""COMPUTED_VALUE"""),"Serui")</f>
        <v>Serui</v>
      </c>
      <c r="D7707" s="120" t="str">
        <f>IFERROR(__xludf.DUMMYFUNCTION("""COMPUTED_VALUE"""),"Indonesia")</f>
        <v>Indonesia</v>
      </c>
      <c r="E7707" s="135"/>
      <c r="F7707" s="31"/>
    </row>
    <row r="7708">
      <c r="A7708" s="134" t="str">
        <f>IFERROR(__xludf.DUMMYFUNCTION("""COMPUTED_VALUE"""),"Sesheke")</f>
        <v>Sesheke</v>
      </c>
      <c r="B7708" s="120" t="str">
        <f>IFERROR(__xludf.DUMMYFUNCTION("""COMPUTED_VALUE"""),"SJQ")</f>
        <v>SJQ</v>
      </c>
      <c r="C7708" s="120" t="str">
        <f>IFERROR(__xludf.DUMMYFUNCTION("""COMPUTED_VALUE"""),"Sesheke")</f>
        <v>Sesheke</v>
      </c>
      <c r="D7708" s="120" t="str">
        <f>IFERROR(__xludf.DUMMYFUNCTION("""COMPUTED_VALUE"""),"Zambia")</f>
        <v>Zambia</v>
      </c>
      <c r="E7708" s="135"/>
      <c r="F7708" s="31"/>
    </row>
    <row r="7709">
      <c r="A7709" s="134" t="str">
        <f>IFERROR(__xludf.DUMMYFUNCTION("""COMPUTED_VALUE"""),"Seshutes")</f>
        <v>Seshutes</v>
      </c>
      <c r="B7709" s="120" t="str">
        <f>IFERROR(__xludf.DUMMYFUNCTION("""COMPUTED_VALUE"""),"SHZ")</f>
        <v>SHZ</v>
      </c>
      <c r="C7709" s="120" t="str">
        <f>IFERROR(__xludf.DUMMYFUNCTION("""COMPUTED_VALUE"""),"Seshutes")</f>
        <v>Seshutes</v>
      </c>
      <c r="D7709" s="120" t="str">
        <f>IFERROR(__xludf.DUMMYFUNCTION("""COMPUTED_VALUE"""),"Lesotho")</f>
        <v>Lesotho</v>
      </c>
      <c r="E7709" s="135"/>
      <c r="F7709" s="31"/>
    </row>
    <row r="7710">
      <c r="A7710" s="134" t="str">
        <f>IFERROR(__xludf.DUMMYFUNCTION("""COMPUTED_VALUE"""),"Sesriem")</f>
        <v>Sesriem</v>
      </c>
      <c r="B7710" s="120" t="str">
        <f>IFERROR(__xludf.DUMMYFUNCTION("""COMPUTED_VALUE"""),"SZM")</f>
        <v>SZM</v>
      </c>
      <c r="C7710" s="120" t="str">
        <f>IFERROR(__xludf.DUMMYFUNCTION("""COMPUTED_VALUE"""),"Sesriem")</f>
        <v>Sesriem</v>
      </c>
      <c r="D7710" s="120" t="str">
        <f>IFERROR(__xludf.DUMMYFUNCTION("""COMPUTED_VALUE"""),"Namibia")</f>
        <v>Namibia</v>
      </c>
      <c r="E7710" s="135"/>
      <c r="F7710" s="31"/>
    </row>
    <row r="7711">
      <c r="A7711" s="134" t="str">
        <f>IFERROR(__xludf.DUMMYFUNCTION("""COMPUTED_VALUE"""),"Setif")</f>
        <v>Setif</v>
      </c>
      <c r="B7711" s="120" t="str">
        <f>IFERROR(__xludf.DUMMYFUNCTION("""COMPUTED_VALUE"""),"QSF")</f>
        <v>QSF</v>
      </c>
      <c r="C7711" s="120" t="str">
        <f>IFERROR(__xludf.DUMMYFUNCTION("""COMPUTED_VALUE"""),"Setif")</f>
        <v>Setif</v>
      </c>
      <c r="D7711" s="120" t="str">
        <f>IFERROR(__xludf.DUMMYFUNCTION("""COMPUTED_VALUE"""),"Algeria")</f>
        <v>Algeria</v>
      </c>
      <c r="E7711" s="135"/>
      <c r="F7711" s="31"/>
    </row>
    <row r="7712">
      <c r="A7712" s="134" t="str">
        <f>IFERROR(__xludf.DUMMYFUNCTION("""COMPUTED_VALUE"""),"Sette Cama")</f>
        <v>Sette Cama</v>
      </c>
      <c r="B7712" s="120" t="str">
        <f>IFERROR(__xludf.DUMMYFUNCTION("""COMPUTED_VALUE"""),"ZKM")</f>
        <v>ZKM</v>
      </c>
      <c r="C7712" s="120" t="str">
        <f>IFERROR(__xludf.DUMMYFUNCTION("""COMPUTED_VALUE"""),"Sette Cama")</f>
        <v>Sette Cama</v>
      </c>
      <c r="D7712" s="120" t="str">
        <f>IFERROR(__xludf.DUMMYFUNCTION("""COMPUTED_VALUE"""),"Gabon")</f>
        <v>Gabon</v>
      </c>
      <c r="E7712" s="135"/>
      <c r="F7712" s="31"/>
    </row>
    <row r="7713">
      <c r="A7713" s="134" t="str">
        <f>IFERROR(__xludf.DUMMYFUNCTION("""COMPUTED_VALUE"""),"Sevastopol")</f>
        <v>Sevastopol</v>
      </c>
      <c r="B7713" s="120" t="str">
        <f>IFERROR(__xludf.DUMMYFUNCTION("""COMPUTED_VALUE"""),"UKS")</f>
        <v>UKS</v>
      </c>
      <c r="C7713" s="120" t="str">
        <f>IFERROR(__xludf.DUMMYFUNCTION("""COMPUTED_VALUE"""),"Belbek")</f>
        <v>Belbek</v>
      </c>
      <c r="D7713" s="120" t="str">
        <f>IFERROR(__xludf.DUMMYFUNCTION("""COMPUTED_VALUE"""),"Ukraine")</f>
        <v>Ukraine</v>
      </c>
      <c r="E7713" s="135"/>
      <c r="F7713" s="31"/>
    </row>
    <row r="7714">
      <c r="A7714" s="134" t="str">
        <f>IFERROR(__xludf.DUMMYFUNCTION("""COMPUTED_VALUE"""),"Severodoneck")</f>
        <v>Severodoneck</v>
      </c>
      <c r="B7714" s="120" t="str">
        <f>IFERROR(__xludf.DUMMYFUNCTION("""COMPUTED_VALUE"""),"SEV")</f>
        <v>SEV</v>
      </c>
      <c r="C7714" s="120" t="str">
        <f>IFERROR(__xludf.DUMMYFUNCTION("""COMPUTED_VALUE"""),"Severodoneck")</f>
        <v>Severodoneck</v>
      </c>
      <c r="D7714" s="120" t="str">
        <f>IFERROR(__xludf.DUMMYFUNCTION("""COMPUTED_VALUE"""),"Ukraine")</f>
        <v>Ukraine</v>
      </c>
      <c r="E7714" s="135"/>
      <c r="F7714" s="31"/>
    </row>
    <row r="7715">
      <c r="A7715" s="134" t="str">
        <f>IFERROR(__xludf.DUMMYFUNCTION("""COMPUTED_VALUE"""),"Sevilla")</f>
        <v>Sevilla</v>
      </c>
      <c r="B7715" s="120" t="str">
        <f>IFERROR(__xludf.DUMMYFUNCTION("""COMPUTED_VALUE"""),"SVQ")</f>
        <v>SVQ</v>
      </c>
      <c r="C7715" s="120" t="str">
        <f>IFERROR(__xludf.DUMMYFUNCTION("""COMPUTED_VALUE"""),"San Pablo")</f>
        <v>San Pablo</v>
      </c>
      <c r="D7715" s="120" t="str">
        <f>IFERROR(__xludf.DUMMYFUNCTION("""COMPUTED_VALUE"""),"Spain")</f>
        <v>Spain</v>
      </c>
      <c r="E7715" s="135"/>
      <c r="F7715" s="31"/>
    </row>
    <row r="7716">
      <c r="A7716" s="134" t="str">
        <f>IFERROR(__xludf.DUMMYFUNCTION("""COMPUTED_VALUE"""),"Sewanee")</f>
        <v>Sewanee</v>
      </c>
      <c r="B7716" s="120" t="str">
        <f>IFERROR(__xludf.DUMMYFUNCTION("""COMPUTED_VALUE"""),"UOS")</f>
        <v>UOS</v>
      </c>
      <c r="C7716" s="120" t="str">
        <f>IFERROR(__xludf.DUMMYFUNCTION("""COMPUTED_VALUE"""),"Franklin County")</f>
        <v>Franklin County</v>
      </c>
      <c r="D7716" s="120" t="str">
        <f>IFERROR(__xludf.DUMMYFUNCTION("""COMPUTED_VALUE"""),"United States")</f>
        <v>United States</v>
      </c>
      <c r="E7716" s="135"/>
      <c r="F7716" s="31"/>
    </row>
    <row r="7717">
      <c r="A7717" s="134" t="str">
        <f>IFERROR(__xludf.DUMMYFUNCTION("""COMPUTED_VALUE"""),"Seward")</f>
        <v>Seward</v>
      </c>
      <c r="B7717" s="120" t="str">
        <f>IFERROR(__xludf.DUMMYFUNCTION("""COMPUTED_VALUE"""),"SWD")</f>
        <v>SWD</v>
      </c>
      <c r="C7717" s="120" t="str">
        <f>IFERROR(__xludf.DUMMYFUNCTION("""COMPUTED_VALUE"""),"Seward")</f>
        <v>Seward</v>
      </c>
      <c r="D7717" s="120" t="str">
        <f>IFERROR(__xludf.DUMMYFUNCTION("""COMPUTED_VALUE"""),"United States")</f>
        <v>United States</v>
      </c>
      <c r="E7717" s="135"/>
      <c r="F7717" s="31"/>
    </row>
    <row r="7718">
      <c r="A7718" s="134" t="str">
        <f>IFERROR(__xludf.DUMMYFUNCTION("""COMPUTED_VALUE"""),"Seydisfjordur")</f>
        <v>Seydisfjordur</v>
      </c>
      <c r="B7718" s="120" t="str">
        <f>IFERROR(__xludf.DUMMYFUNCTION("""COMPUTED_VALUE"""),"SEJ")</f>
        <v>SEJ</v>
      </c>
      <c r="C7718" s="120" t="str">
        <f>IFERROR(__xludf.DUMMYFUNCTION("""COMPUTED_VALUE"""),"Seydisfjordur")</f>
        <v>Seydisfjordur</v>
      </c>
      <c r="D7718" s="120" t="str">
        <f>IFERROR(__xludf.DUMMYFUNCTION("""COMPUTED_VALUE"""),"Iceland")</f>
        <v>Iceland</v>
      </c>
      <c r="E7718" s="135"/>
      <c r="F7718" s="31"/>
    </row>
    <row r="7719">
      <c r="A7719" s="134" t="str">
        <f>IFERROR(__xludf.DUMMYFUNCTION("""COMPUTED_VALUE"""),"Seymour")</f>
        <v>Seymour</v>
      </c>
      <c r="B7719" s="120" t="str">
        <f>IFERROR(__xludf.DUMMYFUNCTION("""COMPUTED_VALUE"""),"SER")</f>
        <v>SER</v>
      </c>
      <c r="C7719" s="120" t="str">
        <f>IFERROR(__xludf.DUMMYFUNCTION("""COMPUTED_VALUE"""),"Freeman Municipal")</f>
        <v>Freeman Municipal</v>
      </c>
      <c r="D7719" s="120" t="str">
        <f>IFERROR(__xludf.DUMMYFUNCTION("""COMPUTED_VALUE"""),"United States")</f>
        <v>United States</v>
      </c>
      <c r="E7719" s="135"/>
      <c r="F7719" s="31"/>
    </row>
    <row r="7720">
      <c r="A7720" s="134" t="str">
        <f>IFERROR(__xludf.DUMMYFUNCTION("""COMPUTED_VALUE"""),"Sfax")</f>
        <v>Sfax</v>
      </c>
      <c r="B7720" s="120" t="str">
        <f>IFERROR(__xludf.DUMMYFUNCTION("""COMPUTED_VALUE"""),"SFA")</f>
        <v>SFA</v>
      </c>
      <c r="C7720" s="120" t="str">
        <f>IFERROR(__xludf.DUMMYFUNCTION("""COMPUTED_VALUE"""),"Sfax El Maou")</f>
        <v>Sfax El Maou</v>
      </c>
      <c r="D7720" s="120" t="str">
        <f>IFERROR(__xludf.DUMMYFUNCTION("""COMPUTED_VALUE"""),"Tunisia")</f>
        <v>Tunisia</v>
      </c>
      <c r="E7720" s="135"/>
      <c r="F7720" s="31"/>
    </row>
    <row r="7721">
      <c r="A7721" s="134" t="str">
        <f>IFERROR(__xludf.DUMMYFUNCTION("""COMPUTED_VALUE"""),"Shafter")</f>
        <v>Shafter</v>
      </c>
      <c r="B7721" s="120" t="str">
        <f>IFERROR(__xludf.DUMMYFUNCTION("""COMPUTED_VALUE"""),"MIT")</f>
        <v>MIT</v>
      </c>
      <c r="C7721" s="120" t="str">
        <f>IFERROR(__xludf.DUMMYFUNCTION("""COMPUTED_VALUE"""),"Kern County")</f>
        <v>Kern County</v>
      </c>
      <c r="D7721" s="120" t="str">
        <f>IFERROR(__xludf.DUMMYFUNCTION("""COMPUTED_VALUE"""),"United States")</f>
        <v>United States</v>
      </c>
      <c r="E7721" s="135"/>
      <c r="F7721" s="31"/>
    </row>
    <row r="7722">
      <c r="A7722" s="134" t="str">
        <f>IFERROR(__xludf.DUMMYFUNCTION("""COMPUTED_VALUE"""),"Shageluk")</f>
        <v>Shageluk</v>
      </c>
      <c r="B7722" s="120" t="str">
        <f>IFERROR(__xludf.DUMMYFUNCTION("""COMPUTED_VALUE"""),"SHX")</f>
        <v>SHX</v>
      </c>
      <c r="C7722" s="120" t="str">
        <f>IFERROR(__xludf.DUMMYFUNCTION("""COMPUTED_VALUE"""),"Shageluk")</f>
        <v>Shageluk</v>
      </c>
      <c r="D7722" s="120" t="str">
        <f>IFERROR(__xludf.DUMMYFUNCTION("""COMPUTED_VALUE"""),"United States")</f>
        <v>United States</v>
      </c>
      <c r="E7722" s="135"/>
      <c r="F7722" s="31"/>
    </row>
    <row r="7723">
      <c r="A7723" s="134" t="str">
        <f>IFERROR(__xludf.DUMMYFUNCTION("""COMPUTED_VALUE"""),"Shahre-Kord")</f>
        <v>Shahre-Kord</v>
      </c>
      <c r="B7723" s="120" t="str">
        <f>IFERROR(__xludf.DUMMYFUNCTION("""COMPUTED_VALUE"""),"CQD")</f>
        <v>CQD</v>
      </c>
      <c r="C7723" s="120" t="str">
        <f>IFERROR(__xludf.DUMMYFUNCTION("""COMPUTED_VALUE"""),"Shahre-Kord")</f>
        <v>Shahre-Kord</v>
      </c>
      <c r="D7723" s="120" t="str">
        <f>IFERROR(__xludf.DUMMYFUNCTION("""COMPUTED_VALUE"""),"Iran")</f>
        <v>Iran</v>
      </c>
      <c r="E7723" s="135"/>
      <c r="F7723" s="31"/>
    </row>
    <row r="7724">
      <c r="A7724" s="134" t="str">
        <f>IFERROR(__xludf.DUMMYFUNCTION("""COMPUTED_VALUE"""),"Shakawe")</f>
        <v>Shakawe</v>
      </c>
      <c r="B7724" s="120" t="str">
        <f>IFERROR(__xludf.DUMMYFUNCTION("""COMPUTED_VALUE"""),"SWX")</f>
        <v>SWX</v>
      </c>
      <c r="C7724" s="120" t="str">
        <f>IFERROR(__xludf.DUMMYFUNCTION("""COMPUTED_VALUE"""),"Shakawe")</f>
        <v>Shakawe</v>
      </c>
      <c r="D7724" s="120" t="str">
        <f>IFERROR(__xludf.DUMMYFUNCTION("""COMPUTED_VALUE"""),"Botswana")</f>
        <v>Botswana</v>
      </c>
      <c r="E7724" s="135"/>
      <c r="F7724" s="31"/>
    </row>
    <row r="7725">
      <c r="A7725" s="134" t="str">
        <f>IFERROR(__xludf.DUMMYFUNCTION("""COMPUTED_VALUE"""),"Shakiso")</f>
        <v>Shakiso</v>
      </c>
      <c r="B7725" s="120" t="str">
        <f>IFERROR(__xludf.DUMMYFUNCTION("""COMPUTED_VALUE"""),"SKR")</f>
        <v>SKR</v>
      </c>
      <c r="C7725" s="120" t="str">
        <f>IFERROR(__xludf.DUMMYFUNCTION("""COMPUTED_VALUE"""),"Shakiso")</f>
        <v>Shakiso</v>
      </c>
      <c r="D7725" s="120" t="str">
        <f>IFERROR(__xludf.DUMMYFUNCTION("""COMPUTED_VALUE"""),"Ethiopia")</f>
        <v>Ethiopia</v>
      </c>
      <c r="E7725" s="135"/>
      <c r="F7725" s="31"/>
    </row>
    <row r="7726">
      <c r="A7726" s="134" t="str">
        <f>IFERROR(__xludf.DUMMYFUNCTION("""COMPUTED_VALUE"""),"Shaktoolik")</f>
        <v>Shaktoolik</v>
      </c>
      <c r="B7726" s="120" t="str">
        <f>IFERROR(__xludf.DUMMYFUNCTION("""COMPUTED_VALUE"""),"SKK")</f>
        <v>SKK</v>
      </c>
      <c r="C7726" s="120" t="str">
        <f>IFERROR(__xludf.DUMMYFUNCTION("""COMPUTED_VALUE"""),"Shaktoolik")</f>
        <v>Shaktoolik</v>
      </c>
      <c r="D7726" s="120" t="str">
        <f>IFERROR(__xludf.DUMMYFUNCTION("""COMPUTED_VALUE"""),"United States")</f>
        <v>United States</v>
      </c>
      <c r="E7726" s="135"/>
      <c r="F7726" s="31"/>
    </row>
    <row r="7727">
      <c r="A7727" s="134" t="str">
        <f>IFERROR(__xludf.DUMMYFUNCTION("""COMPUTED_VALUE"""),"Shamattawa")</f>
        <v>Shamattawa</v>
      </c>
      <c r="B7727" s="120" t="str">
        <f>IFERROR(__xludf.DUMMYFUNCTION("""COMPUTED_VALUE"""),"ZTM")</f>
        <v>ZTM</v>
      </c>
      <c r="C7727" s="120" t="str">
        <f>IFERROR(__xludf.DUMMYFUNCTION("""COMPUTED_VALUE"""),"Shamattawa")</f>
        <v>Shamattawa</v>
      </c>
      <c r="D7727" s="120" t="str">
        <f>IFERROR(__xludf.DUMMYFUNCTION("""COMPUTED_VALUE"""),"Canada")</f>
        <v>Canada</v>
      </c>
      <c r="E7727" s="135"/>
      <c r="F7727" s="31"/>
    </row>
    <row r="7728">
      <c r="A7728" s="134" t="str">
        <f>IFERROR(__xludf.DUMMYFUNCTION("""COMPUTED_VALUE"""),"Shamshernagar")</f>
        <v>Shamshernagar</v>
      </c>
      <c r="B7728" s="120" t="str">
        <f>IFERROR(__xludf.DUMMYFUNCTION("""COMPUTED_VALUE"""),"ZHM")</f>
        <v>ZHM</v>
      </c>
      <c r="C7728" s="120" t="str">
        <f>IFERROR(__xludf.DUMMYFUNCTION("""COMPUTED_VALUE"""),"Shamshernagar")</f>
        <v>Shamshernagar</v>
      </c>
      <c r="D7728" s="120" t="str">
        <f>IFERROR(__xludf.DUMMYFUNCTION("""COMPUTED_VALUE"""),"Bangladesh")</f>
        <v>Bangladesh</v>
      </c>
      <c r="E7728" s="135"/>
      <c r="F7728" s="31"/>
    </row>
    <row r="7729">
      <c r="A7729" s="134" t="str">
        <f>IFERROR(__xludf.DUMMYFUNCTION("""COMPUTED_VALUE"""),"Shanghai")</f>
        <v>Shanghai</v>
      </c>
      <c r="B7729" s="120" t="str">
        <f>IFERROR(__xludf.DUMMYFUNCTION("""COMPUTED_VALUE"""),"SHA")</f>
        <v>SHA</v>
      </c>
      <c r="C7729" s="120" t="str">
        <f>IFERROR(__xludf.DUMMYFUNCTION("""COMPUTED_VALUE"""),"Hongqiao")</f>
        <v>Hongqiao</v>
      </c>
      <c r="D7729" s="120" t="str">
        <f>IFERROR(__xludf.DUMMYFUNCTION("""COMPUTED_VALUE"""),"China")</f>
        <v>China</v>
      </c>
      <c r="E7729" s="135"/>
      <c r="F7729" s="31"/>
    </row>
    <row r="7730">
      <c r="A7730" s="134" t="str">
        <f>IFERROR(__xludf.DUMMYFUNCTION("""COMPUTED_VALUE"""),"Shanghai")</f>
        <v>Shanghai</v>
      </c>
      <c r="B7730" s="120" t="str">
        <f>IFERROR(__xludf.DUMMYFUNCTION("""COMPUTED_VALUE"""),"PVG")</f>
        <v>PVG</v>
      </c>
      <c r="C7730" s="120" t="str">
        <f>IFERROR(__xludf.DUMMYFUNCTION("""COMPUTED_VALUE"""),"Pu Dong")</f>
        <v>Pu Dong</v>
      </c>
      <c r="D7730" s="120" t="str">
        <f>IFERROR(__xludf.DUMMYFUNCTION("""COMPUTED_VALUE"""),"China")</f>
        <v>China</v>
      </c>
      <c r="E7730" s="135"/>
      <c r="F7730" s="31"/>
    </row>
    <row r="7731">
      <c r="A7731" s="134" t="str">
        <f>IFERROR(__xludf.DUMMYFUNCTION("""COMPUTED_VALUE"""),"Shangri-la")</f>
        <v>Shangri-la</v>
      </c>
      <c r="B7731" s="120" t="str">
        <f>IFERROR(__xludf.DUMMYFUNCTION("""COMPUTED_VALUE"""),"NRI")</f>
        <v>NRI</v>
      </c>
      <c r="C7731" s="120" t="str">
        <f>IFERROR(__xludf.DUMMYFUNCTION("""COMPUTED_VALUE"""),"Shangri-la")</f>
        <v>Shangri-la</v>
      </c>
      <c r="D7731" s="120" t="str">
        <f>IFERROR(__xludf.DUMMYFUNCTION("""COMPUTED_VALUE"""),"United States")</f>
        <v>United States</v>
      </c>
      <c r="E7731" s="135"/>
      <c r="F7731" s="31"/>
    </row>
    <row r="7732">
      <c r="A7732" s="134" t="str">
        <f>IFERROR(__xludf.DUMMYFUNCTION("""COMPUTED_VALUE"""),"Shanhaiguan")</f>
        <v>Shanhaiguan</v>
      </c>
      <c r="B7732" s="120" t="str">
        <f>IFERROR(__xludf.DUMMYFUNCTION("""COMPUTED_VALUE"""),"SHF")</f>
        <v>SHF</v>
      </c>
      <c r="C7732" s="120" t="str">
        <f>IFERROR(__xludf.DUMMYFUNCTION("""COMPUTED_VALUE"""),"Shanhaiguan")</f>
        <v>Shanhaiguan</v>
      </c>
      <c r="D7732" s="120" t="str">
        <f>IFERROR(__xludf.DUMMYFUNCTION("""COMPUTED_VALUE"""),"China")</f>
        <v>China</v>
      </c>
      <c r="E7732" s="135"/>
      <c r="F7732" s="31"/>
    </row>
    <row r="7733">
      <c r="A7733" s="134" t="str">
        <f>IFERROR(__xludf.DUMMYFUNCTION("""COMPUTED_VALUE"""),"Shannon")</f>
        <v>Shannon</v>
      </c>
      <c r="B7733" s="120" t="str">
        <f>IFERROR(__xludf.DUMMYFUNCTION("""COMPUTED_VALUE"""),"SNN")</f>
        <v>SNN</v>
      </c>
      <c r="C7733" s="120" t="str">
        <f>IFERROR(__xludf.DUMMYFUNCTION("""COMPUTED_VALUE"""),"Shannon")</f>
        <v>Shannon</v>
      </c>
      <c r="D7733" s="120" t="str">
        <f>IFERROR(__xludf.DUMMYFUNCTION("""COMPUTED_VALUE"""),"Ireland")</f>
        <v>Ireland</v>
      </c>
      <c r="E7733" s="135"/>
      <c r="F7733" s="31"/>
    </row>
    <row r="7734">
      <c r="A7734" s="134" t="str">
        <f>IFERROR(__xludf.DUMMYFUNCTION("""COMPUTED_VALUE"""),"Shanshan")</f>
        <v>Shanshan</v>
      </c>
      <c r="B7734" s="120" t="str">
        <f>IFERROR(__xludf.DUMMYFUNCTION("""COMPUTED_VALUE"""),"SXJ")</f>
        <v>SXJ</v>
      </c>
      <c r="C7734" s="120" t="str">
        <f>IFERROR(__xludf.DUMMYFUNCTION("""COMPUTED_VALUE"""),"Shanshan")</f>
        <v>Shanshan</v>
      </c>
      <c r="D7734" s="120" t="str">
        <f>IFERROR(__xludf.DUMMYFUNCTION("""COMPUTED_VALUE"""),"China")</f>
        <v>China</v>
      </c>
      <c r="E7734" s="135"/>
      <c r="F7734" s="31"/>
    </row>
    <row r="7735">
      <c r="A7735" s="134" t="str">
        <f>IFERROR(__xludf.DUMMYFUNCTION("""COMPUTED_VALUE"""),"Shantou")</f>
        <v>Shantou</v>
      </c>
      <c r="B7735" s="120" t="str">
        <f>IFERROR(__xludf.DUMMYFUNCTION("""COMPUTED_VALUE"""),"SWA")</f>
        <v>SWA</v>
      </c>
      <c r="C7735" s="120" t="str">
        <f>IFERROR(__xludf.DUMMYFUNCTION("""COMPUTED_VALUE"""),"Shantou")</f>
        <v>Shantou</v>
      </c>
      <c r="D7735" s="120" t="str">
        <f>IFERROR(__xludf.DUMMYFUNCTION("""COMPUTED_VALUE"""),"China")</f>
        <v>China</v>
      </c>
      <c r="E7735" s="135"/>
      <c r="F7735" s="31"/>
    </row>
    <row r="7736">
      <c r="A7736" s="134" t="str">
        <f>IFERROR(__xludf.DUMMYFUNCTION("""COMPUTED_VALUE"""),"Shanzhou")</f>
        <v>Shanzhou</v>
      </c>
      <c r="B7736" s="120" t="str">
        <f>IFERROR(__xludf.DUMMYFUNCTION("""COMPUTED_VALUE"""),"SZO")</f>
        <v>SZO</v>
      </c>
      <c r="C7736" s="120" t="str">
        <f>IFERROR(__xludf.DUMMYFUNCTION("""COMPUTED_VALUE"""),"Shanzhou")</f>
        <v>Shanzhou</v>
      </c>
      <c r="D7736" s="120" t="str">
        <f>IFERROR(__xludf.DUMMYFUNCTION("""COMPUTED_VALUE"""),"China")</f>
        <v>China</v>
      </c>
      <c r="E7736" s="135"/>
      <c r="F7736" s="31"/>
    </row>
    <row r="7737">
      <c r="A7737" s="134" t="str">
        <f>IFERROR(__xludf.DUMMYFUNCTION("""COMPUTED_VALUE"""),"Shaoguan")</f>
        <v>Shaoguan</v>
      </c>
      <c r="B7737" s="120" t="str">
        <f>IFERROR(__xludf.DUMMYFUNCTION("""COMPUTED_VALUE"""),"HSC")</f>
        <v>HSC</v>
      </c>
      <c r="C7737" s="120" t="str">
        <f>IFERROR(__xludf.DUMMYFUNCTION("""COMPUTED_VALUE"""),"Shaoguan")</f>
        <v>Shaoguan</v>
      </c>
      <c r="D7737" s="120" t="str">
        <f>IFERROR(__xludf.DUMMYFUNCTION("""COMPUTED_VALUE"""),"China")</f>
        <v>China</v>
      </c>
      <c r="E7737" s="135"/>
      <c r="F7737" s="31"/>
    </row>
    <row r="7738">
      <c r="A7738" s="134" t="str">
        <f>IFERROR(__xludf.DUMMYFUNCTION("""COMPUTED_VALUE"""),"Sharjah")</f>
        <v>Sharjah</v>
      </c>
      <c r="B7738" s="120" t="str">
        <f>IFERROR(__xludf.DUMMYFUNCTION("""COMPUTED_VALUE"""),"SHJ")</f>
        <v>SHJ</v>
      </c>
      <c r="C7738" s="120" t="str">
        <f>IFERROR(__xludf.DUMMYFUNCTION("""COMPUTED_VALUE"""),"Sharjah")</f>
        <v>Sharjah</v>
      </c>
      <c r="D7738" s="120" t="str">
        <f>IFERROR(__xludf.DUMMYFUNCTION("""COMPUTED_VALUE"""),"United Arab Emirates")</f>
        <v>United Arab Emirates</v>
      </c>
      <c r="E7738" s="135"/>
      <c r="F7738" s="31"/>
    </row>
    <row r="7739">
      <c r="A7739" s="134" t="str">
        <f>IFERROR(__xludf.DUMMYFUNCTION("""COMPUTED_VALUE"""),"Shark Elowainat")</f>
        <v>Shark Elowainat</v>
      </c>
      <c r="B7739" s="120" t="str">
        <f>IFERROR(__xludf.DUMMYFUNCTION("""COMPUTED_VALUE"""),"GSQ")</f>
        <v>GSQ</v>
      </c>
      <c r="C7739" s="120" t="str">
        <f>IFERROR(__xludf.DUMMYFUNCTION("""COMPUTED_VALUE"""),"Shark Elowainat")</f>
        <v>Shark Elowainat</v>
      </c>
      <c r="D7739" s="120" t="str">
        <f>IFERROR(__xludf.DUMMYFUNCTION("""COMPUTED_VALUE"""),"Egypt")</f>
        <v>Egypt</v>
      </c>
      <c r="E7739" s="135"/>
      <c r="F7739" s="31"/>
    </row>
    <row r="7740">
      <c r="A7740" s="134" t="str">
        <f>IFERROR(__xludf.DUMMYFUNCTION("""COMPUTED_VALUE"""),"Sharm El Sheikh")</f>
        <v>Sharm El Sheikh</v>
      </c>
      <c r="B7740" s="120" t="str">
        <f>IFERROR(__xludf.DUMMYFUNCTION("""COMPUTED_VALUE"""),"SSH")</f>
        <v>SSH</v>
      </c>
      <c r="C7740" s="120" t="str">
        <f>IFERROR(__xludf.DUMMYFUNCTION("""COMPUTED_VALUE"""),"Ophira")</f>
        <v>Ophira</v>
      </c>
      <c r="D7740" s="120" t="str">
        <f>IFERROR(__xludf.DUMMYFUNCTION("""COMPUTED_VALUE"""),"Egypt")</f>
        <v>Egypt</v>
      </c>
      <c r="E7740" s="135"/>
      <c r="F7740" s="31"/>
    </row>
    <row r="7741">
      <c r="A7741" s="134" t="str">
        <f>IFERROR(__xludf.DUMMYFUNCTION("""COMPUTED_VALUE"""),"Sharurah")</f>
        <v>Sharurah</v>
      </c>
      <c r="B7741" s="120" t="str">
        <f>IFERROR(__xludf.DUMMYFUNCTION("""COMPUTED_VALUE"""),"SHW")</f>
        <v>SHW</v>
      </c>
      <c r="C7741" s="120" t="str">
        <f>IFERROR(__xludf.DUMMYFUNCTION("""COMPUTED_VALUE"""),"Sharurah")</f>
        <v>Sharurah</v>
      </c>
      <c r="D7741" s="120" t="str">
        <f>IFERROR(__xludf.DUMMYFUNCTION("""COMPUTED_VALUE"""),"Saudi Arabia")</f>
        <v>Saudi Arabia</v>
      </c>
      <c r="E7741" s="135"/>
      <c r="F7741" s="31"/>
    </row>
    <row r="7742">
      <c r="A7742" s="134" t="str">
        <f>IFERROR(__xludf.DUMMYFUNCTION("""COMPUTED_VALUE"""),"Shashi")</f>
        <v>Shashi</v>
      </c>
      <c r="B7742" s="120" t="str">
        <f>IFERROR(__xludf.DUMMYFUNCTION("""COMPUTED_VALUE"""),"SHS")</f>
        <v>SHS</v>
      </c>
      <c r="C7742" s="120" t="str">
        <f>IFERROR(__xludf.DUMMYFUNCTION("""COMPUTED_VALUE"""),"Shashi")</f>
        <v>Shashi</v>
      </c>
      <c r="D7742" s="120" t="str">
        <f>IFERROR(__xludf.DUMMYFUNCTION("""COMPUTED_VALUE"""),"China")</f>
        <v>China</v>
      </c>
      <c r="E7742" s="135"/>
      <c r="F7742" s="31"/>
    </row>
    <row r="7743">
      <c r="A7743" s="134" t="str">
        <f>IFERROR(__xludf.DUMMYFUNCTION("""COMPUTED_VALUE"""),"Shaw River")</f>
        <v>Shaw River</v>
      </c>
      <c r="B7743" s="120" t="str">
        <f>IFERROR(__xludf.DUMMYFUNCTION("""COMPUTED_VALUE"""),"SWB")</f>
        <v>SWB</v>
      </c>
      <c r="C7743" s="120" t="str">
        <f>IFERROR(__xludf.DUMMYFUNCTION("""COMPUTED_VALUE"""),"Shaw River")</f>
        <v>Shaw River</v>
      </c>
      <c r="D7743" s="120" t="str">
        <f>IFERROR(__xludf.DUMMYFUNCTION("""COMPUTED_VALUE"""),"Australia")</f>
        <v>Australia</v>
      </c>
      <c r="E7743" s="135"/>
      <c r="F7743" s="31"/>
    </row>
    <row r="7744">
      <c r="A7744" s="134" t="str">
        <f>IFERROR(__xludf.DUMMYFUNCTION("""COMPUTED_VALUE"""),"Shawnee")</f>
        <v>Shawnee</v>
      </c>
      <c r="B7744" s="120" t="str">
        <f>IFERROR(__xludf.DUMMYFUNCTION("""COMPUTED_VALUE"""),"SNL")</f>
        <v>SNL</v>
      </c>
      <c r="C7744" s="120" t="str">
        <f>IFERROR(__xludf.DUMMYFUNCTION("""COMPUTED_VALUE"""),"Municipal")</f>
        <v>Municipal</v>
      </c>
      <c r="D7744" s="120" t="str">
        <f>IFERROR(__xludf.DUMMYFUNCTION("""COMPUTED_VALUE"""),"United States")</f>
        <v>United States</v>
      </c>
      <c r="E7744" s="135"/>
      <c r="F7744" s="31"/>
    </row>
    <row r="7745">
      <c r="A7745" s="134" t="str">
        <f>IFERROR(__xludf.DUMMYFUNCTION("""COMPUTED_VALUE"""),"Shay Gap")</f>
        <v>Shay Gap</v>
      </c>
      <c r="B7745" s="120" t="str">
        <f>IFERROR(__xludf.DUMMYFUNCTION("""COMPUTED_VALUE"""),"SGP")</f>
        <v>SGP</v>
      </c>
      <c r="C7745" s="120" t="str">
        <f>IFERROR(__xludf.DUMMYFUNCTION("""COMPUTED_VALUE"""),"Shay Gap")</f>
        <v>Shay Gap</v>
      </c>
      <c r="D7745" s="120" t="str">
        <f>IFERROR(__xludf.DUMMYFUNCTION("""COMPUTED_VALUE"""),"Australia")</f>
        <v>Australia</v>
      </c>
      <c r="E7745" s="135"/>
      <c r="F7745" s="31"/>
    </row>
    <row r="7746">
      <c r="A7746" s="134" t="str">
        <f>IFERROR(__xludf.DUMMYFUNCTION("""COMPUTED_VALUE"""),"She Kou")</f>
        <v>She Kou</v>
      </c>
      <c r="B7746" s="120" t="str">
        <f>IFERROR(__xludf.DUMMYFUNCTION("""COMPUTED_VALUE"""),"ZCU")</f>
        <v>ZCU</v>
      </c>
      <c r="C7746" s="120" t="str">
        <f>IFERROR(__xludf.DUMMYFUNCTION("""COMPUTED_VALUE"""),"She Kou Ferry")</f>
        <v>She Kou Ferry</v>
      </c>
      <c r="D7746" s="120" t="str">
        <f>IFERROR(__xludf.DUMMYFUNCTION("""COMPUTED_VALUE"""),"China")</f>
        <v>China</v>
      </c>
      <c r="E7746" s="135"/>
      <c r="F7746" s="31"/>
    </row>
    <row r="7747">
      <c r="A7747" s="134" t="str">
        <f>IFERROR(__xludf.DUMMYFUNCTION("""COMPUTED_VALUE"""),"Shearwater")</f>
        <v>Shearwater</v>
      </c>
      <c r="B7747" s="120" t="str">
        <f>IFERROR(__xludf.DUMMYFUNCTION("""COMPUTED_VALUE"""),"YSX")</f>
        <v>YSX</v>
      </c>
      <c r="C7747" s="120" t="str">
        <f>IFERROR(__xludf.DUMMYFUNCTION("""COMPUTED_VALUE"""),"Shearwater")</f>
        <v>Shearwater</v>
      </c>
      <c r="D7747" s="120" t="str">
        <f>IFERROR(__xludf.DUMMYFUNCTION("""COMPUTED_VALUE"""),"Canada")</f>
        <v>Canada</v>
      </c>
      <c r="E7747" s="135"/>
      <c r="F7747" s="31"/>
    </row>
    <row r="7748">
      <c r="A7748" s="134" t="str">
        <f>IFERROR(__xludf.DUMMYFUNCTION("""COMPUTED_VALUE"""),"Sheboygan")</f>
        <v>Sheboygan</v>
      </c>
      <c r="B7748" s="120" t="str">
        <f>IFERROR(__xludf.DUMMYFUNCTION("""COMPUTED_VALUE"""),"SBM")</f>
        <v>SBM</v>
      </c>
      <c r="C7748" s="120" t="str">
        <f>IFERROR(__xludf.DUMMYFUNCTION("""COMPUTED_VALUE"""),"Memorial")</f>
        <v>Memorial</v>
      </c>
      <c r="D7748" s="120" t="str">
        <f>IFERROR(__xludf.DUMMYFUNCTION("""COMPUTED_VALUE"""),"United States")</f>
        <v>United States</v>
      </c>
      <c r="E7748" s="135"/>
      <c r="F7748" s="31"/>
    </row>
    <row r="7749">
      <c r="A7749" s="134" t="str">
        <f>IFERROR(__xludf.DUMMYFUNCTION("""COMPUTED_VALUE"""),"Sheep Mountain")</f>
        <v>Sheep Mountain</v>
      </c>
      <c r="B7749" s="120" t="str">
        <f>IFERROR(__xludf.DUMMYFUNCTION("""COMPUTED_VALUE"""),"SMU")</f>
        <v>SMU</v>
      </c>
      <c r="C7749" s="120" t="str">
        <f>IFERROR(__xludf.DUMMYFUNCTION("""COMPUTED_VALUE"""),"Sheep Mountain")</f>
        <v>Sheep Mountain</v>
      </c>
      <c r="D7749" s="120" t="str">
        <f>IFERROR(__xludf.DUMMYFUNCTION("""COMPUTED_VALUE"""),"United States")</f>
        <v>United States</v>
      </c>
      <c r="E7749" s="135"/>
      <c r="F7749" s="31"/>
    </row>
    <row r="7750">
      <c r="A7750" s="134" t="str">
        <f>IFERROR(__xludf.DUMMYFUNCTION("""COMPUTED_VALUE"""),"Sheffield")</f>
        <v>Sheffield</v>
      </c>
      <c r="B7750" s="120" t="str">
        <f>IFERROR(__xludf.DUMMYFUNCTION("""COMPUTED_VALUE"""),"MSL")</f>
        <v>MSL</v>
      </c>
      <c r="C7750" s="120" t="str">
        <f>IFERROR(__xludf.DUMMYFUNCTION("""COMPUTED_VALUE"""),"Sheffield")</f>
        <v>Sheffield</v>
      </c>
      <c r="D7750" s="120" t="str">
        <f>IFERROR(__xludf.DUMMYFUNCTION("""COMPUTED_VALUE"""),"United States")</f>
        <v>United States</v>
      </c>
      <c r="E7750" s="135"/>
      <c r="F7750" s="31"/>
    </row>
    <row r="7751">
      <c r="A7751" s="134" t="str">
        <f>IFERROR(__xludf.DUMMYFUNCTION("""COMPUTED_VALUE"""),"Sheffield")</f>
        <v>Sheffield</v>
      </c>
      <c r="B7751" s="120" t="str">
        <f>IFERROR(__xludf.DUMMYFUNCTION("""COMPUTED_VALUE"""),"SZD")</f>
        <v>SZD</v>
      </c>
      <c r="C7751" s="120" t="str">
        <f>IFERROR(__xludf.DUMMYFUNCTION("""COMPUTED_VALUE"""),"Sheffield City Airport")</f>
        <v>Sheffield City Airport</v>
      </c>
      <c r="D7751" s="120" t="str">
        <f>IFERROR(__xludf.DUMMYFUNCTION("""COMPUTED_VALUE"""),"United Kingdom")</f>
        <v>United Kingdom</v>
      </c>
      <c r="E7751" s="135"/>
      <c r="F7751" s="31"/>
    </row>
    <row r="7752">
      <c r="A7752" s="134" t="str">
        <f>IFERROR(__xludf.DUMMYFUNCTION("""COMPUTED_VALUE"""),"Sheghnan")</f>
        <v>Sheghnan</v>
      </c>
      <c r="B7752" s="120" t="str">
        <f>IFERROR(__xludf.DUMMYFUNCTION("""COMPUTED_VALUE"""),"SGA")</f>
        <v>SGA</v>
      </c>
      <c r="C7752" s="120" t="str">
        <f>IFERROR(__xludf.DUMMYFUNCTION("""COMPUTED_VALUE"""),"Sheghnan")</f>
        <v>Sheghnan</v>
      </c>
      <c r="D7752" s="120" t="str">
        <f>IFERROR(__xludf.DUMMYFUNCTION("""COMPUTED_VALUE"""),"Afghanistan")</f>
        <v>Afghanistan</v>
      </c>
      <c r="E7752" s="135"/>
      <c r="F7752" s="31"/>
    </row>
    <row r="7753">
      <c r="A7753" s="134" t="str">
        <f>IFERROR(__xludf.DUMMYFUNCTION("""COMPUTED_VALUE"""),"Shehdi")</f>
        <v>Shehdi</v>
      </c>
      <c r="B7753" s="120" t="str">
        <f>IFERROR(__xludf.DUMMYFUNCTION("""COMPUTED_VALUE"""),"SQJ")</f>
        <v>SQJ</v>
      </c>
      <c r="C7753" s="120" t="str">
        <f>IFERROR(__xludf.DUMMYFUNCTION("""COMPUTED_VALUE"""),"Shehdi")</f>
        <v>Shehdi</v>
      </c>
      <c r="D7753" s="120" t="str">
        <f>IFERROR(__xludf.DUMMYFUNCTION("""COMPUTED_VALUE"""),"Ethiopia")</f>
        <v>Ethiopia</v>
      </c>
      <c r="E7753" s="135"/>
      <c r="F7753" s="31"/>
    </row>
    <row r="7754">
      <c r="A7754" s="134" t="str">
        <f>IFERROR(__xludf.DUMMYFUNCTION("""COMPUTED_VALUE"""),"Shek Mum")</f>
        <v>Shek Mum</v>
      </c>
      <c r="B7754" s="120" t="str">
        <f>IFERROR(__xludf.DUMMYFUNCTION("""COMPUTED_VALUE"""),"QDM")</f>
        <v>QDM</v>
      </c>
      <c r="C7754" s="120" t="str">
        <f>IFERROR(__xludf.DUMMYFUNCTION("""COMPUTED_VALUE"""),"Shek Mum")</f>
        <v>Shek Mum</v>
      </c>
      <c r="D7754" s="120" t="str">
        <f>IFERROR(__xludf.DUMMYFUNCTION("""COMPUTED_VALUE"""),"Hong Kong")</f>
        <v>Hong Kong</v>
      </c>
      <c r="E7754" s="135"/>
      <c r="F7754" s="31"/>
    </row>
    <row r="7755">
      <c r="A7755" s="134" t="str">
        <f>IFERROR(__xludf.DUMMYFUNCTION("""COMPUTED_VALUE"""),"Shekou")</f>
        <v>Shekou</v>
      </c>
      <c r="B7755" s="120" t="str">
        <f>IFERROR(__xludf.DUMMYFUNCTION("""COMPUTED_VALUE"""),"ZYK")</f>
        <v>ZYK</v>
      </c>
      <c r="C7755" s="120" t="str">
        <f>IFERROR(__xludf.DUMMYFUNCTION("""COMPUTED_VALUE"""),"Shekou Port")</f>
        <v>Shekou Port</v>
      </c>
      <c r="D7755" s="120" t="str">
        <f>IFERROR(__xludf.DUMMYFUNCTION("""COMPUTED_VALUE"""),"China")</f>
        <v>China</v>
      </c>
      <c r="E7755" s="135"/>
      <c r="F7755" s="31"/>
    </row>
    <row r="7756">
      <c r="A7756" s="134" t="str">
        <f>IFERROR(__xludf.DUMMYFUNCTION("""COMPUTED_VALUE"""),"Shelby")</f>
        <v>Shelby</v>
      </c>
      <c r="B7756" s="120" t="str">
        <f>IFERROR(__xludf.DUMMYFUNCTION("""COMPUTED_VALUE"""),"SBX")</f>
        <v>SBX</v>
      </c>
      <c r="C7756" s="120" t="str">
        <f>IFERROR(__xludf.DUMMYFUNCTION("""COMPUTED_VALUE"""),"Shelby")</f>
        <v>Shelby</v>
      </c>
      <c r="D7756" s="120" t="str">
        <f>IFERROR(__xludf.DUMMYFUNCTION("""COMPUTED_VALUE"""),"United States")</f>
        <v>United States</v>
      </c>
      <c r="E7756" s="135"/>
      <c r="F7756" s="31"/>
    </row>
    <row r="7757">
      <c r="A7757" s="134" t="str">
        <f>IFERROR(__xludf.DUMMYFUNCTION("""COMPUTED_VALUE"""),"Shelbyville")</f>
        <v>Shelbyville</v>
      </c>
      <c r="B7757" s="120" t="str">
        <f>IFERROR(__xludf.DUMMYFUNCTION("""COMPUTED_VALUE"""),"SYI")</f>
        <v>SYI</v>
      </c>
      <c r="C7757" s="120" t="str">
        <f>IFERROR(__xludf.DUMMYFUNCTION("""COMPUTED_VALUE"""),"Bomar Field")</f>
        <v>Bomar Field</v>
      </c>
      <c r="D7757" s="120" t="str">
        <f>IFERROR(__xludf.DUMMYFUNCTION("""COMPUTED_VALUE"""),"United States")</f>
        <v>United States</v>
      </c>
      <c r="E7757" s="135"/>
      <c r="F7757" s="31"/>
    </row>
    <row r="7758">
      <c r="A7758" s="134" t="str">
        <f>IFERROR(__xludf.DUMMYFUNCTION("""COMPUTED_VALUE"""),"Sheldon Point")</f>
        <v>Sheldon Point</v>
      </c>
      <c r="B7758" s="120" t="str">
        <f>IFERROR(__xludf.DUMMYFUNCTION("""COMPUTED_VALUE"""),"SXP")</f>
        <v>SXP</v>
      </c>
      <c r="C7758" s="120" t="str">
        <f>IFERROR(__xludf.DUMMYFUNCTION("""COMPUTED_VALUE"""),"Sheldon SPB")</f>
        <v>Sheldon SPB</v>
      </c>
      <c r="D7758" s="120" t="str">
        <f>IFERROR(__xludf.DUMMYFUNCTION("""COMPUTED_VALUE"""),"United States")</f>
        <v>United States</v>
      </c>
      <c r="E7758" s="135"/>
      <c r="F7758" s="31"/>
    </row>
    <row r="7759">
      <c r="A7759" s="134" t="str">
        <f>IFERROR(__xludf.DUMMYFUNCTION("""COMPUTED_VALUE"""),"Shelton")</f>
        <v>Shelton</v>
      </c>
      <c r="B7759" s="120" t="str">
        <f>IFERROR(__xludf.DUMMYFUNCTION("""COMPUTED_VALUE"""),"SHN")</f>
        <v>SHN</v>
      </c>
      <c r="C7759" s="120" t="str">
        <f>IFERROR(__xludf.DUMMYFUNCTION("""COMPUTED_VALUE"""),"Sanderson Field")</f>
        <v>Sanderson Field</v>
      </c>
      <c r="D7759" s="120" t="str">
        <f>IFERROR(__xludf.DUMMYFUNCTION("""COMPUTED_VALUE"""),"United States")</f>
        <v>United States</v>
      </c>
      <c r="E7759" s="135"/>
      <c r="F7759" s="31"/>
    </row>
    <row r="7760">
      <c r="A7760" s="134" t="str">
        <f>IFERROR(__xludf.DUMMYFUNCTION("""COMPUTED_VALUE"""),"Shemya")</f>
        <v>Shemya</v>
      </c>
      <c r="B7760" s="120" t="str">
        <f>IFERROR(__xludf.DUMMYFUNCTION("""COMPUTED_VALUE"""),"SYA")</f>
        <v>SYA</v>
      </c>
      <c r="C7760" s="120" t="str">
        <f>IFERROR(__xludf.DUMMYFUNCTION("""COMPUTED_VALUE"""),"Shemya AFB")</f>
        <v>Shemya AFB</v>
      </c>
      <c r="D7760" s="120" t="str">
        <f>IFERROR(__xludf.DUMMYFUNCTION("""COMPUTED_VALUE"""),"United States")</f>
        <v>United States</v>
      </c>
      <c r="E7760" s="135"/>
      <c r="F7760" s="31"/>
    </row>
    <row r="7761">
      <c r="A7761" s="134" t="str">
        <f>IFERROR(__xludf.DUMMYFUNCTION("""COMPUTED_VALUE"""),"Shenyang")</f>
        <v>Shenyang</v>
      </c>
      <c r="B7761" s="120" t="str">
        <f>IFERROR(__xludf.DUMMYFUNCTION("""COMPUTED_VALUE"""),"SHE")</f>
        <v>SHE</v>
      </c>
      <c r="C7761" s="120" t="str">
        <f>IFERROR(__xludf.DUMMYFUNCTION("""COMPUTED_VALUE"""),"Shenyang")</f>
        <v>Shenyang</v>
      </c>
      <c r="D7761" s="120" t="str">
        <f>IFERROR(__xludf.DUMMYFUNCTION("""COMPUTED_VALUE"""),"China")</f>
        <v>China</v>
      </c>
      <c r="E7761" s="135"/>
      <c r="F7761" s="31"/>
    </row>
    <row r="7762">
      <c r="A7762" s="134" t="str">
        <f>IFERROR(__xludf.DUMMYFUNCTION("""COMPUTED_VALUE"""),"Shenzhen")</f>
        <v>Shenzhen</v>
      </c>
      <c r="B7762" s="120" t="str">
        <f>IFERROR(__xludf.DUMMYFUNCTION("""COMPUTED_VALUE"""),"SZX")</f>
        <v>SZX</v>
      </c>
      <c r="C7762" s="120" t="str">
        <f>IFERROR(__xludf.DUMMYFUNCTION("""COMPUTED_VALUE"""),"Shenzhen")</f>
        <v>Shenzhen</v>
      </c>
      <c r="D7762" s="120" t="str">
        <f>IFERROR(__xludf.DUMMYFUNCTION("""COMPUTED_VALUE"""),"China")</f>
        <v>China</v>
      </c>
      <c r="E7762" s="135"/>
      <c r="F7762" s="31"/>
    </row>
    <row r="7763">
      <c r="A7763" s="134" t="str">
        <f>IFERROR(__xludf.DUMMYFUNCTION("""COMPUTED_VALUE"""),"Shepparton")</f>
        <v>Shepparton</v>
      </c>
      <c r="B7763" s="120" t="str">
        <f>IFERROR(__xludf.DUMMYFUNCTION("""COMPUTED_VALUE"""),"SHT")</f>
        <v>SHT</v>
      </c>
      <c r="C7763" s="120" t="str">
        <f>IFERROR(__xludf.DUMMYFUNCTION("""COMPUTED_VALUE"""),"Shepparton")</f>
        <v>Shepparton</v>
      </c>
      <c r="D7763" s="120" t="str">
        <f>IFERROR(__xludf.DUMMYFUNCTION("""COMPUTED_VALUE"""),"Australia")</f>
        <v>Australia</v>
      </c>
      <c r="E7763" s="135"/>
      <c r="F7763" s="31"/>
    </row>
    <row r="7764">
      <c r="A7764" s="134" t="str">
        <f>IFERROR(__xludf.DUMMYFUNCTION("""COMPUTED_VALUE"""),"Sherbrooke")</f>
        <v>Sherbrooke</v>
      </c>
      <c r="B7764" s="120" t="str">
        <f>IFERROR(__xludf.DUMMYFUNCTION("""COMPUTED_VALUE"""),"YSC")</f>
        <v>YSC</v>
      </c>
      <c r="C7764" s="120" t="str">
        <f>IFERROR(__xludf.DUMMYFUNCTION("""COMPUTED_VALUE"""),"Sherbrooke")</f>
        <v>Sherbrooke</v>
      </c>
      <c r="D7764" s="120" t="str">
        <f>IFERROR(__xludf.DUMMYFUNCTION("""COMPUTED_VALUE"""),"Canada")</f>
        <v>Canada</v>
      </c>
      <c r="E7764" s="135"/>
      <c r="F7764" s="31"/>
    </row>
    <row r="7765">
      <c r="A7765" s="134" t="str">
        <f>IFERROR(__xludf.DUMMYFUNCTION("""COMPUTED_VALUE"""),"Sheridan")</f>
        <v>Sheridan</v>
      </c>
      <c r="B7765" s="120" t="str">
        <f>IFERROR(__xludf.DUMMYFUNCTION("""COMPUTED_VALUE"""),"SHR")</f>
        <v>SHR</v>
      </c>
      <c r="C7765" s="120" t="str">
        <f>IFERROR(__xludf.DUMMYFUNCTION("""COMPUTED_VALUE"""),"Sheridan")</f>
        <v>Sheridan</v>
      </c>
      <c r="D7765" s="120" t="str">
        <f>IFERROR(__xludf.DUMMYFUNCTION("""COMPUTED_VALUE"""),"United States")</f>
        <v>United States</v>
      </c>
      <c r="E7765" s="135"/>
      <c r="F7765" s="31"/>
    </row>
    <row r="7766">
      <c r="A7766" s="134" t="str">
        <f>IFERROR(__xludf.DUMMYFUNCTION("""COMPUTED_VALUE"""),"Sherman-Denison")</f>
        <v>Sherman-Denison</v>
      </c>
      <c r="B7766" s="120" t="str">
        <f>IFERROR(__xludf.DUMMYFUNCTION("""COMPUTED_VALUE"""),"PNX")</f>
        <v>PNX</v>
      </c>
      <c r="C7766" s="120" t="str">
        <f>IFERROR(__xludf.DUMMYFUNCTION("""COMPUTED_VALUE"""),"Grayson County")</f>
        <v>Grayson County</v>
      </c>
      <c r="D7766" s="120" t="str">
        <f>IFERROR(__xludf.DUMMYFUNCTION("""COMPUTED_VALUE"""),"United States")</f>
        <v>United States</v>
      </c>
      <c r="E7766" s="135"/>
      <c r="F7766" s="31"/>
    </row>
    <row r="7767">
      <c r="A7767" s="134" t="str">
        <f>IFERROR(__xludf.DUMMYFUNCTION("""COMPUTED_VALUE"""),"Shetland Islands")</f>
        <v>Shetland Islands</v>
      </c>
      <c r="B7767" s="120" t="str">
        <f>IFERROR(__xludf.DUMMYFUNCTION("""COMPUTED_VALUE"""),"LWK")</f>
        <v>LWK</v>
      </c>
      <c r="C7767" s="120" t="str">
        <f>IFERROR(__xludf.DUMMYFUNCTION("""COMPUTED_VALUE"""),"Lerwick/Tingwall")</f>
        <v>Lerwick/Tingwall</v>
      </c>
      <c r="D7767" s="120" t="str">
        <f>IFERROR(__xludf.DUMMYFUNCTION("""COMPUTED_VALUE"""),"United Kingdom")</f>
        <v>United Kingdom</v>
      </c>
      <c r="E7767" s="135"/>
      <c r="F7767" s="31"/>
    </row>
    <row r="7768">
      <c r="A7768" s="134" t="str">
        <f>IFERROR(__xludf.DUMMYFUNCTION("""COMPUTED_VALUE"""),"Shetland Islands")</f>
        <v>Shetland Islands</v>
      </c>
      <c r="B7768" s="120" t="str">
        <f>IFERROR(__xludf.DUMMYFUNCTION("""COMPUTED_VALUE"""),"SCS")</f>
        <v>SCS</v>
      </c>
      <c r="C7768" s="120" t="str">
        <f>IFERROR(__xludf.DUMMYFUNCTION("""COMPUTED_VALUE"""),"Scatsta")</f>
        <v>Scatsta</v>
      </c>
      <c r="D7768" s="120" t="str">
        <f>IFERROR(__xludf.DUMMYFUNCTION("""COMPUTED_VALUE"""),"United Kingdom")</f>
        <v>United Kingdom</v>
      </c>
      <c r="E7768" s="135"/>
      <c r="F7768" s="31"/>
    </row>
    <row r="7769">
      <c r="A7769" s="134" t="str">
        <f>IFERROR(__xludf.DUMMYFUNCTION("""COMPUTED_VALUE"""),"Shetland Islands")</f>
        <v>Shetland Islands</v>
      </c>
      <c r="B7769" s="120" t="str">
        <f>IFERROR(__xludf.DUMMYFUNCTION("""COMPUTED_VALUE"""),"LSI")</f>
        <v>LSI</v>
      </c>
      <c r="C7769" s="120" t="str">
        <f>IFERROR(__xludf.DUMMYFUNCTION("""COMPUTED_VALUE"""),"Sumburgh")</f>
        <v>Sumburgh</v>
      </c>
      <c r="D7769" s="120" t="str">
        <f>IFERROR(__xludf.DUMMYFUNCTION("""COMPUTED_VALUE"""),"United Kingdom")</f>
        <v>United Kingdom</v>
      </c>
      <c r="E7769" s="135"/>
      <c r="F7769" s="31"/>
    </row>
    <row r="7770">
      <c r="A7770" s="134" t="str">
        <f>IFERROR(__xludf.DUMMYFUNCTION("""COMPUTED_VALUE"""),"Shijiazhuang")</f>
        <v>Shijiazhuang</v>
      </c>
      <c r="B7770" s="120" t="str">
        <f>IFERROR(__xludf.DUMMYFUNCTION("""COMPUTED_VALUE"""),"SJW")</f>
        <v>SJW</v>
      </c>
      <c r="C7770" s="120" t="str">
        <f>IFERROR(__xludf.DUMMYFUNCTION("""COMPUTED_VALUE"""),"Daguocun")</f>
        <v>Daguocun</v>
      </c>
      <c r="D7770" s="120" t="str">
        <f>IFERROR(__xludf.DUMMYFUNCTION("""COMPUTED_VALUE"""),"China")</f>
        <v>China</v>
      </c>
      <c r="E7770" s="135"/>
      <c r="F7770" s="31"/>
    </row>
    <row r="7771">
      <c r="A7771" s="134" t="str">
        <f>IFERROR(__xludf.DUMMYFUNCTION("""COMPUTED_VALUE"""),"Shikarpur")</f>
        <v>Shikarpur</v>
      </c>
      <c r="B7771" s="120" t="str">
        <f>IFERROR(__xludf.DUMMYFUNCTION("""COMPUTED_VALUE"""),"SWV")</f>
        <v>SWV</v>
      </c>
      <c r="C7771" s="120" t="str">
        <f>IFERROR(__xludf.DUMMYFUNCTION("""COMPUTED_VALUE"""),"Shikarpur")</f>
        <v>Shikarpur</v>
      </c>
      <c r="D7771" s="120" t="str">
        <f>IFERROR(__xludf.DUMMYFUNCTION("""COMPUTED_VALUE"""),"Pakistan")</f>
        <v>Pakistan</v>
      </c>
      <c r="E7771" s="135"/>
      <c r="F7771" s="31"/>
    </row>
    <row r="7772">
      <c r="A7772" s="134" t="str">
        <f>IFERROR(__xludf.DUMMYFUNCTION("""COMPUTED_VALUE"""),"Shillavo")</f>
        <v>Shillavo</v>
      </c>
      <c r="B7772" s="120" t="str">
        <f>IFERROR(__xludf.DUMMYFUNCTION("""COMPUTED_VALUE"""),"HIL")</f>
        <v>HIL</v>
      </c>
      <c r="C7772" s="120" t="str">
        <f>IFERROR(__xludf.DUMMYFUNCTION("""COMPUTED_VALUE"""),"Shillavo")</f>
        <v>Shillavo</v>
      </c>
      <c r="D7772" s="120" t="str">
        <f>IFERROR(__xludf.DUMMYFUNCTION("""COMPUTED_VALUE"""),"Ethiopia")</f>
        <v>Ethiopia</v>
      </c>
      <c r="E7772" s="135"/>
      <c r="F7772" s="31"/>
    </row>
    <row r="7773">
      <c r="A7773" s="134" t="str">
        <f>IFERROR(__xludf.DUMMYFUNCTION("""COMPUTED_VALUE"""),"Shillong")</f>
        <v>Shillong</v>
      </c>
      <c r="B7773" s="120" t="str">
        <f>IFERROR(__xludf.DUMMYFUNCTION("""COMPUTED_VALUE"""),"SHL")</f>
        <v>SHL</v>
      </c>
      <c r="C7773" s="120" t="str">
        <f>IFERROR(__xludf.DUMMYFUNCTION("""COMPUTED_VALUE"""),"Shillong")</f>
        <v>Shillong</v>
      </c>
      <c r="D7773" s="120" t="str">
        <f>IFERROR(__xludf.DUMMYFUNCTION("""COMPUTED_VALUE"""),"India")</f>
        <v>India</v>
      </c>
      <c r="E7773" s="135"/>
      <c r="F7773" s="31"/>
    </row>
    <row r="7774">
      <c r="A7774" s="134" t="str">
        <f>IFERROR(__xludf.DUMMYFUNCTION("""COMPUTED_VALUE"""),"Shilo")</f>
        <v>Shilo</v>
      </c>
      <c r="B7774" s="120" t="str">
        <f>IFERROR(__xludf.DUMMYFUNCTION("""COMPUTED_VALUE"""),"YLO")</f>
        <v>YLO</v>
      </c>
      <c r="C7774" s="120" t="str">
        <f>IFERROR(__xludf.DUMMYFUNCTION("""COMPUTED_VALUE"""),"Shilo")</f>
        <v>Shilo</v>
      </c>
      <c r="D7774" s="120" t="str">
        <f>IFERROR(__xludf.DUMMYFUNCTION("""COMPUTED_VALUE"""),"Canada")</f>
        <v>Canada</v>
      </c>
      <c r="E7774" s="135"/>
      <c r="F7774" s="31"/>
    </row>
    <row r="7775">
      <c r="A7775" s="134" t="str">
        <f>IFERROR(__xludf.DUMMYFUNCTION("""COMPUTED_VALUE"""),"Shimkent")</f>
        <v>Shimkent</v>
      </c>
      <c r="B7775" s="120" t="str">
        <f>IFERROR(__xludf.DUMMYFUNCTION("""COMPUTED_VALUE"""),"CIT")</f>
        <v>CIT</v>
      </c>
      <c r="C7775" s="120" t="str">
        <f>IFERROR(__xludf.DUMMYFUNCTION("""COMPUTED_VALUE"""),"Shimkent")</f>
        <v>Shimkent</v>
      </c>
      <c r="D7775" s="120" t="str">
        <f>IFERROR(__xludf.DUMMYFUNCTION("""COMPUTED_VALUE"""),"Kazakhstan")</f>
        <v>Kazakhstan</v>
      </c>
      <c r="E7775" s="135"/>
      <c r="F7775" s="31"/>
    </row>
    <row r="7776">
      <c r="A7776" s="134" t="str">
        <f>IFERROR(__xludf.DUMMYFUNCTION("""COMPUTED_VALUE"""),"Shimojishima")</f>
        <v>Shimojishima</v>
      </c>
      <c r="B7776" s="120" t="str">
        <f>IFERROR(__xludf.DUMMYFUNCTION("""COMPUTED_VALUE"""),"SHI")</f>
        <v>SHI</v>
      </c>
      <c r="C7776" s="120" t="str">
        <f>IFERROR(__xludf.DUMMYFUNCTION("""COMPUTED_VALUE"""),"Shimojishima")</f>
        <v>Shimojishima</v>
      </c>
      <c r="D7776" s="120" t="str">
        <f>IFERROR(__xludf.DUMMYFUNCTION("""COMPUTED_VALUE"""),"Japan")</f>
        <v>Japan</v>
      </c>
      <c r="E7776" s="135"/>
      <c r="F7776" s="31"/>
    </row>
    <row r="7777">
      <c r="A7777" s="134" t="str">
        <f>IFERROR(__xludf.DUMMYFUNCTION("""COMPUTED_VALUE"""),"Shinyanga")</f>
        <v>Shinyanga</v>
      </c>
      <c r="B7777" s="120" t="str">
        <f>IFERROR(__xludf.DUMMYFUNCTION("""COMPUTED_VALUE"""),"SHY")</f>
        <v>SHY</v>
      </c>
      <c r="C7777" s="120" t="str">
        <f>IFERROR(__xludf.DUMMYFUNCTION("""COMPUTED_VALUE"""),"Shinyanga")</f>
        <v>Shinyanga</v>
      </c>
      <c r="D7777" s="120" t="str">
        <f>IFERROR(__xludf.DUMMYFUNCTION("""COMPUTED_VALUE"""),"Tanzania")</f>
        <v>Tanzania</v>
      </c>
      <c r="E7777" s="135"/>
      <c r="F7777" s="31"/>
    </row>
    <row r="7778">
      <c r="A7778" s="134" t="str">
        <f>IFERROR(__xludf.DUMMYFUNCTION("""COMPUTED_VALUE"""),"Shirahama")</f>
        <v>Shirahama</v>
      </c>
      <c r="B7778" s="120" t="str">
        <f>IFERROR(__xludf.DUMMYFUNCTION("""COMPUTED_VALUE"""),"SHM")</f>
        <v>SHM</v>
      </c>
      <c r="C7778" s="120" t="str">
        <f>IFERROR(__xludf.DUMMYFUNCTION("""COMPUTED_VALUE"""),"Shirahama")</f>
        <v>Shirahama</v>
      </c>
      <c r="D7778" s="120" t="str">
        <f>IFERROR(__xludf.DUMMYFUNCTION("""COMPUTED_VALUE"""),"Japan")</f>
        <v>Japan</v>
      </c>
      <c r="E7778" s="135"/>
      <c r="F7778" s="31"/>
    </row>
    <row r="7779">
      <c r="A7779" s="134" t="str">
        <f>IFERROR(__xludf.DUMMYFUNCTION("""COMPUTED_VALUE"""),"Shiraz")</f>
        <v>Shiraz</v>
      </c>
      <c r="B7779" s="120" t="str">
        <f>IFERROR(__xludf.DUMMYFUNCTION("""COMPUTED_VALUE"""),"SYZ")</f>
        <v>SYZ</v>
      </c>
      <c r="C7779" s="120" t="str">
        <f>IFERROR(__xludf.DUMMYFUNCTION("""COMPUTED_VALUE"""),"Shiraz")</f>
        <v>Shiraz</v>
      </c>
      <c r="D7779" s="120" t="str">
        <f>IFERROR(__xludf.DUMMYFUNCTION("""COMPUTED_VALUE"""),"Iran")</f>
        <v>Iran</v>
      </c>
      <c r="E7779" s="135"/>
      <c r="F7779" s="31"/>
    </row>
    <row r="7780">
      <c r="A7780" s="134" t="str">
        <f>IFERROR(__xludf.DUMMYFUNCTION("""COMPUTED_VALUE"""),"Shiringayoc")</f>
        <v>Shiringayoc</v>
      </c>
      <c r="B7780" s="120" t="str">
        <f>IFERROR(__xludf.DUMMYFUNCTION("""COMPUTED_VALUE"""),"SYC")</f>
        <v>SYC</v>
      </c>
      <c r="C7780" s="120" t="str">
        <f>IFERROR(__xludf.DUMMYFUNCTION("""COMPUTED_VALUE"""),"Shiringayoc")</f>
        <v>Shiringayoc</v>
      </c>
      <c r="D7780" s="120" t="str">
        <f>IFERROR(__xludf.DUMMYFUNCTION("""COMPUTED_VALUE"""),"Peru")</f>
        <v>Peru</v>
      </c>
      <c r="E7780" s="135"/>
      <c r="F7780" s="31"/>
    </row>
    <row r="7781">
      <c r="A7781" s="134" t="str">
        <f>IFERROR(__xludf.DUMMYFUNCTION("""COMPUTED_VALUE"""),"Shirley")</f>
        <v>Shirley</v>
      </c>
      <c r="B7781" s="120" t="str">
        <f>IFERROR(__xludf.DUMMYFUNCTION("""COMPUTED_VALUE"""),"WSH")</f>
        <v>WSH</v>
      </c>
      <c r="C7781" s="120" t="str">
        <f>IFERROR(__xludf.DUMMYFUNCTION("""COMPUTED_VALUE"""),"Brookhaven")</f>
        <v>Brookhaven</v>
      </c>
      <c r="D7781" s="120" t="str">
        <f>IFERROR(__xludf.DUMMYFUNCTION("""COMPUTED_VALUE"""),"United States")</f>
        <v>United States</v>
      </c>
      <c r="E7781" s="135"/>
      <c r="F7781" s="31"/>
    </row>
    <row r="7782">
      <c r="A7782" s="134" t="str">
        <f>IFERROR(__xludf.DUMMYFUNCTION("""COMPUTED_VALUE"""),"Shishmaref")</f>
        <v>Shishmaref</v>
      </c>
      <c r="B7782" s="120" t="str">
        <f>IFERROR(__xludf.DUMMYFUNCTION("""COMPUTED_VALUE"""),"SHH")</f>
        <v>SHH</v>
      </c>
      <c r="C7782" s="120" t="str">
        <f>IFERROR(__xludf.DUMMYFUNCTION("""COMPUTED_VALUE"""),"Shishmaref")</f>
        <v>Shishmaref</v>
      </c>
      <c r="D7782" s="120" t="str">
        <f>IFERROR(__xludf.DUMMYFUNCTION("""COMPUTED_VALUE"""),"United States")</f>
        <v>United States</v>
      </c>
      <c r="E7782" s="135"/>
      <c r="F7782" s="31"/>
    </row>
    <row r="7783">
      <c r="A7783" s="134" t="str">
        <f>IFERROR(__xludf.DUMMYFUNCTION("""COMPUTED_VALUE"""),"Shoal Cove")</f>
        <v>Shoal Cove</v>
      </c>
      <c r="B7783" s="120" t="str">
        <f>IFERROR(__xludf.DUMMYFUNCTION("""COMPUTED_VALUE"""),"HCB")</f>
        <v>HCB</v>
      </c>
      <c r="C7783" s="120" t="str">
        <f>IFERROR(__xludf.DUMMYFUNCTION("""COMPUTED_VALUE"""),"Shoal Cove")</f>
        <v>Shoal Cove</v>
      </c>
      <c r="D7783" s="120" t="str">
        <f>IFERROR(__xludf.DUMMYFUNCTION("""COMPUTED_VALUE"""),"United States")</f>
        <v>United States</v>
      </c>
      <c r="E7783" s="135"/>
      <c r="F7783" s="31"/>
    </row>
    <row r="7784">
      <c r="A7784" s="134" t="str">
        <f>IFERROR(__xludf.DUMMYFUNCTION("""COMPUTED_VALUE"""),"Sholapur")</f>
        <v>Sholapur</v>
      </c>
      <c r="B7784" s="120" t="str">
        <f>IFERROR(__xludf.DUMMYFUNCTION("""COMPUTED_VALUE"""),"SSE")</f>
        <v>SSE</v>
      </c>
      <c r="C7784" s="120" t="str">
        <f>IFERROR(__xludf.DUMMYFUNCTION("""COMPUTED_VALUE"""),"Sholapur")</f>
        <v>Sholapur</v>
      </c>
      <c r="D7784" s="120" t="str">
        <f>IFERROR(__xludf.DUMMYFUNCTION("""COMPUTED_VALUE"""),"India")</f>
        <v>India</v>
      </c>
      <c r="E7784" s="135"/>
      <c r="F7784" s="31"/>
    </row>
    <row r="7785">
      <c r="A7785" s="134" t="str">
        <f>IFERROR(__xludf.DUMMYFUNCTION("""COMPUTED_VALUE"""),"Shonai")</f>
        <v>Shonai</v>
      </c>
      <c r="B7785" s="120" t="str">
        <f>IFERROR(__xludf.DUMMYFUNCTION("""COMPUTED_VALUE"""),"SYO")</f>
        <v>SYO</v>
      </c>
      <c r="C7785" s="120" t="str">
        <f>IFERROR(__xludf.DUMMYFUNCTION("""COMPUTED_VALUE"""),"Shonai")</f>
        <v>Shonai</v>
      </c>
      <c r="D7785" s="120" t="str">
        <f>IFERROR(__xludf.DUMMYFUNCTION("""COMPUTED_VALUE"""),"Japan")</f>
        <v>Japan</v>
      </c>
      <c r="E7785" s="135"/>
      <c r="F7785" s="31"/>
    </row>
    <row r="7786">
      <c r="A7786" s="134" t="str">
        <f>IFERROR(__xludf.DUMMYFUNCTION("""COMPUTED_VALUE"""),"Shoreham By Sea")</f>
        <v>Shoreham By Sea</v>
      </c>
      <c r="B7786" s="120" t="str">
        <f>IFERROR(__xludf.DUMMYFUNCTION("""COMPUTED_VALUE"""),"ESH")</f>
        <v>ESH</v>
      </c>
      <c r="C7786" s="120" t="str">
        <f>IFERROR(__xludf.DUMMYFUNCTION("""COMPUTED_VALUE"""),"Shoreham")</f>
        <v>Shoreham</v>
      </c>
      <c r="D7786" s="120" t="str">
        <f>IFERROR(__xludf.DUMMYFUNCTION("""COMPUTED_VALUE"""),"United Kingdom")</f>
        <v>United Kingdom</v>
      </c>
      <c r="E7786" s="135"/>
      <c r="F7786" s="31"/>
    </row>
    <row r="7787">
      <c r="A7787" s="134" t="str">
        <f>IFERROR(__xludf.DUMMYFUNCTION("""COMPUTED_VALUE"""),"Los Angless")</f>
        <v>Los Angless</v>
      </c>
      <c r="B7787" s="120" t="str">
        <f>IFERROR(__xludf.DUMMYFUNCTION("""COMPUTED_VALUE"""),"SOW")</f>
        <v>SOW</v>
      </c>
      <c r="C7787" s="120" t="str">
        <f>IFERROR(__xludf.DUMMYFUNCTION("""COMPUTED_VALUE"""),"Show Low")</f>
        <v>Show Low</v>
      </c>
      <c r="D7787" s="120" t="str">
        <f>IFERROR(__xludf.DUMMYFUNCTION("""COMPUTED_VALUE"""),"United States")</f>
        <v>United States</v>
      </c>
      <c r="E7787" s="135"/>
      <c r="F7787" s="31"/>
    </row>
    <row r="7788">
      <c r="A7788" s="134" t="str">
        <f>IFERROR(__xludf.DUMMYFUNCTION("""COMPUTED_VALUE"""),"Shreveport")</f>
        <v>Shreveport</v>
      </c>
      <c r="B7788" s="120" t="str">
        <f>IFERROR(__xludf.DUMMYFUNCTION("""COMPUTED_VALUE"""),"BAD")</f>
        <v>BAD</v>
      </c>
      <c r="C7788" s="120" t="str">
        <f>IFERROR(__xludf.DUMMYFUNCTION("""COMPUTED_VALUE"""),"Barksdale AFB")</f>
        <v>Barksdale AFB</v>
      </c>
      <c r="D7788" s="120" t="str">
        <f>IFERROR(__xludf.DUMMYFUNCTION("""COMPUTED_VALUE"""),"United States")</f>
        <v>United States</v>
      </c>
      <c r="E7788" s="135"/>
      <c r="F7788" s="31"/>
    </row>
    <row r="7789">
      <c r="A7789" s="134" t="str">
        <f>IFERROR(__xludf.DUMMYFUNCTION("""COMPUTED_VALUE"""),"Shreveport")</f>
        <v>Shreveport</v>
      </c>
      <c r="B7789" s="120" t="str">
        <f>IFERROR(__xludf.DUMMYFUNCTION("""COMPUTED_VALUE"""),"DTN")</f>
        <v>DTN</v>
      </c>
      <c r="C7789" s="120" t="str">
        <f>IFERROR(__xludf.DUMMYFUNCTION("""COMPUTED_VALUE"""),"Downtown")</f>
        <v>Downtown</v>
      </c>
      <c r="D7789" s="120" t="str">
        <f>IFERROR(__xludf.DUMMYFUNCTION("""COMPUTED_VALUE"""),"United States")</f>
        <v>United States</v>
      </c>
      <c r="E7789" s="135"/>
      <c r="F7789" s="31"/>
    </row>
    <row r="7790">
      <c r="A7790" s="134" t="str">
        <f>IFERROR(__xludf.DUMMYFUNCTION("""COMPUTED_VALUE"""),"Shreveport")</f>
        <v>Shreveport</v>
      </c>
      <c r="B7790" s="120" t="str">
        <f>IFERROR(__xludf.DUMMYFUNCTION("""COMPUTED_VALUE"""),"SHV")</f>
        <v>SHV</v>
      </c>
      <c r="C7790" s="120" t="str">
        <f>IFERROR(__xludf.DUMMYFUNCTION("""COMPUTED_VALUE"""),"Regional")</f>
        <v>Regional</v>
      </c>
      <c r="D7790" s="120" t="str">
        <f>IFERROR(__xludf.DUMMYFUNCTION("""COMPUTED_VALUE"""),"United States")</f>
        <v>United States</v>
      </c>
      <c r="E7790" s="135"/>
      <c r="F7790" s="31"/>
    </row>
    <row r="7791">
      <c r="A7791" s="134" t="str">
        <f>IFERROR(__xludf.DUMMYFUNCTION("""COMPUTED_VALUE"""),"Shunde")</f>
        <v>Shunde</v>
      </c>
      <c r="B7791" s="120" t="str">
        <f>IFERROR(__xludf.DUMMYFUNCTION("""COMPUTED_VALUE"""),"ZAS")</f>
        <v>ZAS</v>
      </c>
      <c r="C7791" s="120" t="str">
        <f>IFERROR(__xludf.DUMMYFUNCTION("""COMPUTED_VALUE"""),"Shunde Ferry")</f>
        <v>Shunde Ferry</v>
      </c>
      <c r="D7791" s="120" t="str">
        <f>IFERROR(__xludf.DUMMYFUNCTION("""COMPUTED_VALUE"""),"China")</f>
        <v>China</v>
      </c>
      <c r="E7791" s="135"/>
      <c r="F7791" s="31"/>
    </row>
    <row r="7792">
      <c r="A7792" s="134" t="str">
        <f>IFERROR(__xludf.DUMMYFUNCTION("""COMPUTED_VALUE"""),"Shungnak")</f>
        <v>Shungnak</v>
      </c>
      <c r="B7792" s="120" t="str">
        <f>IFERROR(__xludf.DUMMYFUNCTION("""COMPUTED_VALUE"""),"SHG")</f>
        <v>SHG</v>
      </c>
      <c r="C7792" s="120" t="str">
        <f>IFERROR(__xludf.DUMMYFUNCTION("""COMPUTED_VALUE"""),"Shungnak")</f>
        <v>Shungnak</v>
      </c>
      <c r="D7792" s="120" t="str">
        <f>IFERROR(__xludf.DUMMYFUNCTION("""COMPUTED_VALUE"""),"United States")</f>
        <v>United States</v>
      </c>
      <c r="E7792" s="135"/>
      <c r="F7792" s="31"/>
    </row>
    <row r="7793">
      <c r="A7793" s="134" t="str">
        <f>IFERROR(__xludf.DUMMYFUNCTION("""COMPUTED_VALUE"""),"Shute Harbour")</f>
        <v>Shute Harbour</v>
      </c>
      <c r="B7793" s="120" t="str">
        <f>IFERROR(__xludf.DUMMYFUNCTION("""COMPUTED_VALUE"""),"JHQ")</f>
        <v>JHQ</v>
      </c>
      <c r="C7793" s="120" t="str">
        <f>IFERROR(__xludf.DUMMYFUNCTION("""COMPUTED_VALUE"""),"Shute Harbour H/P")</f>
        <v>Shute Harbour H/P</v>
      </c>
      <c r="D7793" s="120" t="str">
        <f>IFERROR(__xludf.DUMMYFUNCTION("""COMPUTED_VALUE"""),"Australia")</f>
        <v>Australia</v>
      </c>
      <c r="E7793" s="135"/>
      <c r="F7793" s="31"/>
    </row>
    <row r="7794">
      <c r="A7794" s="134" t="str">
        <f>IFERROR(__xludf.DUMMYFUNCTION("""COMPUTED_VALUE"""),"Sialkot")</f>
        <v>Sialkot</v>
      </c>
      <c r="B7794" s="120" t="str">
        <f>IFERROR(__xludf.DUMMYFUNCTION("""COMPUTED_VALUE"""),"SKT")</f>
        <v>SKT</v>
      </c>
      <c r="C7794" s="120" t="str">
        <f>IFERROR(__xludf.DUMMYFUNCTION("""COMPUTED_VALUE"""),"Sialkot International Airport")</f>
        <v>Sialkot International Airport</v>
      </c>
      <c r="D7794" s="120" t="str">
        <f>IFERROR(__xludf.DUMMYFUNCTION("""COMPUTED_VALUE"""),"Pakistan")</f>
        <v>Pakistan</v>
      </c>
      <c r="E7794" s="135"/>
      <c r="F7794" s="31"/>
    </row>
    <row r="7795">
      <c r="A7795" s="134" t="str">
        <f>IFERROR(__xludf.DUMMYFUNCTION("""COMPUTED_VALUE"""),"Sialum")</f>
        <v>Sialum</v>
      </c>
      <c r="B7795" s="120" t="str">
        <f>IFERROR(__xludf.DUMMYFUNCTION("""COMPUTED_VALUE"""),"SXA")</f>
        <v>SXA</v>
      </c>
      <c r="C7795" s="120" t="str">
        <f>IFERROR(__xludf.DUMMYFUNCTION("""COMPUTED_VALUE"""),"Sialum")</f>
        <v>Sialum</v>
      </c>
      <c r="D7795" s="120" t="str">
        <f>IFERROR(__xludf.DUMMYFUNCTION("""COMPUTED_VALUE"""),"Papua New Guinea")</f>
        <v>Papua New Guinea</v>
      </c>
      <c r="E7795" s="135"/>
      <c r="F7795" s="31"/>
    </row>
    <row r="7796">
      <c r="A7796" s="134" t="str">
        <f>IFERROR(__xludf.DUMMYFUNCTION("""COMPUTED_VALUE"""),"Siasi")</f>
        <v>Siasi</v>
      </c>
      <c r="B7796" s="120" t="str">
        <f>IFERROR(__xludf.DUMMYFUNCTION("""COMPUTED_VALUE"""),"SSV")</f>
        <v>SSV</v>
      </c>
      <c r="C7796" s="120" t="str">
        <f>IFERROR(__xludf.DUMMYFUNCTION("""COMPUTED_VALUE"""),"Siasi")</f>
        <v>Siasi</v>
      </c>
      <c r="D7796" s="120" t="str">
        <f>IFERROR(__xludf.DUMMYFUNCTION("""COMPUTED_VALUE"""),"Philippines")</f>
        <v>Philippines</v>
      </c>
      <c r="E7796" s="135"/>
      <c r="F7796" s="31"/>
    </row>
    <row r="7797">
      <c r="A7797" s="134" t="str">
        <f>IFERROR(__xludf.DUMMYFUNCTION("""COMPUTED_VALUE"""),"Siassi")</f>
        <v>Siassi</v>
      </c>
      <c r="B7797" s="120" t="str">
        <f>IFERROR(__xludf.DUMMYFUNCTION("""COMPUTED_VALUE"""),"SSS")</f>
        <v>SSS</v>
      </c>
      <c r="C7797" s="120" t="str">
        <f>IFERROR(__xludf.DUMMYFUNCTION("""COMPUTED_VALUE"""),"Siassi")</f>
        <v>Siassi</v>
      </c>
      <c r="D7797" s="120" t="str">
        <f>IFERROR(__xludf.DUMMYFUNCTION("""COMPUTED_VALUE"""),"Papua New Guinea")</f>
        <v>Papua New Guinea</v>
      </c>
      <c r="E7797" s="135"/>
      <c r="F7797" s="31"/>
    </row>
    <row r="7798">
      <c r="A7798" s="134" t="str">
        <f>IFERROR(__xludf.DUMMYFUNCTION("""COMPUTED_VALUE"""),"Siauliai")</f>
        <v>Siauliai</v>
      </c>
      <c r="B7798" s="120" t="str">
        <f>IFERROR(__xludf.DUMMYFUNCTION("""COMPUTED_VALUE"""),"SQQ")</f>
        <v>SQQ</v>
      </c>
      <c r="C7798" s="120" t="str">
        <f>IFERROR(__xludf.DUMMYFUNCTION("""COMPUTED_VALUE"""),"Siauliai")</f>
        <v>Siauliai</v>
      </c>
      <c r="D7798" s="120" t="str">
        <f>IFERROR(__xludf.DUMMYFUNCTION("""COMPUTED_VALUE"""),"Lithuania")</f>
        <v>Lithuania</v>
      </c>
      <c r="E7798" s="135"/>
      <c r="F7798" s="31"/>
    </row>
    <row r="7799">
      <c r="A7799" s="134" t="str">
        <f>IFERROR(__xludf.DUMMYFUNCTION("""COMPUTED_VALUE"""),"Sibi")</f>
        <v>Sibi</v>
      </c>
      <c r="B7799" s="120" t="str">
        <f>IFERROR(__xludf.DUMMYFUNCTION("""COMPUTED_VALUE"""),"SBQ")</f>
        <v>SBQ</v>
      </c>
      <c r="C7799" s="120" t="str">
        <f>IFERROR(__xludf.DUMMYFUNCTION("""COMPUTED_VALUE"""),"Sibi")</f>
        <v>Sibi</v>
      </c>
      <c r="D7799" s="120" t="str">
        <f>IFERROR(__xludf.DUMMYFUNCTION("""COMPUTED_VALUE"""),"Pakistan")</f>
        <v>Pakistan</v>
      </c>
      <c r="E7799" s="135"/>
      <c r="F7799" s="31"/>
    </row>
    <row r="7800">
      <c r="A7800" s="134" t="str">
        <f>IFERROR(__xludf.DUMMYFUNCTION("""COMPUTED_VALUE"""),"Sibisa")</f>
        <v>Sibisa</v>
      </c>
      <c r="B7800" s="120" t="str">
        <f>IFERROR(__xludf.DUMMYFUNCTION("""COMPUTED_VALUE"""),"SIW")</f>
        <v>SIW</v>
      </c>
      <c r="C7800" s="120" t="str">
        <f>IFERROR(__xludf.DUMMYFUNCTION("""COMPUTED_VALUE"""),"Sibisa")</f>
        <v>Sibisa</v>
      </c>
      <c r="D7800" s="120" t="str">
        <f>IFERROR(__xludf.DUMMYFUNCTION("""COMPUTED_VALUE"""),"Indonesia")</f>
        <v>Indonesia</v>
      </c>
      <c r="E7800" s="135"/>
      <c r="F7800" s="31"/>
    </row>
    <row r="7801">
      <c r="A7801" s="134" t="str">
        <f>IFERROR(__xludf.DUMMYFUNCTION("""COMPUTED_VALUE"""),"Sibiti")</f>
        <v>Sibiti</v>
      </c>
      <c r="B7801" s="120" t="str">
        <f>IFERROR(__xludf.DUMMYFUNCTION("""COMPUTED_VALUE"""),"SIB")</f>
        <v>SIB</v>
      </c>
      <c r="C7801" s="120" t="str">
        <f>IFERROR(__xludf.DUMMYFUNCTION("""COMPUTED_VALUE"""),"Sibiti")</f>
        <v>Sibiti</v>
      </c>
      <c r="D7801" s="120" t="str">
        <f>IFERROR(__xludf.DUMMYFUNCTION("""COMPUTED_VALUE"""),"Congo")</f>
        <v>Congo</v>
      </c>
      <c r="E7801" s="135"/>
      <c r="F7801" s="31"/>
    </row>
    <row r="7802">
      <c r="A7802" s="134" t="str">
        <f>IFERROR(__xludf.DUMMYFUNCTION("""COMPUTED_VALUE"""),"Sibiu")</f>
        <v>Sibiu</v>
      </c>
      <c r="B7802" s="120" t="str">
        <f>IFERROR(__xludf.DUMMYFUNCTION("""COMPUTED_VALUE"""),"SBZ")</f>
        <v>SBZ</v>
      </c>
      <c r="C7802" s="120" t="str">
        <f>IFERROR(__xludf.DUMMYFUNCTION("""COMPUTED_VALUE"""),"Sibiu")</f>
        <v>Sibiu</v>
      </c>
      <c r="D7802" s="120" t="str">
        <f>IFERROR(__xludf.DUMMYFUNCTION("""COMPUTED_VALUE"""),"Romania")</f>
        <v>Romania</v>
      </c>
      <c r="E7802" s="135"/>
      <c r="F7802" s="31"/>
    </row>
    <row r="7803">
      <c r="A7803" s="134" t="str">
        <f>IFERROR(__xludf.DUMMYFUNCTION("""COMPUTED_VALUE"""),"Sibu")</f>
        <v>Sibu</v>
      </c>
      <c r="B7803" s="120" t="str">
        <f>IFERROR(__xludf.DUMMYFUNCTION("""COMPUTED_VALUE"""),"SBW")</f>
        <v>SBW</v>
      </c>
      <c r="C7803" s="120" t="str">
        <f>IFERROR(__xludf.DUMMYFUNCTION("""COMPUTED_VALUE"""),"Sibu")</f>
        <v>Sibu</v>
      </c>
      <c r="D7803" s="120" t="str">
        <f>IFERROR(__xludf.DUMMYFUNCTION("""COMPUTED_VALUE"""),"Malaysia")</f>
        <v>Malaysia</v>
      </c>
      <c r="E7803" s="135"/>
      <c r="F7803" s="31"/>
    </row>
    <row r="7804">
      <c r="A7804" s="134" t="str">
        <f>IFERROR(__xludf.DUMMYFUNCTION("""COMPUTED_VALUE"""),"Sicogon Island")</f>
        <v>Sicogon Island</v>
      </c>
      <c r="B7804" s="120" t="str">
        <f>IFERROR(__xludf.DUMMYFUNCTION("""COMPUTED_VALUE"""),"ICO")</f>
        <v>ICO</v>
      </c>
      <c r="C7804" s="120" t="str">
        <f>IFERROR(__xludf.DUMMYFUNCTION("""COMPUTED_VALUE"""),"Sicogon Island")</f>
        <v>Sicogon Island</v>
      </c>
      <c r="D7804" s="120" t="str">
        <f>IFERROR(__xludf.DUMMYFUNCTION("""COMPUTED_VALUE"""),"Philippines")</f>
        <v>Philippines</v>
      </c>
      <c r="E7804" s="135"/>
      <c r="F7804" s="31"/>
    </row>
    <row r="7805">
      <c r="A7805" s="134" t="str">
        <f>IFERROR(__xludf.DUMMYFUNCTION("""COMPUTED_VALUE"""),"Sidi Barani")</f>
        <v>Sidi Barani</v>
      </c>
      <c r="B7805" s="120" t="str">
        <f>IFERROR(__xludf.DUMMYFUNCTION("""COMPUTED_VALUE"""),"SQK")</f>
        <v>SQK</v>
      </c>
      <c r="C7805" s="120" t="str">
        <f>IFERROR(__xludf.DUMMYFUNCTION("""COMPUTED_VALUE"""),"Sidi Barani")</f>
        <v>Sidi Barani</v>
      </c>
      <c r="D7805" s="120" t="str">
        <f>IFERROR(__xludf.DUMMYFUNCTION("""COMPUTED_VALUE"""),"Egypt")</f>
        <v>Egypt</v>
      </c>
      <c r="E7805" s="135"/>
      <c r="F7805" s="31"/>
    </row>
    <row r="7806">
      <c r="A7806" s="134" t="str">
        <f>IFERROR(__xludf.DUMMYFUNCTION("""COMPUTED_VALUE"""),"Sidi Belabbes")</f>
        <v>Sidi Belabbes</v>
      </c>
      <c r="B7806" s="120" t="str">
        <f>IFERROR(__xludf.DUMMYFUNCTION("""COMPUTED_VALUE"""),"BFW")</f>
        <v>BFW</v>
      </c>
      <c r="C7806" s="120" t="str">
        <f>IFERROR(__xludf.DUMMYFUNCTION("""COMPUTED_VALUE"""),"Sidi Belabbes")</f>
        <v>Sidi Belabbes</v>
      </c>
      <c r="D7806" s="120" t="str">
        <f>IFERROR(__xludf.DUMMYFUNCTION("""COMPUTED_VALUE"""),"Algeria")</f>
        <v>Algeria</v>
      </c>
      <c r="E7806" s="135"/>
      <c r="F7806" s="31"/>
    </row>
    <row r="7807">
      <c r="A7807" s="134" t="str">
        <f>IFERROR(__xludf.DUMMYFUNCTION("""COMPUTED_VALUE"""),"Sidi Ifni")</f>
        <v>Sidi Ifni</v>
      </c>
      <c r="B7807" s="120" t="str">
        <f>IFERROR(__xludf.DUMMYFUNCTION("""COMPUTED_VALUE"""),"SII")</f>
        <v>SII</v>
      </c>
      <c r="C7807" s="120" t="str">
        <f>IFERROR(__xludf.DUMMYFUNCTION("""COMPUTED_VALUE"""),"Sidi Ifni")</f>
        <v>Sidi Ifni</v>
      </c>
      <c r="D7807" s="120" t="str">
        <f>IFERROR(__xludf.DUMMYFUNCTION("""COMPUTED_VALUE"""),"Morocco")</f>
        <v>Morocco</v>
      </c>
      <c r="E7807" s="135"/>
      <c r="F7807" s="31"/>
    </row>
    <row r="7808">
      <c r="A7808" s="134" t="str">
        <f>IFERROR(__xludf.DUMMYFUNCTION("""COMPUTED_VALUE"""),"Sidney")</f>
        <v>Sidney</v>
      </c>
      <c r="B7808" s="120" t="str">
        <f>IFERROR(__xludf.DUMMYFUNCTION("""COMPUTED_VALUE"""),"SDY")</f>
        <v>SDY</v>
      </c>
      <c r="C7808" s="120" t="str">
        <f>IFERROR(__xludf.DUMMYFUNCTION("""COMPUTED_VALUE"""),"Richland Municipal")</f>
        <v>Richland Municipal</v>
      </c>
      <c r="D7808" s="120" t="str">
        <f>IFERROR(__xludf.DUMMYFUNCTION("""COMPUTED_VALUE"""),"United States")</f>
        <v>United States</v>
      </c>
      <c r="E7808" s="135"/>
      <c r="F7808" s="31"/>
    </row>
    <row r="7809">
      <c r="A7809" s="134" t="str">
        <f>IFERROR(__xludf.DUMMYFUNCTION("""COMPUTED_VALUE"""),"Sidney")</f>
        <v>Sidney</v>
      </c>
      <c r="B7809" s="120" t="str">
        <f>IFERROR(__xludf.DUMMYFUNCTION("""COMPUTED_VALUE"""),"SNY")</f>
        <v>SNY</v>
      </c>
      <c r="C7809" s="120" t="str">
        <f>IFERROR(__xludf.DUMMYFUNCTION("""COMPUTED_VALUE"""),"Sidney")</f>
        <v>Sidney</v>
      </c>
      <c r="D7809" s="120" t="str">
        <f>IFERROR(__xludf.DUMMYFUNCTION("""COMPUTED_VALUE"""),"United States")</f>
        <v>United States</v>
      </c>
      <c r="E7809" s="135"/>
      <c r="F7809" s="31"/>
    </row>
    <row r="7810">
      <c r="A7810" s="134" t="str">
        <f>IFERROR(__xludf.DUMMYFUNCTION("""COMPUTED_VALUE"""),"Sidney")</f>
        <v>Sidney</v>
      </c>
      <c r="B7810" s="120" t="str">
        <f>IFERROR(__xludf.DUMMYFUNCTION("""COMPUTED_VALUE"""),"SXY")</f>
        <v>SXY</v>
      </c>
      <c r="C7810" s="120" t="str">
        <f>IFERROR(__xludf.DUMMYFUNCTION("""COMPUTED_VALUE"""),"Sidney")</f>
        <v>Sidney</v>
      </c>
      <c r="D7810" s="120" t="str">
        <f>IFERROR(__xludf.DUMMYFUNCTION("""COMPUTED_VALUE"""),"United States")</f>
        <v>United States</v>
      </c>
      <c r="E7810" s="135"/>
      <c r="F7810" s="31"/>
    </row>
    <row r="7811">
      <c r="A7811" s="134" t="str">
        <f>IFERROR(__xludf.DUMMYFUNCTION("""COMPUTED_VALUE"""),"Siegen")</f>
        <v>Siegen</v>
      </c>
      <c r="B7811" s="120" t="str">
        <f>IFERROR(__xludf.DUMMYFUNCTION("""COMPUTED_VALUE"""),"SGE")</f>
        <v>SGE</v>
      </c>
      <c r="C7811" s="120" t="str">
        <f>IFERROR(__xludf.DUMMYFUNCTION("""COMPUTED_VALUE"""),"Siegerland Airport")</f>
        <v>Siegerland Airport</v>
      </c>
      <c r="D7811" s="120" t="str">
        <f>IFERROR(__xludf.DUMMYFUNCTION("""COMPUTED_VALUE"""),"Germany")</f>
        <v>Germany</v>
      </c>
      <c r="E7811" s="135"/>
      <c r="F7811" s="31"/>
    </row>
    <row r="7812">
      <c r="A7812" s="134" t="str">
        <f>IFERROR(__xludf.DUMMYFUNCTION("""COMPUTED_VALUE"""),"Siem Reap")</f>
        <v>Siem Reap</v>
      </c>
      <c r="B7812" s="120" t="str">
        <f>IFERROR(__xludf.DUMMYFUNCTION("""COMPUTED_VALUE"""),"REP")</f>
        <v>REP</v>
      </c>
      <c r="C7812" s="120" t="str">
        <f>IFERROR(__xludf.DUMMYFUNCTION("""COMPUTED_VALUE"""),"Siem Reap")</f>
        <v>Siem Reap</v>
      </c>
      <c r="D7812" s="120" t="str">
        <f>IFERROR(__xludf.DUMMYFUNCTION("""COMPUTED_VALUE"""),"Cambodia")</f>
        <v>Cambodia</v>
      </c>
      <c r="E7812" s="135"/>
      <c r="F7812" s="31"/>
    </row>
    <row r="7813">
      <c r="A7813" s="134" t="str">
        <f>IFERROR(__xludf.DUMMYFUNCTION("""COMPUTED_VALUE"""),"Siena")</f>
        <v>Siena</v>
      </c>
      <c r="B7813" s="120" t="str">
        <f>IFERROR(__xludf.DUMMYFUNCTION("""COMPUTED_VALUE"""),"SAY")</f>
        <v>SAY</v>
      </c>
      <c r="C7813" s="120" t="str">
        <f>IFERROR(__xludf.DUMMYFUNCTION("""COMPUTED_VALUE"""),"Siena")</f>
        <v>Siena</v>
      </c>
      <c r="D7813" s="120" t="str">
        <f>IFERROR(__xludf.DUMMYFUNCTION("""COMPUTED_VALUE"""),"Italy")</f>
        <v>Italy</v>
      </c>
      <c r="E7813" s="135"/>
      <c r="F7813" s="31"/>
    </row>
    <row r="7814">
      <c r="A7814" s="134" t="str">
        <f>IFERROR(__xludf.DUMMYFUNCTION("""COMPUTED_VALUE"""),"Sierra Grande")</f>
        <v>Sierra Grande</v>
      </c>
      <c r="B7814" s="120" t="str">
        <f>IFERROR(__xludf.DUMMYFUNCTION("""COMPUTED_VALUE"""),"SGV")</f>
        <v>SGV</v>
      </c>
      <c r="C7814" s="120" t="str">
        <f>IFERROR(__xludf.DUMMYFUNCTION("""COMPUTED_VALUE"""),"Sierra Grande")</f>
        <v>Sierra Grande</v>
      </c>
      <c r="D7814" s="120" t="str">
        <f>IFERROR(__xludf.DUMMYFUNCTION("""COMPUTED_VALUE"""),"Argentina")</f>
        <v>Argentina</v>
      </c>
      <c r="E7814" s="135"/>
      <c r="F7814" s="31"/>
    </row>
    <row r="7815">
      <c r="A7815" s="134" t="str">
        <f>IFERROR(__xludf.DUMMYFUNCTION("""COMPUTED_VALUE"""),"Sierra Leone")</f>
        <v>Sierra Leone</v>
      </c>
      <c r="B7815" s="120" t="str">
        <f>IFERROR(__xludf.DUMMYFUNCTION("""COMPUTED_VALUE"""),"SRK")</f>
        <v>SRK</v>
      </c>
      <c r="C7815" s="120" t="str">
        <f>IFERROR(__xludf.DUMMYFUNCTION("""COMPUTED_VALUE"""),"Sierra Leone")</f>
        <v>Sierra Leone</v>
      </c>
      <c r="D7815" s="120" t="str">
        <f>IFERROR(__xludf.DUMMYFUNCTION("""COMPUTED_VALUE"""),"Sierra Leone")</f>
        <v>Sierra Leone</v>
      </c>
      <c r="E7815" s="135"/>
      <c r="F7815" s="31"/>
    </row>
    <row r="7816">
      <c r="A7816" s="134" t="str">
        <f>IFERROR(__xludf.DUMMYFUNCTION("""COMPUTED_VALUE"""),"Sierra Vista")</f>
        <v>Sierra Vista</v>
      </c>
      <c r="B7816" s="120" t="str">
        <f>IFERROR(__xludf.DUMMYFUNCTION("""COMPUTED_VALUE"""),"FHU")</f>
        <v>FHU</v>
      </c>
      <c r="C7816" s="120" t="str">
        <f>IFERROR(__xludf.DUMMYFUNCTION("""COMPUTED_VALUE"""),"Municipal")</f>
        <v>Municipal</v>
      </c>
      <c r="D7816" s="120" t="str">
        <f>IFERROR(__xludf.DUMMYFUNCTION("""COMPUTED_VALUE"""),"United States")</f>
        <v>United States</v>
      </c>
      <c r="E7816" s="135"/>
      <c r="F7816" s="31"/>
    </row>
    <row r="7817">
      <c r="A7817" s="134" t="str">
        <f>IFERROR(__xludf.DUMMYFUNCTION("""COMPUTED_VALUE"""),"Sigiriya")</f>
        <v>Sigiriya</v>
      </c>
      <c r="B7817" s="120" t="str">
        <f>IFERROR(__xludf.DUMMYFUNCTION("""COMPUTED_VALUE"""),"GIU")</f>
        <v>GIU</v>
      </c>
      <c r="C7817" s="120" t="str">
        <f>IFERROR(__xludf.DUMMYFUNCTION("""COMPUTED_VALUE"""),"Sigiriya Slaf Base")</f>
        <v>Sigiriya Slaf Base</v>
      </c>
      <c r="D7817" s="120" t="str">
        <f>IFERROR(__xludf.DUMMYFUNCTION("""COMPUTED_VALUE"""),"Sri Lanka")</f>
        <v>Sri Lanka</v>
      </c>
      <c r="E7817" s="135"/>
      <c r="F7817" s="31"/>
    </row>
    <row r="7818">
      <c r="A7818" s="134" t="str">
        <f>IFERROR(__xludf.DUMMYFUNCTION("""COMPUTED_VALUE"""),"Siglufjordur")</f>
        <v>Siglufjordur</v>
      </c>
      <c r="B7818" s="120" t="str">
        <f>IFERROR(__xludf.DUMMYFUNCTION("""COMPUTED_VALUE"""),"SIJ")</f>
        <v>SIJ</v>
      </c>
      <c r="C7818" s="120" t="str">
        <f>IFERROR(__xludf.DUMMYFUNCTION("""COMPUTED_VALUE"""),"Siglufjordur")</f>
        <v>Siglufjordur</v>
      </c>
      <c r="D7818" s="120" t="str">
        <f>IFERROR(__xludf.DUMMYFUNCTION("""COMPUTED_VALUE"""),"Iceland")</f>
        <v>Iceland</v>
      </c>
      <c r="E7818" s="135"/>
      <c r="F7818" s="31"/>
    </row>
    <row r="7819">
      <c r="A7819" s="134" t="str">
        <f>IFERROR(__xludf.DUMMYFUNCTION("""COMPUTED_VALUE"""),"Tokat")</f>
        <v>Tokat</v>
      </c>
      <c r="B7819" s="120" t="str">
        <f>IFERROR(__xludf.DUMMYFUNCTION("""COMPUTED_VALUE"""),"NSY")</f>
        <v>NSY</v>
      </c>
      <c r="C7819" s="120" t="str">
        <f>IFERROR(__xludf.DUMMYFUNCTION("""COMPUTED_VALUE"""),"Sigonella NAF")</f>
        <v>Sigonella NAF</v>
      </c>
      <c r="D7819" s="120" t="str">
        <f>IFERROR(__xludf.DUMMYFUNCTION("""COMPUTED_VALUE"""),"Italy")</f>
        <v>Italy</v>
      </c>
      <c r="E7819" s="135"/>
      <c r="F7819" s="31"/>
    </row>
    <row r="7820">
      <c r="A7820" s="134" t="str">
        <f>IFERROR(__xludf.DUMMYFUNCTION("""COMPUTED_VALUE"""),"Siguanea")</f>
        <v>Siguanea</v>
      </c>
      <c r="B7820" s="120" t="str">
        <f>IFERROR(__xludf.DUMMYFUNCTION("""COMPUTED_VALUE"""),"SZJ")</f>
        <v>SZJ</v>
      </c>
      <c r="C7820" s="120" t="str">
        <f>IFERROR(__xludf.DUMMYFUNCTION("""COMPUTED_VALUE"""),"Siguanea")</f>
        <v>Siguanea</v>
      </c>
      <c r="D7820" s="120" t="str">
        <f>IFERROR(__xludf.DUMMYFUNCTION("""COMPUTED_VALUE"""),"Cuba")</f>
        <v>Cuba</v>
      </c>
      <c r="E7820" s="135"/>
      <c r="F7820" s="31"/>
    </row>
    <row r="7821">
      <c r="A7821" s="134" t="str">
        <f>IFERROR(__xludf.DUMMYFUNCTION("""COMPUTED_VALUE"""),"Siguiri")</f>
        <v>Siguiri</v>
      </c>
      <c r="B7821" s="120" t="str">
        <f>IFERROR(__xludf.DUMMYFUNCTION("""COMPUTED_VALUE"""),"GII")</f>
        <v>GII</v>
      </c>
      <c r="C7821" s="120" t="str">
        <f>IFERROR(__xludf.DUMMYFUNCTION("""COMPUTED_VALUE"""),"Siguiri")</f>
        <v>Siguiri</v>
      </c>
      <c r="D7821" s="120" t="str">
        <f>IFERROR(__xludf.DUMMYFUNCTION("""COMPUTED_VALUE"""),"Guinea")</f>
        <v>Guinea</v>
      </c>
      <c r="E7821" s="135"/>
      <c r="F7821" s="31"/>
    </row>
    <row r="7822">
      <c r="A7822" s="134" t="str">
        <f>IFERROR(__xludf.DUMMYFUNCTION("""COMPUTED_VALUE"""),"Sihanoukville")</f>
        <v>Sihanoukville</v>
      </c>
      <c r="B7822" s="120" t="str">
        <f>IFERROR(__xludf.DUMMYFUNCTION("""COMPUTED_VALUE"""),"KOS")</f>
        <v>KOS</v>
      </c>
      <c r="C7822" s="120" t="str">
        <f>IFERROR(__xludf.DUMMYFUNCTION("""COMPUTED_VALUE"""),"Sihanoukville")</f>
        <v>Sihanoukville</v>
      </c>
      <c r="D7822" s="120" t="str">
        <f>IFERROR(__xludf.DUMMYFUNCTION("""COMPUTED_VALUE"""),"Cambodia")</f>
        <v>Cambodia</v>
      </c>
      <c r="E7822" s="135"/>
      <c r="F7822" s="31"/>
    </row>
    <row r="7823">
      <c r="A7823" s="134" t="str">
        <f>IFERROR(__xludf.DUMMYFUNCTION("""COMPUTED_VALUE"""),"Siirt")</f>
        <v>Siirt</v>
      </c>
      <c r="B7823" s="120" t="str">
        <f>IFERROR(__xludf.DUMMYFUNCTION("""COMPUTED_VALUE"""),"SXZ")</f>
        <v>SXZ</v>
      </c>
      <c r="C7823" s="120" t="str">
        <f>IFERROR(__xludf.DUMMYFUNCTION("""COMPUTED_VALUE"""),"Siirt")</f>
        <v>Siirt</v>
      </c>
      <c r="D7823" s="120" t="str">
        <f>IFERROR(__xludf.DUMMYFUNCTION("""COMPUTED_VALUE"""),"Turkey")</f>
        <v>Turkey</v>
      </c>
      <c r="E7823" s="135"/>
      <c r="F7823" s="31"/>
    </row>
    <row r="7824">
      <c r="A7824" s="134" t="str">
        <f>IFERROR(__xludf.DUMMYFUNCTION("""COMPUTED_VALUE"""),"Sikasso")</f>
        <v>Sikasso</v>
      </c>
      <c r="B7824" s="120" t="str">
        <f>IFERROR(__xludf.DUMMYFUNCTION("""COMPUTED_VALUE"""),"KSS")</f>
        <v>KSS</v>
      </c>
      <c r="C7824" s="120" t="str">
        <f>IFERROR(__xludf.DUMMYFUNCTION("""COMPUTED_VALUE"""),"Sikasso")</f>
        <v>Sikasso</v>
      </c>
      <c r="D7824" s="120" t="str">
        <f>IFERROR(__xludf.DUMMYFUNCTION("""COMPUTED_VALUE"""),"Mali")</f>
        <v>Mali</v>
      </c>
      <c r="E7824" s="135"/>
      <c r="F7824" s="31"/>
    </row>
    <row r="7825">
      <c r="A7825" s="134" t="str">
        <f>IFERROR(__xludf.DUMMYFUNCTION("""COMPUTED_VALUE"""),"Sikeston")</f>
        <v>Sikeston</v>
      </c>
      <c r="B7825" s="120" t="str">
        <f>IFERROR(__xludf.DUMMYFUNCTION("""COMPUTED_VALUE"""),"SIK")</f>
        <v>SIK</v>
      </c>
      <c r="C7825" s="120" t="str">
        <f>IFERROR(__xludf.DUMMYFUNCTION("""COMPUTED_VALUE"""),"Memorial")</f>
        <v>Memorial</v>
      </c>
      <c r="D7825" s="120" t="str">
        <f>IFERROR(__xludf.DUMMYFUNCTION("""COMPUTED_VALUE"""),"United States")</f>
        <v>United States</v>
      </c>
      <c r="E7825" s="135"/>
      <c r="F7825" s="31"/>
    </row>
    <row r="7826">
      <c r="A7826" s="134" t="str">
        <f>IFERROR(__xludf.DUMMYFUNCTION("""COMPUTED_VALUE"""),"Sila")</f>
        <v>Sila</v>
      </c>
      <c r="B7826" s="120" t="str">
        <f>IFERROR(__xludf.DUMMYFUNCTION("""COMPUTED_VALUE"""),"SIL")</f>
        <v>SIL</v>
      </c>
      <c r="C7826" s="120" t="str">
        <f>IFERROR(__xludf.DUMMYFUNCTION("""COMPUTED_VALUE"""),"Sila")</f>
        <v>Sila</v>
      </c>
      <c r="D7826" s="120" t="str">
        <f>IFERROR(__xludf.DUMMYFUNCTION("""COMPUTED_VALUE"""),"Papua New Guinea")</f>
        <v>Papua New Guinea</v>
      </c>
      <c r="E7826" s="135"/>
      <c r="F7826" s="31"/>
    </row>
    <row r="7827">
      <c r="A7827" s="134" t="str">
        <f>IFERROR(__xludf.DUMMYFUNCTION("""COMPUTED_VALUE"""),"Silchar")</f>
        <v>Silchar</v>
      </c>
      <c r="B7827" s="120" t="str">
        <f>IFERROR(__xludf.DUMMYFUNCTION("""COMPUTED_VALUE"""),"IXS")</f>
        <v>IXS</v>
      </c>
      <c r="C7827" s="120" t="str">
        <f>IFERROR(__xludf.DUMMYFUNCTION("""COMPUTED_VALUE"""),"Kumbhirgram")</f>
        <v>Kumbhirgram</v>
      </c>
      <c r="D7827" s="120" t="str">
        <f>IFERROR(__xludf.DUMMYFUNCTION("""COMPUTED_VALUE"""),"India")</f>
        <v>India</v>
      </c>
      <c r="E7827" s="135"/>
      <c r="F7827" s="31"/>
    </row>
    <row r="7828">
      <c r="A7828" s="134" t="str">
        <f>IFERROR(__xludf.DUMMYFUNCTION("""COMPUTED_VALUE"""),"Silgadi Doti")</f>
        <v>Silgadi Doti</v>
      </c>
      <c r="B7828" s="120" t="str">
        <f>IFERROR(__xludf.DUMMYFUNCTION("""COMPUTED_VALUE"""),"SIH")</f>
        <v>SIH</v>
      </c>
      <c r="C7828" s="120" t="str">
        <f>IFERROR(__xludf.DUMMYFUNCTION("""COMPUTED_VALUE"""),"Silgadi Doti")</f>
        <v>Silgadi Doti</v>
      </c>
      <c r="D7828" s="120" t="str">
        <f>IFERROR(__xludf.DUMMYFUNCTION("""COMPUTED_VALUE"""),"Nepal")</f>
        <v>Nepal</v>
      </c>
      <c r="E7828" s="135"/>
      <c r="F7828" s="31"/>
    </row>
    <row r="7829">
      <c r="A7829" s="134" t="str">
        <f>IFERROR(__xludf.DUMMYFUNCTION("""COMPUTED_VALUE"""),"Silistra")</f>
        <v>Silistra</v>
      </c>
      <c r="B7829" s="120" t="str">
        <f>IFERROR(__xludf.DUMMYFUNCTION("""COMPUTED_VALUE"""),"SLS")</f>
        <v>SLS</v>
      </c>
      <c r="C7829" s="120" t="str">
        <f>IFERROR(__xludf.DUMMYFUNCTION("""COMPUTED_VALUE"""),"Silistra")</f>
        <v>Silistra</v>
      </c>
      <c r="D7829" s="120" t="str">
        <f>IFERROR(__xludf.DUMMYFUNCTION("""COMPUTED_VALUE"""),"Bulgaria")</f>
        <v>Bulgaria</v>
      </c>
      <c r="E7829" s="135"/>
      <c r="F7829" s="31"/>
    </row>
    <row r="7830">
      <c r="A7830" s="134" t="str">
        <f>IFERROR(__xludf.DUMMYFUNCTION("""COMPUTED_VALUE"""),"Siloam Springs")</f>
        <v>Siloam Springs</v>
      </c>
      <c r="B7830" s="120" t="str">
        <f>IFERROR(__xludf.DUMMYFUNCTION("""COMPUTED_VALUE"""),"SLG")</f>
        <v>SLG</v>
      </c>
      <c r="C7830" s="120" t="str">
        <f>IFERROR(__xludf.DUMMYFUNCTION("""COMPUTED_VALUE"""),"Smith Field")</f>
        <v>Smith Field</v>
      </c>
      <c r="D7830" s="120" t="str">
        <f>IFERROR(__xludf.DUMMYFUNCTION("""COMPUTED_VALUE"""),"United States")</f>
        <v>United States</v>
      </c>
      <c r="E7830" s="135"/>
      <c r="F7830" s="31"/>
    </row>
    <row r="7831">
      <c r="A7831" s="134" t="str">
        <f>IFERROR(__xludf.DUMMYFUNCTION("""COMPUTED_VALUE"""),"Silur")</f>
        <v>Silur</v>
      </c>
      <c r="B7831" s="120" t="str">
        <f>IFERROR(__xludf.DUMMYFUNCTION("""COMPUTED_VALUE"""),"SWR")</f>
        <v>SWR</v>
      </c>
      <c r="C7831" s="120" t="str">
        <f>IFERROR(__xludf.DUMMYFUNCTION("""COMPUTED_VALUE"""),"Silur")</f>
        <v>Silur</v>
      </c>
      <c r="D7831" s="120" t="str">
        <f>IFERROR(__xludf.DUMMYFUNCTION("""COMPUTED_VALUE"""),"Papua New Guinea")</f>
        <v>Papua New Guinea</v>
      </c>
      <c r="E7831" s="135"/>
      <c r="F7831" s="31"/>
    </row>
    <row r="7832">
      <c r="A7832" s="134" t="str">
        <f>IFERROR(__xludf.DUMMYFUNCTION("""COMPUTED_VALUE"""),"Silva Bay")</f>
        <v>Silva Bay</v>
      </c>
      <c r="B7832" s="120" t="str">
        <f>IFERROR(__xludf.DUMMYFUNCTION("""COMPUTED_VALUE"""),"SYF")</f>
        <v>SYF</v>
      </c>
      <c r="C7832" s="120" t="str">
        <f>IFERROR(__xludf.DUMMYFUNCTION("""COMPUTED_VALUE"""),"Silva Bay")</f>
        <v>Silva Bay</v>
      </c>
      <c r="D7832" s="120" t="str">
        <f>IFERROR(__xludf.DUMMYFUNCTION("""COMPUTED_VALUE"""),"Canada")</f>
        <v>Canada</v>
      </c>
      <c r="E7832" s="135"/>
      <c r="F7832" s="31"/>
    </row>
    <row r="7833">
      <c r="A7833" s="134" t="str">
        <f>IFERROR(__xludf.DUMMYFUNCTION("""COMPUTED_VALUE"""),"Silver City")</f>
        <v>Silver City</v>
      </c>
      <c r="B7833" s="120" t="str">
        <f>IFERROR(__xludf.DUMMYFUNCTION("""COMPUTED_VALUE"""),"SVC")</f>
        <v>SVC</v>
      </c>
      <c r="C7833" s="120" t="str">
        <f>IFERROR(__xludf.DUMMYFUNCTION("""COMPUTED_VALUE"""),"Grant County")</f>
        <v>Grant County</v>
      </c>
      <c r="D7833" s="120" t="str">
        <f>IFERROR(__xludf.DUMMYFUNCTION("""COMPUTED_VALUE"""),"United States")</f>
        <v>United States</v>
      </c>
      <c r="E7833" s="135"/>
      <c r="F7833" s="31"/>
    </row>
    <row r="7834">
      <c r="A7834" s="134" t="str">
        <f>IFERROR(__xludf.DUMMYFUNCTION("""COMPUTED_VALUE"""),"Silver Creek")</f>
        <v>Silver Creek</v>
      </c>
      <c r="B7834" s="120" t="str">
        <f>IFERROR(__xludf.DUMMYFUNCTION("""COMPUTED_VALUE"""),"SVK")</f>
        <v>SVK</v>
      </c>
      <c r="C7834" s="120" t="str">
        <f>IFERROR(__xludf.DUMMYFUNCTION("""COMPUTED_VALUE"""),"Silver Creek")</f>
        <v>Silver Creek</v>
      </c>
      <c r="D7834" s="120" t="str">
        <f>IFERROR(__xludf.DUMMYFUNCTION("""COMPUTED_VALUE"""),"Belize")</f>
        <v>Belize</v>
      </c>
      <c r="E7834" s="135"/>
      <c r="F7834" s="31"/>
    </row>
    <row r="7835">
      <c r="A7835" s="134" t="str">
        <f>IFERROR(__xludf.DUMMYFUNCTION("""COMPUTED_VALUE"""),"Silver Plains")</f>
        <v>Silver Plains</v>
      </c>
      <c r="B7835" s="120" t="str">
        <f>IFERROR(__xludf.DUMMYFUNCTION("""COMPUTED_VALUE"""),"SSP")</f>
        <v>SSP</v>
      </c>
      <c r="C7835" s="120" t="str">
        <f>IFERROR(__xludf.DUMMYFUNCTION("""COMPUTED_VALUE"""),"Silver Plains")</f>
        <v>Silver Plains</v>
      </c>
      <c r="D7835" s="120" t="str">
        <f>IFERROR(__xludf.DUMMYFUNCTION("""COMPUTED_VALUE"""),"Australia")</f>
        <v>Australia</v>
      </c>
      <c r="E7835" s="135"/>
      <c r="F7835" s="31"/>
    </row>
    <row r="7836">
      <c r="A7836" s="134" t="str">
        <f>IFERROR(__xludf.DUMMYFUNCTION("""COMPUTED_VALUE"""),"Sim")</f>
        <v>Sim</v>
      </c>
      <c r="B7836" s="120" t="str">
        <f>IFERROR(__xludf.DUMMYFUNCTION("""COMPUTED_VALUE"""),"SMJ")</f>
        <v>SMJ</v>
      </c>
      <c r="C7836" s="120" t="str">
        <f>IFERROR(__xludf.DUMMYFUNCTION("""COMPUTED_VALUE"""),"Sim")</f>
        <v>Sim</v>
      </c>
      <c r="D7836" s="120" t="str">
        <f>IFERROR(__xludf.DUMMYFUNCTION("""COMPUTED_VALUE"""),"Papua New Guinea")</f>
        <v>Papua New Guinea</v>
      </c>
      <c r="E7836" s="135"/>
      <c r="F7836" s="31"/>
    </row>
    <row r="7837">
      <c r="A7837" s="134" t="str">
        <f>IFERROR(__xludf.DUMMYFUNCTION("""COMPUTED_VALUE"""),"Simanggang")</f>
        <v>Simanggang</v>
      </c>
      <c r="B7837" s="120" t="str">
        <f>IFERROR(__xludf.DUMMYFUNCTION("""COMPUTED_VALUE"""),"SGG")</f>
        <v>SGG</v>
      </c>
      <c r="C7837" s="120" t="str">
        <f>IFERROR(__xludf.DUMMYFUNCTION("""COMPUTED_VALUE"""),"Simanggang")</f>
        <v>Simanggang</v>
      </c>
      <c r="D7837" s="120" t="str">
        <f>IFERROR(__xludf.DUMMYFUNCTION("""COMPUTED_VALUE"""),"Malaysia")</f>
        <v>Malaysia</v>
      </c>
      <c r="E7837" s="135"/>
      <c r="F7837" s="31"/>
    </row>
    <row r="7838">
      <c r="A7838" s="134" t="str">
        <f>IFERROR(__xludf.DUMMYFUNCTION("""COMPUTED_VALUE"""),"Simao")</f>
        <v>Simao</v>
      </c>
      <c r="B7838" s="120" t="str">
        <f>IFERROR(__xludf.DUMMYFUNCTION("""COMPUTED_VALUE"""),"SYM")</f>
        <v>SYM</v>
      </c>
      <c r="C7838" s="120" t="str">
        <f>IFERROR(__xludf.DUMMYFUNCTION("""COMPUTED_VALUE"""),"Simao")</f>
        <v>Simao</v>
      </c>
      <c r="D7838" s="120" t="str">
        <f>IFERROR(__xludf.DUMMYFUNCTION("""COMPUTED_VALUE"""),"China")</f>
        <v>China</v>
      </c>
      <c r="E7838" s="135"/>
      <c r="F7838" s="31"/>
    </row>
    <row r="7839">
      <c r="A7839" s="134" t="str">
        <f>IFERROR(__xludf.DUMMYFUNCTION("""COMPUTED_VALUE"""),"Simara")</f>
        <v>Simara</v>
      </c>
      <c r="B7839" s="120" t="str">
        <f>IFERROR(__xludf.DUMMYFUNCTION("""COMPUTED_VALUE"""),"SIF")</f>
        <v>SIF</v>
      </c>
      <c r="C7839" s="120" t="str">
        <f>IFERROR(__xludf.DUMMYFUNCTION("""COMPUTED_VALUE"""),"Simara")</f>
        <v>Simara</v>
      </c>
      <c r="D7839" s="120" t="str">
        <f>IFERROR(__xludf.DUMMYFUNCTION("""COMPUTED_VALUE"""),"Nepal")</f>
        <v>Nepal</v>
      </c>
      <c r="E7839" s="135"/>
      <c r="F7839" s="31"/>
    </row>
    <row r="7840">
      <c r="A7840" s="134" t="str">
        <f>IFERROR(__xludf.DUMMYFUNCTION("""COMPUTED_VALUE"""),"Simbai")</f>
        <v>Simbai</v>
      </c>
      <c r="B7840" s="120" t="str">
        <f>IFERROR(__xludf.DUMMYFUNCTION("""COMPUTED_VALUE"""),"SIM")</f>
        <v>SIM</v>
      </c>
      <c r="C7840" s="120" t="str">
        <f>IFERROR(__xludf.DUMMYFUNCTION("""COMPUTED_VALUE"""),"Simbai")</f>
        <v>Simbai</v>
      </c>
      <c r="D7840" s="120" t="str">
        <f>IFERROR(__xludf.DUMMYFUNCTION("""COMPUTED_VALUE"""),"Papua New Guinea")</f>
        <v>Papua New Guinea</v>
      </c>
      <c r="E7840" s="135"/>
      <c r="F7840" s="31"/>
    </row>
    <row r="7841">
      <c r="A7841" s="134" t="str">
        <f>IFERROR(__xludf.DUMMYFUNCTION("""COMPUTED_VALUE"""),"Simberi Island")</f>
        <v>Simberi Island</v>
      </c>
      <c r="B7841" s="120" t="str">
        <f>IFERROR(__xludf.DUMMYFUNCTION("""COMPUTED_VALUE"""),"NIS")</f>
        <v>NIS</v>
      </c>
      <c r="C7841" s="120" t="str">
        <f>IFERROR(__xludf.DUMMYFUNCTION("""COMPUTED_VALUE"""),"Simberi")</f>
        <v>Simberi</v>
      </c>
      <c r="D7841" s="120" t="str">
        <f>IFERROR(__xludf.DUMMYFUNCTION("""COMPUTED_VALUE"""),"Papua New Guinea")</f>
        <v>Papua New Guinea</v>
      </c>
      <c r="E7841" s="135"/>
      <c r="F7841" s="31"/>
    </row>
    <row r="7842">
      <c r="A7842" s="134" t="str">
        <f>IFERROR(__xludf.DUMMYFUNCTION("""COMPUTED_VALUE"""),"Simenti")</f>
        <v>Simenti</v>
      </c>
      <c r="B7842" s="120" t="str">
        <f>IFERROR(__xludf.DUMMYFUNCTION("""COMPUTED_VALUE"""),"SMY")</f>
        <v>SMY</v>
      </c>
      <c r="C7842" s="120" t="str">
        <f>IFERROR(__xludf.DUMMYFUNCTION("""COMPUTED_VALUE"""),"Simenti")</f>
        <v>Simenti</v>
      </c>
      <c r="D7842" s="120" t="str">
        <f>IFERROR(__xludf.DUMMYFUNCTION("""COMPUTED_VALUE"""),"Senegal")</f>
        <v>Senegal</v>
      </c>
      <c r="E7842" s="135"/>
      <c r="F7842" s="31"/>
    </row>
    <row r="7843">
      <c r="A7843" s="134" t="str">
        <f>IFERROR(__xludf.DUMMYFUNCTION("""COMPUTED_VALUE"""),"Trapani")</f>
        <v>Trapani</v>
      </c>
      <c r="B7843" s="120" t="str">
        <f>IFERROR(__xludf.DUMMYFUNCTION("""COMPUTED_VALUE"""),"SIP")</f>
        <v>SIP</v>
      </c>
      <c r="C7843" s="120" t="str">
        <f>IFERROR(__xludf.DUMMYFUNCTION("""COMPUTED_VALUE"""),"Simferopol")</f>
        <v>Simferopol</v>
      </c>
      <c r="D7843" s="120" t="str">
        <f>IFERROR(__xludf.DUMMYFUNCTION("""COMPUTED_VALUE"""),"Ukraine")</f>
        <v>Ukraine</v>
      </c>
      <c r="E7843" s="135"/>
      <c r="F7843" s="31"/>
    </row>
    <row r="7844">
      <c r="A7844" s="134" t="str">
        <f>IFERROR(__xludf.DUMMYFUNCTION("""COMPUTED_VALUE"""),"Simikot")</f>
        <v>Simikot</v>
      </c>
      <c r="B7844" s="120" t="str">
        <f>IFERROR(__xludf.DUMMYFUNCTION("""COMPUTED_VALUE"""),"IMK")</f>
        <v>IMK</v>
      </c>
      <c r="C7844" s="120" t="str">
        <f>IFERROR(__xludf.DUMMYFUNCTION("""COMPUTED_VALUE"""),"Simikot")</f>
        <v>Simikot</v>
      </c>
      <c r="D7844" s="120" t="str">
        <f>IFERROR(__xludf.DUMMYFUNCTION("""COMPUTED_VALUE"""),"Nepal")</f>
        <v>Nepal</v>
      </c>
      <c r="E7844" s="135"/>
      <c r="F7844" s="31"/>
    </row>
    <row r="7845">
      <c r="A7845" s="134" t="str">
        <f>IFERROR(__xludf.DUMMYFUNCTION("""COMPUTED_VALUE"""),"Simla")</f>
        <v>Simla</v>
      </c>
      <c r="B7845" s="120" t="str">
        <f>IFERROR(__xludf.DUMMYFUNCTION("""COMPUTED_VALUE"""),"SLV")</f>
        <v>SLV</v>
      </c>
      <c r="C7845" s="120" t="str">
        <f>IFERROR(__xludf.DUMMYFUNCTION("""COMPUTED_VALUE"""),"Simla")</f>
        <v>Simla</v>
      </c>
      <c r="D7845" s="120" t="str">
        <f>IFERROR(__xludf.DUMMYFUNCTION("""COMPUTED_VALUE"""),"India")</f>
        <v>India</v>
      </c>
      <c r="E7845" s="135"/>
      <c r="F7845" s="31"/>
    </row>
    <row r="7846">
      <c r="A7846" s="134" t="str">
        <f>IFERROR(__xludf.DUMMYFUNCTION("""COMPUTED_VALUE"""),"Sinak")</f>
        <v>Sinak</v>
      </c>
      <c r="B7846" s="120" t="str">
        <f>IFERROR(__xludf.DUMMYFUNCTION("""COMPUTED_VALUE"""),"NKD")</f>
        <v>NKD</v>
      </c>
      <c r="C7846" s="120" t="str">
        <f>IFERROR(__xludf.DUMMYFUNCTION("""COMPUTED_VALUE"""),"Sinak")</f>
        <v>Sinak</v>
      </c>
      <c r="D7846" s="120" t="str">
        <f>IFERROR(__xludf.DUMMYFUNCTION("""COMPUTED_VALUE"""),"Indonesia")</f>
        <v>Indonesia</v>
      </c>
      <c r="E7846" s="135"/>
      <c r="F7846" s="31"/>
    </row>
    <row r="7847">
      <c r="A7847" s="134" t="str">
        <f>IFERROR(__xludf.DUMMYFUNCTION("""COMPUTED_VALUE"""),"Sindal")</f>
        <v>Sindal</v>
      </c>
      <c r="B7847" s="120" t="str">
        <f>IFERROR(__xludf.DUMMYFUNCTION("""COMPUTED_VALUE"""),"CNL")</f>
        <v>CNL</v>
      </c>
      <c r="C7847" s="120" t="str">
        <f>IFERROR(__xludf.DUMMYFUNCTION("""COMPUTED_VALUE"""),"Sindal")</f>
        <v>Sindal</v>
      </c>
      <c r="D7847" s="120" t="str">
        <f>IFERROR(__xludf.DUMMYFUNCTION("""COMPUTED_VALUE"""),"Denmark")</f>
        <v>Denmark</v>
      </c>
      <c r="E7847" s="135"/>
      <c r="F7847" s="31"/>
    </row>
    <row r="7848">
      <c r="A7848" s="134" t="str">
        <f>IFERROR(__xludf.DUMMYFUNCTION("""COMPUTED_VALUE"""),"Sines")</f>
        <v>Sines</v>
      </c>
      <c r="B7848" s="120" t="str">
        <f>IFERROR(__xludf.DUMMYFUNCTION("""COMPUTED_VALUE"""),"SIE")</f>
        <v>SIE</v>
      </c>
      <c r="C7848" s="120" t="str">
        <f>IFERROR(__xludf.DUMMYFUNCTION("""COMPUTED_VALUE"""),"Sines")</f>
        <v>Sines</v>
      </c>
      <c r="D7848" s="120" t="str">
        <f>IFERROR(__xludf.DUMMYFUNCTION("""COMPUTED_VALUE"""),"Portugal")</f>
        <v>Portugal</v>
      </c>
      <c r="E7848" s="135"/>
      <c r="F7848" s="31"/>
    </row>
    <row r="7849">
      <c r="A7849" s="134" t="str">
        <f>IFERROR(__xludf.DUMMYFUNCTION("""COMPUTED_VALUE"""),"Singapore")</f>
        <v>Singapore</v>
      </c>
      <c r="B7849" s="120" t="str">
        <f>IFERROR(__xludf.DUMMYFUNCTION("""COMPUTED_VALUE"""),"SIN")</f>
        <v>SIN</v>
      </c>
      <c r="C7849" s="120" t="str">
        <f>IFERROR(__xludf.DUMMYFUNCTION("""COMPUTED_VALUE"""),"Changi")</f>
        <v>Changi</v>
      </c>
      <c r="D7849" s="120" t="str">
        <f>IFERROR(__xludf.DUMMYFUNCTION("""COMPUTED_VALUE"""),"Singapore")</f>
        <v>Singapore</v>
      </c>
      <c r="E7849" s="135"/>
      <c r="F7849" s="31"/>
    </row>
    <row r="7850">
      <c r="A7850" s="134" t="str">
        <f>IFERROR(__xludf.DUMMYFUNCTION("""COMPUTED_VALUE"""),"Singapore")</f>
        <v>Singapore</v>
      </c>
      <c r="B7850" s="120" t="str">
        <f>IFERROR(__xludf.DUMMYFUNCTION("""COMPUTED_VALUE"""),"QPG")</f>
        <v>QPG</v>
      </c>
      <c r="C7850" s="120" t="str">
        <f>IFERROR(__xludf.DUMMYFUNCTION("""COMPUTED_VALUE"""),"Paya Lebar")</f>
        <v>Paya Lebar</v>
      </c>
      <c r="D7850" s="120" t="str">
        <f>IFERROR(__xludf.DUMMYFUNCTION("""COMPUTED_VALUE"""),"Singapore")</f>
        <v>Singapore</v>
      </c>
      <c r="E7850" s="135"/>
      <c r="F7850" s="31"/>
    </row>
    <row r="7851">
      <c r="A7851" s="134" t="str">
        <f>IFERROR(__xludf.DUMMYFUNCTION("""COMPUTED_VALUE"""),"Singapore")</f>
        <v>Singapore</v>
      </c>
      <c r="B7851" s="120" t="str">
        <f>IFERROR(__xludf.DUMMYFUNCTION("""COMPUTED_VALUE"""),"XSP")</f>
        <v>XSP</v>
      </c>
      <c r="C7851" s="120" t="str">
        <f>IFERROR(__xludf.DUMMYFUNCTION("""COMPUTED_VALUE"""),"Seletar")</f>
        <v>Seletar</v>
      </c>
      <c r="D7851" s="120" t="str">
        <f>IFERROR(__xludf.DUMMYFUNCTION("""COMPUTED_VALUE"""),"Singapore")</f>
        <v>Singapore</v>
      </c>
      <c r="E7851" s="135"/>
      <c r="F7851" s="31"/>
    </row>
    <row r="7852">
      <c r="A7852" s="134" t="str">
        <f>IFERROR(__xludf.DUMMYFUNCTION("""COMPUTED_VALUE"""),"Singaua")</f>
        <v>Singaua</v>
      </c>
      <c r="B7852" s="120" t="str">
        <f>IFERROR(__xludf.DUMMYFUNCTION("""COMPUTED_VALUE"""),"SGB")</f>
        <v>SGB</v>
      </c>
      <c r="C7852" s="120" t="str">
        <f>IFERROR(__xludf.DUMMYFUNCTION("""COMPUTED_VALUE"""),"Singaua")</f>
        <v>Singaua</v>
      </c>
      <c r="D7852" s="120" t="str">
        <f>IFERROR(__xludf.DUMMYFUNCTION("""COMPUTED_VALUE"""),"Papua New Guinea")</f>
        <v>Papua New Guinea</v>
      </c>
      <c r="E7852" s="135"/>
      <c r="F7852" s="31"/>
    </row>
    <row r="7853">
      <c r="A7853" s="134" t="str">
        <f>IFERROR(__xludf.DUMMYFUNCTION("""COMPUTED_VALUE"""),"Singkep")</f>
        <v>Singkep</v>
      </c>
      <c r="B7853" s="120" t="str">
        <f>IFERROR(__xludf.DUMMYFUNCTION("""COMPUTED_VALUE"""),"SIQ")</f>
        <v>SIQ</v>
      </c>
      <c r="C7853" s="120" t="str">
        <f>IFERROR(__xludf.DUMMYFUNCTION("""COMPUTED_VALUE"""),"Dabo")</f>
        <v>Dabo</v>
      </c>
      <c r="D7853" s="120" t="str">
        <f>IFERROR(__xludf.DUMMYFUNCTION("""COMPUTED_VALUE"""),"Indonesia")</f>
        <v>Indonesia</v>
      </c>
      <c r="E7853" s="135"/>
      <c r="F7853" s="31"/>
    </row>
    <row r="7854">
      <c r="A7854" s="134" t="str">
        <f>IFERROR(__xludf.DUMMYFUNCTION("""COMPUTED_VALUE"""),"Singleton")</f>
        <v>Singleton</v>
      </c>
      <c r="B7854" s="120" t="str">
        <f>IFERROR(__xludf.DUMMYFUNCTION("""COMPUTED_VALUE"""),"SIX")</f>
        <v>SIX</v>
      </c>
      <c r="C7854" s="120" t="str">
        <f>IFERROR(__xludf.DUMMYFUNCTION("""COMPUTED_VALUE"""),"Singleton")</f>
        <v>Singleton</v>
      </c>
      <c r="D7854" s="120" t="str">
        <f>IFERROR(__xludf.DUMMYFUNCTION("""COMPUTED_VALUE"""),"Australia")</f>
        <v>Australia</v>
      </c>
      <c r="E7854" s="135"/>
      <c r="F7854" s="31"/>
    </row>
    <row r="7855">
      <c r="A7855" s="134" t="str">
        <f>IFERROR(__xludf.DUMMYFUNCTION("""COMPUTED_VALUE"""),"Sinoe")</f>
        <v>Sinoe</v>
      </c>
      <c r="B7855" s="120" t="str">
        <f>IFERROR(__xludf.DUMMYFUNCTION("""COMPUTED_VALUE"""),"XSA")</f>
        <v>XSA</v>
      </c>
      <c r="C7855" s="120" t="str">
        <f>IFERROR(__xludf.DUMMYFUNCTION("""COMPUTED_VALUE"""),"AFC")</f>
        <v>AFC</v>
      </c>
      <c r="D7855" s="120" t="str">
        <f>IFERROR(__xludf.DUMMYFUNCTION("""COMPUTED_VALUE"""),"Liberia")</f>
        <v>Liberia</v>
      </c>
      <c r="E7855" s="135"/>
      <c r="F7855" s="31"/>
    </row>
    <row r="7856">
      <c r="A7856" s="134" t="str">
        <f>IFERROR(__xludf.DUMMYFUNCTION("""COMPUTED_VALUE"""),"Sinoe")</f>
        <v>Sinoe</v>
      </c>
      <c r="B7856" s="120" t="str">
        <f>IFERROR(__xludf.DUMMYFUNCTION("""COMPUTED_VALUE"""),"SNI")</f>
        <v>SNI</v>
      </c>
      <c r="C7856" s="120" t="str">
        <f>IFERROR(__xludf.DUMMYFUNCTION("""COMPUTED_VALUE"""),"R.E. Murray")</f>
        <v>R.E. Murray</v>
      </c>
      <c r="D7856" s="120" t="str">
        <f>IFERROR(__xludf.DUMMYFUNCTION("""COMPUTED_VALUE"""),"Liberia")</f>
        <v>Liberia</v>
      </c>
      <c r="E7856" s="135"/>
      <c r="F7856" s="31"/>
    </row>
    <row r="7857">
      <c r="A7857" s="134" t="str">
        <f>IFERROR(__xludf.DUMMYFUNCTION("""COMPUTED_VALUE"""),"Sinop")</f>
        <v>Sinop</v>
      </c>
      <c r="B7857" s="120" t="str">
        <f>IFERROR(__xludf.DUMMYFUNCTION("""COMPUTED_VALUE"""),"OPS")</f>
        <v>OPS</v>
      </c>
      <c r="C7857" s="120" t="str">
        <f>IFERROR(__xludf.DUMMYFUNCTION("""COMPUTED_VALUE"""),"Sinop")</f>
        <v>Sinop</v>
      </c>
      <c r="D7857" s="120" t="str">
        <f>IFERROR(__xludf.DUMMYFUNCTION("""COMPUTED_VALUE"""),"Brazil")</f>
        <v>Brazil</v>
      </c>
      <c r="E7857" s="135"/>
      <c r="F7857" s="31"/>
    </row>
    <row r="7858">
      <c r="A7858" s="134" t="str">
        <f>IFERROR(__xludf.DUMMYFUNCTION("""COMPUTED_VALUE"""),"Sinop")</f>
        <v>Sinop</v>
      </c>
      <c r="B7858" s="120" t="str">
        <f>IFERROR(__xludf.DUMMYFUNCTION("""COMPUTED_VALUE"""),"SQD")</f>
        <v>SQD</v>
      </c>
      <c r="C7858" s="120" t="str">
        <f>IFERROR(__xludf.DUMMYFUNCTION("""COMPUTED_VALUE"""),"Sinop")</f>
        <v>Sinop</v>
      </c>
      <c r="D7858" s="120" t="str">
        <f>IFERROR(__xludf.DUMMYFUNCTION("""COMPUTED_VALUE"""),"Turkey")</f>
        <v>Turkey</v>
      </c>
      <c r="E7858" s="135"/>
      <c r="F7858" s="31"/>
    </row>
    <row r="7859">
      <c r="A7859" s="134" t="str">
        <f>IFERROR(__xludf.DUMMYFUNCTION("""COMPUTED_VALUE"""),"Sinop")</f>
        <v>Sinop</v>
      </c>
      <c r="B7859" s="120" t="str">
        <f>IFERROR(__xludf.DUMMYFUNCTION("""COMPUTED_VALUE"""),"SIC")</f>
        <v>SIC</v>
      </c>
      <c r="C7859" s="120" t="str">
        <f>IFERROR(__xludf.DUMMYFUNCTION("""COMPUTED_VALUE"""),"Sinop Airport")</f>
        <v>Sinop Airport</v>
      </c>
      <c r="D7859" s="120" t="str">
        <f>IFERROR(__xludf.DUMMYFUNCTION("""COMPUTED_VALUE"""),"Turkey")</f>
        <v>Turkey</v>
      </c>
      <c r="E7859" s="135"/>
      <c r="F7859" s="31"/>
    </row>
    <row r="7860">
      <c r="A7860" s="134" t="str">
        <f>IFERROR(__xludf.DUMMYFUNCTION("""COMPUTED_VALUE"""),"Sintang")</f>
        <v>Sintang</v>
      </c>
      <c r="B7860" s="120" t="str">
        <f>IFERROR(__xludf.DUMMYFUNCTION("""COMPUTED_VALUE"""),"SQG")</f>
        <v>SQG</v>
      </c>
      <c r="C7860" s="120" t="str">
        <f>IFERROR(__xludf.DUMMYFUNCTION("""COMPUTED_VALUE"""),"Sintang")</f>
        <v>Sintang</v>
      </c>
      <c r="D7860" s="120" t="str">
        <f>IFERROR(__xludf.DUMMYFUNCTION("""COMPUTED_VALUE"""),"Indonesia")</f>
        <v>Indonesia</v>
      </c>
      <c r="E7860" s="135"/>
      <c r="F7860" s="31"/>
    </row>
    <row r="7861">
      <c r="A7861" s="134" t="str">
        <f>IFERROR(__xludf.DUMMYFUNCTION("""COMPUTED_VALUE"""),"Siocon")</f>
        <v>Siocon</v>
      </c>
      <c r="B7861" s="120" t="str">
        <f>IFERROR(__xludf.DUMMYFUNCTION("""COMPUTED_VALUE"""),"XSO")</f>
        <v>XSO</v>
      </c>
      <c r="C7861" s="120" t="str">
        <f>IFERROR(__xludf.DUMMYFUNCTION("""COMPUTED_VALUE"""),"Siocon")</f>
        <v>Siocon</v>
      </c>
      <c r="D7861" s="120" t="str">
        <f>IFERROR(__xludf.DUMMYFUNCTION("""COMPUTED_VALUE"""),"Philippines")</f>
        <v>Philippines</v>
      </c>
      <c r="E7861" s="135"/>
      <c r="F7861" s="31"/>
    </row>
    <row r="7862">
      <c r="A7862" s="134" t="str">
        <f>IFERROR(__xludf.DUMMYFUNCTION("""COMPUTED_VALUE"""),"Sion")</f>
        <v>Sion</v>
      </c>
      <c r="B7862" s="120" t="str">
        <f>IFERROR(__xludf.DUMMYFUNCTION("""COMPUTED_VALUE"""),"SIR")</f>
        <v>SIR</v>
      </c>
      <c r="C7862" s="120" t="str">
        <f>IFERROR(__xludf.DUMMYFUNCTION("""COMPUTED_VALUE"""),"Sion")</f>
        <v>Sion</v>
      </c>
      <c r="D7862" s="120" t="str">
        <f>IFERROR(__xludf.DUMMYFUNCTION("""COMPUTED_VALUE"""),"Switzerland")</f>
        <v>Switzerland</v>
      </c>
      <c r="E7862" s="135"/>
      <c r="F7862" s="31"/>
    </row>
    <row r="7863">
      <c r="A7863" s="134" t="str">
        <f>IFERROR(__xludf.DUMMYFUNCTION("""COMPUTED_VALUE"""),"Sioux City")</f>
        <v>Sioux City</v>
      </c>
      <c r="B7863" s="120" t="str">
        <f>IFERROR(__xludf.DUMMYFUNCTION("""COMPUTED_VALUE"""),"SUX")</f>
        <v>SUX</v>
      </c>
      <c r="C7863" s="120" t="str">
        <f>IFERROR(__xludf.DUMMYFUNCTION("""COMPUTED_VALUE"""),"Sioux Gateway")</f>
        <v>Sioux Gateway</v>
      </c>
      <c r="D7863" s="120" t="str">
        <f>IFERROR(__xludf.DUMMYFUNCTION("""COMPUTED_VALUE"""),"United States")</f>
        <v>United States</v>
      </c>
      <c r="E7863" s="135"/>
      <c r="F7863" s="31"/>
    </row>
    <row r="7864">
      <c r="A7864" s="134" t="str">
        <f>IFERROR(__xludf.DUMMYFUNCTION("""COMPUTED_VALUE"""),"Sioux Falls")</f>
        <v>Sioux Falls</v>
      </c>
      <c r="B7864" s="120" t="str">
        <f>IFERROR(__xludf.DUMMYFUNCTION("""COMPUTED_VALUE"""),"FSD")</f>
        <v>FSD</v>
      </c>
      <c r="C7864" s="120" t="str">
        <f>IFERROR(__xludf.DUMMYFUNCTION("""COMPUTED_VALUE"""),"Regional(Jo Foss Fld)")</f>
        <v>Regional(Jo Foss Fld)</v>
      </c>
      <c r="D7864" s="120" t="str">
        <f>IFERROR(__xludf.DUMMYFUNCTION("""COMPUTED_VALUE"""),"United States")</f>
        <v>United States</v>
      </c>
      <c r="E7864" s="135"/>
      <c r="F7864" s="31"/>
    </row>
    <row r="7865">
      <c r="A7865" s="134" t="str">
        <f>IFERROR(__xludf.DUMMYFUNCTION("""COMPUTED_VALUE"""),"Sioux Lookout")</f>
        <v>Sioux Lookout</v>
      </c>
      <c r="B7865" s="120" t="str">
        <f>IFERROR(__xludf.DUMMYFUNCTION("""COMPUTED_VALUE"""),"YXL")</f>
        <v>YXL</v>
      </c>
      <c r="C7865" s="120" t="str">
        <f>IFERROR(__xludf.DUMMYFUNCTION("""COMPUTED_VALUE"""),"Sioux Lookout")</f>
        <v>Sioux Lookout</v>
      </c>
      <c r="D7865" s="120" t="str">
        <f>IFERROR(__xludf.DUMMYFUNCTION("""COMPUTED_VALUE"""),"Canada")</f>
        <v>Canada</v>
      </c>
      <c r="E7865" s="135"/>
      <c r="F7865" s="31"/>
    </row>
    <row r="7866">
      <c r="A7866" s="134" t="str">
        <f>IFERROR(__xludf.DUMMYFUNCTION("""COMPUTED_VALUE"""),"Sipitang")</f>
        <v>Sipitang</v>
      </c>
      <c r="B7866" s="120" t="str">
        <f>IFERROR(__xludf.DUMMYFUNCTION("""COMPUTED_VALUE"""),"SPT")</f>
        <v>SPT</v>
      </c>
      <c r="C7866" s="120" t="str">
        <f>IFERROR(__xludf.DUMMYFUNCTION("""COMPUTED_VALUE"""),"Sipitang")</f>
        <v>Sipitang</v>
      </c>
      <c r="D7866" s="120" t="str">
        <f>IFERROR(__xludf.DUMMYFUNCTION("""COMPUTED_VALUE"""),"Malaysia")</f>
        <v>Malaysia</v>
      </c>
      <c r="E7866" s="135"/>
      <c r="F7866" s="31"/>
    </row>
    <row r="7867">
      <c r="A7867" s="134" t="str">
        <f>IFERROR(__xludf.DUMMYFUNCTION("""COMPUTED_VALUE"""),"Sipora")</f>
        <v>Sipora</v>
      </c>
      <c r="B7867" s="120" t="str">
        <f>IFERROR(__xludf.DUMMYFUNCTION("""COMPUTED_VALUE"""),"RKO")</f>
        <v>RKO</v>
      </c>
      <c r="C7867" s="120" t="str">
        <f>IFERROR(__xludf.DUMMYFUNCTION("""COMPUTED_VALUE"""),"Sipora")</f>
        <v>Sipora</v>
      </c>
      <c r="D7867" s="120" t="str">
        <f>IFERROR(__xludf.DUMMYFUNCTION("""COMPUTED_VALUE"""),"Indonesia")</f>
        <v>Indonesia</v>
      </c>
      <c r="E7867" s="135"/>
      <c r="F7867" s="31"/>
    </row>
    <row r="7868">
      <c r="A7868" s="134" t="str">
        <f>IFERROR(__xludf.DUMMYFUNCTION("""COMPUTED_VALUE"""),"Sirajganj")</f>
        <v>Sirajganj</v>
      </c>
      <c r="B7868" s="120" t="str">
        <f>IFERROR(__xludf.DUMMYFUNCTION("""COMPUTED_VALUE"""),"SAJ")</f>
        <v>SAJ</v>
      </c>
      <c r="C7868" s="120" t="str">
        <f>IFERROR(__xludf.DUMMYFUNCTION("""COMPUTED_VALUE"""),"Sirajganj")</f>
        <v>Sirajganj</v>
      </c>
      <c r="D7868" s="120" t="str">
        <f>IFERROR(__xludf.DUMMYFUNCTION("""COMPUTED_VALUE"""),"Bangladesh")</f>
        <v>Bangladesh</v>
      </c>
      <c r="E7868" s="135"/>
      <c r="F7868" s="31"/>
    </row>
    <row r="7869">
      <c r="A7869" s="134" t="str">
        <f>IFERROR(__xludf.DUMMYFUNCTION("""COMPUTED_VALUE"""),"Sirjan")</f>
        <v>Sirjan</v>
      </c>
      <c r="B7869" s="120" t="str">
        <f>IFERROR(__xludf.DUMMYFUNCTION("""COMPUTED_VALUE"""),"SYJ")</f>
        <v>SYJ</v>
      </c>
      <c r="C7869" s="120" t="str">
        <f>IFERROR(__xludf.DUMMYFUNCTION("""COMPUTED_VALUE"""),"Sirjan")</f>
        <v>Sirjan</v>
      </c>
      <c r="D7869" s="120" t="str">
        <f>IFERROR(__xludf.DUMMYFUNCTION("""COMPUTED_VALUE"""),"Iran")</f>
        <v>Iran</v>
      </c>
      <c r="E7869" s="135"/>
      <c r="F7869" s="31"/>
    </row>
    <row r="7870">
      <c r="A7870" s="134" t="str">
        <f>IFERROR(__xludf.DUMMYFUNCTION("""COMPUTED_VALUE"""),"Sirri Island")</f>
        <v>Sirri Island</v>
      </c>
      <c r="B7870" s="120" t="str">
        <f>IFERROR(__xludf.DUMMYFUNCTION("""COMPUTED_VALUE"""),"SXI")</f>
        <v>SXI</v>
      </c>
      <c r="C7870" s="120" t="str">
        <f>IFERROR(__xludf.DUMMYFUNCTION("""COMPUTED_VALUE"""),"Sirri Island")</f>
        <v>Sirri Island</v>
      </c>
      <c r="D7870" s="120" t="str">
        <f>IFERROR(__xludf.DUMMYFUNCTION("""COMPUTED_VALUE"""),"Iran")</f>
        <v>Iran</v>
      </c>
      <c r="E7870" s="135"/>
      <c r="F7870" s="31"/>
    </row>
    <row r="7871">
      <c r="A7871" s="134" t="str">
        <f>IFERROR(__xludf.DUMMYFUNCTION("""COMPUTED_VALUE"""),"Sishen")</f>
        <v>Sishen</v>
      </c>
      <c r="B7871" s="120" t="str">
        <f>IFERROR(__xludf.DUMMYFUNCTION("""COMPUTED_VALUE"""),"SIS")</f>
        <v>SIS</v>
      </c>
      <c r="C7871" s="120" t="str">
        <f>IFERROR(__xludf.DUMMYFUNCTION("""COMPUTED_VALUE"""),"Sishen")</f>
        <v>Sishen</v>
      </c>
      <c r="D7871" s="120" t="str">
        <f>IFERROR(__xludf.DUMMYFUNCTION("""COMPUTED_VALUE"""),"South Africa")</f>
        <v>South Africa</v>
      </c>
      <c r="E7871" s="135"/>
      <c r="F7871" s="31"/>
    </row>
    <row r="7872">
      <c r="A7872" s="134" t="str">
        <f>IFERROR(__xludf.DUMMYFUNCTION("""COMPUTED_VALUE"""),"Sisimiut")</f>
        <v>Sisimiut</v>
      </c>
      <c r="B7872" s="120" t="str">
        <f>IFERROR(__xludf.DUMMYFUNCTION("""COMPUTED_VALUE"""),"JHS")</f>
        <v>JHS</v>
      </c>
      <c r="C7872" s="120" t="str">
        <f>IFERROR(__xludf.DUMMYFUNCTION("""COMPUTED_VALUE"""),"Sisimiut")</f>
        <v>Sisimiut</v>
      </c>
      <c r="D7872" s="120" t="str">
        <f>IFERROR(__xludf.DUMMYFUNCTION("""COMPUTED_VALUE"""),"Greenland")</f>
        <v>Greenland</v>
      </c>
      <c r="E7872" s="135"/>
      <c r="F7872" s="31"/>
    </row>
    <row r="7873">
      <c r="A7873" s="134" t="str">
        <f>IFERROR(__xludf.DUMMYFUNCTION("""COMPUTED_VALUE"""),"Sissano")</f>
        <v>Sissano</v>
      </c>
      <c r="B7873" s="120" t="str">
        <f>IFERROR(__xludf.DUMMYFUNCTION("""COMPUTED_VALUE"""),"SIZ")</f>
        <v>SIZ</v>
      </c>
      <c r="C7873" s="120" t="str">
        <f>IFERROR(__xludf.DUMMYFUNCTION("""COMPUTED_VALUE"""),"Sissano")</f>
        <v>Sissano</v>
      </c>
      <c r="D7873" s="120" t="str">
        <f>IFERROR(__xludf.DUMMYFUNCTION("""COMPUTED_VALUE"""),"Papua New Guinea")</f>
        <v>Papua New Guinea</v>
      </c>
      <c r="E7873" s="135"/>
      <c r="F7873" s="31"/>
    </row>
    <row r="7874">
      <c r="A7874" s="134" t="str">
        <f>IFERROR(__xludf.DUMMYFUNCTION("""COMPUTED_VALUE"""),"Sitia")</f>
        <v>Sitia</v>
      </c>
      <c r="B7874" s="120" t="str">
        <f>IFERROR(__xludf.DUMMYFUNCTION("""COMPUTED_VALUE"""),"JSH")</f>
        <v>JSH</v>
      </c>
      <c r="C7874" s="120" t="str">
        <f>IFERROR(__xludf.DUMMYFUNCTION("""COMPUTED_VALUE"""),"Sitia")</f>
        <v>Sitia</v>
      </c>
      <c r="D7874" s="120" t="str">
        <f>IFERROR(__xludf.DUMMYFUNCTION("""COMPUTED_VALUE"""),"Greece")</f>
        <v>Greece</v>
      </c>
      <c r="E7874" s="135"/>
      <c r="F7874" s="31"/>
    </row>
    <row r="7875">
      <c r="A7875" s="134" t="str">
        <f>IFERROR(__xludf.DUMMYFUNCTION("""COMPUTED_VALUE"""),"Sitiawan")</f>
        <v>Sitiawan</v>
      </c>
      <c r="B7875" s="120" t="str">
        <f>IFERROR(__xludf.DUMMYFUNCTION("""COMPUTED_VALUE"""),"SWY")</f>
        <v>SWY</v>
      </c>
      <c r="C7875" s="120" t="str">
        <f>IFERROR(__xludf.DUMMYFUNCTION("""COMPUTED_VALUE"""),"Sitiawan")</f>
        <v>Sitiawan</v>
      </c>
      <c r="D7875" s="120" t="str">
        <f>IFERROR(__xludf.DUMMYFUNCTION("""COMPUTED_VALUE"""),"Malaysia")</f>
        <v>Malaysia</v>
      </c>
      <c r="E7875" s="135"/>
      <c r="F7875" s="31"/>
    </row>
    <row r="7876">
      <c r="A7876" s="134" t="str">
        <f>IFERROR(__xludf.DUMMYFUNCTION("""COMPUTED_VALUE"""),"Sitka")</f>
        <v>Sitka</v>
      </c>
      <c r="B7876" s="120" t="str">
        <f>IFERROR(__xludf.DUMMYFUNCTION("""COMPUTED_VALUE"""),"SIT")</f>
        <v>SIT</v>
      </c>
      <c r="C7876" s="120" t="str">
        <f>IFERROR(__xludf.DUMMYFUNCTION("""COMPUTED_VALUE"""),"Sitka")</f>
        <v>Sitka</v>
      </c>
      <c r="D7876" s="120" t="str">
        <f>IFERROR(__xludf.DUMMYFUNCTION("""COMPUTED_VALUE"""),"United States")</f>
        <v>United States</v>
      </c>
      <c r="E7876" s="135"/>
      <c r="F7876" s="31"/>
    </row>
    <row r="7877">
      <c r="A7877" s="134" t="str">
        <f>IFERROR(__xludf.DUMMYFUNCTION("""COMPUTED_VALUE"""),"Sitkinak Island")</f>
        <v>Sitkinak Island</v>
      </c>
      <c r="B7877" s="120" t="str">
        <f>IFERROR(__xludf.DUMMYFUNCTION("""COMPUTED_VALUE"""),"SKJ")</f>
        <v>SKJ</v>
      </c>
      <c r="C7877" s="120" t="str">
        <f>IFERROR(__xludf.DUMMYFUNCTION("""COMPUTED_VALUE"""),"Sitkinak Cgs")</f>
        <v>Sitkinak Cgs</v>
      </c>
      <c r="D7877" s="120" t="str">
        <f>IFERROR(__xludf.DUMMYFUNCTION("""COMPUTED_VALUE"""),"United States")</f>
        <v>United States</v>
      </c>
      <c r="E7877" s="135"/>
      <c r="F7877" s="31"/>
    </row>
    <row r="7878">
      <c r="A7878" s="134" t="str">
        <f>IFERROR(__xludf.DUMMYFUNCTION("""COMPUTED_VALUE"""),"Sittwe")</f>
        <v>Sittwe</v>
      </c>
      <c r="B7878" s="120" t="str">
        <f>IFERROR(__xludf.DUMMYFUNCTION("""COMPUTED_VALUE"""),"AKY")</f>
        <v>AKY</v>
      </c>
      <c r="C7878" s="120" t="str">
        <f>IFERROR(__xludf.DUMMYFUNCTION("""COMPUTED_VALUE"""),"Civil")</f>
        <v>Civil</v>
      </c>
      <c r="D7878" s="120" t="str">
        <f>IFERROR(__xludf.DUMMYFUNCTION("""COMPUTED_VALUE"""),"Myanmar")</f>
        <v>Myanmar</v>
      </c>
      <c r="E7878" s="135"/>
      <c r="F7878" s="31"/>
    </row>
    <row r="7879">
      <c r="A7879" s="134" t="str">
        <f>IFERROR(__xludf.DUMMYFUNCTION("""COMPUTED_VALUE"""),"Siuna")</f>
        <v>Siuna</v>
      </c>
      <c r="B7879" s="120" t="str">
        <f>IFERROR(__xludf.DUMMYFUNCTION("""COMPUTED_VALUE"""),"SIU")</f>
        <v>SIU</v>
      </c>
      <c r="C7879" s="120" t="str">
        <f>IFERROR(__xludf.DUMMYFUNCTION("""COMPUTED_VALUE"""),"Siuna")</f>
        <v>Siuna</v>
      </c>
      <c r="D7879" s="120" t="str">
        <f>IFERROR(__xludf.DUMMYFUNCTION("""COMPUTED_VALUE"""),"Nicaragua")</f>
        <v>Nicaragua</v>
      </c>
      <c r="E7879" s="135"/>
      <c r="F7879" s="31"/>
    </row>
    <row r="7880">
      <c r="A7880" s="134" t="str">
        <f>IFERROR(__xludf.DUMMYFUNCTION("""COMPUTED_VALUE"""),"Sivas")</f>
        <v>Sivas</v>
      </c>
      <c r="B7880" s="120" t="str">
        <f>IFERROR(__xludf.DUMMYFUNCTION("""COMPUTED_VALUE"""),"VAS")</f>
        <v>VAS</v>
      </c>
      <c r="C7880" s="120" t="str">
        <f>IFERROR(__xludf.DUMMYFUNCTION("""COMPUTED_VALUE"""),"Sivas")</f>
        <v>Sivas</v>
      </c>
      <c r="D7880" s="120" t="str">
        <f>IFERROR(__xludf.DUMMYFUNCTION("""COMPUTED_VALUE"""),"Turkey")</f>
        <v>Turkey</v>
      </c>
      <c r="E7880" s="135"/>
      <c r="F7880" s="31"/>
    </row>
    <row r="7881">
      <c r="A7881" s="134" t="str">
        <f>IFERROR(__xludf.DUMMYFUNCTION("""COMPUTED_VALUE"""),"Siwa")</f>
        <v>Siwa</v>
      </c>
      <c r="B7881" s="120" t="str">
        <f>IFERROR(__xludf.DUMMYFUNCTION("""COMPUTED_VALUE"""),"SEW")</f>
        <v>SEW</v>
      </c>
      <c r="C7881" s="120" t="str">
        <f>IFERROR(__xludf.DUMMYFUNCTION("""COMPUTED_VALUE"""),"Siwa")</f>
        <v>Siwa</v>
      </c>
      <c r="D7881" s="120" t="str">
        <f>IFERROR(__xludf.DUMMYFUNCTION("""COMPUTED_VALUE"""),"Egypt")</f>
        <v>Egypt</v>
      </c>
      <c r="E7881" s="135"/>
      <c r="F7881" s="31"/>
    </row>
    <row r="7882">
      <c r="A7882" s="134" t="str">
        <f>IFERROR(__xludf.DUMMYFUNCTION("""COMPUTED_VALUE"""),"Siwea")</f>
        <v>Siwea</v>
      </c>
      <c r="B7882" s="120" t="str">
        <f>IFERROR(__xludf.DUMMYFUNCTION("""COMPUTED_VALUE"""),"SWE")</f>
        <v>SWE</v>
      </c>
      <c r="C7882" s="120" t="str">
        <f>IFERROR(__xludf.DUMMYFUNCTION("""COMPUTED_VALUE"""),"Siwea")</f>
        <v>Siwea</v>
      </c>
      <c r="D7882" s="120" t="str">
        <f>IFERROR(__xludf.DUMMYFUNCTION("""COMPUTED_VALUE"""),"Papua New Guinea")</f>
        <v>Papua New Guinea</v>
      </c>
      <c r="E7882" s="135"/>
      <c r="F7882" s="31"/>
    </row>
    <row r="7883">
      <c r="A7883" s="134" t="str">
        <f>IFERROR(__xludf.DUMMYFUNCTION("""COMPUTED_VALUE"""),"Skagen Z7")</f>
        <v>Skagen Z7</v>
      </c>
      <c r="B7883" s="120" t="str">
        <f>IFERROR(__xludf.DUMMYFUNCTION("""COMPUTED_VALUE"""),"QJV")</f>
        <v>QJV</v>
      </c>
      <c r="C7883" s="120" t="str">
        <f>IFERROR(__xludf.DUMMYFUNCTION("""COMPUTED_VALUE"""),"Limousine Service")</f>
        <v>Limousine Service</v>
      </c>
      <c r="D7883" s="120" t="str">
        <f>IFERROR(__xludf.DUMMYFUNCTION("""COMPUTED_VALUE"""),"Denmark")</f>
        <v>Denmark</v>
      </c>
      <c r="E7883" s="135"/>
      <c r="F7883" s="31"/>
    </row>
    <row r="7884">
      <c r="A7884" s="134" t="str">
        <f>IFERROR(__xludf.DUMMYFUNCTION("""COMPUTED_VALUE"""),"Skagway")</f>
        <v>Skagway</v>
      </c>
      <c r="B7884" s="120" t="str">
        <f>IFERROR(__xludf.DUMMYFUNCTION("""COMPUTED_VALUE"""),"SGY")</f>
        <v>SGY</v>
      </c>
      <c r="C7884" s="120" t="str">
        <f>IFERROR(__xludf.DUMMYFUNCTION("""COMPUTED_VALUE"""),"Municipal")</f>
        <v>Municipal</v>
      </c>
      <c r="D7884" s="120" t="str">
        <f>IFERROR(__xludf.DUMMYFUNCTION("""COMPUTED_VALUE"""),"United States")</f>
        <v>United States</v>
      </c>
      <c r="E7884" s="135"/>
      <c r="F7884" s="31"/>
    </row>
    <row r="7885">
      <c r="A7885" s="134" t="str">
        <f>IFERROR(__xludf.DUMMYFUNCTION("""COMPUTED_VALUE"""),"Skardu")</f>
        <v>Skardu</v>
      </c>
      <c r="B7885" s="120" t="str">
        <f>IFERROR(__xludf.DUMMYFUNCTION("""COMPUTED_VALUE"""),"KDU")</f>
        <v>KDU</v>
      </c>
      <c r="C7885" s="120" t="str">
        <f>IFERROR(__xludf.DUMMYFUNCTION("""COMPUTED_VALUE"""),"Skardu")</f>
        <v>Skardu</v>
      </c>
      <c r="D7885" s="120" t="str">
        <f>IFERROR(__xludf.DUMMYFUNCTION("""COMPUTED_VALUE"""),"Pakistan")</f>
        <v>Pakistan</v>
      </c>
      <c r="E7885" s="135"/>
      <c r="F7885" s="31"/>
    </row>
    <row r="7886">
      <c r="A7886" s="134" t="str">
        <f>IFERROR(__xludf.DUMMYFUNCTION("""COMPUTED_VALUE"""),"Skeldon")</f>
        <v>Skeldon</v>
      </c>
      <c r="B7886" s="120" t="str">
        <f>IFERROR(__xludf.DUMMYFUNCTION("""COMPUTED_VALUE"""),"SKM")</f>
        <v>SKM</v>
      </c>
      <c r="C7886" s="120" t="str">
        <f>IFERROR(__xludf.DUMMYFUNCTION("""COMPUTED_VALUE"""),"Skeldon")</f>
        <v>Skeldon</v>
      </c>
      <c r="D7886" s="120" t="str">
        <f>IFERROR(__xludf.DUMMYFUNCTION("""COMPUTED_VALUE"""),"Guyana")</f>
        <v>Guyana</v>
      </c>
      <c r="E7886" s="135"/>
      <c r="F7886" s="31"/>
    </row>
    <row r="7887">
      <c r="A7887" s="134" t="str">
        <f>IFERROR(__xludf.DUMMYFUNCTION("""COMPUTED_VALUE"""),"Skelleftea")</f>
        <v>Skelleftea</v>
      </c>
      <c r="B7887" s="120" t="str">
        <f>IFERROR(__xludf.DUMMYFUNCTION("""COMPUTED_VALUE"""),"SFT")</f>
        <v>SFT</v>
      </c>
      <c r="C7887" s="120" t="str">
        <f>IFERROR(__xludf.DUMMYFUNCTION("""COMPUTED_VALUE"""),"Skelleftea")</f>
        <v>Skelleftea</v>
      </c>
      <c r="D7887" s="120" t="str">
        <f>IFERROR(__xludf.DUMMYFUNCTION("""COMPUTED_VALUE"""),"Sweden")</f>
        <v>Sweden</v>
      </c>
      <c r="E7887" s="135"/>
      <c r="F7887" s="31"/>
    </row>
    <row r="7888">
      <c r="A7888" s="134" t="str">
        <f>IFERROR(__xludf.DUMMYFUNCTION("""COMPUTED_VALUE"""),"Ski")</f>
        <v>Ski</v>
      </c>
      <c r="B7888" s="120" t="str">
        <f>IFERROR(__xludf.DUMMYFUNCTION("""COMPUTED_VALUE"""),"YVS")</f>
        <v>YVS</v>
      </c>
      <c r="C7888" s="120" t="str">
        <f>IFERROR(__xludf.DUMMYFUNCTION("""COMPUTED_VALUE"""),"Railway")</f>
        <v>Railway</v>
      </c>
      <c r="D7888" s="120" t="str">
        <f>IFERROR(__xludf.DUMMYFUNCTION("""COMPUTED_VALUE"""),"Norway")</f>
        <v>Norway</v>
      </c>
      <c r="E7888" s="135"/>
      <c r="F7888" s="31"/>
    </row>
    <row r="7889">
      <c r="A7889" s="134" t="str">
        <f>IFERROR(__xludf.DUMMYFUNCTION("""COMPUTED_VALUE"""),"Skiathos")</f>
        <v>Skiathos</v>
      </c>
      <c r="B7889" s="120" t="str">
        <f>IFERROR(__xludf.DUMMYFUNCTION("""COMPUTED_VALUE"""),"JSI")</f>
        <v>JSI</v>
      </c>
      <c r="C7889" s="120" t="str">
        <f>IFERROR(__xludf.DUMMYFUNCTION("""COMPUTED_VALUE"""),"Skiathos")</f>
        <v>Skiathos</v>
      </c>
      <c r="D7889" s="120" t="str">
        <f>IFERROR(__xludf.DUMMYFUNCTION("""COMPUTED_VALUE"""),"Greece")</f>
        <v>Greece</v>
      </c>
      <c r="E7889" s="135"/>
      <c r="F7889" s="31"/>
    </row>
    <row r="7890">
      <c r="A7890" s="134" t="str">
        <f>IFERROR(__xludf.DUMMYFUNCTION("""COMPUTED_VALUE"""),"Skien")</f>
        <v>Skien</v>
      </c>
      <c r="B7890" s="120" t="str">
        <f>IFERROR(__xludf.DUMMYFUNCTION("""COMPUTED_VALUE"""),"SKE")</f>
        <v>SKE</v>
      </c>
      <c r="C7890" s="120" t="str">
        <f>IFERROR(__xludf.DUMMYFUNCTION("""COMPUTED_VALUE"""),"Skien")</f>
        <v>Skien</v>
      </c>
      <c r="D7890" s="120" t="str">
        <f>IFERROR(__xludf.DUMMYFUNCTION("""COMPUTED_VALUE"""),"Norway")</f>
        <v>Norway</v>
      </c>
      <c r="E7890" s="135"/>
      <c r="F7890" s="31"/>
    </row>
    <row r="7891">
      <c r="A7891" s="134" t="str">
        <f>IFERROR(__xludf.DUMMYFUNCTION("""COMPUTED_VALUE"""),"Skikda")</f>
        <v>Skikda</v>
      </c>
      <c r="B7891" s="120" t="str">
        <f>IFERROR(__xludf.DUMMYFUNCTION("""COMPUTED_VALUE"""),"SKI")</f>
        <v>SKI</v>
      </c>
      <c r="C7891" s="120" t="str">
        <f>IFERROR(__xludf.DUMMYFUNCTION("""COMPUTED_VALUE"""),"Skikda")</f>
        <v>Skikda</v>
      </c>
      <c r="D7891" s="120" t="str">
        <f>IFERROR(__xludf.DUMMYFUNCTION("""COMPUTED_VALUE"""),"Algeria")</f>
        <v>Algeria</v>
      </c>
      <c r="E7891" s="135"/>
      <c r="F7891" s="31"/>
    </row>
    <row r="7892">
      <c r="A7892" s="134" t="str">
        <f>IFERROR(__xludf.DUMMYFUNCTION("""COMPUTED_VALUE"""),"Skiros")</f>
        <v>Skiros</v>
      </c>
      <c r="B7892" s="120" t="str">
        <f>IFERROR(__xludf.DUMMYFUNCTION("""COMPUTED_VALUE"""),"SKU")</f>
        <v>SKU</v>
      </c>
      <c r="C7892" s="120" t="str">
        <f>IFERROR(__xludf.DUMMYFUNCTION("""COMPUTED_VALUE"""),"Skiros")</f>
        <v>Skiros</v>
      </c>
      <c r="D7892" s="120" t="str">
        <f>IFERROR(__xludf.DUMMYFUNCTION("""COMPUTED_VALUE"""),"Greece")</f>
        <v>Greece</v>
      </c>
      <c r="E7892" s="135"/>
      <c r="F7892" s="31"/>
    </row>
    <row r="7893">
      <c r="A7893" s="134" t="str">
        <f>IFERROR(__xludf.DUMMYFUNCTION("""COMPUTED_VALUE"""),"Skive")</f>
        <v>Skive</v>
      </c>
      <c r="B7893" s="120" t="str">
        <f>IFERROR(__xludf.DUMMYFUNCTION("""COMPUTED_VALUE"""),"SQW")</f>
        <v>SQW</v>
      </c>
      <c r="C7893" s="120" t="str">
        <f>IFERROR(__xludf.DUMMYFUNCTION("""COMPUTED_VALUE"""),"Skive Airport")</f>
        <v>Skive Airport</v>
      </c>
      <c r="D7893" s="120" t="str">
        <f>IFERROR(__xludf.DUMMYFUNCTION("""COMPUTED_VALUE"""),"Denmark")</f>
        <v>Denmark</v>
      </c>
      <c r="E7893" s="135"/>
      <c r="F7893" s="31"/>
    </row>
    <row r="7894">
      <c r="A7894" s="134" t="str">
        <f>IFERROR(__xludf.DUMMYFUNCTION("""COMPUTED_VALUE"""),"Skopje")</f>
        <v>Skopje</v>
      </c>
      <c r="B7894" s="120" t="str">
        <f>IFERROR(__xludf.DUMMYFUNCTION("""COMPUTED_VALUE"""),"SKP")</f>
        <v>SKP</v>
      </c>
      <c r="C7894" s="120" t="str">
        <f>IFERROR(__xludf.DUMMYFUNCTION("""COMPUTED_VALUE"""),"Petrovec")</f>
        <v>Petrovec</v>
      </c>
      <c r="D7894" s="120" t="str">
        <f>IFERROR(__xludf.DUMMYFUNCTION("""COMPUTED_VALUE"""),"Macedonia")</f>
        <v>Macedonia</v>
      </c>
      <c r="E7894" s="135"/>
      <c r="F7894" s="31"/>
    </row>
    <row r="7895">
      <c r="A7895" s="134" t="str">
        <f>IFERROR(__xludf.DUMMYFUNCTION("""COMPUTED_VALUE"""),"Skoppum")</f>
        <v>Skoppum</v>
      </c>
      <c r="B7895" s="120" t="str">
        <f>IFERROR(__xludf.DUMMYFUNCTION("""COMPUTED_VALUE"""),"XUR")</f>
        <v>XUR</v>
      </c>
      <c r="C7895" s="120" t="str">
        <f>IFERROR(__xludf.DUMMYFUNCTION("""COMPUTED_VALUE"""),"Skoppum Railway")</f>
        <v>Skoppum Railway</v>
      </c>
      <c r="D7895" s="120" t="str">
        <f>IFERROR(__xludf.DUMMYFUNCTION("""COMPUTED_VALUE"""),"Norway")</f>
        <v>Norway</v>
      </c>
      <c r="E7895" s="135"/>
      <c r="F7895" s="31"/>
    </row>
    <row r="7896">
      <c r="A7896" s="134" t="str">
        <f>IFERROR(__xludf.DUMMYFUNCTION("""COMPUTED_VALUE"""),"Skovde")</f>
        <v>Skovde</v>
      </c>
      <c r="B7896" s="120" t="str">
        <f>IFERROR(__xludf.DUMMYFUNCTION("""COMPUTED_VALUE"""),"KVB")</f>
        <v>KVB</v>
      </c>
      <c r="C7896" s="120" t="str">
        <f>IFERROR(__xludf.DUMMYFUNCTION("""COMPUTED_VALUE"""),"Skovde")</f>
        <v>Skovde</v>
      </c>
      <c r="D7896" s="120" t="str">
        <f>IFERROR(__xludf.DUMMYFUNCTION("""COMPUTED_VALUE"""),"Sweden")</f>
        <v>Sweden</v>
      </c>
      <c r="E7896" s="135"/>
      <c r="F7896" s="31"/>
    </row>
    <row r="7897">
      <c r="A7897" s="134" t="str">
        <f>IFERROR(__xludf.DUMMYFUNCTION("""COMPUTED_VALUE"""),"Skukuza")</f>
        <v>Skukuza</v>
      </c>
      <c r="B7897" s="120" t="str">
        <f>IFERROR(__xludf.DUMMYFUNCTION("""COMPUTED_VALUE"""),"SZK")</f>
        <v>SZK</v>
      </c>
      <c r="C7897" s="120" t="str">
        <f>IFERROR(__xludf.DUMMYFUNCTION("""COMPUTED_VALUE"""),"Skukuza")</f>
        <v>Skukuza</v>
      </c>
      <c r="D7897" s="120" t="str">
        <f>IFERROR(__xludf.DUMMYFUNCTION("""COMPUTED_VALUE"""),"South Africa")</f>
        <v>South Africa</v>
      </c>
      <c r="E7897" s="135"/>
      <c r="F7897" s="31"/>
    </row>
    <row r="7898">
      <c r="A7898" s="134" t="str">
        <f>IFERROR(__xludf.DUMMYFUNCTION("""COMPUTED_VALUE"""),"Skwentna")</f>
        <v>Skwentna</v>
      </c>
      <c r="B7898" s="120" t="str">
        <f>IFERROR(__xludf.DUMMYFUNCTION("""COMPUTED_VALUE"""),"SKW")</f>
        <v>SKW</v>
      </c>
      <c r="C7898" s="120" t="str">
        <f>IFERROR(__xludf.DUMMYFUNCTION("""COMPUTED_VALUE"""),"Intermediate")</f>
        <v>Intermediate</v>
      </c>
      <c r="D7898" s="120" t="str">
        <f>IFERROR(__xludf.DUMMYFUNCTION("""COMPUTED_VALUE"""),"United States")</f>
        <v>United States</v>
      </c>
      <c r="E7898" s="135"/>
      <c r="F7898" s="31"/>
    </row>
    <row r="7899">
      <c r="A7899" s="134" t="str">
        <f>IFERROR(__xludf.DUMMYFUNCTION("""COMPUTED_VALUE"""),"Slate Island")</f>
        <v>Slate Island</v>
      </c>
      <c r="B7899" s="120" t="str">
        <f>IFERROR(__xludf.DUMMYFUNCTION("""COMPUTED_VALUE"""),"YSS")</f>
        <v>YSS</v>
      </c>
      <c r="C7899" s="120" t="str">
        <f>IFERROR(__xludf.DUMMYFUNCTION("""COMPUTED_VALUE"""),"Slate Island")</f>
        <v>Slate Island</v>
      </c>
      <c r="D7899" s="120" t="str">
        <f>IFERROR(__xludf.DUMMYFUNCTION("""COMPUTED_VALUE"""),"Canada")</f>
        <v>Canada</v>
      </c>
      <c r="E7899" s="135"/>
      <c r="F7899" s="31"/>
    </row>
    <row r="7900">
      <c r="A7900" s="134" t="str">
        <f>IFERROR(__xludf.DUMMYFUNCTION("""COMPUTED_VALUE"""),"Slave Lake")</f>
        <v>Slave Lake</v>
      </c>
      <c r="B7900" s="120" t="str">
        <f>IFERROR(__xludf.DUMMYFUNCTION("""COMPUTED_VALUE"""),"YZH")</f>
        <v>YZH</v>
      </c>
      <c r="C7900" s="120" t="str">
        <f>IFERROR(__xludf.DUMMYFUNCTION("""COMPUTED_VALUE"""),"Slave Lake")</f>
        <v>Slave Lake</v>
      </c>
      <c r="D7900" s="120" t="str">
        <f>IFERROR(__xludf.DUMMYFUNCTION("""COMPUTED_VALUE"""),"Canada")</f>
        <v>Canada</v>
      </c>
      <c r="E7900" s="135"/>
      <c r="F7900" s="31"/>
    </row>
    <row r="7901">
      <c r="A7901" s="134" t="str">
        <f>IFERROR(__xludf.DUMMYFUNCTION("""COMPUTED_VALUE"""),"Sleetmute")</f>
        <v>Sleetmute</v>
      </c>
      <c r="B7901" s="120" t="str">
        <f>IFERROR(__xludf.DUMMYFUNCTION("""COMPUTED_VALUE"""),"SLQ")</f>
        <v>SLQ</v>
      </c>
      <c r="C7901" s="120" t="str">
        <f>IFERROR(__xludf.DUMMYFUNCTION("""COMPUTED_VALUE"""),"Sleetmute")</f>
        <v>Sleetmute</v>
      </c>
      <c r="D7901" s="120" t="str">
        <f>IFERROR(__xludf.DUMMYFUNCTION("""COMPUTED_VALUE"""),"United States")</f>
        <v>United States</v>
      </c>
      <c r="E7901" s="135"/>
      <c r="F7901" s="31"/>
    </row>
    <row r="7902">
      <c r="A7902" s="134" t="str">
        <f>IFERROR(__xludf.DUMMYFUNCTION("""COMPUTED_VALUE"""),"Sliac")</f>
        <v>Sliac</v>
      </c>
      <c r="B7902" s="120" t="str">
        <f>IFERROR(__xludf.DUMMYFUNCTION("""COMPUTED_VALUE"""),"SLD")</f>
        <v>SLD</v>
      </c>
      <c r="C7902" s="120" t="str">
        <f>IFERROR(__xludf.DUMMYFUNCTION("""COMPUTED_VALUE"""),"Sliac")</f>
        <v>Sliac</v>
      </c>
      <c r="D7902" s="120" t="str">
        <f>IFERROR(__xludf.DUMMYFUNCTION("""COMPUTED_VALUE"""),"Slovakia")</f>
        <v>Slovakia</v>
      </c>
      <c r="E7902" s="135"/>
      <c r="F7902" s="31"/>
    </row>
    <row r="7903">
      <c r="A7903" s="134" t="str">
        <f>IFERROR(__xludf.DUMMYFUNCTION("""COMPUTED_VALUE"""),"Sligo")</f>
        <v>Sligo</v>
      </c>
      <c r="B7903" s="120" t="str">
        <f>IFERROR(__xludf.DUMMYFUNCTION("""COMPUTED_VALUE"""),"ZSL")</f>
        <v>ZSL</v>
      </c>
      <c r="C7903" s="120" t="str">
        <f>IFERROR(__xludf.DUMMYFUNCTION("""COMPUTED_VALUE"""),"Bus Station")</f>
        <v>Bus Station</v>
      </c>
      <c r="D7903" s="120" t="str">
        <f>IFERROR(__xludf.DUMMYFUNCTION("""COMPUTED_VALUE"""),"Ireland")</f>
        <v>Ireland</v>
      </c>
      <c r="E7903" s="135"/>
      <c r="F7903" s="31"/>
    </row>
    <row r="7904">
      <c r="A7904" s="134" t="str">
        <f>IFERROR(__xludf.DUMMYFUNCTION("""COMPUTED_VALUE"""),"Sligo")</f>
        <v>Sligo</v>
      </c>
      <c r="B7904" s="120" t="str">
        <f>IFERROR(__xludf.DUMMYFUNCTION("""COMPUTED_VALUE"""),"SXL")</f>
        <v>SXL</v>
      </c>
      <c r="C7904" s="120" t="str">
        <f>IFERROR(__xludf.DUMMYFUNCTION("""COMPUTED_VALUE"""),"Collooney")</f>
        <v>Collooney</v>
      </c>
      <c r="D7904" s="120" t="str">
        <f>IFERROR(__xludf.DUMMYFUNCTION("""COMPUTED_VALUE"""),"Ireland")</f>
        <v>Ireland</v>
      </c>
      <c r="E7904" s="135"/>
      <c r="F7904" s="31"/>
    </row>
    <row r="7905">
      <c r="A7905" s="134" t="str">
        <f>IFERROR(__xludf.DUMMYFUNCTION("""COMPUTED_VALUE"""),"Slupsk")</f>
        <v>Slupsk</v>
      </c>
      <c r="B7905" s="120" t="str">
        <f>IFERROR(__xludf.DUMMYFUNCTION("""COMPUTED_VALUE"""),"OSP")</f>
        <v>OSP</v>
      </c>
      <c r="C7905" s="120" t="str">
        <f>IFERROR(__xludf.DUMMYFUNCTION("""COMPUTED_VALUE"""),"Redzikowo")</f>
        <v>Redzikowo</v>
      </c>
      <c r="D7905" s="120" t="str">
        <f>IFERROR(__xludf.DUMMYFUNCTION("""COMPUTED_VALUE"""),"Poland")</f>
        <v>Poland</v>
      </c>
      <c r="E7905" s="135"/>
      <c r="F7905" s="31"/>
    </row>
    <row r="7906">
      <c r="A7906" s="134" t="str">
        <f>IFERROR(__xludf.DUMMYFUNCTION("""COMPUTED_VALUE"""),"Smara")</f>
        <v>Smara</v>
      </c>
      <c r="B7906" s="120" t="str">
        <f>IFERROR(__xludf.DUMMYFUNCTION("""COMPUTED_VALUE"""),"SMW")</f>
        <v>SMW</v>
      </c>
      <c r="C7906" s="120" t="str">
        <f>IFERROR(__xludf.DUMMYFUNCTION("""COMPUTED_VALUE"""),"Smara")</f>
        <v>Smara</v>
      </c>
      <c r="D7906" s="120" t="str">
        <f>IFERROR(__xludf.DUMMYFUNCTION("""COMPUTED_VALUE"""),"Morocco")</f>
        <v>Morocco</v>
      </c>
      <c r="E7906" s="135"/>
      <c r="F7906" s="31"/>
    </row>
    <row r="7907">
      <c r="A7907" s="134" t="str">
        <f>IFERROR(__xludf.DUMMYFUNCTION("""COMPUTED_VALUE"""),"Smith Cove")</f>
        <v>Smith Cove</v>
      </c>
      <c r="B7907" s="120" t="str">
        <f>IFERROR(__xludf.DUMMYFUNCTION("""COMPUTED_VALUE"""),"SCJ")</f>
        <v>SCJ</v>
      </c>
      <c r="C7907" s="120" t="str">
        <f>IFERROR(__xludf.DUMMYFUNCTION("""COMPUTED_VALUE"""),"Smith Cove")</f>
        <v>Smith Cove</v>
      </c>
      <c r="D7907" s="120" t="str">
        <f>IFERROR(__xludf.DUMMYFUNCTION("""COMPUTED_VALUE"""),"United States")</f>
        <v>United States</v>
      </c>
      <c r="E7907" s="135"/>
      <c r="F7907" s="31"/>
    </row>
    <row r="7908">
      <c r="A7908" s="134" t="str">
        <f>IFERROR(__xludf.DUMMYFUNCTION("""COMPUTED_VALUE"""),"Smith Falls")</f>
        <v>Smith Falls</v>
      </c>
      <c r="B7908" s="120" t="str">
        <f>IFERROR(__xludf.DUMMYFUNCTION("""COMPUTED_VALUE"""),"YSH")</f>
        <v>YSH</v>
      </c>
      <c r="C7908" s="120" t="str">
        <f>IFERROR(__xludf.DUMMYFUNCTION("""COMPUTED_VALUE"""),"Smith Falls")</f>
        <v>Smith Falls</v>
      </c>
      <c r="D7908" s="120" t="str">
        <f>IFERROR(__xludf.DUMMYFUNCTION("""COMPUTED_VALUE"""),"Canada")</f>
        <v>Canada</v>
      </c>
      <c r="E7908" s="135"/>
      <c r="F7908" s="31"/>
    </row>
    <row r="7909">
      <c r="A7909" s="134" t="str">
        <f>IFERROR(__xludf.DUMMYFUNCTION("""COMPUTED_VALUE"""),"Smith Point")</f>
        <v>Smith Point</v>
      </c>
      <c r="B7909" s="120" t="str">
        <f>IFERROR(__xludf.DUMMYFUNCTION("""COMPUTED_VALUE"""),"SHU")</f>
        <v>SHU</v>
      </c>
      <c r="C7909" s="120" t="str">
        <f>IFERROR(__xludf.DUMMYFUNCTION("""COMPUTED_VALUE"""),"Smith Point")</f>
        <v>Smith Point</v>
      </c>
      <c r="D7909" s="120" t="str">
        <f>IFERROR(__xludf.DUMMYFUNCTION("""COMPUTED_VALUE"""),"Australia")</f>
        <v>Australia</v>
      </c>
      <c r="E7909" s="135"/>
      <c r="F7909" s="31"/>
    </row>
    <row r="7910">
      <c r="A7910" s="134" t="str">
        <f>IFERROR(__xludf.DUMMYFUNCTION("""COMPUTED_VALUE"""),"Smithers")</f>
        <v>Smithers</v>
      </c>
      <c r="B7910" s="120" t="str">
        <f>IFERROR(__xludf.DUMMYFUNCTION("""COMPUTED_VALUE"""),"YYD")</f>
        <v>YYD</v>
      </c>
      <c r="C7910" s="120" t="str">
        <f>IFERROR(__xludf.DUMMYFUNCTION("""COMPUTED_VALUE"""),"Smithers")</f>
        <v>Smithers</v>
      </c>
      <c r="D7910" s="120" t="str">
        <f>IFERROR(__xludf.DUMMYFUNCTION("""COMPUTED_VALUE"""),"Canada")</f>
        <v>Canada</v>
      </c>
      <c r="E7910" s="135"/>
      <c r="F7910" s="31"/>
    </row>
    <row r="7911">
      <c r="A7911" s="134" t="str">
        <f>IFERROR(__xludf.DUMMYFUNCTION("""COMPUTED_VALUE"""),"Smithfield")</f>
        <v>Smithfield</v>
      </c>
      <c r="B7911" s="120" t="str">
        <f>IFERROR(__xludf.DUMMYFUNCTION("""COMPUTED_VALUE"""),"SFZ")</f>
        <v>SFZ</v>
      </c>
      <c r="C7911" s="120" t="str">
        <f>IFERROR(__xludf.DUMMYFUNCTION("""COMPUTED_VALUE"""),"North Central")</f>
        <v>North Central</v>
      </c>
      <c r="D7911" s="120" t="str">
        <f>IFERROR(__xludf.DUMMYFUNCTION("""COMPUTED_VALUE"""),"United States")</f>
        <v>United States</v>
      </c>
      <c r="E7911" s="135"/>
      <c r="F7911" s="31"/>
    </row>
    <row r="7912">
      <c r="A7912" s="134" t="str">
        <f>IFERROR(__xludf.DUMMYFUNCTION("""COMPUTED_VALUE"""),"Smithton")</f>
        <v>Smithton</v>
      </c>
      <c r="B7912" s="120" t="str">
        <f>IFERROR(__xludf.DUMMYFUNCTION("""COMPUTED_VALUE"""),"SIO")</f>
        <v>SIO</v>
      </c>
      <c r="C7912" s="120" t="str">
        <f>IFERROR(__xludf.DUMMYFUNCTION("""COMPUTED_VALUE"""),"Smithton")</f>
        <v>Smithton</v>
      </c>
      <c r="D7912" s="120" t="str">
        <f>IFERROR(__xludf.DUMMYFUNCTION("""COMPUTED_VALUE"""),"Australia")</f>
        <v>Australia</v>
      </c>
      <c r="E7912" s="135"/>
      <c r="F7912" s="31"/>
    </row>
    <row r="7913">
      <c r="A7913" s="134" t="str">
        <f>IFERROR(__xludf.DUMMYFUNCTION("""COMPUTED_VALUE"""),"Smolensk")</f>
        <v>Smolensk</v>
      </c>
      <c r="B7913" s="120" t="str">
        <f>IFERROR(__xludf.DUMMYFUNCTION("""COMPUTED_VALUE"""),"LNX")</f>
        <v>LNX</v>
      </c>
      <c r="C7913" s="120" t="str">
        <f>IFERROR(__xludf.DUMMYFUNCTION("""COMPUTED_VALUE"""),"Smolensk")</f>
        <v>Smolensk</v>
      </c>
      <c r="D7913" s="120" t="str">
        <f>IFERROR(__xludf.DUMMYFUNCTION("""COMPUTED_VALUE"""),"Russia")</f>
        <v>Russia</v>
      </c>
      <c r="E7913" s="135"/>
      <c r="F7913" s="31"/>
    </row>
    <row r="7914">
      <c r="A7914" s="134" t="str">
        <f>IFERROR(__xludf.DUMMYFUNCTION("""COMPUTED_VALUE"""),"Smyrna")</f>
        <v>Smyrna</v>
      </c>
      <c r="B7914" s="120" t="str">
        <f>IFERROR(__xludf.DUMMYFUNCTION("""COMPUTED_VALUE"""),"MQY")</f>
        <v>MQY</v>
      </c>
      <c r="C7914" s="120" t="str">
        <f>IFERROR(__xludf.DUMMYFUNCTION("""COMPUTED_VALUE"""),"Smyrna")</f>
        <v>Smyrna</v>
      </c>
      <c r="D7914" s="120" t="str">
        <f>IFERROR(__xludf.DUMMYFUNCTION("""COMPUTED_VALUE"""),"United States")</f>
        <v>United States</v>
      </c>
      <c r="E7914" s="135"/>
      <c r="F7914" s="31"/>
    </row>
    <row r="7915">
      <c r="A7915" s="134" t="str">
        <f>IFERROR(__xludf.DUMMYFUNCTION("""COMPUTED_VALUE"""),"Snake Bay")</f>
        <v>Snake Bay</v>
      </c>
      <c r="B7915" s="120" t="str">
        <f>IFERROR(__xludf.DUMMYFUNCTION("""COMPUTED_VALUE"""),"SNB")</f>
        <v>SNB</v>
      </c>
      <c r="C7915" s="120" t="str">
        <f>IFERROR(__xludf.DUMMYFUNCTION("""COMPUTED_VALUE"""),"Snake Bay")</f>
        <v>Snake Bay</v>
      </c>
      <c r="D7915" s="120" t="str">
        <f>IFERROR(__xludf.DUMMYFUNCTION("""COMPUTED_VALUE"""),"Australia")</f>
        <v>Australia</v>
      </c>
      <c r="E7915" s="135"/>
      <c r="F7915" s="31"/>
    </row>
    <row r="7916">
      <c r="A7916" s="134" t="str">
        <f>IFERROR(__xludf.DUMMYFUNCTION("""COMPUTED_VALUE"""),"Snake River")</f>
        <v>Snake River</v>
      </c>
      <c r="B7916" s="120" t="str">
        <f>IFERROR(__xludf.DUMMYFUNCTION("""COMPUTED_VALUE"""),"YXF")</f>
        <v>YXF</v>
      </c>
      <c r="C7916" s="120" t="str">
        <f>IFERROR(__xludf.DUMMYFUNCTION("""COMPUTED_VALUE"""),"Snake River")</f>
        <v>Snake River</v>
      </c>
      <c r="D7916" s="120" t="str">
        <f>IFERROR(__xludf.DUMMYFUNCTION("""COMPUTED_VALUE"""),"Canada")</f>
        <v>Canada</v>
      </c>
      <c r="E7916" s="135"/>
      <c r="F7916" s="31"/>
    </row>
    <row r="7917">
      <c r="A7917" s="134" t="str">
        <f>IFERROR(__xludf.DUMMYFUNCTION("""COMPUTED_VALUE"""),"Snare Lake")</f>
        <v>Snare Lake</v>
      </c>
      <c r="B7917" s="120" t="str">
        <f>IFERROR(__xludf.DUMMYFUNCTION("""COMPUTED_VALUE"""),"YFJ")</f>
        <v>YFJ</v>
      </c>
      <c r="C7917" s="120" t="str">
        <f>IFERROR(__xludf.DUMMYFUNCTION("""COMPUTED_VALUE"""),"Snare Lake")</f>
        <v>Snare Lake</v>
      </c>
      <c r="D7917" s="120" t="str">
        <f>IFERROR(__xludf.DUMMYFUNCTION("""COMPUTED_VALUE"""),"Canada")</f>
        <v>Canada</v>
      </c>
      <c r="E7917" s="135"/>
      <c r="F7917" s="31"/>
    </row>
    <row r="7918">
      <c r="A7918" s="134" t="str">
        <f>IFERROR(__xludf.DUMMYFUNCTION("""COMPUTED_VALUE"""),"Snartemo")</f>
        <v>Snartemo</v>
      </c>
      <c r="B7918" s="120" t="str">
        <f>IFERROR(__xludf.DUMMYFUNCTION("""COMPUTED_VALUE"""),"XUS")</f>
        <v>XUS</v>
      </c>
      <c r="C7918" s="120" t="str">
        <f>IFERROR(__xludf.DUMMYFUNCTION("""COMPUTED_VALUE"""),"Snartemo Railway")</f>
        <v>Snartemo Railway</v>
      </c>
      <c r="D7918" s="120" t="str">
        <f>IFERROR(__xludf.DUMMYFUNCTION("""COMPUTED_VALUE"""),"Norway")</f>
        <v>Norway</v>
      </c>
      <c r="E7918" s="135"/>
      <c r="F7918" s="31"/>
    </row>
    <row r="7919">
      <c r="A7919" s="134" t="str">
        <f>IFERROR(__xludf.DUMMYFUNCTION("""COMPUTED_VALUE"""),"SNCB Rail Network")</f>
        <v>SNCB Rail Network</v>
      </c>
      <c r="B7919" s="120" t="str">
        <f>IFERROR(__xludf.DUMMYFUNCTION("""COMPUTED_VALUE"""),"ZYB")</f>
        <v>ZYB</v>
      </c>
      <c r="C7919" s="120" t="str">
        <f>IFERROR(__xludf.DUMMYFUNCTION("""COMPUTED_VALUE"""),"SNCB Rail Network")</f>
        <v>SNCB Rail Network</v>
      </c>
      <c r="D7919" s="120" t="str">
        <f>IFERROR(__xludf.DUMMYFUNCTION("""COMPUTED_VALUE"""),"Belgium")</f>
        <v>Belgium</v>
      </c>
      <c r="E7919" s="135"/>
      <c r="F7919" s="31"/>
    </row>
    <row r="7920">
      <c r="A7920" s="134" t="str">
        <f>IFERROR(__xludf.DUMMYFUNCTION("""COMPUTED_VALUE"""),"Snyder")</f>
        <v>Snyder</v>
      </c>
      <c r="B7920" s="120" t="str">
        <f>IFERROR(__xludf.DUMMYFUNCTION("""COMPUTED_VALUE"""),"SNK")</f>
        <v>SNK</v>
      </c>
      <c r="C7920" s="120" t="str">
        <f>IFERROR(__xludf.DUMMYFUNCTION("""COMPUTED_VALUE"""),"Winston Field")</f>
        <v>Winston Field</v>
      </c>
      <c r="D7920" s="120" t="str">
        <f>IFERROR(__xludf.DUMMYFUNCTION("""COMPUTED_VALUE"""),"United States")</f>
        <v>United States</v>
      </c>
      <c r="E7920" s="135"/>
      <c r="F7920" s="31"/>
    </row>
    <row r="7921">
      <c r="A7921" s="134" t="str">
        <f>IFERROR(__xludf.DUMMYFUNCTION("""COMPUTED_VALUE"""),"Soalala")</f>
        <v>Soalala</v>
      </c>
      <c r="B7921" s="120" t="str">
        <f>IFERROR(__xludf.DUMMYFUNCTION("""COMPUTED_VALUE"""),"DWB")</f>
        <v>DWB</v>
      </c>
      <c r="C7921" s="120" t="str">
        <f>IFERROR(__xludf.DUMMYFUNCTION("""COMPUTED_VALUE"""),"Soalala")</f>
        <v>Soalala</v>
      </c>
      <c r="D7921" s="120" t="str">
        <f>IFERROR(__xludf.DUMMYFUNCTION("""COMPUTED_VALUE"""),"Madagascar")</f>
        <v>Madagascar</v>
      </c>
      <c r="E7921" s="135"/>
      <c r="F7921" s="31"/>
    </row>
    <row r="7922">
      <c r="A7922" s="134" t="str">
        <f>IFERROR(__xludf.DUMMYFUNCTION("""COMPUTED_VALUE"""),"Soc Trang")</f>
        <v>Soc Trang</v>
      </c>
      <c r="B7922" s="120" t="str">
        <f>IFERROR(__xludf.DUMMYFUNCTION("""COMPUTED_VALUE"""),"SOA")</f>
        <v>SOA</v>
      </c>
      <c r="C7922" s="120" t="str">
        <f>IFERROR(__xludf.DUMMYFUNCTION("""COMPUTED_VALUE"""),"Soc Trang")</f>
        <v>Soc Trang</v>
      </c>
      <c r="D7922" s="120" t="str">
        <f>IFERROR(__xludf.DUMMYFUNCTION("""COMPUTED_VALUE"""),"Vietnam")</f>
        <v>Vietnam</v>
      </c>
      <c r="E7922" s="135"/>
      <c r="F7922" s="31"/>
    </row>
    <row r="7923">
      <c r="A7923" s="134" t="str">
        <f>IFERROR(__xludf.DUMMYFUNCTION("""COMPUTED_VALUE"""),"Socorro")</f>
        <v>Socorro</v>
      </c>
      <c r="B7923" s="120" t="str">
        <f>IFERROR(__xludf.DUMMYFUNCTION("""COMPUTED_VALUE"""),"ONM")</f>
        <v>ONM</v>
      </c>
      <c r="C7923" s="120" t="str">
        <f>IFERROR(__xludf.DUMMYFUNCTION("""COMPUTED_VALUE"""),"Socorro")</f>
        <v>Socorro</v>
      </c>
      <c r="D7923" s="120" t="str">
        <f>IFERROR(__xludf.DUMMYFUNCTION("""COMPUTED_VALUE"""),"United States")</f>
        <v>United States</v>
      </c>
      <c r="E7923" s="135"/>
      <c r="F7923" s="31"/>
    </row>
    <row r="7924">
      <c r="A7924" s="134" t="str">
        <f>IFERROR(__xludf.DUMMYFUNCTION("""COMPUTED_VALUE"""),"Socotra")</f>
        <v>Socotra</v>
      </c>
      <c r="B7924" s="120" t="str">
        <f>IFERROR(__xludf.DUMMYFUNCTION("""COMPUTED_VALUE"""),"SCT")</f>
        <v>SCT</v>
      </c>
      <c r="C7924" s="120" t="str">
        <f>IFERROR(__xludf.DUMMYFUNCTION("""COMPUTED_VALUE"""),"Socotra")</f>
        <v>Socotra</v>
      </c>
      <c r="D7924" s="120" t="str">
        <f>IFERROR(__xludf.DUMMYFUNCTION("""COMPUTED_VALUE"""),"Yemen")</f>
        <v>Yemen</v>
      </c>
      <c r="E7924" s="135"/>
      <c r="F7924" s="31"/>
    </row>
    <row r="7925">
      <c r="A7925" s="134" t="str">
        <f>IFERROR(__xludf.DUMMYFUNCTION("""COMPUTED_VALUE"""),"Sodankyla")</f>
        <v>Sodankyla</v>
      </c>
      <c r="B7925" s="120" t="str">
        <f>IFERROR(__xludf.DUMMYFUNCTION("""COMPUTED_VALUE"""),"SOT")</f>
        <v>SOT</v>
      </c>
      <c r="C7925" s="120" t="str">
        <f>IFERROR(__xludf.DUMMYFUNCTION("""COMPUTED_VALUE"""),"Sodankyla")</f>
        <v>Sodankyla</v>
      </c>
      <c r="D7925" s="120" t="str">
        <f>IFERROR(__xludf.DUMMYFUNCTION("""COMPUTED_VALUE"""),"Finland")</f>
        <v>Finland</v>
      </c>
      <c r="E7925" s="135"/>
      <c r="F7925" s="31"/>
    </row>
    <row r="7926">
      <c r="A7926" s="134" t="str">
        <f>IFERROR(__xludf.DUMMYFUNCTION("""COMPUTED_VALUE"""),"Soddu")</f>
        <v>Soddu</v>
      </c>
      <c r="B7926" s="120" t="str">
        <f>IFERROR(__xludf.DUMMYFUNCTION("""COMPUTED_VALUE"""),"SXU")</f>
        <v>SXU</v>
      </c>
      <c r="C7926" s="120" t="str">
        <f>IFERROR(__xludf.DUMMYFUNCTION("""COMPUTED_VALUE"""),"Soddu")</f>
        <v>Soddu</v>
      </c>
      <c r="D7926" s="120" t="str">
        <f>IFERROR(__xludf.DUMMYFUNCTION("""COMPUTED_VALUE"""),"Ethiopia")</f>
        <v>Ethiopia</v>
      </c>
      <c r="E7926" s="135"/>
      <c r="F7926" s="31"/>
    </row>
    <row r="7927">
      <c r="A7927" s="134" t="str">
        <f>IFERROR(__xludf.DUMMYFUNCTION("""COMPUTED_VALUE"""),"Soderhamn")</f>
        <v>Soderhamn</v>
      </c>
      <c r="B7927" s="120" t="str">
        <f>IFERROR(__xludf.DUMMYFUNCTION("""COMPUTED_VALUE"""),"SOO")</f>
        <v>SOO</v>
      </c>
      <c r="C7927" s="120" t="str">
        <f>IFERROR(__xludf.DUMMYFUNCTION("""COMPUTED_VALUE"""),"Soderhamn")</f>
        <v>Soderhamn</v>
      </c>
      <c r="D7927" s="120" t="str">
        <f>IFERROR(__xludf.DUMMYFUNCTION("""COMPUTED_VALUE"""),"Sweden")</f>
        <v>Sweden</v>
      </c>
      <c r="E7927" s="135"/>
      <c r="F7927" s="31"/>
    </row>
    <row r="7928">
      <c r="A7928" s="134" t="str">
        <f>IFERROR(__xludf.DUMMYFUNCTION("""COMPUTED_VALUE"""),"Sodertalje")</f>
        <v>Sodertalje</v>
      </c>
      <c r="B7928" s="120" t="str">
        <f>IFERROR(__xludf.DUMMYFUNCTION("""COMPUTED_VALUE"""),"JSO")</f>
        <v>JSO</v>
      </c>
      <c r="C7928" s="120" t="str">
        <f>IFERROR(__xludf.DUMMYFUNCTION("""COMPUTED_VALUE"""),"Sodertalje Heliport")</f>
        <v>Sodertalje Heliport</v>
      </c>
      <c r="D7928" s="120" t="str">
        <f>IFERROR(__xludf.DUMMYFUNCTION("""COMPUTED_VALUE"""),"Sweden")</f>
        <v>Sweden</v>
      </c>
      <c r="E7928" s="135"/>
      <c r="F7928" s="31"/>
    </row>
    <row r="7929">
      <c r="A7929" s="134" t="str">
        <f>IFERROR(__xludf.DUMMYFUNCTION("""COMPUTED_VALUE"""),"Sodertalje")</f>
        <v>Sodertalje</v>
      </c>
      <c r="B7929" s="120" t="str">
        <f>IFERROR(__xludf.DUMMYFUNCTION("""COMPUTED_VALUE"""),"XEZ")</f>
        <v>XEZ</v>
      </c>
      <c r="C7929" s="120" t="str">
        <f>IFERROR(__xludf.DUMMYFUNCTION("""COMPUTED_VALUE"""),"Sodertalje S Railway")</f>
        <v>Sodertalje S Railway</v>
      </c>
      <c r="D7929" s="120" t="str">
        <f>IFERROR(__xludf.DUMMYFUNCTION("""COMPUTED_VALUE"""),"Sweden")</f>
        <v>Sweden</v>
      </c>
      <c r="E7929" s="135"/>
      <c r="F7929" s="31"/>
    </row>
    <row r="7930">
      <c r="A7930" s="134" t="str">
        <f>IFERROR(__xludf.DUMMYFUNCTION("""COMPUTED_VALUE"""),"Sofia")</f>
        <v>Sofia</v>
      </c>
      <c r="B7930" s="120" t="str">
        <f>IFERROR(__xludf.DUMMYFUNCTION("""COMPUTED_VALUE"""),"SOF")</f>
        <v>SOF</v>
      </c>
      <c r="C7930" s="120" t="str">
        <f>IFERROR(__xludf.DUMMYFUNCTION("""COMPUTED_VALUE"""),"Sofia")</f>
        <v>Sofia</v>
      </c>
      <c r="D7930" s="120" t="str">
        <f>IFERROR(__xludf.DUMMYFUNCTION("""COMPUTED_VALUE"""),"Bulgaria")</f>
        <v>Bulgaria</v>
      </c>
      <c r="E7930" s="135"/>
      <c r="F7930" s="31"/>
    </row>
    <row r="7931">
      <c r="A7931" s="134" t="str">
        <f>IFERROR(__xludf.DUMMYFUNCTION("""COMPUTED_VALUE"""),"Sogamoso")</f>
        <v>Sogamoso</v>
      </c>
      <c r="B7931" s="120" t="str">
        <f>IFERROR(__xludf.DUMMYFUNCTION("""COMPUTED_VALUE"""),"SOX")</f>
        <v>SOX</v>
      </c>
      <c r="C7931" s="120" t="str">
        <f>IFERROR(__xludf.DUMMYFUNCTION("""COMPUTED_VALUE"""),"Alberto Lleras Camargo")</f>
        <v>Alberto Lleras Camargo</v>
      </c>
      <c r="D7931" s="120" t="str">
        <f>IFERROR(__xludf.DUMMYFUNCTION("""COMPUTED_VALUE"""),"Colombia")</f>
        <v>Colombia</v>
      </c>
      <c r="E7931" s="135"/>
      <c r="F7931" s="31"/>
    </row>
    <row r="7932">
      <c r="A7932" s="134" t="str">
        <f>IFERROR(__xludf.DUMMYFUNCTION("""COMPUTED_VALUE"""),"Sogndal")</f>
        <v>Sogndal</v>
      </c>
      <c r="B7932" s="120" t="str">
        <f>IFERROR(__xludf.DUMMYFUNCTION("""COMPUTED_VALUE"""),"SOG")</f>
        <v>SOG</v>
      </c>
      <c r="C7932" s="120" t="str">
        <f>IFERROR(__xludf.DUMMYFUNCTION("""COMPUTED_VALUE"""),"Haukasen")</f>
        <v>Haukasen</v>
      </c>
      <c r="D7932" s="120" t="str">
        <f>IFERROR(__xludf.DUMMYFUNCTION("""COMPUTED_VALUE"""),"Norway")</f>
        <v>Norway</v>
      </c>
      <c r="E7932" s="135"/>
      <c r="F7932" s="31"/>
    </row>
    <row r="7933">
      <c r="A7933" s="134" t="str">
        <f>IFERROR(__xludf.DUMMYFUNCTION("""COMPUTED_VALUE"""),"Sokcho")</f>
        <v>Sokcho</v>
      </c>
      <c r="B7933" s="120" t="str">
        <f>IFERROR(__xludf.DUMMYFUNCTION("""COMPUTED_VALUE"""),"SHO")</f>
        <v>SHO</v>
      </c>
      <c r="C7933" s="120" t="str">
        <f>IFERROR(__xludf.DUMMYFUNCTION("""COMPUTED_VALUE"""),"Seolak")</f>
        <v>Seolak</v>
      </c>
      <c r="D7933" s="120" t="str">
        <f>IFERROR(__xludf.DUMMYFUNCTION("""COMPUTED_VALUE"""),"Korea (South)")</f>
        <v>Korea (South)</v>
      </c>
      <c r="E7933" s="135"/>
      <c r="F7933" s="31"/>
    </row>
    <row r="7934">
      <c r="A7934" s="134" t="str">
        <f>IFERROR(__xludf.DUMMYFUNCTION("""COMPUTED_VALUE"""),"Sokoto")</f>
        <v>Sokoto</v>
      </c>
      <c r="B7934" s="120" t="str">
        <f>IFERROR(__xludf.DUMMYFUNCTION("""COMPUTED_VALUE"""),"SKO")</f>
        <v>SKO</v>
      </c>
      <c r="C7934" s="120" t="str">
        <f>IFERROR(__xludf.DUMMYFUNCTION("""COMPUTED_VALUE"""),"Sokoto")</f>
        <v>Sokoto</v>
      </c>
      <c r="D7934" s="120" t="str">
        <f>IFERROR(__xludf.DUMMYFUNCTION("""COMPUTED_VALUE"""),"Nigeria")</f>
        <v>Nigeria</v>
      </c>
      <c r="E7934" s="135"/>
      <c r="F7934" s="31"/>
    </row>
    <row r="7935">
      <c r="A7935" s="134" t="str">
        <f>IFERROR(__xludf.DUMMYFUNCTION("""COMPUTED_VALUE"""),"Sola")</f>
        <v>Sola</v>
      </c>
      <c r="B7935" s="120" t="str">
        <f>IFERROR(__xludf.DUMMYFUNCTION("""COMPUTED_VALUE"""),"SLH")</f>
        <v>SLH</v>
      </c>
      <c r="C7935" s="120" t="str">
        <f>IFERROR(__xludf.DUMMYFUNCTION("""COMPUTED_VALUE"""),"Sola")</f>
        <v>Sola</v>
      </c>
      <c r="D7935" s="120" t="str">
        <f>IFERROR(__xludf.DUMMYFUNCTION("""COMPUTED_VALUE"""),"Vanuatu")</f>
        <v>Vanuatu</v>
      </c>
      <c r="E7935" s="135"/>
      <c r="F7935" s="31"/>
    </row>
    <row r="7936">
      <c r="A7936" s="134" t="str">
        <f>IFERROR(__xludf.DUMMYFUNCTION("""COMPUTED_VALUE"""),"Solano")</f>
        <v>Solano</v>
      </c>
      <c r="B7936" s="120" t="str">
        <f>IFERROR(__xludf.DUMMYFUNCTION("""COMPUTED_VALUE"""),"SQF")</f>
        <v>SQF</v>
      </c>
      <c r="C7936" s="120" t="str">
        <f>IFERROR(__xludf.DUMMYFUNCTION("""COMPUTED_VALUE"""),"Solano")</f>
        <v>Solano</v>
      </c>
      <c r="D7936" s="120" t="str">
        <f>IFERROR(__xludf.DUMMYFUNCTION("""COMPUTED_VALUE"""),"Colombia")</f>
        <v>Colombia</v>
      </c>
      <c r="E7936" s="135"/>
      <c r="F7936" s="31"/>
    </row>
    <row r="7937">
      <c r="A7937" s="134" t="str">
        <f>IFERROR(__xludf.DUMMYFUNCTION("""COMPUTED_VALUE"""),"Soldotna")</f>
        <v>Soldotna</v>
      </c>
      <c r="B7937" s="120" t="str">
        <f>IFERROR(__xludf.DUMMYFUNCTION("""COMPUTED_VALUE"""),"SXQ")</f>
        <v>SXQ</v>
      </c>
      <c r="C7937" s="120" t="str">
        <f>IFERROR(__xludf.DUMMYFUNCTION("""COMPUTED_VALUE"""),"Soldotna")</f>
        <v>Soldotna</v>
      </c>
      <c r="D7937" s="120" t="str">
        <f>IFERROR(__xludf.DUMMYFUNCTION("""COMPUTED_VALUE"""),"United States")</f>
        <v>United States</v>
      </c>
      <c r="E7937" s="135"/>
      <c r="F7937" s="31"/>
    </row>
    <row r="7938">
      <c r="A7938" s="134" t="str">
        <f>IFERROR(__xludf.DUMMYFUNCTION("""COMPUTED_VALUE"""),"Solenzara")</f>
        <v>Solenzara</v>
      </c>
      <c r="B7938" s="120" t="str">
        <f>IFERROR(__xludf.DUMMYFUNCTION("""COMPUTED_VALUE"""),"SOZ")</f>
        <v>SOZ</v>
      </c>
      <c r="C7938" s="120" t="str">
        <f>IFERROR(__xludf.DUMMYFUNCTION("""COMPUTED_VALUE"""),"Solenzara")</f>
        <v>Solenzara</v>
      </c>
      <c r="D7938" s="120" t="str">
        <f>IFERROR(__xludf.DUMMYFUNCTION("""COMPUTED_VALUE"""),"France")</f>
        <v>France</v>
      </c>
      <c r="E7938" s="135"/>
      <c r="F7938" s="31"/>
    </row>
    <row r="7939">
      <c r="A7939" s="134" t="str">
        <f>IFERROR(__xludf.DUMMYFUNCTION("""COMPUTED_VALUE"""),"Solita")</f>
        <v>Solita</v>
      </c>
      <c r="B7939" s="120" t="str">
        <f>IFERROR(__xludf.DUMMYFUNCTION("""COMPUTED_VALUE"""),"SOH")</f>
        <v>SOH</v>
      </c>
      <c r="C7939" s="120" t="str">
        <f>IFERROR(__xludf.DUMMYFUNCTION("""COMPUTED_VALUE"""),"Solita")</f>
        <v>Solita</v>
      </c>
      <c r="D7939" s="120" t="str">
        <f>IFERROR(__xludf.DUMMYFUNCTION("""COMPUTED_VALUE"""),"Colombia")</f>
        <v>Colombia</v>
      </c>
      <c r="E7939" s="135"/>
      <c r="F7939" s="31"/>
    </row>
    <row r="7940">
      <c r="A7940" s="134" t="str">
        <f>IFERROR(__xludf.DUMMYFUNCTION("""COMPUTED_VALUE"""),"Solo City")</f>
        <v>Solo City</v>
      </c>
      <c r="B7940" s="120" t="str">
        <f>IFERROR(__xludf.DUMMYFUNCTION("""COMPUTED_VALUE"""),"SOC")</f>
        <v>SOC</v>
      </c>
      <c r="C7940" s="120" t="str">
        <f>IFERROR(__xludf.DUMMYFUNCTION("""COMPUTED_VALUE"""),"Adi Sumarmo")</f>
        <v>Adi Sumarmo</v>
      </c>
      <c r="D7940" s="120" t="str">
        <f>IFERROR(__xludf.DUMMYFUNCTION("""COMPUTED_VALUE"""),"Indonesia")</f>
        <v>Indonesia</v>
      </c>
      <c r="E7940" s="135"/>
      <c r="F7940" s="31"/>
    </row>
    <row r="7941">
      <c r="A7941" s="134" t="str">
        <f>IFERROR(__xludf.DUMMYFUNCTION("""COMPUTED_VALUE"""),"Solomon")</f>
        <v>Solomon</v>
      </c>
      <c r="B7941" s="120" t="str">
        <f>IFERROR(__xludf.DUMMYFUNCTION("""COMPUTED_VALUE"""),"SOL")</f>
        <v>SOL</v>
      </c>
      <c r="C7941" s="120" t="str">
        <f>IFERROR(__xludf.DUMMYFUNCTION("""COMPUTED_VALUE"""),"Solomon")</f>
        <v>Solomon</v>
      </c>
      <c r="D7941" s="120" t="str">
        <f>IFERROR(__xludf.DUMMYFUNCTION("""COMPUTED_VALUE"""),"United States")</f>
        <v>United States</v>
      </c>
      <c r="E7941" s="135"/>
      <c r="F7941" s="31"/>
    </row>
    <row r="7942">
      <c r="A7942" s="134" t="str">
        <f>IFERROR(__xludf.DUMMYFUNCTION("""COMPUTED_VALUE"""),"Solovetsky")</f>
        <v>Solovetsky</v>
      </c>
      <c r="B7942" s="120" t="str">
        <f>IFERROR(__xludf.DUMMYFUNCTION("""COMPUTED_VALUE"""),"CSH")</f>
        <v>CSH</v>
      </c>
      <c r="C7942" s="120" t="str">
        <f>IFERROR(__xludf.DUMMYFUNCTION("""COMPUTED_VALUE"""),"Solovky")</f>
        <v>Solovky</v>
      </c>
      <c r="D7942" s="120" t="str">
        <f>IFERROR(__xludf.DUMMYFUNCTION("""COMPUTED_VALUE"""),"Russia")</f>
        <v>Russia</v>
      </c>
      <c r="E7942" s="135"/>
      <c r="F7942" s="31"/>
    </row>
    <row r="7943">
      <c r="A7943" s="134" t="str">
        <f>IFERROR(__xludf.DUMMYFUNCTION("""COMPUTED_VALUE"""),"Solvesborg")</f>
        <v>Solvesborg</v>
      </c>
      <c r="B7943" s="120" t="str">
        <f>IFERROR(__xludf.DUMMYFUNCTION("""COMPUTED_VALUE"""),"XYU")</f>
        <v>XYU</v>
      </c>
      <c r="C7943" s="120" t="str">
        <f>IFERROR(__xludf.DUMMYFUNCTION("""COMPUTED_VALUE"""),"Solvesborg")</f>
        <v>Solvesborg</v>
      </c>
      <c r="D7943" s="120" t="str">
        <f>IFERROR(__xludf.DUMMYFUNCTION("""COMPUTED_VALUE"""),"Sweden")</f>
        <v>Sweden</v>
      </c>
      <c r="E7943" s="135"/>
      <c r="F7943" s="31"/>
    </row>
    <row r="7944">
      <c r="A7944" s="134" t="str">
        <f>IFERROR(__xludf.DUMMYFUNCTION("""COMPUTED_VALUE"""),"Solwezi")</f>
        <v>Solwezi</v>
      </c>
      <c r="B7944" s="120" t="str">
        <f>IFERROR(__xludf.DUMMYFUNCTION("""COMPUTED_VALUE"""),"SLI")</f>
        <v>SLI</v>
      </c>
      <c r="C7944" s="120" t="str">
        <f>IFERROR(__xludf.DUMMYFUNCTION("""COMPUTED_VALUE"""),"Solwezi")</f>
        <v>Solwezi</v>
      </c>
      <c r="D7944" s="120" t="str">
        <f>IFERROR(__xludf.DUMMYFUNCTION("""COMPUTED_VALUE"""),"Zambia")</f>
        <v>Zambia</v>
      </c>
      <c r="E7944" s="135"/>
      <c r="F7944" s="31"/>
    </row>
    <row r="7945">
      <c r="A7945" s="134" t="str">
        <f>IFERROR(__xludf.DUMMYFUNCTION("""COMPUTED_VALUE"""),"Somerset")</f>
        <v>Somerset</v>
      </c>
      <c r="B7945" s="120" t="str">
        <f>IFERROR(__xludf.DUMMYFUNCTION("""COMPUTED_VALUE"""),"SME")</f>
        <v>SME</v>
      </c>
      <c r="C7945" s="120" t="str">
        <f>IFERROR(__xludf.DUMMYFUNCTION("""COMPUTED_VALUE"""),"Pulaski County")</f>
        <v>Pulaski County</v>
      </c>
      <c r="D7945" s="120" t="str">
        <f>IFERROR(__xludf.DUMMYFUNCTION("""COMPUTED_VALUE"""),"United States")</f>
        <v>United States</v>
      </c>
      <c r="E7945" s="135"/>
      <c r="F7945" s="31"/>
    </row>
    <row r="7946">
      <c r="A7946" s="134" t="str">
        <f>IFERROR(__xludf.DUMMYFUNCTION("""COMPUTED_VALUE"""),"Sonderborg")</f>
        <v>Sonderborg</v>
      </c>
      <c r="B7946" s="120" t="str">
        <f>IFERROR(__xludf.DUMMYFUNCTION("""COMPUTED_VALUE"""),"SGD")</f>
        <v>SGD</v>
      </c>
      <c r="C7946" s="120" t="str">
        <f>IFERROR(__xludf.DUMMYFUNCTION("""COMPUTED_VALUE"""),"Sonderborg")</f>
        <v>Sonderborg</v>
      </c>
      <c r="D7946" s="120" t="str">
        <f>IFERROR(__xludf.DUMMYFUNCTION("""COMPUTED_VALUE"""),"Denmark")</f>
        <v>Denmark</v>
      </c>
      <c r="E7946" s="135"/>
      <c r="F7946" s="31"/>
    </row>
    <row r="7947">
      <c r="A7947" s="134" t="str">
        <f>IFERROR(__xludf.DUMMYFUNCTION("""COMPUTED_VALUE"""),"Sonderborg")</f>
        <v>Sonderborg</v>
      </c>
      <c r="B7947" s="120" t="str">
        <f>IFERROR(__xludf.DUMMYFUNCTION("""COMPUTED_VALUE"""),"QSG")</f>
        <v>QSG</v>
      </c>
      <c r="C7947" s="120" t="str">
        <f>IFERROR(__xludf.DUMMYFUNCTION("""COMPUTED_VALUE"""),"Sonderborg")</f>
        <v>Sonderborg</v>
      </c>
      <c r="D7947" s="120" t="str">
        <f>IFERROR(__xludf.DUMMYFUNCTION("""COMPUTED_VALUE"""),"Denmark")</f>
        <v>Denmark</v>
      </c>
      <c r="E7947" s="135"/>
      <c r="F7947" s="31"/>
    </row>
    <row r="7948">
      <c r="A7948" s="134" t="str">
        <f>IFERROR(__xludf.DUMMYFUNCTION("""COMPUTED_VALUE"""),"Song Pan")</f>
        <v>Song Pan</v>
      </c>
      <c r="B7948" s="120" t="str">
        <f>IFERROR(__xludf.DUMMYFUNCTION("""COMPUTED_VALUE"""),"JZH")</f>
        <v>JZH</v>
      </c>
      <c r="C7948" s="120" t="str">
        <f>IFERROR(__xludf.DUMMYFUNCTION("""COMPUTED_VALUE"""),"Jiu Zhai Huang Long")</f>
        <v>Jiu Zhai Huang Long</v>
      </c>
      <c r="D7948" s="120" t="str">
        <f>IFERROR(__xludf.DUMMYFUNCTION("""COMPUTED_VALUE"""),"China")</f>
        <v>China</v>
      </c>
      <c r="E7948" s="135"/>
      <c r="F7948" s="31"/>
    </row>
    <row r="7949">
      <c r="A7949" s="134" t="str">
        <f>IFERROR(__xludf.DUMMYFUNCTION("""COMPUTED_VALUE"""),"Songea")</f>
        <v>Songea</v>
      </c>
      <c r="B7949" s="120" t="str">
        <f>IFERROR(__xludf.DUMMYFUNCTION("""COMPUTED_VALUE"""),"SGX")</f>
        <v>SGX</v>
      </c>
      <c r="C7949" s="120" t="str">
        <f>IFERROR(__xludf.DUMMYFUNCTION("""COMPUTED_VALUE"""),"Songea")</f>
        <v>Songea</v>
      </c>
      <c r="D7949" s="120" t="str">
        <f>IFERROR(__xludf.DUMMYFUNCTION("""COMPUTED_VALUE"""),"Tanzania")</f>
        <v>Tanzania</v>
      </c>
      <c r="E7949" s="135"/>
      <c r="F7949" s="31"/>
    </row>
    <row r="7950">
      <c r="A7950" s="134" t="str">
        <f>IFERROR(__xludf.DUMMYFUNCTION("""COMPUTED_VALUE"""),"Songkhla")</f>
        <v>Songkhla</v>
      </c>
      <c r="B7950" s="120" t="str">
        <f>IFERROR(__xludf.DUMMYFUNCTION("""COMPUTED_VALUE"""),"SGZ")</f>
        <v>SGZ</v>
      </c>
      <c r="C7950" s="120" t="str">
        <f>IFERROR(__xludf.DUMMYFUNCTION("""COMPUTED_VALUE"""),"Songkhla")</f>
        <v>Songkhla</v>
      </c>
      <c r="D7950" s="120" t="str">
        <f>IFERROR(__xludf.DUMMYFUNCTION("""COMPUTED_VALUE"""),"Thailand")</f>
        <v>Thailand</v>
      </c>
      <c r="E7950" s="135"/>
      <c r="F7950" s="31"/>
    </row>
    <row r="7951">
      <c r="A7951" s="134" t="str">
        <f>IFERROR(__xludf.DUMMYFUNCTION("""COMPUTED_VALUE"""),"Son-La")</f>
        <v>Son-La</v>
      </c>
      <c r="B7951" s="120" t="str">
        <f>IFERROR(__xludf.DUMMYFUNCTION("""COMPUTED_VALUE"""),"SQH")</f>
        <v>SQH</v>
      </c>
      <c r="C7951" s="120" t="str">
        <f>IFERROR(__xludf.DUMMYFUNCTION("""COMPUTED_VALUE"""),"Na-San")</f>
        <v>Na-San</v>
      </c>
      <c r="D7951" s="120" t="str">
        <f>IFERROR(__xludf.DUMMYFUNCTION("""COMPUTED_VALUE"""),"Vietnam")</f>
        <v>Vietnam</v>
      </c>
      <c r="E7951" s="135"/>
      <c r="F7951" s="31"/>
    </row>
    <row r="7952">
      <c r="A7952" s="134" t="str">
        <f>IFERROR(__xludf.DUMMYFUNCTION("""COMPUTED_VALUE"""),"Sophia Antipolis")</f>
        <v>Sophia Antipolis</v>
      </c>
      <c r="B7952" s="120" t="str">
        <f>IFERROR(__xludf.DUMMYFUNCTION("""COMPUTED_VALUE"""),"SXD")</f>
        <v>SXD</v>
      </c>
      <c r="C7952" s="120" t="str">
        <f>IFERROR(__xludf.DUMMYFUNCTION("""COMPUTED_VALUE"""),"Sophia Antipolis")</f>
        <v>Sophia Antipolis</v>
      </c>
      <c r="D7952" s="120" t="str">
        <f>IFERROR(__xludf.DUMMYFUNCTION("""COMPUTED_VALUE"""),"France")</f>
        <v>France</v>
      </c>
      <c r="E7952" s="135"/>
      <c r="F7952" s="31"/>
    </row>
    <row r="7953">
      <c r="A7953" s="134" t="str">
        <f>IFERROR(__xludf.DUMMYFUNCTION("""COMPUTED_VALUE"""),"Sopu")</f>
        <v>Sopu</v>
      </c>
      <c r="B7953" s="120" t="str">
        <f>IFERROR(__xludf.DUMMYFUNCTION("""COMPUTED_VALUE"""),"SPH")</f>
        <v>SPH</v>
      </c>
      <c r="C7953" s="120" t="str">
        <f>IFERROR(__xludf.DUMMYFUNCTION("""COMPUTED_VALUE"""),"Sopu")</f>
        <v>Sopu</v>
      </c>
      <c r="D7953" s="120" t="str">
        <f>IFERROR(__xludf.DUMMYFUNCTION("""COMPUTED_VALUE"""),"Papua New Guinea")</f>
        <v>Papua New Guinea</v>
      </c>
      <c r="E7953" s="135"/>
      <c r="F7953" s="31"/>
    </row>
    <row r="7954">
      <c r="A7954" s="134" t="str">
        <f>IFERROR(__xludf.DUMMYFUNCTION("""COMPUTED_VALUE"""),"Sorkjosen")</f>
        <v>Sorkjosen</v>
      </c>
      <c r="B7954" s="120" t="str">
        <f>IFERROR(__xludf.DUMMYFUNCTION("""COMPUTED_VALUE"""),"SOJ")</f>
        <v>SOJ</v>
      </c>
      <c r="C7954" s="120" t="str">
        <f>IFERROR(__xludf.DUMMYFUNCTION("""COMPUTED_VALUE"""),"Sorkjosen")</f>
        <v>Sorkjosen</v>
      </c>
      <c r="D7954" s="120" t="str">
        <f>IFERROR(__xludf.DUMMYFUNCTION("""COMPUTED_VALUE"""),"Norway")</f>
        <v>Norway</v>
      </c>
      <c r="E7954" s="135"/>
      <c r="F7954" s="31"/>
    </row>
    <row r="7955">
      <c r="A7955" s="134" t="str">
        <f>IFERROR(__xludf.DUMMYFUNCTION("""COMPUTED_VALUE"""),"Soroako")</f>
        <v>Soroako</v>
      </c>
      <c r="B7955" s="120" t="str">
        <f>IFERROR(__xludf.DUMMYFUNCTION("""COMPUTED_VALUE"""),"SQR")</f>
        <v>SQR</v>
      </c>
      <c r="C7955" s="120" t="str">
        <f>IFERROR(__xludf.DUMMYFUNCTION("""COMPUTED_VALUE"""),"Soroako")</f>
        <v>Soroako</v>
      </c>
      <c r="D7955" s="120" t="str">
        <f>IFERROR(__xludf.DUMMYFUNCTION("""COMPUTED_VALUE"""),"Indonesia")</f>
        <v>Indonesia</v>
      </c>
      <c r="E7955" s="135"/>
      <c r="F7955" s="31"/>
    </row>
    <row r="7956">
      <c r="A7956" s="134" t="str">
        <f>IFERROR(__xludf.DUMMYFUNCTION("""COMPUTED_VALUE"""),"Sorocaba")</f>
        <v>Sorocaba</v>
      </c>
      <c r="B7956" s="120" t="str">
        <f>IFERROR(__xludf.DUMMYFUNCTION("""COMPUTED_VALUE"""),"SOD")</f>
        <v>SOD</v>
      </c>
      <c r="C7956" s="120" t="str">
        <f>IFERROR(__xludf.DUMMYFUNCTION("""COMPUTED_VALUE"""),"Sorocaba")</f>
        <v>Sorocaba</v>
      </c>
      <c r="D7956" s="120" t="str">
        <f>IFERROR(__xludf.DUMMYFUNCTION("""COMPUTED_VALUE"""),"Brazil")</f>
        <v>Brazil</v>
      </c>
      <c r="E7956" s="135"/>
      <c r="F7956" s="31"/>
    </row>
    <row r="7957">
      <c r="A7957" s="134" t="str">
        <f>IFERROR(__xludf.DUMMYFUNCTION("""COMPUTED_VALUE"""),"Sorong")</f>
        <v>Sorong</v>
      </c>
      <c r="B7957" s="120" t="str">
        <f>IFERROR(__xludf.DUMMYFUNCTION("""COMPUTED_VALUE"""),"SOQ")</f>
        <v>SOQ</v>
      </c>
      <c r="C7957" s="120" t="str">
        <f>IFERROR(__xludf.DUMMYFUNCTION("""COMPUTED_VALUE"""),"Jefman")</f>
        <v>Jefman</v>
      </c>
      <c r="D7957" s="120" t="str">
        <f>IFERROR(__xludf.DUMMYFUNCTION("""COMPUTED_VALUE"""),"Indonesia")</f>
        <v>Indonesia</v>
      </c>
      <c r="E7957" s="135"/>
      <c r="F7957" s="31"/>
    </row>
    <row r="7958">
      <c r="A7958" s="134" t="str">
        <f>IFERROR(__xludf.DUMMYFUNCTION("""COMPUTED_VALUE"""),"Soroti")</f>
        <v>Soroti</v>
      </c>
      <c r="B7958" s="120" t="str">
        <f>IFERROR(__xludf.DUMMYFUNCTION("""COMPUTED_VALUE"""),"SRT")</f>
        <v>SRT</v>
      </c>
      <c r="C7958" s="120" t="str">
        <f>IFERROR(__xludf.DUMMYFUNCTION("""COMPUTED_VALUE"""),"Soroti")</f>
        <v>Soroti</v>
      </c>
      <c r="D7958" s="120" t="str">
        <f>IFERROR(__xludf.DUMMYFUNCTION("""COMPUTED_VALUE"""),"Uganda")</f>
        <v>Uganda</v>
      </c>
      <c r="E7958" s="135"/>
      <c r="F7958" s="31"/>
    </row>
    <row r="7959">
      <c r="A7959" s="134" t="str">
        <f>IFERROR(__xludf.DUMMYFUNCTION("""COMPUTED_VALUE"""),"Naples")</f>
        <v>Naples</v>
      </c>
      <c r="B7959" s="120" t="str">
        <f>IFERROR(__xludf.DUMMYFUNCTION("""COMPUTED_VALUE"""),"RRO")</f>
        <v>RRO</v>
      </c>
      <c r="C7959" s="120" t="str">
        <f>IFERROR(__xludf.DUMMYFUNCTION("""COMPUTED_VALUE"""),"Sorrento")</f>
        <v>Sorrento</v>
      </c>
      <c r="D7959" s="120" t="str">
        <f>IFERROR(__xludf.DUMMYFUNCTION("""COMPUTED_VALUE"""),"Italy")</f>
        <v>Italy</v>
      </c>
      <c r="E7959" s="135"/>
      <c r="F7959" s="31"/>
    </row>
    <row r="7960">
      <c r="A7960" s="134" t="str">
        <f>IFERROR(__xludf.DUMMYFUNCTION("""COMPUTED_VALUE"""),"Souanke")</f>
        <v>Souanke</v>
      </c>
      <c r="B7960" s="120" t="str">
        <f>IFERROR(__xludf.DUMMYFUNCTION("""COMPUTED_VALUE"""),"SOE")</f>
        <v>SOE</v>
      </c>
      <c r="C7960" s="120" t="str">
        <f>IFERROR(__xludf.DUMMYFUNCTION("""COMPUTED_VALUE"""),"Souanke")</f>
        <v>Souanke</v>
      </c>
      <c r="D7960" s="120" t="str">
        <f>IFERROR(__xludf.DUMMYFUNCTION("""COMPUTED_VALUE"""),"Congo")</f>
        <v>Congo</v>
      </c>
      <c r="E7960" s="135"/>
      <c r="F7960" s="31"/>
    </row>
    <row r="7961">
      <c r="A7961" s="134" t="str">
        <f>IFERROR(__xludf.DUMMYFUNCTION("""COMPUTED_VALUE"""),"Soure")</f>
        <v>Soure</v>
      </c>
      <c r="B7961" s="120" t="str">
        <f>IFERROR(__xludf.DUMMYFUNCTION("""COMPUTED_VALUE"""),"SFK")</f>
        <v>SFK</v>
      </c>
      <c r="C7961" s="120" t="str">
        <f>IFERROR(__xludf.DUMMYFUNCTION("""COMPUTED_VALUE"""),"Soure")</f>
        <v>Soure</v>
      </c>
      <c r="D7961" s="120" t="str">
        <f>IFERROR(__xludf.DUMMYFUNCTION("""COMPUTED_VALUE"""),"Brazil")</f>
        <v>Brazil</v>
      </c>
      <c r="E7961" s="135"/>
      <c r="F7961" s="31"/>
    </row>
    <row r="7962">
      <c r="A7962" s="134" t="str">
        <f>IFERROR(__xludf.DUMMYFUNCTION("""COMPUTED_VALUE"""),"South Andros")</f>
        <v>South Andros</v>
      </c>
      <c r="B7962" s="120" t="str">
        <f>IFERROR(__xludf.DUMMYFUNCTION("""COMPUTED_VALUE"""),"TZN")</f>
        <v>TZN</v>
      </c>
      <c r="C7962" s="120" t="str">
        <f>IFERROR(__xludf.DUMMYFUNCTION("""COMPUTED_VALUE"""),"South Andros")</f>
        <v>South Andros</v>
      </c>
      <c r="D7962" s="120" t="str">
        <f>IFERROR(__xludf.DUMMYFUNCTION("""COMPUTED_VALUE"""),"Bahamas")</f>
        <v>Bahamas</v>
      </c>
      <c r="E7962" s="135"/>
      <c r="F7962" s="31"/>
    </row>
    <row r="7963">
      <c r="A7963" s="134" t="str">
        <f>IFERROR(__xludf.DUMMYFUNCTION("""COMPUTED_VALUE"""),"South Bend")</f>
        <v>South Bend</v>
      </c>
      <c r="B7963" s="120" t="str">
        <f>IFERROR(__xludf.DUMMYFUNCTION("""COMPUTED_VALUE"""),"SBN")</f>
        <v>SBN</v>
      </c>
      <c r="C7963" s="120" t="str">
        <f>IFERROR(__xludf.DUMMYFUNCTION("""COMPUTED_VALUE"""),"South Bend Regional")</f>
        <v>South Bend Regional</v>
      </c>
      <c r="D7963" s="120" t="str">
        <f>IFERROR(__xludf.DUMMYFUNCTION("""COMPUTED_VALUE"""),"United States")</f>
        <v>United States</v>
      </c>
      <c r="E7963" s="135"/>
      <c r="F7963" s="31"/>
    </row>
    <row r="7964">
      <c r="A7964" s="134" t="str">
        <f>IFERROR(__xludf.DUMMYFUNCTION("""COMPUTED_VALUE"""),"South Caicos")</f>
        <v>South Caicos</v>
      </c>
      <c r="B7964" s="120" t="str">
        <f>IFERROR(__xludf.DUMMYFUNCTION("""COMPUTED_VALUE"""),"XSC")</f>
        <v>XSC</v>
      </c>
      <c r="C7964" s="120" t="str">
        <f>IFERROR(__xludf.DUMMYFUNCTION("""COMPUTED_VALUE"""),"International")</f>
        <v>International</v>
      </c>
      <c r="D7964" s="120" t="str">
        <f>IFERROR(__xludf.DUMMYFUNCTION("""COMPUTED_VALUE"""),"Turks and Caicos Islands")</f>
        <v>Turks and Caicos Islands</v>
      </c>
      <c r="E7964" s="135"/>
      <c r="F7964" s="31"/>
    </row>
    <row r="7965">
      <c r="A7965" s="134" t="str">
        <f>IFERROR(__xludf.DUMMYFUNCTION("""COMPUTED_VALUE"""),"South Galway")</f>
        <v>South Galway</v>
      </c>
      <c r="B7965" s="120" t="str">
        <f>IFERROR(__xludf.DUMMYFUNCTION("""COMPUTED_VALUE"""),"ZGL")</f>
        <v>ZGL</v>
      </c>
      <c r="C7965" s="120" t="str">
        <f>IFERROR(__xludf.DUMMYFUNCTION("""COMPUTED_VALUE"""),"South Galway")</f>
        <v>South Galway</v>
      </c>
      <c r="D7965" s="120" t="str">
        <f>IFERROR(__xludf.DUMMYFUNCTION("""COMPUTED_VALUE"""),"Australia")</f>
        <v>Australia</v>
      </c>
      <c r="E7965" s="135"/>
      <c r="F7965" s="31"/>
    </row>
    <row r="7966">
      <c r="A7966" s="134" t="str">
        <f>IFERROR(__xludf.DUMMYFUNCTION("""COMPUTED_VALUE"""),"South Indian Lake")</f>
        <v>South Indian Lake</v>
      </c>
      <c r="B7966" s="120" t="str">
        <f>IFERROR(__xludf.DUMMYFUNCTION("""COMPUTED_VALUE"""),"XSI")</f>
        <v>XSI</v>
      </c>
      <c r="C7966" s="120" t="str">
        <f>IFERROR(__xludf.DUMMYFUNCTION("""COMPUTED_VALUE"""),"South Indian Lake")</f>
        <v>South Indian Lake</v>
      </c>
      <c r="D7966" s="120" t="str">
        <f>IFERROR(__xludf.DUMMYFUNCTION("""COMPUTED_VALUE"""),"Canada")</f>
        <v>Canada</v>
      </c>
      <c r="E7966" s="135"/>
      <c r="F7966" s="31"/>
    </row>
    <row r="7967">
      <c r="A7967" s="134" t="str">
        <f>IFERROR(__xludf.DUMMYFUNCTION("""COMPUTED_VALUE"""),"South Lake Tahoe")</f>
        <v>South Lake Tahoe</v>
      </c>
      <c r="B7967" s="120" t="str">
        <f>IFERROR(__xludf.DUMMYFUNCTION("""COMPUTED_VALUE"""),"TVL")</f>
        <v>TVL</v>
      </c>
      <c r="C7967" s="120" t="str">
        <f>IFERROR(__xludf.DUMMYFUNCTION("""COMPUTED_VALUE"""),"South Lake Tahoe")</f>
        <v>South Lake Tahoe</v>
      </c>
      <c r="D7967" s="120" t="str">
        <f>IFERROR(__xludf.DUMMYFUNCTION("""COMPUTED_VALUE"""),"United States")</f>
        <v>United States</v>
      </c>
      <c r="E7967" s="135"/>
      <c r="F7967" s="31"/>
    </row>
    <row r="7968">
      <c r="A7968" s="134" t="str">
        <f>IFERROR(__xludf.DUMMYFUNCTION("""COMPUTED_VALUE"""),"South Molle Island")</f>
        <v>South Molle Island</v>
      </c>
      <c r="B7968" s="120" t="str">
        <f>IFERROR(__xludf.DUMMYFUNCTION("""COMPUTED_VALUE"""),"SOI")</f>
        <v>SOI</v>
      </c>
      <c r="C7968" s="120" t="str">
        <f>IFERROR(__xludf.DUMMYFUNCTION("""COMPUTED_VALUE"""),"South Molle Island")</f>
        <v>South Molle Island</v>
      </c>
      <c r="D7968" s="120" t="str">
        <f>IFERROR(__xludf.DUMMYFUNCTION("""COMPUTED_VALUE"""),"Australia")</f>
        <v>Australia</v>
      </c>
      <c r="E7968" s="135"/>
      <c r="F7968" s="31"/>
    </row>
    <row r="7969">
      <c r="A7969" s="134" t="str">
        <f>IFERROR(__xludf.DUMMYFUNCTION("""COMPUTED_VALUE"""),"South Naknek")</f>
        <v>South Naknek</v>
      </c>
      <c r="B7969" s="120" t="str">
        <f>IFERROR(__xludf.DUMMYFUNCTION("""COMPUTED_VALUE"""),"WSN")</f>
        <v>WSN</v>
      </c>
      <c r="C7969" s="120" t="str">
        <f>IFERROR(__xludf.DUMMYFUNCTION("""COMPUTED_VALUE"""),"South Naknek")</f>
        <v>South Naknek</v>
      </c>
      <c r="D7969" s="120" t="str">
        <f>IFERROR(__xludf.DUMMYFUNCTION("""COMPUTED_VALUE"""),"United States")</f>
        <v>United States</v>
      </c>
      <c r="E7969" s="135"/>
      <c r="F7969" s="31"/>
    </row>
    <row r="7970">
      <c r="A7970" s="134" t="str">
        <f>IFERROR(__xludf.DUMMYFUNCTION("""COMPUTED_VALUE"""),"South Trout Lake")</f>
        <v>South Trout Lake</v>
      </c>
      <c r="B7970" s="120" t="str">
        <f>IFERROR(__xludf.DUMMYFUNCTION("""COMPUTED_VALUE"""),"ZFL")</f>
        <v>ZFL</v>
      </c>
      <c r="C7970" s="120" t="str">
        <f>IFERROR(__xludf.DUMMYFUNCTION("""COMPUTED_VALUE"""),"South Trout Lake")</f>
        <v>South Trout Lake</v>
      </c>
      <c r="D7970" s="120" t="str">
        <f>IFERROR(__xludf.DUMMYFUNCTION("""COMPUTED_VALUE"""),"Canada")</f>
        <v>Canada</v>
      </c>
      <c r="E7970" s="135"/>
      <c r="F7970" s="31"/>
    </row>
    <row r="7971">
      <c r="A7971" s="134" t="str">
        <f>IFERROR(__xludf.DUMMYFUNCTION("""COMPUTED_VALUE"""),"South West Bay")</f>
        <v>South West Bay</v>
      </c>
      <c r="B7971" s="120" t="str">
        <f>IFERROR(__xludf.DUMMYFUNCTION("""COMPUTED_VALUE"""),"SWJ")</f>
        <v>SWJ</v>
      </c>
      <c r="C7971" s="120" t="str">
        <f>IFERROR(__xludf.DUMMYFUNCTION("""COMPUTED_VALUE"""),"South West Bay")</f>
        <v>South West Bay</v>
      </c>
      <c r="D7971" s="120" t="str">
        <f>IFERROR(__xludf.DUMMYFUNCTION("""COMPUTED_VALUE"""),"Vanuatu")</f>
        <v>Vanuatu</v>
      </c>
      <c r="E7971" s="135"/>
      <c r="F7971" s="31"/>
    </row>
    <row r="7972">
      <c r="A7972" s="134" t="str">
        <f>IFERROR(__xludf.DUMMYFUNCTION("""COMPUTED_VALUE"""),"South Weymouth")</f>
        <v>South Weymouth</v>
      </c>
      <c r="B7972" s="120" t="str">
        <f>IFERROR(__xludf.DUMMYFUNCTION("""COMPUTED_VALUE"""),"NZW")</f>
        <v>NZW</v>
      </c>
      <c r="C7972" s="120" t="str">
        <f>IFERROR(__xludf.DUMMYFUNCTION("""COMPUTED_VALUE"""),"South Weymouth")</f>
        <v>South Weymouth</v>
      </c>
      <c r="D7972" s="120" t="str">
        <f>IFERROR(__xludf.DUMMYFUNCTION("""COMPUTED_VALUE"""),"United States")</f>
        <v>United States</v>
      </c>
      <c r="E7972" s="135"/>
      <c r="F7972" s="31"/>
    </row>
    <row r="7973">
      <c r="A7973" s="134" t="str">
        <f>IFERROR(__xludf.DUMMYFUNCTION("""COMPUTED_VALUE"""),"Southampton")</f>
        <v>Southampton</v>
      </c>
      <c r="B7973" s="120" t="str">
        <f>IFERROR(__xludf.DUMMYFUNCTION("""COMPUTED_VALUE"""),"SOU")</f>
        <v>SOU</v>
      </c>
      <c r="C7973" s="120" t="str">
        <f>IFERROR(__xludf.DUMMYFUNCTION("""COMPUTED_VALUE"""),"Eastleigh")</f>
        <v>Eastleigh</v>
      </c>
      <c r="D7973" s="120" t="str">
        <f>IFERROR(__xludf.DUMMYFUNCTION("""COMPUTED_VALUE"""),"United Kingdom")</f>
        <v>United Kingdom</v>
      </c>
      <c r="E7973" s="135"/>
      <c r="F7973" s="31"/>
    </row>
    <row r="7974">
      <c r="A7974" s="134" t="str">
        <f>IFERROR(__xludf.DUMMYFUNCTION("""COMPUTED_VALUE"""),"Southend")</f>
        <v>Southend</v>
      </c>
      <c r="B7974" s="120" t="str">
        <f>IFERROR(__xludf.DUMMYFUNCTION("""COMPUTED_VALUE"""),"SEN")</f>
        <v>SEN</v>
      </c>
      <c r="C7974" s="120" t="str">
        <f>IFERROR(__xludf.DUMMYFUNCTION("""COMPUTED_VALUE"""),"London Southend")</f>
        <v>London Southend</v>
      </c>
      <c r="D7974" s="120" t="str">
        <f>IFERROR(__xludf.DUMMYFUNCTION("""COMPUTED_VALUE"""),"United Kingdom")</f>
        <v>United Kingdom</v>
      </c>
      <c r="E7974" s="135"/>
      <c r="F7974" s="31"/>
    </row>
    <row r="7975">
      <c r="A7975" s="134" t="str">
        <f>IFERROR(__xludf.DUMMYFUNCTION("""COMPUTED_VALUE"""),"Southern Cross")</f>
        <v>Southern Cross</v>
      </c>
      <c r="B7975" s="120" t="str">
        <f>IFERROR(__xludf.DUMMYFUNCTION("""COMPUTED_VALUE"""),"SQC")</f>
        <v>SQC</v>
      </c>
      <c r="C7975" s="120" t="str">
        <f>IFERROR(__xludf.DUMMYFUNCTION("""COMPUTED_VALUE"""),"Southern Cross")</f>
        <v>Southern Cross</v>
      </c>
      <c r="D7975" s="120" t="str">
        <f>IFERROR(__xludf.DUMMYFUNCTION("""COMPUTED_VALUE"""),"Australia")</f>
        <v>Australia</v>
      </c>
      <c r="E7975" s="135"/>
      <c r="F7975" s="31"/>
    </row>
    <row r="7976">
      <c r="A7976" s="134" t="str">
        <f>IFERROR(__xludf.DUMMYFUNCTION("""COMPUTED_VALUE"""),"Southern Pines")</f>
        <v>Southern Pines</v>
      </c>
      <c r="B7976" s="120" t="str">
        <f>IFERROR(__xludf.DUMMYFUNCTION("""COMPUTED_VALUE"""),"SOP")</f>
        <v>SOP</v>
      </c>
      <c r="C7976" s="120" t="str">
        <f>IFERROR(__xludf.DUMMYFUNCTION("""COMPUTED_VALUE"""),"Pinehurst-S. Pines")</f>
        <v>Pinehurst-S. Pines</v>
      </c>
      <c r="D7976" s="120" t="str">
        <f>IFERROR(__xludf.DUMMYFUNCTION("""COMPUTED_VALUE"""),"United States")</f>
        <v>United States</v>
      </c>
      <c r="E7976" s="135"/>
      <c r="F7976" s="31"/>
    </row>
    <row r="7977">
      <c r="A7977" s="134" t="str">
        <f>IFERROR(__xludf.DUMMYFUNCTION("""COMPUTED_VALUE"""),"Southport")</f>
        <v>Southport</v>
      </c>
      <c r="B7977" s="120" t="str">
        <f>IFERROR(__xludf.DUMMYFUNCTION("""COMPUTED_VALUE"""),"SHQ")</f>
        <v>SHQ</v>
      </c>
      <c r="C7977" s="120" t="str">
        <f>IFERROR(__xludf.DUMMYFUNCTION("""COMPUTED_VALUE"""),"Southport")</f>
        <v>Southport</v>
      </c>
      <c r="D7977" s="120" t="str">
        <f>IFERROR(__xludf.DUMMYFUNCTION("""COMPUTED_VALUE"""),"Australia")</f>
        <v>Australia</v>
      </c>
      <c r="E7977" s="135"/>
      <c r="F7977" s="31"/>
    </row>
    <row r="7978">
      <c r="A7978" s="134" t="str">
        <f>IFERROR(__xludf.DUMMYFUNCTION("""COMPUTED_VALUE"""),"Soyo")</f>
        <v>Soyo</v>
      </c>
      <c r="B7978" s="120" t="str">
        <f>IFERROR(__xludf.DUMMYFUNCTION("""COMPUTED_VALUE"""),"SZA")</f>
        <v>SZA</v>
      </c>
      <c r="C7978" s="120" t="str">
        <f>IFERROR(__xludf.DUMMYFUNCTION("""COMPUTED_VALUE"""),"Soyo")</f>
        <v>Soyo</v>
      </c>
      <c r="D7978" s="120" t="str">
        <f>IFERROR(__xludf.DUMMYFUNCTION("""COMPUTED_VALUE"""),"Angola")</f>
        <v>Angola</v>
      </c>
      <c r="E7978" s="135"/>
      <c r="F7978" s="31"/>
    </row>
    <row r="7979">
      <c r="A7979" s="134" t="str">
        <f>IFERROR(__xludf.DUMMYFUNCTION("""COMPUTED_VALUE"""),"Spangdahlem")</f>
        <v>Spangdahlem</v>
      </c>
      <c r="B7979" s="120" t="str">
        <f>IFERROR(__xludf.DUMMYFUNCTION("""COMPUTED_VALUE"""),"SPM")</f>
        <v>SPM</v>
      </c>
      <c r="C7979" s="120" t="str">
        <f>IFERROR(__xludf.DUMMYFUNCTION("""COMPUTED_VALUE"""),"Spangdahlem")</f>
        <v>Spangdahlem</v>
      </c>
      <c r="D7979" s="120" t="str">
        <f>IFERROR(__xludf.DUMMYFUNCTION("""COMPUTED_VALUE"""),"Germany")</f>
        <v>Germany</v>
      </c>
      <c r="E7979" s="135"/>
      <c r="F7979" s="31"/>
    </row>
    <row r="7980">
      <c r="A7980" s="134" t="str">
        <f>IFERROR(__xludf.DUMMYFUNCTION("""COMPUTED_VALUE"""),"Spanish Wells")</f>
        <v>Spanish Wells</v>
      </c>
      <c r="B7980" s="120" t="str">
        <f>IFERROR(__xludf.DUMMYFUNCTION("""COMPUTED_VALUE"""),"SWL")</f>
        <v>SWL</v>
      </c>
      <c r="C7980" s="120" t="str">
        <f>IFERROR(__xludf.DUMMYFUNCTION("""COMPUTED_VALUE"""),"Spanish Wells")</f>
        <v>Spanish Wells</v>
      </c>
      <c r="D7980" s="120" t="str">
        <f>IFERROR(__xludf.DUMMYFUNCTION("""COMPUTED_VALUE"""),"Bahamas")</f>
        <v>Bahamas</v>
      </c>
      <c r="E7980" s="135"/>
      <c r="F7980" s="31"/>
    </row>
    <row r="7981">
      <c r="A7981" s="134" t="str">
        <f>IFERROR(__xludf.DUMMYFUNCTION("""COMPUTED_VALUE"""),"Sparrevohn")</f>
        <v>Sparrevohn</v>
      </c>
      <c r="B7981" s="120" t="str">
        <f>IFERROR(__xludf.DUMMYFUNCTION("""COMPUTED_VALUE"""),"SVW")</f>
        <v>SVW</v>
      </c>
      <c r="C7981" s="120" t="str">
        <f>IFERROR(__xludf.DUMMYFUNCTION("""COMPUTED_VALUE"""),"Sparrevohn AFS")</f>
        <v>Sparrevohn AFS</v>
      </c>
      <c r="D7981" s="120" t="str">
        <f>IFERROR(__xludf.DUMMYFUNCTION("""COMPUTED_VALUE"""),"United States")</f>
        <v>United States</v>
      </c>
      <c r="E7981" s="135"/>
      <c r="F7981" s="31"/>
    </row>
    <row r="7982">
      <c r="A7982" s="134" t="str">
        <f>IFERROR(__xludf.DUMMYFUNCTION("""COMPUTED_VALUE"""),"Athens")</f>
        <v>Athens</v>
      </c>
      <c r="B7982" s="120" t="str">
        <f>IFERROR(__xludf.DUMMYFUNCTION("""COMPUTED_VALUE"""),"SPJ")</f>
        <v>SPJ</v>
      </c>
      <c r="C7982" s="120" t="str">
        <f>IFERROR(__xludf.DUMMYFUNCTION("""COMPUTED_VALUE"""),"Eleftherios Venizelos")</f>
        <v>Eleftherios Venizelos</v>
      </c>
      <c r="D7982" s="120" t="str">
        <f>IFERROR(__xludf.DUMMYFUNCTION("""COMPUTED_VALUE"""),"Greece")</f>
        <v>Greece</v>
      </c>
      <c r="E7982" s="135"/>
      <c r="F7982" s="31"/>
    </row>
    <row r="7983">
      <c r="A7983" s="134" t="str">
        <f>IFERROR(__xludf.DUMMYFUNCTION("""COMPUTED_VALUE"""),"Sparta")</f>
        <v>Sparta</v>
      </c>
      <c r="B7983" s="120" t="str">
        <f>IFERROR(__xludf.DUMMYFUNCTION("""COMPUTED_VALUE"""),"SAR")</f>
        <v>SAR</v>
      </c>
      <c r="C7983" s="120" t="str">
        <f>IFERROR(__xludf.DUMMYFUNCTION("""COMPUTED_VALUE"""),"Sparta Community")</f>
        <v>Sparta Community</v>
      </c>
      <c r="D7983" s="120" t="str">
        <f>IFERROR(__xludf.DUMMYFUNCTION("""COMPUTED_VALUE"""),"United States")</f>
        <v>United States</v>
      </c>
      <c r="E7983" s="135"/>
      <c r="F7983" s="31"/>
    </row>
    <row r="7984">
      <c r="A7984" s="134" t="str">
        <f>IFERROR(__xludf.DUMMYFUNCTION("""COMPUTED_VALUE"""),"Sparta")</f>
        <v>Sparta</v>
      </c>
      <c r="B7984" s="120" t="str">
        <f>IFERROR(__xludf.DUMMYFUNCTION("""COMPUTED_VALUE"""),"CMY")</f>
        <v>CMY</v>
      </c>
      <c r="C7984" s="120" t="str">
        <f>IFERROR(__xludf.DUMMYFUNCTION("""COMPUTED_VALUE"""),"Camp Mccoy AAF")</f>
        <v>Camp Mccoy AAF</v>
      </c>
      <c r="D7984" s="120" t="str">
        <f>IFERROR(__xludf.DUMMYFUNCTION("""COMPUTED_VALUE"""),"United States")</f>
        <v>United States</v>
      </c>
      <c r="E7984" s="135"/>
      <c r="F7984" s="31"/>
    </row>
    <row r="7985">
      <c r="A7985" s="134" t="str">
        <f>IFERROR(__xludf.DUMMYFUNCTION("""COMPUTED_VALUE"""),"Spartanburg")</f>
        <v>Spartanburg</v>
      </c>
      <c r="B7985" s="120" t="str">
        <f>IFERROR(__xludf.DUMMYFUNCTION("""COMPUTED_VALUE"""),"SPA")</f>
        <v>SPA</v>
      </c>
      <c r="C7985" s="120" t="str">
        <f>IFERROR(__xludf.DUMMYFUNCTION("""COMPUTED_VALUE"""),"Downtown Memorial")</f>
        <v>Downtown Memorial</v>
      </c>
      <c r="D7985" s="120" t="str">
        <f>IFERROR(__xludf.DUMMYFUNCTION("""COMPUTED_VALUE"""),"United States")</f>
        <v>United States</v>
      </c>
      <c r="E7985" s="135"/>
      <c r="F7985" s="31"/>
    </row>
    <row r="7986">
      <c r="A7986" s="134" t="str">
        <f>IFERROR(__xludf.DUMMYFUNCTION("""COMPUTED_VALUE"""),"Spearfish")</f>
        <v>Spearfish</v>
      </c>
      <c r="B7986" s="120" t="str">
        <f>IFERROR(__xludf.DUMMYFUNCTION("""COMPUTED_VALUE"""),"SPF")</f>
        <v>SPF</v>
      </c>
      <c r="C7986" s="120" t="str">
        <f>IFERROR(__xludf.DUMMYFUNCTION("""COMPUTED_VALUE"""),"Black Hills")</f>
        <v>Black Hills</v>
      </c>
      <c r="D7986" s="120" t="str">
        <f>IFERROR(__xludf.DUMMYFUNCTION("""COMPUTED_VALUE"""),"United States")</f>
        <v>United States</v>
      </c>
      <c r="E7986" s="135"/>
      <c r="F7986" s="31"/>
    </row>
    <row r="7987">
      <c r="A7987" s="134" t="str">
        <f>IFERROR(__xludf.DUMMYFUNCTION("""COMPUTED_VALUE"""),"Spencer")</f>
        <v>Spencer</v>
      </c>
      <c r="B7987" s="120" t="str">
        <f>IFERROR(__xludf.DUMMYFUNCTION("""COMPUTED_VALUE"""),"SPW")</f>
        <v>SPW</v>
      </c>
      <c r="C7987" s="120" t="str">
        <f>IFERROR(__xludf.DUMMYFUNCTION("""COMPUTED_VALUE"""),"Municipal")</f>
        <v>Municipal</v>
      </c>
      <c r="D7987" s="120" t="str">
        <f>IFERROR(__xludf.DUMMYFUNCTION("""COMPUTED_VALUE"""),"United States")</f>
        <v>United States</v>
      </c>
      <c r="E7987" s="135"/>
      <c r="F7987" s="31"/>
    </row>
    <row r="7988">
      <c r="A7988" s="134" t="str">
        <f>IFERROR(__xludf.DUMMYFUNCTION("""COMPUTED_VALUE"""),"Spetsai Island")</f>
        <v>Spetsai Island</v>
      </c>
      <c r="B7988" s="120" t="str">
        <f>IFERROR(__xludf.DUMMYFUNCTION("""COMPUTED_VALUE"""),"JSS")</f>
        <v>JSS</v>
      </c>
      <c r="C7988" s="120" t="str">
        <f>IFERROR(__xludf.DUMMYFUNCTION("""COMPUTED_VALUE"""),"Spetsai Island")</f>
        <v>Spetsai Island</v>
      </c>
      <c r="D7988" s="120" t="str">
        <f>IFERROR(__xludf.DUMMYFUNCTION("""COMPUTED_VALUE"""),"Greece")</f>
        <v>Greece</v>
      </c>
      <c r="E7988" s="135"/>
      <c r="F7988" s="31"/>
    </row>
    <row r="7989">
      <c r="A7989" s="134" t="str">
        <f>IFERROR(__xludf.DUMMYFUNCTION("""COMPUTED_VALUE"""),"Spiddal")</f>
        <v>Spiddal</v>
      </c>
      <c r="B7989" s="120" t="str">
        <f>IFERROR(__xludf.DUMMYFUNCTION("""COMPUTED_VALUE"""),"NNR")</f>
        <v>NNR</v>
      </c>
      <c r="C7989" s="120" t="str">
        <f>IFERROR(__xludf.DUMMYFUNCTION("""COMPUTED_VALUE"""),"Connemara")</f>
        <v>Connemara</v>
      </c>
      <c r="D7989" s="120" t="str">
        <f>IFERROR(__xludf.DUMMYFUNCTION("""COMPUTED_VALUE"""),"Ireland")</f>
        <v>Ireland</v>
      </c>
      <c r="E7989" s="135"/>
      <c r="F7989" s="31"/>
    </row>
    <row r="7990">
      <c r="A7990" s="134" t="str">
        <f>IFERROR(__xludf.DUMMYFUNCTION("""COMPUTED_VALUE"""),"Spirit Lake")</f>
        <v>Spirit Lake</v>
      </c>
      <c r="B7990" s="120" t="str">
        <f>IFERROR(__xludf.DUMMYFUNCTION("""COMPUTED_VALUE"""),"RTL")</f>
        <v>RTL</v>
      </c>
      <c r="C7990" s="120" t="str">
        <f>IFERROR(__xludf.DUMMYFUNCTION("""COMPUTED_VALUE"""),"Spirit Lake")</f>
        <v>Spirit Lake</v>
      </c>
      <c r="D7990" s="120" t="str">
        <f>IFERROR(__xludf.DUMMYFUNCTION("""COMPUTED_VALUE"""),"United States")</f>
        <v>United States</v>
      </c>
      <c r="E7990" s="135"/>
      <c r="F7990" s="31"/>
    </row>
    <row r="7991">
      <c r="A7991" s="134" t="str">
        <f>IFERROR(__xludf.DUMMYFUNCTION("""COMPUTED_VALUE"""),"Split")</f>
        <v>Split</v>
      </c>
      <c r="B7991" s="120" t="str">
        <f>IFERROR(__xludf.DUMMYFUNCTION("""COMPUTED_VALUE"""),"SPU")</f>
        <v>SPU</v>
      </c>
      <c r="C7991" s="120" t="str">
        <f>IFERROR(__xludf.DUMMYFUNCTION("""COMPUTED_VALUE"""),"Split")</f>
        <v>Split</v>
      </c>
      <c r="D7991" s="120" t="str">
        <f>IFERROR(__xludf.DUMMYFUNCTION("""COMPUTED_VALUE"""),"Croatia")</f>
        <v>Croatia</v>
      </c>
      <c r="E7991" s="135"/>
      <c r="F7991" s="31"/>
    </row>
    <row r="7992">
      <c r="A7992" s="134" t="str">
        <f>IFERROR(__xludf.DUMMYFUNCTION("""COMPUTED_VALUE"""),"Spokane")</f>
        <v>Spokane</v>
      </c>
      <c r="B7992" s="120" t="str">
        <f>IFERROR(__xludf.DUMMYFUNCTION("""COMPUTED_VALUE"""),"SKA")</f>
        <v>SKA</v>
      </c>
      <c r="C7992" s="120" t="str">
        <f>IFERROR(__xludf.DUMMYFUNCTION("""COMPUTED_VALUE"""),"Fairchild AFB")</f>
        <v>Fairchild AFB</v>
      </c>
      <c r="D7992" s="120" t="str">
        <f>IFERROR(__xludf.DUMMYFUNCTION("""COMPUTED_VALUE"""),"United States")</f>
        <v>United States</v>
      </c>
      <c r="E7992" s="135"/>
      <c r="F7992" s="31"/>
    </row>
    <row r="7993">
      <c r="A7993" s="134" t="str">
        <f>IFERROR(__xludf.DUMMYFUNCTION("""COMPUTED_VALUE"""),"Spokane")</f>
        <v>Spokane</v>
      </c>
      <c r="B7993" s="120" t="str">
        <f>IFERROR(__xludf.DUMMYFUNCTION("""COMPUTED_VALUE"""),"SFF")</f>
        <v>SFF</v>
      </c>
      <c r="C7993" s="120" t="str">
        <f>IFERROR(__xludf.DUMMYFUNCTION("""COMPUTED_VALUE"""),"Felts Field")</f>
        <v>Felts Field</v>
      </c>
      <c r="D7993" s="120" t="str">
        <f>IFERROR(__xludf.DUMMYFUNCTION("""COMPUTED_VALUE"""),"United States")</f>
        <v>United States</v>
      </c>
      <c r="E7993" s="135"/>
      <c r="F7993" s="31"/>
    </row>
    <row r="7994">
      <c r="A7994" s="134" t="str">
        <f>IFERROR(__xludf.DUMMYFUNCTION("""COMPUTED_VALUE"""),"Spokane")</f>
        <v>Spokane</v>
      </c>
      <c r="B7994" s="120" t="str">
        <f>IFERROR(__xludf.DUMMYFUNCTION("""COMPUTED_VALUE"""),"GEG")</f>
        <v>GEG</v>
      </c>
      <c r="C7994" s="120" t="str">
        <f>IFERROR(__xludf.DUMMYFUNCTION("""COMPUTED_VALUE"""),"International")</f>
        <v>International</v>
      </c>
      <c r="D7994" s="120" t="str">
        <f>IFERROR(__xludf.DUMMYFUNCTION("""COMPUTED_VALUE"""),"United States")</f>
        <v>United States</v>
      </c>
      <c r="E7994" s="135"/>
      <c r="F7994" s="31"/>
    </row>
    <row r="7995">
      <c r="A7995" s="134" t="str">
        <f>IFERROR(__xludf.DUMMYFUNCTION("""COMPUTED_VALUE"""),"Spring Creek")</f>
        <v>Spring Creek</v>
      </c>
      <c r="B7995" s="120" t="str">
        <f>IFERROR(__xludf.DUMMYFUNCTION("""COMPUTED_VALUE"""),"SCG")</f>
        <v>SCG</v>
      </c>
      <c r="C7995" s="120" t="str">
        <f>IFERROR(__xludf.DUMMYFUNCTION("""COMPUTED_VALUE"""),"Spring Creek")</f>
        <v>Spring Creek</v>
      </c>
      <c r="D7995" s="120" t="str">
        <f>IFERROR(__xludf.DUMMYFUNCTION("""COMPUTED_VALUE"""),"Australia")</f>
        <v>Australia</v>
      </c>
      <c r="E7995" s="135"/>
      <c r="F7995" s="31"/>
    </row>
    <row r="7996">
      <c r="A7996" s="134" t="str">
        <f>IFERROR(__xludf.DUMMYFUNCTION("""COMPUTED_VALUE"""),"Spring Island")</f>
        <v>Spring Island</v>
      </c>
      <c r="B7996" s="120" t="str">
        <f>IFERROR(__xludf.DUMMYFUNCTION("""COMPUTED_VALUE"""),"YSQ")</f>
        <v>YSQ</v>
      </c>
      <c r="C7996" s="120" t="str">
        <f>IFERROR(__xludf.DUMMYFUNCTION("""COMPUTED_VALUE"""),"Spring Island")</f>
        <v>Spring Island</v>
      </c>
      <c r="D7996" s="120" t="str">
        <f>IFERROR(__xludf.DUMMYFUNCTION("""COMPUTED_VALUE"""),"Canada")</f>
        <v>Canada</v>
      </c>
      <c r="E7996" s="135"/>
      <c r="F7996" s="31"/>
    </row>
    <row r="7997">
      <c r="A7997" s="134" t="str">
        <f>IFERROR(__xludf.DUMMYFUNCTION("""COMPUTED_VALUE"""),"Spring Point")</f>
        <v>Spring Point</v>
      </c>
      <c r="B7997" s="120" t="str">
        <f>IFERROR(__xludf.DUMMYFUNCTION("""COMPUTED_VALUE"""),"AXP")</f>
        <v>AXP</v>
      </c>
      <c r="C7997" s="120" t="str">
        <f>IFERROR(__xludf.DUMMYFUNCTION("""COMPUTED_VALUE"""),"Springpoint Arpt")</f>
        <v>Springpoint Arpt</v>
      </c>
      <c r="D7997" s="120" t="str">
        <f>IFERROR(__xludf.DUMMYFUNCTION("""COMPUTED_VALUE"""),"Bahamas")</f>
        <v>Bahamas</v>
      </c>
      <c r="E7997" s="135"/>
      <c r="F7997" s="31"/>
    </row>
    <row r="7998">
      <c r="A7998" s="134" t="str">
        <f>IFERROR(__xludf.DUMMYFUNCTION("""COMPUTED_VALUE"""),"Springbok")</f>
        <v>Springbok</v>
      </c>
      <c r="B7998" s="120" t="str">
        <f>IFERROR(__xludf.DUMMYFUNCTION("""COMPUTED_VALUE"""),"SBU")</f>
        <v>SBU</v>
      </c>
      <c r="C7998" s="120" t="str">
        <f>IFERROR(__xludf.DUMMYFUNCTION("""COMPUTED_VALUE"""),"Springbok")</f>
        <v>Springbok</v>
      </c>
      <c r="D7998" s="120" t="str">
        <f>IFERROR(__xludf.DUMMYFUNCTION("""COMPUTED_VALUE"""),"South Africa")</f>
        <v>South Africa</v>
      </c>
      <c r="E7998" s="135"/>
      <c r="F7998" s="31"/>
    </row>
    <row r="7999">
      <c r="A7999" s="134" t="str">
        <f>IFERROR(__xludf.DUMMYFUNCTION("""COMPUTED_VALUE"""),"Springdale")</f>
        <v>Springdale</v>
      </c>
      <c r="B7999" s="120" t="str">
        <f>IFERROR(__xludf.DUMMYFUNCTION("""COMPUTED_VALUE"""),"SPZ")</f>
        <v>SPZ</v>
      </c>
      <c r="C7999" s="120" t="str">
        <f>IFERROR(__xludf.DUMMYFUNCTION("""COMPUTED_VALUE"""),"Springdale Muni")</f>
        <v>Springdale Muni</v>
      </c>
      <c r="D7999" s="120" t="str">
        <f>IFERROR(__xludf.DUMMYFUNCTION("""COMPUTED_VALUE"""),"United States")</f>
        <v>United States</v>
      </c>
      <c r="E7999" s="135"/>
      <c r="F7999" s="31"/>
    </row>
    <row r="8000">
      <c r="A8000" s="134" t="str">
        <f>IFERROR(__xludf.DUMMYFUNCTION("""COMPUTED_VALUE"""),"Springfield")</f>
        <v>Springfield</v>
      </c>
      <c r="B8000" s="120" t="str">
        <f>IFERROR(__xludf.DUMMYFUNCTION("""COMPUTED_VALUE"""),"SPI")</f>
        <v>SPI</v>
      </c>
      <c r="C8000" s="120" t="str">
        <f>IFERROR(__xludf.DUMMYFUNCTION("""COMPUTED_VALUE"""),"Capital")</f>
        <v>Capital</v>
      </c>
      <c r="D8000" s="120" t="str">
        <f>IFERROR(__xludf.DUMMYFUNCTION("""COMPUTED_VALUE"""),"United States")</f>
        <v>United States</v>
      </c>
      <c r="E8000" s="135"/>
      <c r="F8000" s="31"/>
    </row>
    <row r="8001">
      <c r="A8001" s="134" t="str">
        <f>IFERROR(__xludf.DUMMYFUNCTION("""COMPUTED_VALUE"""),"Springfield")</f>
        <v>Springfield</v>
      </c>
      <c r="B8001" s="120" t="str">
        <f>IFERROR(__xludf.DUMMYFUNCTION("""COMPUTED_VALUE"""),"ZSF")</f>
        <v>ZSF</v>
      </c>
      <c r="C8001" s="120" t="str">
        <f>IFERROR(__xludf.DUMMYFUNCTION("""COMPUTED_VALUE"""),"Springfield MA RR")</f>
        <v>Springfield MA RR</v>
      </c>
      <c r="D8001" s="120" t="str">
        <f>IFERROR(__xludf.DUMMYFUNCTION("""COMPUTED_VALUE"""),"United States")</f>
        <v>United States</v>
      </c>
      <c r="E8001" s="135"/>
      <c r="F8001" s="31"/>
    </row>
    <row r="8002">
      <c r="A8002" s="134" t="str">
        <f>IFERROR(__xludf.DUMMYFUNCTION("""COMPUTED_VALUE"""),"Springfield")</f>
        <v>Springfield</v>
      </c>
      <c r="B8002" s="120" t="str">
        <f>IFERROR(__xludf.DUMMYFUNCTION("""COMPUTED_VALUE"""),"CEF")</f>
        <v>CEF</v>
      </c>
      <c r="C8002" s="120" t="str">
        <f>IFERROR(__xludf.DUMMYFUNCTION("""COMPUTED_VALUE"""),"Westover Metro Arpt")</f>
        <v>Westover Metro Arpt</v>
      </c>
      <c r="D8002" s="120" t="str">
        <f>IFERROR(__xludf.DUMMYFUNCTION("""COMPUTED_VALUE"""),"United States")</f>
        <v>United States</v>
      </c>
      <c r="E8002" s="135"/>
      <c r="F8002" s="31"/>
    </row>
    <row r="8003">
      <c r="A8003" s="134" t="str">
        <f>IFERROR(__xludf.DUMMYFUNCTION("""COMPUTED_VALUE"""),"Springfield")</f>
        <v>Springfield</v>
      </c>
      <c r="B8003" s="120" t="str">
        <f>IFERROR(__xludf.DUMMYFUNCTION("""COMPUTED_VALUE"""),"SGF")</f>
        <v>SGF</v>
      </c>
      <c r="C8003" s="120" t="str">
        <f>IFERROR(__xludf.DUMMYFUNCTION("""COMPUTED_VALUE"""),"Springfield-Branson Rg")</f>
        <v>Springfield-Branson Rg</v>
      </c>
      <c r="D8003" s="120" t="str">
        <f>IFERROR(__xludf.DUMMYFUNCTION("""COMPUTED_VALUE"""),"United States")</f>
        <v>United States</v>
      </c>
      <c r="E8003" s="135"/>
      <c r="F8003" s="31"/>
    </row>
    <row r="8004">
      <c r="A8004" s="134" t="str">
        <f>IFERROR(__xludf.DUMMYFUNCTION("""COMPUTED_VALUE"""),"Springfield")</f>
        <v>Springfield</v>
      </c>
      <c r="B8004" s="120" t="str">
        <f>IFERROR(__xludf.DUMMYFUNCTION("""COMPUTED_VALUE"""),"SGH")</f>
        <v>SGH</v>
      </c>
      <c r="C8004" s="120" t="str">
        <f>IFERROR(__xludf.DUMMYFUNCTION("""COMPUTED_VALUE"""),"Springfield")</f>
        <v>Springfield</v>
      </c>
      <c r="D8004" s="120" t="str">
        <f>IFERROR(__xludf.DUMMYFUNCTION("""COMPUTED_VALUE"""),"United States")</f>
        <v>United States</v>
      </c>
      <c r="E8004" s="135"/>
      <c r="F8004" s="31"/>
    </row>
    <row r="8005">
      <c r="A8005" s="134" t="str">
        <f>IFERROR(__xludf.DUMMYFUNCTION("""COMPUTED_VALUE"""),"Springfield")</f>
        <v>Springfield</v>
      </c>
      <c r="B8005" s="120" t="str">
        <f>IFERROR(__xludf.DUMMYFUNCTION("""COMPUTED_VALUE"""),"VSF")</f>
        <v>VSF</v>
      </c>
      <c r="C8005" s="120" t="str">
        <f>IFERROR(__xludf.DUMMYFUNCTION("""COMPUTED_VALUE"""),"State")</f>
        <v>State</v>
      </c>
      <c r="D8005" s="120" t="str">
        <f>IFERROR(__xludf.DUMMYFUNCTION("""COMPUTED_VALUE"""),"United States")</f>
        <v>United States</v>
      </c>
      <c r="E8005" s="135"/>
      <c r="F8005" s="31"/>
    </row>
    <row r="8006">
      <c r="A8006" s="134" t="str">
        <f>IFERROR(__xludf.DUMMYFUNCTION("""COMPUTED_VALUE"""),"Springvale")</f>
        <v>Springvale</v>
      </c>
      <c r="B8006" s="120" t="str">
        <f>IFERROR(__xludf.DUMMYFUNCTION("""COMPUTED_VALUE"""),"KSV")</f>
        <v>KSV</v>
      </c>
      <c r="C8006" s="120" t="str">
        <f>IFERROR(__xludf.DUMMYFUNCTION("""COMPUTED_VALUE"""),"Springvale")</f>
        <v>Springvale</v>
      </c>
      <c r="D8006" s="120" t="str">
        <f>IFERROR(__xludf.DUMMYFUNCTION("""COMPUTED_VALUE"""),"Australia")</f>
        <v>Australia</v>
      </c>
      <c r="E8006" s="135"/>
      <c r="F8006" s="31"/>
    </row>
    <row r="8007">
      <c r="A8007" s="134" t="str">
        <f>IFERROR(__xludf.DUMMYFUNCTION("""COMPUTED_VALUE"""),"Springvale")</f>
        <v>Springvale</v>
      </c>
      <c r="B8007" s="120" t="str">
        <f>IFERROR(__xludf.DUMMYFUNCTION("""COMPUTED_VALUE"""),"ZVG")</f>
        <v>ZVG</v>
      </c>
      <c r="C8007" s="120" t="str">
        <f>IFERROR(__xludf.DUMMYFUNCTION("""COMPUTED_VALUE"""),"Springvale")</f>
        <v>Springvale</v>
      </c>
      <c r="D8007" s="120" t="str">
        <f>IFERROR(__xludf.DUMMYFUNCTION("""COMPUTED_VALUE"""),"Australia")</f>
        <v>Australia</v>
      </c>
      <c r="E8007" s="135"/>
      <c r="F8007" s="31"/>
    </row>
    <row r="8008">
      <c r="A8008" s="134" t="str">
        <f>IFERROR(__xludf.DUMMYFUNCTION("""COMPUTED_VALUE"""),"Squamish")</f>
        <v>Squamish</v>
      </c>
      <c r="B8008" s="120" t="str">
        <f>IFERROR(__xludf.DUMMYFUNCTION("""COMPUTED_VALUE"""),"YSE")</f>
        <v>YSE</v>
      </c>
      <c r="C8008" s="120" t="str">
        <f>IFERROR(__xludf.DUMMYFUNCTION("""COMPUTED_VALUE"""),"Squamish")</f>
        <v>Squamish</v>
      </c>
      <c r="D8008" s="120" t="str">
        <f>IFERROR(__xludf.DUMMYFUNCTION("""COMPUTED_VALUE"""),"Canada")</f>
        <v>Canada</v>
      </c>
      <c r="E8008" s="135"/>
      <c r="F8008" s="31"/>
    </row>
    <row r="8009">
      <c r="A8009" s="134" t="str">
        <f>IFERROR(__xludf.DUMMYFUNCTION("""COMPUTED_VALUE"""),"Squirrel Cove")</f>
        <v>Squirrel Cove</v>
      </c>
      <c r="B8009" s="120" t="str">
        <f>IFERROR(__xludf.DUMMYFUNCTION("""COMPUTED_VALUE"""),"YSZ")</f>
        <v>YSZ</v>
      </c>
      <c r="C8009" s="120" t="str">
        <f>IFERROR(__xludf.DUMMYFUNCTION("""COMPUTED_VALUE"""),"Squirrel Cove")</f>
        <v>Squirrel Cove</v>
      </c>
      <c r="D8009" s="120" t="str">
        <f>IFERROR(__xludf.DUMMYFUNCTION("""COMPUTED_VALUE"""),"Canada")</f>
        <v>Canada</v>
      </c>
      <c r="E8009" s="135"/>
      <c r="F8009" s="31"/>
    </row>
    <row r="8010">
      <c r="A8010" s="134" t="str">
        <f>IFERROR(__xludf.DUMMYFUNCTION("""COMPUTED_VALUE"""),"Srinagar")</f>
        <v>Srinagar</v>
      </c>
      <c r="B8010" s="120" t="str">
        <f>IFERROR(__xludf.DUMMYFUNCTION("""COMPUTED_VALUE"""),"SXR")</f>
        <v>SXR</v>
      </c>
      <c r="C8010" s="120" t="str">
        <f>IFERROR(__xludf.DUMMYFUNCTION("""COMPUTED_VALUE"""),"Srinagar")</f>
        <v>Srinagar</v>
      </c>
      <c r="D8010" s="120" t="str">
        <f>IFERROR(__xludf.DUMMYFUNCTION("""COMPUTED_VALUE"""),"India")</f>
        <v>India</v>
      </c>
      <c r="E8010" s="135"/>
      <c r="F8010" s="31"/>
    </row>
    <row r="8011">
      <c r="A8011" s="134" t="str">
        <f>IFERROR(__xludf.DUMMYFUNCTION("""COMPUTED_VALUE"""),"St Andrews")</f>
        <v>St Andrews</v>
      </c>
      <c r="B8011" s="120" t="str">
        <f>IFERROR(__xludf.DUMMYFUNCTION("""COMPUTED_VALUE"""),"ADX")</f>
        <v>ADX</v>
      </c>
      <c r="C8011" s="120" t="str">
        <f>IFERROR(__xludf.DUMMYFUNCTION("""COMPUTED_VALUE"""),"Leuchars")</f>
        <v>Leuchars</v>
      </c>
      <c r="D8011" s="120" t="str">
        <f>IFERROR(__xludf.DUMMYFUNCTION("""COMPUTED_VALUE"""),"United Kingdom")</f>
        <v>United Kingdom</v>
      </c>
      <c r="E8011" s="135"/>
      <c r="F8011" s="31"/>
    </row>
    <row r="8012">
      <c r="A8012" s="134" t="str">
        <f>IFERROR(__xludf.DUMMYFUNCTION("""COMPUTED_VALUE"""),"St Anthony")</f>
        <v>St Anthony</v>
      </c>
      <c r="B8012" s="120" t="str">
        <f>IFERROR(__xludf.DUMMYFUNCTION("""COMPUTED_VALUE"""),"YAY")</f>
        <v>YAY</v>
      </c>
      <c r="C8012" s="120" t="str">
        <f>IFERROR(__xludf.DUMMYFUNCTION("""COMPUTED_VALUE"""),"St Anthony")</f>
        <v>St Anthony</v>
      </c>
      <c r="D8012" s="120" t="str">
        <f>IFERROR(__xludf.DUMMYFUNCTION("""COMPUTED_VALUE"""),"Canada")</f>
        <v>Canada</v>
      </c>
      <c r="E8012" s="135"/>
      <c r="F8012" s="31"/>
    </row>
    <row r="8013">
      <c r="A8013" s="134" t="str">
        <f>IFERROR(__xludf.DUMMYFUNCTION("""COMPUTED_VALUE"""),"St Anton")</f>
        <v>St Anton</v>
      </c>
      <c r="B8013" s="120" t="str">
        <f>IFERROR(__xludf.DUMMYFUNCTION("""COMPUTED_VALUE"""),"ANT")</f>
        <v>ANT</v>
      </c>
      <c r="C8013" s="120" t="str">
        <f>IFERROR(__xludf.DUMMYFUNCTION("""COMPUTED_VALUE"""),"St Anton")</f>
        <v>St Anton</v>
      </c>
      <c r="D8013" s="120" t="str">
        <f>IFERROR(__xludf.DUMMYFUNCTION("""COMPUTED_VALUE"""),"Austria")</f>
        <v>Austria</v>
      </c>
      <c r="E8013" s="135"/>
      <c r="F8013" s="31"/>
    </row>
    <row r="8014">
      <c r="A8014" s="134" t="str">
        <f>IFERROR(__xludf.DUMMYFUNCTION("""COMPUTED_VALUE"""),"St Augustine")</f>
        <v>St Augustine</v>
      </c>
      <c r="B8014" s="120" t="str">
        <f>IFERROR(__xludf.DUMMYFUNCTION("""COMPUTED_VALUE"""),"UST")</f>
        <v>UST</v>
      </c>
      <c r="C8014" s="120" t="str">
        <f>IFERROR(__xludf.DUMMYFUNCTION("""COMPUTED_VALUE"""),"St Augustine")</f>
        <v>St Augustine</v>
      </c>
      <c r="D8014" s="120" t="str">
        <f>IFERROR(__xludf.DUMMYFUNCTION("""COMPUTED_VALUE"""),"United States")</f>
        <v>United States</v>
      </c>
      <c r="E8014" s="135"/>
      <c r="F8014" s="31"/>
    </row>
    <row r="8015">
      <c r="A8015" s="134" t="str">
        <f>IFERROR(__xludf.DUMMYFUNCTION("""COMPUTED_VALUE"""),"St Barthelemy")</f>
        <v>St Barthelemy</v>
      </c>
      <c r="B8015" s="120" t="str">
        <f>IFERROR(__xludf.DUMMYFUNCTION("""COMPUTED_VALUE"""),"SBH")</f>
        <v>SBH</v>
      </c>
      <c r="C8015" s="120" t="str">
        <f>IFERROR(__xludf.DUMMYFUNCTION("""COMPUTED_VALUE"""),"St Barthelemy")</f>
        <v>St Barthelemy</v>
      </c>
      <c r="D8015" s="120" t="str">
        <f>IFERROR(__xludf.DUMMYFUNCTION("""COMPUTED_VALUE"""),"Guadeloupe")</f>
        <v>Guadeloupe</v>
      </c>
      <c r="E8015" s="135"/>
      <c r="F8015" s="31"/>
    </row>
    <row r="8016">
      <c r="A8016" s="134" t="str">
        <f>IFERROR(__xludf.DUMMYFUNCTION("""COMPUTED_VALUE"""),"St Brieuc")</f>
        <v>St Brieuc</v>
      </c>
      <c r="B8016" s="120" t="str">
        <f>IFERROR(__xludf.DUMMYFUNCTION("""COMPUTED_VALUE"""),"SBK")</f>
        <v>SBK</v>
      </c>
      <c r="C8016" s="120" t="str">
        <f>IFERROR(__xludf.DUMMYFUNCTION("""COMPUTED_VALUE"""),"Tremuson")</f>
        <v>Tremuson</v>
      </c>
      <c r="D8016" s="120" t="str">
        <f>IFERROR(__xludf.DUMMYFUNCTION("""COMPUTED_VALUE"""),"France")</f>
        <v>France</v>
      </c>
      <c r="E8016" s="135"/>
      <c r="F8016" s="31"/>
    </row>
    <row r="8017">
      <c r="A8017" s="134" t="str">
        <f>IFERROR(__xludf.DUMMYFUNCTION("""COMPUTED_VALUE"""),"St Catharines")</f>
        <v>St Catharines</v>
      </c>
      <c r="B8017" s="120" t="str">
        <f>IFERROR(__xludf.DUMMYFUNCTION("""COMPUTED_VALUE"""),"YCM")</f>
        <v>YCM</v>
      </c>
      <c r="C8017" s="120" t="str">
        <f>IFERROR(__xludf.DUMMYFUNCTION("""COMPUTED_VALUE"""),"St Catharines")</f>
        <v>St Catharines</v>
      </c>
      <c r="D8017" s="120" t="str">
        <f>IFERROR(__xludf.DUMMYFUNCTION("""COMPUTED_VALUE"""),"Canada")</f>
        <v>Canada</v>
      </c>
      <c r="E8017" s="135"/>
      <c r="F8017" s="31"/>
    </row>
    <row r="8018">
      <c r="A8018" s="134" t="str">
        <f>IFERROR(__xludf.DUMMYFUNCTION("""COMPUTED_VALUE"""),"St Crepin")</f>
        <v>St Crepin</v>
      </c>
      <c r="B8018" s="120" t="str">
        <f>IFERROR(__xludf.DUMMYFUNCTION("""COMPUTED_VALUE"""),"SCP")</f>
        <v>SCP</v>
      </c>
      <c r="C8018" s="120" t="str">
        <f>IFERROR(__xludf.DUMMYFUNCTION("""COMPUTED_VALUE"""),"St Crepin")</f>
        <v>St Crepin</v>
      </c>
      <c r="D8018" s="120" t="str">
        <f>IFERROR(__xludf.DUMMYFUNCTION("""COMPUTED_VALUE"""),"France")</f>
        <v>France</v>
      </c>
      <c r="E8018" s="135"/>
      <c r="F8018" s="31"/>
    </row>
    <row r="8019">
      <c r="A8019" s="134" t="str">
        <f>IFERROR(__xludf.DUMMYFUNCTION("""COMPUTED_VALUE"""),"St Croix Island")</f>
        <v>St Croix Island</v>
      </c>
      <c r="B8019" s="120" t="str">
        <f>IFERROR(__xludf.DUMMYFUNCTION("""COMPUTED_VALUE"""),"STX")</f>
        <v>STX</v>
      </c>
      <c r="C8019" s="120" t="str">
        <f>IFERROR(__xludf.DUMMYFUNCTION("""COMPUTED_VALUE"""),"Alex Hamilton")</f>
        <v>Alex Hamilton</v>
      </c>
      <c r="D8019" s="120" t="str">
        <f>IFERROR(__xludf.DUMMYFUNCTION("""COMPUTED_VALUE"""),"Virgin Islands(U.S.)")</f>
        <v>Virgin Islands(U.S.)</v>
      </c>
      <c r="E8019" s="135"/>
      <c r="F8019" s="31"/>
    </row>
    <row r="8020">
      <c r="A8020" s="134" t="str">
        <f>IFERROR(__xludf.DUMMYFUNCTION("""COMPUTED_VALUE"""),"St Croix Island")</f>
        <v>St Croix Island</v>
      </c>
      <c r="B8020" s="120" t="str">
        <f>IFERROR(__xludf.DUMMYFUNCTION("""COMPUTED_VALUE"""),"JCD")</f>
        <v>JCD</v>
      </c>
      <c r="C8020" s="120" t="str">
        <f>IFERROR(__xludf.DUMMYFUNCTION("""COMPUTED_VALUE"""),"Downtown Heliport")</f>
        <v>Downtown Heliport</v>
      </c>
      <c r="D8020" s="120" t="str">
        <f>IFERROR(__xludf.DUMMYFUNCTION("""COMPUTED_VALUE"""),"Virgin Islands(U.S.)")</f>
        <v>Virgin Islands(U.S.)</v>
      </c>
      <c r="E8020" s="135"/>
      <c r="F8020" s="31"/>
    </row>
    <row r="8021">
      <c r="A8021" s="134" t="str">
        <f>IFERROR(__xludf.DUMMYFUNCTION("""COMPUTED_VALUE"""),"St Croix Island")</f>
        <v>St Croix Island</v>
      </c>
      <c r="B8021" s="120" t="str">
        <f>IFERROR(__xludf.DUMMYFUNCTION("""COMPUTED_VALUE"""),"SSB")</f>
        <v>SSB</v>
      </c>
      <c r="C8021" s="120" t="str">
        <f>IFERROR(__xludf.DUMMYFUNCTION("""COMPUTED_VALUE"""),"SPB")</f>
        <v>SPB</v>
      </c>
      <c r="D8021" s="120" t="str">
        <f>IFERROR(__xludf.DUMMYFUNCTION("""COMPUTED_VALUE"""),"Virgin Islands(U.S.)")</f>
        <v>Virgin Islands(U.S.)</v>
      </c>
      <c r="E8021" s="135"/>
      <c r="F8021" s="31"/>
    </row>
    <row r="8022">
      <c r="A8022" s="134" t="str">
        <f>IFERROR(__xludf.DUMMYFUNCTION("""COMPUTED_VALUE"""),"St Denis de la Reunion")</f>
        <v>St Denis de la Reunion</v>
      </c>
      <c r="B8022" s="120" t="str">
        <f>IFERROR(__xludf.DUMMYFUNCTION("""COMPUTED_VALUE"""),"RUN")</f>
        <v>RUN</v>
      </c>
      <c r="C8022" s="120" t="str">
        <f>IFERROR(__xludf.DUMMYFUNCTION("""COMPUTED_VALUE"""),"Gillot")</f>
        <v>Gillot</v>
      </c>
      <c r="D8022" s="120" t="str">
        <f>IFERROR(__xludf.DUMMYFUNCTION("""COMPUTED_VALUE"""),"Reunion")</f>
        <v>Reunion</v>
      </c>
      <c r="E8022" s="135"/>
      <c r="F8022" s="31"/>
    </row>
    <row r="8023">
      <c r="A8023" s="134" t="str">
        <f>IFERROR(__xludf.DUMMYFUNCTION("""COMPUTED_VALUE"""),"St Etienne")</f>
        <v>St Etienne</v>
      </c>
      <c r="B8023" s="120" t="str">
        <f>IFERROR(__xludf.DUMMYFUNCTION("""COMPUTED_VALUE"""),"EBU")</f>
        <v>EBU</v>
      </c>
      <c r="C8023" s="120" t="str">
        <f>IFERROR(__xludf.DUMMYFUNCTION("""COMPUTED_VALUE"""),"Boutheon")</f>
        <v>Boutheon</v>
      </c>
      <c r="D8023" s="120" t="str">
        <f>IFERROR(__xludf.DUMMYFUNCTION("""COMPUTED_VALUE"""),"France")</f>
        <v>France</v>
      </c>
      <c r="E8023" s="135"/>
      <c r="F8023" s="31"/>
    </row>
    <row r="8024">
      <c r="A8024" s="134" t="str">
        <f>IFERROR(__xludf.DUMMYFUNCTION("""COMPUTED_VALUE"""),"St Eustatius")</f>
        <v>St Eustatius</v>
      </c>
      <c r="B8024" s="120" t="str">
        <f>IFERROR(__xludf.DUMMYFUNCTION("""COMPUTED_VALUE"""),"EUX")</f>
        <v>EUX</v>
      </c>
      <c r="C8024" s="120" t="str">
        <f>IFERROR(__xludf.DUMMYFUNCTION("""COMPUTED_VALUE"""),"F D Roosevelt")</f>
        <v>F D Roosevelt</v>
      </c>
      <c r="D8024" s="120" t="str">
        <f>IFERROR(__xludf.DUMMYFUNCTION("""COMPUTED_VALUE"""),"Netherlands Antilles")</f>
        <v>Netherlands Antilles</v>
      </c>
      <c r="E8024" s="135"/>
      <c r="F8024" s="31"/>
    </row>
    <row r="8025">
      <c r="A8025" s="134" t="str">
        <f>IFERROR(__xludf.DUMMYFUNCTION("""COMPUTED_VALUE"""),"St Francois")</f>
        <v>St Francois</v>
      </c>
      <c r="B8025" s="120" t="str">
        <f>IFERROR(__xludf.DUMMYFUNCTION("""COMPUTED_VALUE"""),"SFC")</f>
        <v>SFC</v>
      </c>
      <c r="C8025" s="120" t="str">
        <f>IFERROR(__xludf.DUMMYFUNCTION("""COMPUTED_VALUE"""),"St Francois")</f>
        <v>St Francois</v>
      </c>
      <c r="D8025" s="120" t="str">
        <f>IFERROR(__xludf.DUMMYFUNCTION("""COMPUTED_VALUE"""),"Guadeloupe")</f>
        <v>Guadeloupe</v>
      </c>
      <c r="E8025" s="135"/>
      <c r="F8025" s="31"/>
    </row>
    <row r="8026">
      <c r="A8026" s="134" t="str">
        <f>IFERROR(__xludf.DUMMYFUNCTION("""COMPUTED_VALUE"""),"St George")</f>
        <v>St George</v>
      </c>
      <c r="B8026" s="120" t="str">
        <f>IFERROR(__xludf.DUMMYFUNCTION("""COMPUTED_VALUE"""),"SGO")</f>
        <v>SGO</v>
      </c>
      <c r="C8026" s="120" t="str">
        <f>IFERROR(__xludf.DUMMYFUNCTION("""COMPUTED_VALUE"""),"St George")</f>
        <v>St George</v>
      </c>
      <c r="D8026" s="120" t="str">
        <f>IFERROR(__xludf.DUMMYFUNCTION("""COMPUTED_VALUE"""),"Australia")</f>
        <v>Australia</v>
      </c>
      <c r="E8026" s="135"/>
      <c r="F8026" s="31"/>
    </row>
    <row r="8027">
      <c r="A8027" s="134" t="str">
        <f>IFERROR(__xludf.DUMMYFUNCTION("""COMPUTED_VALUE"""),"St George Island")</f>
        <v>St George Island</v>
      </c>
      <c r="B8027" s="120" t="str">
        <f>IFERROR(__xludf.DUMMYFUNCTION("""COMPUTED_VALUE"""),"STG")</f>
        <v>STG</v>
      </c>
      <c r="C8027" s="120" t="str">
        <f>IFERROR(__xludf.DUMMYFUNCTION("""COMPUTED_VALUE"""),"St George Island")</f>
        <v>St George Island</v>
      </c>
      <c r="D8027" s="120" t="str">
        <f>IFERROR(__xludf.DUMMYFUNCTION("""COMPUTED_VALUE"""),"United States")</f>
        <v>United States</v>
      </c>
      <c r="E8027" s="135"/>
      <c r="F8027" s="31"/>
    </row>
    <row r="8028">
      <c r="A8028" s="134" t="str">
        <f>IFERROR(__xludf.DUMMYFUNCTION("""COMPUTED_VALUE"""),"St Georges de lOyapock")</f>
        <v>St Georges de lOyapock</v>
      </c>
      <c r="B8028" s="120" t="str">
        <f>IFERROR(__xludf.DUMMYFUNCTION("""COMPUTED_VALUE"""),"OYP")</f>
        <v>OYP</v>
      </c>
      <c r="C8028" s="120" t="str">
        <f>IFERROR(__xludf.DUMMYFUNCTION("""COMPUTED_VALUE"""),"St-Georges de lOyapock")</f>
        <v>St-Georges de lOyapock</v>
      </c>
      <c r="D8028" s="120" t="str">
        <f>IFERROR(__xludf.DUMMYFUNCTION("""COMPUTED_VALUE"""),"French Guiana")</f>
        <v>French Guiana</v>
      </c>
      <c r="E8028" s="135"/>
      <c r="F8028" s="31"/>
    </row>
    <row r="8029">
      <c r="A8029" s="134" t="str">
        <f>IFERROR(__xludf.DUMMYFUNCTION("""COMPUTED_VALUE"""),"St Helens")</f>
        <v>St Helens</v>
      </c>
      <c r="B8029" s="120" t="str">
        <f>IFERROR(__xludf.DUMMYFUNCTION("""COMPUTED_VALUE"""),"HLS")</f>
        <v>HLS</v>
      </c>
      <c r="C8029" s="120" t="str">
        <f>IFERROR(__xludf.DUMMYFUNCTION("""COMPUTED_VALUE"""),"St Helens")</f>
        <v>St Helens</v>
      </c>
      <c r="D8029" s="120" t="str">
        <f>IFERROR(__xludf.DUMMYFUNCTION("""COMPUTED_VALUE"""),"Australia")</f>
        <v>Australia</v>
      </c>
      <c r="E8029" s="135"/>
      <c r="F8029" s="31"/>
    </row>
    <row r="8030">
      <c r="A8030" s="134" t="str">
        <f>IFERROR(__xludf.DUMMYFUNCTION("""COMPUTED_VALUE"""),"St Jean")</f>
        <v>St Jean</v>
      </c>
      <c r="B8030" s="120" t="str">
        <f>IFERROR(__xludf.DUMMYFUNCTION("""COMPUTED_VALUE"""),"YJN")</f>
        <v>YJN</v>
      </c>
      <c r="C8030" s="120" t="str">
        <f>IFERROR(__xludf.DUMMYFUNCTION("""COMPUTED_VALUE"""),"St Jean")</f>
        <v>St Jean</v>
      </c>
      <c r="D8030" s="120" t="str">
        <f>IFERROR(__xludf.DUMMYFUNCTION("""COMPUTED_VALUE"""),"Canada")</f>
        <v>Canada</v>
      </c>
      <c r="E8030" s="135"/>
      <c r="F8030" s="31"/>
    </row>
    <row r="8031">
      <c r="A8031" s="134" t="str">
        <f>IFERROR(__xludf.DUMMYFUNCTION("""COMPUTED_VALUE"""),"St John Island")</f>
        <v>St John Island</v>
      </c>
      <c r="B8031" s="120" t="str">
        <f>IFERROR(__xludf.DUMMYFUNCTION("""COMPUTED_VALUE"""),"SJF")</f>
        <v>SJF</v>
      </c>
      <c r="C8031" s="120" t="str">
        <f>IFERROR(__xludf.DUMMYFUNCTION("""COMPUTED_VALUE"""),"St John Island")</f>
        <v>St John Island</v>
      </c>
      <c r="D8031" s="120" t="str">
        <f>IFERROR(__xludf.DUMMYFUNCTION("""COMPUTED_VALUE"""),"Virgin Islands(U.S.)")</f>
        <v>Virgin Islands(U.S.)</v>
      </c>
      <c r="E8031" s="135"/>
      <c r="F8031" s="31"/>
    </row>
    <row r="8032">
      <c r="A8032" s="134" t="str">
        <f>IFERROR(__xludf.DUMMYFUNCTION("""COMPUTED_VALUE"""),"St Johns")</f>
        <v>St Johns</v>
      </c>
      <c r="B8032" s="120" t="str">
        <f>IFERROR(__xludf.DUMMYFUNCTION("""COMPUTED_VALUE"""),"SJN")</f>
        <v>SJN</v>
      </c>
      <c r="C8032" s="120" t="str">
        <f>IFERROR(__xludf.DUMMYFUNCTION("""COMPUTED_VALUE"""),"Municipal")</f>
        <v>Municipal</v>
      </c>
      <c r="D8032" s="120" t="str">
        <f>IFERROR(__xludf.DUMMYFUNCTION("""COMPUTED_VALUE"""),"United States")</f>
        <v>United States</v>
      </c>
      <c r="E8032" s="135"/>
      <c r="F8032" s="31"/>
    </row>
    <row r="8033">
      <c r="A8033" s="134" t="str">
        <f>IFERROR(__xludf.DUMMYFUNCTION("""COMPUTED_VALUE"""),"St Joseph")</f>
        <v>St Joseph</v>
      </c>
      <c r="B8033" s="120" t="str">
        <f>IFERROR(__xludf.DUMMYFUNCTION("""COMPUTED_VALUE"""),"STJ")</f>
        <v>STJ</v>
      </c>
      <c r="C8033" s="120" t="str">
        <f>IFERROR(__xludf.DUMMYFUNCTION("""COMPUTED_VALUE"""),"Rosecrans Memorial")</f>
        <v>Rosecrans Memorial</v>
      </c>
      <c r="D8033" s="120" t="str">
        <f>IFERROR(__xludf.DUMMYFUNCTION("""COMPUTED_VALUE"""),"United States")</f>
        <v>United States</v>
      </c>
      <c r="E8033" s="135"/>
      <c r="F8033" s="31"/>
    </row>
    <row r="8034">
      <c r="A8034" s="134" t="str">
        <f>IFERROR(__xludf.DUMMYFUNCTION("""COMPUTED_VALUE"""),"St Kitts")</f>
        <v>St Kitts</v>
      </c>
      <c r="B8034" s="120" t="str">
        <f>IFERROR(__xludf.DUMMYFUNCTION("""COMPUTED_VALUE"""),"SKB")</f>
        <v>SKB</v>
      </c>
      <c r="C8034" s="120" t="str">
        <f>IFERROR(__xludf.DUMMYFUNCTION("""COMPUTED_VALUE"""),"Golden Rock")</f>
        <v>Golden Rock</v>
      </c>
      <c r="D8034" s="120" t="str">
        <f>IFERROR(__xludf.DUMMYFUNCTION("""COMPUTED_VALUE"""),"Saint Kitts and Nevis")</f>
        <v>Saint Kitts and Nevis</v>
      </c>
      <c r="E8034" s="135"/>
      <c r="F8034" s="31"/>
    </row>
    <row r="8035">
      <c r="A8035" s="134" t="str">
        <f>IFERROR(__xludf.DUMMYFUNCTION("""COMPUTED_VALUE"""),"St Laurent du Maroni")</f>
        <v>St Laurent du Maroni</v>
      </c>
      <c r="B8035" s="120" t="str">
        <f>IFERROR(__xludf.DUMMYFUNCTION("""COMPUTED_VALUE"""),"LDX")</f>
        <v>LDX</v>
      </c>
      <c r="C8035" s="120" t="str">
        <f>IFERROR(__xludf.DUMMYFUNCTION("""COMPUTED_VALUE"""),"St-Laurent du Maroni")</f>
        <v>St-Laurent du Maroni</v>
      </c>
      <c r="D8035" s="120" t="str">
        <f>IFERROR(__xludf.DUMMYFUNCTION("""COMPUTED_VALUE"""),"French Guiana")</f>
        <v>French Guiana</v>
      </c>
      <c r="E8035" s="135"/>
      <c r="F8035" s="31"/>
    </row>
    <row r="8036">
      <c r="A8036" s="134" t="str">
        <f>IFERROR(__xludf.DUMMYFUNCTION("""COMPUTED_VALUE"""),"St Leonard")</f>
        <v>St Leonard</v>
      </c>
      <c r="B8036" s="120" t="str">
        <f>IFERROR(__xludf.DUMMYFUNCTION("""COMPUTED_VALUE"""),"YSL")</f>
        <v>YSL</v>
      </c>
      <c r="C8036" s="120" t="str">
        <f>IFERROR(__xludf.DUMMYFUNCTION("""COMPUTED_VALUE"""),"Edmunston")</f>
        <v>Edmunston</v>
      </c>
      <c r="D8036" s="120" t="str">
        <f>IFERROR(__xludf.DUMMYFUNCTION("""COMPUTED_VALUE"""),"Canada")</f>
        <v>Canada</v>
      </c>
      <c r="E8036" s="135"/>
      <c r="F8036" s="31"/>
    </row>
    <row r="8037">
      <c r="A8037" s="134" t="str">
        <f>IFERROR(__xludf.DUMMYFUNCTION("""COMPUTED_VALUE"""),"St Louis")</f>
        <v>St Louis</v>
      </c>
      <c r="B8037" s="120" t="str">
        <f>IFERROR(__xludf.DUMMYFUNCTION("""COMPUTED_VALUE"""),"CPS")</f>
        <v>CPS</v>
      </c>
      <c r="C8037" s="120" t="str">
        <f>IFERROR(__xludf.DUMMYFUNCTION("""COMPUTED_VALUE"""),"Bi-State Parks")</f>
        <v>Bi-State Parks</v>
      </c>
      <c r="D8037" s="120" t="str">
        <f>IFERROR(__xludf.DUMMYFUNCTION("""COMPUTED_VALUE"""),"United States")</f>
        <v>United States</v>
      </c>
      <c r="E8037" s="135"/>
      <c r="F8037" s="31"/>
    </row>
    <row r="8038">
      <c r="A8038" s="134" t="str">
        <f>IFERROR(__xludf.DUMMYFUNCTION("""COMPUTED_VALUE"""),"St Louis")</f>
        <v>St Louis</v>
      </c>
      <c r="B8038" s="120" t="str">
        <f>IFERROR(__xludf.DUMMYFUNCTION("""COMPUTED_VALUE"""),"STL")</f>
        <v>STL</v>
      </c>
      <c r="C8038" s="120" t="str">
        <f>IFERROR(__xludf.DUMMYFUNCTION("""COMPUTED_VALUE"""),"Lambert-St Louis Intl")</f>
        <v>Lambert-St Louis Intl</v>
      </c>
      <c r="D8038" s="120" t="str">
        <f>IFERROR(__xludf.DUMMYFUNCTION("""COMPUTED_VALUE"""),"United States")</f>
        <v>United States</v>
      </c>
      <c r="E8038" s="135"/>
      <c r="F8038" s="31"/>
    </row>
    <row r="8039">
      <c r="A8039" s="134" t="str">
        <f>IFERROR(__xludf.DUMMYFUNCTION("""COMPUTED_VALUE"""),"St Louis")</f>
        <v>St Louis</v>
      </c>
      <c r="B8039" s="120" t="str">
        <f>IFERROR(__xludf.DUMMYFUNCTION("""COMPUTED_VALUE"""),"SUS")</f>
        <v>SUS</v>
      </c>
      <c r="C8039" s="120" t="str">
        <f>IFERROR(__xludf.DUMMYFUNCTION("""COMPUTED_VALUE"""),"Spirit Of St Louis")</f>
        <v>Spirit Of St Louis</v>
      </c>
      <c r="D8039" s="120" t="str">
        <f>IFERROR(__xludf.DUMMYFUNCTION("""COMPUTED_VALUE"""),"United States")</f>
        <v>United States</v>
      </c>
      <c r="E8039" s="135"/>
      <c r="F8039" s="31"/>
    </row>
    <row r="8040">
      <c r="A8040" s="134" t="str">
        <f>IFERROR(__xludf.DUMMYFUNCTION("""COMPUTED_VALUE"""),"St Louis")</f>
        <v>St Louis</v>
      </c>
      <c r="B8040" s="120" t="str">
        <f>IFERROR(__xludf.DUMMYFUNCTION("""COMPUTED_VALUE"""),"XLS")</f>
        <v>XLS</v>
      </c>
      <c r="C8040" s="120" t="str">
        <f>IFERROR(__xludf.DUMMYFUNCTION("""COMPUTED_VALUE"""),"St Louis")</f>
        <v>St Louis</v>
      </c>
      <c r="D8040" s="120" t="str">
        <f>IFERROR(__xludf.DUMMYFUNCTION("""COMPUTED_VALUE"""),"Senegal")</f>
        <v>Senegal</v>
      </c>
      <c r="E8040" s="135"/>
      <c r="F8040" s="31"/>
    </row>
    <row r="8041">
      <c r="A8041" s="134" t="str">
        <f>IFERROR(__xludf.DUMMYFUNCTION("""COMPUTED_VALUE"""),"St Lucia")</f>
        <v>St Lucia</v>
      </c>
      <c r="B8041" s="120" t="str">
        <f>IFERROR(__xludf.DUMMYFUNCTION("""COMPUTED_VALUE"""),"UVF")</f>
        <v>UVF</v>
      </c>
      <c r="C8041" s="120" t="str">
        <f>IFERROR(__xludf.DUMMYFUNCTION("""COMPUTED_VALUE"""),"Hewanorra")</f>
        <v>Hewanorra</v>
      </c>
      <c r="D8041" s="120" t="str">
        <f>IFERROR(__xludf.DUMMYFUNCTION("""COMPUTED_VALUE"""),"Saint Lucia")</f>
        <v>Saint Lucia</v>
      </c>
      <c r="E8041" s="135"/>
      <c r="F8041" s="31"/>
    </row>
    <row r="8042">
      <c r="A8042" s="134" t="str">
        <f>IFERROR(__xludf.DUMMYFUNCTION("""COMPUTED_VALUE"""),"St Lucia")</f>
        <v>St Lucia</v>
      </c>
      <c r="B8042" s="120" t="str">
        <f>IFERROR(__xludf.DUMMYFUNCTION("""COMPUTED_VALUE"""),"SLU")</f>
        <v>SLU</v>
      </c>
      <c r="C8042" s="120" t="str">
        <f>IFERROR(__xludf.DUMMYFUNCTION("""COMPUTED_VALUE"""),"Vigie")</f>
        <v>Vigie</v>
      </c>
      <c r="D8042" s="120" t="str">
        <f>IFERROR(__xludf.DUMMYFUNCTION("""COMPUTED_VALUE"""),"Saint Lucia")</f>
        <v>Saint Lucia</v>
      </c>
      <c r="E8042" s="135"/>
      <c r="F8042" s="31"/>
    </row>
    <row r="8043">
      <c r="A8043" s="134" t="str">
        <f>IFERROR(__xludf.DUMMYFUNCTION("""COMPUTED_VALUE"""),"St Maarten")</f>
        <v>St Maarten</v>
      </c>
      <c r="B8043" s="120" t="str">
        <f>IFERROR(__xludf.DUMMYFUNCTION("""COMPUTED_VALUE"""),"SXM")</f>
        <v>SXM</v>
      </c>
      <c r="C8043" s="120" t="str">
        <f>IFERROR(__xludf.DUMMYFUNCTION("""COMPUTED_VALUE"""),"Princess Juliana")</f>
        <v>Princess Juliana</v>
      </c>
      <c r="D8043" s="120" t="str">
        <f>IFERROR(__xludf.DUMMYFUNCTION("""COMPUTED_VALUE"""),"Netherlands Antilles")</f>
        <v>Netherlands Antilles</v>
      </c>
      <c r="E8043" s="135"/>
      <c r="F8043" s="31"/>
    </row>
    <row r="8044">
      <c r="A8044" s="134" t="str">
        <f>IFERROR(__xludf.DUMMYFUNCTION("""COMPUTED_VALUE"""),"St Martin")</f>
        <v>St Martin</v>
      </c>
      <c r="B8044" s="120" t="str">
        <f>IFERROR(__xludf.DUMMYFUNCTION("""COMPUTED_VALUE"""),"SFG")</f>
        <v>SFG</v>
      </c>
      <c r="C8044" s="120" t="str">
        <f>IFERROR(__xludf.DUMMYFUNCTION("""COMPUTED_VALUE"""),"Esperance")</f>
        <v>Esperance</v>
      </c>
      <c r="D8044" s="120" t="str">
        <f>IFERROR(__xludf.DUMMYFUNCTION("""COMPUTED_VALUE"""),"Guadeloupe")</f>
        <v>Guadeloupe</v>
      </c>
      <c r="E8044" s="135"/>
      <c r="F8044" s="31"/>
    </row>
    <row r="8045">
      <c r="A8045" s="134" t="str">
        <f>IFERROR(__xludf.DUMMYFUNCTION("""COMPUTED_VALUE"""),"St Martin")</f>
        <v>St Martin</v>
      </c>
      <c r="B8045" s="120" t="str">
        <f>IFERROR(__xludf.DUMMYFUNCTION("""COMPUTED_VALUE"""),"CCE")</f>
        <v>CCE</v>
      </c>
      <c r="C8045" s="120" t="str">
        <f>IFERROR(__xludf.DUMMYFUNCTION("""COMPUTED_VALUE"""),"Grand Case")</f>
        <v>Grand Case</v>
      </c>
      <c r="D8045" s="120" t="str">
        <f>IFERROR(__xludf.DUMMYFUNCTION("""COMPUTED_VALUE"""),"Guadeloupe")</f>
        <v>Guadeloupe</v>
      </c>
      <c r="E8045" s="135"/>
      <c r="F8045" s="31"/>
    </row>
    <row r="8046">
      <c r="A8046" s="134" t="str">
        <f>IFERROR(__xludf.DUMMYFUNCTION("""COMPUTED_VALUE"""),"St Martin")</f>
        <v>St Martin</v>
      </c>
      <c r="B8046" s="120" t="str">
        <f>IFERROR(__xludf.DUMMYFUNCTION("""COMPUTED_VALUE"""),"MSB")</f>
        <v>MSB</v>
      </c>
      <c r="C8046" s="120" t="str">
        <f>IFERROR(__xludf.DUMMYFUNCTION("""COMPUTED_VALUE"""),"Marigot SPB")</f>
        <v>Marigot SPB</v>
      </c>
      <c r="D8046" s="120" t="str">
        <f>IFERROR(__xludf.DUMMYFUNCTION("""COMPUTED_VALUE"""),"Guadeloupe")</f>
        <v>Guadeloupe</v>
      </c>
      <c r="E8046" s="135"/>
      <c r="F8046" s="31"/>
    </row>
    <row r="8047">
      <c r="A8047" s="134" t="str">
        <f>IFERROR(__xludf.DUMMYFUNCTION("""COMPUTED_VALUE"""),"St Marys")</f>
        <v>St Marys</v>
      </c>
      <c r="B8047" s="120" t="str">
        <f>IFERROR(__xludf.DUMMYFUNCTION("""COMPUTED_VALUE"""),"XSM")</f>
        <v>XSM</v>
      </c>
      <c r="C8047" s="120" t="str">
        <f>IFERROR(__xludf.DUMMYFUNCTION("""COMPUTED_VALUE"""),"St Marys")</f>
        <v>St Marys</v>
      </c>
      <c r="D8047" s="120" t="str">
        <f>IFERROR(__xludf.DUMMYFUNCTION("""COMPUTED_VALUE"""),"United States")</f>
        <v>United States</v>
      </c>
      <c r="E8047" s="135"/>
      <c r="F8047" s="31"/>
    </row>
    <row r="8048">
      <c r="A8048" s="134" t="str">
        <f>IFERROR(__xludf.DUMMYFUNCTION("""COMPUTED_VALUE"""),"St Marys")</f>
        <v>St Marys</v>
      </c>
      <c r="B8048" s="120" t="str">
        <f>IFERROR(__xludf.DUMMYFUNCTION("""COMPUTED_VALUE"""),"STQ")</f>
        <v>STQ</v>
      </c>
      <c r="C8048" s="120" t="str">
        <f>IFERROR(__xludf.DUMMYFUNCTION("""COMPUTED_VALUE"""),"St Marys")</f>
        <v>St Marys</v>
      </c>
      <c r="D8048" s="120" t="str">
        <f>IFERROR(__xludf.DUMMYFUNCTION("""COMPUTED_VALUE"""),"United States")</f>
        <v>United States</v>
      </c>
      <c r="E8048" s="135"/>
      <c r="F8048" s="31"/>
    </row>
    <row r="8049">
      <c r="A8049" s="134" t="str">
        <f>IFERROR(__xludf.DUMMYFUNCTION("""COMPUTED_VALUE"""),"St Michael")</f>
        <v>St Michael</v>
      </c>
      <c r="B8049" s="120" t="str">
        <f>IFERROR(__xludf.DUMMYFUNCTION("""COMPUTED_VALUE"""),"SMK")</f>
        <v>SMK</v>
      </c>
      <c r="C8049" s="120" t="str">
        <f>IFERROR(__xludf.DUMMYFUNCTION("""COMPUTED_VALUE"""),"St Michael")</f>
        <v>St Michael</v>
      </c>
      <c r="D8049" s="120" t="str">
        <f>IFERROR(__xludf.DUMMYFUNCTION("""COMPUTED_VALUE"""),"United States")</f>
        <v>United States</v>
      </c>
      <c r="E8049" s="135"/>
      <c r="F8049" s="31"/>
    </row>
    <row r="8050">
      <c r="A8050" s="134" t="str">
        <f>IFERROR(__xludf.DUMMYFUNCTION("""COMPUTED_VALUE"""),"St Moritz")</f>
        <v>St Moritz</v>
      </c>
      <c r="B8050" s="120" t="str">
        <f>IFERROR(__xludf.DUMMYFUNCTION("""COMPUTED_VALUE"""),"SMV")</f>
        <v>SMV</v>
      </c>
      <c r="C8050" s="120" t="str">
        <f>IFERROR(__xludf.DUMMYFUNCTION("""COMPUTED_VALUE"""),"Samedan")</f>
        <v>Samedan</v>
      </c>
      <c r="D8050" s="120" t="str">
        <f>IFERROR(__xludf.DUMMYFUNCTION("""COMPUTED_VALUE"""),"Switzerland")</f>
        <v>Switzerland</v>
      </c>
      <c r="E8050" s="135"/>
      <c r="F8050" s="31"/>
    </row>
    <row r="8051">
      <c r="A8051" s="134" t="str">
        <f>IFERROR(__xludf.DUMMYFUNCTION("""COMPUTED_VALUE"""),"St Nazaire")</f>
        <v>St Nazaire</v>
      </c>
      <c r="B8051" s="120" t="str">
        <f>IFERROR(__xludf.DUMMYFUNCTION("""COMPUTED_VALUE"""),"SNR")</f>
        <v>SNR</v>
      </c>
      <c r="C8051" s="120" t="str">
        <f>IFERROR(__xludf.DUMMYFUNCTION("""COMPUTED_VALUE"""),"Montoir")</f>
        <v>Montoir</v>
      </c>
      <c r="D8051" s="120" t="str">
        <f>IFERROR(__xludf.DUMMYFUNCTION("""COMPUTED_VALUE"""),"France")</f>
        <v>France</v>
      </c>
      <c r="E8051" s="135"/>
      <c r="F8051" s="31"/>
    </row>
    <row r="8052">
      <c r="A8052" s="134" t="str">
        <f>IFERROR(__xludf.DUMMYFUNCTION("""COMPUTED_VALUE"""),"St Paul")</f>
        <v>St Paul</v>
      </c>
      <c r="B8052" s="120" t="str">
        <f>IFERROR(__xludf.DUMMYFUNCTION("""COMPUTED_VALUE"""),"STP")</f>
        <v>STP</v>
      </c>
      <c r="C8052" s="120" t="str">
        <f>IFERROR(__xludf.DUMMYFUNCTION("""COMPUTED_VALUE"""),"Downtown")</f>
        <v>Downtown</v>
      </c>
      <c r="D8052" s="120" t="str">
        <f>IFERROR(__xludf.DUMMYFUNCTION("""COMPUTED_VALUE"""),"United States")</f>
        <v>United States</v>
      </c>
      <c r="E8052" s="135"/>
      <c r="F8052" s="31"/>
    </row>
    <row r="8053">
      <c r="A8053" s="134" t="str">
        <f>IFERROR(__xludf.DUMMYFUNCTION("""COMPUTED_VALUE"""),"St Paul")</f>
        <v>St Paul</v>
      </c>
      <c r="B8053" s="120" t="str">
        <f>IFERROR(__xludf.DUMMYFUNCTION("""COMPUTED_VALUE"""),"ZSP")</f>
        <v>ZSP</v>
      </c>
      <c r="C8053" s="120" t="str">
        <f>IFERROR(__xludf.DUMMYFUNCTION("""COMPUTED_VALUE"""),"St Paul")</f>
        <v>St Paul</v>
      </c>
      <c r="D8053" s="120" t="str">
        <f>IFERROR(__xludf.DUMMYFUNCTION("""COMPUTED_VALUE"""),"Canada")</f>
        <v>Canada</v>
      </c>
      <c r="E8053" s="135"/>
      <c r="F8053" s="31"/>
    </row>
    <row r="8054">
      <c r="A8054" s="134" t="str">
        <f>IFERROR(__xludf.DUMMYFUNCTION("""COMPUTED_VALUE"""),"St Peter")</f>
        <v>St Peter</v>
      </c>
      <c r="B8054" s="120" t="str">
        <f>IFERROR(__xludf.DUMMYFUNCTION("""COMPUTED_VALUE"""),"PSH")</f>
        <v>PSH</v>
      </c>
      <c r="C8054" s="120" t="str">
        <f>IFERROR(__xludf.DUMMYFUNCTION("""COMPUTED_VALUE"""),"St Peter")</f>
        <v>St Peter</v>
      </c>
      <c r="D8054" s="120" t="str">
        <f>IFERROR(__xludf.DUMMYFUNCTION("""COMPUTED_VALUE"""),"Germany")</f>
        <v>Germany</v>
      </c>
      <c r="E8054" s="135"/>
      <c r="F8054" s="31"/>
    </row>
    <row r="8055">
      <c r="A8055" s="134" t="str">
        <f>IFERROR(__xludf.DUMMYFUNCTION("""COMPUTED_VALUE"""),"St Petersburg")</f>
        <v>St Petersburg</v>
      </c>
      <c r="B8055" s="120" t="str">
        <f>IFERROR(__xludf.DUMMYFUNCTION("""COMPUTED_VALUE"""),"PIE")</f>
        <v>PIE</v>
      </c>
      <c r="C8055" s="120" t="str">
        <f>IFERROR(__xludf.DUMMYFUNCTION("""COMPUTED_VALUE"""),"International")</f>
        <v>International</v>
      </c>
      <c r="D8055" s="120" t="str">
        <f>IFERROR(__xludf.DUMMYFUNCTION("""COMPUTED_VALUE"""),"United States")</f>
        <v>United States</v>
      </c>
      <c r="E8055" s="135"/>
      <c r="F8055" s="31"/>
    </row>
    <row r="8056">
      <c r="A8056" s="134" t="str">
        <f>IFERROR(__xludf.DUMMYFUNCTION("""COMPUTED_VALUE"""),"St Petersburg")</f>
        <v>St Petersburg</v>
      </c>
      <c r="B8056" s="120" t="str">
        <f>IFERROR(__xludf.DUMMYFUNCTION("""COMPUTED_VALUE"""),"SPG")</f>
        <v>SPG</v>
      </c>
      <c r="C8056" s="120" t="str">
        <f>IFERROR(__xludf.DUMMYFUNCTION("""COMPUTED_VALUE"""),"Whitted")</f>
        <v>Whitted</v>
      </c>
      <c r="D8056" s="120" t="str">
        <f>IFERROR(__xludf.DUMMYFUNCTION("""COMPUTED_VALUE"""),"United States")</f>
        <v>United States</v>
      </c>
      <c r="E8056" s="135"/>
      <c r="F8056" s="31"/>
    </row>
    <row r="8057">
      <c r="A8057" s="134" t="str">
        <f>IFERROR(__xludf.DUMMYFUNCTION("""COMPUTED_VALUE"""),"St Petersburg")</f>
        <v>St Petersburg</v>
      </c>
      <c r="B8057" s="120" t="str">
        <f>IFERROR(__xludf.DUMMYFUNCTION("""COMPUTED_VALUE"""),"ZLK")</f>
        <v>ZLK</v>
      </c>
      <c r="C8057" s="120" t="str">
        <f>IFERROR(__xludf.DUMMYFUNCTION("""COMPUTED_VALUE"""),"Moscovskiy Railway Stn")</f>
        <v>Moscovskiy Railway Stn</v>
      </c>
      <c r="D8057" s="120" t="str">
        <f>IFERROR(__xludf.DUMMYFUNCTION("""COMPUTED_VALUE"""),"Russia")</f>
        <v>Russia</v>
      </c>
      <c r="E8057" s="135"/>
      <c r="F8057" s="31"/>
    </row>
    <row r="8058">
      <c r="A8058" s="134" t="str">
        <f>IFERROR(__xludf.DUMMYFUNCTION("""COMPUTED_VALUE"""),"St Petersburg")</f>
        <v>St Petersburg</v>
      </c>
      <c r="B8058" s="120" t="str">
        <f>IFERROR(__xludf.DUMMYFUNCTION("""COMPUTED_VALUE"""),"LED")</f>
        <v>LED</v>
      </c>
      <c r="C8058" s="120" t="str">
        <f>IFERROR(__xludf.DUMMYFUNCTION("""COMPUTED_VALUE"""),"Pulkovo")</f>
        <v>Pulkovo</v>
      </c>
      <c r="D8058" s="120" t="str">
        <f>IFERROR(__xludf.DUMMYFUNCTION("""COMPUTED_VALUE"""),"Russia")</f>
        <v>Russia</v>
      </c>
      <c r="E8058" s="135"/>
      <c r="F8058" s="31"/>
    </row>
    <row r="8059">
      <c r="A8059" s="134" t="str">
        <f>IFERROR(__xludf.DUMMYFUNCTION("""COMPUTED_VALUE"""),"St Petersburg")</f>
        <v>St Petersburg</v>
      </c>
      <c r="B8059" s="120" t="str">
        <f>IFERROR(__xludf.DUMMYFUNCTION("""COMPUTED_VALUE"""),"RVH")</f>
        <v>RVH</v>
      </c>
      <c r="C8059" s="120" t="str">
        <f>IFERROR(__xludf.DUMMYFUNCTION("""COMPUTED_VALUE"""),"Rzhevka")</f>
        <v>Rzhevka</v>
      </c>
      <c r="D8059" s="120" t="str">
        <f>IFERROR(__xludf.DUMMYFUNCTION("""COMPUTED_VALUE"""),"Russia")</f>
        <v>Russia</v>
      </c>
      <c r="E8059" s="135"/>
      <c r="F8059" s="31"/>
    </row>
    <row r="8060">
      <c r="A8060" s="134" t="str">
        <f>IFERROR(__xludf.DUMMYFUNCTION("""COMPUTED_VALUE"""),"St Pierre")</f>
        <v>St Pierre</v>
      </c>
      <c r="B8060" s="120" t="str">
        <f>IFERROR(__xludf.DUMMYFUNCTION("""COMPUTED_VALUE"""),"FSP")</f>
        <v>FSP</v>
      </c>
      <c r="C8060" s="120" t="str">
        <f>IFERROR(__xludf.DUMMYFUNCTION("""COMPUTED_VALUE"""),"Saint-Pierre Pointe-Blanche")</f>
        <v>Saint-Pierre Pointe-Blanche</v>
      </c>
      <c r="D8060" s="120" t="str">
        <f>IFERROR(__xludf.DUMMYFUNCTION("""COMPUTED_VALUE"""),"St. Pierre And Miquelon")</f>
        <v>St. Pierre And Miquelon</v>
      </c>
      <c r="E8060" s="135"/>
      <c r="F8060" s="31"/>
    </row>
    <row r="8061">
      <c r="A8061" s="134" t="str">
        <f>IFERROR(__xludf.DUMMYFUNCTION("""COMPUTED_VALUE"""),"St Pierre dela Reunion")</f>
        <v>St Pierre dela Reunion</v>
      </c>
      <c r="B8061" s="120" t="str">
        <f>IFERROR(__xludf.DUMMYFUNCTION("""COMPUTED_VALUE"""),"ZSE")</f>
        <v>ZSE</v>
      </c>
      <c r="C8061" s="120" t="str">
        <f>IFERROR(__xludf.DUMMYFUNCTION("""COMPUTED_VALUE"""),"St Pierre dela Reunion")</f>
        <v>St Pierre dela Reunion</v>
      </c>
      <c r="D8061" s="120" t="str">
        <f>IFERROR(__xludf.DUMMYFUNCTION("""COMPUTED_VALUE"""),"Reunion")</f>
        <v>Reunion</v>
      </c>
      <c r="E8061" s="135"/>
      <c r="F8061" s="31"/>
    </row>
    <row r="8062">
      <c r="A8062" s="134" t="str">
        <f>IFERROR(__xludf.DUMMYFUNCTION("""COMPUTED_VALUE"""),"St Thomas")</f>
        <v>St Thomas</v>
      </c>
      <c r="B8062" s="120" t="str">
        <f>IFERROR(__xludf.DUMMYFUNCTION("""COMPUTED_VALUE"""),"YQS")</f>
        <v>YQS</v>
      </c>
      <c r="C8062" s="120" t="str">
        <f>IFERROR(__xludf.DUMMYFUNCTION("""COMPUTED_VALUE"""),"Pembroke Area Mncpl")</f>
        <v>Pembroke Area Mncpl</v>
      </c>
      <c r="D8062" s="120" t="str">
        <f>IFERROR(__xludf.DUMMYFUNCTION("""COMPUTED_VALUE"""),"Canada")</f>
        <v>Canada</v>
      </c>
      <c r="E8062" s="135"/>
      <c r="F8062" s="31"/>
    </row>
    <row r="8063">
      <c r="A8063" s="134" t="str">
        <f>IFERROR(__xludf.DUMMYFUNCTION("""COMPUTED_VALUE"""),"St Thomas Island")</f>
        <v>St Thomas Island</v>
      </c>
      <c r="B8063" s="120" t="str">
        <f>IFERROR(__xludf.DUMMYFUNCTION("""COMPUTED_VALUE"""),"STT")</f>
        <v>STT</v>
      </c>
      <c r="C8063" s="120" t="str">
        <f>IFERROR(__xludf.DUMMYFUNCTION("""COMPUTED_VALUE"""),"H.S.Truman")</f>
        <v>H.S.Truman</v>
      </c>
      <c r="D8063" s="120" t="str">
        <f>IFERROR(__xludf.DUMMYFUNCTION("""COMPUTED_VALUE"""),"Virgin Islands(U.S.)")</f>
        <v>Virgin Islands(U.S.)</v>
      </c>
      <c r="E8063" s="135"/>
      <c r="F8063" s="31"/>
    </row>
    <row r="8064">
      <c r="A8064" s="134" t="str">
        <f>IFERROR(__xludf.DUMMYFUNCTION("""COMPUTED_VALUE"""),"St Thomas Island")</f>
        <v>St Thomas Island</v>
      </c>
      <c r="B8064" s="120" t="str">
        <f>IFERROR(__xludf.DUMMYFUNCTION("""COMPUTED_VALUE"""),"SPB")</f>
        <v>SPB</v>
      </c>
      <c r="C8064" s="120" t="str">
        <f>IFERROR(__xludf.DUMMYFUNCTION("""COMPUTED_VALUE"""),"SPB")</f>
        <v>SPB</v>
      </c>
      <c r="D8064" s="120" t="str">
        <f>IFERROR(__xludf.DUMMYFUNCTION("""COMPUTED_VALUE"""),"Virgin Islands(U.S.)")</f>
        <v>Virgin Islands(U.S.)</v>
      </c>
      <c r="E8064" s="135"/>
      <c r="F8064" s="31"/>
    </row>
    <row r="8065">
      <c r="A8065" s="134" t="str">
        <f>IFERROR(__xludf.DUMMYFUNCTION("""COMPUTED_VALUE"""),"St Vincent")</f>
        <v>St Vincent</v>
      </c>
      <c r="B8065" s="120" t="str">
        <f>IFERROR(__xludf.DUMMYFUNCTION("""COMPUTED_VALUE"""),"SVD")</f>
        <v>SVD</v>
      </c>
      <c r="C8065" s="120" t="str">
        <f>IFERROR(__xludf.DUMMYFUNCTION("""COMPUTED_VALUE"""),"E.T. Joshua")</f>
        <v>E.T. Joshua</v>
      </c>
      <c r="D8065" s="120" t="str">
        <f>IFERROR(__xludf.DUMMYFUNCTION("""COMPUTED_VALUE"""),"Saint Vincent and the Grenadines")</f>
        <v>Saint Vincent and the Grenadines</v>
      </c>
      <c r="E8065" s="135"/>
      <c r="F8065" s="31"/>
    </row>
    <row r="8066">
      <c r="A8066" s="134" t="str">
        <f>IFERROR(__xludf.DUMMYFUNCTION("""COMPUTED_VALUE"""),"Staniel Cay")</f>
        <v>Staniel Cay</v>
      </c>
      <c r="B8066" s="120" t="str">
        <f>IFERROR(__xludf.DUMMYFUNCTION("""COMPUTED_VALUE"""),"TYM")</f>
        <v>TYM</v>
      </c>
      <c r="C8066" s="120" t="str">
        <f>IFERROR(__xludf.DUMMYFUNCTION("""COMPUTED_VALUE"""),"Staniel Cay")</f>
        <v>Staniel Cay</v>
      </c>
      <c r="D8066" s="120" t="str">
        <f>IFERROR(__xludf.DUMMYFUNCTION("""COMPUTED_VALUE"""),"Bahamas")</f>
        <v>Bahamas</v>
      </c>
      <c r="E8066" s="135"/>
      <c r="F8066" s="31"/>
    </row>
    <row r="8067">
      <c r="A8067" s="134" t="str">
        <f>IFERROR(__xludf.DUMMYFUNCTION("""COMPUTED_VALUE"""),"Stanthorpe")</f>
        <v>Stanthorpe</v>
      </c>
      <c r="B8067" s="120" t="str">
        <f>IFERROR(__xludf.DUMMYFUNCTION("""COMPUTED_VALUE"""),"SNH")</f>
        <v>SNH</v>
      </c>
      <c r="C8067" s="120" t="str">
        <f>IFERROR(__xludf.DUMMYFUNCTION("""COMPUTED_VALUE"""),"Stanthorpe")</f>
        <v>Stanthorpe</v>
      </c>
      <c r="D8067" s="120" t="str">
        <f>IFERROR(__xludf.DUMMYFUNCTION("""COMPUTED_VALUE"""),"Australia")</f>
        <v>Australia</v>
      </c>
      <c r="E8067" s="135"/>
      <c r="F8067" s="31"/>
    </row>
    <row r="8068">
      <c r="A8068" s="134" t="str">
        <f>IFERROR(__xludf.DUMMYFUNCTION("""COMPUTED_VALUE"""),"Stanton")</f>
        <v>Stanton</v>
      </c>
      <c r="B8068" s="120" t="str">
        <f>IFERROR(__xludf.DUMMYFUNCTION("""COMPUTED_VALUE"""),"SYN")</f>
        <v>SYN</v>
      </c>
      <c r="C8068" s="120" t="str">
        <f>IFERROR(__xludf.DUMMYFUNCTION("""COMPUTED_VALUE"""),"Carleton")</f>
        <v>Carleton</v>
      </c>
      <c r="D8068" s="120" t="str">
        <f>IFERROR(__xludf.DUMMYFUNCTION("""COMPUTED_VALUE"""),"United States")</f>
        <v>United States</v>
      </c>
      <c r="E8068" s="135"/>
      <c r="F8068" s="31"/>
    </row>
    <row r="8069">
      <c r="A8069" s="134" t="str">
        <f>IFERROR(__xludf.DUMMYFUNCTION("""COMPUTED_VALUE"""),"Star Habour")</f>
        <v>Star Habour</v>
      </c>
      <c r="B8069" s="120" t="str">
        <f>IFERROR(__xludf.DUMMYFUNCTION("""COMPUTED_VALUE"""),"NAZ")</f>
        <v>NAZ</v>
      </c>
      <c r="C8069" s="120" t="str">
        <f>IFERROR(__xludf.DUMMYFUNCTION("""COMPUTED_VALUE"""),"Nana")</f>
        <v>Nana</v>
      </c>
      <c r="D8069" s="120" t="str">
        <f>IFERROR(__xludf.DUMMYFUNCTION("""COMPUTED_VALUE"""),"Solomon Islands")</f>
        <v>Solomon Islands</v>
      </c>
      <c r="E8069" s="135"/>
      <c r="F8069" s="31"/>
    </row>
    <row r="8070">
      <c r="A8070" s="134" t="str">
        <f>IFERROR(__xludf.DUMMYFUNCTION("""COMPUTED_VALUE"""),"Stara Zagora")</f>
        <v>Stara Zagora</v>
      </c>
      <c r="B8070" s="120" t="str">
        <f>IFERROR(__xludf.DUMMYFUNCTION("""COMPUTED_VALUE"""),"SZR")</f>
        <v>SZR</v>
      </c>
      <c r="C8070" s="120" t="str">
        <f>IFERROR(__xludf.DUMMYFUNCTION("""COMPUTED_VALUE"""),"Stara Zagora")</f>
        <v>Stara Zagora</v>
      </c>
      <c r="D8070" s="120" t="str">
        <f>IFERROR(__xludf.DUMMYFUNCTION("""COMPUTED_VALUE"""),"Bulgaria")</f>
        <v>Bulgaria</v>
      </c>
      <c r="E8070" s="135"/>
      <c r="F8070" s="31"/>
    </row>
    <row r="8071">
      <c r="A8071" s="134" t="str">
        <f>IFERROR(__xludf.DUMMYFUNCTION("""COMPUTED_VALUE"""),"Starcke")</f>
        <v>Starcke</v>
      </c>
      <c r="B8071" s="120" t="str">
        <f>IFERROR(__xludf.DUMMYFUNCTION("""COMPUTED_VALUE"""),"SQP")</f>
        <v>SQP</v>
      </c>
      <c r="C8071" s="120" t="str">
        <f>IFERROR(__xludf.DUMMYFUNCTION("""COMPUTED_VALUE"""),"Starcke")</f>
        <v>Starcke</v>
      </c>
      <c r="D8071" s="120" t="str">
        <f>IFERROR(__xludf.DUMMYFUNCTION("""COMPUTED_VALUE"""),"Australia")</f>
        <v>Australia</v>
      </c>
      <c r="E8071" s="135"/>
      <c r="F8071" s="31"/>
    </row>
    <row r="8072">
      <c r="A8072" s="134" t="str">
        <f>IFERROR(__xludf.DUMMYFUNCTION("""COMPUTED_VALUE"""),"State College")</f>
        <v>State College</v>
      </c>
      <c r="B8072" s="120" t="str">
        <f>IFERROR(__xludf.DUMMYFUNCTION("""COMPUTED_VALUE"""),"SCE")</f>
        <v>SCE</v>
      </c>
      <c r="C8072" s="120" t="str">
        <f>IFERROR(__xludf.DUMMYFUNCTION("""COMPUTED_VALUE"""),"University Park")</f>
        <v>University Park</v>
      </c>
      <c r="D8072" s="120" t="str">
        <f>IFERROR(__xludf.DUMMYFUNCTION("""COMPUTED_VALUE"""),"United States")</f>
        <v>United States</v>
      </c>
      <c r="E8072" s="135"/>
      <c r="F8072" s="31"/>
    </row>
    <row r="8073">
      <c r="A8073" s="134" t="str">
        <f>IFERROR(__xludf.DUMMYFUNCTION("""COMPUTED_VALUE"""),"Statesboro")</f>
        <v>Statesboro</v>
      </c>
      <c r="B8073" s="120" t="str">
        <f>IFERROR(__xludf.DUMMYFUNCTION("""COMPUTED_VALUE"""),"TBR")</f>
        <v>TBR</v>
      </c>
      <c r="C8073" s="120" t="str">
        <f>IFERROR(__xludf.DUMMYFUNCTION("""COMPUTED_VALUE"""),"Municipal")</f>
        <v>Municipal</v>
      </c>
      <c r="D8073" s="120" t="str">
        <f>IFERROR(__xludf.DUMMYFUNCTION("""COMPUTED_VALUE"""),"United States")</f>
        <v>United States</v>
      </c>
      <c r="E8073" s="135"/>
      <c r="F8073" s="31"/>
    </row>
    <row r="8074">
      <c r="A8074" s="134" t="str">
        <f>IFERROR(__xludf.DUMMYFUNCTION("""COMPUTED_VALUE"""),"Statesville")</f>
        <v>Statesville</v>
      </c>
      <c r="B8074" s="120" t="str">
        <f>IFERROR(__xludf.DUMMYFUNCTION("""COMPUTED_VALUE"""),"SVH")</f>
        <v>SVH</v>
      </c>
      <c r="C8074" s="120" t="str">
        <f>IFERROR(__xludf.DUMMYFUNCTION("""COMPUTED_VALUE"""),"Municipal")</f>
        <v>Municipal</v>
      </c>
      <c r="D8074" s="120" t="str">
        <f>IFERROR(__xludf.DUMMYFUNCTION("""COMPUTED_VALUE"""),"United States")</f>
        <v>United States</v>
      </c>
      <c r="E8074" s="135"/>
      <c r="F8074" s="31"/>
    </row>
    <row r="8075">
      <c r="A8075" s="134" t="str">
        <f>IFERROR(__xludf.DUMMYFUNCTION("""COMPUTED_VALUE"""),"Skjern")</f>
        <v>Skjern</v>
      </c>
      <c r="B8075" s="120" t="str">
        <f>IFERROR(__xludf.DUMMYFUNCTION("""COMPUTED_VALUE"""),"STA")</f>
        <v>STA</v>
      </c>
      <c r="C8075" s="120" t="str">
        <f>IFERROR(__xludf.DUMMYFUNCTION("""COMPUTED_VALUE"""),"Stauning Vestjyllands Airport")</f>
        <v>Stauning Vestjyllands Airport</v>
      </c>
      <c r="D8075" s="120" t="str">
        <f>IFERROR(__xludf.DUMMYFUNCTION("""COMPUTED_VALUE"""),"Denmark")</f>
        <v>Denmark</v>
      </c>
      <c r="E8075" s="135"/>
      <c r="F8075" s="31"/>
    </row>
    <row r="8076">
      <c r="A8076" s="134" t="str">
        <f>IFERROR(__xludf.DUMMYFUNCTION("""COMPUTED_VALUE"""),"Staunton")</f>
        <v>Staunton</v>
      </c>
      <c r="B8076" s="120" t="str">
        <f>IFERROR(__xludf.DUMMYFUNCTION("""COMPUTED_VALUE"""),"SHD")</f>
        <v>SHD</v>
      </c>
      <c r="C8076" s="120" t="str">
        <f>IFERROR(__xludf.DUMMYFUNCTION("""COMPUTED_VALUE"""),"Shenandoah Valley")</f>
        <v>Shenandoah Valley</v>
      </c>
      <c r="D8076" s="120" t="str">
        <f>IFERROR(__xludf.DUMMYFUNCTION("""COMPUTED_VALUE"""),"United States")</f>
        <v>United States</v>
      </c>
      <c r="E8076" s="135"/>
      <c r="F8076" s="31"/>
    </row>
    <row r="8077">
      <c r="A8077" s="134" t="str">
        <f>IFERROR(__xludf.DUMMYFUNCTION("""COMPUTED_VALUE"""),"Stavanger")</f>
        <v>Stavanger</v>
      </c>
      <c r="B8077" s="120" t="str">
        <f>IFERROR(__xludf.DUMMYFUNCTION("""COMPUTED_VALUE"""),"SVG")</f>
        <v>SVG</v>
      </c>
      <c r="C8077" s="120" t="str">
        <f>IFERROR(__xludf.DUMMYFUNCTION("""COMPUTED_VALUE"""),"Sola")</f>
        <v>Sola</v>
      </c>
      <c r="D8077" s="120" t="str">
        <f>IFERROR(__xludf.DUMMYFUNCTION("""COMPUTED_VALUE"""),"Norway")</f>
        <v>Norway</v>
      </c>
      <c r="E8077" s="135"/>
      <c r="F8077" s="31"/>
    </row>
    <row r="8078">
      <c r="A8078" s="134" t="str">
        <f>IFERROR(__xludf.DUMMYFUNCTION("""COMPUTED_VALUE"""),"Stavropol")</f>
        <v>Stavropol</v>
      </c>
      <c r="B8078" s="120" t="str">
        <f>IFERROR(__xludf.DUMMYFUNCTION("""COMPUTED_VALUE"""),"STW")</f>
        <v>STW</v>
      </c>
      <c r="C8078" s="120" t="str">
        <f>IFERROR(__xludf.DUMMYFUNCTION("""COMPUTED_VALUE"""),"Stavropol")</f>
        <v>Stavropol</v>
      </c>
      <c r="D8078" s="120" t="str">
        <f>IFERROR(__xludf.DUMMYFUNCTION("""COMPUTED_VALUE"""),"Russia")</f>
        <v>Russia</v>
      </c>
      <c r="E8078" s="135"/>
      <c r="F8078" s="31"/>
    </row>
    <row r="8079">
      <c r="A8079" s="134" t="str">
        <f>IFERROR(__xludf.DUMMYFUNCTION("""COMPUTED_VALUE"""),"Stawell")</f>
        <v>Stawell</v>
      </c>
      <c r="B8079" s="120" t="str">
        <f>IFERROR(__xludf.DUMMYFUNCTION("""COMPUTED_VALUE"""),"SWC")</f>
        <v>SWC</v>
      </c>
      <c r="C8079" s="120" t="str">
        <f>IFERROR(__xludf.DUMMYFUNCTION("""COMPUTED_VALUE"""),"Stawell")</f>
        <v>Stawell</v>
      </c>
      <c r="D8079" s="120" t="str">
        <f>IFERROR(__xludf.DUMMYFUNCTION("""COMPUTED_VALUE"""),"Australia")</f>
        <v>Australia</v>
      </c>
      <c r="E8079" s="135"/>
      <c r="F8079" s="31"/>
    </row>
    <row r="8080">
      <c r="A8080" s="134" t="str">
        <f>IFERROR(__xludf.DUMMYFUNCTION("""COMPUTED_VALUE"""),"Ste Therese Point")</f>
        <v>Ste Therese Point</v>
      </c>
      <c r="B8080" s="120" t="str">
        <f>IFERROR(__xludf.DUMMYFUNCTION("""COMPUTED_VALUE"""),"YST")</f>
        <v>YST</v>
      </c>
      <c r="C8080" s="120" t="str">
        <f>IFERROR(__xludf.DUMMYFUNCTION("""COMPUTED_VALUE"""),"Ste Therese Point")</f>
        <v>Ste Therese Point</v>
      </c>
      <c r="D8080" s="120" t="str">
        <f>IFERROR(__xludf.DUMMYFUNCTION("""COMPUTED_VALUE"""),"Canada")</f>
        <v>Canada</v>
      </c>
      <c r="E8080" s="135"/>
      <c r="F8080" s="31"/>
    </row>
    <row r="8081">
      <c r="A8081" s="134" t="str">
        <f>IFERROR(__xludf.DUMMYFUNCTION("""COMPUTED_VALUE"""),"Steamboat Bay")</f>
        <v>Steamboat Bay</v>
      </c>
      <c r="B8081" s="120" t="str">
        <f>IFERROR(__xludf.DUMMYFUNCTION("""COMPUTED_VALUE"""),"WSB")</f>
        <v>WSB</v>
      </c>
      <c r="C8081" s="120" t="str">
        <f>IFERROR(__xludf.DUMMYFUNCTION("""COMPUTED_VALUE"""),"SPB")</f>
        <v>SPB</v>
      </c>
      <c r="D8081" s="120" t="str">
        <f>IFERROR(__xludf.DUMMYFUNCTION("""COMPUTED_VALUE"""),"United States")</f>
        <v>United States</v>
      </c>
      <c r="E8081" s="135"/>
      <c r="F8081" s="31"/>
    </row>
    <row r="8082">
      <c r="A8082" s="134" t="str">
        <f>IFERROR(__xludf.DUMMYFUNCTION("""COMPUTED_VALUE"""),"Steamboat Springs")</f>
        <v>Steamboat Springs</v>
      </c>
      <c r="B8082" s="120" t="str">
        <f>IFERROR(__xludf.DUMMYFUNCTION("""COMPUTED_VALUE"""),"SBS")</f>
        <v>SBS</v>
      </c>
      <c r="C8082" s="120" t="str">
        <f>IFERROR(__xludf.DUMMYFUNCTION("""COMPUTED_VALUE"""),"Steamboat Springs")</f>
        <v>Steamboat Springs</v>
      </c>
      <c r="D8082" s="120" t="str">
        <f>IFERROR(__xludf.DUMMYFUNCTION("""COMPUTED_VALUE"""),"United States")</f>
        <v>United States</v>
      </c>
      <c r="E8082" s="135"/>
      <c r="F8082" s="31"/>
    </row>
    <row r="8083">
      <c r="A8083" s="134" t="str">
        <f>IFERROR(__xludf.DUMMYFUNCTION("""COMPUTED_VALUE"""),"Stebbins")</f>
        <v>Stebbins</v>
      </c>
      <c r="B8083" s="120" t="str">
        <f>IFERROR(__xludf.DUMMYFUNCTION("""COMPUTED_VALUE"""),"WBB")</f>
        <v>WBB</v>
      </c>
      <c r="C8083" s="120" t="str">
        <f>IFERROR(__xludf.DUMMYFUNCTION("""COMPUTED_VALUE"""),"Stebbins")</f>
        <v>Stebbins</v>
      </c>
      <c r="D8083" s="120" t="str">
        <f>IFERROR(__xludf.DUMMYFUNCTION("""COMPUTED_VALUE"""),"United States")</f>
        <v>United States</v>
      </c>
      <c r="E8083" s="135"/>
      <c r="F8083" s="31"/>
    </row>
    <row r="8084">
      <c r="A8084" s="134" t="str">
        <f>IFERROR(__xludf.DUMMYFUNCTION("""COMPUTED_VALUE"""),"Steenkool")</f>
        <v>Steenkool</v>
      </c>
      <c r="B8084" s="120" t="str">
        <f>IFERROR(__xludf.DUMMYFUNCTION("""COMPUTED_VALUE"""),"ZKL")</f>
        <v>ZKL</v>
      </c>
      <c r="C8084" s="120" t="str">
        <f>IFERROR(__xludf.DUMMYFUNCTION("""COMPUTED_VALUE"""),"Steenkool")</f>
        <v>Steenkool</v>
      </c>
      <c r="D8084" s="120" t="str">
        <f>IFERROR(__xludf.DUMMYFUNCTION("""COMPUTED_VALUE"""),"Indonesia")</f>
        <v>Indonesia</v>
      </c>
      <c r="E8084" s="135"/>
      <c r="F8084" s="31"/>
    </row>
    <row r="8085">
      <c r="A8085" s="134" t="str">
        <f>IFERROR(__xludf.DUMMYFUNCTION("""COMPUTED_VALUE"""),"Stella Maris")</f>
        <v>Stella Maris</v>
      </c>
      <c r="B8085" s="120" t="str">
        <f>IFERROR(__xludf.DUMMYFUNCTION("""COMPUTED_VALUE"""),"SML")</f>
        <v>SML</v>
      </c>
      <c r="C8085" s="120" t="str">
        <f>IFERROR(__xludf.DUMMYFUNCTION("""COMPUTED_VALUE"""),"Estate Airstrip")</f>
        <v>Estate Airstrip</v>
      </c>
      <c r="D8085" s="120" t="str">
        <f>IFERROR(__xludf.DUMMYFUNCTION("""COMPUTED_VALUE"""),"Bahamas")</f>
        <v>Bahamas</v>
      </c>
      <c r="E8085" s="135"/>
      <c r="F8085" s="31"/>
    </row>
    <row r="8086">
      <c r="A8086" s="134" t="str">
        <f>IFERROR(__xludf.DUMMYFUNCTION("""COMPUTED_VALUE"""),"Stephen Island")</f>
        <v>Stephen Island</v>
      </c>
      <c r="B8086" s="120" t="str">
        <f>IFERROR(__xludf.DUMMYFUNCTION("""COMPUTED_VALUE"""),"STF")</f>
        <v>STF</v>
      </c>
      <c r="C8086" s="120" t="str">
        <f>IFERROR(__xludf.DUMMYFUNCTION("""COMPUTED_VALUE"""),"Stephen Island")</f>
        <v>Stephen Island</v>
      </c>
      <c r="D8086" s="120" t="str">
        <f>IFERROR(__xludf.DUMMYFUNCTION("""COMPUTED_VALUE"""),"Australia")</f>
        <v>Australia</v>
      </c>
      <c r="E8086" s="135"/>
      <c r="F8086" s="31"/>
    </row>
    <row r="8087">
      <c r="A8087" s="134" t="str">
        <f>IFERROR(__xludf.DUMMYFUNCTION("""COMPUTED_VALUE"""),"Stephenville")</f>
        <v>Stephenville</v>
      </c>
      <c r="B8087" s="120" t="str">
        <f>IFERROR(__xludf.DUMMYFUNCTION("""COMPUTED_VALUE"""),"YJT")</f>
        <v>YJT</v>
      </c>
      <c r="C8087" s="120" t="str">
        <f>IFERROR(__xludf.DUMMYFUNCTION("""COMPUTED_VALUE"""),"Stephenville")</f>
        <v>Stephenville</v>
      </c>
      <c r="D8087" s="120" t="str">
        <f>IFERROR(__xludf.DUMMYFUNCTION("""COMPUTED_VALUE"""),"Canada")</f>
        <v>Canada</v>
      </c>
      <c r="E8087" s="135"/>
      <c r="F8087" s="31"/>
    </row>
    <row r="8088">
      <c r="A8088" s="134" t="str">
        <f>IFERROR(__xludf.DUMMYFUNCTION("""COMPUTED_VALUE"""),"Stephenville")</f>
        <v>Stephenville</v>
      </c>
      <c r="B8088" s="120" t="str">
        <f>IFERROR(__xludf.DUMMYFUNCTION("""COMPUTED_VALUE"""),"SEP")</f>
        <v>SEP</v>
      </c>
      <c r="C8088" s="120" t="str">
        <f>IFERROR(__xludf.DUMMYFUNCTION("""COMPUTED_VALUE"""),"Clark Field")</f>
        <v>Clark Field</v>
      </c>
      <c r="D8088" s="120" t="str">
        <f>IFERROR(__xludf.DUMMYFUNCTION("""COMPUTED_VALUE"""),"United States")</f>
        <v>United States</v>
      </c>
      <c r="E8088" s="135"/>
      <c r="F8088" s="31"/>
    </row>
    <row r="8089">
      <c r="A8089" s="134" t="str">
        <f>IFERROR(__xludf.DUMMYFUNCTION("""COMPUTED_VALUE"""),"Sterling")</f>
        <v>Sterling</v>
      </c>
      <c r="B8089" s="120" t="str">
        <f>IFERROR(__xludf.DUMMYFUNCTION("""COMPUTED_VALUE"""),"STK")</f>
        <v>STK</v>
      </c>
      <c r="C8089" s="120" t="str">
        <f>IFERROR(__xludf.DUMMYFUNCTION("""COMPUTED_VALUE"""),"Crosson Field")</f>
        <v>Crosson Field</v>
      </c>
      <c r="D8089" s="120" t="str">
        <f>IFERROR(__xludf.DUMMYFUNCTION("""COMPUTED_VALUE"""),"United States")</f>
        <v>United States</v>
      </c>
      <c r="E8089" s="135"/>
      <c r="F8089" s="31"/>
    </row>
    <row r="8090">
      <c r="A8090" s="134" t="str">
        <f>IFERROR(__xludf.DUMMYFUNCTION("""COMPUTED_VALUE"""),"Sterling Rockfalls")</f>
        <v>Sterling Rockfalls</v>
      </c>
      <c r="B8090" s="120" t="str">
        <f>IFERROR(__xludf.DUMMYFUNCTION("""COMPUTED_VALUE"""),"SQI")</f>
        <v>SQI</v>
      </c>
      <c r="C8090" s="120" t="str">
        <f>IFERROR(__xludf.DUMMYFUNCTION("""COMPUTED_VALUE"""),"Whiteside County")</f>
        <v>Whiteside County</v>
      </c>
      <c r="D8090" s="120" t="str">
        <f>IFERROR(__xludf.DUMMYFUNCTION("""COMPUTED_VALUE"""),"United States")</f>
        <v>United States</v>
      </c>
      <c r="E8090" s="135"/>
      <c r="F8090" s="31"/>
    </row>
    <row r="8091">
      <c r="A8091" s="134" t="str">
        <f>IFERROR(__xludf.DUMMYFUNCTION("""COMPUTED_VALUE"""),"Stevens Point")</f>
        <v>Stevens Point</v>
      </c>
      <c r="B8091" s="120" t="str">
        <f>IFERROR(__xludf.DUMMYFUNCTION("""COMPUTED_VALUE"""),"STE")</f>
        <v>STE</v>
      </c>
      <c r="C8091" s="120" t="str">
        <f>IFERROR(__xludf.DUMMYFUNCTION("""COMPUTED_VALUE"""),"Stevens Point")</f>
        <v>Stevens Point</v>
      </c>
      <c r="D8091" s="120" t="str">
        <f>IFERROR(__xludf.DUMMYFUNCTION("""COMPUTED_VALUE"""),"United States")</f>
        <v>United States</v>
      </c>
      <c r="E8091" s="135"/>
      <c r="F8091" s="31"/>
    </row>
    <row r="8092">
      <c r="A8092" s="134" t="str">
        <f>IFERROR(__xludf.DUMMYFUNCTION("""COMPUTED_VALUE"""),"Stevens Village")</f>
        <v>Stevens Village</v>
      </c>
      <c r="B8092" s="120" t="str">
        <f>IFERROR(__xludf.DUMMYFUNCTION("""COMPUTED_VALUE"""),"SVS")</f>
        <v>SVS</v>
      </c>
      <c r="C8092" s="120" t="str">
        <f>IFERROR(__xludf.DUMMYFUNCTION("""COMPUTED_VALUE"""),"Stevens Village")</f>
        <v>Stevens Village</v>
      </c>
      <c r="D8092" s="120" t="str">
        <f>IFERROR(__xludf.DUMMYFUNCTION("""COMPUTED_VALUE"""),"United States")</f>
        <v>United States</v>
      </c>
      <c r="E8092" s="135"/>
      <c r="F8092" s="31"/>
    </row>
    <row r="8093">
      <c r="A8093" s="134" t="str">
        <f>IFERROR(__xludf.DUMMYFUNCTION("""COMPUTED_VALUE"""),"Stewart")</f>
        <v>Stewart</v>
      </c>
      <c r="B8093" s="120" t="str">
        <f>IFERROR(__xludf.DUMMYFUNCTION("""COMPUTED_VALUE"""),"ZST")</f>
        <v>ZST</v>
      </c>
      <c r="C8093" s="120" t="str">
        <f>IFERROR(__xludf.DUMMYFUNCTION("""COMPUTED_VALUE"""),"Stewart")</f>
        <v>Stewart</v>
      </c>
      <c r="D8093" s="120" t="str">
        <f>IFERROR(__xludf.DUMMYFUNCTION("""COMPUTED_VALUE"""),"Canada")</f>
        <v>Canada</v>
      </c>
      <c r="E8093" s="135"/>
      <c r="F8093" s="31"/>
    </row>
    <row r="8094">
      <c r="A8094" s="134" t="str">
        <f>IFERROR(__xludf.DUMMYFUNCTION("""COMPUTED_VALUE"""),"Stewart Island")</f>
        <v>Stewart Island</v>
      </c>
      <c r="B8094" s="120" t="str">
        <f>IFERROR(__xludf.DUMMYFUNCTION("""COMPUTED_VALUE"""),"SZS")</f>
        <v>SZS</v>
      </c>
      <c r="C8094" s="120" t="str">
        <f>IFERROR(__xludf.DUMMYFUNCTION("""COMPUTED_VALUE"""),"Stewart Island")</f>
        <v>Stewart Island</v>
      </c>
      <c r="D8094" s="120" t="str">
        <f>IFERROR(__xludf.DUMMYFUNCTION("""COMPUTED_VALUE"""),"New Zealand (Aotearoa)")</f>
        <v>New Zealand (Aotearoa)</v>
      </c>
      <c r="E8094" s="135"/>
      <c r="F8094" s="31"/>
    </row>
    <row r="8095">
      <c r="A8095" s="134" t="str">
        <f>IFERROR(__xludf.DUMMYFUNCTION("""COMPUTED_VALUE"""),"Stillwater")</f>
        <v>Stillwater</v>
      </c>
      <c r="B8095" s="120" t="str">
        <f>IFERROR(__xludf.DUMMYFUNCTION("""COMPUTED_VALUE"""),"SWO")</f>
        <v>SWO</v>
      </c>
      <c r="C8095" s="120" t="str">
        <f>IFERROR(__xludf.DUMMYFUNCTION("""COMPUTED_VALUE"""),"Searcy Fld")</f>
        <v>Searcy Fld</v>
      </c>
      <c r="D8095" s="120" t="str">
        <f>IFERROR(__xludf.DUMMYFUNCTION("""COMPUTED_VALUE"""),"United States")</f>
        <v>United States</v>
      </c>
      <c r="E8095" s="135"/>
      <c r="F8095" s="31"/>
    </row>
    <row r="8096">
      <c r="A8096" s="134" t="str">
        <f>IFERROR(__xludf.DUMMYFUNCTION("""COMPUTED_VALUE"""),"Stjordal")</f>
        <v>Stjordal</v>
      </c>
      <c r="B8096" s="120" t="str">
        <f>IFERROR(__xludf.DUMMYFUNCTION("""COMPUTED_VALUE"""),"XUU")</f>
        <v>XUU</v>
      </c>
      <c r="C8096" s="120" t="str">
        <f>IFERROR(__xludf.DUMMYFUNCTION("""COMPUTED_VALUE"""),"Stjordal Railway")</f>
        <v>Stjordal Railway</v>
      </c>
      <c r="D8096" s="120" t="str">
        <f>IFERROR(__xludf.DUMMYFUNCTION("""COMPUTED_VALUE"""),"Norway")</f>
        <v>Norway</v>
      </c>
      <c r="E8096" s="135"/>
      <c r="F8096" s="31"/>
    </row>
    <row r="8097">
      <c r="A8097" s="134" t="str">
        <f>IFERROR(__xludf.DUMMYFUNCTION("""COMPUTED_VALUE"""),"Stockholm")</f>
        <v>Stockholm</v>
      </c>
      <c r="B8097" s="120" t="str">
        <f>IFERROR(__xludf.DUMMYFUNCTION("""COMPUTED_VALUE"""),"SMP")</f>
        <v>SMP</v>
      </c>
      <c r="C8097" s="120" t="str">
        <f>IFERROR(__xludf.DUMMYFUNCTION("""COMPUTED_VALUE"""),"Stockholm")</f>
        <v>Stockholm</v>
      </c>
      <c r="D8097" s="120" t="str">
        <f>IFERROR(__xludf.DUMMYFUNCTION("""COMPUTED_VALUE"""),"Papua New Guinea")</f>
        <v>Papua New Guinea</v>
      </c>
      <c r="E8097" s="135"/>
      <c r="F8097" s="31"/>
    </row>
    <row r="8098">
      <c r="A8098" s="134" t="str">
        <f>IFERROR(__xludf.DUMMYFUNCTION("""COMPUTED_VALUE"""),"Stockholm")</f>
        <v>Stockholm</v>
      </c>
      <c r="B8098" s="120" t="str">
        <f>IFERROR(__xludf.DUMMYFUNCTION("""COMPUTED_VALUE"""),"ARN")</f>
        <v>ARN</v>
      </c>
      <c r="C8098" s="120" t="str">
        <f>IFERROR(__xludf.DUMMYFUNCTION("""COMPUTED_VALUE"""),"Arlanda")</f>
        <v>Arlanda</v>
      </c>
      <c r="D8098" s="120" t="str">
        <f>IFERROR(__xludf.DUMMYFUNCTION("""COMPUTED_VALUE"""),"Sweden")</f>
        <v>Sweden</v>
      </c>
      <c r="E8098" s="135"/>
      <c r="F8098" s="31"/>
    </row>
    <row r="8099">
      <c r="A8099" s="134" t="str">
        <f>IFERROR(__xludf.DUMMYFUNCTION("""COMPUTED_VALUE"""),"Stockholm")</f>
        <v>Stockholm</v>
      </c>
      <c r="B8099" s="120" t="str">
        <f>IFERROR(__xludf.DUMMYFUNCTION("""COMPUTED_VALUE"""),"BMA")</f>
        <v>BMA</v>
      </c>
      <c r="C8099" s="120" t="str">
        <f>IFERROR(__xludf.DUMMYFUNCTION("""COMPUTED_VALUE"""),"Bromma")</f>
        <v>Bromma</v>
      </c>
      <c r="D8099" s="120" t="str">
        <f>IFERROR(__xludf.DUMMYFUNCTION("""COMPUTED_VALUE"""),"Sweden")</f>
        <v>Sweden</v>
      </c>
      <c r="E8099" s="135"/>
      <c r="F8099" s="31"/>
    </row>
    <row r="8100">
      <c r="A8100" s="134" t="str">
        <f>IFERROR(__xludf.DUMMYFUNCTION("""COMPUTED_VALUE"""),"Stockholm")</f>
        <v>Stockholm</v>
      </c>
      <c r="B8100" s="120" t="str">
        <f>IFERROR(__xludf.DUMMYFUNCTION("""COMPUTED_VALUE"""),"NYO")</f>
        <v>NYO</v>
      </c>
      <c r="C8100" s="120" t="str">
        <f>IFERROR(__xludf.DUMMYFUNCTION("""COMPUTED_VALUE"""),"Skavsta")</f>
        <v>Skavsta</v>
      </c>
      <c r="D8100" s="120" t="str">
        <f>IFERROR(__xludf.DUMMYFUNCTION("""COMPUTED_VALUE"""),"Sweden")</f>
        <v>Sweden</v>
      </c>
      <c r="E8100" s="135"/>
      <c r="F8100" s="31"/>
    </row>
    <row r="8101">
      <c r="A8101" s="134" t="str">
        <f>IFERROR(__xludf.DUMMYFUNCTION("""COMPUTED_VALUE"""),"Stockholm")</f>
        <v>Stockholm</v>
      </c>
      <c r="B8101" s="120" t="str">
        <f>IFERROR(__xludf.DUMMYFUNCTION("""COMPUTED_VALUE"""),"VST")</f>
        <v>VST</v>
      </c>
      <c r="C8101" s="120" t="str">
        <f>IFERROR(__xludf.DUMMYFUNCTION("""COMPUTED_VALUE"""),"Vasteras/Hasslo")</f>
        <v>Vasteras/Hasslo</v>
      </c>
      <c r="D8101" s="120" t="str">
        <f>IFERROR(__xludf.DUMMYFUNCTION("""COMPUTED_VALUE"""),"Sweden")</f>
        <v>Sweden</v>
      </c>
      <c r="E8101" s="135"/>
      <c r="F8101" s="31"/>
    </row>
    <row r="8102">
      <c r="A8102" s="134" t="str">
        <f>IFERROR(__xludf.DUMMYFUNCTION("""COMPUTED_VALUE"""),"Stoelmans Eiland")</f>
        <v>Stoelmans Eiland</v>
      </c>
      <c r="B8102" s="120" t="str">
        <f>IFERROR(__xludf.DUMMYFUNCTION("""COMPUTED_VALUE"""),"SMZ")</f>
        <v>SMZ</v>
      </c>
      <c r="C8102" s="120" t="str">
        <f>IFERROR(__xludf.DUMMYFUNCTION("""COMPUTED_VALUE"""),"Stoelmans Eiland")</f>
        <v>Stoelmans Eiland</v>
      </c>
      <c r="D8102" s="120" t="str">
        <f>IFERROR(__xludf.DUMMYFUNCTION("""COMPUTED_VALUE"""),"Suriname")</f>
        <v>Suriname</v>
      </c>
      <c r="E8102" s="135"/>
      <c r="F8102" s="31"/>
    </row>
    <row r="8103">
      <c r="A8103" s="134" t="str">
        <f>IFERROR(__xludf.DUMMYFUNCTION("""COMPUTED_VALUE"""),"Stokmarknes")</f>
        <v>Stokmarknes</v>
      </c>
      <c r="B8103" s="120" t="str">
        <f>IFERROR(__xludf.DUMMYFUNCTION("""COMPUTED_VALUE"""),"SKN")</f>
        <v>SKN</v>
      </c>
      <c r="C8103" s="120" t="str">
        <f>IFERROR(__xludf.DUMMYFUNCTION("""COMPUTED_VALUE"""),"Skagen")</f>
        <v>Skagen</v>
      </c>
      <c r="D8103" s="120" t="str">
        <f>IFERROR(__xludf.DUMMYFUNCTION("""COMPUTED_VALUE"""),"Norway")</f>
        <v>Norway</v>
      </c>
      <c r="E8103" s="135"/>
      <c r="F8103" s="31"/>
    </row>
    <row r="8104">
      <c r="A8104" s="134" t="str">
        <f>IFERROR(__xludf.DUMMYFUNCTION("""COMPUTED_VALUE"""),"Stony Rapids")</f>
        <v>Stony Rapids</v>
      </c>
      <c r="B8104" s="120" t="str">
        <f>IFERROR(__xludf.DUMMYFUNCTION("""COMPUTED_VALUE"""),"YSF")</f>
        <v>YSF</v>
      </c>
      <c r="C8104" s="120" t="str">
        <f>IFERROR(__xludf.DUMMYFUNCTION("""COMPUTED_VALUE"""),"Stony Rapids")</f>
        <v>Stony Rapids</v>
      </c>
      <c r="D8104" s="120" t="str">
        <f>IFERROR(__xludf.DUMMYFUNCTION("""COMPUTED_VALUE"""),"Canada")</f>
        <v>Canada</v>
      </c>
      <c r="E8104" s="135"/>
      <c r="F8104" s="31"/>
    </row>
    <row r="8105">
      <c r="A8105" s="134" t="str">
        <f>IFERROR(__xludf.DUMMYFUNCTION("""COMPUTED_VALUE"""),"Stony River")</f>
        <v>Stony River</v>
      </c>
      <c r="B8105" s="120" t="str">
        <f>IFERROR(__xludf.DUMMYFUNCTION("""COMPUTED_VALUE"""),"SRV")</f>
        <v>SRV</v>
      </c>
      <c r="C8105" s="120" t="str">
        <f>IFERROR(__xludf.DUMMYFUNCTION("""COMPUTED_VALUE"""),"Stony River")</f>
        <v>Stony River</v>
      </c>
      <c r="D8105" s="120" t="str">
        <f>IFERROR(__xludf.DUMMYFUNCTION("""COMPUTED_VALUE"""),"United States")</f>
        <v>United States</v>
      </c>
      <c r="E8105" s="135"/>
      <c r="F8105" s="31"/>
    </row>
    <row r="8106">
      <c r="A8106" s="134" t="str">
        <f>IFERROR(__xludf.DUMMYFUNCTION("""COMPUTED_VALUE"""),"Stord")</f>
        <v>Stord</v>
      </c>
      <c r="B8106" s="120" t="str">
        <f>IFERROR(__xludf.DUMMYFUNCTION("""COMPUTED_VALUE"""),"SRP")</f>
        <v>SRP</v>
      </c>
      <c r="C8106" s="120" t="str">
        <f>IFERROR(__xludf.DUMMYFUNCTION("""COMPUTED_VALUE"""),"Stord Airport")</f>
        <v>Stord Airport</v>
      </c>
      <c r="D8106" s="120" t="str">
        <f>IFERROR(__xludf.DUMMYFUNCTION("""COMPUTED_VALUE"""),"Norway")</f>
        <v>Norway</v>
      </c>
      <c r="E8106" s="135"/>
      <c r="F8106" s="31"/>
    </row>
    <row r="8107">
      <c r="A8107" s="134" t="str">
        <f>IFERROR(__xludf.DUMMYFUNCTION("""COMPUTED_VALUE"""),"Storekvina")</f>
        <v>Storekvina</v>
      </c>
      <c r="B8107" s="120" t="str">
        <f>IFERROR(__xludf.DUMMYFUNCTION("""COMPUTED_VALUE"""),"XUV")</f>
        <v>XUV</v>
      </c>
      <c r="C8107" s="120" t="str">
        <f>IFERROR(__xludf.DUMMYFUNCTION("""COMPUTED_VALUE"""),"Storekvina Railway")</f>
        <v>Storekvina Railway</v>
      </c>
      <c r="D8107" s="120" t="str">
        <f>IFERROR(__xludf.DUMMYFUNCTION("""COMPUTED_VALUE"""),"Norway")</f>
        <v>Norway</v>
      </c>
      <c r="E8107" s="135"/>
      <c r="F8107" s="31"/>
    </row>
    <row r="8108">
      <c r="A8108" s="134" t="str">
        <f>IFERROR(__xludf.DUMMYFUNCTION("""COMPUTED_VALUE"""),"Storen")</f>
        <v>Storen</v>
      </c>
      <c r="B8108" s="120" t="str">
        <f>IFERROR(__xludf.DUMMYFUNCTION("""COMPUTED_VALUE"""),"XUW")</f>
        <v>XUW</v>
      </c>
      <c r="C8108" s="120" t="str">
        <f>IFERROR(__xludf.DUMMYFUNCTION("""COMPUTED_VALUE"""),"Storen Railway")</f>
        <v>Storen Railway</v>
      </c>
      <c r="D8108" s="120" t="str">
        <f>IFERROR(__xludf.DUMMYFUNCTION("""COMPUTED_VALUE"""),"Norway")</f>
        <v>Norway</v>
      </c>
      <c r="E8108" s="135"/>
      <c r="F8108" s="31"/>
    </row>
    <row r="8109">
      <c r="A8109" s="134" t="str">
        <f>IFERROR(__xludf.DUMMYFUNCTION("""COMPUTED_VALUE"""),"Storm Lake")</f>
        <v>Storm Lake</v>
      </c>
      <c r="B8109" s="120" t="str">
        <f>IFERROR(__xludf.DUMMYFUNCTION("""COMPUTED_VALUE"""),"SLB")</f>
        <v>SLB</v>
      </c>
      <c r="C8109" s="120" t="str">
        <f>IFERROR(__xludf.DUMMYFUNCTION("""COMPUTED_VALUE"""),"Municipal")</f>
        <v>Municipal</v>
      </c>
      <c r="D8109" s="120" t="str">
        <f>IFERROR(__xludf.DUMMYFUNCTION("""COMPUTED_VALUE"""),"United States")</f>
        <v>United States</v>
      </c>
      <c r="E8109" s="135"/>
      <c r="F8109" s="31"/>
    </row>
    <row r="8110">
      <c r="A8110" s="134" t="str">
        <f>IFERROR(__xludf.DUMMYFUNCTION("""COMPUTED_VALUE"""),"Stornoway")</f>
        <v>Stornoway</v>
      </c>
      <c r="B8110" s="120" t="str">
        <f>IFERROR(__xludf.DUMMYFUNCTION("""COMPUTED_VALUE"""),"SYY")</f>
        <v>SYY</v>
      </c>
      <c r="C8110" s="120" t="str">
        <f>IFERROR(__xludf.DUMMYFUNCTION("""COMPUTED_VALUE"""),"Stornoway")</f>
        <v>Stornoway</v>
      </c>
      <c r="D8110" s="120" t="str">
        <f>IFERROR(__xludf.DUMMYFUNCTION("""COMPUTED_VALUE"""),"United Kingdom")</f>
        <v>United Kingdom</v>
      </c>
      <c r="E8110" s="135"/>
      <c r="F8110" s="31"/>
    </row>
    <row r="8111">
      <c r="A8111" s="134" t="str">
        <f>IFERROR(__xludf.DUMMYFUNCTION("""COMPUTED_VALUE"""),"Storuman")</f>
        <v>Storuman</v>
      </c>
      <c r="B8111" s="120" t="str">
        <f>IFERROR(__xludf.DUMMYFUNCTION("""COMPUTED_VALUE"""),"SQO")</f>
        <v>SQO</v>
      </c>
      <c r="C8111" s="120" t="str">
        <f>IFERROR(__xludf.DUMMYFUNCTION("""COMPUTED_VALUE"""),"Gunnarn")</f>
        <v>Gunnarn</v>
      </c>
      <c r="D8111" s="120" t="str">
        <f>IFERROR(__xludf.DUMMYFUNCTION("""COMPUTED_VALUE"""),"Sweden")</f>
        <v>Sweden</v>
      </c>
      <c r="E8111" s="135"/>
      <c r="F8111" s="31"/>
    </row>
    <row r="8112">
      <c r="A8112" s="134" t="str">
        <f>IFERROR(__xludf.DUMMYFUNCTION("""COMPUTED_VALUE"""),"Stow")</f>
        <v>Stow</v>
      </c>
      <c r="B8112" s="120" t="str">
        <f>IFERROR(__xludf.DUMMYFUNCTION("""COMPUTED_VALUE"""),"MMN")</f>
        <v>MMN</v>
      </c>
      <c r="C8112" s="120" t="str">
        <f>IFERROR(__xludf.DUMMYFUNCTION("""COMPUTED_VALUE"""),"Minute Man Airfield")</f>
        <v>Minute Man Airfield</v>
      </c>
      <c r="D8112" s="120" t="str">
        <f>IFERROR(__xludf.DUMMYFUNCTION("""COMPUTED_VALUE"""),"United States")</f>
        <v>United States</v>
      </c>
      <c r="E8112" s="135"/>
      <c r="F8112" s="31"/>
    </row>
    <row r="8113">
      <c r="A8113" s="134" t="str">
        <f>IFERROR(__xludf.DUMMYFUNCTION("""COMPUTED_VALUE"""),"Stowe")</f>
        <v>Stowe</v>
      </c>
      <c r="B8113" s="120" t="str">
        <f>IFERROR(__xludf.DUMMYFUNCTION("""COMPUTED_VALUE"""),"MVL")</f>
        <v>MVL</v>
      </c>
      <c r="C8113" s="120" t="str">
        <f>IFERROR(__xludf.DUMMYFUNCTION("""COMPUTED_VALUE"""),"Morrisville-Stowe")</f>
        <v>Morrisville-Stowe</v>
      </c>
      <c r="D8113" s="120" t="str">
        <f>IFERROR(__xludf.DUMMYFUNCTION("""COMPUTED_VALUE"""),"United States")</f>
        <v>United States</v>
      </c>
      <c r="E8113" s="135"/>
      <c r="F8113" s="31"/>
    </row>
    <row r="8114">
      <c r="A8114" s="134" t="str">
        <f>IFERROR(__xludf.DUMMYFUNCTION("""COMPUTED_VALUE"""),"Stradbroke Island")</f>
        <v>Stradbroke Island</v>
      </c>
      <c r="B8114" s="120" t="str">
        <f>IFERROR(__xludf.DUMMYFUNCTION("""COMPUTED_VALUE"""),"SRR")</f>
        <v>SRR</v>
      </c>
      <c r="C8114" s="120" t="str">
        <f>IFERROR(__xludf.DUMMYFUNCTION("""COMPUTED_VALUE"""),"Dunwich")</f>
        <v>Dunwich</v>
      </c>
      <c r="D8114" s="120" t="str">
        <f>IFERROR(__xludf.DUMMYFUNCTION("""COMPUTED_VALUE"""),"Australia")</f>
        <v>Australia</v>
      </c>
      <c r="E8114" s="135"/>
      <c r="F8114" s="31"/>
    </row>
    <row r="8115">
      <c r="A8115" s="134" t="str">
        <f>IFERROR(__xludf.DUMMYFUNCTION("""COMPUTED_VALUE"""),"Strahan")</f>
        <v>Strahan</v>
      </c>
      <c r="B8115" s="120" t="str">
        <f>IFERROR(__xludf.DUMMYFUNCTION("""COMPUTED_VALUE"""),"SRN")</f>
        <v>SRN</v>
      </c>
      <c r="C8115" s="120" t="str">
        <f>IFERROR(__xludf.DUMMYFUNCTION("""COMPUTED_VALUE"""),"Strahan")</f>
        <v>Strahan</v>
      </c>
      <c r="D8115" s="120" t="str">
        <f>IFERROR(__xludf.DUMMYFUNCTION("""COMPUTED_VALUE"""),"Australia")</f>
        <v>Australia</v>
      </c>
      <c r="E8115" s="135"/>
      <c r="F8115" s="31"/>
    </row>
    <row r="8116">
      <c r="A8116" s="134" t="str">
        <f>IFERROR(__xludf.DUMMYFUNCTION("""COMPUTED_VALUE"""),"Strasbourg")</f>
        <v>Strasbourg</v>
      </c>
      <c r="B8116" s="120" t="str">
        <f>IFERROR(__xludf.DUMMYFUNCTION("""COMPUTED_VALUE"""),"SXB")</f>
        <v>SXB</v>
      </c>
      <c r="C8116" s="120" t="str">
        <f>IFERROR(__xludf.DUMMYFUNCTION("""COMPUTED_VALUE"""),"Entzheim")</f>
        <v>Entzheim</v>
      </c>
      <c r="D8116" s="120" t="str">
        <f>IFERROR(__xludf.DUMMYFUNCTION("""COMPUTED_VALUE"""),"France")</f>
        <v>France</v>
      </c>
      <c r="E8116" s="135"/>
      <c r="F8116" s="31"/>
    </row>
    <row r="8117">
      <c r="A8117" s="134" t="str">
        <f>IFERROR(__xludf.DUMMYFUNCTION("""COMPUTED_VALUE"""),"Stratford")</f>
        <v>Stratford</v>
      </c>
      <c r="B8117" s="120" t="str">
        <f>IFERROR(__xludf.DUMMYFUNCTION("""COMPUTED_VALUE"""),"JSD")</f>
        <v>JSD</v>
      </c>
      <c r="C8117" s="120" t="str">
        <f>IFERROR(__xludf.DUMMYFUNCTION("""COMPUTED_VALUE"""),"Sikorsky Heliport")</f>
        <v>Sikorsky Heliport</v>
      </c>
      <c r="D8117" s="120" t="str">
        <f>IFERROR(__xludf.DUMMYFUNCTION("""COMPUTED_VALUE"""),"United States")</f>
        <v>United States</v>
      </c>
      <c r="E8117" s="135"/>
      <c r="F8117" s="31"/>
    </row>
    <row r="8118">
      <c r="A8118" s="134" t="str">
        <f>IFERROR(__xludf.DUMMYFUNCTION("""COMPUTED_VALUE"""),"Strathmore")</f>
        <v>Strathmore</v>
      </c>
      <c r="B8118" s="120" t="str">
        <f>IFERROR(__xludf.DUMMYFUNCTION("""COMPUTED_VALUE"""),"STH")</f>
        <v>STH</v>
      </c>
      <c r="C8118" s="120" t="str">
        <f>IFERROR(__xludf.DUMMYFUNCTION("""COMPUTED_VALUE"""),"Strathmore")</f>
        <v>Strathmore</v>
      </c>
      <c r="D8118" s="120" t="str">
        <f>IFERROR(__xludf.DUMMYFUNCTION("""COMPUTED_VALUE"""),"Australia")</f>
        <v>Australia</v>
      </c>
      <c r="E8118" s="135"/>
      <c r="F8118" s="31"/>
    </row>
    <row r="8119">
      <c r="A8119" s="134" t="str">
        <f>IFERROR(__xludf.DUMMYFUNCTION("""COMPUTED_VALUE"""),"Straubing")</f>
        <v>Straubing</v>
      </c>
      <c r="B8119" s="120" t="str">
        <f>IFERROR(__xludf.DUMMYFUNCTION("""COMPUTED_VALUE"""),"RBM")</f>
        <v>RBM</v>
      </c>
      <c r="C8119" s="120" t="str">
        <f>IFERROR(__xludf.DUMMYFUNCTION("""COMPUTED_VALUE"""),"Wallmuhle")</f>
        <v>Wallmuhle</v>
      </c>
      <c r="D8119" s="120" t="str">
        <f>IFERROR(__xludf.DUMMYFUNCTION("""COMPUTED_VALUE"""),"Germany")</f>
        <v>Germany</v>
      </c>
      <c r="E8119" s="135"/>
      <c r="F8119" s="31"/>
    </row>
    <row r="8120">
      <c r="A8120" s="134" t="str">
        <f>IFERROR(__xludf.DUMMYFUNCTION("""COMPUTED_VALUE"""),"Streaky Bay")</f>
        <v>Streaky Bay</v>
      </c>
      <c r="B8120" s="120" t="str">
        <f>IFERROR(__xludf.DUMMYFUNCTION("""COMPUTED_VALUE"""),"KBY")</f>
        <v>KBY</v>
      </c>
      <c r="C8120" s="120" t="str">
        <f>IFERROR(__xludf.DUMMYFUNCTION("""COMPUTED_VALUE"""),"Streaky Bay")</f>
        <v>Streaky Bay</v>
      </c>
      <c r="D8120" s="120" t="str">
        <f>IFERROR(__xludf.DUMMYFUNCTION("""COMPUTED_VALUE"""),"Australia")</f>
        <v>Australia</v>
      </c>
      <c r="E8120" s="135"/>
      <c r="F8120" s="31"/>
    </row>
    <row r="8121">
      <c r="A8121" s="134" t="str">
        <f>IFERROR(__xludf.DUMMYFUNCTION("""COMPUTED_VALUE"""),"Stromboli")</f>
        <v>Stromboli</v>
      </c>
      <c r="B8121" s="120" t="str">
        <f>IFERROR(__xludf.DUMMYFUNCTION("""COMPUTED_VALUE"""),"ZJX")</f>
        <v>ZJX</v>
      </c>
      <c r="C8121" s="120" t="str">
        <f>IFERROR(__xludf.DUMMYFUNCTION("""COMPUTED_VALUE"""),"Harbour (Eolie Island)")</f>
        <v>Harbour (Eolie Island)</v>
      </c>
      <c r="D8121" s="120" t="str">
        <f>IFERROR(__xludf.DUMMYFUNCTION("""COMPUTED_VALUE"""),"Italy")</f>
        <v>Italy</v>
      </c>
      <c r="E8121" s="135"/>
      <c r="F8121" s="31"/>
    </row>
    <row r="8122">
      <c r="A8122" s="134" t="str">
        <f>IFERROR(__xludf.DUMMYFUNCTION("""COMPUTED_VALUE"""),"Stronsay")</f>
        <v>Stronsay</v>
      </c>
      <c r="B8122" s="120" t="str">
        <f>IFERROR(__xludf.DUMMYFUNCTION("""COMPUTED_VALUE"""),"SOY")</f>
        <v>SOY</v>
      </c>
      <c r="C8122" s="120" t="str">
        <f>IFERROR(__xludf.DUMMYFUNCTION("""COMPUTED_VALUE"""),"Stronsay")</f>
        <v>Stronsay</v>
      </c>
      <c r="D8122" s="120" t="str">
        <f>IFERROR(__xludf.DUMMYFUNCTION("""COMPUTED_VALUE"""),"United Kingdom")</f>
        <v>United Kingdom</v>
      </c>
      <c r="E8122" s="135"/>
      <c r="F8122" s="31"/>
    </row>
    <row r="8123">
      <c r="A8123" s="134" t="str">
        <f>IFERROR(__xludf.DUMMYFUNCTION("""COMPUTED_VALUE"""),"Stroud")</f>
        <v>Stroud</v>
      </c>
      <c r="B8123" s="120" t="str">
        <f>IFERROR(__xludf.DUMMYFUNCTION("""COMPUTED_VALUE"""),"SUD")</f>
        <v>SUD</v>
      </c>
      <c r="C8123" s="120" t="str">
        <f>IFERROR(__xludf.DUMMYFUNCTION("""COMPUTED_VALUE"""),"Stroud")</f>
        <v>Stroud</v>
      </c>
      <c r="D8123" s="120" t="str">
        <f>IFERROR(__xludf.DUMMYFUNCTION("""COMPUTED_VALUE"""),"United States")</f>
        <v>United States</v>
      </c>
      <c r="E8123" s="135"/>
      <c r="F8123" s="31"/>
    </row>
    <row r="8124">
      <c r="A8124" s="134" t="str">
        <f>IFERROR(__xludf.DUMMYFUNCTION("""COMPUTED_VALUE"""),"Strzhewoi")</f>
        <v>Strzhewoi</v>
      </c>
      <c r="B8124" s="120" t="str">
        <f>IFERROR(__xludf.DUMMYFUNCTION("""COMPUTED_VALUE"""),"SWT")</f>
        <v>SWT</v>
      </c>
      <c r="C8124" s="120" t="str">
        <f>IFERROR(__xludf.DUMMYFUNCTION("""COMPUTED_VALUE"""),"Strzhewoi")</f>
        <v>Strzhewoi</v>
      </c>
      <c r="D8124" s="120" t="str">
        <f>IFERROR(__xludf.DUMMYFUNCTION("""COMPUTED_VALUE"""),"Russia")</f>
        <v>Russia</v>
      </c>
      <c r="E8124" s="135"/>
      <c r="F8124" s="31"/>
    </row>
    <row r="8125">
      <c r="A8125" s="134" t="str">
        <f>IFERROR(__xludf.DUMMYFUNCTION("""COMPUTED_VALUE"""),"Stuart")</f>
        <v>Stuart</v>
      </c>
      <c r="B8125" s="120" t="str">
        <f>IFERROR(__xludf.DUMMYFUNCTION("""COMPUTED_VALUE"""),"SUA")</f>
        <v>SUA</v>
      </c>
      <c r="C8125" s="120" t="str">
        <f>IFERROR(__xludf.DUMMYFUNCTION("""COMPUTED_VALUE"""),"Witham Field")</f>
        <v>Witham Field</v>
      </c>
      <c r="D8125" s="120" t="str">
        <f>IFERROR(__xludf.DUMMYFUNCTION("""COMPUTED_VALUE"""),"United States")</f>
        <v>United States</v>
      </c>
      <c r="E8125" s="135"/>
      <c r="F8125" s="31"/>
    </row>
    <row r="8126">
      <c r="A8126" s="134" t="str">
        <f>IFERROR(__xludf.DUMMYFUNCTION("""COMPUTED_VALUE"""),"Stuart Island")</f>
        <v>Stuart Island</v>
      </c>
      <c r="B8126" s="120" t="str">
        <f>IFERROR(__xludf.DUMMYFUNCTION("""COMPUTED_VALUE"""),"YRR")</f>
        <v>YRR</v>
      </c>
      <c r="C8126" s="120" t="str">
        <f>IFERROR(__xludf.DUMMYFUNCTION("""COMPUTED_VALUE"""),"Stuart Island")</f>
        <v>Stuart Island</v>
      </c>
      <c r="D8126" s="120" t="str">
        <f>IFERROR(__xludf.DUMMYFUNCTION("""COMPUTED_VALUE"""),"Canada")</f>
        <v>Canada</v>
      </c>
      <c r="E8126" s="135"/>
      <c r="F8126" s="31"/>
    </row>
    <row r="8127">
      <c r="A8127" s="134" t="str">
        <f>IFERROR(__xludf.DUMMYFUNCTION("""COMPUTED_VALUE"""),"Stuart Island")</f>
        <v>Stuart Island</v>
      </c>
      <c r="B8127" s="120" t="str">
        <f>IFERROR(__xludf.DUMMYFUNCTION("""COMPUTED_VALUE"""),"SSW")</f>
        <v>SSW</v>
      </c>
      <c r="C8127" s="120" t="str">
        <f>IFERROR(__xludf.DUMMYFUNCTION("""COMPUTED_VALUE"""),"Stuart Island")</f>
        <v>Stuart Island</v>
      </c>
      <c r="D8127" s="120" t="str">
        <f>IFERROR(__xludf.DUMMYFUNCTION("""COMPUTED_VALUE"""),"United States")</f>
        <v>United States</v>
      </c>
      <c r="E8127" s="135"/>
      <c r="F8127" s="31"/>
    </row>
    <row r="8128">
      <c r="A8128" s="134" t="str">
        <f>IFERROR(__xludf.DUMMYFUNCTION("""COMPUTED_VALUE"""),"Stung Treng")</f>
        <v>Stung Treng</v>
      </c>
      <c r="B8128" s="120" t="str">
        <f>IFERROR(__xludf.DUMMYFUNCTION("""COMPUTED_VALUE"""),"TNX")</f>
        <v>TNX</v>
      </c>
      <c r="C8128" s="120" t="str">
        <f>IFERROR(__xludf.DUMMYFUNCTION("""COMPUTED_VALUE"""),"Stung Treng")</f>
        <v>Stung Treng</v>
      </c>
      <c r="D8128" s="120" t="str">
        <f>IFERROR(__xludf.DUMMYFUNCTION("""COMPUTED_VALUE"""),"Cambodia")</f>
        <v>Cambodia</v>
      </c>
      <c r="E8128" s="135"/>
      <c r="F8128" s="31"/>
    </row>
    <row r="8129">
      <c r="A8129" s="134" t="str">
        <f>IFERROR(__xludf.DUMMYFUNCTION("""COMPUTED_VALUE"""),"Sturdee")</f>
        <v>Sturdee</v>
      </c>
      <c r="B8129" s="120" t="str">
        <f>IFERROR(__xludf.DUMMYFUNCTION("""COMPUTED_VALUE"""),"YTC")</f>
        <v>YTC</v>
      </c>
      <c r="C8129" s="120" t="str">
        <f>IFERROR(__xludf.DUMMYFUNCTION("""COMPUTED_VALUE"""),"Sturdee")</f>
        <v>Sturdee</v>
      </c>
      <c r="D8129" s="120" t="str">
        <f>IFERROR(__xludf.DUMMYFUNCTION("""COMPUTED_VALUE"""),"Canada")</f>
        <v>Canada</v>
      </c>
      <c r="E8129" s="135"/>
      <c r="F8129" s="31"/>
    </row>
    <row r="8130">
      <c r="A8130" s="134" t="str">
        <f>IFERROR(__xludf.DUMMYFUNCTION("""COMPUTED_VALUE"""),"Sturgeon Bay")</f>
        <v>Sturgeon Bay</v>
      </c>
      <c r="B8130" s="120" t="str">
        <f>IFERROR(__xludf.DUMMYFUNCTION("""COMPUTED_VALUE"""),"SUE")</f>
        <v>SUE</v>
      </c>
      <c r="C8130" s="120" t="str">
        <f>IFERROR(__xludf.DUMMYFUNCTION("""COMPUTED_VALUE"""),"Door County")</f>
        <v>Door County</v>
      </c>
      <c r="D8130" s="120" t="str">
        <f>IFERROR(__xludf.DUMMYFUNCTION("""COMPUTED_VALUE"""),"United States")</f>
        <v>United States</v>
      </c>
      <c r="E8130" s="135"/>
      <c r="F8130" s="31"/>
    </row>
    <row r="8131">
      <c r="A8131" s="134" t="str">
        <f>IFERROR(__xludf.DUMMYFUNCTION("""COMPUTED_VALUE"""),"Sturgis")</f>
        <v>Sturgis</v>
      </c>
      <c r="B8131" s="120" t="str">
        <f>IFERROR(__xludf.DUMMYFUNCTION("""COMPUTED_VALUE"""),"IRS")</f>
        <v>IRS</v>
      </c>
      <c r="C8131" s="120" t="str">
        <f>IFERROR(__xludf.DUMMYFUNCTION("""COMPUTED_VALUE"""),"Kirsch Municipal")</f>
        <v>Kirsch Municipal</v>
      </c>
      <c r="D8131" s="120" t="str">
        <f>IFERROR(__xludf.DUMMYFUNCTION("""COMPUTED_VALUE"""),"United States")</f>
        <v>United States</v>
      </c>
      <c r="E8131" s="135"/>
      <c r="F8131" s="31"/>
    </row>
    <row r="8132">
      <c r="A8132" s="134" t="str">
        <f>IFERROR(__xludf.DUMMYFUNCTION("""COMPUTED_VALUE"""),"Sturt Creek")</f>
        <v>Sturt Creek</v>
      </c>
      <c r="B8132" s="120" t="str">
        <f>IFERROR(__xludf.DUMMYFUNCTION("""COMPUTED_VALUE"""),"SSK")</f>
        <v>SSK</v>
      </c>
      <c r="C8132" s="120" t="str">
        <f>IFERROR(__xludf.DUMMYFUNCTION("""COMPUTED_VALUE"""),"Sturt Creek")</f>
        <v>Sturt Creek</v>
      </c>
      <c r="D8132" s="120" t="str">
        <f>IFERROR(__xludf.DUMMYFUNCTION("""COMPUTED_VALUE"""),"Australia")</f>
        <v>Australia</v>
      </c>
      <c r="E8132" s="135"/>
      <c r="F8132" s="31"/>
    </row>
    <row r="8133">
      <c r="A8133" s="134" t="str">
        <f>IFERROR(__xludf.DUMMYFUNCTION("""COMPUTED_VALUE"""),"Stuttgart")</f>
        <v>Stuttgart</v>
      </c>
      <c r="B8133" s="120" t="str">
        <f>IFERROR(__xludf.DUMMYFUNCTION("""COMPUTED_VALUE"""),"SGT")</f>
        <v>SGT</v>
      </c>
      <c r="C8133" s="120" t="str">
        <f>IFERROR(__xludf.DUMMYFUNCTION("""COMPUTED_VALUE"""),"Stuttgart")</f>
        <v>Stuttgart</v>
      </c>
      <c r="D8133" s="120" t="str">
        <f>IFERROR(__xludf.DUMMYFUNCTION("""COMPUTED_VALUE"""),"United States")</f>
        <v>United States</v>
      </c>
      <c r="E8133" s="135"/>
      <c r="F8133" s="31"/>
    </row>
    <row r="8134">
      <c r="A8134" s="134" t="str">
        <f>IFERROR(__xludf.DUMMYFUNCTION("""COMPUTED_VALUE"""),"Stuttgart")</f>
        <v>Stuttgart</v>
      </c>
      <c r="B8134" s="120" t="str">
        <f>IFERROR(__xludf.DUMMYFUNCTION("""COMPUTED_VALUE"""),"STR")</f>
        <v>STR</v>
      </c>
      <c r="C8134" s="120" t="str">
        <f>IFERROR(__xludf.DUMMYFUNCTION("""COMPUTED_VALUE"""),"Echterdingen")</f>
        <v>Echterdingen</v>
      </c>
      <c r="D8134" s="120" t="str">
        <f>IFERROR(__xludf.DUMMYFUNCTION("""COMPUTED_VALUE"""),"Germany")</f>
        <v>Germany</v>
      </c>
      <c r="E8134" s="135"/>
      <c r="F8134" s="31"/>
    </row>
    <row r="8135">
      <c r="A8135" s="134" t="str">
        <f>IFERROR(__xludf.DUMMYFUNCTION("""COMPUTED_VALUE"""),"Stykkisholmur")</f>
        <v>Stykkisholmur</v>
      </c>
      <c r="B8135" s="120" t="str">
        <f>IFERROR(__xludf.DUMMYFUNCTION("""COMPUTED_VALUE"""),"SYK")</f>
        <v>SYK</v>
      </c>
      <c r="C8135" s="120" t="str">
        <f>IFERROR(__xludf.DUMMYFUNCTION("""COMPUTED_VALUE"""),"Stykkisholmur")</f>
        <v>Stykkisholmur</v>
      </c>
      <c r="D8135" s="120" t="str">
        <f>IFERROR(__xludf.DUMMYFUNCTION("""COMPUTED_VALUE"""),"Iceland")</f>
        <v>Iceland</v>
      </c>
      <c r="E8135" s="135"/>
      <c r="F8135" s="31"/>
    </row>
    <row r="8136">
      <c r="A8136" s="134" t="str">
        <f>IFERROR(__xludf.DUMMYFUNCTION("""COMPUTED_VALUE"""),"Suabi")</f>
        <v>Suabi</v>
      </c>
      <c r="B8136" s="120" t="str">
        <f>IFERROR(__xludf.DUMMYFUNCTION("""COMPUTED_VALUE"""),"SBE")</f>
        <v>SBE</v>
      </c>
      <c r="C8136" s="120" t="str">
        <f>IFERROR(__xludf.DUMMYFUNCTION("""COMPUTED_VALUE"""),"Suabi")</f>
        <v>Suabi</v>
      </c>
      <c r="D8136" s="120" t="str">
        <f>IFERROR(__xludf.DUMMYFUNCTION("""COMPUTED_VALUE"""),"Papua New Guinea")</f>
        <v>Papua New Guinea</v>
      </c>
      <c r="E8136" s="135"/>
      <c r="F8136" s="31"/>
    </row>
    <row r="8137">
      <c r="A8137" s="134" t="str">
        <f>IFERROR(__xludf.DUMMYFUNCTION("""COMPUTED_VALUE"""),"Suai")</f>
        <v>Suai</v>
      </c>
      <c r="B8137" s="120" t="str">
        <f>IFERROR(__xludf.DUMMYFUNCTION("""COMPUTED_VALUE"""),"UAI")</f>
        <v>UAI</v>
      </c>
      <c r="C8137" s="120" t="str">
        <f>IFERROR(__xludf.DUMMYFUNCTION("""COMPUTED_VALUE"""),"Suai")</f>
        <v>Suai</v>
      </c>
      <c r="D8137" s="120" t="str">
        <f>IFERROR(__xludf.DUMMYFUNCTION("""COMPUTED_VALUE"""),"Indonesia")</f>
        <v>Indonesia</v>
      </c>
      <c r="E8137" s="135"/>
      <c r="F8137" s="31"/>
    </row>
    <row r="8138">
      <c r="A8138" s="134" t="str">
        <f>IFERROR(__xludf.DUMMYFUNCTION("""COMPUTED_VALUE"""),"Suapan")</f>
        <v>Suapan</v>
      </c>
      <c r="B8138" s="120" t="str">
        <f>IFERROR(__xludf.DUMMYFUNCTION("""COMPUTED_VALUE"""),"SXN")</f>
        <v>SXN</v>
      </c>
      <c r="C8138" s="120" t="str">
        <f>IFERROR(__xludf.DUMMYFUNCTION("""COMPUTED_VALUE"""),"Suapan")</f>
        <v>Suapan</v>
      </c>
      <c r="D8138" s="120" t="str">
        <f>IFERROR(__xludf.DUMMYFUNCTION("""COMPUTED_VALUE"""),"Botswana")</f>
        <v>Botswana</v>
      </c>
      <c r="E8138" s="135"/>
      <c r="F8138" s="31"/>
    </row>
    <row r="8139">
      <c r="A8139" s="134" t="str">
        <f>IFERROR(__xludf.DUMMYFUNCTION("""COMPUTED_VALUE"""),"Suavanao")</f>
        <v>Suavanao</v>
      </c>
      <c r="B8139" s="120" t="str">
        <f>IFERROR(__xludf.DUMMYFUNCTION("""COMPUTED_VALUE"""),"VAO")</f>
        <v>VAO</v>
      </c>
      <c r="C8139" s="120" t="str">
        <f>IFERROR(__xludf.DUMMYFUNCTION("""COMPUTED_VALUE"""),"Suavanao Airstrip")</f>
        <v>Suavanao Airstrip</v>
      </c>
      <c r="D8139" s="120" t="str">
        <f>IFERROR(__xludf.DUMMYFUNCTION("""COMPUTED_VALUE"""),"Solomon Islands")</f>
        <v>Solomon Islands</v>
      </c>
      <c r="E8139" s="135"/>
      <c r="F8139" s="31"/>
    </row>
    <row r="8140">
      <c r="A8140" s="134" t="str">
        <f>IFERROR(__xludf.DUMMYFUNCTION("""COMPUTED_VALUE"""),"Suceava")</f>
        <v>Suceava</v>
      </c>
      <c r="B8140" s="120" t="str">
        <f>IFERROR(__xludf.DUMMYFUNCTION("""COMPUTED_VALUE"""),"SCV")</f>
        <v>SCV</v>
      </c>
      <c r="C8140" s="120" t="str">
        <f>IFERROR(__xludf.DUMMYFUNCTION("""COMPUTED_VALUE"""),"Salcea")</f>
        <v>Salcea</v>
      </c>
      <c r="D8140" s="120" t="str">
        <f>IFERROR(__xludf.DUMMYFUNCTION("""COMPUTED_VALUE"""),"Romania")</f>
        <v>Romania</v>
      </c>
      <c r="E8140" s="135"/>
      <c r="F8140" s="31"/>
    </row>
    <row r="8141">
      <c r="A8141" s="134" t="str">
        <f>IFERROR(__xludf.DUMMYFUNCTION("""COMPUTED_VALUE"""),"Sucre")</f>
        <v>Sucre</v>
      </c>
      <c r="B8141" s="120" t="str">
        <f>IFERROR(__xludf.DUMMYFUNCTION("""COMPUTED_VALUE"""),"SRE")</f>
        <v>SRE</v>
      </c>
      <c r="C8141" s="120" t="str">
        <f>IFERROR(__xludf.DUMMYFUNCTION("""COMPUTED_VALUE"""),"Sucre")</f>
        <v>Sucre</v>
      </c>
      <c r="D8141" s="120" t="str">
        <f>IFERROR(__xludf.DUMMYFUNCTION("""COMPUTED_VALUE"""),"Bolivia")</f>
        <v>Bolivia</v>
      </c>
      <c r="E8141" s="135"/>
      <c r="F8141" s="31"/>
    </row>
    <row r="8142">
      <c r="A8142" s="134" t="str">
        <f>IFERROR(__xludf.DUMMYFUNCTION("""COMPUTED_VALUE"""),"Sucua")</f>
        <v>Sucua</v>
      </c>
      <c r="B8142" s="120" t="str">
        <f>IFERROR(__xludf.DUMMYFUNCTION("""COMPUTED_VALUE"""),"SUQ")</f>
        <v>SUQ</v>
      </c>
      <c r="C8142" s="120" t="str">
        <f>IFERROR(__xludf.DUMMYFUNCTION("""COMPUTED_VALUE"""),"Sucua")</f>
        <v>Sucua</v>
      </c>
      <c r="D8142" s="120" t="str">
        <f>IFERROR(__xludf.DUMMYFUNCTION("""COMPUTED_VALUE"""),"Ecuador")</f>
        <v>Ecuador</v>
      </c>
      <c r="E8142" s="135"/>
      <c r="F8142" s="31"/>
    </row>
    <row r="8143">
      <c r="A8143" s="134" t="str">
        <f>IFERROR(__xludf.DUMMYFUNCTION("""COMPUTED_VALUE"""),"Sudbury")</f>
        <v>Sudbury</v>
      </c>
      <c r="B8143" s="120" t="str">
        <f>IFERROR(__xludf.DUMMYFUNCTION("""COMPUTED_VALUE"""),"YSB")</f>
        <v>YSB</v>
      </c>
      <c r="C8143" s="120" t="str">
        <f>IFERROR(__xludf.DUMMYFUNCTION("""COMPUTED_VALUE"""),"Sudbury")</f>
        <v>Sudbury</v>
      </c>
      <c r="D8143" s="120" t="str">
        <f>IFERROR(__xludf.DUMMYFUNCTION("""COMPUTED_VALUE"""),"Canada")</f>
        <v>Canada</v>
      </c>
      <c r="E8143" s="135"/>
      <c r="F8143" s="31"/>
    </row>
    <row r="8144">
      <c r="A8144" s="134" t="str">
        <f>IFERROR(__xludf.DUMMYFUNCTION("""COMPUTED_VALUE"""),"Sudbury")</f>
        <v>Sudbury</v>
      </c>
      <c r="B8144" s="120" t="str">
        <f>IFERROR(__xludf.DUMMYFUNCTION("""COMPUTED_VALUE"""),"XDY")</f>
        <v>XDY</v>
      </c>
      <c r="C8144" s="120" t="str">
        <f>IFERROR(__xludf.DUMMYFUNCTION("""COMPUTED_VALUE"""),"Sudbury Jct Rail Stn")</f>
        <v>Sudbury Jct Rail Stn</v>
      </c>
      <c r="D8144" s="120" t="str">
        <f>IFERROR(__xludf.DUMMYFUNCTION("""COMPUTED_VALUE"""),"Canada")</f>
        <v>Canada</v>
      </c>
      <c r="E8144" s="135"/>
      <c r="F8144" s="31"/>
    </row>
    <row r="8145">
      <c r="A8145" s="134" t="str">
        <f>IFERROR(__xludf.DUMMYFUNCTION("""COMPUTED_VALUE"""),"Sudureyri")</f>
        <v>Sudureyri</v>
      </c>
      <c r="B8145" s="120" t="str">
        <f>IFERROR(__xludf.DUMMYFUNCTION("""COMPUTED_VALUE"""),"SUY")</f>
        <v>SUY</v>
      </c>
      <c r="C8145" s="120" t="str">
        <f>IFERROR(__xludf.DUMMYFUNCTION("""COMPUTED_VALUE"""),"Sudureyri")</f>
        <v>Sudureyri</v>
      </c>
      <c r="D8145" s="120" t="str">
        <f>IFERROR(__xludf.DUMMYFUNCTION("""COMPUTED_VALUE"""),"Iceland")</f>
        <v>Iceland</v>
      </c>
      <c r="E8145" s="135"/>
      <c r="F8145" s="31"/>
    </row>
    <row r="8146">
      <c r="A8146" s="134" t="str">
        <f>IFERROR(__xludf.DUMMYFUNCTION("""COMPUTED_VALUE"""),"Sue Island")</f>
        <v>Sue Island</v>
      </c>
      <c r="B8146" s="120" t="str">
        <f>IFERROR(__xludf.DUMMYFUNCTION("""COMPUTED_VALUE"""),"SYU")</f>
        <v>SYU</v>
      </c>
      <c r="C8146" s="120" t="str">
        <f>IFERROR(__xludf.DUMMYFUNCTION("""COMPUTED_VALUE"""),"Warraber Island")</f>
        <v>Warraber Island</v>
      </c>
      <c r="D8146" s="120" t="str">
        <f>IFERROR(__xludf.DUMMYFUNCTION("""COMPUTED_VALUE"""),"Australia")</f>
        <v>Australia</v>
      </c>
      <c r="E8146" s="135"/>
      <c r="F8146" s="31"/>
    </row>
    <row r="8147">
      <c r="A8147" s="134" t="str">
        <f>IFERROR(__xludf.DUMMYFUNCTION("""COMPUTED_VALUE"""),"Suffield")</f>
        <v>Suffield</v>
      </c>
      <c r="B8147" s="120" t="str">
        <f>IFERROR(__xludf.DUMMYFUNCTION("""COMPUTED_VALUE"""),"YSD")</f>
        <v>YSD</v>
      </c>
      <c r="C8147" s="120" t="str">
        <f>IFERROR(__xludf.DUMMYFUNCTION("""COMPUTED_VALUE"""),"Suffield")</f>
        <v>Suffield</v>
      </c>
      <c r="D8147" s="120" t="str">
        <f>IFERROR(__xludf.DUMMYFUNCTION("""COMPUTED_VALUE"""),"Canada")</f>
        <v>Canada</v>
      </c>
      <c r="E8147" s="135"/>
      <c r="F8147" s="31"/>
    </row>
    <row r="8148">
      <c r="A8148" s="134" t="str">
        <f>IFERROR(__xludf.DUMMYFUNCTION("""COMPUTED_VALUE"""),"Sugar Land")</f>
        <v>Sugar Land</v>
      </c>
      <c r="B8148" s="120" t="str">
        <f>IFERROR(__xludf.DUMMYFUNCTION("""COMPUTED_VALUE"""),"SGR")</f>
        <v>SGR</v>
      </c>
      <c r="C8148" s="120" t="str">
        <f>IFERROR(__xludf.DUMMYFUNCTION("""COMPUTED_VALUE"""),"Sugar Land Municipal")</f>
        <v>Sugar Land Municipal</v>
      </c>
      <c r="D8148" s="120" t="str">
        <f>IFERROR(__xludf.DUMMYFUNCTION("""COMPUTED_VALUE"""),"United States")</f>
        <v>United States</v>
      </c>
      <c r="E8148" s="135"/>
      <c r="F8148" s="31"/>
    </row>
    <row r="8149">
      <c r="A8149" s="134" t="str">
        <f>IFERROR(__xludf.DUMMYFUNCTION("""COMPUTED_VALUE"""),"Sui")</f>
        <v>Sui</v>
      </c>
      <c r="B8149" s="120" t="str">
        <f>IFERROR(__xludf.DUMMYFUNCTION("""COMPUTED_VALUE"""),"SUL")</f>
        <v>SUL</v>
      </c>
      <c r="C8149" s="120" t="str">
        <f>IFERROR(__xludf.DUMMYFUNCTION("""COMPUTED_VALUE"""),"Sui")</f>
        <v>Sui</v>
      </c>
      <c r="D8149" s="120" t="str">
        <f>IFERROR(__xludf.DUMMYFUNCTION("""COMPUTED_VALUE"""),"Pakistan")</f>
        <v>Pakistan</v>
      </c>
      <c r="E8149" s="135"/>
      <c r="F8149" s="31"/>
    </row>
    <row r="8150">
      <c r="A8150" s="134" t="str">
        <f>IFERROR(__xludf.DUMMYFUNCTION("""COMPUTED_VALUE"""),"Sui Fen He")</f>
        <v>Sui Fen He</v>
      </c>
      <c r="B8150" s="120" t="str">
        <f>IFERROR(__xludf.DUMMYFUNCTION("""COMPUTED_VALUE"""),"FUD")</f>
        <v>FUD</v>
      </c>
      <c r="C8150" s="120" t="str">
        <f>IFERROR(__xludf.DUMMYFUNCTION("""COMPUTED_VALUE"""),"Sui Fen He")</f>
        <v>Sui Fen He</v>
      </c>
      <c r="D8150" s="120" t="str">
        <f>IFERROR(__xludf.DUMMYFUNCTION("""COMPUTED_VALUE"""),"China")</f>
        <v>China</v>
      </c>
      <c r="E8150" s="135"/>
      <c r="F8150" s="31"/>
    </row>
    <row r="8151">
      <c r="A8151" s="134" t="str">
        <f>IFERROR(__xludf.DUMMYFUNCTION("""COMPUTED_VALUE"""),"Suia-Missu")</f>
        <v>Suia-Missu</v>
      </c>
      <c r="B8151" s="120" t="str">
        <f>IFERROR(__xludf.DUMMYFUNCTION("""COMPUTED_VALUE"""),"SWM")</f>
        <v>SWM</v>
      </c>
      <c r="C8151" s="120" t="str">
        <f>IFERROR(__xludf.DUMMYFUNCTION("""COMPUTED_VALUE"""),"Suia-Missu")</f>
        <v>Suia-Missu</v>
      </c>
      <c r="D8151" s="120" t="str">
        <f>IFERROR(__xludf.DUMMYFUNCTION("""COMPUTED_VALUE"""),"Brazil")</f>
        <v>Brazil</v>
      </c>
      <c r="E8151" s="135"/>
      <c r="F8151" s="31"/>
    </row>
    <row r="8152">
      <c r="A8152" s="134" t="str">
        <f>IFERROR(__xludf.DUMMYFUNCTION("""COMPUTED_VALUE"""),"Sukhothai")</f>
        <v>Sukhothai</v>
      </c>
      <c r="B8152" s="120" t="str">
        <f>IFERROR(__xludf.DUMMYFUNCTION("""COMPUTED_VALUE"""),"THS")</f>
        <v>THS</v>
      </c>
      <c r="C8152" s="120" t="str">
        <f>IFERROR(__xludf.DUMMYFUNCTION("""COMPUTED_VALUE"""),"Sukhothai")</f>
        <v>Sukhothai</v>
      </c>
      <c r="D8152" s="120" t="str">
        <f>IFERROR(__xludf.DUMMYFUNCTION("""COMPUTED_VALUE"""),"Thailand")</f>
        <v>Thailand</v>
      </c>
      <c r="E8152" s="135"/>
      <c r="F8152" s="31"/>
    </row>
    <row r="8153">
      <c r="A8153" s="134" t="str">
        <f>IFERROR(__xludf.DUMMYFUNCTION("""COMPUTED_VALUE"""),"Sukhumi")</f>
        <v>Sukhumi</v>
      </c>
      <c r="B8153" s="120" t="str">
        <f>IFERROR(__xludf.DUMMYFUNCTION("""COMPUTED_VALUE"""),"SUI")</f>
        <v>SUI</v>
      </c>
      <c r="C8153" s="120" t="str">
        <f>IFERROR(__xludf.DUMMYFUNCTION("""COMPUTED_VALUE"""),"Babusheri")</f>
        <v>Babusheri</v>
      </c>
      <c r="D8153" s="120" t="str">
        <f>IFERROR(__xludf.DUMMYFUNCTION("""COMPUTED_VALUE"""),"Georgia")</f>
        <v>Georgia</v>
      </c>
      <c r="E8153" s="135"/>
      <c r="F8153" s="31"/>
    </row>
    <row r="8154">
      <c r="A8154" s="134" t="str">
        <f>IFERROR(__xludf.DUMMYFUNCTION("""COMPUTED_VALUE"""),"Suki")</f>
        <v>Suki</v>
      </c>
      <c r="B8154" s="120" t="str">
        <f>IFERROR(__xludf.DUMMYFUNCTION("""COMPUTED_VALUE"""),"SKC")</f>
        <v>SKC</v>
      </c>
      <c r="C8154" s="120" t="str">
        <f>IFERROR(__xludf.DUMMYFUNCTION("""COMPUTED_VALUE"""),"Suki")</f>
        <v>Suki</v>
      </c>
      <c r="D8154" s="120" t="str">
        <f>IFERROR(__xludf.DUMMYFUNCTION("""COMPUTED_VALUE"""),"Papua New Guinea")</f>
        <v>Papua New Guinea</v>
      </c>
      <c r="E8154" s="135"/>
      <c r="F8154" s="31"/>
    </row>
    <row r="8155">
      <c r="A8155" s="134" t="str">
        <f>IFERROR(__xludf.DUMMYFUNCTION("""COMPUTED_VALUE"""),"Sukkur")</f>
        <v>Sukkur</v>
      </c>
      <c r="B8155" s="120" t="str">
        <f>IFERROR(__xludf.DUMMYFUNCTION("""COMPUTED_VALUE"""),"SKZ")</f>
        <v>SKZ</v>
      </c>
      <c r="C8155" s="120" t="str">
        <f>IFERROR(__xludf.DUMMYFUNCTION("""COMPUTED_VALUE"""),"Sukkur")</f>
        <v>Sukkur</v>
      </c>
      <c r="D8155" s="120" t="str">
        <f>IFERROR(__xludf.DUMMYFUNCTION("""COMPUTED_VALUE"""),"Pakistan")</f>
        <v>Pakistan</v>
      </c>
      <c r="E8155" s="135"/>
      <c r="F8155" s="31"/>
    </row>
    <row r="8156">
      <c r="A8156" s="134" t="str">
        <f>IFERROR(__xludf.DUMMYFUNCTION("""COMPUTED_VALUE"""),"Sulaco")</f>
        <v>Sulaco</v>
      </c>
      <c r="B8156" s="120" t="str">
        <f>IFERROR(__xludf.DUMMYFUNCTION("""COMPUTED_VALUE"""),"SCD")</f>
        <v>SCD</v>
      </c>
      <c r="C8156" s="120" t="str">
        <f>IFERROR(__xludf.DUMMYFUNCTION("""COMPUTED_VALUE"""),"Sulaco")</f>
        <v>Sulaco</v>
      </c>
      <c r="D8156" s="120" t="str">
        <f>IFERROR(__xludf.DUMMYFUNCTION("""COMPUTED_VALUE"""),"Honduras")</f>
        <v>Honduras</v>
      </c>
      <c r="E8156" s="135"/>
      <c r="F8156" s="31"/>
    </row>
    <row r="8157">
      <c r="A8157" s="134" t="str">
        <f>IFERROR(__xludf.DUMMYFUNCTION("""COMPUTED_VALUE"""),"Sulayel")</f>
        <v>Sulayel</v>
      </c>
      <c r="B8157" s="120" t="str">
        <f>IFERROR(__xludf.DUMMYFUNCTION("""COMPUTED_VALUE"""),"SLF")</f>
        <v>SLF</v>
      </c>
      <c r="C8157" s="120" t="str">
        <f>IFERROR(__xludf.DUMMYFUNCTION("""COMPUTED_VALUE"""),"Sulayel")</f>
        <v>Sulayel</v>
      </c>
      <c r="D8157" s="120" t="str">
        <f>IFERROR(__xludf.DUMMYFUNCTION("""COMPUTED_VALUE"""),"Saudi Arabia")</f>
        <v>Saudi Arabia</v>
      </c>
      <c r="E8157" s="135"/>
      <c r="F8157" s="31"/>
    </row>
    <row r="8158">
      <c r="A8158" s="134" t="str">
        <f>IFERROR(__xludf.DUMMYFUNCTION("""COMPUTED_VALUE"""),"Sule")</f>
        <v>Sule</v>
      </c>
      <c r="B8158" s="120" t="str">
        <f>IFERROR(__xludf.DUMMYFUNCTION("""COMPUTED_VALUE"""),"ULE")</f>
        <v>ULE</v>
      </c>
      <c r="C8158" s="120" t="str">
        <f>IFERROR(__xludf.DUMMYFUNCTION("""COMPUTED_VALUE"""),"Sule")</f>
        <v>Sule</v>
      </c>
      <c r="D8158" s="120" t="str">
        <f>IFERROR(__xludf.DUMMYFUNCTION("""COMPUTED_VALUE"""),"Papua New Guinea")</f>
        <v>Papua New Guinea</v>
      </c>
      <c r="E8158" s="135"/>
      <c r="F8158" s="31"/>
    </row>
    <row r="8159">
      <c r="A8159" s="134" t="str">
        <f>IFERROR(__xludf.DUMMYFUNCTION("""COMPUTED_VALUE"""),"Sullivan")</f>
        <v>Sullivan</v>
      </c>
      <c r="B8159" s="120" t="str">
        <f>IFERROR(__xludf.DUMMYFUNCTION("""COMPUTED_VALUE"""),"SIV")</f>
        <v>SIV</v>
      </c>
      <c r="C8159" s="120" t="str">
        <f>IFERROR(__xludf.DUMMYFUNCTION("""COMPUTED_VALUE"""),"County")</f>
        <v>County</v>
      </c>
      <c r="D8159" s="120" t="str">
        <f>IFERROR(__xludf.DUMMYFUNCTION("""COMPUTED_VALUE"""),"United States")</f>
        <v>United States</v>
      </c>
      <c r="E8159" s="135"/>
      <c r="F8159" s="31"/>
    </row>
    <row r="8160">
      <c r="A8160" s="134" t="str">
        <f>IFERROR(__xludf.DUMMYFUNCTION("""COMPUTED_VALUE"""),"Sullivan Bay")</f>
        <v>Sullivan Bay</v>
      </c>
      <c r="B8160" s="120" t="str">
        <f>IFERROR(__xludf.DUMMYFUNCTION("""COMPUTED_VALUE"""),"YTG")</f>
        <v>YTG</v>
      </c>
      <c r="C8160" s="120" t="str">
        <f>IFERROR(__xludf.DUMMYFUNCTION("""COMPUTED_VALUE"""),"Sullivan Bay")</f>
        <v>Sullivan Bay</v>
      </c>
      <c r="D8160" s="120" t="str">
        <f>IFERROR(__xludf.DUMMYFUNCTION("""COMPUTED_VALUE"""),"Canada")</f>
        <v>Canada</v>
      </c>
      <c r="E8160" s="135"/>
      <c r="F8160" s="31"/>
    </row>
    <row r="8161">
      <c r="A8161" s="134" t="str">
        <f>IFERROR(__xludf.DUMMYFUNCTION("""COMPUTED_VALUE"""),"Sulphur Springs")</f>
        <v>Sulphur Springs</v>
      </c>
      <c r="B8161" s="120" t="str">
        <f>IFERROR(__xludf.DUMMYFUNCTION("""COMPUTED_VALUE"""),"SLR")</f>
        <v>SLR</v>
      </c>
      <c r="C8161" s="120" t="str">
        <f>IFERROR(__xludf.DUMMYFUNCTION("""COMPUTED_VALUE"""),"Sulphur Springs")</f>
        <v>Sulphur Springs</v>
      </c>
      <c r="D8161" s="120" t="str">
        <f>IFERROR(__xludf.DUMMYFUNCTION("""COMPUTED_VALUE"""),"United States")</f>
        <v>United States</v>
      </c>
      <c r="E8161" s="135"/>
      <c r="F8161" s="31"/>
    </row>
    <row r="8162">
      <c r="A8162" s="134" t="str">
        <f>IFERROR(__xludf.DUMMYFUNCTION("""COMPUTED_VALUE"""),"Sumare")</f>
        <v>Sumare</v>
      </c>
      <c r="B8162" s="120" t="str">
        <f>IFERROR(__xludf.DUMMYFUNCTION("""COMPUTED_VALUE"""),"RWS")</f>
        <v>RWS</v>
      </c>
      <c r="C8162" s="120" t="str">
        <f>IFERROR(__xludf.DUMMYFUNCTION("""COMPUTED_VALUE"""),"Sumare")</f>
        <v>Sumare</v>
      </c>
      <c r="D8162" s="120" t="str">
        <f>IFERROR(__xludf.DUMMYFUNCTION("""COMPUTED_VALUE"""),"Brazil")</f>
        <v>Brazil</v>
      </c>
      <c r="E8162" s="135"/>
      <c r="F8162" s="31"/>
    </row>
    <row r="8163">
      <c r="A8163" s="134" t="str">
        <f>IFERROR(__xludf.DUMMYFUNCTION("""COMPUTED_VALUE"""),"Sumbawa")</f>
        <v>Sumbawa</v>
      </c>
      <c r="B8163" s="120" t="str">
        <f>IFERROR(__xludf.DUMMYFUNCTION("""COMPUTED_VALUE"""),"SWQ")</f>
        <v>SWQ</v>
      </c>
      <c r="C8163" s="120" t="str">
        <f>IFERROR(__xludf.DUMMYFUNCTION("""COMPUTED_VALUE"""),"Brang Bidji")</f>
        <v>Brang Bidji</v>
      </c>
      <c r="D8163" s="120" t="str">
        <f>IFERROR(__xludf.DUMMYFUNCTION("""COMPUTED_VALUE"""),"Indonesia")</f>
        <v>Indonesia</v>
      </c>
      <c r="E8163" s="135"/>
      <c r="F8163" s="31"/>
    </row>
    <row r="8164">
      <c r="A8164" s="134" t="str">
        <f>IFERROR(__xludf.DUMMYFUNCTION("""COMPUTED_VALUE"""),"Sumbawanga")</f>
        <v>Sumbawanga</v>
      </c>
      <c r="B8164" s="120" t="str">
        <f>IFERROR(__xludf.DUMMYFUNCTION("""COMPUTED_VALUE"""),"SUT")</f>
        <v>SUT</v>
      </c>
      <c r="C8164" s="120" t="str">
        <f>IFERROR(__xludf.DUMMYFUNCTION("""COMPUTED_VALUE"""),"Sumbawanga")</f>
        <v>Sumbawanga</v>
      </c>
      <c r="D8164" s="120" t="str">
        <f>IFERROR(__xludf.DUMMYFUNCTION("""COMPUTED_VALUE"""),"Tanzania")</f>
        <v>Tanzania</v>
      </c>
      <c r="E8164" s="135"/>
      <c r="F8164" s="31"/>
    </row>
    <row r="8165">
      <c r="A8165" s="134" t="str">
        <f>IFERROR(__xludf.DUMMYFUNCTION("""COMPUTED_VALUE"""),"Sumbe")</f>
        <v>Sumbe</v>
      </c>
      <c r="B8165" s="120" t="str">
        <f>IFERROR(__xludf.DUMMYFUNCTION("""COMPUTED_VALUE"""),"NDD")</f>
        <v>NDD</v>
      </c>
      <c r="C8165" s="120" t="str">
        <f>IFERROR(__xludf.DUMMYFUNCTION("""COMPUTED_VALUE"""),"Sumbe")</f>
        <v>Sumbe</v>
      </c>
      <c r="D8165" s="120" t="str">
        <f>IFERROR(__xludf.DUMMYFUNCTION("""COMPUTED_VALUE"""),"Angola")</f>
        <v>Angola</v>
      </c>
      <c r="E8165" s="135"/>
      <c r="F8165" s="31"/>
    </row>
    <row r="8166">
      <c r="A8166" s="134" t="str">
        <f>IFERROR(__xludf.DUMMYFUNCTION("""COMPUTED_VALUE"""),"Sumenep")</f>
        <v>Sumenep</v>
      </c>
      <c r="B8166" s="120" t="str">
        <f>IFERROR(__xludf.DUMMYFUNCTION("""COMPUTED_VALUE"""),"SUP")</f>
        <v>SUP</v>
      </c>
      <c r="C8166" s="120" t="str">
        <f>IFERROR(__xludf.DUMMYFUNCTION("""COMPUTED_VALUE"""),"Trunojoyo")</f>
        <v>Trunojoyo</v>
      </c>
      <c r="D8166" s="120" t="str">
        <f>IFERROR(__xludf.DUMMYFUNCTION("""COMPUTED_VALUE"""),"Indonesia")</f>
        <v>Indonesia</v>
      </c>
      <c r="E8166" s="135"/>
      <c r="F8166" s="31"/>
    </row>
    <row r="8167">
      <c r="A8167" s="134" t="str">
        <f>IFERROR(__xludf.DUMMYFUNCTION("""COMPUTED_VALUE"""),"Summer Beaver")</f>
        <v>Summer Beaver</v>
      </c>
      <c r="B8167" s="120" t="str">
        <f>IFERROR(__xludf.DUMMYFUNCTION("""COMPUTED_VALUE"""),"SUR")</f>
        <v>SUR</v>
      </c>
      <c r="C8167" s="120" t="str">
        <f>IFERROR(__xludf.DUMMYFUNCTION("""COMPUTED_VALUE"""),"Summer Beaver")</f>
        <v>Summer Beaver</v>
      </c>
      <c r="D8167" s="120" t="str">
        <f>IFERROR(__xludf.DUMMYFUNCTION("""COMPUTED_VALUE"""),"Canada")</f>
        <v>Canada</v>
      </c>
      <c r="E8167" s="135"/>
      <c r="F8167" s="31"/>
    </row>
    <row r="8168">
      <c r="A8168" s="134" t="str">
        <f>IFERROR(__xludf.DUMMYFUNCTION("""COMPUTED_VALUE"""),"Summerside")</f>
        <v>Summerside</v>
      </c>
      <c r="B8168" s="120" t="str">
        <f>IFERROR(__xludf.DUMMYFUNCTION("""COMPUTED_VALUE"""),"YSU")</f>
        <v>YSU</v>
      </c>
      <c r="C8168" s="120" t="str">
        <f>IFERROR(__xludf.DUMMYFUNCTION("""COMPUTED_VALUE"""),"Summerside")</f>
        <v>Summerside</v>
      </c>
      <c r="D8168" s="120" t="str">
        <f>IFERROR(__xludf.DUMMYFUNCTION("""COMPUTED_VALUE"""),"Canada")</f>
        <v>Canada</v>
      </c>
      <c r="E8168" s="135"/>
      <c r="F8168" s="31"/>
    </row>
    <row r="8169">
      <c r="A8169" s="134" t="str">
        <f>IFERROR(__xludf.DUMMYFUNCTION("""COMPUTED_VALUE"""),"Summit")</f>
        <v>Summit</v>
      </c>
      <c r="B8169" s="120" t="str">
        <f>IFERROR(__xludf.DUMMYFUNCTION("""COMPUTED_VALUE"""),"UMM")</f>
        <v>UMM</v>
      </c>
      <c r="C8169" s="120" t="str">
        <f>IFERROR(__xludf.DUMMYFUNCTION("""COMPUTED_VALUE"""),"Summit")</f>
        <v>Summit</v>
      </c>
      <c r="D8169" s="120" t="str">
        <f>IFERROR(__xludf.DUMMYFUNCTION("""COMPUTED_VALUE"""),"United States")</f>
        <v>United States</v>
      </c>
      <c r="E8169" s="135"/>
      <c r="F8169" s="31"/>
    </row>
    <row r="8170">
      <c r="A8170" s="134" t="str">
        <f>IFERROR(__xludf.DUMMYFUNCTION("""COMPUTED_VALUE"""),"Summit Lake")</f>
        <v>Summit Lake</v>
      </c>
      <c r="B8170" s="120" t="str">
        <f>IFERROR(__xludf.DUMMYFUNCTION("""COMPUTED_VALUE"""),"IUM")</f>
        <v>IUM</v>
      </c>
      <c r="C8170" s="120" t="str">
        <f>IFERROR(__xludf.DUMMYFUNCTION("""COMPUTED_VALUE"""),"Summit Lake")</f>
        <v>Summit Lake</v>
      </c>
      <c r="D8170" s="120" t="str">
        <f>IFERROR(__xludf.DUMMYFUNCTION("""COMPUTED_VALUE"""),"Canada")</f>
        <v>Canada</v>
      </c>
      <c r="E8170" s="135"/>
      <c r="F8170" s="31"/>
    </row>
    <row r="8171">
      <c r="A8171" s="134" t="str">
        <f>IFERROR(__xludf.DUMMYFUNCTION("""COMPUTED_VALUE"""),"Sumter")</f>
        <v>Sumter</v>
      </c>
      <c r="B8171" s="120" t="str">
        <f>IFERROR(__xludf.DUMMYFUNCTION("""COMPUTED_VALUE"""),"SUM")</f>
        <v>SUM</v>
      </c>
      <c r="C8171" s="120" t="str">
        <f>IFERROR(__xludf.DUMMYFUNCTION("""COMPUTED_VALUE"""),"Municipal")</f>
        <v>Municipal</v>
      </c>
      <c r="D8171" s="120" t="str">
        <f>IFERROR(__xludf.DUMMYFUNCTION("""COMPUTED_VALUE"""),"United States")</f>
        <v>United States</v>
      </c>
      <c r="E8171" s="135"/>
      <c r="F8171" s="31"/>
    </row>
    <row r="8172">
      <c r="A8172" s="134" t="str">
        <f>IFERROR(__xludf.DUMMYFUNCTION("""COMPUTED_VALUE"""),"Sumter")</f>
        <v>Sumter</v>
      </c>
      <c r="B8172" s="120" t="str">
        <f>IFERROR(__xludf.DUMMYFUNCTION("""COMPUTED_VALUE"""),"SSC")</f>
        <v>SSC</v>
      </c>
      <c r="C8172" s="120" t="str">
        <f>IFERROR(__xludf.DUMMYFUNCTION("""COMPUTED_VALUE"""),"Shaw AFB")</f>
        <v>Shaw AFB</v>
      </c>
      <c r="D8172" s="120" t="str">
        <f>IFERROR(__xludf.DUMMYFUNCTION("""COMPUTED_VALUE"""),"United States")</f>
        <v>United States</v>
      </c>
      <c r="E8172" s="135"/>
      <c r="F8172" s="31"/>
    </row>
    <row r="8173">
      <c r="A8173" s="134" t="str">
        <f>IFERROR(__xludf.DUMMYFUNCTION("""COMPUTED_VALUE"""),"Sumy")</f>
        <v>Sumy</v>
      </c>
      <c r="B8173" s="120" t="str">
        <f>IFERROR(__xludf.DUMMYFUNCTION("""COMPUTED_VALUE"""),"UMY")</f>
        <v>UMY</v>
      </c>
      <c r="C8173" s="120" t="str">
        <f>IFERROR(__xludf.DUMMYFUNCTION("""COMPUTED_VALUE"""),"Sumy")</f>
        <v>Sumy</v>
      </c>
      <c r="D8173" s="120" t="str">
        <f>IFERROR(__xludf.DUMMYFUNCTION("""COMPUTED_VALUE"""),"Ukraine")</f>
        <v>Ukraine</v>
      </c>
      <c r="E8173" s="135"/>
      <c r="F8173" s="31"/>
    </row>
    <row r="8174">
      <c r="A8174" s="134" t="str">
        <f>IFERROR(__xludf.DUMMYFUNCTION("""COMPUTED_VALUE"""),"Sun City")</f>
        <v>Sun City</v>
      </c>
      <c r="B8174" s="120" t="str">
        <f>IFERROR(__xludf.DUMMYFUNCTION("""COMPUTED_VALUE"""),"NTY")</f>
        <v>NTY</v>
      </c>
      <c r="C8174" s="120" t="str">
        <f>IFERROR(__xludf.DUMMYFUNCTION("""COMPUTED_VALUE"""),"Pilanesberg")</f>
        <v>Pilanesberg</v>
      </c>
      <c r="D8174" s="120" t="str">
        <f>IFERROR(__xludf.DUMMYFUNCTION("""COMPUTED_VALUE"""),"South Africa")</f>
        <v>South Africa</v>
      </c>
      <c r="E8174" s="135"/>
      <c r="F8174" s="31"/>
    </row>
    <row r="8175">
      <c r="A8175" s="134" t="str">
        <f>IFERROR(__xludf.DUMMYFUNCTION("""COMPUTED_VALUE"""),"Sun Moon Lake")</f>
        <v>Sun Moon Lake</v>
      </c>
      <c r="B8175" s="120" t="str">
        <f>IFERROR(__xludf.DUMMYFUNCTION("""COMPUTED_VALUE"""),"SMT")</f>
        <v>SMT</v>
      </c>
      <c r="C8175" s="120" t="str">
        <f>IFERROR(__xludf.DUMMYFUNCTION("""COMPUTED_VALUE"""),"Sun Moon Lake")</f>
        <v>Sun Moon Lake</v>
      </c>
      <c r="D8175" s="120" t="str">
        <f>IFERROR(__xludf.DUMMYFUNCTION("""COMPUTED_VALUE"""),"Taiwan")</f>
        <v>Taiwan</v>
      </c>
      <c r="E8175" s="135"/>
      <c r="F8175" s="31"/>
    </row>
    <row r="8176">
      <c r="A8176" s="134" t="str">
        <f>IFERROR(__xludf.DUMMYFUNCTION("""COMPUTED_VALUE"""),"Sun River")</f>
        <v>Sun River</v>
      </c>
      <c r="B8176" s="120" t="str">
        <f>IFERROR(__xludf.DUMMYFUNCTION("""COMPUTED_VALUE"""),"SUO")</f>
        <v>SUO</v>
      </c>
      <c r="C8176" s="120" t="str">
        <f>IFERROR(__xludf.DUMMYFUNCTION("""COMPUTED_VALUE"""),"Sun River")</f>
        <v>Sun River</v>
      </c>
      <c r="D8176" s="120" t="str">
        <f>IFERROR(__xludf.DUMMYFUNCTION("""COMPUTED_VALUE"""),"United States")</f>
        <v>United States</v>
      </c>
      <c r="E8176" s="135"/>
      <c r="F8176" s="31"/>
    </row>
    <row r="8177">
      <c r="A8177" s="134" t="str">
        <f>IFERROR(__xludf.DUMMYFUNCTION("""COMPUTED_VALUE"""),"Sun Valley")</f>
        <v>Sun Valley</v>
      </c>
      <c r="B8177" s="120" t="str">
        <f>IFERROR(__xludf.DUMMYFUNCTION("""COMPUTED_VALUE"""),"SUN")</f>
        <v>SUN</v>
      </c>
      <c r="C8177" s="120" t="str">
        <f>IFERROR(__xludf.DUMMYFUNCTION("""COMPUTED_VALUE"""),"Sun Valley")</f>
        <v>Sun Valley</v>
      </c>
      <c r="D8177" s="120" t="str">
        <f>IFERROR(__xludf.DUMMYFUNCTION("""COMPUTED_VALUE"""),"United States")</f>
        <v>United States</v>
      </c>
      <c r="E8177" s="135"/>
      <c r="F8177" s="31"/>
    </row>
    <row r="8178">
      <c r="A8178" s="134" t="str">
        <f>IFERROR(__xludf.DUMMYFUNCTION("""COMPUTED_VALUE"""),"Suncheon")</f>
        <v>Suncheon</v>
      </c>
      <c r="B8178" s="120" t="str">
        <f>IFERROR(__xludf.DUMMYFUNCTION("""COMPUTED_VALUE"""),"SYS")</f>
        <v>SYS</v>
      </c>
      <c r="C8178" s="120" t="str">
        <f>IFERROR(__xludf.DUMMYFUNCTION("""COMPUTED_VALUE"""),"Yeosu")</f>
        <v>Yeosu</v>
      </c>
      <c r="D8178" s="120" t="str">
        <f>IFERROR(__xludf.DUMMYFUNCTION("""COMPUTED_VALUE"""),"Korea (South)")</f>
        <v>Korea (South)</v>
      </c>
      <c r="E8178" s="135"/>
      <c r="F8178" s="31"/>
    </row>
    <row r="8179">
      <c r="A8179" s="134" t="str">
        <f>IFERROR(__xludf.DUMMYFUNCTION("""COMPUTED_VALUE"""),"Sundance")</f>
        <v>Sundance</v>
      </c>
      <c r="B8179" s="120" t="str">
        <f>IFERROR(__xludf.DUMMYFUNCTION("""COMPUTED_VALUE"""),"SUC")</f>
        <v>SUC</v>
      </c>
      <c r="C8179" s="120" t="str">
        <f>IFERROR(__xludf.DUMMYFUNCTION("""COMPUTED_VALUE"""),"Schloredt")</f>
        <v>Schloredt</v>
      </c>
      <c r="D8179" s="120" t="str">
        <f>IFERROR(__xludf.DUMMYFUNCTION("""COMPUTED_VALUE"""),"United States")</f>
        <v>United States</v>
      </c>
      <c r="E8179" s="135"/>
      <c r="F8179" s="31"/>
    </row>
    <row r="8180">
      <c r="A8180" s="134" t="str">
        <f>IFERROR(__xludf.DUMMYFUNCTION("""COMPUTED_VALUE"""),"Sundsvall")</f>
        <v>Sundsvall</v>
      </c>
      <c r="B8180" s="120" t="str">
        <f>IFERROR(__xludf.DUMMYFUNCTION("""COMPUTED_VALUE"""),"SDL")</f>
        <v>SDL</v>
      </c>
      <c r="C8180" s="120" t="str">
        <f>IFERROR(__xludf.DUMMYFUNCTION("""COMPUTED_VALUE"""),"Sundsvall/Harnosand")</f>
        <v>Sundsvall/Harnosand</v>
      </c>
      <c r="D8180" s="120" t="str">
        <f>IFERROR(__xludf.DUMMYFUNCTION("""COMPUTED_VALUE"""),"Sweden")</f>
        <v>Sweden</v>
      </c>
      <c r="E8180" s="135"/>
      <c r="F8180" s="31"/>
    </row>
    <row r="8181">
      <c r="A8181" s="134" t="str">
        <f>IFERROR(__xludf.DUMMYFUNCTION("""COMPUTED_VALUE"""),"Sungai Pakning")</f>
        <v>Sungai Pakning</v>
      </c>
      <c r="B8181" s="120" t="str">
        <f>IFERROR(__xludf.DUMMYFUNCTION("""COMPUTED_VALUE"""),"SEQ")</f>
        <v>SEQ</v>
      </c>
      <c r="C8181" s="120" t="str">
        <f>IFERROR(__xludf.DUMMYFUNCTION("""COMPUTED_VALUE"""),"Sungai Pakning")</f>
        <v>Sungai Pakning</v>
      </c>
      <c r="D8181" s="120" t="str">
        <f>IFERROR(__xludf.DUMMYFUNCTION("""COMPUTED_VALUE"""),"Indonesia")</f>
        <v>Indonesia</v>
      </c>
      <c r="E8181" s="135"/>
      <c r="F8181" s="31"/>
    </row>
    <row r="8182">
      <c r="A8182" s="134" t="str">
        <f>IFERROR(__xludf.DUMMYFUNCTION("""COMPUTED_VALUE"""),"Sungei Tekai")</f>
        <v>Sungei Tekai</v>
      </c>
      <c r="B8182" s="120" t="str">
        <f>IFERROR(__xludf.DUMMYFUNCTION("""COMPUTED_VALUE"""),"GTK")</f>
        <v>GTK</v>
      </c>
      <c r="C8182" s="120" t="str">
        <f>IFERROR(__xludf.DUMMYFUNCTION("""COMPUTED_VALUE"""),"Sungei Tekai")</f>
        <v>Sungei Tekai</v>
      </c>
      <c r="D8182" s="120" t="str">
        <f>IFERROR(__xludf.DUMMYFUNCTION("""COMPUTED_VALUE"""),"Malaysia")</f>
        <v>Malaysia</v>
      </c>
      <c r="E8182" s="135"/>
      <c r="F8182" s="31"/>
    </row>
    <row r="8183">
      <c r="A8183" s="134" t="str">
        <f>IFERROR(__xludf.DUMMYFUNCTION("""COMPUTED_VALUE"""),"Sunshine Coast")</f>
        <v>Sunshine Coast</v>
      </c>
      <c r="B8183" s="120" t="str">
        <f>IFERROR(__xludf.DUMMYFUNCTION("""COMPUTED_VALUE"""),"MCY")</f>
        <v>MCY</v>
      </c>
      <c r="C8183" s="120" t="str">
        <f>IFERROR(__xludf.DUMMYFUNCTION("""COMPUTED_VALUE"""),"Maroochydore")</f>
        <v>Maroochydore</v>
      </c>
      <c r="D8183" s="120" t="str">
        <f>IFERROR(__xludf.DUMMYFUNCTION("""COMPUTED_VALUE"""),"Australia")</f>
        <v>Australia</v>
      </c>
      <c r="E8183" s="135"/>
      <c r="F8183" s="31"/>
    </row>
    <row r="8184">
      <c r="A8184" s="134" t="str">
        <f>IFERROR(__xludf.DUMMYFUNCTION("""COMPUTED_VALUE"""),"Sunyani")</f>
        <v>Sunyani</v>
      </c>
      <c r="B8184" s="120" t="str">
        <f>IFERROR(__xludf.DUMMYFUNCTION("""COMPUTED_VALUE"""),"NYI")</f>
        <v>NYI</v>
      </c>
      <c r="C8184" s="120" t="str">
        <f>IFERROR(__xludf.DUMMYFUNCTION("""COMPUTED_VALUE"""),"Sunyani")</f>
        <v>Sunyani</v>
      </c>
      <c r="D8184" s="120" t="str">
        <f>IFERROR(__xludf.DUMMYFUNCTION("""COMPUTED_VALUE"""),"Ghana")</f>
        <v>Ghana</v>
      </c>
      <c r="E8184" s="135"/>
      <c r="F8184" s="31"/>
    </row>
    <row r="8185">
      <c r="A8185" s="134" t="str">
        <f>IFERROR(__xludf.DUMMYFUNCTION("""COMPUTED_VALUE"""),"Superior")</f>
        <v>Superior</v>
      </c>
      <c r="B8185" s="120" t="str">
        <f>IFERROR(__xludf.DUMMYFUNCTION("""COMPUTED_VALUE"""),"SUW")</f>
        <v>SUW</v>
      </c>
      <c r="C8185" s="120" t="str">
        <f>IFERROR(__xludf.DUMMYFUNCTION("""COMPUTED_VALUE"""),"Richard I Bong Arpt")</f>
        <v>Richard I Bong Arpt</v>
      </c>
      <c r="D8185" s="120" t="str">
        <f>IFERROR(__xludf.DUMMYFUNCTION("""COMPUTED_VALUE"""),"United States")</f>
        <v>United States</v>
      </c>
      <c r="E8185" s="135"/>
      <c r="F8185" s="31"/>
    </row>
    <row r="8186">
      <c r="A8186" s="134" t="str">
        <f>IFERROR(__xludf.DUMMYFUNCTION("""COMPUTED_VALUE"""),"Sur")</f>
        <v>Sur</v>
      </c>
      <c r="B8186" s="120" t="str">
        <f>IFERROR(__xludf.DUMMYFUNCTION("""COMPUTED_VALUE"""),"SUH")</f>
        <v>SUH</v>
      </c>
      <c r="C8186" s="120" t="str">
        <f>IFERROR(__xludf.DUMMYFUNCTION("""COMPUTED_VALUE"""),"Sur")</f>
        <v>Sur</v>
      </c>
      <c r="D8186" s="120" t="str">
        <f>IFERROR(__xludf.DUMMYFUNCTION("""COMPUTED_VALUE"""),"Oman")</f>
        <v>Oman</v>
      </c>
      <c r="E8186" s="135"/>
      <c r="F8186" s="31"/>
    </row>
    <row r="8187">
      <c r="A8187" s="134" t="str">
        <f>IFERROR(__xludf.DUMMYFUNCTION("""COMPUTED_VALUE"""),"Surabaya")</f>
        <v>Surabaya</v>
      </c>
      <c r="B8187" s="120" t="str">
        <f>IFERROR(__xludf.DUMMYFUNCTION("""COMPUTED_VALUE"""),"SUB")</f>
        <v>SUB</v>
      </c>
      <c r="C8187" s="120" t="str">
        <f>IFERROR(__xludf.DUMMYFUNCTION("""COMPUTED_VALUE"""),"Juanda")</f>
        <v>Juanda</v>
      </c>
      <c r="D8187" s="120" t="str">
        <f>IFERROR(__xludf.DUMMYFUNCTION("""COMPUTED_VALUE"""),"Indonesia")</f>
        <v>Indonesia</v>
      </c>
      <c r="E8187" s="135"/>
      <c r="F8187" s="31"/>
    </row>
    <row r="8188">
      <c r="A8188" s="134" t="str">
        <f>IFERROR(__xludf.DUMMYFUNCTION("""COMPUTED_VALUE"""),"Surat")</f>
        <v>Surat</v>
      </c>
      <c r="B8188" s="120" t="str">
        <f>IFERROR(__xludf.DUMMYFUNCTION("""COMPUTED_VALUE"""),"STV")</f>
        <v>STV</v>
      </c>
      <c r="C8188" s="120" t="str">
        <f>IFERROR(__xludf.DUMMYFUNCTION("""COMPUTED_VALUE"""),"Surat")</f>
        <v>Surat</v>
      </c>
      <c r="D8188" s="120" t="str">
        <f>IFERROR(__xludf.DUMMYFUNCTION("""COMPUTED_VALUE"""),"India")</f>
        <v>India</v>
      </c>
      <c r="E8188" s="135"/>
      <c r="F8188" s="31"/>
    </row>
    <row r="8189">
      <c r="A8189" s="134" t="str">
        <f>IFERROR(__xludf.DUMMYFUNCTION("""COMPUTED_VALUE"""),"Surat Thani")</f>
        <v>Surat Thani</v>
      </c>
      <c r="B8189" s="120" t="str">
        <f>IFERROR(__xludf.DUMMYFUNCTION("""COMPUTED_VALUE"""),"URT")</f>
        <v>URT</v>
      </c>
      <c r="C8189" s="120" t="str">
        <f>IFERROR(__xludf.DUMMYFUNCTION("""COMPUTED_VALUE"""),"Surat Thani")</f>
        <v>Surat Thani</v>
      </c>
      <c r="D8189" s="120" t="str">
        <f>IFERROR(__xludf.DUMMYFUNCTION("""COMPUTED_VALUE"""),"Thailand")</f>
        <v>Thailand</v>
      </c>
      <c r="E8189" s="135"/>
      <c r="F8189" s="31"/>
    </row>
    <row r="8190">
      <c r="A8190" s="134" t="str">
        <f>IFERROR(__xludf.DUMMYFUNCTION("""COMPUTED_VALUE"""),"Surfdale")</f>
        <v>Surfdale</v>
      </c>
      <c r="B8190" s="120" t="str">
        <f>IFERROR(__xludf.DUMMYFUNCTION("""COMPUTED_VALUE"""),"WIK")</f>
        <v>WIK</v>
      </c>
      <c r="C8190" s="120" t="str">
        <f>IFERROR(__xludf.DUMMYFUNCTION("""COMPUTED_VALUE"""),"Surfdale")</f>
        <v>Surfdale</v>
      </c>
      <c r="D8190" s="120" t="str">
        <f>IFERROR(__xludf.DUMMYFUNCTION("""COMPUTED_VALUE"""),"New Zealand (Aotearoa)")</f>
        <v>New Zealand (Aotearoa)</v>
      </c>
      <c r="E8190" s="135"/>
      <c r="F8190" s="31"/>
    </row>
    <row r="8191">
      <c r="A8191" s="134" t="str">
        <f>IFERROR(__xludf.DUMMYFUNCTION("""COMPUTED_VALUE"""),"Surfers Paradise")</f>
        <v>Surfers Paradise</v>
      </c>
      <c r="B8191" s="120" t="str">
        <f>IFERROR(__xludf.DUMMYFUNCTION("""COMPUTED_VALUE"""),"SFP")</f>
        <v>SFP</v>
      </c>
      <c r="C8191" s="120" t="str">
        <f>IFERROR(__xludf.DUMMYFUNCTION("""COMPUTED_VALUE"""),"Surfers Paradise")</f>
        <v>Surfers Paradise</v>
      </c>
      <c r="D8191" s="120" t="str">
        <f>IFERROR(__xludf.DUMMYFUNCTION("""COMPUTED_VALUE"""),"Australia")</f>
        <v>Australia</v>
      </c>
      <c r="E8191" s="135"/>
      <c r="F8191" s="31"/>
    </row>
    <row r="8192">
      <c r="A8192" s="134" t="str">
        <f>IFERROR(__xludf.DUMMYFUNCTION("""COMPUTED_VALUE"""),"Surgut")</f>
        <v>Surgut</v>
      </c>
      <c r="B8192" s="120" t="str">
        <f>IFERROR(__xludf.DUMMYFUNCTION("""COMPUTED_VALUE"""),"SGC")</f>
        <v>SGC</v>
      </c>
      <c r="C8192" s="120" t="str">
        <f>IFERROR(__xludf.DUMMYFUNCTION("""COMPUTED_VALUE"""),"Surgut")</f>
        <v>Surgut</v>
      </c>
      <c r="D8192" s="120" t="str">
        <f>IFERROR(__xludf.DUMMYFUNCTION("""COMPUTED_VALUE"""),"Russia")</f>
        <v>Russia</v>
      </c>
      <c r="E8192" s="135"/>
      <c r="F8192" s="31"/>
    </row>
    <row r="8193">
      <c r="A8193" s="134" t="str">
        <f>IFERROR(__xludf.DUMMYFUNCTION("""COMPUTED_VALUE"""),"Suria")</f>
        <v>Suria</v>
      </c>
      <c r="B8193" s="120" t="str">
        <f>IFERROR(__xludf.DUMMYFUNCTION("""COMPUTED_VALUE"""),"SUZ")</f>
        <v>SUZ</v>
      </c>
      <c r="C8193" s="120" t="str">
        <f>IFERROR(__xludf.DUMMYFUNCTION("""COMPUTED_VALUE"""),"Suria")</f>
        <v>Suria</v>
      </c>
      <c r="D8193" s="120" t="str">
        <f>IFERROR(__xludf.DUMMYFUNCTION("""COMPUTED_VALUE"""),"Papua New Guinea")</f>
        <v>Papua New Guinea</v>
      </c>
      <c r="E8193" s="135"/>
      <c r="F8193" s="31"/>
    </row>
    <row r="8194">
      <c r="A8194" s="134" t="str">
        <f>IFERROR(__xludf.DUMMYFUNCTION("""COMPUTED_VALUE"""),"Surigao")</f>
        <v>Surigao</v>
      </c>
      <c r="B8194" s="120" t="str">
        <f>IFERROR(__xludf.DUMMYFUNCTION("""COMPUTED_VALUE"""),"SUG")</f>
        <v>SUG</v>
      </c>
      <c r="C8194" s="120" t="str">
        <f>IFERROR(__xludf.DUMMYFUNCTION("""COMPUTED_VALUE"""),"Surigao")</f>
        <v>Surigao</v>
      </c>
      <c r="D8194" s="120" t="str">
        <f>IFERROR(__xludf.DUMMYFUNCTION("""COMPUTED_VALUE"""),"Philippines")</f>
        <v>Philippines</v>
      </c>
      <c r="E8194" s="135"/>
      <c r="F8194" s="31"/>
    </row>
    <row r="8195">
      <c r="A8195" s="134" t="str">
        <f>IFERROR(__xludf.DUMMYFUNCTION("""COMPUTED_VALUE"""),"Surin")</f>
        <v>Surin</v>
      </c>
      <c r="B8195" s="120" t="str">
        <f>IFERROR(__xludf.DUMMYFUNCTION("""COMPUTED_VALUE"""),"PXR")</f>
        <v>PXR</v>
      </c>
      <c r="C8195" s="120" t="str">
        <f>IFERROR(__xludf.DUMMYFUNCTION("""COMPUTED_VALUE"""),"Surin")</f>
        <v>Surin</v>
      </c>
      <c r="D8195" s="120" t="str">
        <f>IFERROR(__xludf.DUMMYFUNCTION("""COMPUTED_VALUE"""),"Thailand")</f>
        <v>Thailand</v>
      </c>
      <c r="E8195" s="135"/>
      <c r="F8195" s="31"/>
    </row>
    <row r="8196">
      <c r="A8196" s="134" t="str">
        <f>IFERROR(__xludf.DUMMYFUNCTION("""COMPUTED_VALUE"""),"Surkhet")</f>
        <v>Surkhet</v>
      </c>
      <c r="B8196" s="120" t="str">
        <f>IFERROR(__xludf.DUMMYFUNCTION("""COMPUTED_VALUE"""),"SKH")</f>
        <v>SKH</v>
      </c>
      <c r="C8196" s="120" t="str">
        <f>IFERROR(__xludf.DUMMYFUNCTION("""COMPUTED_VALUE"""),"Kadmandu")</f>
        <v>Kadmandu</v>
      </c>
      <c r="D8196" s="120" t="str">
        <f>IFERROR(__xludf.DUMMYFUNCTION("""COMPUTED_VALUE"""),"Nepal")</f>
        <v>Nepal</v>
      </c>
      <c r="E8196" s="135"/>
      <c r="F8196" s="31"/>
    </row>
    <row r="8197">
      <c r="A8197" s="134" t="str">
        <f>IFERROR(__xludf.DUMMYFUNCTION("""COMPUTED_VALUE"""),"Susanville")</f>
        <v>Susanville</v>
      </c>
      <c r="B8197" s="120" t="str">
        <f>IFERROR(__xludf.DUMMYFUNCTION("""COMPUTED_VALUE"""),"SVE")</f>
        <v>SVE</v>
      </c>
      <c r="C8197" s="120" t="str">
        <f>IFERROR(__xludf.DUMMYFUNCTION("""COMPUTED_VALUE"""),"Susanville")</f>
        <v>Susanville</v>
      </c>
      <c r="D8197" s="120" t="str">
        <f>IFERROR(__xludf.DUMMYFUNCTION("""COMPUTED_VALUE"""),"United States")</f>
        <v>United States</v>
      </c>
      <c r="E8197" s="135"/>
      <c r="F8197" s="31"/>
    </row>
    <row r="8198">
      <c r="A8198" s="134" t="str">
        <f>IFERROR(__xludf.DUMMYFUNCTION("""COMPUTED_VALUE"""),"Suttonheath")</f>
        <v>Suttonheath</v>
      </c>
      <c r="B8198" s="120" t="str">
        <f>IFERROR(__xludf.DUMMYFUNCTION("""COMPUTED_VALUE"""),"WOB")</f>
        <v>WOB</v>
      </c>
      <c r="C8198" s="120" t="str">
        <f>IFERROR(__xludf.DUMMYFUNCTION("""COMPUTED_VALUE"""),"Woodbridge RAF")</f>
        <v>Woodbridge RAF</v>
      </c>
      <c r="D8198" s="120" t="str">
        <f>IFERROR(__xludf.DUMMYFUNCTION("""COMPUTED_VALUE"""),"United Kingdom")</f>
        <v>United Kingdom</v>
      </c>
      <c r="E8198" s="135"/>
      <c r="F8198" s="31"/>
    </row>
    <row r="8199">
      <c r="A8199" s="134" t="str">
        <f>IFERROR(__xludf.DUMMYFUNCTION("""COMPUTED_VALUE"""),"Suva")</f>
        <v>Suva</v>
      </c>
      <c r="B8199" s="120" t="str">
        <f>IFERROR(__xludf.DUMMYFUNCTION("""COMPUTED_VALUE"""),"SUV")</f>
        <v>SUV</v>
      </c>
      <c r="C8199" s="120" t="str">
        <f>IFERROR(__xludf.DUMMYFUNCTION("""COMPUTED_VALUE"""),"Nausori")</f>
        <v>Nausori</v>
      </c>
      <c r="D8199" s="120" t="str">
        <f>IFERROR(__xludf.DUMMYFUNCTION("""COMPUTED_VALUE"""),"Fiji")</f>
        <v>Fiji</v>
      </c>
      <c r="E8199" s="135"/>
      <c r="F8199" s="31"/>
    </row>
    <row r="8200">
      <c r="A8200" s="134" t="str">
        <f>IFERROR(__xludf.DUMMYFUNCTION("""COMPUTED_VALUE"""),"Suwon")</f>
        <v>Suwon</v>
      </c>
      <c r="B8200" s="120" t="str">
        <f>IFERROR(__xludf.DUMMYFUNCTION("""COMPUTED_VALUE"""),"SWU")</f>
        <v>SWU</v>
      </c>
      <c r="C8200" s="120" t="str">
        <f>IFERROR(__xludf.DUMMYFUNCTION("""COMPUTED_VALUE"""),"Suwon")</f>
        <v>Suwon</v>
      </c>
      <c r="D8200" s="120" t="str">
        <f>IFERROR(__xludf.DUMMYFUNCTION("""COMPUTED_VALUE"""),"Korea (South)")</f>
        <v>Korea (South)</v>
      </c>
      <c r="E8200" s="135"/>
      <c r="F8200" s="31"/>
    </row>
    <row r="8201">
      <c r="A8201" s="134" t="str">
        <f>IFERROR(__xludf.DUMMYFUNCTION("""COMPUTED_VALUE"""),"Suzhou")</f>
        <v>Suzhou</v>
      </c>
      <c r="B8201" s="120" t="str">
        <f>IFERROR(__xludf.DUMMYFUNCTION("""COMPUTED_VALUE"""),"SZV")</f>
        <v>SZV</v>
      </c>
      <c r="C8201" s="120" t="str">
        <f>IFERROR(__xludf.DUMMYFUNCTION("""COMPUTED_VALUE"""),"Suzhou")</f>
        <v>Suzhou</v>
      </c>
      <c r="D8201" s="120" t="str">
        <f>IFERROR(__xludf.DUMMYFUNCTION("""COMPUTED_VALUE"""),"China")</f>
        <v>China</v>
      </c>
      <c r="E8201" s="135"/>
      <c r="F8201" s="31"/>
    </row>
    <row r="8202">
      <c r="A8202" s="134" t="str">
        <f>IFERROR(__xludf.DUMMYFUNCTION("""COMPUTED_VALUE"""),"Svalbard")</f>
        <v>Svalbard</v>
      </c>
      <c r="B8202" s="120" t="str">
        <f>IFERROR(__xludf.DUMMYFUNCTION("""COMPUTED_VALUE"""),"SYG")</f>
        <v>SYG</v>
      </c>
      <c r="C8202" s="120" t="str">
        <f>IFERROR(__xludf.DUMMYFUNCTION("""COMPUTED_VALUE"""),"Spitsberg")</f>
        <v>Spitsberg</v>
      </c>
      <c r="D8202" s="120" t="str">
        <f>IFERROR(__xludf.DUMMYFUNCTION("""COMPUTED_VALUE"""),"Norway")</f>
        <v>Norway</v>
      </c>
      <c r="E8202" s="135"/>
      <c r="F8202" s="31"/>
    </row>
    <row r="8203">
      <c r="A8203" s="134" t="str">
        <f>IFERROR(__xludf.DUMMYFUNCTION("""COMPUTED_VALUE"""),"Svay Rieng")</f>
        <v>Svay Rieng</v>
      </c>
      <c r="B8203" s="120" t="str">
        <f>IFERROR(__xludf.DUMMYFUNCTION("""COMPUTED_VALUE"""),"SVR")</f>
        <v>SVR</v>
      </c>
      <c r="C8203" s="120" t="str">
        <f>IFERROR(__xludf.DUMMYFUNCTION("""COMPUTED_VALUE"""),"Svay Rieng")</f>
        <v>Svay Rieng</v>
      </c>
      <c r="D8203" s="120" t="str">
        <f>IFERROR(__xludf.DUMMYFUNCTION("""COMPUTED_VALUE"""),"Cambodia")</f>
        <v>Cambodia</v>
      </c>
      <c r="E8203" s="135"/>
      <c r="F8203" s="31"/>
    </row>
    <row r="8204">
      <c r="A8204" s="134" t="str">
        <f>IFERROR(__xludf.DUMMYFUNCTION("""COMPUTED_VALUE"""),"Sveg")</f>
        <v>Sveg</v>
      </c>
      <c r="B8204" s="120" t="str">
        <f>IFERROR(__xludf.DUMMYFUNCTION("""COMPUTED_VALUE"""),"EVG")</f>
        <v>EVG</v>
      </c>
      <c r="C8204" s="120" t="str">
        <f>IFERROR(__xludf.DUMMYFUNCTION("""COMPUTED_VALUE"""),"Sveg")</f>
        <v>Sveg</v>
      </c>
      <c r="D8204" s="120" t="str">
        <f>IFERROR(__xludf.DUMMYFUNCTION("""COMPUTED_VALUE"""),"Sweden")</f>
        <v>Sweden</v>
      </c>
      <c r="E8204" s="135"/>
      <c r="F8204" s="31"/>
    </row>
    <row r="8205">
      <c r="A8205" s="134" t="str">
        <f>IFERROR(__xludf.DUMMYFUNCTION("""COMPUTED_VALUE"""),"Svolvaer")</f>
        <v>Svolvaer</v>
      </c>
      <c r="B8205" s="120" t="str">
        <f>IFERROR(__xludf.DUMMYFUNCTION("""COMPUTED_VALUE"""),"SVJ")</f>
        <v>SVJ</v>
      </c>
      <c r="C8205" s="120" t="str">
        <f>IFERROR(__xludf.DUMMYFUNCTION("""COMPUTED_VALUE"""),"Helle")</f>
        <v>Helle</v>
      </c>
      <c r="D8205" s="120" t="str">
        <f>IFERROR(__xludf.DUMMYFUNCTION("""COMPUTED_VALUE"""),"Norway")</f>
        <v>Norway</v>
      </c>
      <c r="E8205" s="135"/>
      <c r="F8205" s="31"/>
    </row>
    <row r="8206">
      <c r="A8206" s="134" t="str">
        <f>IFERROR(__xludf.DUMMYFUNCTION("""COMPUTED_VALUE"""),"Swakopmund")</f>
        <v>Swakopmund</v>
      </c>
      <c r="B8206" s="120" t="str">
        <f>IFERROR(__xludf.DUMMYFUNCTION("""COMPUTED_VALUE"""),"SWP")</f>
        <v>SWP</v>
      </c>
      <c r="C8206" s="120" t="str">
        <f>IFERROR(__xludf.DUMMYFUNCTION("""COMPUTED_VALUE"""),"Swakopmund")</f>
        <v>Swakopmund</v>
      </c>
      <c r="D8206" s="120" t="str">
        <f>IFERROR(__xludf.DUMMYFUNCTION("""COMPUTED_VALUE"""),"Namibia")</f>
        <v>Namibia</v>
      </c>
      <c r="E8206" s="135"/>
      <c r="F8206" s="31"/>
    </row>
    <row r="8207">
      <c r="A8207" s="134" t="str">
        <f>IFERROR(__xludf.DUMMYFUNCTION("""COMPUTED_VALUE"""),"Swakopmund")</f>
        <v>Swakopmund</v>
      </c>
      <c r="B8207" s="120" t="str">
        <f>IFERROR(__xludf.DUMMYFUNCTION("""COMPUTED_VALUE"""),"ZSZ")</f>
        <v>ZSZ</v>
      </c>
      <c r="C8207" s="120" t="str">
        <f>IFERROR(__xludf.DUMMYFUNCTION("""COMPUTED_VALUE"""),"Railway Station")</f>
        <v>Railway Station</v>
      </c>
      <c r="D8207" s="120" t="str">
        <f>IFERROR(__xludf.DUMMYFUNCTION("""COMPUTED_VALUE"""),"Namibia")</f>
        <v>Namibia</v>
      </c>
      <c r="E8207" s="135"/>
      <c r="F8207" s="31"/>
    </row>
    <row r="8208">
      <c r="A8208" s="134" t="str">
        <f>IFERROR(__xludf.DUMMYFUNCTION("""COMPUTED_VALUE"""),"Swan Hill")</f>
        <v>Swan Hill</v>
      </c>
      <c r="B8208" s="120" t="str">
        <f>IFERROR(__xludf.DUMMYFUNCTION("""COMPUTED_VALUE"""),"SWH")</f>
        <v>SWH</v>
      </c>
      <c r="C8208" s="120" t="str">
        <f>IFERROR(__xludf.DUMMYFUNCTION("""COMPUTED_VALUE"""),"Swan Hill")</f>
        <v>Swan Hill</v>
      </c>
      <c r="D8208" s="120" t="str">
        <f>IFERROR(__xludf.DUMMYFUNCTION("""COMPUTED_VALUE"""),"Australia")</f>
        <v>Australia</v>
      </c>
      <c r="E8208" s="135"/>
      <c r="F8208" s="31"/>
    </row>
    <row r="8209">
      <c r="A8209" s="134" t="str">
        <f>IFERROR(__xludf.DUMMYFUNCTION("""COMPUTED_VALUE"""),"Swan River")</f>
        <v>Swan River</v>
      </c>
      <c r="B8209" s="120" t="str">
        <f>IFERROR(__xludf.DUMMYFUNCTION("""COMPUTED_VALUE"""),"ZJN")</f>
        <v>ZJN</v>
      </c>
      <c r="C8209" s="120" t="str">
        <f>IFERROR(__xludf.DUMMYFUNCTION("""COMPUTED_VALUE"""),"Swan River")</f>
        <v>Swan River</v>
      </c>
      <c r="D8209" s="120" t="str">
        <f>IFERROR(__xludf.DUMMYFUNCTION("""COMPUTED_VALUE"""),"Canada")</f>
        <v>Canada</v>
      </c>
      <c r="E8209" s="135"/>
      <c r="F8209" s="31"/>
    </row>
    <row r="8210">
      <c r="A8210" s="134" t="str">
        <f>IFERROR(__xludf.DUMMYFUNCTION("""COMPUTED_VALUE"""),"Swansea")</f>
        <v>Swansea</v>
      </c>
      <c r="B8210" s="120" t="str">
        <f>IFERROR(__xludf.DUMMYFUNCTION("""COMPUTED_VALUE"""),"SWS")</f>
        <v>SWS</v>
      </c>
      <c r="C8210" s="120" t="str">
        <f>IFERROR(__xludf.DUMMYFUNCTION("""COMPUTED_VALUE"""),"Fairwood Comm")</f>
        <v>Fairwood Comm</v>
      </c>
      <c r="D8210" s="120" t="str">
        <f>IFERROR(__xludf.DUMMYFUNCTION("""COMPUTED_VALUE"""),"United Kingdom")</f>
        <v>United Kingdom</v>
      </c>
      <c r="E8210" s="135"/>
      <c r="F8210" s="31"/>
    </row>
    <row r="8211">
      <c r="A8211" s="134" t="str">
        <f>IFERROR(__xludf.DUMMYFUNCTION("""COMPUTED_VALUE"""),"Sweetwater")</f>
        <v>Sweetwater</v>
      </c>
      <c r="B8211" s="120" t="str">
        <f>IFERROR(__xludf.DUMMYFUNCTION("""COMPUTED_VALUE"""),"SWW")</f>
        <v>SWW</v>
      </c>
      <c r="C8211" s="120" t="str">
        <f>IFERROR(__xludf.DUMMYFUNCTION("""COMPUTED_VALUE"""),"Sweetwater")</f>
        <v>Sweetwater</v>
      </c>
      <c r="D8211" s="120" t="str">
        <f>IFERROR(__xludf.DUMMYFUNCTION("""COMPUTED_VALUE"""),"United States")</f>
        <v>United States</v>
      </c>
      <c r="E8211" s="135"/>
      <c r="F8211" s="31"/>
    </row>
    <row r="8212">
      <c r="A8212" s="134" t="str">
        <f>IFERROR(__xludf.DUMMYFUNCTION("""COMPUTED_VALUE"""),"Swift Current")</f>
        <v>Swift Current</v>
      </c>
      <c r="B8212" s="120" t="str">
        <f>IFERROR(__xludf.DUMMYFUNCTION("""COMPUTED_VALUE"""),"YYN")</f>
        <v>YYN</v>
      </c>
      <c r="C8212" s="120" t="str">
        <f>IFERROR(__xludf.DUMMYFUNCTION("""COMPUTED_VALUE"""),"Swift Current")</f>
        <v>Swift Current</v>
      </c>
      <c r="D8212" s="120" t="str">
        <f>IFERROR(__xludf.DUMMYFUNCTION("""COMPUTED_VALUE"""),"Canada")</f>
        <v>Canada</v>
      </c>
      <c r="E8212" s="135"/>
      <c r="F8212" s="31"/>
    </row>
    <row r="8213">
      <c r="A8213" s="134" t="str">
        <f>IFERROR(__xludf.DUMMYFUNCTION("""COMPUTED_VALUE"""),"Swindon")</f>
        <v>Swindon</v>
      </c>
      <c r="B8213" s="120" t="str">
        <f>IFERROR(__xludf.DUMMYFUNCTION("""COMPUTED_VALUE"""),"SWI")</f>
        <v>SWI</v>
      </c>
      <c r="C8213" s="120" t="str">
        <f>IFERROR(__xludf.DUMMYFUNCTION("""COMPUTED_VALUE"""),"Swindon")</f>
        <v>Swindon</v>
      </c>
      <c r="D8213" s="120" t="str">
        <f>IFERROR(__xludf.DUMMYFUNCTION("""COMPUTED_VALUE"""),"United Kingdom")</f>
        <v>United Kingdom</v>
      </c>
      <c r="E8213" s="135"/>
      <c r="F8213" s="31"/>
    </row>
    <row r="8214">
      <c r="A8214" s="134" t="str">
        <f>IFERROR(__xludf.DUMMYFUNCTION("""COMPUTED_VALUE"""),"Swindon")</f>
        <v>Swindon</v>
      </c>
      <c r="B8214" s="120" t="str">
        <f>IFERROR(__xludf.DUMMYFUNCTION("""COMPUTED_VALUE"""),"XWS")</f>
        <v>XWS</v>
      </c>
      <c r="C8214" s="120" t="str">
        <f>IFERROR(__xludf.DUMMYFUNCTION("""COMPUTED_VALUE"""),"Railway Station")</f>
        <v>Railway Station</v>
      </c>
      <c r="D8214" s="120" t="str">
        <f>IFERROR(__xludf.DUMMYFUNCTION("""COMPUTED_VALUE"""),"United Kingdom")</f>
        <v>United Kingdom</v>
      </c>
      <c r="E8214" s="135"/>
      <c r="F8214" s="31"/>
    </row>
    <row r="8215">
      <c r="A8215" s="134" t="str">
        <f>IFERROR(__xludf.DUMMYFUNCTION("""COMPUTED_VALUE"""),"Syangboche")</f>
        <v>Syangboche</v>
      </c>
      <c r="B8215" s="120" t="str">
        <f>IFERROR(__xludf.DUMMYFUNCTION("""COMPUTED_VALUE"""),"SYH")</f>
        <v>SYH</v>
      </c>
      <c r="C8215" s="120" t="str">
        <f>IFERROR(__xludf.DUMMYFUNCTION("""COMPUTED_VALUE"""),"Syangboche")</f>
        <v>Syangboche</v>
      </c>
      <c r="D8215" s="120" t="str">
        <f>IFERROR(__xludf.DUMMYFUNCTION("""COMPUTED_VALUE"""),"Nepal")</f>
        <v>Nepal</v>
      </c>
      <c r="E8215" s="135"/>
      <c r="F8215" s="31"/>
    </row>
    <row r="8216">
      <c r="A8216" s="134" t="str">
        <f>IFERROR(__xludf.DUMMYFUNCTION("""COMPUTED_VALUE"""),"Sydney")</f>
        <v>Sydney</v>
      </c>
      <c r="B8216" s="120" t="str">
        <f>IFERROR(__xludf.DUMMYFUNCTION("""COMPUTED_VALUE"""),"RSE")</f>
        <v>RSE</v>
      </c>
      <c r="C8216" s="120" t="str">
        <f>IFERROR(__xludf.DUMMYFUNCTION("""COMPUTED_VALUE"""),"Sydney Water Airport (Rose Bay)")</f>
        <v>Sydney Water Airport (Rose Bay)</v>
      </c>
      <c r="D8216" s="120" t="str">
        <f>IFERROR(__xludf.DUMMYFUNCTION("""COMPUTED_VALUE"""),"Australia")</f>
        <v>Australia</v>
      </c>
      <c r="E8216" s="135"/>
      <c r="F8216" s="31"/>
    </row>
    <row r="8217">
      <c r="A8217" s="134" t="str">
        <f>IFERROR(__xludf.DUMMYFUNCTION("""COMPUTED_VALUE"""),"Sydney")</f>
        <v>Sydney</v>
      </c>
      <c r="B8217" s="120" t="str">
        <f>IFERROR(__xludf.DUMMYFUNCTION("""COMPUTED_VALUE"""),"SYD")</f>
        <v>SYD</v>
      </c>
      <c r="C8217" s="120" t="str">
        <f>IFERROR(__xludf.DUMMYFUNCTION("""COMPUTED_VALUE"""),"Kingsford Smith")</f>
        <v>Kingsford Smith</v>
      </c>
      <c r="D8217" s="120" t="str">
        <f>IFERROR(__xludf.DUMMYFUNCTION("""COMPUTED_VALUE"""),"Australia")</f>
        <v>Australia</v>
      </c>
      <c r="E8217" s="135"/>
      <c r="F8217" s="31"/>
    </row>
    <row r="8218">
      <c r="A8218" s="134" t="str">
        <f>IFERROR(__xludf.DUMMYFUNCTION("""COMPUTED_VALUE"""),"Sydney")</f>
        <v>Sydney</v>
      </c>
      <c r="B8218" s="120" t="str">
        <f>IFERROR(__xludf.DUMMYFUNCTION("""COMPUTED_VALUE"""),"LBH")</f>
        <v>LBH</v>
      </c>
      <c r="C8218" s="120" t="str">
        <f>IFERROR(__xludf.DUMMYFUNCTION("""COMPUTED_VALUE"""),"Palm Beach SPB")</f>
        <v>Palm Beach SPB</v>
      </c>
      <c r="D8218" s="120" t="str">
        <f>IFERROR(__xludf.DUMMYFUNCTION("""COMPUTED_VALUE"""),"Australia")</f>
        <v>Australia</v>
      </c>
      <c r="E8218" s="135"/>
      <c r="F8218" s="31"/>
    </row>
    <row r="8219">
      <c r="A8219" s="134" t="str">
        <f>IFERROR(__xludf.DUMMYFUNCTION("""COMPUTED_VALUE"""),"Sydney")</f>
        <v>Sydney</v>
      </c>
      <c r="B8219" s="120" t="str">
        <f>IFERROR(__xludf.DUMMYFUNCTION("""COMPUTED_VALUE"""),"SWZ")</f>
        <v>SWZ</v>
      </c>
      <c r="C8219" s="120" t="str">
        <f>IFERROR(__xludf.DUMMYFUNCTION("""COMPUTED_VALUE"""),"Sydney West")</f>
        <v>Sydney West</v>
      </c>
      <c r="D8219" s="120" t="str">
        <f>IFERROR(__xludf.DUMMYFUNCTION("""COMPUTED_VALUE"""),"Australia")</f>
        <v>Australia</v>
      </c>
      <c r="E8219" s="135"/>
      <c r="F8219" s="31"/>
    </row>
    <row r="8220">
      <c r="A8220" s="134" t="str">
        <f>IFERROR(__xludf.DUMMYFUNCTION("""COMPUTED_VALUE"""),"Sydney")</f>
        <v>Sydney</v>
      </c>
      <c r="B8220" s="120" t="str">
        <f>IFERROR(__xludf.DUMMYFUNCTION("""COMPUTED_VALUE"""),"YQY")</f>
        <v>YQY</v>
      </c>
      <c r="C8220" s="120" t="str">
        <f>IFERROR(__xludf.DUMMYFUNCTION("""COMPUTED_VALUE"""),"Sydney")</f>
        <v>Sydney</v>
      </c>
      <c r="D8220" s="120" t="str">
        <f>IFERROR(__xludf.DUMMYFUNCTION("""COMPUTED_VALUE"""),"Canada")</f>
        <v>Canada</v>
      </c>
      <c r="E8220" s="135"/>
      <c r="F8220" s="31"/>
    </row>
    <row r="8221">
      <c r="A8221" s="134" t="str">
        <f>IFERROR(__xludf.DUMMYFUNCTION("""COMPUTED_VALUE"""),"Syktyvkar")</f>
        <v>Syktyvkar</v>
      </c>
      <c r="B8221" s="120" t="str">
        <f>IFERROR(__xludf.DUMMYFUNCTION("""COMPUTED_VALUE"""),"SCW")</f>
        <v>SCW</v>
      </c>
      <c r="C8221" s="120" t="str">
        <f>IFERROR(__xludf.DUMMYFUNCTION("""COMPUTED_VALUE"""),"Syktyvkar")</f>
        <v>Syktyvkar</v>
      </c>
      <c r="D8221" s="120" t="str">
        <f>IFERROR(__xludf.DUMMYFUNCTION("""COMPUTED_VALUE"""),"Russia")</f>
        <v>Russia</v>
      </c>
      <c r="E8221" s="135"/>
      <c r="F8221" s="31"/>
    </row>
    <row r="8222">
      <c r="A8222" s="134" t="str">
        <f>IFERROR(__xludf.DUMMYFUNCTION("""COMPUTED_VALUE"""),"Sylhet")</f>
        <v>Sylhet</v>
      </c>
      <c r="B8222" s="120" t="str">
        <f>IFERROR(__xludf.DUMMYFUNCTION("""COMPUTED_VALUE"""),"ZYL")</f>
        <v>ZYL</v>
      </c>
      <c r="C8222" s="120" t="str">
        <f>IFERROR(__xludf.DUMMYFUNCTION("""COMPUTED_VALUE"""),"Osmani International")</f>
        <v>Osmani International</v>
      </c>
      <c r="D8222" s="120" t="str">
        <f>IFERROR(__xludf.DUMMYFUNCTION("""COMPUTED_VALUE"""),"Bangladesh")</f>
        <v>Bangladesh</v>
      </c>
      <c r="E8222" s="135"/>
      <c r="F8222" s="31"/>
    </row>
    <row r="8223">
      <c r="A8223" s="134" t="str">
        <f>IFERROR(__xludf.DUMMYFUNCTION("""COMPUTED_VALUE"""),"Sylvester")</f>
        <v>Sylvester</v>
      </c>
      <c r="B8223" s="120" t="str">
        <f>IFERROR(__xludf.DUMMYFUNCTION("""COMPUTED_VALUE"""),"SYV")</f>
        <v>SYV</v>
      </c>
      <c r="C8223" s="120" t="str">
        <f>IFERROR(__xludf.DUMMYFUNCTION("""COMPUTED_VALUE"""),"Sylvester")</f>
        <v>Sylvester</v>
      </c>
      <c r="D8223" s="120" t="str">
        <f>IFERROR(__xludf.DUMMYFUNCTION("""COMPUTED_VALUE"""),"United States")</f>
        <v>United States</v>
      </c>
      <c r="E8223" s="135"/>
      <c r="F8223" s="31"/>
    </row>
    <row r="8224">
      <c r="A8224" s="134" t="str">
        <f>IFERROR(__xludf.DUMMYFUNCTION("""COMPUTED_VALUE"""),"Syracuse")</f>
        <v>Syracuse</v>
      </c>
      <c r="B8224" s="120" t="str">
        <f>IFERROR(__xludf.DUMMYFUNCTION("""COMPUTED_VALUE"""),"SYR")</f>
        <v>SYR</v>
      </c>
      <c r="C8224" s="120" t="str">
        <f>IFERROR(__xludf.DUMMYFUNCTION("""COMPUTED_VALUE"""),"Syracuse Hancock International Airport")</f>
        <v>Syracuse Hancock International Airport</v>
      </c>
      <c r="D8224" s="120" t="str">
        <f>IFERROR(__xludf.DUMMYFUNCTION("""COMPUTED_VALUE"""),"United States")</f>
        <v>United States</v>
      </c>
      <c r="E8224" s="135"/>
      <c r="F8224" s="31"/>
    </row>
    <row r="8225">
      <c r="A8225" s="134" t="str">
        <f>IFERROR(__xludf.DUMMYFUNCTION("""COMPUTED_VALUE"""),"Syracuse")</f>
        <v>Syracuse</v>
      </c>
      <c r="B8225" s="120" t="str">
        <f>IFERROR(__xludf.DUMMYFUNCTION("""COMPUTED_VALUE"""),"ZYQ")</f>
        <v>ZYQ</v>
      </c>
      <c r="C8225" s="120" t="str">
        <f>IFERROR(__xludf.DUMMYFUNCTION("""COMPUTED_VALUE"""),"Syracuse NY Rail")</f>
        <v>Syracuse NY Rail</v>
      </c>
      <c r="D8225" s="120" t="str">
        <f>IFERROR(__xludf.DUMMYFUNCTION("""COMPUTED_VALUE"""),"United States")</f>
        <v>United States</v>
      </c>
      <c r="E8225" s="135"/>
      <c r="F8225" s="31"/>
    </row>
    <row r="8226">
      <c r="A8226" s="134" t="str">
        <f>IFERROR(__xludf.DUMMYFUNCTION("""COMPUTED_VALUE"""),"Syros Island")</f>
        <v>Syros Island</v>
      </c>
      <c r="B8226" s="120" t="str">
        <f>IFERROR(__xludf.DUMMYFUNCTION("""COMPUTED_VALUE"""),"JSY")</f>
        <v>JSY</v>
      </c>
      <c r="C8226" s="120" t="str">
        <f>IFERROR(__xludf.DUMMYFUNCTION("""COMPUTED_VALUE"""),"Syros Island")</f>
        <v>Syros Island</v>
      </c>
      <c r="D8226" s="120" t="str">
        <f>IFERROR(__xludf.DUMMYFUNCTION("""COMPUTED_VALUE"""),"Greece")</f>
        <v>Greece</v>
      </c>
      <c r="E8226" s="135"/>
      <c r="F8226" s="31"/>
    </row>
    <row r="8227">
      <c r="A8227" s="134" t="str">
        <f>IFERROR(__xludf.DUMMYFUNCTION("""COMPUTED_VALUE"""),"Szczecin")</f>
        <v>Szczecin</v>
      </c>
      <c r="B8227" s="120" t="str">
        <f>IFERROR(__xludf.DUMMYFUNCTION("""COMPUTED_VALUE"""),"SZZ")</f>
        <v>SZZ</v>
      </c>
      <c r="C8227" s="120" t="str">
        <f>IFERROR(__xludf.DUMMYFUNCTION("""COMPUTED_VALUE"""),"Goleniow")</f>
        <v>Goleniow</v>
      </c>
      <c r="D8227" s="120" t="str">
        <f>IFERROR(__xludf.DUMMYFUNCTION("""COMPUTED_VALUE"""),"Poland")</f>
        <v>Poland</v>
      </c>
      <c r="E8227" s="135"/>
      <c r="F8227" s="31"/>
    </row>
    <row r="8228">
      <c r="A8228" s="134" t="str">
        <f>IFERROR(__xludf.DUMMYFUNCTION("""COMPUTED_VALUE"""),"Szymany")</f>
        <v>Szymany</v>
      </c>
      <c r="B8228" s="120" t="str">
        <f>IFERROR(__xludf.DUMMYFUNCTION("""COMPUTED_VALUE"""),"SZY")</f>
        <v>SZY</v>
      </c>
      <c r="C8228" s="120" t="str">
        <f>IFERROR(__xludf.DUMMYFUNCTION("""COMPUTED_VALUE"""),"Mazury")</f>
        <v>Mazury</v>
      </c>
      <c r="D8228" s="120" t="str">
        <f>IFERROR(__xludf.DUMMYFUNCTION("""COMPUTED_VALUE"""),"Poland")</f>
        <v>Poland</v>
      </c>
      <c r="E8228" s="135"/>
      <c r="F8228" s="31"/>
    </row>
    <row r="8229">
      <c r="A8229" s="134" t="str">
        <f>IFERROR(__xludf.DUMMYFUNCTION("""COMPUTED_VALUE"""),"Taabo")</f>
        <v>Taabo</v>
      </c>
      <c r="B8229" s="120" t="str">
        <f>IFERROR(__xludf.DUMMYFUNCTION("""COMPUTED_VALUE"""),"TBX")</f>
        <v>TBX</v>
      </c>
      <c r="C8229" s="120" t="str">
        <f>IFERROR(__xludf.DUMMYFUNCTION("""COMPUTED_VALUE"""),"Taabo")</f>
        <v>Taabo</v>
      </c>
      <c r="D8229" s="120" t="str">
        <f>IFERROR(__xludf.DUMMYFUNCTION("""COMPUTED_VALUE"""),"Cote D'Ivoire (Ivory Coast)")</f>
        <v>Cote D'Ivoire (Ivory Coast)</v>
      </c>
      <c r="E8229" s="135"/>
      <c r="F8229" s="31"/>
    </row>
    <row r="8230">
      <c r="A8230" s="134" t="str">
        <f>IFERROR(__xludf.DUMMYFUNCTION("""COMPUTED_VALUE"""),"Taba")</f>
        <v>Taba</v>
      </c>
      <c r="B8230" s="120" t="str">
        <f>IFERROR(__xludf.DUMMYFUNCTION("""COMPUTED_VALUE"""),"TCP")</f>
        <v>TCP</v>
      </c>
      <c r="C8230" s="120" t="str">
        <f>IFERROR(__xludf.DUMMYFUNCTION("""COMPUTED_VALUE"""),"Taba International")</f>
        <v>Taba International</v>
      </c>
      <c r="D8230" s="120" t="str">
        <f>IFERROR(__xludf.DUMMYFUNCTION("""COMPUTED_VALUE"""),"Egypt")</f>
        <v>Egypt</v>
      </c>
      <c r="E8230" s="135"/>
      <c r="F8230" s="31"/>
    </row>
    <row r="8231">
      <c r="A8231" s="134" t="str">
        <f>IFERROR(__xludf.DUMMYFUNCTION("""COMPUTED_VALUE"""),"Tabal")</f>
        <v>Tabal</v>
      </c>
      <c r="B8231" s="120" t="str">
        <f>IFERROR(__xludf.DUMMYFUNCTION("""COMPUTED_VALUE"""),"TBV")</f>
        <v>TBV</v>
      </c>
      <c r="C8231" s="120" t="str">
        <f>IFERROR(__xludf.DUMMYFUNCTION("""COMPUTED_VALUE"""),"Tabal")</f>
        <v>Tabal</v>
      </c>
      <c r="D8231" s="120" t="str">
        <f>IFERROR(__xludf.DUMMYFUNCTION("""COMPUTED_VALUE"""),"Marshall Islands")</f>
        <v>Marshall Islands</v>
      </c>
      <c r="E8231" s="135"/>
      <c r="F8231" s="31"/>
    </row>
    <row r="8232">
      <c r="A8232" s="134" t="str">
        <f>IFERROR(__xludf.DUMMYFUNCTION("""COMPUTED_VALUE"""),"Tabarka")</f>
        <v>Tabarka</v>
      </c>
      <c r="B8232" s="120" t="str">
        <f>IFERROR(__xludf.DUMMYFUNCTION("""COMPUTED_VALUE"""),"TBJ")</f>
        <v>TBJ</v>
      </c>
      <c r="C8232" s="120" t="str">
        <f>IFERROR(__xludf.DUMMYFUNCTION("""COMPUTED_VALUE"""),"Tabarka")</f>
        <v>Tabarka</v>
      </c>
      <c r="D8232" s="120" t="str">
        <f>IFERROR(__xludf.DUMMYFUNCTION("""COMPUTED_VALUE"""),"Tunisia")</f>
        <v>Tunisia</v>
      </c>
      <c r="E8232" s="135"/>
      <c r="F8232" s="31"/>
    </row>
    <row r="8233">
      <c r="A8233" s="134" t="str">
        <f>IFERROR(__xludf.DUMMYFUNCTION("""COMPUTED_VALUE"""),"Tabas")</f>
        <v>Tabas</v>
      </c>
      <c r="B8233" s="120" t="str">
        <f>IFERROR(__xludf.DUMMYFUNCTION("""COMPUTED_VALUE"""),"TCX")</f>
        <v>TCX</v>
      </c>
      <c r="C8233" s="120" t="str">
        <f>IFERROR(__xludf.DUMMYFUNCTION("""COMPUTED_VALUE"""),"Tabas")</f>
        <v>Tabas</v>
      </c>
      <c r="D8233" s="120" t="str">
        <f>IFERROR(__xludf.DUMMYFUNCTION("""COMPUTED_VALUE"""),"Iran")</f>
        <v>Iran</v>
      </c>
      <c r="E8233" s="135"/>
      <c r="F8233" s="31"/>
    </row>
    <row r="8234">
      <c r="A8234" s="134" t="str">
        <f>IFERROR(__xludf.DUMMYFUNCTION("""COMPUTED_VALUE"""),"Tabatinga")</f>
        <v>Tabatinga</v>
      </c>
      <c r="B8234" s="120" t="str">
        <f>IFERROR(__xludf.DUMMYFUNCTION("""COMPUTED_VALUE"""),"TBT")</f>
        <v>TBT</v>
      </c>
      <c r="C8234" s="120" t="str">
        <f>IFERROR(__xludf.DUMMYFUNCTION("""COMPUTED_VALUE"""),"Internacional")</f>
        <v>Internacional</v>
      </c>
      <c r="D8234" s="120" t="str">
        <f>IFERROR(__xludf.DUMMYFUNCTION("""COMPUTED_VALUE"""),"Brazil")</f>
        <v>Brazil</v>
      </c>
      <c r="E8234" s="135"/>
      <c r="F8234" s="31"/>
    </row>
    <row r="8235">
      <c r="A8235" s="134" t="str">
        <f>IFERROR(__xludf.DUMMYFUNCTION("""COMPUTED_VALUE"""),"Tabibuga")</f>
        <v>Tabibuga</v>
      </c>
      <c r="B8235" s="120" t="str">
        <f>IFERROR(__xludf.DUMMYFUNCTION("""COMPUTED_VALUE"""),"TBA")</f>
        <v>TBA</v>
      </c>
      <c r="C8235" s="120" t="str">
        <f>IFERROR(__xludf.DUMMYFUNCTION("""COMPUTED_VALUE"""),"Tabibuga")</f>
        <v>Tabibuga</v>
      </c>
      <c r="D8235" s="120" t="str">
        <f>IFERROR(__xludf.DUMMYFUNCTION("""COMPUTED_VALUE"""),"Papua New Guinea")</f>
        <v>Papua New Guinea</v>
      </c>
      <c r="E8235" s="135"/>
      <c r="F8235" s="31"/>
    </row>
    <row r="8236">
      <c r="A8236" s="134" t="str">
        <f>IFERROR(__xludf.DUMMYFUNCTION("""COMPUTED_VALUE"""),"Tabiteuea North")</f>
        <v>Tabiteuea North</v>
      </c>
      <c r="B8236" s="120" t="str">
        <f>IFERROR(__xludf.DUMMYFUNCTION("""COMPUTED_VALUE"""),"TBF")</f>
        <v>TBF</v>
      </c>
      <c r="C8236" s="120" t="str">
        <f>IFERROR(__xludf.DUMMYFUNCTION("""COMPUTED_VALUE"""),"Tabiteuea North")</f>
        <v>Tabiteuea North</v>
      </c>
      <c r="D8236" s="120" t="str">
        <f>IFERROR(__xludf.DUMMYFUNCTION("""COMPUTED_VALUE"""),"Kiribati")</f>
        <v>Kiribati</v>
      </c>
      <c r="E8236" s="135"/>
      <c r="F8236" s="31"/>
    </row>
    <row r="8237">
      <c r="A8237" s="134" t="str">
        <f>IFERROR(__xludf.DUMMYFUNCTION("""COMPUTED_VALUE"""),"Tabiteuea South")</f>
        <v>Tabiteuea South</v>
      </c>
      <c r="B8237" s="120" t="str">
        <f>IFERROR(__xludf.DUMMYFUNCTION("""COMPUTED_VALUE"""),"TSU")</f>
        <v>TSU</v>
      </c>
      <c r="C8237" s="120" t="str">
        <f>IFERROR(__xludf.DUMMYFUNCTION("""COMPUTED_VALUE"""),"Tabiteuea South")</f>
        <v>Tabiteuea South</v>
      </c>
      <c r="D8237" s="120" t="str">
        <f>IFERROR(__xludf.DUMMYFUNCTION("""COMPUTED_VALUE"""),"Kiribati")</f>
        <v>Kiribati</v>
      </c>
      <c r="E8237" s="135"/>
      <c r="F8237" s="31"/>
    </row>
    <row r="8238">
      <c r="A8238" s="134" t="str">
        <f>IFERROR(__xludf.DUMMYFUNCTION("""COMPUTED_VALUE"""),"Tablas")</f>
        <v>Tablas</v>
      </c>
      <c r="B8238" s="120" t="str">
        <f>IFERROR(__xludf.DUMMYFUNCTION("""COMPUTED_VALUE"""),"TBH")</f>
        <v>TBH</v>
      </c>
      <c r="C8238" s="120" t="str">
        <f>IFERROR(__xludf.DUMMYFUNCTION("""COMPUTED_VALUE"""),"Tablas")</f>
        <v>Tablas</v>
      </c>
      <c r="D8238" s="120" t="str">
        <f>IFERROR(__xludf.DUMMYFUNCTION("""COMPUTED_VALUE"""),"Philippines")</f>
        <v>Philippines</v>
      </c>
      <c r="E8238" s="135"/>
      <c r="F8238" s="31"/>
    </row>
    <row r="8239">
      <c r="A8239" s="134" t="str">
        <f>IFERROR(__xludf.DUMMYFUNCTION("""COMPUTED_VALUE"""),"Tableland")</f>
        <v>Tableland</v>
      </c>
      <c r="B8239" s="120" t="str">
        <f>IFERROR(__xludf.DUMMYFUNCTION("""COMPUTED_VALUE"""),"TBL")</f>
        <v>TBL</v>
      </c>
      <c r="C8239" s="120" t="str">
        <f>IFERROR(__xludf.DUMMYFUNCTION("""COMPUTED_VALUE"""),"Tableland")</f>
        <v>Tableland</v>
      </c>
      <c r="D8239" s="120" t="str">
        <f>IFERROR(__xludf.DUMMYFUNCTION("""COMPUTED_VALUE"""),"Australia")</f>
        <v>Australia</v>
      </c>
      <c r="E8239" s="135"/>
      <c r="F8239" s="31"/>
    </row>
    <row r="8240">
      <c r="A8240" s="134" t="str">
        <f>IFERROR(__xludf.DUMMYFUNCTION("""COMPUTED_VALUE"""),"Tablon De Tamara")</f>
        <v>Tablon De Tamara</v>
      </c>
      <c r="B8240" s="120" t="str">
        <f>IFERROR(__xludf.DUMMYFUNCTION("""COMPUTED_VALUE"""),"TTM")</f>
        <v>TTM</v>
      </c>
      <c r="C8240" s="120" t="str">
        <f>IFERROR(__xludf.DUMMYFUNCTION("""COMPUTED_VALUE"""),"Tablon De Tamara")</f>
        <v>Tablon De Tamara</v>
      </c>
      <c r="D8240" s="120" t="str">
        <f>IFERROR(__xludf.DUMMYFUNCTION("""COMPUTED_VALUE"""),"Colombia")</f>
        <v>Colombia</v>
      </c>
      <c r="E8240" s="135"/>
      <c r="F8240" s="31"/>
    </row>
    <row r="8241">
      <c r="A8241" s="134" t="str">
        <f>IFERROR(__xludf.DUMMYFUNCTION("""COMPUTED_VALUE"""),"Tabora")</f>
        <v>Tabora</v>
      </c>
      <c r="B8241" s="120" t="str">
        <f>IFERROR(__xludf.DUMMYFUNCTION("""COMPUTED_VALUE"""),"TBO")</f>
        <v>TBO</v>
      </c>
      <c r="C8241" s="120" t="str">
        <f>IFERROR(__xludf.DUMMYFUNCTION("""COMPUTED_VALUE"""),"Tabora")</f>
        <v>Tabora</v>
      </c>
      <c r="D8241" s="120" t="str">
        <f>IFERROR(__xludf.DUMMYFUNCTION("""COMPUTED_VALUE"""),"Tanzania")</f>
        <v>Tanzania</v>
      </c>
      <c r="E8241" s="135"/>
      <c r="F8241" s="31"/>
    </row>
    <row r="8242">
      <c r="A8242" s="134" t="str">
        <f>IFERROR(__xludf.DUMMYFUNCTION("""COMPUTED_VALUE"""),"Tabou")</f>
        <v>Tabou</v>
      </c>
      <c r="B8242" s="120" t="str">
        <f>IFERROR(__xludf.DUMMYFUNCTION("""COMPUTED_VALUE"""),"TXU")</f>
        <v>TXU</v>
      </c>
      <c r="C8242" s="120" t="str">
        <f>IFERROR(__xludf.DUMMYFUNCTION("""COMPUTED_VALUE"""),"Tabou")</f>
        <v>Tabou</v>
      </c>
      <c r="D8242" s="120" t="str">
        <f>IFERROR(__xludf.DUMMYFUNCTION("""COMPUTED_VALUE"""),"Cote D'Ivoire (Ivory Coast)")</f>
        <v>Cote D'Ivoire (Ivory Coast)</v>
      </c>
      <c r="E8242" s="135"/>
      <c r="F8242" s="31"/>
    </row>
    <row r="8243">
      <c r="A8243" s="134" t="str">
        <f>IFERROR(__xludf.DUMMYFUNCTION("""COMPUTED_VALUE"""),"Tabriz")</f>
        <v>Tabriz</v>
      </c>
      <c r="B8243" s="120" t="str">
        <f>IFERROR(__xludf.DUMMYFUNCTION("""COMPUTED_VALUE"""),"TBZ")</f>
        <v>TBZ</v>
      </c>
      <c r="C8243" s="120" t="str">
        <f>IFERROR(__xludf.DUMMYFUNCTION("""COMPUTED_VALUE"""),"Tabriz")</f>
        <v>Tabriz</v>
      </c>
      <c r="D8243" s="120" t="str">
        <f>IFERROR(__xludf.DUMMYFUNCTION("""COMPUTED_VALUE"""),"Iran")</f>
        <v>Iran</v>
      </c>
      <c r="E8243" s="135"/>
      <c r="F8243" s="31"/>
    </row>
    <row r="8244">
      <c r="A8244" s="134" t="str">
        <f>IFERROR(__xludf.DUMMYFUNCTION("""COMPUTED_VALUE"""),"Tabuaeran")</f>
        <v>Tabuaeran</v>
      </c>
      <c r="B8244" s="120" t="str">
        <f>IFERROR(__xludf.DUMMYFUNCTION("""COMPUTED_VALUE"""),"TNV")</f>
        <v>TNV</v>
      </c>
      <c r="C8244" s="120" t="str">
        <f>IFERROR(__xludf.DUMMYFUNCTION("""COMPUTED_VALUE"""),"Tabuaeran")</f>
        <v>Tabuaeran</v>
      </c>
      <c r="D8244" s="120" t="str">
        <f>IFERROR(__xludf.DUMMYFUNCTION("""COMPUTED_VALUE"""),"Kiribati")</f>
        <v>Kiribati</v>
      </c>
      <c r="E8244" s="135"/>
      <c r="F8244" s="31"/>
    </row>
    <row r="8245">
      <c r="A8245" s="134" t="str">
        <f>IFERROR(__xludf.DUMMYFUNCTION("""COMPUTED_VALUE"""),"Tabubil")</f>
        <v>Tabubil</v>
      </c>
      <c r="B8245" s="120" t="str">
        <f>IFERROR(__xludf.DUMMYFUNCTION("""COMPUTED_VALUE"""),"TBG")</f>
        <v>TBG</v>
      </c>
      <c r="C8245" s="120" t="str">
        <f>IFERROR(__xludf.DUMMYFUNCTION("""COMPUTED_VALUE"""),"Tabubil")</f>
        <v>Tabubil</v>
      </c>
      <c r="D8245" s="120" t="str">
        <f>IFERROR(__xludf.DUMMYFUNCTION("""COMPUTED_VALUE"""),"Papua New Guinea")</f>
        <v>Papua New Guinea</v>
      </c>
      <c r="E8245" s="135"/>
      <c r="F8245" s="31"/>
    </row>
    <row r="8246">
      <c r="A8246" s="134" t="str">
        <f>IFERROR(__xludf.DUMMYFUNCTION("""COMPUTED_VALUE"""),"Tabuk")</f>
        <v>Tabuk</v>
      </c>
      <c r="B8246" s="120" t="str">
        <f>IFERROR(__xludf.DUMMYFUNCTION("""COMPUTED_VALUE"""),"TUU")</f>
        <v>TUU</v>
      </c>
      <c r="C8246" s="120" t="str">
        <f>IFERROR(__xludf.DUMMYFUNCTION("""COMPUTED_VALUE"""),"Tabuk")</f>
        <v>Tabuk</v>
      </c>
      <c r="D8246" s="120" t="str">
        <f>IFERROR(__xludf.DUMMYFUNCTION("""COMPUTED_VALUE"""),"Saudi Arabia")</f>
        <v>Saudi Arabia</v>
      </c>
      <c r="E8246" s="135"/>
      <c r="F8246" s="31"/>
    </row>
    <row r="8247">
      <c r="A8247" s="134" t="str">
        <f>IFERROR(__xludf.DUMMYFUNCTION("""COMPUTED_VALUE"""),"Tacheng")</f>
        <v>Tacheng</v>
      </c>
      <c r="B8247" s="120" t="str">
        <f>IFERROR(__xludf.DUMMYFUNCTION("""COMPUTED_VALUE"""),"TCG")</f>
        <v>TCG</v>
      </c>
      <c r="C8247" s="120" t="str">
        <f>IFERROR(__xludf.DUMMYFUNCTION("""COMPUTED_VALUE"""),"Tacheng")</f>
        <v>Tacheng</v>
      </c>
      <c r="D8247" s="120" t="str">
        <f>IFERROR(__xludf.DUMMYFUNCTION("""COMPUTED_VALUE"""),"China")</f>
        <v>China</v>
      </c>
      <c r="E8247" s="135"/>
      <c r="F8247" s="31"/>
    </row>
    <row r="8248">
      <c r="A8248" s="134" t="str">
        <f>IFERROR(__xludf.DUMMYFUNCTION("""COMPUTED_VALUE"""),"Tachilek")</f>
        <v>Tachilek</v>
      </c>
      <c r="B8248" s="120" t="str">
        <f>IFERROR(__xludf.DUMMYFUNCTION("""COMPUTED_VALUE"""),"THL")</f>
        <v>THL</v>
      </c>
      <c r="C8248" s="120" t="str">
        <f>IFERROR(__xludf.DUMMYFUNCTION("""COMPUTED_VALUE"""),"Tachilek")</f>
        <v>Tachilek</v>
      </c>
      <c r="D8248" s="120" t="str">
        <f>IFERROR(__xludf.DUMMYFUNCTION("""COMPUTED_VALUE"""),"Myanmar")</f>
        <v>Myanmar</v>
      </c>
      <c r="E8248" s="135"/>
      <c r="F8248" s="31"/>
    </row>
    <row r="8249">
      <c r="A8249" s="134" t="str">
        <f>IFERROR(__xludf.DUMMYFUNCTION("""COMPUTED_VALUE"""),"Tacloban")</f>
        <v>Tacloban</v>
      </c>
      <c r="B8249" s="120" t="str">
        <f>IFERROR(__xludf.DUMMYFUNCTION("""COMPUTED_VALUE"""),"TAC")</f>
        <v>TAC</v>
      </c>
      <c r="C8249" s="120" t="str">
        <f>IFERROR(__xludf.DUMMYFUNCTION("""COMPUTED_VALUE"""),"D.Z. Romualdez")</f>
        <v>D.Z. Romualdez</v>
      </c>
      <c r="D8249" s="120" t="str">
        <f>IFERROR(__xludf.DUMMYFUNCTION("""COMPUTED_VALUE"""),"Philippines")</f>
        <v>Philippines</v>
      </c>
      <c r="E8249" s="135"/>
      <c r="F8249" s="31"/>
    </row>
    <row r="8250">
      <c r="A8250" s="134" t="str">
        <f>IFERROR(__xludf.DUMMYFUNCTION("""COMPUTED_VALUE"""),"Tacna")</f>
        <v>Tacna</v>
      </c>
      <c r="B8250" s="120" t="str">
        <f>IFERROR(__xludf.DUMMYFUNCTION("""COMPUTED_VALUE"""),"TCQ")</f>
        <v>TCQ</v>
      </c>
      <c r="C8250" s="120" t="str">
        <f>IFERROR(__xludf.DUMMYFUNCTION("""COMPUTED_VALUE"""),"Tacna")</f>
        <v>Tacna</v>
      </c>
      <c r="D8250" s="120" t="str">
        <f>IFERROR(__xludf.DUMMYFUNCTION("""COMPUTED_VALUE"""),"Peru")</f>
        <v>Peru</v>
      </c>
      <c r="E8250" s="135"/>
      <c r="F8250" s="31"/>
    </row>
    <row r="8251">
      <c r="A8251" s="134" t="str">
        <f>IFERROR(__xludf.DUMMYFUNCTION("""COMPUTED_VALUE"""),"Tacoma")</f>
        <v>Tacoma</v>
      </c>
      <c r="B8251" s="120" t="str">
        <f>IFERROR(__xludf.DUMMYFUNCTION("""COMPUTED_VALUE"""),"GRF")</f>
        <v>GRF</v>
      </c>
      <c r="C8251" s="120" t="str">
        <f>IFERROR(__xludf.DUMMYFUNCTION("""COMPUTED_VALUE"""),"Gray AAF")</f>
        <v>Gray AAF</v>
      </c>
      <c r="D8251" s="120" t="str">
        <f>IFERROR(__xludf.DUMMYFUNCTION("""COMPUTED_VALUE"""),"United States")</f>
        <v>United States</v>
      </c>
      <c r="E8251" s="135"/>
      <c r="F8251" s="31"/>
    </row>
    <row r="8252">
      <c r="A8252" s="134" t="str">
        <f>IFERROR(__xludf.DUMMYFUNCTION("""COMPUTED_VALUE"""),"Tacoma")</f>
        <v>Tacoma</v>
      </c>
      <c r="B8252" s="120" t="str">
        <f>IFERROR(__xludf.DUMMYFUNCTION("""COMPUTED_VALUE"""),"TIW")</f>
        <v>TIW</v>
      </c>
      <c r="C8252" s="120" t="str">
        <f>IFERROR(__xludf.DUMMYFUNCTION("""COMPUTED_VALUE"""),"Industrial")</f>
        <v>Industrial</v>
      </c>
      <c r="D8252" s="120" t="str">
        <f>IFERROR(__xludf.DUMMYFUNCTION("""COMPUTED_VALUE"""),"United States")</f>
        <v>United States</v>
      </c>
      <c r="E8252" s="135"/>
      <c r="F8252" s="31"/>
    </row>
    <row r="8253">
      <c r="A8253" s="134" t="str">
        <f>IFERROR(__xludf.DUMMYFUNCTION("""COMPUTED_VALUE"""),"Tacoma")</f>
        <v>Tacoma</v>
      </c>
      <c r="B8253" s="120" t="str">
        <f>IFERROR(__xludf.DUMMYFUNCTION("""COMPUTED_VALUE"""),"TCM")</f>
        <v>TCM</v>
      </c>
      <c r="C8253" s="120" t="str">
        <f>IFERROR(__xludf.DUMMYFUNCTION("""COMPUTED_VALUE"""),"Mc Chord AFB")</f>
        <v>Mc Chord AFB</v>
      </c>
      <c r="D8253" s="120" t="str">
        <f>IFERROR(__xludf.DUMMYFUNCTION("""COMPUTED_VALUE"""),"United States")</f>
        <v>United States</v>
      </c>
      <c r="E8253" s="135"/>
      <c r="F8253" s="31"/>
    </row>
    <row r="8254">
      <c r="A8254" s="134" t="str">
        <f>IFERROR(__xludf.DUMMYFUNCTION("""COMPUTED_VALUE"""),"Tacuarembo")</f>
        <v>Tacuarembo</v>
      </c>
      <c r="B8254" s="120" t="str">
        <f>IFERROR(__xludf.DUMMYFUNCTION("""COMPUTED_VALUE"""),"TAW")</f>
        <v>TAW</v>
      </c>
      <c r="C8254" s="120" t="str">
        <f>IFERROR(__xludf.DUMMYFUNCTION("""COMPUTED_VALUE"""),"Tacuarembo")</f>
        <v>Tacuarembo</v>
      </c>
      <c r="D8254" s="120" t="str">
        <f>IFERROR(__xludf.DUMMYFUNCTION("""COMPUTED_VALUE"""),"Uruguay")</f>
        <v>Uruguay</v>
      </c>
      <c r="E8254" s="135"/>
      <c r="F8254" s="31"/>
    </row>
    <row r="8255">
      <c r="A8255" s="134" t="str">
        <f>IFERROR(__xludf.DUMMYFUNCTION("""COMPUTED_VALUE"""),"Tadjoura")</f>
        <v>Tadjoura</v>
      </c>
      <c r="B8255" s="120" t="str">
        <f>IFERROR(__xludf.DUMMYFUNCTION("""COMPUTED_VALUE"""),"TDJ")</f>
        <v>TDJ</v>
      </c>
      <c r="C8255" s="120" t="str">
        <f>IFERROR(__xludf.DUMMYFUNCTION("""COMPUTED_VALUE"""),"Tadjoura")</f>
        <v>Tadjoura</v>
      </c>
      <c r="D8255" s="120" t="str">
        <f>IFERROR(__xludf.DUMMYFUNCTION("""COMPUTED_VALUE"""),"Djibouti")</f>
        <v>Djibouti</v>
      </c>
      <c r="E8255" s="135"/>
      <c r="F8255" s="31"/>
    </row>
    <row r="8256">
      <c r="A8256" s="134" t="str">
        <f>IFERROR(__xludf.DUMMYFUNCTION("""COMPUTED_VALUE"""),"Tadoule Lake")</f>
        <v>Tadoule Lake</v>
      </c>
      <c r="B8256" s="120" t="str">
        <f>IFERROR(__xludf.DUMMYFUNCTION("""COMPUTED_VALUE"""),"XTL")</f>
        <v>XTL</v>
      </c>
      <c r="C8256" s="120" t="str">
        <f>IFERROR(__xludf.DUMMYFUNCTION("""COMPUTED_VALUE"""),"Tadoule Lake")</f>
        <v>Tadoule Lake</v>
      </c>
      <c r="D8256" s="120" t="str">
        <f>IFERROR(__xludf.DUMMYFUNCTION("""COMPUTED_VALUE"""),"Canada")</f>
        <v>Canada</v>
      </c>
      <c r="E8256" s="135"/>
      <c r="F8256" s="31"/>
    </row>
    <row r="8257">
      <c r="A8257" s="134" t="str">
        <f>IFERROR(__xludf.DUMMYFUNCTION("""COMPUTED_VALUE"""),"Taftan")</f>
        <v>Taftan</v>
      </c>
      <c r="B8257" s="120" t="str">
        <f>IFERROR(__xludf.DUMMYFUNCTION("""COMPUTED_VALUE"""),"TFT")</f>
        <v>TFT</v>
      </c>
      <c r="C8257" s="120" t="str">
        <f>IFERROR(__xludf.DUMMYFUNCTION("""COMPUTED_VALUE"""),"Taftan")</f>
        <v>Taftan</v>
      </c>
      <c r="D8257" s="120" t="str">
        <f>IFERROR(__xludf.DUMMYFUNCTION("""COMPUTED_VALUE"""),"Pakistan")</f>
        <v>Pakistan</v>
      </c>
      <c r="E8257" s="135"/>
      <c r="F8257" s="31"/>
    </row>
    <row r="8258">
      <c r="A8258" s="134" t="str">
        <f>IFERROR(__xludf.DUMMYFUNCTION("""COMPUTED_VALUE"""),"Tagbilaran")</f>
        <v>Tagbilaran</v>
      </c>
      <c r="B8258" s="120" t="str">
        <f>IFERROR(__xludf.DUMMYFUNCTION("""COMPUTED_VALUE"""),"TAG")</f>
        <v>TAG</v>
      </c>
      <c r="C8258" s="120" t="str">
        <f>IFERROR(__xludf.DUMMYFUNCTION("""COMPUTED_VALUE"""),"Tagbilaran")</f>
        <v>Tagbilaran</v>
      </c>
      <c r="D8258" s="120" t="str">
        <f>IFERROR(__xludf.DUMMYFUNCTION("""COMPUTED_VALUE"""),"Philippines")</f>
        <v>Philippines</v>
      </c>
      <c r="E8258" s="135"/>
      <c r="F8258" s="31"/>
    </row>
    <row r="8259">
      <c r="A8259" s="134" t="str">
        <f>IFERROR(__xludf.DUMMYFUNCTION("""COMPUTED_VALUE"""),"Tagbita")</f>
        <v>Tagbita</v>
      </c>
      <c r="B8259" s="120" t="str">
        <f>IFERROR(__xludf.DUMMYFUNCTION("""COMPUTED_VALUE"""),"TGB")</f>
        <v>TGB</v>
      </c>
      <c r="C8259" s="120" t="str">
        <f>IFERROR(__xludf.DUMMYFUNCTION("""COMPUTED_VALUE"""),"Tagbita")</f>
        <v>Tagbita</v>
      </c>
      <c r="D8259" s="120" t="str">
        <f>IFERROR(__xludf.DUMMYFUNCTION("""COMPUTED_VALUE"""),"Philippines")</f>
        <v>Philippines</v>
      </c>
      <c r="E8259" s="135"/>
      <c r="F8259" s="31"/>
    </row>
    <row r="8260">
      <c r="A8260" s="134" t="str">
        <f>IFERROR(__xludf.DUMMYFUNCTION("""COMPUTED_VALUE"""),"Tagula")</f>
        <v>Tagula</v>
      </c>
      <c r="B8260" s="120" t="str">
        <f>IFERROR(__xludf.DUMMYFUNCTION("""COMPUTED_VALUE"""),"TGL")</f>
        <v>TGL</v>
      </c>
      <c r="C8260" s="120" t="str">
        <f>IFERROR(__xludf.DUMMYFUNCTION("""COMPUTED_VALUE"""),"Tagula")</f>
        <v>Tagula</v>
      </c>
      <c r="D8260" s="120" t="str">
        <f>IFERROR(__xludf.DUMMYFUNCTION("""COMPUTED_VALUE"""),"Papua New Guinea")</f>
        <v>Papua New Guinea</v>
      </c>
      <c r="E8260" s="135"/>
      <c r="F8260" s="31"/>
    </row>
    <row r="8261">
      <c r="A8261" s="134" t="str">
        <f>IFERROR(__xludf.DUMMYFUNCTION("""COMPUTED_VALUE"""),"Taharoa")</f>
        <v>Taharoa</v>
      </c>
      <c r="B8261" s="120" t="str">
        <f>IFERROR(__xludf.DUMMYFUNCTION("""COMPUTED_VALUE"""),"THH")</f>
        <v>THH</v>
      </c>
      <c r="C8261" s="120" t="str">
        <f>IFERROR(__xludf.DUMMYFUNCTION("""COMPUTED_VALUE"""),"Taharoa")</f>
        <v>Taharoa</v>
      </c>
      <c r="D8261" s="120" t="str">
        <f>IFERROR(__xludf.DUMMYFUNCTION("""COMPUTED_VALUE"""),"New Zealand (Aotearoa)")</f>
        <v>New Zealand (Aotearoa)</v>
      </c>
      <c r="E8261" s="135"/>
      <c r="F8261" s="31"/>
    </row>
    <row r="8262">
      <c r="A8262" s="134" t="str">
        <f>IFERROR(__xludf.DUMMYFUNCTION("""COMPUTED_VALUE"""),"Tahneta Pass Lodge")</f>
        <v>Tahneta Pass Lodge</v>
      </c>
      <c r="B8262" s="120" t="str">
        <f>IFERROR(__xludf.DUMMYFUNCTION("""COMPUTED_VALUE"""),"HNE")</f>
        <v>HNE</v>
      </c>
      <c r="C8262" s="120" t="str">
        <f>IFERROR(__xludf.DUMMYFUNCTION("""COMPUTED_VALUE"""),"Tahneta Pass")</f>
        <v>Tahneta Pass</v>
      </c>
      <c r="D8262" s="120" t="str">
        <f>IFERROR(__xludf.DUMMYFUNCTION("""COMPUTED_VALUE"""),"United States")</f>
        <v>United States</v>
      </c>
      <c r="E8262" s="135"/>
      <c r="F8262" s="31"/>
    </row>
    <row r="8263">
      <c r="A8263" s="134" t="str">
        <f>IFERROR(__xludf.DUMMYFUNCTION("""COMPUTED_VALUE"""),"Tahoua")</f>
        <v>Tahoua</v>
      </c>
      <c r="B8263" s="120" t="str">
        <f>IFERROR(__xludf.DUMMYFUNCTION("""COMPUTED_VALUE"""),"THZ")</f>
        <v>THZ</v>
      </c>
      <c r="C8263" s="120" t="str">
        <f>IFERROR(__xludf.DUMMYFUNCTION("""COMPUTED_VALUE"""),"Tahoua")</f>
        <v>Tahoua</v>
      </c>
      <c r="D8263" s="120" t="str">
        <f>IFERROR(__xludf.DUMMYFUNCTION("""COMPUTED_VALUE"""),"Niger")</f>
        <v>Niger</v>
      </c>
      <c r="E8263" s="135"/>
      <c r="F8263" s="31"/>
    </row>
    <row r="8264">
      <c r="A8264" s="134" t="str">
        <f>IFERROR(__xludf.DUMMYFUNCTION("""COMPUTED_VALUE"""),"Tahsis")</f>
        <v>Tahsis</v>
      </c>
      <c r="B8264" s="120" t="str">
        <f>IFERROR(__xludf.DUMMYFUNCTION("""COMPUTED_VALUE"""),"ZTS")</f>
        <v>ZTS</v>
      </c>
      <c r="C8264" s="120" t="str">
        <f>IFERROR(__xludf.DUMMYFUNCTION("""COMPUTED_VALUE"""),"Tahsis")</f>
        <v>Tahsis</v>
      </c>
      <c r="D8264" s="120" t="str">
        <f>IFERROR(__xludf.DUMMYFUNCTION("""COMPUTED_VALUE"""),"Canada")</f>
        <v>Canada</v>
      </c>
      <c r="E8264" s="135"/>
      <c r="F8264" s="31"/>
    </row>
    <row r="8265">
      <c r="A8265" s="134" t="str">
        <f>IFERROR(__xludf.DUMMYFUNCTION("""COMPUTED_VALUE"""),"Tai Shan")</f>
        <v>Tai Shan</v>
      </c>
      <c r="B8265" s="120" t="str">
        <f>IFERROR(__xludf.DUMMYFUNCTION("""COMPUTED_VALUE"""),"ZCA")</f>
        <v>ZCA</v>
      </c>
      <c r="C8265" s="120" t="str">
        <f>IFERROR(__xludf.DUMMYFUNCTION("""COMPUTED_VALUE"""),"Tai Shan")</f>
        <v>Tai Shan</v>
      </c>
      <c r="D8265" s="120" t="str">
        <f>IFERROR(__xludf.DUMMYFUNCTION("""COMPUTED_VALUE"""),"China")</f>
        <v>China</v>
      </c>
      <c r="E8265" s="135"/>
      <c r="F8265" s="31"/>
    </row>
    <row r="8266">
      <c r="A8266" s="134" t="str">
        <f>IFERROR(__xludf.DUMMYFUNCTION("""COMPUTED_VALUE"""),"Taichung")</f>
        <v>Taichung</v>
      </c>
      <c r="B8266" s="120" t="str">
        <f>IFERROR(__xludf.DUMMYFUNCTION("""COMPUTED_VALUE"""),"TXG")</f>
        <v>TXG</v>
      </c>
      <c r="C8266" s="120" t="str">
        <f>IFERROR(__xludf.DUMMYFUNCTION("""COMPUTED_VALUE"""),"Taichung")</f>
        <v>Taichung</v>
      </c>
      <c r="D8266" s="120" t="str">
        <f>IFERROR(__xludf.DUMMYFUNCTION("""COMPUTED_VALUE"""),"Taiwan")</f>
        <v>Taiwan</v>
      </c>
      <c r="E8266" s="135"/>
      <c r="F8266" s="31"/>
    </row>
    <row r="8267">
      <c r="A8267" s="134" t="str">
        <f>IFERROR(__xludf.DUMMYFUNCTION("""COMPUTED_VALUE"""),"Taichung")</f>
        <v>Taichung</v>
      </c>
      <c r="B8267" s="120" t="str">
        <f>IFERROR(__xludf.DUMMYFUNCTION("""COMPUTED_VALUE"""),"RMQ")</f>
        <v>RMQ</v>
      </c>
      <c r="C8267" s="120" t="str">
        <f>IFERROR(__xludf.DUMMYFUNCTION("""COMPUTED_VALUE"""),"ChingChuanKang")</f>
        <v>ChingChuanKang</v>
      </c>
      <c r="D8267" s="120" t="str">
        <f>IFERROR(__xludf.DUMMYFUNCTION("""COMPUTED_VALUE"""),"Taiwan")</f>
        <v>Taiwan</v>
      </c>
      <c r="E8267" s="135"/>
      <c r="F8267" s="31"/>
    </row>
    <row r="8268">
      <c r="A8268" s="134" t="str">
        <f>IFERROR(__xludf.DUMMYFUNCTION("""COMPUTED_VALUE"""),"Taif")</f>
        <v>Taif</v>
      </c>
      <c r="B8268" s="120" t="str">
        <f>IFERROR(__xludf.DUMMYFUNCTION("""COMPUTED_VALUE"""),"TIF")</f>
        <v>TIF</v>
      </c>
      <c r="C8268" s="120" t="str">
        <f>IFERROR(__xludf.DUMMYFUNCTION("""COMPUTED_VALUE"""),"Taif")</f>
        <v>Taif</v>
      </c>
      <c r="D8268" s="120" t="str">
        <f>IFERROR(__xludf.DUMMYFUNCTION("""COMPUTED_VALUE"""),"Saudi Arabia")</f>
        <v>Saudi Arabia</v>
      </c>
      <c r="E8268" s="135"/>
      <c r="F8268" s="31"/>
    </row>
    <row r="8269">
      <c r="A8269" s="134" t="str">
        <f>IFERROR(__xludf.DUMMYFUNCTION("""COMPUTED_VALUE"""),"Tainan")</f>
        <v>Tainan</v>
      </c>
      <c r="B8269" s="120" t="str">
        <f>IFERROR(__xludf.DUMMYFUNCTION("""COMPUTED_VALUE"""),"TNN")</f>
        <v>TNN</v>
      </c>
      <c r="C8269" s="120" t="str">
        <f>IFERROR(__xludf.DUMMYFUNCTION("""COMPUTED_VALUE"""),"Tainan")</f>
        <v>Tainan</v>
      </c>
      <c r="D8269" s="120" t="str">
        <f>IFERROR(__xludf.DUMMYFUNCTION("""COMPUTED_VALUE"""),"Taiwan")</f>
        <v>Taiwan</v>
      </c>
      <c r="E8269" s="135"/>
      <c r="F8269" s="31"/>
    </row>
    <row r="8270">
      <c r="A8270" s="134" t="str">
        <f>IFERROR(__xludf.DUMMYFUNCTION("""COMPUTED_VALUE"""),"Taipei")</f>
        <v>Taipei</v>
      </c>
      <c r="B8270" s="120" t="str">
        <f>IFERROR(__xludf.DUMMYFUNCTION("""COMPUTED_VALUE"""),"TPE")</f>
        <v>TPE</v>
      </c>
      <c r="C8270" s="120" t="str">
        <f>IFERROR(__xludf.DUMMYFUNCTION("""COMPUTED_VALUE"""),"Chiang Kai Shek")</f>
        <v>Chiang Kai Shek</v>
      </c>
      <c r="D8270" s="120" t="str">
        <f>IFERROR(__xludf.DUMMYFUNCTION("""COMPUTED_VALUE"""),"Taiwan")</f>
        <v>Taiwan</v>
      </c>
      <c r="E8270" s="135"/>
      <c r="F8270" s="31"/>
    </row>
    <row r="8271">
      <c r="A8271" s="134" t="str">
        <f>IFERROR(__xludf.DUMMYFUNCTION("""COMPUTED_VALUE"""),"Taipei")</f>
        <v>Taipei</v>
      </c>
      <c r="B8271" s="120" t="str">
        <f>IFERROR(__xludf.DUMMYFUNCTION("""COMPUTED_VALUE"""),"TSA")</f>
        <v>TSA</v>
      </c>
      <c r="C8271" s="120" t="str">
        <f>IFERROR(__xludf.DUMMYFUNCTION("""COMPUTED_VALUE"""),"Sung Shan")</f>
        <v>Sung Shan</v>
      </c>
      <c r="D8271" s="120" t="str">
        <f>IFERROR(__xludf.DUMMYFUNCTION("""COMPUTED_VALUE"""),"Taiwan")</f>
        <v>Taiwan</v>
      </c>
      <c r="E8271" s="135"/>
      <c r="F8271" s="31"/>
    </row>
    <row r="8272">
      <c r="A8272" s="134" t="str">
        <f>IFERROR(__xludf.DUMMYFUNCTION("""COMPUTED_VALUE"""),"Taiping")</f>
        <v>Taiping</v>
      </c>
      <c r="B8272" s="120" t="str">
        <f>IFERROR(__xludf.DUMMYFUNCTION("""COMPUTED_VALUE"""),"TPG")</f>
        <v>TPG</v>
      </c>
      <c r="C8272" s="120" t="str">
        <f>IFERROR(__xludf.DUMMYFUNCTION("""COMPUTED_VALUE"""),"Taiping")</f>
        <v>Taiping</v>
      </c>
      <c r="D8272" s="120" t="str">
        <f>IFERROR(__xludf.DUMMYFUNCTION("""COMPUTED_VALUE"""),"Malaysia")</f>
        <v>Malaysia</v>
      </c>
      <c r="E8272" s="135"/>
      <c r="F8272" s="31"/>
    </row>
    <row r="8273">
      <c r="A8273" s="134" t="str">
        <f>IFERROR(__xludf.DUMMYFUNCTION("""COMPUTED_VALUE"""),"Taisha")</f>
        <v>Taisha</v>
      </c>
      <c r="B8273" s="120" t="str">
        <f>IFERROR(__xludf.DUMMYFUNCTION("""COMPUTED_VALUE"""),"TSC")</f>
        <v>TSC</v>
      </c>
      <c r="C8273" s="120" t="str">
        <f>IFERROR(__xludf.DUMMYFUNCTION("""COMPUTED_VALUE"""),"Taisha")</f>
        <v>Taisha</v>
      </c>
      <c r="D8273" s="120" t="str">
        <f>IFERROR(__xludf.DUMMYFUNCTION("""COMPUTED_VALUE"""),"Ecuador")</f>
        <v>Ecuador</v>
      </c>
      <c r="E8273" s="135"/>
      <c r="F8273" s="31"/>
    </row>
    <row r="8274">
      <c r="A8274" s="134" t="str">
        <f>IFERROR(__xludf.DUMMYFUNCTION("""COMPUTED_VALUE"""),"Taitung")</f>
        <v>Taitung</v>
      </c>
      <c r="B8274" s="120" t="str">
        <f>IFERROR(__xludf.DUMMYFUNCTION("""COMPUTED_VALUE"""),"TTT")</f>
        <v>TTT</v>
      </c>
      <c r="C8274" s="120" t="str">
        <f>IFERROR(__xludf.DUMMYFUNCTION("""COMPUTED_VALUE"""),"Taitung")</f>
        <v>Taitung</v>
      </c>
      <c r="D8274" s="120" t="str">
        <f>IFERROR(__xludf.DUMMYFUNCTION("""COMPUTED_VALUE"""),"Taiwan")</f>
        <v>Taiwan</v>
      </c>
      <c r="E8274" s="135"/>
      <c r="F8274" s="31"/>
    </row>
    <row r="8275">
      <c r="A8275" s="134" t="str">
        <f>IFERROR(__xludf.DUMMYFUNCTION("""COMPUTED_VALUE"""),"Taiyuan")</f>
        <v>Taiyuan</v>
      </c>
      <c r="B8275" s="120" t="str">
        <f>IFERROR(__xludf.DUMMYFUNCTION("""COMPUTED_VALUE"""),"TYN")</f>
        <v>TYN</v>
      </c>
      <c r="C8275" s="120" t="str">
        <f>IFERROR(__xludf.DUMMYFUNCTION("""COMPUTED_VALUE"""),"Taiyuan")</f>
        <v>Taiyuan</v>
      </c>
      <c r="D8275" s="120" t="str">
        <f>IFERROR(__xludf.DUMMYFUNCTION("""COMPUTED_VALUE"""),"China")</f>
        <v>China</v>
      </c>
      <c r="E8275" s="135"/>
      <c r="F8275" s="31"/>
    </row>
    <row r="8276">
      <c r="A8276" s="134" t="str">
        <f>IFERROR(__xludf.DUMMYFUNCTION("""COMPUTED_VALUE"""),"Taiz")</f>
        <v>Taiz</v>
      </c>
      <c r="B8276" s="120" t="str">
        <f>IFERROR(__xludf.DUMMYFUNCTION("""COMPUTED_VALUE"""),"TAI")</f>
        <v>TAI</v>
      </c>
      <c r="C8276" s="120" t="str">
        <f>IFERROR(__xludf.DUMMYFUNCTION("""COMPUTED_VALUE"""),"Al Janad")</f>
        <v>Al Janad</v>
      </c>
      <c r="D8276" s="120" t="str">
        <f>IFERROR(__xludf.DUMMYFUNCTION("""COMPUTED_VALUE"""),"Yemen")</f>
        <v>Yemen</v>
      </c>
      <c r="E8276" s="135"/>
      <c r="F8276" s="31"/>
    </row>
    <row r="8277">
      <c r="A8277" s="134" t="str">
        <f>IFERROR(__xludf.DUMMYFUNCTION("""COMPUTED_VALUE"""),"Tak")</f>
        <v>Tak</v>
      </c>
      <c r="B8277" s="120" t="str">
        <f>IFERROR(__xludf.DUMMYFUNCTION("""COMPUTED_VALUE"""),"TKT")</f>
        <v>TKT</v>
      </c>
      <c r="C8277" s="120" t="str">
        <f>IFERROR(__xludf.DUMMYFUNCTION("""COMPUTED_VALUE"""),"Tak")</f>
        <v>Tak</v>
      </c>
      <c r="D8277" s="120" t="str">
        <f>IFERROR(__xludf.DUMMYFUNCTION("""COMPUTED_VALUE"""),"Thailand")</f>
        <v>Thailand</v>
      </c>
      <c r="E8277" s="135"/>
      <c r="F8277" s="31"/>
    </row>
    <row r="8278">
      <c r="A8278" s="134" t="str">
        <f>IFERROR(__xludf.DUMMYFUNCTION("""COMPUTED_VALUE"""),"Takaka")</f>
        <v>Takaka</v>
      </c>
      <c r="B8278" s="120" t="str">
        <f>IFERROR(__xludf.DUMMYFUNCTION("""COMPUTED_VALUE"""),"KTF")</f>
        <v>KTF</v>
      </c>
      <c r="C8278" s="120" t="str">
        <f>IFERROR(__xludf.DUMMYFUNCTION("""COMPUTED_VALUE"""),"Takaka")</f>
        <v>Takaka</v>
      </c>
      <c r="D8278" s="120" t="str">
        <f>IFERROR(__xludf.DUMMYFUNCTION("""COMPUTED_VALUE"""),"New Zealand (Aotearoa)")</f>
        <v>New Zealand (Aotearoa)</v>
      </c>
      <c r="E8278" s="135"/>
      <c r="F8278" s="31"/>
    </row>
    <row r="8279">
      <c r="A8279" s="134" t="str">
        <f>IFERROR(__xludf.DUMMYFUNCTION("""COMPUTED_VALUE"""),"Takamatsu")</f>
        <v>Takamatsu</v>
      </c>
      <c r="B8279" s="120" t="str">
        <f>IFERROR(__xludf.DUMMYFUNCTION("""COMPUTED_VALUE"""),"TAK")</f>
        <v>TAK</v>
      </c>
      <c r="C8279" s="120" t="str">
        <f>IFERROR(__xludf.DUMMYFUNCTION("""COMPUTED_VALUE"""),"Takamatsu")</f>
        <v>Takamatsu</v>
      </c>
      <c r="D8279" s="120" t="str">
        <f>IFERROR(__xludf.DUMMYFUNCTION("""COMPUTED_VALUE"""),"Japan")</f>
        <v>Japan</v>
      </c>
      <c r="E8279" s="135"/>
      <c r="F8279" s="31"/>
    </row>
    <row r="8280">
      <c r="A8280" s="134" t="str">
        <f>IFERROR(__xludf.DUMMYFUNCTION("""COMPUTED_VALUE"""),"Takapoto")</f>
        <v>Takapoto</v>
      </c>
      <c r="B8280" s="120" t="str">
        <f>IFERROR(__xludf.DUMMYFUNCTION("""COMPUTED_VALUE"""),"TKP")</f>
        <v>TKP</v>
      </c>
      <c r="C8280" s="120" t="str">
        <f>IFERROR(__xludf.DUMMYFUNCTION("""COMPUTED_VALUE"""),"Takapoto")</f>
        <v>Takapoto</v>
      </c>
      <c r="D8280" s="120" t="str">
        <f>IFERROR(__xludf.DUMMYFUNCTION("""COMPUTED_VALUE"""),"French Polynesia")</f>
        <v>French Polynesia</v>
      </c>
      <c r="E8280" s="135"/>
      <c r="F8280" s="31"/>
    </row>
    <row r="8281">
      <c r="A8281" s="134" t="str">
        <f>IFERROR(__xludf.DUMMYFUNCTION("""COMPUTED_VALUE"""),"Takaroa")</f>
        <v>Takaroa</v>
      </c>
      <c r="B8281" s="120" t="str">
        <f>IFERROR(__xludf.DUMMYFUNCTION("""COMPUTED_VALUE"""),"TKX")</f>
        <v>TKX</v>
      </c>
      <c r="C8281" s="120" t="str">
        <f>IFERROR(__xludf.DUMMYFUNCTION("""COMPUTED_VALUE"""),"Takaroa")</f>
        <v>Takaroa</v>
      </c>
      <c r="D8281" s="120" t="str">
        <f>IFERROR(__xludf.DUMMYFUNCTION("""COMPUTED_VALUE"""),"French Polynesia")</f>
        <v>French Polynesia</v>
      </c>
      <c r="E8281" s="135"/>
      <c r="F8281" s="31"/>
    </row>
    <row r="8282">
      <c r="A8282" s="134" t="str">
        <f>IFERROR(__xludf.DUMMYFUNCTION("""COMPUTED_VALUE"""),"Takhli")</f>
        <v>Takhli</v>
      </c>
      <c r="B8282" s="120" t="str">
        <f>IFERROR(__xludf.DUMMYFUNCTION("""COMPUTED_VALUE"""),"TKH")</f>
        <v>TKH</v>
      </c>
      <c r="C8282" s="120" t="str">
        <f>IFERROR(__xludf.DUMMYFUNCTION("""COMPUTED_VALUE"""),"Takhli")</f>
        <v>Takhli</v>
      </c>
      <c r="D8282" s="120" t="str">
        <f>IFERROR(__xludf.DUMMYFUNCTION("""COMPUTED_VALUE"""),"Thailand")</f>
        <v>Thailand</v>
      </c>
      <c r="E8282" s="135"/>
      <c r="F8282" s="31"/>
    </row>
    <row r="8283">
      <c r="A8283" s="134" t="str">
        <f>IFERROR(__xludf.DUMMYFUNCTION("""COMPUTED_VALUE"""),"Takoradi")</f>
        <v>Takoradi</v>
      </c>
      <c r="B8283" s="120" t="str">
        <f>IFERROR(__xludf.DUMMYFUNCTION("""COMPUTED_VALUE"""),"TKD")</f>
        <v>TKD</v>
      </c>
      <c r="C8283" s="120" t="str">
        <f>IFERROR(__xludf.DUMMYFUNCTION("""COMPUTED_VALUE"""),"Takoradi")</f>
        <v>Takoradi</v>
      </c>
      <c r="D8283" s="120" t="str">
        <f>IFERROR(__xludf.DUMMYFUNCTION("""COMPUTED_VALUE"""),"Ghana")</f>
        <v>Ghana</v>
      </c>
      <c r="E8283" s="135"/>
      <c r="F8283" s="31"/>
    </row>
    <row r="8284">
      <c r="A8284" s="134" t="str">
        <f>IFERROR(__xludf.DUMMYFUNCTION("""COMPUTED_VALUE"""),"Takotna")</f>
        <v>Takotna</v>
      </c>
      <c r="B8284" s="120" t="str">
        <f>IFERROR(__xludf.DUMMYFUNCTION("""COMPUTED_VALUE"""),"TCT")</f>
        <v>TCT</v>
      </c>
      <c r="C8284" s="120" t="str">
        <f>IFERROR(__xludf.DUMMYFUNCTION("""COMPUTED_VALUE"""),"Takotna")</f>
        <v>Takotna</v>
      </c>
      <c r="D8284" s="120" t="str">
        <f>IFERROR(__xludf.DUMMYFUNCTION("""COMPUTED_VALUE"""),"United States")</f>
        <v>United States</v>
      </c>
      <c r="E8284" s="135"/>
      <c r="F8284" s="31"/>
    </row>
    <row r="8285">
      <c r="A8285" s="134" t="str">
        <f>IFERROR(__xludf.DUMMYFUNCTION("""COMPUTED_VALUE"""),"Taku Lodge")</f>
        <v>Taku Lodge</v>
      </c>
      <c r="B8285" s="120" t="str">
        <f>IFERROR(__xludf.DUMMYFUNCTION("""COMPUTED_VALUE"""),"TKL")</f>
        <v>TKL</v>
      </c>
      <c r="C8285" s="120" t="str">
        <f>IFERROR(__xludf.DUMMYFUNCTION("""COMPUTED_VALUE"""),"Taku SPB")</f>
        <v>Taku SPB</v>
      </c>
      <c r="D8285" s="120" t="str">
        <f>IFERROR(__xludf.DUMMYFUNCTION("""COMPUTED_VALUE"""),"United States")</f>
        <v>United States</v>
      </c>
      <c r="E8285" s="135"/>
      <c r="F8285" s="31"/>
    </row>
    <row r="8286">
      <c r="A8286" s="134" t="str">
        <f>IFERROR(__xludf.DUMMYFUNCTION("""COMPUTED_VALUE"""),"Takume")</f>
        <v>Takume</v>
      </c>
      <c r="B8286" s="120" t="str">
        <f>IFERROR(__xludf.DUMMYFUNCTION("""COMPUTED_VALUE"""),"TJN")</f>
        <v>TJN</v>
      </c>
      <c r="C8286" s="120" t="str">
        <f>IFERROR(__xludf.DUMMYFUNCTION("""COMPUTED_VALUE"""),"Takume")</f>
        <v>Takume</v>
      </c>
      <c r="D8286" s="120" t="str">
        <f>IFERROR(__xludf.DUMMYFUNCTION("""COMPUTED_VALUE"""),"French Polynesia")</f>
        <v>French Polynesia</v>
      </c>
      <c r="E8286" s="135"/>
      <c r="F8286" s="31"/>
    </row>
    <row r="8287">
      <c r="A8287" s="134" t="str">
        <f>IFERROR(__xludf.DUMMYFUNCTION("""COMPUTED_VALUE"""),"Talara")</f>
        <v>Talara</v>
      </c>
      <c r="B8287" s="120" t="str">
        <f>IFERROR(__xludf.DUMMYFUNCTION("""COMPUTED_VALUE"""),"TYL")</f>
        <v>TYL</v>
      </c>
      <c r="C8287" s="120" t="str">
        <f>IFERROR(__xludf.DUMMYFUNCTION("""COMPUTED_VALUE"""),"Talara")</f>
        <v>Talara</v>
      </c>
      <c r="D8287" s="120" t="str">
        <f>IFERROR(__xludf.DUMMYFUNCTION("""COMPUTED_VALUE"""),"Peru")</f>
        <v>Peru</v>
      </c>
      <c r="E8287" s="135"/>
      <c r="F8287" s="31"/>
    </row>
    <row r="8288">
      <c r="A8288" s="134" t="str">
        <f>IFERROR(__xludf.DUMMYFUNCTION("""COMPUTED_VALUE"""),"Talasea")</f>
        <v>Talasea</v>
      </c>
      <c r="B8288" s="120" t="str">
        <f>IFERROR(__xludf.DUMMYFUNCTION("""COMPUTED_VALUE"""),"TLW")</f>
        <v>TLW</v>
      </c>
      <c r="C8288" s="120" t="str">
        <f>IFERROR(__xludf.DUMMYFUNCTION("""COMPUTED_VALUE"""),"Talasea")</f>
        <v>Talasea</v>
      </c>
      <c r="D8288" s="120" t="str">
        <f>IFERROR(__xludf.DUMMYFUNCTION("""COMPUTED_VALUE"""),"Papua New Guinea")</f>
        <v>Papua New Guinea</v>
      </c>
      <c r="E8288" s="135"/>
      <c r="F8288" s="31"/>
    </row>
    <row r="8289">
      <c r="A8289" s="134" t="str">
        <f>IFERROR(__xludf.DUMMYFUNCTION("""COMPUTED_VALUE"""),"Talca")</f>
        <v>Talca</v>
      </c>
      <c r="B8289" s="120" t="str">
        <f>IFERROR(__xludf.DUMMYFUNCTION("""COMPUTED_VALUE"""),"TLX")</f>
        <v>TLX</v>
      </c>
      <c r="C8289" s="120" t="str">
        <f>IFERROR(__xludf.DUMMYFUNCTION("""COMPUTED_VALUE"""),"Talca")</f>
        <v>Talca</v>
      </c>
      <c r="D8289" s="120" t="str">
        <f>IFERROR(__xludf.DUMMYFUNCTION("""COMPUTED_VALUE"""),"Chile")</f>
        <v>Chile</v>
      </c>
      <c r="E8289" s="135"/>
      <c r="F8289" s="31"/>
    </row>
    <row r="8290">
      <c r="A8290" s="134" t="str">
        <f>IFERROR(__xludf.DUMMYFUNCTION("""COMPUTED_VALUE"""),"Taldy-Kurgan")</f>
        <v>Taldy-Kurgan</v>
      </c>
      <c r="B8290" s="120" t="str">
        <f>IFERROR(__xludf.DUMMYFUNCTION("""COMPUTED_VALUE"""),"TDK")</f>
        <v>TDK</v>
      </c>
      <c r="C8290" s="120" t="str">
        <f>IFERROR(__xludf.DUMMYFUNCTION("""COMPUTED_VALUE"""),"Taldy-Kurgan")</f>
        <v>Taldy-Kurgan</v>
      </c>
      <c r="D8290" s="120" t="str">
        <f>IFERROR(__xludf.DUMMYFUNCTION("""COMPUTED_VALUE"""),"Kazakhstan")</f>
        <v>Kazakhstan</v>
      </c>
      <c r="E8290" s="135"/>
      <c r="F8290" s="31"/>
    </row>
    <row r="8291">
      <c r="A8291" s="134" t="str">
        <f>IFERROR(__xludf.DUMMYFUNCTION("""COMPUTED_VALUE"""),"Taliabu")</f>
        <v>Taliabu</v>
      </c>
      <c r="B8291" s="120" t="str">
        <f>IFERROR(__xludf.DUMMYFUNCTION("""COMPUTED_VALUE"""),"TAX")</f>
        <v>TAX</v>
      </c>
      <c r="C8291" s="120" t="str">
        <f>IFERROR(__xludf.DUMMYFUNCTION("""COMPUTED_VALUE"""),"Taliabu")</f>
        <v>Taliabu</v>
      </c>
      <c r="D8291" s="120" t="str">
        <f>IFERROR(__xludf.DUMMYFUNCTION("""COMPUTED_VALUE"""),"Indonesia")</f>
        <v>Indonesia</v>
      </c>
      <c r="E8291" s="135"/>
      <c r="F8291" s="31"/>
    </row>
    <row r="8292">
      <c r="A8292" s="134" t="str">
        <f>IFERROR(__xludf.DUMMYFUNCTION("""COMPUTED_VALUE"""),"Talkeetna")</f>
        <v>Talkeetna</v>
      </c>
      <c r="B8292" s="120" t="str">
        <f>IFERROR(__xludf.DUMMYFUNCTION("""COMPUTED_VALUE"""),"TKA")</f>
        <v>TKA</v>
      </c>
      <c r="C8292" s="120" t="str">
        <f>IFERROR(__xludf.DUMMYFUNCTION("""COMPUTED_VALUE"""),"Talkeetna")</f>
        <v>Talkeetna</v>
      </c>
      <c r="D8292" s="120" t="str">
        <f>IFERROR(__xludf.DUMMYFUNCTION("""COMPUTED_VALUE"""),"United States")</f>
        <v>United States</v>
      </c>
      <c r="E8292" s="135"/>
      <c r="F8292" s="31"/>
    </row>
    <row r="8293">
      <c r="A8293" s="134" t="str">
        <f>IFERROR(__xludf.DUMMYFUNCTION("""COMPUTED_VALUE"""),"Talknafjordur")</f>
        <v>Talknafjordur</v>
      </c>
      <c r="B8293" s="120" t="str">
        <f>IFERROR(__xludf.DUMMYFUNCTION("""COMPUTED_VALUE"""),"TLK")</f>
        <v>TLK</v>
      </c>
      <c r="C8293" s="120" t="str">
        <f>IFERROR(__xludf.DUMMYFUNCTION("""COMPUTED_VALUE"""),"Talknafjordur")</f>
        <v>Talknafjordur</v>
      </c>
      <c r="D8293" s="120" t="str">
        <f>IFERROR(__xludf.DUMMYFUNCTION("""COMPUTED_VALUE"""),"Iceland")</f>
        <v>Iceland</v>
      </c>
      <c r="E8293" s="135"/>
      <c r="F8293" s="31"/>
    </row>
    <row r="8294">
      <c r="A8294" s="134" t="str">
        <f>IFERROR(__xludf.DUMMYFUNCTION("""COMPUTED_VALUE"""),"Talladega")</f>
        <v>Talladega</v>
      </c>
      <c r="B8294" s="120" t="str">
        <f>IFERROR(__xludf.DUMMYFUNCTION("""COMPUTED_VALUE"""),"ASN")</f>
        <v>ASN</v>
      </c>
      <c r="C8294" s="120" t="str">
        <f>IFERROR(__xludf.DUMMYFUNCTION("""COMPUTED_VALUE"""),"Talladega")</f>
        <v>Talladega</v>
      </c>
      <c r="D8294" s="120" t="str">
        <f>IFERROR(__xludf.DUMMYFUNCTION("""COMPUTED_VALUE"""),"United States")</f>
        <v>United States</v>
      </c>
      <c r="E8294" s="135"/>
      <c r="F8294" s="31"/>
    </row>
    <row r="8295">
      <c r="A8295" s="134" t="str">
        <f>IFERROR(__xludf.DUMMYFUNCTION("""COMPUTED_VALUE"""),"Tallahassee")</f>
        <v>Tallahassee</v>
      </c>
      <c r="B8295" s="120" t="str">
        <f>IFERROR(__xludf.DUMMYFUNCTION("""COMPUTED_VALUE"""),"TLH")</f>
        <v>TLH</v>
      </c>
      <c r="C8295" s="120" t="str">
        <f>IFERROR(__xludf.DUMMYFUNCTION("""COMPUTED_VALUE"""),"Tallahassee Regional Airport")</f>
        <v>Tallahassee Regional Airport</v>
      </c>
      <c r="D8295" s="120" t="str">
        <f>IFERROR(__xludf.DUMMYFUNCTION("""COMPUTED_VALUE"""),"United States")</f>
        <v>United States</v>
      </c>
      <c r="E8295" s="135"/>
      <c r="F8295" s="31"/>
    </row>
    <row r="8296">
      <c r="A8296" s="134" t="str">
        <f>IFERROR(__xludf.DUMMYFUNCTION("""COMPUTED_VALUE"""),"Tallinn")</f>
        <v>Tallinn</v>
      </c>
      <c r="B8296" s="120" t="str">
        <f>IFERROR(__xludf.DUMMYFUNCTION("""COMPUTED_VALUE"""),"QUF")</f>
        <v>QUF</v>
      </c>
      <c r="C8296" s="120" t="str">
        <f>IFERROR(__xludf.DUMMYFUNCTION("""COMPUTED_VALUE"""),"Pirita Harbour")</f>
        <v>Pirita Harbour</v>
      </c>
      <c r="D8296" s="120" t="str">
        <f>IFERROR(__xludf.DUMMYFUNCTION("""COMPUTED_VALUE"""),"Estonia")</f>
        <v>Estonia</v>
      </c>
      <c r="E8296" s="135"/>
      <c r="F8296" s="31"/>
    </row>
    <row r="8297">
      <c r="A8297" s="134" t="str">
        <f>IFERROR(__xludf.DUMMYFUNCTION("""COMPUTED_VALUE"""),"Tallinn")</f>
        <v>Tallinn</v>
      </c>
      <c r="B8297" s="120" t="str">
        <f>IFERROR(__xludf.DUMMYFUNCTION("""COMPUTED_VALUE"""),"TLL")</f>
        <v>TLL</v>
      </c>
      <c r="C8297" s="120" t="str">
        <f>IFERROR(__xludf.DUMMYFUNCTION("""COMPUTED_VALUE"""),"Ulemiste")</f>
        <v>Ulemiste</v>
      </c>
      <c r="D8297" s="120" t="str">
        <f>IFERROR(__xludf.DUMMYFUNCTION("""COMPUTED_VALUE"""),"Estonia")</f>
        <v>Estonia</v>
      </c>
      <c r="E8297" s="135"/>
      <c r="F8297" s="31"/>
    </row>
    <row r="8298">
      <c r="A8298" s="134" t="str">
        <f>IFERROR(__xludf.DUMMYFUNCTION("""COMPUTED_VALUE"""),"Taloyoak")</f>
        <v>Taloyoak</v>
      </c>
      <c r="B8298" s="120" t="str">
        <f>IFERROR(__xludf.DUMMYFUNCTION("""COMPUTED_VALUE"""),"YYH")</f>
        <v>YYH</v>
      </c>
      <c r="C8298" s="120" t="str">
        <f>IFERROR(__xludf.DUMMYFUNCTION("""COMPUTED_VALUE"""),"Taloyoak")</f>
        <v>Taloyoak</v>
      </c>
      <c r="D8298" s="120" t="str">
        <f>IFERROR(__xludf.DUMMYFUNCTION("""COMPUTED_VALUE"""),"Canada")</f>
        <v>Canada</v>
      </c>
      <c r="E8298" s="135"/>
      <c r="F8298" s="31"/>
    </row>
    <row r="8299">
      <c r="A8299" s="134" t="str">
        <f>IFERROR(__xludf.DUMMYFUNCTION("""COMPUTED_VALUE"""),"Taltal")</f>
        <v>Taltal</v>
      </c>
      <c r="B8299" s="120" t="str">
        <f>IFERROR(__xludf.DUMMYFUNCTION("""COMPUTED_VALUE"""),"TTC")</f>
        <v>TTC</v>
      </c>
      <c r="C8299" s="120" t="str">
        <f>IFERROR(__xludf.DUMMYFUNCTION("""COMPUTED_VALUE"""),"Taltal")</f>
        <v>Taltal</v>
      </c>
      <c r="D8299" s="120" t="str">
        <f>IFERROR(__xludf.DUMMYFUNCTION("""COMPUTED_VALUE"""),"Chile")</f>
        <v>Chile</v>
      </c>
      <c r="E8299" s="135"/>
      <c r="F8299" s="31"/>
    </row>
    <row r="8300">
      <c r="A8300" s="134" t="str">
        <f>IFERROR(__xludf.DUMMYFUNCTION("""COMPUTED_VALUE"""),"Taltheilei Narrows")</f>
        <v>Taltheilei Narrows</v>
      </c>
      <c r="B8300" s="120" t="str">
        <f>IFERROR(__xludf.DUMMYFUNCTION("""COMPUTED_VALUE"""),"GSL")</f>
        <v>GSL</v>
      </c>
      <c r="C8300" s="120" t="str">
        <f>IFERROR(__xludf.DUMMYFUNCTION("""COMPUTED_VALUE"""),"Taltheilei Narrows")</f>
        <v>Taltheilei Narrows</v>
      </c>
      <c r="D8300" s="120" t="str">
        <f>IFERROR(__xludf.DUMMYFUNCTION("""COMPUTED_VALUE"""),"Canada")</f>
        <v>Canada</v>
      </c>
      <c r="E8300" s="135"/>
      <c r="F8300" s="31"/>
    </row>
    <row r="8301">
      <c r="A8301" s="134" t="str">
        <f>IFERROR(__xludf.DUMMYFUNCTION("""COMPUTED_VALUE"""),"Taluqan")</f>
        <v>Taluqan</v>
      </c>
      <c r="B8301" s="120" t="str">
        <f>IFERROR(__xludf.DUMMYFUNCTION("""COMPUTED_VALUE"""),"TQN")</f>
        <v>TQN</v>
      </c>
      <c r="C8301" s="120" t="str">
        <f>IFERROR(__xludf.DUMMYFUNCTION("""COMPUTED_VALUE"""),"Taluqan")</f>
        <v>Taluqan</v>
      </c>
      <c r="D8301" s="120" t="str">
        <f>IFERROR(__xludf.DUMMYFUNCTION("""COMPUTED_VALUE"""),"Afghanistan")</f>
        <v>Afghanistan</v>
      </c>
      <c r="E8301" s="135"/>
      <c r="F8301" s="31"/>
    </row>
    <row r="8302">
      <c r="A8302" s="134" t="str">
        <f>IFERROR(__xludf.DUMMYFUNCTION("""COMPUTED_VALUE"""),"Tamale")</f>
        <v>Tamale</v>
      </c>
      <c r="B8302" s="120" t="str">
        <f>IFERROR(__xludf.DUMMYFUNCTION("""COMPUTED_VALUE"""),"TML")</f>
        <v>TML</v>
      </c>
      <c r="C8302" s="120" t="str">
        <f>IFERROR(__xludf.DUMMYFUNCTION("""COMPUTED_VALUE"""),"Tamale")</f>
        <v>Tamale</v>
      </c>
      <c r="D8302" s="120" t="str">
        <f>IFERROR(__xludf.DUMMYFUNCTION("""COMPUTED_VALUE"""),"Ghana")</f>
        <v>Ghana</v>
      </c>
      <c r="E8302" s="135"/>
      <c r="F8302" s="31"/>
    </row>
    <row r="8303">
      <c r="A8303" s="134" t="str">
        <f>IFERROR(__xludf.DUMMYFUNCTION("""COMPUTED_VALUE"""),"Taman Negara")</f>
        <v>Taman Negara</v>
      </c>
      <c r="B8303" s="120" t="str">
        <f>IFERROR(__xludf.DUMMYFUNCTION("""COMPUTED_VALUE"""),"SXT")</f>
        <v>SXT</v>
      </c>
      <c r="C8303" s="120" t="str">
        <f>IFERROR(__xludf.DUMMYFUNCTION("""COMPUTED_VALUE"""),"Taman Negara")</f>
        <v>Taman Negara</v>
      </c>
      <c r="D8303" s="120" t="str">
        <f>IFERROR(__xludf.DUMMYFUNCTION("""COMPUTED_VALUE"""),"Malaysia")</f>
        <v>Malaysia</v>
      </c>
      <c r="E8303" s="135"/>
      <c r="F8303" s="31"/>
    </row>
    <row r="8304">
      <c r="A8304" s="134" t="str">
        <f>IFERROR(__xludf.DUMMYFUNCTION("""COMPUTED_VALUE"""),"Tamana Island")</f>
        <v>Tamana Island</v>
      </c>
      <c r="B8304" s="120" t="str">
        <f>IFERROR(__xludf.DUMMYFUNCTION("""COMPUTED_VALUE"""),"TMN")</f>
        <v>TMN</v>
      </c>
      <c r="C8304" s="120" t="str">
        <f>IFERROR(__xludf.DUMMYFUNCTION("""COMPUTED_VALUE"""),"Tamana Island")</f>
        <v>Tamana Island</v>
      </c>
      <c r="D8304" s="120" t="str">
        <f>IFERROR(__xludf.DUMMYFUNCTION("""COMPUTED_VALUE"""),"Kiribati")</f>
        <v>Kiribati</v>
      </c>
      <c r="E8304" s="135"/>
      <c r="F8304" s="31"/>
    </row>
    <row r="8305">
      <c r="A8305" s="134" t="str">
        <f>IFERROR(__xludf.DUMMYFUNCTION("""COMPUTED_VALUE"""),"Tamanrasset")</f>
        <v>Tamanrasset</v>
      </c>
      <c r="B8305" s="120" t="str">
        <f>IFERROR(__xludf.DUMMYFUNCTION("""COMPUTED_VALUE"""),"TMR")</f>
        <v>TMR</v>
      </c>
      <c r="C8305" s="120" t="str">
        <f>IFERROR(__xludf.DUMMYFUNCTION("""COMPUTED_VALUE"""),"Aguemar")</f>
        <v>Aguemar</v>
      </c>
      <c r="D8305" s="120" t="str">
        <f>IFERROR(__xludf.DUMMYFUNCTION("""COMPUTED_VALUE"""),"Algeria")</f>
        <v>Algeria</v>
      </c>
      <c r="E8305" s="135"/>
      <c r="F8305" s="31"/>
    </row>
    <row r="8306">
      <c r="A8306" s="134" t="str">
        <f>IFERROR(__xludf.DUMMYFUNCTION("""COMPUTED_VALUE"""),"Tamarindo")</f>
        <v>Tamarindo</v>
      </c>
      <c r="B8306" s="120" t="str">
        <f>IFERROR(__xludf.DUMMYFUNCTION("""COMPUTED_VALUE"""),"TNO")</f>
        <v>TNO</v>
      </c>
      <c r="C8306" s="120" t="str">
        <f>IFERROR(__xludf.DUMMYFUNCTION("""COMPUTED_VALUE"""),"Tamarindo")</f>
        <v>Tamarindo</v>
      </c>
      <c r="D8306" s="120" t="str">
        <f>IFERROR(__xludf.DUMMYFUNCTION("""COMPUTED_VALUE"""),"Costa Rica")</f>
        <v>Costa Rica</v>
      </c>
      <c r="E8306" s="135"/>
      <c r="F8306" s="31"/>
    </row>
    <row r="8307">
      <c r="A8307" s="134" t="str">
        <f>IFERROR(__xludf.DUMMYFUNCTION("""COMPUTED_VALUE"""),"Tamatave")</f>
        <v>Tamatave</v>
      </c>
      <c r="B8307" s="120" t="str">
        <f>IFERROR(__xludf.DUMMYFUNCTION("""COMPUTED_VALUE"""),"TMM")</f>
        <v>TMM</v>
      </c>
      <c r="C8307" s="120" t="str">
        <f>IFERROR(__xludf.DUMMYFUNCTION("""COMPUTED_VALUE"""),"Tamatave")</f>
        <v>Tamatave</v>
      </c>
      <c r="D8307" s="120" t="str">
        <f>IFERROR(__xludf.DUMMYFUNCTION("""COMPUTED_VALUE"""),"Madagascar")</f>
        <v>Madagascar</v>
      </c>
      <c r="E8307" s="135"/>
      <c r="F8307" s="31"/>
    </row>
    <row r="8308">
      <c r="A8308" s="134" t="str">
        <f>IFERROR(__xludf.DUMMYFUNCTION("""COMPUTED_VALUE"""),"Tambacounda")</f>
        <v>Tambacounda</v>
      </c>
      <c r="B8308" s="120" t="str">
        <f>IFERROR(__xludf.DUMMYFUNCTION("""COMPUTED_VALUE"""),"TUD")</f>
        <v>TUD</v>
      </c>
      <c r="C8308" s="120" t="str">
        <f>IFERROR(__xludf.DUMMYFUNCTION("""COMPUTED_VALUE"""),"Tambacounda")</f>
        <v>Tambacounda</v>
      </c>
      <c r="D8308" s="120" t="str">
        <f>IFERROR(__xludf.DUMMYFUNCTION("""COMPUTED_VALUE"""),"Senegal")</f>
        <v>Senegal</v>
      </c>
      <c r="E8308" s="135"/>
      <c r="F8308" s="31"/>
    </row>
    <row r="8309">
      <c r="A8309" s="134" t="str">
        <f>IFERROR(__xludf.DUMMYFUNCTION("""COMPUTED_VALUE"""),"Tambao")</f>
        <v>Tambao</v>
      </c>
      <c r="B8309" s="120" t="str">
        <f>IFERROR(__xludf.DUMMYFUNCTION("""COMPUTED_VALUE"""),"TMQ")</f>
        <v>TMQ</v>
      </c>
      <c r="C8309" s="120" t="str">
        <f>IFERROR(__xludf.DUMMYFUNCTION("""COMPUTED_VALUE"""),"Tambao")</f>
        <v>Tambao</v>
      </c>
      <c r="D8309" s="120" t="str">
        <f>IFERROR(__xludf.DUMMYFUNCTION("""COMPUTED_VALUE"""),"Burkina Faso")</f>
        <v>Burkina Faso</v>
      </c>
      <c r="E8309" s="135"/>
      <c r="F8309" s="31"/>
    </row>
    <row r="8310">
      <c r="A8310" s="134" t="str">
        <f>IFERROR(__xludf.DUMMYFUNCTION("""COMPUTED_VALUE"""),"Tambohorano")</f>
        <v>Tambohorano</v>
      </c>
      <c r="B8310" s="120" t="str">
        <f>IFERROR(__xludf.DUMMYFUNCTION("""COMPUTED_VALUE"""),"WTA")</f>
        <v>WTA</v>
      </c>
      <c r="C8310" s="120" t="str">
        <f>IFERROR(__xludf.DUMMYFUNCTION("""COMPUTED_VALUE"""),"Tambohorano")</f>
        <v>Tambohorano</v>
      </c>
      <c r="D8310" s="120" t="str">
        <f>IFERROR(__xludf.DUMMYFUNCTION("""COMPUTED_VALUE"""),"Madagascar")</f>
        <v>Madagascar</v>
      </c>
      <c r="E8310" s="135"/>
      <c r="F8310" s="31"/>
    </row>
    <row r="8311">
      <c r="A8311" s="134" t="str">
        <f>IFERROR(__xludf.DUMMYFUNCTION("""COMPUTED_VALUE"""),"Tambolaka")</f>
        <v>Tambolaka</v>
      </c>
      <c r="B8311" s="120" t="str">
        <f>IFERROR(__xludf.DUMMYFUNCTION("""COMPUTED_VALUE"""),"TMC")</f>
        <v>TMC</v>
      </c>
      <c r="C8311" s="120" t="str">
        <f>IFERROR(__xludf.DUMMYFUNCTION("""COMPUTED_VALUE"""),"Tjilik Riwut")</f>
        <v>Tjilik Riwut</v>
      </c>
      <c r="D8311" s="120" t="str">
        <f>IFERROR(__xludf.DUMMYFUNCTION("""COMPUTED_VALUE"""),"Indonesia")</f>
        <v>Indonesia</v>
      </c>
      <c r="E8311" s="135"/>
      <c r="F8311" s="31"/>
    </row>
    <row r="8312">
      <c r="A8312" s="134" t="str">
        <f>IFERROR(__xludf.DUMMYFUNCTION("""COMPUTED_VALUE"""),"Tambor")</f>
        <v>Tambor</v>
      </c>
      <c r="B8312" s="120" t="str">
        <f>IFERROR(__xludf.DUMMYFUNCTION("""COMPUTED_VALUE"""),"TMU")</f>
        <v>TMU</v>
      </c>
      <c r="C8312" s="120" t="str">
        <f>IFERROR(__xludf.DUMMYFUNCTION("""COMPUTED_VALUE"""),"Tambor")</f>
        <v>Tambor</v>
      </c>
      <c r="D8312" s="120" t="str">
        <f>IFERROR(__xludf.DUMMYFUNCTION("""COMPUTED_VALUE"""),"Costa Rica")</f>
        <v>Costa Rica</v>
      </c>
      <c r="E8312" s="135"/>
      <c r="F8312" s="31"/>
    </row>
    <row r="8313">
      <c r="A8313" s="134" t="str">
        <f>IFERROR(__xludf.DUMMYFUNCTION("""COMPUTED_VALUE"""),"Tambov")</f>
        <v>Tambov</v>
      </c>
      <c r="B8313" s="120" t="str">
        <f>IFERROR(__xludf.DUMMYFUNCTION("""COMPUTED_VALUE"""),"TBW")</f>
        <v>TBW</v>
      </c>
      <c r="C8313" s="120" t="str">
        <f>IFERROR(__xludf.DUMMYFUNCTION("""COMPUTED_VALUE"""),"Tambov")</f>
        <v>Tambov</v>
      </c>
      <c r="D8313" s="120" t="str">
        <f>IFERROR(__xludf.DUMMYFUNCTION("""COMPUTED_VALUE"""),"Russia")</f>
        <v>Russia</v>
      </c>
      <c r="E8313" s="135"/>
      <c r="F8313" s="31"/>
    </row>
    <row r="8314">
      <c r="A8314" s="134" t="str">
        <f>IFERROR(__xludf.DUMMYFUNCTION("""COMPUTED_VALUE"""),"Tamchakett")</f>
        <v>Tamchakett</v>
      </c>
      <c r="B8314" s="120" t="str">
        <f>IFERROR(__xludf.DUMMYFUNCTION("""COMPUTED_VALUE"""),"THT")</f>
        <v>THT</v>
      </c>
      <c r="C8314" s="120" t="str">
        <f>IFERROR(__xludf.DUMMYFUNCTION("""COMPUTED_VALUE"""),"Tamchakett")</f>
        <v>Tamchakett</v>
      </c>
      <c r="D8314" s="120" t="str">
        <f>IFERROR(__xludf.DUMMYFUNCTION("""COMPUTED_VALUE"""),"Mauritania")</f>
        <v>Mauritania</v>
      </c>
      <c r="E8314" s="135"/>
      <c r="F8314" s="31"/>
    </row>
    <row r="8315">
      <c r="A8315" s="134" t="str">
        <f>IFERROR(__xludf.DUMMYFUNCTION("""COMPUTED_VALUE"""),"Tame")</f>
        <v>Tame</v>
      </c>
      <c r="B8315" s="120" t="str">
        <f>IFERROR(__xludf.DUMMYFUNCTION("""COMPUTED_VALUE"""),"TME")</f>
        <v>TME</v>
      </c>
      <c r="C8315" s="120" t="str">
        <f>IFERROR(__xludf.DUMMYFUNCTION("""COMPUTED_VALUE"""),"Tame")</f>
        <v>Tame</v>
      </c>
      <c r="D8315" s="120" t="str">
        <f>IFERROR(__xludf.DUMMYFUNCTION("""COMPUTED_VALUE"""),"Colombia")</f>
        <v>Colombia</v>
      </c>
      <c r="E8315" s="135"/>
      <c r="F8315" s="31"/>
    </row>
    <row r="8316">
      <c r="A8316" s="134" t="str">
        <f>IFERROR(__xludf.DUMMYFUNCTION("""COMPUTED_VALUE"""),"Tamky")</f>
        <v>Tamky</v>
      </c>
      <c r="B8316" s="120" t="str">
        <f>IFERROR(__xludf.DUMMYFUNCTION("""COMPUTED_VALUE"""),"TMK")</f>
        <v>TMK</v>
      </c>
      <c r="C8316" s="120" t="str">
        <f>IFERROR(__xludf.DUMMYFUNCTION("""COMPUTED_VALUE"""),"Tamky")</f>
        <v>Tamky</v>
      </c>
      <c r="D8316" s="120" t="str">
        <f>IFERROR(__xludf.DUMMYFUNCTION("""COMPUTED_VALUE"""),"Vietnam")</f>
        <v>Vietnam</v>
      </c>
      <c r="E8316" s="135"/>
      <c r="F8316" s="31"/>
    </row>
    <row r="8317">
      <c r="A8317" s="134" t="str">
        <f>IFERROR(__xludf.DUMMYFUNCTION("""COMPUTED_VALUE"""),"Tamky")</f>
        <v>Tamky</v>
      </c>
      <c r="B8317" s="120" t="str">
        <f>IFERROR(__xludf.DUMMYFUNCTION("""COMPUTED_VALUE"""),"VCL")</f>
        <v>VCL</v>
      </c>
      <c r="C8317" s="120" t="str">
        <f>IFERROR(__xludf.DUMMYFUNCTION("""COMPUTED_VALUE"""),"Chulai")</f>
        <v>Chulai</v>
      </c>
      <c r="D8317" s="120" t="str">
        <f>IFERROR(__xludf.DUMMYFUNCTION("""COMPUTED_VALUE"""),"Vietnam")</f>
        <v>Vietnam</v>
      </c>
      <c r="E8317" s="135"/>
      <c r="F8317" s="31"/>
    </row>
    <row r="8318">
      <c r="A8318" s="134" t="str">
        <f>IFERROR(__xludf.DUMMYFUNCTION("""COMPUTED_VALUE"""),"Tampa")</f>
        <v>Tampa</v>
      </c>
      <c r="B8318" s="120" t="str">
        <f>IFERROR(__xludf.DUMMYFUNCTION("""COMPUTED_VALUE"""),"TPA")</f>
        <v>TPA</v>
      </c>
      <c r="C8318" s="120" t="str">
        <f>IFERROR(__xludf.DUMMYFUNCTION("""COMPUTED_VALUE"""),"Tampa International")</f>
        <v>Tampa International</v>
      </c>
      <c r="D8318" s="120" t="str">
        <f>IFERROR(__xludf.DUMMYFUNCTION("""COMPUTED_VALUE"""),"United States")</f>
        <v>United States</v>
      </c>
      <c r="E8318" s="135"/>
      <c r="F8318" s="31"/>
    </row>
    <row r="8319">
      <c r="A8319" s="134" t="str">
        <f>IFERROR(__xludf.DUMMYFUNCTION("""COMPUTED_VALUE"""),"Tampa")</f>
        <v>Tampa</v>
      </c>
      <c r="B8319" s="120" t="str">
        <f>IFERROR(__xludf.DUMMYFUNCTION("""COMPUTED_VALUE"""),"MCF")</f>
        <v>MCF</v>
      </c>
      <c r="C8319" s="120" t="str">
        <f>IFERROR(__xludf.DUMMYFUNCTION("""COMPUTED_VALUE"""),"Mac Dill AFB")</f>
        <v>Mac Dill AFB</v>
      </c>
      <c r="D8319" s="120" t="str">
        <f>IFERROR(__xludf.DUMMYFUNCTION("""COMPUTED_VALUE"""),"United States")</f>
        <v>United States</v>
      </c>
      <c r="E8319" s="135"/>
      <c r="F8319" s="31"/>
    </row>
    <row r="8320">
      <c r="A8320" s="134" t="str">
        <f>IFERROR(__xludf.DUMMYFUNCTION("""COMPUTED_VALUE"""),"Tampa")</f>
        <v>Tampa</v>
      </c>
      <c r="B8320" s="120" t="str">
        <f>IFERROR(__xludf.DUMMYFUNCTION("""COMPUTED_VALUE"""),"KYO")</f>
        <v>KYO</v>
      </c>
      <c r="C8320" s="120" t="str">
        <f>IFERROR(__xludf.DUMMYFUNCTION("""COMPUTED_VALUE"""),"Topp Of Tampa")</f>
        <v>Topp Of Tampa</v>
      </c>
      <c r="D8320" s="120" t="str">
        <f>IFERROR(__xludf.DUMMYFUNCTION("""COMPUTED_VALUE"""),"United States")</f>
        <v>United States</v>
      </c>
      <c r="E8320" s="135"/>
      <c r="F8320" s="31"/>
    </row>
    <row r="8321">
      <c r="A8321" s="134" t="str">
        <f>IFERROR(__xludf.DUMMYFUNCTION("""COMPUTED_VALUE"""),"Tampere")</f>
        <v>Tampere</v>
      </c>
      <c r="B8321" s="120" t="str">
        <f>IFERROR(__xludf.DUMMYFUNCTION("""COMPUTED_VALUE"""),"TMP")</f>
        <v>TMP</v>
      </c>
      <c r="C8321" s="120" t="str">
        <f>IFERROR(__xludf.DUMMYFUNCTION("""COMPUTED_VALUE"""),"Tampere-Pirkkala")</f>
        <v>Tampere-Pirkkala</v>
      </c>
      <c r="D8321" s="120" t="str">
        <f>IFERROR(__xludf.DUMMYFUNCTION("""COMPUTED_VALUE"""),"Finland")</f>
        <v>Finland</v>
      </c>
      <c r="E8321" s="135"/>
      <c r="F8321" s="31"/>
    </row>
    <row r="8322">
      <c r="A8322" s="134" t="str">
        <f>IFERROR(__xludf.DUMMYFUNCTION("""COMPUTED_VALUE"""),"Tampico")</f>
        <v>Tampico</v>
      </c>
      <c r="B8322" s="120" t="str">
        <f>IFERROR(__xludf.DUMMYFUNCTION("""COMPUTED_VALUE"""),"TAM")</f>
        <v>TAM</v>
      </c>
      <c r="C8322" s="120" t="str">
        <f>IFERROR(__xludf.DUMMYFUNCTION("""COMPUTED_VALUE"""),"Gen F Javier Mina")</f>
        <v>Gen F Javier Mina</v>
      </c>
      <c r="D8322" s="120" t="str">
        <f>IFERROR(__xludf.DUMMYFUNCTION("""COMPUTED_VALUE"""),"Mexico")</f>
        <v>Mexico</v>
      </c>
      <c r="E8322" s="135"/>
      <c r="F8322" s="31"/>
    </row>
    <row r="8323">
      <c r="A8323" s="134" t="str">
        <f>IFERROR(__xludf.DUMMYFUNCTION("""COMPUTED_VALUE"""),"Tamuin")</f>
        <v>Tamuin</v>
      </c>
      <c r="B8323" s="120" t="str">
        <f>IFERROR(__xludf.DUMMYFUNCTION("""COMPUTED_VALUE"""),"TSL")</f>
        <v>TSL</v>
      </c>
      <c r="C8323" s="120" t="str">
        <f>IFERROR(__xludf.DUMMYFUNCTION("""COMPUTED_VALUE"""),"Tamuin")</f>
        <v>Tamuin</v>
      </c>
      <c r="D8323" s="120" t="str">
        <f>IFERROR(__xludf.DUMMYFUNCTION("""COMPUTED_VALUE"""),"Mexico")</f>
        <v>Mexico</v>
      </c>
      <c r="E8323" s="135"/>
      <c r="F8323" s="31"/>
    </row>
    <row r="8324">
      <c r="A8324" s="134" t="str">
        <f>IFERROR(__xludf.DUMMYFUNCTION("""COMPUTED_VALUE"""),"Tamworth")</f>
        <v>Tamworth</v>
      </c>
      <c r="B8324" s="120" t="str">
        <f>IFERROR(__xludf.DUMMYFUNCTION("""COMPUTED_VALUE"""),"TMW")</f>
        <v>TMW</v>
      </c>
      <c r="C8324" s="120" t="str">
        <f>IFERROR(__xludf.DUMMYFUNCTION("""COMPUTED_VALUE"""),"Tamworth")</f>
        <v>Tamworth</v>
      </c>
      <c r="D8324" s="120" t="str">
        <f>IFERROR(__xludf.DUMMYFUNCTION("""COMPUTED_VALUE"""),"Australia")</f>
        <v>Australia</v>
      </c>
      <c r="E8324" s="135"/>
      <c r="F8324" s="31"/>
    </row>
    <row r="8325">
      <c r="A8325" s="134" t="str">
        <f>IFERROR(__xludf.DUMMYFUNCTION("""COMPUTED_VALUE"""),"Tan Tan")</f>
        <v>Tan Tan</v>
      </c>
      <c r="B8325" s="120" t="str">
        <f>IFERROR(__xludf.DUMMYFUNCTION("""COMPUTED_VALUE"""),"TTA")</f>
        <v>TTA</v>
      </c>
      <c r="C8325" s="120" t="str">
        <f>IFERROR(__xludf.DUMMYFUNCTION("""COMPUTED_VALUE"""),"Tan Tan")</f>
        <v>Tan Tan</v>
      </c>
      <c r="D8325" s="120" t="str">
        <f>IFERROR(__xludf.DUMMYFUNCTION("""COMPUTED_VALUE"""),"Morocco")</f>
        <v>Morocco</v>
      </c>
      <c r="E8325" s="135"/>
      <c r="F8325" s="31"/>
    </row>
    <row r="8326">
      <c r="A8326" s="134" t="str">
        <f>IFERROR(__xludf.DUMMYFUNCTION("""COMPUTED_VALUE"""),"Tana Toraja")</f>
        <v>Tana Toraja</v>
      </c>
      <c r="B8326" s="120" t="str">
        <f>IFERROR(__xludf.DUMMYFUNCTION("""COMPUTED_VALUE"""),"TTR")</f>
        <v>TTR</v>
      </c>
      <c r="C8326" s="120" t="str">
        <f>IFERROR(__xludf.DUMMYFUNCTION("""COMPUTED_VALUE"""),"Tana Toraja")</f>
        <v>Tana Toraja</v>
      </c>
      <c r="D8326" s="120" t="str">
        <f>IFERROR(__xludf.DUMMYFUNCTION("""COMPUTED_VALUE"""),"Indonesia")</f>
        <v>Indonesia</v>
      </c>
      <c r="E8326" s="135"/>
      <c r="F8326" s="31"/>
    </row>
    <row r="8327">
      <c r="A8327" s="134" t="str">
        <f>IFERROR(__xludf.DUMMYFUNCTION("""COMPUTED_VALUE"""),"Tanacross")</f>
        <v>Tanacross</v>
      </c>
      <c r="B8327" s="120" t="str">
        <f>IFERROR(__xludf.DUMMYFUNCTION("""COMPUTED_VALUE"""),"TSG")</f>
        <v>TSG</v>
      </c>
      <c r="C8327" s="120" t="str">
        <f>IFERROR(__xludf.DUMMYFUNCTION("""COMPUTED_VALUE"""),"Intermediate")</f>
        <v>Intermediate</v>
      </c>
      <c r="D8327" s="120" t="str">
        <f>IFERROR(__xludf.DUMMYFUNCTION("""COMPUTED_VALUE"""),"United States")</f>
        <v>United States</v>
      </c>
      <c r="E8327" s="135"/>
      <c r="F8327" s="31"/>
    </row>
    <row r="8328">
      <c r="A8328" s="134" t="str">
        <f>IFERROR(__xludf.DUMMYFUNCTION("""COMPUTED_VALUE"""),"Tanah Grogot")</f>
        <v>Tanah Grogot</v>
      </c>
      <c r="B8328" s="120" t="str">
        <f>IFERROR(__xludf.DUMMYFUNCTION("""COMPUTED_VALUE"""),"TNB")</f>
        <v>TNB</v>
      </c>
      <c r="C8328" s="120" t="str">
        <f>IFERROR(__xludf.DUMMYFUNCTION("""COMPUTED_VALUE"""),"Tanah Grogot")</f>
        <v>Tanah Grogot</v>
      </c>
      <c r="D8328" s="120" t="str">
        <f>IFERROR(__xludf.DUMMYFUNCTION("""COMPUTED_VALUE"""),"Indonesia")</f>
        <v>Indonesia</v>
      </c>
      <c r="E8328" s="135"/>
      <c r="F8328" s="31"/>
    </row>
    <row r="8329">
      <c r="A8329" s="134" t="str">
        <f>IFERROR(__xludf.DUMMYFUNCTION("""COMPUTED_VALUE"""),"Tanahmerah")</f>
        <v>Tanahmerah</v>
      </c>
      <c r="B8329" s="120" t="str">
        <f>IFERROR(__xludf.DUMMYFUNCTION("""COMPUTED_VALUE"""),"TMH")</f>
        <v>TMH</v>
      </c>
      <c r="C8329" s="120" t="str">
        <f>IFERROR(__xludf.DUMMYFUNCTION("""COMPUTED_VALUE"""),"Tanahmerah")</f>
        <v>Tanahmerah</v>
      </c>
      <c r="D8329" s="120" t="str">
        <f>IFERROR(__xludf.DUMMYFUNCTION("""COMPUTED_VALUE"""),"Indonesia")</f>
        <v>Indonesia</v>
      </c>
      <c r="E8329" s="135"/>
      <c r="F8329" s="31"/>
    </row>
    <row r="8330">
      <c r="A8330" s="134" t="str">
        <f>IFERROR(__xludf.DUMMYFUNCTION("""COMPUTED_VALUE"""),"Tanalian Point")</f>
        <v>Tanalian Point</v>
      </c>
      <c r="B8330" s="120" t="str">
        <f>IFERROR(__xludf.DUMMYFUNCTION("""COMPUTED_VALUE"""),"TPO")</f>
        <v>TPO</v>
      </c>
      <c r="C8330" s="120" t="str">
        <f>IFERROR(__xludf.DUMMYFUNCTION("""COMPUTED_VALUE"""),"Tanalian Point")</f>
        <v>Tanalian Point</v>
      </c>
      <c r="D8330" s="120" t="str">
        <f>IFERROR(__xludf.DUMMYFUNCTION("""COMPUTED_VALUE"""),"United States")</f>
        <v>United States</v>
      </c>
      <c r="E8330" s="135"/>
      <c r="F8330" s="31"/>
    </row>
    <row r="8331">
      <c r="A8331" s="134" t="str">
        <f>IFERROR(__xludf.DUMMYFUNCTION("""COMPUTED_VALUE"""),"Tanana")</f>
        <v>Tanana</v>
      </c>
      <c r="B8331" s="120" t="str">
        <f>IFERROR(__xludf.DUMMYFUNCTION("""COMPUTED_VALUE"""),"TAL")</f>
        <v>TAL</v>
      </c>
      <c r="C8331" s="120" t="str">
        <f>IFERROR(__xludf.DUMMYFUNCTION("""COMPUTED_VALUE"""),"Ralph Calhoun")</f>
        <v>Ralph Calhoun</v>
      </c>
      <c r="D8331" s="120" t="str">
        <f>IFERROR(__xludf.DUMMYFUNCTION("""COMPUTED_VALUE"""),"United States")</f>
        <v>United States</v>
      </c>
      <c r="E8331" s="135"/>
      <c r="F8331" s="31"/>
    </row>
    <row r="8332">
      <c r="A8332" s="134" t="str">
        <f>IFERROR(__xludf.DUMMYFUNCTION("""COMPUTED_VALUE"""),"Tanandava")</f>
        <v>Tanandava</v>
      </c>
      <c r="B8332" s="120" t="str">
        <f>IFERROR(__xludf.DUMMYFUNCTION("""COMPUTED_VALUE"""),"TDV")</f>
        <v>TDV</v>
      </c>
      <c r="C8332" s="120" t="str">
        <f>IFERROR(__xludf.DUMMYFUNCTION("""COMPUTED_VALUE"""),"Tanandava")</f>
        <v>Tanandava</v>
      </c>
      <c r="D8332" s="120" t="str">
        <f>IFERROR(__xludf.DUMMYFUNCTION("""COMPUTED_VALUE"""),"Madagascar")</f>
        <v>Madagascar</v>
      </c>
      <c r="E8332" s="135"/>
      <c r="F8332" s="31"/>
    </row>
    <row r="8333">
      <c r="A8333" s="134" t="str">
        <f>IFERROR(__xludf.DUMMYFUNCTION("""COMPUTED_VALUE"""),"Tanbar")</f>
        <v>Tanbar</v>
      </c>
      <c r="B8333" s="120" t="str">
        <f>IFERROR(__xludf.DUMMYFUNCTION("""COMPUTED_VALUE"""),"TXR")</f>
        <v>TXR</v>
      </c>
      <c r="C8333" s="120" t="str">
        <f>IFERROR(__xludf.DUMMYFUNCTION("""COMPUTED_VALUE"""),"Tanbar")</f>
        <v>Tanbar</v>
      </c>
      <c r="D8333" s="120" t="str">
        <f>IFERROR(__xludf.DUMMYFUNCTION("""COMPUTED_VALUE"""),"Australia")</f>
        <v>Australia</v>
      </c>
      <c r="E8333" s="135"/>
      <c r="F8333" s="31"/>
    </row>
    <row r="8334">
      <c r="A8334" s="134" t="str">
        <f>IFERROR(__xludf.DUMMYFUNCTION("""COMPUTED_VALUE"""),"Tanda Tula")</f>
        <v>Tanda Tula</v>
      </c>
      <c r="B8334" s="120" t="str">
        <f>IFERROR(__xludf.DUMMYFUNCTION("""COMPUTED_VALUE"""),"TDT")</f>
        <v>TDT</v>
      </c>
      <c r="C8334" s="120" t="str">
        <f>IFERROR(__xludf.DUMMYFUNCTION("""COMPUTED_VALUE"""),"Tanda Tula")</f>
        <v>Tanda Tula</v>
      </c>
      <c r="D8334" s="120" t="str">
        <f>IFERROR(__xludf.DUMMYFUNCTION("""COMPUTED_VALUE"""),"South Africa")</f>
        <v>South Africa</v>
      </c>
      <c r="E8334" s="135"/>
      <c r="F8334" s="31"/>
    </row>
    <row r="8335">
      <c r="A8335" s="134" t="str">
        <f>IFERROR(__xludf.DUMMYFUNCTION("""COMPUTED_VALUE"""),"Tandag")</f>
        <v>Tandag</v>
      </c>
      <c r="B8335" s="120" t="str">
        <f>IFERROR(__xludf.DUMMYFUNCTION("""COMPUTED_VALUE"""),"TDG")</f>
        <v>TDG</v>
      </c>
      <c r="C8335" s="120" t="str">
        <f>IFERROR(__xludf.DUMMYFUNCTION("""COMPUTED_VALUE"""),"Tandag")</f>
        <v>Tandag</v>
      </c>
      <c r="D8335" s="120" t="str">
        <f>IFERROR(__xludf.DUMMYFUNCTION("""COMPUTED_VALUE"""),"Philippines")</f>
        <v>Philippines</v>
      </c>
      <c r="E8335" s="135"/>
      <c r="F8335" s="31"/>
    </row>
    <row r="8336">
      <c r="A8336" s="134" t="str">
        <f>IFERROR(__xludf.DUMMYFUNCTION("""COMPUTED_VALUE"""),"Tandil")</f>
        <v>Tandil</v>
      </c>
      <c r="B8336" s="120" t="str">
        <f>IFERROR(__xludf.DUMMYFUNCTION("""COMPUTED_VALUE"""),"TDL")</f>
        <v>TDL</v>
      </c>
      <c r="C8336" s="120" t="str">
        <f>IFERROR(__xludf.DUMMYFUNCTION("""COMPUTED_VALUE"""),"Tandil")</f>
        <v>Tandil</v>
      </c>
      <c r="D8336" s="120" t="str">
        <f>IFERROR(__xludf.DUMMYFUNCTION("""COMPUTED_VALUE"""),"Argentina")</f>
        <v>Argentina</v>
      </c>
      <c r="E8336" s="135"/>
      <c r="F8336" s="31"/>
    </row>
    <row r="8337">
      <c r="A8337" s="134" t="str">
        <f>IFERROR(__xludf.DUMMYFUNCTION("""COMPUTED_VALUE"""),"Tanegashima")</f>
        <v>Tanegashima</v>
      </c>
      <c r="B8337" s="120" t="str">
        <f>IFERROR(__xludf.DUMMYFUNCTION("""COMPUTED_VALUE"""),"TNE")</f>
        <v>TNE</v>
      </c>
      <c r="C8337" s="120" t="str">
        <f>IFERROR(__xludf.DUMMYFUNCTION("""COMPUTED_VALUE"""),"Tanegashima")</f>
        <v>Tanegashima</v>
      </c>
      <c r="D8337" s="120" t="str">
        <f>IFERROR(__xludf.DUMMYFUNCTION("""COMPUTED_VALUE"""),"Japan")</f>
        <v>Japan</v>
      </c>
      <c r="E8337" s="135"/>
      <c r="F8337" s="31"/>
    </row>
    <row r="8338">
      <c r="A8338" s="134" t="str">
        <f>IFERROR(__xludf.DUMMYFUNCTION("""COMPUTED_VALUE"""),"Tanga")</f>
        <v>Tanga</v>
      </c>
      <c r="B8338" s="120" t="str">
        <f>IFERROR(__xludf.DUMMYFUNCTION("""COMPUTED_VALUE"""),"TGT")</f>
        <v>TGT</v>
      </c>
      <c r="C8338" s="120" t="str">
        <f>IFERROR(__xludf.DUMMYFUNCTION("""COMPUTED_VALUE"""),"Tanga")</f>
        <v>Tanga</v>
      </c>
      <c r="D8338" s="120" t="str">
        <f>IFERROR(__xludf.DUMMYFUNCTION("""COMPUTED_VALUE"""),"Tanzania")</f>
        <v>Tanzania</v>
      </c>
      <c r="E8338" s="135"/>
      <c r="F8338" s="31"/>
    </row>
    <row r="8339">
      <c r="A8339" s="134" t="str">
        <f>IFERROR(__xludf.DUMMYFUNCTION("""COMPUTED_VALUE"""),"Tangalooma")</f>
        <v>Tangalooma</v>
      </c>
      <c r="B8339" s="120" t="str">
        <f>IFERROR(__xludf.DUMMYFUNCTION("""COMPUTED_VALUE"""),"TAN")</f>
        <v>TAN</v>
      </c>
      <c r="C8339" s="120" t="str">
        <f>IFERROR(__xludf.DUMMYFUNCTION("""COMPUTED_VALUE"""),"Tangalooma")</f>
        <v>Tangalooma</v>
      </c>
      <c r="D8339" s="120" t="str">
        <f>IFERROR(__xludf.DUMMYFUNCTION("""COMPUTED_VALUE"""),"Australia")</f>
        <v>Australia</v>
      </c>
      <c r="E8339" s="135"/>
      <c r="F8339" s="31"/>
    </row>
    <row r="8340">
      <c r="A8340" s="134" t="str">
        <f>IFERROR(__xludf.DUMMYFUNCTION("""COMPUTED_VALUE"""),"Tangara da Serra")</f>
        <v>Tangara da Serra</v>
      </c>
      <c r="B8340" s="120" t="str">
        <f>IFERROR(__xludf.DUMMYFUNCTION("""COMPUTED_VALUE"""),"TGQ")</f>
        <v>TGQ</v>
      </c>
      <c r="C8340" s="120" t="str">
        <f>IFERROR(__xludf.DUMMYFUNCTION("""COMPUTED_VALUE"""),"Tangara da Serra")</f>
        <v>Tangara da Serra</v>
      </c>
      <c r="D8340" s="120" t="str">
        <f>IFERROR(__xludf.DUMMYFUNCTION("""COMPUTED_VALUE"""),"Brazil")</f>
        <v>Brazil</v>
      </c>
      <c r="E8340" s="135"/>
      <c r="F8340" s="31"/>
    </row>
    <row r="8341">
      <c r="A8341" s="134" t="str">
        <f>IFERROR(__xludf.DUMMYFUNCTION("""COMPUTED_VALUE"""),"Tangier")</f>
        <v>Tangier</v>
      </c>
      <c r="B8341" s="120" t="str">
        <f>IFERROR(__xludf.DUMMYFUNCTION("""COMPUTED_VALUE"""),"TNG")</f>
        <v>TNG</v>
      </c>
      <c r="C8341" s="120" t="str">
        <f>IFERROR(__xludf.DUMMYFUNCTION("""COMPUTED_VALUE"""),"Boukhalef")</f>
        <v>Boukhalef</v>
      </c>
      <c r="D8341" s="120" t="str">
        <f>IFERROR(__xludf.DUMMYFUNCTION("""COMPUTED_VALUE"""),"Morocco")</f>
        <v>Morocco</v>
      </c>
      <c r="E8341" s="135"/>
      <c r="F8341" s="31"/>
    </row>
    <row r="8342">
      <c r="A8342" s="134" t="str">
        <f>IFERROR(__xludf.DUMMYFUNCTION("""COMPUTED_VALUE"""),"Tanjung Balai")</f>
        <v>Tanjung Balai</v>
      </c>
      <c r="B8342" s="120" t="str">
        <f>IFERROR(__xludf.DUMMYFUNCTION("""COMPUTED_VALUE"""),"TJB")</f>
        <v>TJB</v>
      </c>
      <c r="C8342" s="120" t="str">
        <f>IFERROR(__xludf.DUMMYFUNCTION("""COMPUTED_VALUE"""),"Tanjung Balai")</f>
        <v>Tanjung Balai</v>
      </c>
      <c r="D8342" s="120" t="str">
        <f>IFERROR(__xludf.DUMMYFUNCTION("""COMPUTED_VALUE"""),"Indonesia")</f>
        <v>Indonesia</v>
      </c>
      <c r="E8342" s="135"/>
      <c r="F8342" s="31"/>
    </row>
    <row r="8343">
      <c r="A8343" s="134" t="str">
        <f>IFERROR(__xludf.DUMMYFUNCTION("""COMPUTED_VALUE"""),"Tanjung Pandan")</f>
        <v>Tanjung Pandan</v>
      </c>
      <c r="B8343" s="120" t="str">
        <f>IFERROR(__xludf.DUMMYFUNCTION("""COMPUTED_VALUE"""),"TJQ")</f>
        <v>TJQ</v>
      </c>
      <c r="C8343" s="120" t="str">
        <f>IFERROR(__xludf.DUMMYFUNCTION("""COMPUTED_VALUE"""),"Bulutumbang")</f>
        <v>Bulutumbang</v>
      </c>
      <c r="D8343" s="120" t="str">
        <f>IFERROR(__xludf.DUMMYFUNCTION("""COMPUTED_VALUE"""),"Indonesia")</f>
        <v>Indonesia</v>
      </c>
      <c r="E8343" s="135"/>
      <c r="F8343" s="31"/>
    </row>
    <row r="8344">
      <c r="A8344" s="134" t="str">
        <f>IFERROR(__xludf.DUMMYFUNCTION("""COMPUTED_VALUE"""),"Tanjung Pelepas")</f>
        <v>Tanjung Pelepas</v>
      </c>
      <c r="B8344" s="120" t="str">
        <f>IFERROR(__xludf.DUMMYFUNCTION("""COMPUTED_VALUE"""),"ZJT")</f>
        <v>ZJT</v>
      </c>
      <c r="C8344" s="120" t="str">
        <f>IFERROR(__xludf.DUMMYFUNCTION("""COMPUTED_VALUE"""),"Tanjung Pelepas Port")</f>
        <v>Tanjung Pelepas Port</v>
      </c>
      <c r="D8344" s="120" t="str">
        <f>IFERROR(__xludf.DUMMYFUNCTION("""COMPUTED_VALUE"""),"Malaysia")</f>
        <v>Malaysia</v>
      </c>
      <c r="E8344" s="135"/>
      <c r="F8344" s="31"/>
    </row>
    <row r="8345">
      <c r="A8345" s="134" t="str">
        <f>IFERROR(__xludf.DUMMYFUNCTION("""COMPUTED_VALUE"""),"Tanjung Pinang")</f>
        <v>Tanjung Pinang</v>
      </c>
      <c r="B8345" s="120" t="str">
        <f>IFERROR(__xludf.DUMMYFUNCTION("""COMPUTED_VALUE"""),"TNJ")</f>
        <v>TNJ</v>
      </c>
      <c r="C8345" s="120" t="str">
        <f>IFERROR(__xludf.DUMMYFUNCTION("""COMPUTED_VALUE"""),"Kidjang")</f>
        <v>Kidjang</v>
      </c>
      <c r="D8345" s="120" t="str">
        <f>IFERROR(__xludf.DUMMYFUNCTION("""COMPUTED_VALUE"""),"Indonesia")</f>
        <v>Indonesia</v>
      </c>
      <c r="E8345" s="135"/>
      <c r="F8345" s="31"/>
    </row>
    <row r="8346">
      <c r="A8346" s="134" t="str">
        <f>IFERROR(__xludf.DUMMYFUNCTION("""COMPUTED_VALUE"""),"Tanjung Santan")</f>
        <v>Tanjung Santan</v>
      </c>
      <c r="B8346" s="120" t="str">
        <f>IFERROR(__xludf.DUMMYFUNCTION("""COMPUTED_VALUE"""),"TSX")</f>
        <v>TSX</v>
      </c>
      <c r="C8346" s="120" t="str">
        <f>IFERROR(__xludf.DUMMYFUNCTION("""COMPUTED_VALUE"""),"Tanjung Santan")</f>
        <v>Tanjung Santan</v>
      </c>
      <c r="D8346" s="120" t="str">
        <f>IFERROR(__xludf.DUMMYFUNCTION("""COMPUTED_VALUE"""),"Indonesia")</f>
        <v>Indonesia</v>
      </c>
      <c r="E8346" s="135"/>
      <c r="F8346" s="31"/>
    </row>
    <row r="8347">
      <c r="A8347" s="134" t="str">
        <f>IFERROR(__xludf.DUMMYFUNCTION("""COMPUTED_VALUE"""),"Tanjung Selor")</f>
        <v>Tanjung Selor</v>
      </c>
      <c r="B8347" s="120" t="str">
        <f>IFERROR(__xludf.DUMMYFUNCTION("""COMPUTED_VALUE"""),"TJS")</f>
        <v>TJS</v>
      </c>
      <c r="C8347" s="120" t="str">
        <f>IFERROR(__xludf.DUMMYFUNCTION("""COMPUTED_VALUE"""),"Tanjung Selor")</f>
        <v>Tanjung Selor</v>
      </c>
      <c r="D8347" s="120" t="str">
        <f>IFERROR(__xludf.DUMMYFUNCTION("""COMPUTED_VALUE"""),"Indonesia")</f>
        <v>Indonesia</v>
      </c>
      <c r="E8347" s="135"/>
      <c r="F8347" s="31"/>
    </row>
    <row r="8348">
      <c r="A8348" s="134" t="str">
        <f>IFERROR(__xludf.DUMMYFUNCTION("""COMPUTED_VALUE"""),"Tanjung Warukin")</f>
        <v>Tanjung Warukin</v>
      </c>
      <c r="B8348" s="120" t="str">
        <f>IFERROR(__xludf.DUMMYFUNCTION("""COMPUTED_VALUE"""),"TJG")</f>
        <v>TJG</v>
      </c>
      <c r="C8348" s="120" t="str">
        <f>IFERROR(__xludf.DUMMYFUNCTION("""COMPUTED_VALUE"""),"Tanjung Warukin")</f>
        <v>Tanjung Warukin</v>
      </c>
      <c r="D8348" s="120" t="str">
        <f>IFERROR(__xludf.DUMMYFUNCTION("""COMPUTED_VALUE"""),"Indonesia")</f>
        <v>Indonesia</v>
      </c>
      <c r="E8348" s="135"/>
      <c r="F8348" s="31"/>
    </row>
    <row r="8349">
      <c r="A8349" s="134" t="str">
        <f>IFERROR(__xludf.DUMMYFUNCTION("""COMPUTED_VALUE"""),"Tanna")</f>
        <v>Tanna</v>
      </c>
      <c r="B8349" s="120" t="str">
        <f>IFERROR(__xludf.DUMMYFUNCTION("""COMPUTED_VALUE"""),"TAH")</f>
        <v>TAH</v>
      </c>
      <c r="C8349" s="120" t="str">
        <f>IFERROR(__xludf.DUMMYFUNCTION("""COMPUTED_VALUE"""),"Tanna")</f>
        <v>Tanna</v>
      </c>
      <c r="D8349" s="120" t="str">
        <f>IFERROR(__xludf.DUMMYFUNCTION("""COMPUTED_VALUE"""),"Vanuatu")</f>
        <v>Vanuatu</v>
      </c>
      <c r="E8349" s="135"/>
      <c r="F8349" s="31"/>
    </row>
    <row r="8350">
      <c r="A8350" s="134" t="str">
        <f>IFERROR(__xludf.DUMMYFUNCTION("""COMPUTED_VALUE"""),"Taormina")</f>
        <v>Taormina</v>
      </c>
      <c r="B8350" s="120" t="str">
        <f>IFERROR(__xludf.DUMMYFUNCTION("""COMPUTED_VALUE"""),"TFC")</f>
        <v>TFC</v>
      </c>
      <c r="C8350" s="120" t="str">
        <f>IFERROR(__xludf.DUMMYFUNCTION("""COMPUTED_VALUE"""),"Taormina Harbour")</f>
        <v>Taormina Harbour</v>
      </c>
      <c r="D8350" s="120" t="str">
        <f>IFERROR(__xludf.DUMMYFUNCTION("""COMPUTED_VALUE"""),"Italy")</f>
        <v>Italy</v>
      </c>
      <c r="E8350" s="135"/>
      <c r="F8350" s="31"/>
    </row>
    <row r="8351">
      <c r="A8351" s="134" t="str">
        <f>IFERROR(__xludf.DUMMYFUNCTION("""COMPUTED_VALUE"""),"Taos")</f>
        <v>Taos</v>
      </c>
      <c r="B8351" s="120" t="str">
        <f>IFERROR(__xludf.DUMMYFUNCTION("""COMPUTED_VALUE"""),"TSM")</f>
        <v>TSM</v>
      </c>
      <c r="C8351" s="120" t="str">
        <f>IFERROR(__xludf.DUMMYFUNCTION("""COMPUTED_VALUE"""),"Taos")</f>
        <v>Taos</v>
      </c>
      <c r="D8351" s="120" t="str">
        <f>IFERROR(__xludf.DUMMYFUNCTION("""COMPUTED_VALUE"""),"United States")</f>
        <v>United States</v>
      </c>
      <c r="E8351" s="135"/>
      <c r="F8351" s="31"/>
    </row>
    <row r="8352">
      <c r="A8352" s="134" t="str">
        <f>IFERROR(__xludf.DUMMYFUNCTION("""COMPUTED_VALUE"""),"Tapachula")</f>
        <v>Tapachula</v>
      </c>
      <c r="B8352" s="120" t="str">
        <f>IFERROR(__xludf.DUMMYFUNCTION("""COMPUTED_VALUE"""),"TAP")</f>
        <v>TAP</v>
      </c>
      <c r="C8352" s="120" t="str">
        <f>IFERROR(__xludf.DUMMYFUNCTION("""COMPUTED_VALUE"""),"Tapachula International")</f>
        <v>Tapachula International</v>
      </c>
      <c r="D8352" s="120" t="str">
        <f>IFERROR(__xludf.DUMMYFUNCTION("""COMPUTED_VALUE"""),"Mexico")</f>
        <v>Mexico</v>
      </c>
      <c r="E8352" s="135"/>
      <c r="F8352" s="31"/>
    </row>
    <row r="8353">
      <c r="A8353" s="134" t="str">
        <f>IFERROR(__xludf.DUMMYFUNCTION("""COMPUTED_VALUE"""),"Tapaktuan")</f>
        <v>Tapaktuan</v>
      </c>
      <c r="B8353" s="120" t="str">
        <f>IFERROR(__xludf.DUMMYFUNCTION("""COMPUTED_VALUE"""),"TPK")</f>
        <v>TPK</v>
      </c>
      <c r="C8353" s="120" t="str">
        <f>IFERROR(__xludf.DUMMYFUNCTION("""COMPUTED_VALUE"""),"Tapaktuan")</f>
        <v>Tapaktuan</v>
      </c>
      <c r="D8353" s="120" t="str">
        <f>IFERROR(__xludf.DUMMYFUNCTION("""COMPUTED_VALUE"""),"Indonesia")</f>
        <v>Indonesia</v>
      </c>
      <c r="E8353" s="135"/>
      <c r="F8353" s="31"/>
    </row>
    <row r="8354">
      <c r="A8354" s="134" t="str">
        <f>IFERROR(__xludf.DUMMYFUNCTION("""COMPUTED_VALUE"""),"Tapeta")</f>
        <v>Tapeta</v>
      </c>
      <c r="B8354" s="120" t="str">
        <f>IFERROR(__xludf.DUMMYFUNCTION("""COMPUTED_VALUE"""),"TPT")</f>
        <v>TPT</v>
      </c>
      <c r="C8354" s="120" t="str">
        <f>IFERROR(__xludf.DUMMYFUNCTION("""COMPUTED_VALUE"""),"Tapeta")</f>
        <v>Tapeta</v>
      </c>
      <c r="D8354" s="120" t="str">
        <f>IFERROR(__xludf.DUMMYFUNCTION("""COMPUTED_VALUE"""),"Liberia")</f>
        <v>Liberia</v>
      </c>
      <c r="E8354" s="135"/>
      <c r="F8354" s="31"/>
    </row>
    <row r="8355">
      <c r="A8355" s="134" t="str">
        <f>IFERROR(__xludf.DUMMYFUNCTION("""COMPUTED_VALUE"""),"Tapini")</f>
        <v>Tapini</v>
      </c>
      <c r="B8355" s="120" t="str">
        <f>IFERROR(__xludf.DUMMYFUNCTION("""COMPUTED_VALUE"""),"TPI")</f>
        <v>TPI</v>
      </c>
      <c r="C8355" s="120" t="str">
        <f>IFERROR(__xludf.DUMMYFUNCTION("""COMPUTED_VALUE"""),"Tapini")</f>
        <v>Tapini</v>
      </c>
      <c r="D8355" s="120" t="str">
        <f>IFERROR(__xludf.DUMMYFUNCTION("""COMPUTED_VALUE"""),"Papua New Guinea")</f>
        <v>Papua New Guinea</v>
      </c>
      <c r="E8355" s="135"/>
      <c r="F8355" s="31"/>
    </row>
    <row r="8356">
      <c r="A8356" s="134" t="str">
        <f>IFERROR(__xludf.DUMMYFUNCTION("""COMPUTED_VALUE"""),"Taplejung")</f>
        <v>Taplejung</v>
      </c>
      <c r="B8356" s="120" t="str">
        <f>IFERROR(__xludf.DUMMYFUNCTION("""COMPUTED_VALUE"""),"TPJ")</f>
        <v>TPJ</v>
      </c>
      <c r="C8356" s="120" t="str">
        <f>IFERROR(__xludf.DUMMYFUNCTION("""COMPUTED_VALUE"""),"Taplejung Suketar")</f>
        <v>Taplejung Suketar</v>
      </c>
      <c r="D8356" s="120" t="str">
        <f>IFERROR(__xludf.DUMMYFUNCTION("""COMPUTED_VALUE"""),"Nepal")</f>
        <v>Nepal</v>
      </c>
      <c r="E8356" s="135"/>
      <c r="F8356" s="31"/>
    </row>
    <row r="8357">
      <c r="A8357" s="134" t="str">
        <f>IFERROR(__xludf.DUMMYFUNCTION("""COMPUTED_VALUE"""),"Tara")</f>
        <v>Tara</v>
      </c>
      <c r="B8357" s="120" t="str">
        <f>IFERROR(__xludf.DUMMYFUNCTION("""COMPUTED_VALUE"""),"XTR")</f>
        <v>XTR</v>
      </c>
      <c r="C8357" s="120" t="str">
        <f>IFERROR(__xludf.DUMMYFUNCTION("""COMPUTED_VALUE"""),"Tara")</f>
        <v>Tara</v>
      </c>
      <c r="D8357" s="120" t="str">
        <f>IFERROR(__xludf.DUMMYFUNCTION("""COMPUTED_VALUE"""),"Australia")</f>
        <v>Australia</v>
      </c>
      <c r="E8357" s="135"/>
      <c r="F8357" s="31"/>
    </row>
    <row r="8358">
      <c r="A8358" s="134" t="str">
        <f>IFERROR(__xludf.DUMMYFUNCTION("""COMPUTED_VALUE"""),"Tarabo")</f>
        <v>Tarabo</v>
      </c>
      <c r="B8358" s="120" t="str">
        <f>IFERROR(__xludf.DUMMYFUNCTION("""COMPUTED_VALUE"""),"TBQ")</f>
        <v>TBQ</v>
      </c>
      <c r="C8358" s="120" t="str">
        <f>IFERROR(__xludf.DUMMYFUNCTION("""COMPUTED_VALUE"""),"Tarabo")</f>
        <v>Tarabo</v>
      </c>
      <c r="D8358" s="120" t="str">
        <f>IFERROR(__xludf.DUMMYFUNCTION("""COMPUTED_VALUE"""),"Papua New Guinea")</f>
        <v>Papua New Guinea</v>
      </c>
      <c r="E8358" s="135"/>
      <c r="F8358" s="31"/>
    </row>
    <row r="8359">
      <c r="A8359" s="134" t="str">
        <f>IFERROR(__xludf.DUMMYFUNCTION("""COMPUTED_VALUE"""),"Tarakan")</f>
        <v>Tarakan</v>
      </c>
      <c r="B8359" s="120" t="str">
        <f>IFERROR(__xludf.DUMMYFUNCTION("""COMPUTED_VALUE"""),"TRK")</f>
        <v>TRK</v>
      </c>
      <c r="C8359" s="120" t="str">
        <f>IFERROR(__xludf.DUMMYFUNCTION("""COMPUTED_VALUE"""),"Tarakan")</f>
        <v>Tarakan</v>
      </c>
      <c r="D8359" s="120" t="str">
        <f>IFERROR(__xludf.DUMMYFUNCTION("""COMPUTED_VALUE"""),"Indonesia")</f>
        <v>Indonesia</v>
      </c>
      <c r="E8359" s="135"/>
      <c r="F8359" s="31"/>
    </row>
    <row r="8360">
      <c r="A8360" s="134" t="str">
        <f>IFERROR(__xludf.DUMMYFUNCTION("""COMPUTED_VALUE"""),"Tarakbits")</f>
        <v>Tarakbits</v>
      </c>
      <c r="B8360" s="120" t="str">
        <f>IFERROR(__xludf.DUMMYFUNCTION("""COMPUTED_VALUE"""),"TRJ")</f>
        <v>TRJ</v>
      </c>
      <c r="C8360" s="120" t="str">
        <f>IFERROR(__xludf.DUMMYFUNCTION("""COMPUTED_VALUE"""),"Tarakbits")</f>
        <v>Tarakbits</v>
      </c>
      <c r="D8360" s="120" t="str">
        <f>IFERROR(__xludf.DUMMYFUNCTION("""COMPUTED_VALUE"""),"Papua New Guinea")</f>
        <v>Papua New Guinea</v>
      </c>
      <c r="E8360" s="135"/>
      <c r="F8360" s="31"/>
    </row>
    <row r="8361">
      <c r="A8361" s="134" t="str">
        <f>IFERROR(__xludf.DUMMYFUNCTION("""COMPUTED_VALUE"""),"Taramajima")</f>
        <v>Taramajima</v>
      </c>
      <c r="B8361" s="120" t="str">
        <f>IFERROR(__xludf.DUMMYFUNCTION("""COMPUTED_VALUE"""),"TRA")</f>
        <v>TRA</v>
      </c>
      <c r="C8361" s="120" t="str">
        <f>IFERROR(__xludf.DUMMYFUNCTION("""COMPUTED_VALUE"""),"Tarama")</f>
        <v>Tarama</v>
      </c>
      <c r="D8361" s="120" t="str">
        <f>IFERROR(__xludf.DUMMYFUNCTION("""COMPUTED_VALUE"""),"Japan")</f>
        <v>Japan</v>
      </c>
      <c r="E8361" s="135"/>
      <c r="F8361" s="31"/>
    </row>
    <row r="8362">
      <c r="A8362" s="134" t="str">
        <f>IFERROR(__xludf.DUMMYFUNCTION("""COMPUTED_VALUE"""),"Taranto")</f>
        <v>Taranto</v>
      </c>
      <c r="B8362" s="120" t="str">
        <f>IFERROR(__xludf.DUMMYFUNCTION("""COMPUTED_VALUE"""),"TAR")</f>
        <v>TAR</v>
      </c>
      <c r="C8362" s="120" t="str">
        <f>IFERROR(__xludf.DUMMYFUNCTION("""COMPUTED_VALUE"""),"M. A. Grottag")</f>
        <v>M. A. Grottag</v>
      </c>
      <c r="D8362" s="120" t="str">
        <f>IFERROR(__xludf.DUMMYFUNCTION("""COMPUTED_VALUE"""),"Italy")</f>
        <v>Italy</v>
      </c>
      <c r="E8362" s="135"/>
      <c r="F8362" s="31"/>
    </row>
    <row r="8363">
      <c r="A8363" s="134" t="str">
        <f>IFERROR(__xludf.DUMMYFUNCTION("""COMPUTED_VALUE"""),"Tarapaca")</f>
        <v>Tarapaca</v>
      </c>
      <c r="B8363" s="120" t="str">
        <f>IFERROR(__xludf.DUMMYFUNCTION("""COMPUTED_VALUE"""),"TCD")</f>
        <v>TCD</v>
      </c>
      <c r="C8363" s="120" t="str">
        <f>IFERROR(__xludf.DUMMYFUNCTION("""COMPUTED_VALUE"""),"Tarapaca")</f>
        <v>Tarapaca</v>
      </c>
      <c r="D8363" s="120" t="str">
        <f>IFERROR(__xludf.DUMMYFUNCTION("""COMPUTED_VALUE"""),"Colombia")</f>
        <v>Colombia</v>
      </c>
      <c r="E8363" s="135"/>
      <c r="F8363" s="31"/>
    </row>
    <row r="8364">
      <c r="A8364" s="134" t="str">
        <f>IFERROR(__xludf.DUMMYFUNCTION("""COMPUTED_VALUE"""),"Tarapaina")</f>
        <v>Tarapaina</v>
      </c>
      <c r="B8364" s="120" t="str">
        <f>IFERROR(__xludf.DUMMYFUNCTION("""COMPUTED_VALUE"""),"TAA")</f>
        <v>TAA</v>
      </c>
      <c r="C8364" s="120" t="str">
        <f>IFERROR(__xludf.DUMMYFUNCTION("""COMPUTED_VALUE"""),"Tarapaina")</f>
        <v>Tarapaina</v>
      </c>
      <c r="D8364" s="120" t="str">
        <f>IFERROR(__xludf.DUMMYFUNCTION("""COMPUTED_VALUE"""),"Solomon Islands")</f>
        <v>Solomon Islands</v>
      </c>
      <c r="E8364" s="135"/>
      <c r="F8364" s="31"/>
    </row>
    <row r="8365">
      <c r="A8365" s="134" t="str">
        <f>IFERROR(__xludf.DUMMYFUNCTION("""COMPUTED_VALUE"""),"Tarapoa")</f>
        <v>Tarapoa</v>
      </c>
      <c r="B8365" s="120" t="str">
        <f>IFERROR(__xludf.DUMMYFUNCTION("""COMPUTED_VALUE"""),"TPC")</f>
        <v>TPC</v>
      </c>
      <c r="C8365" s="120" t="str">
        <f>IFERROR(__xludf.DUMMYFUNCTION("""COMPUTED_VALUE"""),"Tarapoa")</f>
        <v>Tarapoa</v>
      </c>
      <c r="D8365" s="120" t="str">
        <f>IFERROR(__xludf.DUMMYFUNCTION("""COMPUTED_VALUE"""),"Ecuador")</f>
        <v>Ecuador</v>
      </c>
      <c r="E8365" s="135"/>
      <c r="F8365" s="31"/>
    </row>
    <row r="8366">
      <c r="A8366" s="134" t="str">
        <f>IFERROR(__xludf.DUMMYFUNCTION("""COMPUTED_VALUE"""),"Tarapoto")</f>
        <v>Tarapoto</v>
      </c>
      <c r="B8366" s="120" t="str">
        <f>IFERROR(__xludf.DUMMYFUNCTION("""COMPUTED_VALUE"""),"TPP")</f>
        <v>TPP</v>
      </c>
      <c r="C8366" s="120" t="str">
        <f>IFERROR(__xludf.DUMMYFUNCTION("""COMPUTED_VALUE"""),"Tarapoto")</f>
        <v>Tarapoto</v>
      </c>
      <c r="D8366" s="120" t="str">
        <f>IFERROR(__xludf.DUMMYFUNCTION("""COMPUTED_VALUE"""),"Peru")</f>
        <v>Peru</v>
      </c>
      <c r="E8366" s="135"/>
      <c r="F8366" s="31"/>
    </row>
    <row r="8367">
      <c r="A8367" s="134" t="str">
        <f>IFERROR(__xludf.DUMMYFUNCTION("""COMPUTED_VALUE"""),"Tarauaca")</f>
        <v>Tarauaca</v>
      </c>
      <c r="B8367" s="120" t="str">
        <f>IFERROR(__xludf.DUMMYFUNCTION("""COMPUTED_VALUE"""),"TRQ")</f>
        <v>TRQ</v>
      </c>
      <c r="C8367" s="120" t="str">
        <f>IFERROR(__xludf.DUMMYFUNCTION("""COMPUTED_VALUE"""),"Tarauaca")</f>
        <v>Tarauaca</v>
      </c>
      <c r="D8367" s="120" t="str">
        <f>IFERROR(__xludf.DUMMYFUNCTION("""COMPUTED_VALUE"""),"Brazil")</f>
        <v>Brazil</v>
      </c>
      <c r="E8367" s="135"/>
      <c r="F8367" s="31"/>
    </row>
    <row r="8368">
      <c r="A8368" s="134" t="str">
        <f>IFERROR(__xludf.DUMMYFUNCTION("""COMPUTED_VALUE"""),"Tarawa")</f>
        <v>Tarawa</v>
      </c>
      <c r="B8368" s="120" t="str">
        <f>IFERROR(__xludf.DUMMYFUNCTION("""COMPUTED_VALUE"""),"TRW")</f>
        <v>TRW</v>
      </c>
      <c r="C8368" s="120" t="str">
        <f>IFERROR(__xludf.DUMMYFUNCTION("""COMPUTED_VALUE"""),"Bonriki")</f>
        <v>Bonriki</v>
      </c>
      <c r="D8368" s="120" t="str">
        <f>IFERROR(__xludf.DUMMYFUNCTION("""COMPUTED_VALUE"""),"Kiribati")</f>
        <v>Kiribati</v>
      </c>
      <c r="E8368" s="135"/>
      <c r="F8368" s="31"/>
    </row>
    <row r="8369">
      <c r="A8369" s="134" t="str">
        <f>IFERROR(__xludf.DUMMYFUNCTION("""COMPUTED_VALUE"""),"Tarbela")</f>
        <v>Tarbela</v>
      </c>
      <c r="B8369" s="120" t="str">
        <f>IFERROR(__xludf.DUMMYFUNCTION("""COMPUTED_VALUE"""),"TLB")</f>
        <v>TLB</v>
      </c>
      <c r="C8369" s="120" t="str">
        <f>IFERROR(__xludf.DUMMYFUNCTION("""COMPUTED_VALUE"""),"Tarbela")</f>
        <v>Tarbela</v>
      </c>
      <c r="D8369" s="120" t="str">
        <f>IFERROR(__xludf.DUMMYFUNCTION("""COMPUTED_VALUE"""),"Pakistan")</f>
        <v>Pakistan</v>
      </c>
      <c r="E8369" s="135"/>
      <c r="F8369" s="31"/>
    </row>
    <row r="8370">
      <c r="A8370" s="134" t="str">
        <f>IFERROR(__xludf.DUMMYFUNCTION("""COMPUTED_VALUE"""),"Tarcoola")</f>
        <v>Tarcoola</v>
      </c>
      <c r="B8370" s="120" t="str">
        <f>IFERROR(__xludf.DUMMYFUNCTION("""COMPUTED_VALUE"""),"TAQ")</f>
        <v>TAQ</v>
      </c>
      <c r="C8370" s="120" t="str">
        <f>IFERROR(__xludf.DUMMYFUNCTION("""COMPUTED_VALUE"""),"Tarcoola")</f>
        <v>Tarcoola</v>
      </c>
      <c r="D8370" s="120" t="str">
        <f>IFERROR(__xludf.DUMMYFUNCTION("""COMPUTED_VALUE"""),"Australia")</f>
        <v>Australia</v>
      </c>
      <c r="E8370" s="135"/>
      <c r="F8370" s="31"/>
    </row>
    <row r="8371">
      <c r="A8371" s="134" t="str">
        <f>IFERROR(__xludf.DUMMYFUNCTION("""COMPUTED_VALUE"""),"Taree")</f>
        <v>Taree</v>
      </c>
      <c r="B8371" s="120" t="str">
        <f>IFERROR(__xludf.DUMMYFUNCTION("""COMPUTED_VALUE"""),"TRO")</f>
        <v>TRO</v>
      </c>
      <c r="C8371" s="120" t="str">
        <f>IFERROR(__xludf.DUMMYFUNCTION("""COMPUTED_VALUE"""),"Taree")</f>
        <v>Taree</v>
      </c>
      <c r="D8371" s="120" t="str">
        <f>IFERROR(__xludf.DUMMYFUNCTION("""COMPUTED_VALUE"""),"Australia")</f>
        <v>Australia</v>
      </c>
      <c r="E8371" s="135"/>
      <c r="F8371" s="31"/>
    </row>
    <row r="8372">
      <c r="A8372" s="134" t="str">
        <f>IFERROR(__xludf.DUMMYFUNCTION("""COMPUTED_VALUE"""),"Tarfaya")</f>
        <v>Tarfaya</v>
      </c>
      <c r="B8372" s="120" t="str">
        <f>IFERROR(__xludf.DUMMYFUNCTION("""COMPUTED_VALUE"""),"TFY")</f>
        <v>TFY</v>
      </c>
      <c r="C8372" s="120" t="str">
        <f>IFERROR(__xludf.DUMMYFUNCTION("""COMPUTED_VALUE"""),"Tarfaya")</f>
        <v>Tarfaya</v>
      </c>
      <c r="D8372" s="120" t="str">
        <f>IFERROR(__xludf.DUMMYFUNCTION("""COMPUTED_VALUE"""),"Morocco")</f>
        <v>Morocco</v>
      </c>
      <c r="E8372" s="135"/>
      <c r="F8372" s="31"/>
    </row>
    <row r="8373">
      <c r="A8373" s="134" t="str">
        <f>IFERROR(__xludf.DUMMYFUNCTION("""COMPUTED_VALUE"""),"Targovishte")</f>
        <v>Targovishte</v>
      </c>
      <c r="B8373" s="120" t="str">
        <f>IFERROR(__xludf.DUMMYFUNCTION("""COMPUTED_VALUE"""),"TGV")</f>
        <v>TGV</v>
      </c>
      <c r="C8373" s="120" t="str">
        <f>IFERROR(__xludf.DUMMYFUNCTION("""COMPUTED_VALUE"""),"Targovishte")</f>
        <v>Targovishte</v>
      </c>
      <c r="D8373" s="120" t="str">
        <f>IFERROR(__xludf.DUMMYFUNCTION("""COMPUTED_VALUE"""),"Bulgaria")</f>
        <v>Bulgaria</v>
      </c>
      <c r="E8373" s="135"/>
      <c r="F8373" s="31"/>
    </row>
    <row r="8374">
      <c r="A8374" s="134" t="str">
        <f>IFERROR(__xludf.DUMMYFUNCTION("""COMPUTED_VALUE"""),"Tari")</f>
        <v>Tari</v>
      </c>
      <c r="B8374" s="120" t="str">
        <f>IFERROR(__xludf.DUMMYFUNCTION("""COMPUTED_VALUE"""),"TIZ")</f>
        <v>TIZ</v>
      </c>
      <c r="C8374" s="120" t="str">
        <f>IFERROR(__xludf.DUMMYFUNCTION("""COMPUTED_VALUE"""),"Tari")</f>
        <v>Tari</v>
      </c>
      <c r="D8374" s="120" t="str">
        <f>IFERROR(__xludf.DUMMYFUNCTION("""COMPUTED_VALUE"""),"Papua New Guinea")</f>
        <v>Papua New Guinea</v>
      </c>
      <c r="E8374" s="135"/>
      <c r="F8374" s="31"/>
    </row>
    <row r="8375">
      <c r="A8375" s="134" t="str">
        <f>IFERROR(__xludf.DUMMYFUNCTION("""COMPUTED_VALUE"""),"Tarija")</f>
        <v>Tarija</v>
      </c>
      <c r="B8375" s="120" t="str">
        <f>IFERROR(__xludf.DUMMYFUNCTION("""COMPUTED_VALUE"""),"TJA")</f>
        <v>TJA</v>
      </c>
      <c r="C8375" s="120" t="str">
        <f>IFERROR(__xludf.DUMMYFUNCTION("""COMPUTED_VALUE"""),"Tarija")</f>
        <v>Tarija</v>
      </c>
      <c r="D8375" s="120" t="str">
        <f>IFERROR(__xludf.DUMMYFUNCTION("""COMPUTED_VALUE"""),"Bolivia")</f>
        <v>Bolivia</v>
      </c>
      <c r="E8375" s="135"/>
      <c r="F8375" s="31"/>
    </row>
    <row r="8376">
      <c r="A8376" s="134" t="str">
        <f>IFERROR(__xludf.DUMMYFUNCTION("""COMPUTED_VALUE"""),"Taroom")</f>
        <v>Taroom</v>
      </c>
      <c r="B8376" s="120" t="str">
        <f>IFERROR(__xludf.DUMMYFUNCTION("""COMPUTED_VALUE"""),"XTO")</f>
        <v>XTO</v>
      </c>
      <c r="C8376" s="120" t="str">
        <f>IFERROR(__xludf.DUMMYFUNCTION("""COMPUTED_VALUE"""),"Taroom")</f>
        <v>Taroom</v>
      </c>
      <c r="D8376" s="120" t="str">
        <f>IFERROR(__xludf.DUMMYFUNCTION("""COMPUTED_VALUE"""),"Australia")</f>
        <v>Australia</v>
      </c>
      <c r="E8376" s="135"/>
      <c r="F8376" s="31"/>
    </row>
    <row r="8377">
      <c r="A8377" s="134" t="str">
        <f>IFERROR(__xludf.DUMMYFUNCTION("""COMPUTED_VALUE"""),"Tartagal")</f>
        <v>Tartagal</v>
      </c>
      <c r="B8377" s="120" t="str">
        <f>IFERROR(__xludf.DUMMYFUNCTION("""COMPUTED_VALUE"""),"TTG")</f>
        <v>TTG</v>
      </c>
      <c r="C8377" s="120" t="str">
        <f>IFERROR(__xludf.DUMMYFUNCTION("""COMPUTED_VALUE"""),"Tartagal")</f>
        <v>Tartagal</v>
      </c>
      <c r="D8377" s="120" t="str">
        <f>IFERROR(__xludf.DUMMYFUNCTION("""COMPUTED_VALUE"""),"Argentina")</f>
        <v>Argentina</v>
      </c>
      <c r="E8377" s="135"/>
      <c r="F8377" s="31"/>
    </row>
    <row r="8378">
      <c r="A8378" s="134" t="str">
        <f>IFERROR(__xludf.DUMMYFUNCTION("""COMPUTED_VALUE"""),"Tartu")</f>
        <v>Tartu</v>
      </c>
      <c r="B8378" s="120" t="str">
        <f>IFERROR(__xludf.DUMMYFUNCTION("""COMPUTED_VALUE"""),"TAY")</f>
        <v>TAY</v>
      </c>
      <c r="C8378" s="120" t="str">
        <f>IFERROR(__xludf.DUMMYFUNCTION("""COMPUTED_VALUE"""),"Tartu")</f>
        <v>Tartu</v>
      </c>
      <c r="D8378" s="120" t="str">
        <f>IFERROR(__xludf.DUMMYFUNCTION("""COMPUTED_VALUE"""),"Estonia")</f>
        <v>Estonia</v>
      </c>
      <c r="E8378" s="135"/>
      <c r="F8378" s="31"/>
    </row>
    <row r="8379">
      <c r="A8379" s="134" t="str">
        <f>IFERROR(__xludf.DUMMYFUNCTION("""COMPUTED_VALUE"""),"Tashkent")</f>
        <v>Tashkent</v>
      </c>
      <c r="B8379" s="120" t="str">
        <f>IFERROR(__xludf.DUMMYFUNCTION("""COMPUTED_VALUE"""),"TAS")</f>
        <v>TAS</v>
      </c>
      <c r="C8379" s="120" t="str">
        <f>IFERROR(__xludf.DUMMYFUNCTION("""COMPUTED_VALUE"""),"Vostochny")</f>
        <v>Vostochny</v>
      </c>
      <c r="D8379" s="120" t="str">
        <f>IFERROR(__xludf.DUMMYFUNCTION("""COMPUTED_VALUE"""),"Uzbekistan")</f>
        <v>Uzbekistan</v>
      </c>
      <c r="E8379" s="135"/>
      <c r="F8379" s="31"/>
    </row>
    <row r="8380">
      <c r="A8380" s="134" t="str">
        <f>IFERROR(__xludf.DUMMYFUNCTION("""COMPUTED_VALUE"""),"Tasiilaq")</f>
        <v>Tasiilaq</v>
      </c>
      <c r="B8380" s="120" t="str">
        <f>IFERROR(__xludf.DUMMYFUNCTION("""COMPUTED_VALUE"""),"AGM")</f>
        <v>AGM</v>
      </c>
      <c r="C8380" s="120" t="str">
        <f>IFERROR(__xludf.DUMMYFUNCTION("""COMPUTED_VALUE"""),"Tasiilaq")</f>
        <v>Tasiilaq</v>
      </c>
      <c r="D8380" s="120" t="str">
        <f>IFERROR(__xludf.DUMMYFUNCTION("""COMPUTED_VALUE"""),"Greenland")</f>
        <v>Greenland</v>
      </c>
      <c r="E8380" s="135"/>
      <c r="F8380" s="31"/>
    </row>
    <row r="8381">
      <c r="A8381" s="134" t="str">
        <f>IFERROR(__xludf.DUMMYFUNCTION("""COMPUTED_VALUE"""),"Tasikmalaya")</f>
        <v>Tasikmalaya</v>
      </c>
      <c r="B8381" s="120" t="str">
        <f>IFERROR(__xludf.DUMMYFUNCTION("""COMPUTED_VALUE"""),"TSY")</f>
        <v>TSY</v>
      </c>
      <c r="C8381" s="120" t="str">
        <f>IFERROR(__xludf.DUMMYFUNCTION("""COMPUTED_VALUE"""),"Tasikmalaya")</f>
        <v>Tasikmalaya</v>
      </c>
      <c r="D8381" s="120" t="str">
        <f>IFERROR(__xludf.DUMMYFUNCTION("""COMPUTED_VALUE"""),"Indonesia")</f>
        <v>Indonesia</v>
      </c>
      <c r="E8381" s="135"/>
      <c r="F8381" s="31"/>
    </row>
    <row r="8382">
      <c r="A8382" s="134" t="str">
        <f>IFERROR(__xludf.DUMMYFUNCTION("""COMPUTED_VALUE"""),"Tasiuasaq")</f>
        <v>Tasiuasaq</v>
      </c>
      <c r="B8382" s="120" t="str">
        <f>IFERROR(__xludf.DUMMYFUNCTION("""COMPUTED_VALUE"""),"XEQ")</f>
        <v>XEQ</v>
      </c>
      <c r="C8382" s="120" t="str">
        <f>IFERROR(__xludf.DUMMYFUNCTION("""COMPUTED_VALUE"""),"Harbour")</f>
        <v>Harbour</v>
      </c>
      <c r="D8382" s="120" t="str">
        <f>IFERROR(__xludf.DUMMYFUNCTION("""COMPUTED_VALUE"""),"Greenland")</f>
        <v>Greenland</v>
      </c>
      <c r="E8382" s="135"/>
      <c r="F8382" s="31"/>
    </row>
    <row r="8383">
      <c r="A8383" s="134" t="str">
        <f>IFERROR(__xludf.DUMMYFUNCTION("""COMPUTED_VALUE"""),"Tasiujuaq")</f>
        <v>Tasiujuaq</v>
      </c>
      <c r="B8383" s="120" t="str">
        <f>IFERROR(__xludf.DUMMYFUNCTION("""COMPUTED_VALUE"""),"YTQ")</f>
        <v>YTQ</v>
      </c>
      <c r="C8383" s="120" t="str">
        <f>IFERROR(__xludf.DUMMYFUNCTION("""COMPUTED_VALUE"""),"Tasiujuaq")</f>
        <v>Tasiujuaq</v>
      </c>
      <c r="D8383" s="120" t="str">
        <f>IFERROR(__xludf.DUMMYFUNCTION("""COMPUTED_VALUE"""),"Canada")</f>
        <v>Canada</v>
      </c>
      <c r="E8383" s="135"/>
      <c r="F8383" s="31"/>
    </row>
    <row r="8384">
      <c r="A8384" s="134" t="str">
        <f>IFERROR(__xludf.DUMMYFUNCTION("""COMPUTED_VALUE"""),"Taskul")</f>
        <v>Taskul</v>
      </c>
      <c r="B8384" s="120" t="str">
        <f>IFERROR(__xludf.DUMMYFUNCTION("""COMPUTED_VALUE"""),"TSK")</f>
        <v>TSK</v>
      </c>
      <c r="C8384" s="120" t="str">
        <f>IFERROR(__xludf.DUMMYFUNCTION("""COMPUTED_VALUE"""),"Taskul")</f>
        <v>Taskul</v>
      </c>
      <c r="D8384" s="120" t="str">
        <f>IFERROR(__xludf.DUMMYFUNCTION("""COMPUTED_VALUE"""),"Papua New Guinea")</f>
        <v>Papua New Guinea</v>
      </c>
      <c r="E8384" s="135"/>
      <c r="F8384" s="31"/>
    </row>
    <row r="8385">
      <c r="A8385" s="134" t="str">
        <f>IFERROR(__xludf.DUMMYFUNCTION("""COMPUTED_VALUE"""),"Tasu")</f>
        <v>Tasu</v>
      </c>
      <c r="B8385" s="120" t="str">
        <f>IFERROR(__xludf.DUMMYFUNCTION("""COMPUTED_VALUE"""),"YTU")</f>
        <v>YTU</v>
      </c>
      <c r="C8385" s="120" t="str">
        <f>IFERROR(__xludf.DUMMYFUNCTION("""COMPUTED_VALUE"""),"Tasu")</f>
        <v>Tasu</v>
      </c>
      <c r="D8385" s="120" t="str">
        <f>IFERROR(__xludf.DUMMYFUNCTION("""COMPUTED_VALUE"""),"Canada")</f>
        <v>Canada</v>
      </c>
      <c r="E8385" s="135"/>
      <c r="F8385" s="31"/>
    </row>
    <row r="8386">
      <c r="A8386" s="134" t="str">
        <f>IFERROR(__xludf.DUMMYFUNCTION("""COMPUTED_VALUE"""),"Tatakoto")</f>
        <v>Tatakoto</v>
      </c>
      <c r="B8386" s="120" t="str">
        <f>IFERROR(__xludf.DUMMYFUNCTION("""COMPUTED_VALUE"""),"TKV")</f>
        <v>TKV</v>
      </c>
      <c r="C8386" s="120" t="str">
        <f>IFERROR(__xludf.DUMMYFUNCTION("""COMPUTED_VALUE"""),"Tatakoto")</f>
        <v>Tatakoto</v>
      </c>
      <c r="D8386" s="120" t="str">
        <f>IFERROR(__xludf.DUMMYFUNCTION("""COMPUTED_VALUE"""),"French Polynesia")</f>
        <v>French Polynesia</v>
      </c>
      <c r="E8386" s="135"/>
      <c r="F8386" s="31"/>
    </row>
    <row r="8387">
      <c r="A8387" s="134" t="str">
        <f>IFERROR(__xludf.DUMMYFUNCTION("""COMPUTED_VALUE"""),"Tatalina")</f>
        <v>Tatalina</v>
      </c>
      <c r="B8387" s="120" t="str">
        <f>IFERROR(__xludf.DUMMYFUNCTION("""COMPUTED_VALUE"""),"TLJ")</f>
        <v>TLJ</v>
      </c>
      <c r="C8387" s="120" t="str">
        <f>IFERROR(__xludf.DUMMYFUNCTION("""COMPUTED_VALUE"""),"Tatalina AFS")</f>
        <v>Tatalina AFS</v>
      </c>
      <c r="D8387" s="120" t="str">
        <f>IFERROR(__xludf.DUMMYFUNCTION("""COMPUTED_VALUE"""),"United States")</f>
        <v>United States</v>
      </c>
      <c r="E8387" s="135"/>
      <c r="F8387" s="31"/>
    </row>
    <row r="8388">
      <c r="A8388" s="134" t="str">
        <f>IFERROR(__xludf.DUMMYFUNCTION("""COMPUTED_VALUE"""),"Tatitlek")</f>
        <v>Tatitlek</v>
      </c>
      <c r="B8388" s="120" t="str">
        <f>IFERROR(__xludf.DUMMYFUNCTION("""COMPUTED_VALUE"""),"TEK")</f>
        <v>TEK</v>
      </c>
      <c r="C8388" s="120" t="str">
        <f>IFERROR(__xludf.DUMMYFUNCTION("""COMPUTED_VALUE"""),"Tatitlek")</f>
        <v>Tatitlek</v>
      </c>
      <c r="D8388" s="120" t="str">
        <f>IFERROR(__xludf.DUMMYFUNCTION("""COMPUTED_VALUE"""),"United States")</f>
        <v>United States</v>
      </c>
      <c r="E8388" s="135"/>
      <c r="F8388" s="31"/>
    </row>
    <row r="8389">
      <c r="A8389" s="134" t="str">
        <f>IFERROR(__xludf.DUMMYFUNCTION("""COMPUTED_VALUE"""),"Tau")</f>
        <v>Tau</v>
      </c>
      <c r="B8389" s="120" t="str">
        <f>IFERROR(__xludf.DUMMYFUNCTION("""COMPUTED_VALUE"""),"TAV")</f>
        <v>TAV</v>
      </c>
      <c r="C8389" s="120" t="str">
        <f>IFERROR(__xludf.DUMMYFUNCTION("""COMPUTED_VALUE"""),"Tau")</f>
        <v>Tau</v>
      </c>
      <c r="D8389" s="120" t="str">
        <f>IFERROR(__xludf.DUMMYFUNCTION("""COMPUTED_VALUE"""),"American Samoa")</f>
        <v>American Samoa</v>
      </c>
      <c r="E8389" s="135"/>
      <c r="F8389" s="31"/>
    </row>
    <row r="8390">
      <c r="A8390" s="134" t="str">
        <f>IFERROR(__xludf.DUMMYFUNCTION("""COMPUTED_VALUE"""),"Taupo")</f>
        <v>Taupo</v>
      </c>
      <c r="B8390" s="120" t="str">
        <f>IFERROR(__xludf.DUMMYFUNCTION("""COMPUTED_VALUE"""),"TUO")</f>
        <v>TUO</v>
      </c>
      <c r="C8390" s="120" t="str">
        <f>IFERROR(__xludf.DUMMYFUNCTION("""COMPUTED_VALUE"""),"Taupo")</f>
        <v>Taupo</v>
      </c>
      <c r="D8390" s="120" t="str">
        <f>IFERROR(__xludf.DUMMYFUNCTION("""COMPUTED_VALUE"""),"New Zealand (Aotearoa)")</f>
        <v>New Zealand (Aotearoa)</v>
      </c>
      <c r="E8390" s="135"/>
      <c r="F8390" s="31"/>
    </row>
    <row r="8391">
      <c r="A8391" s="134" t="str">
        <f>IFERROR(__xludf.DUMMYFUNCTION("""COMPUTED_VALUE"""),"Tauramena")</f>
        <v>Tauramena</v>
      </c>
      <c r="B8391" s="120" t="str">
        <f>IFERROR(__xludf.DUMMYFUNCTION("""COMPUTED_VALUE"""),"TAU")</f>
        <v>TAU</v>
      </c>
      <c r="C8391" s="120" t="str">
        <f>IFERROR(__xludf.DUMMYFUNCTION("""COMPUTED_VALUE"""),"Tauramena")</f>
        <v>Tauramena</v>
      </c>
      <c r="D8391" s="120" t="str">
        <f>IFERROR(__xludf.DUMMYFUNCTION("""COMPUTED_VALUE"""),"Colombia")</f>
        <v>Colombia</v>
      </c>
      <c r="E8391" s="135"/>
      <c r="F8391" s="31"/>
    </row>
    <row r="8392">
      <c r="A8392" s="134" t="str">
        <f>IFERROR(__xludf.DUMMYFUNCTION("""COMPUTED_VALUE"""),"Tauranga")</f>
        <v>Tauranga</v>
      </c>
      <c r="B8392" s="120" t="str">
        <f>IFERROR(__xludf.DUMMYFUNCTION("""COMPUTED_VALUE"""),"TRG")</f>
        <v>TRG</v>
      </c>
      <c r="C8392" s="120" t="str">
        <f>IFERROR(__xludf.DUMMYFUNCTION("""COMPUTED_VALUE"""),"Tauranga City")</f>
        <v>Tauranga City</v>
      </c>
      <c r="D8392" s="120" t="str">
        <f>IFERROR(__xludf.DUMMYFUNCTION("""COMPUTED_VALUE"""),"New Zealand (Aotearoa)")</f>
        <v>New Zealand (Aotearoa)</v>
      </c>
      <c r="E8392" s="135"/>
      <c r="F8392" s="31"/>
    </row>
    <row r="8393">
      <c r="A8393" s="134" t="str">
        <f>IFERROR(__xludf.DUMMYFUNCTION("""COMPUTED_VALUE"""),"Tauta")</f>
        <v>Tauta</v>
      </c>
      <c r="B8393" s="120" t="str">
        <f>IFERROR(__xludf.DUMMYFUNCTION("""COMPUTED_VALUE"""),"TUT")</f>
        <v>TUT</v>
      </c>
      <c r="C8393" s="120" t="str">
        <f>IFERROR(__xludf.DUMMYFUNCTION("""COMPUTED_VALUE"""),"Tauta")</f>
        <v>Tauta</v>
      </c>
      <c r="D8393" s="120" t="str">
        <f>IFERROR(__xludf.DUMMYFUNCTION("""COMPUTED_VALUE"""),"Papua New Guinea")</f>
        <v>Papua New Guinea</v>
      </c>
      <c r="E8393" s="135"/>
      <c r="F8393" s="31"/>
    </row>
    <row r="8394">
      <c r="A8394" s="134" t="str">
        <f>IFERROR(__xludf.DUMMYFUNCTION("""COMPUTED_VALUE"""),"Taveuni")</f>
        <v>Taveuni</v>
      </c>
      <c r="B8394" s="120" t="str">
        <f>IFERROR(__xludf.DUMMYFUNCTION("""COMPUTED_VALUE"""),"TVU")</f>
        <v>TVU</v>
      </c>
      <c r="C8394" s="120" t="str">
        <f>IFERROR(__xludf.DUMMYFUNCTION("""COMPUTED_VALUE"""),"Matei")</f>
        <v>Matei</v>
      </c>
      <c r="D8394" s="120" t="str">
        <f>IFERROR(__xludf.DUMMYFUNCTION("""COMPUTED_VALUE"""),"Fiji")</f>
        <v>Fiji</v>
      </c>
      <c r="E8394" s="135"/>
      <c r="F8394" s="31"/>
    </row>
    <row r="8395">
      <c r="A8395" s="134" t="str">
        <f>IFERROR(__xludf.DUMMYFUNCTION("""COMPUTED_VALUE"""),"Tawa")</f>
        <v>Tawa</v>
      </c>
      <c r="B8395" s="120" t="str">
        <f>IFERROR(__xludf.DUMMYFUNCTION("""COMPUTED_VALUE"""),"TWY")</f>
        <v>TWY</v>
      </c>
      <c r="C8395" s="120" t="str">
        <f>IFERROR(__xludf.DUMMYFUNCTION("""COMPUTED_VALUE"""),"Tawa")</f>
        <v>Tawa</v>
      </c>
      <c r="D8395" s="120" t="str">
        <f>IFERROR(__xludf.DUMMYFUNCTION("""COMPUTED_VALUE"""),"Papua New Guinea")</f>
        <v>Papua New Guinea</v>
      </c>
      <c r="E8395" s="135"/>
      <c r="F8395" s="31"/>
    </row>
    <row r="8396">
      <c r="A8396" s="134" t="str">
        <f>IFERROR(__xludf.DUMMYFUNCTION("""COMPUTED_VALUE"""),"Tawau")</f>
        <v>Tawau</v>
      </c>
      <c r="B8396" s="120" t="str">
        <f>IFERROR(__xludf.DUMMYFUNCTION("""COMPUTED_VALUE"""),"TWU")</f>
        <v>TWU</v>
      </c>
      <c r="C8396" s="120" t="str">
        <f>IFERROR(__xludf.DUMMYFUNCTION("""COMPUTED_VALUE"""),"Tawau")</f>
        <v>Tawau</v>
      </c>
      <c r="D8396" s="120" t="str">
        <f>IFERROR(__xludf.DUMMYFUNCTION("""COMPUTED_VALUE"""),"Malaysia")</f>
        <v>Malaysia</v>
      </c>
      <c r="E8396" s="135"/>
      <c r="F8396" s="31"/>
    </row>
    <row r="8397">
      <c r="A8397" s="134" t="str">
        <f>IFERROR(__xludf.DUMMYFUNCTION("""COMPUTED_VALUE"""),"Tawitawi")</f>
        <v>Tawitawi</v>
      </c>
      <c r="B8397" s="120" t="str">
        <f>IFERROR(__xludf.DUMMYFUNCTION("""COMPUTED_VALUE"""),"TWT")</f>
        <v>TWT</v>
      </c>
      <c r="C8397" s="120" t="str">
        <f>IFERROR(__xludf.DUMMYFUNCTION("""COMPUTED_VALUE"""),"Tawitawi")</f>
        <v>Tawitawi</v>
      </c>
      <c r="D8397" s="120" t="str">
        <f>IFERROR(__xludf.DUMMYFUNCTION("""COMPUTED_VALUE"""),"Philippines")</f>
        <v>Philippines</v>
      </c>
      <c r="E8397" s="135"/>
      <c r="F8397" s="31"/>
    </row>
    <row r="8398">
      <c r="A8398" s="134" t="str">
        <f>IFERROR(__xludf.DUMMYFUNCTION("""COMPUTED_VALUE"""),"Taylor")</f>
        <v>Taylor</v>
      </c>
      <c r="B8398" s="120" t="str">
        <f>IFERROR(__xludf.DUMMYFUNCTION("""COMPUTED_VALUE"""),"TWE")</f>
        <v>TWE</v>
      </c>
      <c r="C8398" s="120" t="str">
        <f>IFERROR(__xludf.DUMMYFUNCTION("""COMPUTED_VALUE"""),"Taylor")</f>
        <v>Taylor</v>
      </c>
      <c r="D8398" s="120" t="str">
        <f>IFERROR(__xludf.DUMMYFUNCTION("""COMPUTED_VALUE"""),"United States")</f>
        <v>United States</v>
      </c>
      <c r="E8398" s="135"/>
      <c r="F8398" s="31"/>
    </row>
    <row r="8399">
      <c r="A8399" s="134" t="str">
        <f>IFERROR(__xludf.DUMMYFUNCTION("""COMPUTED_VALUE"""),"Taylor")</f>
        <v>Taylor</v>
      </c>
      <c r="B8399" s="120" t="str">
        <f>IFERROR(__xludf.DUMMYFUNCTION("""COMPUTED_VALUE"""),"TYZ")</f>
        <v>TYZ</v>
      </c>
      <c r="C8399" s="120" t="str">
        <f>IFERROR(__xludf.DUMMYFUNCTION("""COMPUTED_VALUE"""),"Taylor")</f>
        <v>Taylor</v>
      </c>
      <c r="D8399" s="120" t="str">
        <f>IFERROR(__xludf.DUMMYFUNCTION("""COMPUTED_VALUE"""),"United States")</f>
        <v>United States</v>
      </c>
      <c r="E8399" s="135"/>
      <c r="F8399" s="31"/>
    </row>
    <row r="8400">
      <c r="A8400" s="134" t="str">
        <f>IFERROR(__xludf.DUMMYFUNCTION("""COMPUTED_VALUE"""),"Taytay Sandoval")</f>
        <v>Taytay Sandoval</v>
      </c>
      <c r="B8400" s="120" t="str">
        <f>IFERROR(__xludf.DUMMYFUNCTION("""COMPUTED_VALUE"""),"RZP")</f>
        <v>RZP</v>
      </c>
      <c r="C8400" s="120" t="str">
        <f>IFERROR(__xludf.DUMMYFUNCTION("""COMPUTED_VALUE"""),"CLR Airport")</f>
        <v>CLR Airport</v>
      </c>
      <c r="D8400" s="120" t="str">
        <f>IFERROR(__xludf.DUMMYFUNCTION("""COMPUTED_VALUE"""),"Philippines")</f>
        <v>Philippines</v>
      </c>
      <c r="E8400" s="135"/>
      <c r="F8400" s="31"/>
    </row>
    <row r="8401">
      <c r="A8401" s="134" t="str">
        <f>IFERROR(__xludf.DUMMYFUNCTION("""COMPUTED_VALUE"""),"Tbessa")</f>
        <v>Tbessa</v>
      </c>
      <c r="B8401" s="120" t="str">
        <f>IFERROR(__xludf.DUMMYFUNCTION("""COMPUTED_VALUE"""),"TEE")</f>
        <v>TEE</v>
      </c>
      <c r="C8401" s="120" t="str">
        <f>IFERROR(__xludf.DUMMYFUNCTION("""COMPUTED_VALUE"""),"Tbessa")</f>
        <v>Tbessa</v>
      </c>
      <c r="D8401" s="120" t="str">
        <f>IFERROR(__xludf.DUMMYFUNCTION("""COMPUTED_VALUE"""),"Algeria")</f>
        <v>Algeria</v>
      </c>
      <c r="E8401" s="135"/>
      <c r="F8401" s="31"/>
    </row>
    <row r="8402">
      <c r="A8402" s="134" t="str">
        <f>IFERROR(__xludf.DUMMYFUNCTION("""COMPUTED_VALUE"""),"Tbilisi")</f>
        <v>Tbilisi</v>
      </c>
      <c r="B8402" s="120" t="str">
        <f>IFERROR(__xludf.DUMMYFUNCTION("""COMPUTED_VALUE"""),"TBS")</f>
        <v>TBS</v>
      </c>
      <c r="C8402" s="120" t="str">
        <f>IFERROR(__xludf.DUMMYFUNCTION("""COMPUTED_VALUE"""),"Novo Alexeyevka")</f>
        <v>Novo Alexeyevka</v>
      </c>
      <c r="D8402" s="120" t="str">
        <f>IFERROR(__xludf.DUMMYFUNCTION("""COMPUTED_VALUE"""),"Georgia")</f>
        <v>Georgia</v>
      </c>
      <c r="E8402" s="135"/>
      <c r="F8402" s="31"/>
    </row>
    <row r="8403">
      <c r="A8403" s="134" t="str">
        <f>IFERROR(__xludf.DUMMYFUNCTION("""COMPUTED_VALUE"""),"Tchibanga")</f>
        <v>Tchibanga</v>
      </c>
      <c r="B8403" s="120" t="str">
        <f>IFERROR(__xludf.DUMMYFUNCTION("""COMPUTED_VALUE"""),"TCH")</f>
        <v>TCH</v>
      </c>
      <c r="C8403" s="120" t="str">
        <f>IFERROR(__xludf.DUMMYFUNCTION("""COMPUTED_VALUE"""),"Tchibanga")</f>
        <v>Tchibanga</v>
      </c>
      <c r="D8403" s="120" t="str">
        <f>IFERROR(__xludf.DUMMYFUNCTION("""COMPUTED_VALUE"""),"Gabon")</f>
        <v>Gabon</v>
      </c>
      <c r="E8403" s="135"/>
      <c r="F8403" s="31"/>
    </row>
    <row r="8404">
      <c r="A8404" s="134" t="str">
        <f>IFERROR(__xludf.DUMMYFUNCTION("""COMPUTED_VALUE"""),"Tchien")</f>
        <v>Tchien</v>
      </c>
      <c r="B8404" s="120" t="str">
        <f>IFERROR(__xludf.DUMMYFUNCTION("""COMPUTED_VALUE"""),"THC")</f>
        <v>THC</v>
      </c>
      <c r="C8404" s="120" t="str">
        <f>IFERROR(__xludf.DUMMYFUNCTION("""COMPUTED_VALUE"""),"Tchien")</f>
        <v>Tchien</v>
      </c>
      <c r="D8404" s="120" t="str">
        <f>IFERROR(__xludf.DUMMYFUNCTION("""COMPUTED_VALUE"""),"Liberia")</f>
        <v>Liberia</v>
      </c>
      <c r="E8404" s="135"/>
      <c r="F8404" s="31"/>
    </row>
    <row r="8405">
      <c r="A8405" s="134" t="str">
        <f>IFERROR(__xludf.DUMMYFUNCTION("""COMPUTED_VALUE"""),"Te Anau")</f>
        <v>Te Anau</v>
      </c>
      <c r="B8405" s="120" t="str">
        <f>IFERROR(__xludf.DUMMYFUNCTION("""COMPUTED_VALUE"""),"TEU")</f>
        <v>TEU</v>
      </c>
      <c r="C8405" s="120" t="str">
        <f>IFERROR(__xludf.DUMMYFUNCTION("""COMPUTED_VALUE"""),"Manapouri")</f>
        <v>Manapouri</v>
      </c>
      <c r="D8405" s="120" t="str">
        <f>IFERROR(__xludf.DUMMYFUNCTION("""COMPUTED_VALUE"""),"New Zealand (Aotearoa)")</f>
        <v>New Zealand (Aotearoa)</v>
      </c>
      <c r="E8405" s="135"/>
      <c r="F8405" s="31"/>
    </row>
    <row r="8406">
      <c r="A8406" s="134" t="str">
        <f>IFERROR(__xludf.DUMMYFUNCTION("""COMPUTED_VALUE"""),"Tefe")</f>
        <v>Tefe</v>
      </c>
      <c r="B8406" s="120" t="str">
        <f>IFERROR(__xludf.DUMMYFUNCTION("""COMPUTED_VALUE"""),"TFF")</f>
        <v>TFF</v>
      </c>
      <c r="C8406" s="120" t="str">
        <f>IFERROR(__xludf.DUMMYFUNCTION("""COMPUTED_VALUE"""),"Tefe")</f>
        <v>Tefe</v>
      </c>
      <c r="D8406" s="120" t="str">
        <f>IFERROR(__xludf.DUMMYFUNCTION("""COMPUTED_VALUE"""),"Brazil")</f>
        <v>Brazil</v>
      </c>
      <c r="E8406" s="135"/>
      <c r="F8406" s="31"/>
    </row>
    <row r="8407">
      <c r="A8407" s="134" t="str">
        <f>IFERROR(__xludf.DUMMYFUNCTION("""COMPUTED_VALUE"""),"Tegucigalpa")</f>
        <v>Tegucigalpa</v>
      </c>
      <c r="B8407" s="120" t="str">
        <f>IFERROR(__xludf.DUMMYFUNCTION("""COMPUTED_VALUE"""),"TGU")</f>
        <v>TGU</v>
      </c>
      <c r="C8407" s="120" t="str">
        <f>IFERROR(__xludf.DUMMYFUNCTION("""COMPUTED_VALUE"""),"Toncontin")</f>
        <v>Toncontin</v>
      </c>
      <c r="D8407" s="120" t="str">
        <f>IFERROR(__xludf.DUMMYFUNCTION("""COMPUTED_VALUE"""),"Honduras")</f>
        <v>Honduras</v>
      </c>
      <c r="E8407" s="135"/>
      <c r="F8407" s="31"/>
    </row>
    <row r="8408">
      <c r="A8408" s="134" t="str">
        <f>IFERROR(__xludf.DUMMYFUNCTION("""COMPUTED_VALUE"""),"Tehachapi")</f>
        <v>Tehachapi</v>
      </c>
      <c r="B8408" s="120" t="str">
        <f>IFERROR(__xludf.DUMMYFUNCTION("""COMPUTED_VALUE"""),"TSP")</f>
        <v>TSP</v>
      </c>
      <c r="C8408" s="120" t="str">
        <f>IFERROR(__xludf.DUMMYFUNCTION("""COMPUTED_VALUE"""),"Kern County")</f>
        <v>Kern County</v>
      </c>
      <c r="D8408" s="120" t="str">
        <f>IFERROR(__xludf.DUMMYFUNCTION("""COMPUTED_VALUE"""),"United States")</f>
        <v>United States</v>
      </c>
      <c r="E8408" s="135"/>
      <c r="F8408" s="31"/>
    </row>
    <row r="8409">
      <c r="A8409" s="134" t="str">
        <f>IFERROR(__xludf.DUMMYFUNCTION("""COMPUTED_VALUE"""),"Tehran")</f>
        <v>Tehran</v>
      </c>
      <c r="B8409" s="120" t="str">
        <f>IFERROR(__xludf.DUMMYFUNCTION("""COMPUTED_VALUE"""),"THR")</f>
        <v>THR</v>
      </c>
      <c r="C8409" s="120" t="str">
        <f>IFERROR(__xludf.DUMMYFUNCTION("""COMPUTED_VALUE"""),"Mehrabad")</f>
        <v>Mehrabad</v>
      </c>
      <c r="D8409" s="120" t="str">
        <f>IFERROR(__xludf.DUMMYFUNCTION("""COMPUTED_VALUE"""),"Iran")</f>
        <v>Iran</v>
      </c>
      <c r="E8409" s="135"/>
      <c r="F8409" s="31"/>
    </row>
    <row r="8410">
      <c r="A8410" s="134" t="str">
        <f>IFERROR(__xludf.DUMMYFUNCTION("""COMPUTED_VALUE"""),"Tehuacan")</f>
        <v>Tehuacan</v>
      </c>
      <c r="B8410" s="120" t="str">
        <f>IFERROR(__xludf.DUMMYFUNCTION("""COMPUTED_VALUE"""),"TCN")</f>
        <v>TCN</v>
      </c>
      <c r="C8410" s="120" t="str">
        <f>IFERROR(__xludf.DUMMYFUNCTION("""COMPUTED_VALUE"""),"Tehuacan")</f>
        <v>Tehuacan</v>
      </c>
      <c r="D8410" s="120" t="str">
        <f>IFERROR(__xludf.DUMMYFUNCTION("""COMPUTED_VALUE"""),"Mexico")</f>
        <v>Mexico</v>
      </c>
      <c r="E8410" s="135"/>
      <c r="F8410" s="31"/>
    </row>
    <row r="8411">
      <c r="A8411" s="134" t="str">
        <f>IFERROR(__xludf.DUMMYFUNCTION("""COMPUTED_VALUE"""),"Teixeira de Freitas")</f>
        <v>Teixeira de Freitas</v>
      </c>
      <c r="B8411" s="120" t="str">
        <f>IFERROR(__xludf.DUMMYFUNCTION("""COMPUTED_VALUE"""),"TXF")</f>
        <v>TXF</v>
      </c>
      <c r="C8411" s="120" t="str">
        <f>IFERROR(__xludf.DUMMYFUNCTION("""COMPUTED_VALUE"""),"Teixeira de Freitas")</f>
        <v>Teixeira de Freitas</v>
      </c>
      <c r="D8411" s="120" t="str">
        <f>IFERROR(__xludf.DUMMYFUNCTION("""COMPUTED_VALUE"""),"Brazil")</f>
        <v>Brazil</v>
      </c>
      <c r="E8411" s="135"/>
      <c r="F8411" s="31"/>
    </row>
    <row r="8412">
      <c r="A8412" s="134" t="str">
        <f>IFERROR(__xludf.DUMMYFUNCTION("""COMPUTED_VALUE"""),"Tekadu")</f>
        <v>Tekadu</v>
      </c>
      <c r="B8412" s="120" t="str">
        <f>IFERROR(__xludf.DUMMYFUNCTION("""COMPUTED_VALUE"""),"TKB")</f>
        <v>TKB</v>
      </c>
      <c r="C8412" s="120" t="str">
        <f>IFERROR(__xludf.DUMMYFUNCTION("""COMPUTED_VALUE"""),"Tekadu")</f>
        <v>Tekadu</v>
      </c>
      <c r="D8412" s="120" t="str">
        <f>IFERROR(__xludf.DUMMYFUNCTION("""COMPUTED_VALUE"""),"Papua New Guinea")</f>
        <v>Papua New Guinea</v>
      </c>
      <c r="E8412" s="135"/>
      <c r="F8412" s="31"/>
    </row>
    <row r="8413">
      <c r="A8413" s="134" t="str">
        <f>IFERROR(__xludf.DUMMYFUNCTION("""COMPUTED_VALUE"""),"Tekin")</f>
        <v>Tekin</v>
      </c>
      <c r="B8413" s="120" t="str">
        <f>IFERROR(__xludf.DUMMYFUNCTION("""COMPUTED_VALUE"""),"TKW")</f>
        <v>TKW</v>
      </c>
      <c r="C8413" s="120" t="str">
        <f>IFERROR(__xludf.DUMMYFUNCTION("""COMPUTED_VALUE"""),"Tekin")</f>
        <v>Tekin</v>
      </c>
      <c r="D8413" s="120" t="str">
        <f>IFERROR(__xludf.DUMMYFUNCTION("""COMPUTED_VALUE"""),"Papua New Guinea")</f>
        <v>Papua New Guinea</v>
      </c>
      <c r="E8413" s="135"/>
      <c r="F8413" s="31"/>
    </row>
    <row r="8414">
      <c r="A8414" s="134" t="str">
        <f>IFERROR(__xludf.DUMMYFUNCTION("""COMPUTED_VALUE"""),"Tekirdag")</f>
        <v>Tekirdag</v>
      </c>
      <c r="B8414" s="120" t="str">
        <f>IFERROR(__xludf.DUMMYFUNCTION("""COMPUTED_VALUE"""),"TEQ")</f>
        <v>TEQ</v>
      </c>
      <c r="C8414" s="120" t="str">
        <f>IFERROR(__xludf.DUMMYFUNCTION("""COMPUTED_VALUE"""),"Corlu")</f>
        <v>Corlu</v>
      </c>
      <c r="D8414" s="120" t="str">
        <f>IFERROR(__xludf.DUMMYFUNCTION("""COMPUTED_VALUE"""),"Turkey")</f>
        <v>Turkey</v>
      </c>
      <c r="E8414" s="135"/>
      <c r="F8414" s="31"/>
    </row>
    <row r="8415">
      <c r="A8415" s="134" t="str">
        <f>IFERROR(__xludf.DUMMYFUNCTION("""COMPUTED_VALUE"""),"Tel Aviv Yafo")</f>
        <v>Tel Aviv Yafo</v>
      </c>
      <c r="B8415" s="120" t="str">
        <f>IFERROR(__xludf.DUMMYFUNCTION("""COMPUTED_VALUE"""),"TLV")</f>
        <v>TLV</v>
      </c>
      <c r="C8415" s="120" t="str">
        <f>IFERROR(__xludf.DUMMYFUNCTION("""COMPUTED_VALUE"""),"Ben Gurion Intl")</f>
        <v>Ben Gurion Intl</v>
      </c>
      <c r="D8415" s="120" t="str">
        <f>IFERROR(__xludf.DUMMYFUNCTION("""COMPUTED_VALUE"""),"Israel")</f>
        <v>Israel</v>
      </c>
      <c r="E8415" s="135"/>
      <c r="F8415" s="31"/>
    </row>
    <row r="8416">
      <c r="A8416" s="134" t="str">
        <f>IFERROR(__xludf.DUMMYFUNCTION("""COMPUTED_VALUE"""),"Tel Aviv Yafo")</f>
        <v>Tel Aviv Yafo</v>
      </c>
      <c r="B8416" s="120" t="str">
        <f>IFERROR(__xludf.DUMMYFUNCTION("""COMPUTED_VALUE"""),"SDV")</f>
        <v>SDV</v>
      </c>
      <c r="C8416" s="120" t="str">
        <f>IFERROR(__xludf.DUMMYFUNCTION("""COMPUTED_VALUE"""),"Sde Dov")</f>
        <v>Sde Dov</v>
      </c>
      <c r="D8416" s="120" t="str">
        <f>IFERROR(__xludf.DUMMYFUNCTION("""COMPUTED_VALUE"""),"Israel")</f>
        <v>Israel</v>
      </c>
      <c r="E8416" s="135"/>
      <c r="F8416" s="31"/>
    </row>
    <row r="8417">
      <c r="A8417" s="134" t="str">
        <f>IFERROR(__xludf.DUMMYFUNCTION("""COMPUTED_VALUE"""),"Tela")</f>
        <v>Tela</v>
      </c>
      <c r="B8417" s="120" t="str">
        <f>IFERROR(__xludf.DUMMYFUNCTION("""COMPUTED_VALUE"""),"TEA")</f>
        <v>TEA</v>
      </c>
      <c r="C8417" s="120" t="str">
        <f>IFERROR(__xludf.DUMMYFUNCTION("""COMPUTED_VALUE"""),"Tela")</f>
        <v>Tela</v>
      </c>
      <c r="D8417" s="120" t="str">
        <f>IFERROR(__xludf.DUMMYFUNCTION("""COMPUTED_VALUE"""),"Honduras")</f>
        <v>Honduras</v>
      </c>
      <c r="E8417" s="135"/>
      <c r="F8417" s="31"/>
    </row>
    <row r="8418">
      <c r="A8418" s="134" t="str">
        <f>IFERROR(__xludf.DUMMYFUNCTION("""COMPUTED_VALUE"""),"Telefomin")</f>
        <v>Telefomin</v>
      </c>
      <c r="B8418" s="120" t="str">
        <f>IFERROR(__xludf.DUMMYFUNCTION("""COMPUTED_VALUE"""),"TFM")</f>
        <v>TFM</v>
      </c>
      <c r="C8418" s="120" t="str">
        <f>IFERROR(__xludf.DUMMYFUNCTION("""COMPUTED_VALUE"""),"Telefomin")</f>
        <v>Telefomin</v>
      </c>
      <c r="D8418" s="120" t="str">
        <f>IFERROR(__xludf.DUMMYFUNCTION("""COMPUTED_VALUE"""),"Papua New Guinea")</f>
        <v>Papua New Guinea</v>
      </c>
      <c r="E8418" s="135"/>
      <c r="F8418" s="31"/>
    </row>
    <row r="8419">
      <c r="A8419" s="134" t="str">
        <f>IFERROR(__xludf.DUMMYFUNCTION("""COMPUTED_VALUE"""),"Telegraph Creek")</f>
        <v>Telegraph Creek</v>
      </c>
      <c r="B8419" s="120" t="str">
        <f>IFERROR(__xludf.DUMMYFUNCTION("""COMPUTED_VALUE"""),"YTX")</f>
        <v>YTX</v>
      </c>
      <c r="C8419" s="120" t="str">
        <f>IFERROR(__xludf.DUMMYFUNCTION("""COMPUTED_VALUE"""),"Telegraph Creek")</f>
        <v>Telegraph Creek</v>
      </c>
      <c r="D8419" s="120" t="str">
        <f>IFERROR(__xludf.DUMMYFUNCTION("""COMPUTED_VALUE"""),"Canada")</f>
        <v>Canada</v>
      </c>
      <c r="E8419" s="135"/>
      <c r="F8419" s="31"/>
    </row>
    <row r="8420">
      <c r="A8420" s="134" t="str">
        <f>IFERROR(__xludf.DUMMYFUNCTION("""COMPUTED_VALUE"""),"Telegraph Harbour")</f>
        <v>Telegraph Harbour</v>
      </c>
      <c r="B8420" s="120" t="str">
        <f>IFERROR(__xludf.DUMMYFUNCTION("""COMPUTED_VALUE"""),"YBQ")</f>
        <v>YBQ</v>
      </c>
      <c r="C8420" s="120" t="str">
        <f>IFERROR(__xludf.DUMMYFUNCTION("""COMPUTED_VALUE"""),"Telegraph Harbour")</f>
        <v>Telegraph Harbour</v>
      </c>
      <c r="D8420" s="120" t="str">
        <f>IFERROR(__xludf.DUMMYFUNCTION("""COMPUTED_VALUE"""),"Canada")</f>
        <v>Canada</v>
      </c>
      <c r="E8420" s="135"/>
      <c r="F8420" s="31"/>
    </row>
    <row r="8421">
      <c r="A8421" s="134" t="str">
        <f>IFERROR(__xludf.DUMMYFUNCTION("""COMPUTED_VALUE"""),"Telemaco Borba")</f>
        <v>Telemaco Borba</v>
      </c>
      <c r="B8421" s="120" t="str">
        <f>IFERROR(__xludf.DUMMYFUNCTION("""COMPUTED_VALUE"""),"TEC")</f>
        <v>TEC</v>
      </c>
      <c r="C8421" s="120" t="str">
        <f>IFERROR(__xludf.DUMMYFUNCTION("""COMPUTED_VALUE"""),"Telemaco Borba")</f>
        <v>Telemaco Borba</v>
      </c>
      <c r="D8421" s="120" t="str">
        <f>IFERROR(__xludf.DUMMYFUNCTION("""COMPUTED_VALUE"""),"Brazil")</f>
        <v>Brazil</v>
      </c>
      <c r="E8421" s="135"/>
      <c r="F8421" s="31"/>
    </row>
    <row r="8422">
      <c r="A8422" s="134" t="str">
        <f>IFERROR(__xludf.DUMMYFUNCTION("""COMPUTED_VALUE"""),"Telfer")</f>
        <v>Telfer</v>
      </c>
      <c r="B8422" s="120" t="str">
        <f>IFERROR(__xludf.DUMMYFUNCTION("""COMPUTED_VALUE"""),"TEF")</f>
        <v>TEF</v>
      </c>
      <c r="C8422" s="120" t="str">
        <f>IFERROR(__xludf.DUMMYFUNCTION("""COMPUTED_VALUE"""),"Telfer")</f>
        <v>Telfer</v>
      </c>
      <c r="D8422" s="120" t="str">
        <f>IFERROR(__xludf.DUMMYFUNCTION("""COMPUTED_VALUE"""),"Australia")</f>
        <v>Australia</v>
      </c>
      <c r="E8422" s="135"/>
      <c r="F8422" s="31"/>
    </row>
    <row r="8423">
      <c r="A8423" s="134" t="str">
        <f>IFERROR(__xludf.DUMMYFUNCTION("""COMPUTED_VALUE"""),"Telida")</f>
        <v>Telida</v>
      </c>
      <c r="B8423" s="120" t="str">
        <f>IFERROR(__xludf.DUMMYFUNCTION("""COMPUTED_VALUE"""),"TLF")</f>
        <v>TLF</v>
      </c>
      <c r="C8423" s="120" t="str">
        <f>IFERROR(__xludf.DUMMYFUNCTION("""COMPUTED_VALUE"""),"Telida")</f>
        <v>Telida</v>
      </c>
      <c r="D8423" s="120" t="str">
        <f>IFERROR(__xludf.DUMMYFUNCTION("""COMPUTED_VALUE"""),"United States")</f>
        <v>United States</v>
      </c>
      <c r="E8423" s="135"/>
      <c r="F8423" s="31"/>
    </row>
    <row r="8424">
      <c r="A8424" s="134" t="str">
        <f>IFERROR(__xludf.DUMMYFUNCTION("""COMPUTED_VALUE"""),"Teller")</f>
        <v>Teller</v>
      </c>
      <c r="B8424" s="120" t="str">
        <f>IFERROR(__xludf.DUMMYFUNCTION("""COMPUTED_VALUE"""),"TLA")</f>
        <v>TLA</v>
      </c>
      <c r="C8424" s="120" t="str">
        <f>IFERROR(__xludf.DUMMYFUNCTION("""COMPUTED_VALUE"""),"Teller")</f>
        <v>Teller</v>
      </c>
      <c r="D8424" s="120" t="str">
        <f>IFERROR(__xludf.DUMMYFUNCTION("""COMPUTED_VALUE"""),"United States")</f>
        <v>United States</v>
      </c>
      <c r="E8424" s="135"/>
      <c r="F8424" s="31"/>
    </row>
    <row r="8425">
      <c r="A8425" s="134" t="str">
        <f>IFERROR(__xludf.DUMMYFUNCTION("""COMPUTED_VALUE"""),"Teller Mission")</f>
        <v>Teller Mission</v>
      </c>
      <c r="B8425" s="120" t="str">
        <f>IFERROR(__xludf.DUMMYFUNCTION("""COMPUTED_VALUE"""),"KTS")</f>
        <v>KTS</v>
      </c>
      <c r="C8425" s="120" t="str">
        <f>IFERROR(__xludf.DUMMYFUNCTION("""COMPUTED_VALUE"""),"Brevig Mission")</f>
        <v>Brevig Mission</v>
      </c>
      <c r="D8425" s="120" t="str">
        <f>IFERROR(__xludf.DUMMYFUNCTION("""COMPUTED_VALUE"""),"United States")</f>
        <v>United States</v>
      </c>
      <c r="E8425" s="135"/>
      <c r="F8425" s="31"/>
    </row>
    <row r="8426">
      <c r="A8426" s="134" t="str">
        <f>IFERROR(__xludf.DUMMYFUNCTION("""COMPUTED_VALUE"""),"Telluride")</f>
        <v>Telluride</v>
      </c>
      <c r="B8426" s="120" t="str">
        <f>IFERROR(__xludf.DUMMYFUNCTION("""COMPUTED_VALUE"""),"TEX")</f>
        <v>TEX</v>
      </c>
      <c r="C8426" s="120" t="str">
        <f>IFERROR(__xludf.DUMMYFUNCTION("""COMPUTED_VALUE"""),"Telluride")</f>
        <v>Telluride</v>
      </c>
      <c r="D8426" s="120" t="str">
        <f>IFERROR(__xludf.DUMMYFUNCTION("""COMPUTED_VALUE"""),"United States")</f>
        <v>United States</v>
      </c>
      <c r="E8426" s="135"/>
      <c r="F8426" s="31"/>
    </row>
    <row r="8427">
      <c r="A8427" s="134" t="str">
        <f>IFERROR(__xludf.DUMMYFUNCTION("""COMPUTED_VALUE"""),"Telluride")</f>
        <v>Telluride</v>
      </c>
      <c r="B8427" s="120" t="str">
        <f>IFERROR(__xludf.DUMMYFUNCTION("""COMPUTED_VALUE"""),"ZTL")</f>
        <v>ZTL</v>
      </c>
      <c r="C8427" s="120" t="str">
        <f>IFERROR(__xludf.DUMMYFUNCTION("""COMPUTED_VALUE"""),"Bus Station")</f>
        <v>Bus Station</v>
      </c>
      <c r="D8427" s="120" t="str">
        <f>IFERROR(__xludf.DUMMYFUNCTION("""COMPUTED_VALUE"""),"United States")</f>
        <v>United States</v>
      </c>
      <c r="E8427" s="135"/>
      <c r="F8427" s="31"/>
    </row>
    <row r="8428">
      <c r="A8428" s="134" t="str">
        <f>IFERROR(__xludf.DUMMYFUNCTION("""COMPUTED_VALUE"""),"Telupid")</f>
        <v>Telupid</v>
      </c>
      <c r="B8428" s="120" t="str">
        <f>IFERROR(__xludf.DUMMYFUNCTION("""COMPUTED_VALUE"""),"TEL")</f>
        <v>TEL</v>
      </c>
      <c r="C8428" s="120" t="str">
        <f>IFERROR(__xludf.DUMMYFUNCTION("""COMPUTED_VALUE"""),"Telupid")</f>
        <v>Telupid</v>
      </c>
      <c r="D8428" s="120" t="str">
        <f>IFERROR(__xludf.DUMMYFUNCTION("""COMPUTED_VALUE"""),"Malaysia")</f>
        <v>Malaysia</v>
      </c>
      <c r="E8428" s="135"/>
      <c r="F8428" s="31"/>
    </row>
    <row r="8429">
      <c r="A8429" s="134" t="str">
        <f>IFERROR(__xludf.DUMMYFUNCTION("""COMPUTED_VALUE"""),"Tembagapura")</f>
        <v>Tembagapura</v>
      </c>
      <c r="B8429" s="120" t="str">
        <f>IFERROR(__xludf.DUMMYFUNCTION("""COMPUTED_VALUE"""),"TIM")</f>
        <v>TIM</v>
      </c>
      <c r="C8429" s="120" t="str">
        <f>IFERROR(__xludf.DUMMYFUNCTION("""COMPUTED_VALUE"""),"Timika")</f>
        <v>Timika</v>
      </c>
      <c r="D8429" s="120" t="str">
        <f>IFERROR(__xludf.DUMMYFUNCTION("""COMPUTED_VALUE"""),"Indonesia")</f>
        <v>Indonesia</v>
      </c>
      <c r="E8429" s="135"/>
      <c r="F8429" s="31"/>
    </row>
    <row r="8430">
      <c r="A8430" s="134" t="str">
        <f>IFERROR(__xludf.DUMMYFUNCTION("""COMPUTED_VALUE"""),"Teminabuan")</f>
        <v>Teminabuan</v>
      </c>
      <c r="B8430" s="120" t="str">
        <f>IFERROR(__xludf.DUMMYFUNCTION("""COMPUTED_VALUE"""),"TXM")</f>
        <v>TXM</v>
      </c>
      <c r="C8430" s="120" t="str">
        <f>IFERROR(__xludf.DUMMYFUNCTION("""COMPUTED_VALUE"""),"Teminabuan")</f>
        <v>Teminabuan</v>
      </c>
      <c r="D8430" s="120" t="str">
        <f>IFERROR(__xludf.DUMMYFUNCTION("""COMPUTED_VALUE"""),"Indonesia")</f>
        <v>Indonesia</v>
      </c>
      <c r="E8430" s="135"/>
      <c r="F8430" s="31"/>
    </row>
    <row r="8431">
      <c r="A8431" s="134" t="str">
        <f>IFERROR(__xludf.DUMMYFUNCTION("""COMPUTED_VALUE"""),"Temora")</f>
        <v>Temora</v>
      </c>
      <c r="B8431" s="120" t="str">
        <f>IFERROR(__xludf.DUMMYFUNCTION("""COMPUTED_VALUE"""),"TEM")</f>
        <v>TEM</v>
      </c>
      <c r="C8431" s="120" t="str">
        <f>IFERROR(__xludf.DUMMYFUNCTION("""COMPUTED_VALUE"""),"Temora")</f>
        <v>Temora</v>
      </c>
      <c r="D8431" s="120" t="str">
        <f>IFERROR(__xludf.DUMMYFUNCTION("""COMPUTED_VALUE"""),"Australia")</f>
        <v>Australia</v>
      </c>
      <c r="E8431" s="135"/>
      <c r="F8431" s="31"/>
    </row>
    <row r="8432">
      <c r="A8432" s="134" t="str">
        <f>IFERROR(__xludf.DUMMYFUNCTION("""COMPUTED_VALUE"""),"Temple")</f>
        <v>Temple</v>
      </c>
      <c r="B8432" s="120" t="str">
        <f>IFERROR(__xludf.DUMMYFUNCTION("""COMPUTED_VALUE"""),"TPL")</f>
        <v>TPL</v>
      </c>
      <c r="C8432" s="120" t="str">
        <f>IFERROR(__xludf.DUMMYFUNCTION("""COMPUTED_VALUE"""),"Draughon-Miller")</f>
        <v>Draughon-Miller</v>
      </c>
      <c r="D8432" s="120" t="str">
        <f>IFERROR(__xludf.DUMMYFUNCTION("""COMPUTED_VALUE"""),"United States")</f>
        <v>United States</v>
      </c>
      <c r="E8432" s="135"/>
      <c r="F8432" s="31"/>
    </row>
    <row r="8433">
      <c r="A8433" s="134" t="str">
        <f>IFERROR(__xludf.DUMMYFUNCTION("""COMPUTED_VALUE"""),"Temuco")</f>
        <v>Temuco</v>
      </c>
      <c r="B8433" s="120" t="str">
        <f>IFERROR(__xludf.DUMMYFUNCTION("""COMPUTED_VALUE"""),"ZCO")</f>
        <v>ZCO</v>
      </c>
      <c r="C8433" s="120" t="str">
        <f>IFERROR(__xludf.DUMMYFUNCTION("""COMPUTED_VALUE"""),"Maquehue")</f>
        <v>Maquehue</v>
      </c>
      <c r="D8433" s="120" t="str">
        <f>IFERROR(__xludf.DUMMYFUNCTION("""COMPUTED_VALUE"""),"Chile")</f>
        <v>Chile</v>
      </c>
      <c r="E8433" s="135"/>
      <c r="F8433" s="31"/>
    </row>
    <row r="8434">
      <c r="A8434" s="134" t="str">
        <f>IFERROR(__xludf.DUMMYFUNCTION("""COMPUTED_VALUE"""),"Tenakee Springs")</f>
        <v>Tenakee Springs</v>
      </c>
      <c r="B8434" s="120" t="str">
        <f>IFERROR(__xludf.DUMMYFUNCTION("""COMPUTED_VALUE"""),"TKE")</f>
        <v>TKE</v>
      </c>
      <c r="C8434" s="120" t="str">
        <f>IFERROR(__xludf.DUMMYFUNCTION("""COMPUTED_VALUE"""),"Tenakee SPB")</f>
        <v>Tenakee SPB</v>
      </c>
      <c r="D8434" s="120" t="str">
        <f>IFERROR(__xludf.DUMMYFUNCTION("""COMPUTED_VALUE"""),"United States")</f>
        <v>United States</v>
      </c>
      <c r="E8434" s="135"/>
      <c r="F8434" s="31"/>
    </row>
    <row r="8435">
      <c r="A8435" s="134" t="str">
        <f>IFERROR(__xludf.DUMMYFUNCTION("""COMPUTED_VALUE"""),"Tenerife")</f>
        <v>Tenerife</v>
      </c>
      <c r="B8435" s="120" t="str">
        <f>IFERROR(__xludf.DUMMYFUNCTION("""COMPUTED_VALUE"""),"TFN")</f>
        <v>TFN</v>
      </c>
      <c r="C8435" s="120" t="str">
        <f>IFERROR(__xludf.DUMMYFUNCTION("""COMPUTED_VALUE"""),"Norte Los Rodeos")</f>
        <v>Norte Los Rodeos</v>
      </c>
      <c r="D8435" s="120" t="str">
        <f>IFERROR(__xludf.DUMMYFUNCTION("""COMPUTED_VALUE"""),"Spain")</f>
        <v>Spain</v>
      </c>
      <c r="E8435" s="135"/>
      <c r="F8435" s="31"/>
    </row>
    <row r="8436">
      <c r="A8436" s="134" t="str">
        <f>IFERROR(__xludf.DUMMYFUNCTION("""COMPUTED_VALUE"""),"Tenerife")</f>
        <v>Tenerife</v>
      </c>
      <c r="B8436" s="120" t="str">
        <f>IFERROR(__xludf.DUMMYFUNCTION("""COMPUTED_VALUE"""),"TFS")</f>
        <v>TFS</v>
      </c>
      <c r="C8436" s="120" t="str">
        <f>IFERROR(__xludf.DUMMYFUNCTION("""COMPUTED_VALUE"""),"Sur Reina Sofia")</f>
        <v>Sur Reina Sofia</v>
      </c>
      <c r="D8436" s="120" t="str">
        <f>IFERROR(__xludf.DUMMYFUNCTION("""COMPUTED_VALUE"""),"Spain")</f>
        <v>Spain</v>
      </c>
      <c r="E8436" s="135"/>
      <c r="F8436" s="31"/>
    </row>
    <row r="8437">
      <c r="A8437" s="134" t="str">
        <f>IFERROR(__xludf.DUMMYFUNCTION("""COMPUTED_VALUE"""),"Teniente R. Marsh")</f>
        <v>Teniente R. Marsh</v>
      </c>
      <c r="B8437" s="120" t="str">
        <f>IFERROR(__xludf.DUMMYFUNCTION("""COMPUTED_VALUE"""),"TNM")</f>
        <v>TNM</v>
      </c>
      <c r="C8437" s="120" t="str">
        <f>IFERROR(__xludf.DUMMYFUNCTION("""COMPUTED_VALUE"""),"Teniente R. Marsh")</f>
        <v>Teniente R. Marsh</v>
      </c>
      <c r="D8437" s="120"/>
      <c r="E8437" s="135"/>
      <c r="F8437" s="31"/>
    </row>
    <row r="8438">
      <c r="A8438" s="134" t="str">
        <f>IFERROR(__xludf.DUMMYFUNCTION("""COMPUTED_VALUE"""),"Tenkodogo")</f>
        <v>Tenkodogo</v>
      </c>
      <c r="B8438" s="120" t="str">
        <f>IFERROR(__xludf.DUMMYFUNCTION("""COMPUTED_VALUE"""),"TEG")</f>
        <v>TEG</v>
      </c>
      <c r="C8438" s="120" t="str">
        <f>IFERROR(__xludf.DUMMYFUNCTION("""COMPUTED_VALUE"""),"Tenkodogo")</f>
        <v>Tenkodogo</v>
      </c>
      <c r="D8438" s="120" t="str">
        <f>IFERROR(__xludf.DUMMYFUNCTION("""COMPUTED_VALUE"""),"Burkina Faso")</f>
        <v>Burkina Faso</v>
      </c>
      <c r="E8438" s="135"/>
      <c r="F8438" s="31"/>
    </row>
    <row r="8439">
      <c r="A8439" s="134" t="str">
        <f>IFERROR(__xludf.DUMMYFUNCTION("""COMPUTED_VALUE"""),"Tennant Creek")</f>
        <v>Tennant Creek</v>
      </c>
      <c r="B8439" s="120" t="str">
        <f>IFERROR(__xludf.DUMMYFUNCTION("""COMPUTED_VALUE"""),"TCA")</f>
        <v>TCA</v>
      </c>
      <c r="C8439" s="120" t="str">
        <f>IFERROR(__xludf.DUMMYFUNCTION("""COMPUTED_VALUE"""),"Tennant Creek")</f>
        <v>Tennant Creek</v>
      </c>
      <c r="D8439" s="120" t="str">
        <f>IFERROR(__xludf.DUMMYFUNCTION("""COMPUTED_VALUE"""),"Australia")</f>
        <v>Australia</v>
      </c>
      <c r="E8439" s="135"/>
      <c r="F8439" s="31"/>
    </row>
    <row r="8440">
      <c r="A8440" s="134" t="str">
        <f>IFERROR(__xludf.DUMMYFUNCTION("""COMPUTED_VALUE"""),"Teofilo Otoni")</f>
        <v>Teofilo Otoni</v>
      </c>
      <c r="B8440" s="120" t="str">
        <f>IFERROR(__xludf.DUMMYFUNCTION("""COMPUTED_VALUE"""),"TFL")</f>
        <v>TFL</v>
      </c>
      <c r="C8440" s="120" t="str">
        <f>IFERROR(__xludf.DUMMYFUNCTION("""COMPUTED_VALUE"""),"Teofilo Otoni")</f>
        <v>Teofilo Otoni</v>
      </c>
      <c r="D8440" s="120" t="str">
        <f>IFERROR(__xludf.DUMMYFUNCTION("""COMPUTED_VALUE"""),"Brazil")</f>
        <v>Brazil</v>
      </c>
      <c r="E8440" s="135"/>
      <c r="F8440" s="31"/>
    </row>
    <row r="8441">
      <c r="A8441" s="134" t="str">
        <f>IFERROR(__xludf.DUMMYFUNCTION("""COMPUTED_VALUE"""),"Tepic")</f>
        <v>Tepic</v>
      </c>
      <c r="B8441" s="120" t="str">
        <f>IFERROR(__xludf.DUMMYFUNCTION("""COMPUTED_VALUE"""),"TPQ")</f>
        <v>TPQ</v>
      </c>
      <c r="C8441" s="120" t="str">
        <f>IFERROR(__xludf.DUMMYFUNCTION("""COMPUTED_VALUE"""),"Tepic")</f>
        <v>Tepic</v>
      </c>
      <c r="D8441" s="120" t="str">
        <f>IFERROR(__xludf.DUMMYFUNCTION("""COMPUTED_VALUE"""),"Mexico")</f>
        <v>Mexico</v>
      </c>
      <c r="E8441" s="135"/>
      <c r="F8441" s="31"/>
    </row>
    <row r="8442">
      <c r="A8442" s="134" t="str">
        <f>IFERROR(__xludf.DUMMYFUNCTION("""COMPUTED_VALUE"""),"Teptep")</f>
        <v>Teptep</v>
      </c>
      <c r="B8442" s="120" t="str">
        <f>IFERROR(__xludf.DUMMYFUNCTION("""COMPUTED_VALUE"""),"TEP")</f>
        <v>TEP</v>
      </c>
      <c r="C8442" s="120" t="str">
        <f>IFERROR(__xludf.DUMMYFUNCTION("""COMPUTED_VALUE"""),"Teptep")</f>
        <v>Teptep</v>
      </c>
      <c r="D8442" s="120" t="str">
        <f>IFERROR(__xludf.DUMMYFUNCTION("""COMPUTED_VALUE"""),"Papua New Guinea")</f>
        <v>Papua New Guinea</v>
      </c>
      <c r="E8442" s="135"/>
      <c r="F8442" s="31"/>
    </row>
    <row r="8443">
      <c r="A8443" s="134" t="str">
        <f>IFERROR(__xludf.DUMMYFUNCTION("""COMPUTED_VALUE"""),"Teraina")</f>
        <v>Teraina</v>
      </c>
      <c r="B8443" s="120" t="str">
        <f>IFERROR(__xludf.DUMMYFUNCTION("""COMPUTED_VALUE"""),"TNQ")</f>
        <v>TNQ</v>
      </c>
      <c r="C8443" s="120" t="str">
        <f>IFERROR(__xludf.DUMMYFUNCTION("""COMPUTED_VALUE"""),"Teraina")</f>
        <v>Teraina</v>
      </c>
      <c r="D8443" s="120" t="str">
        <f>IFERROR(__xludf.DUMMYFUNCTION("""COMPUTED_VALUE"""),"Kiribati")</f>
        <v>Kiribati</v>
      </c>
      <c r="E8443" s="135"/>
      <c r="F8443" s="31"/>
    </row>
    <row r="8444">
      <c r="A8444" s="134" t="str">
        <f>IFERROR(__xludf.DUMMYFUNCTION("""COMPUTED_VALUE"""),"Terapo")</f>
        <v>Terapo</v>
      </c>
      <c r="B8444" s="120" t="str">
        <f>IFERROR(__xludf.DUMMYFUNCTION("""COMPUTED_VALUE"""),"TEO")</f>
        <v>TEO</v>
      </c>
      <c r="C8444" s="120" t="str">
        <f>IFERROR(__xludf.DUMMYFUNCTION("""COMPUTED_VALUE"""),"Terapo")</f>
        <v>Terapo</v>
      </c>
      <c r="D8444" s="120" t="str">
        <f>IFERROR(__xludf.DUMMYFUNCTION("""COMPUTED_VALUE"""),"Papua New Guinea")</f>
        <v>Papua New Guinea</v>
      </c>
      <c r="E8444" s="135"/>
      <c r="F8444" s="31"/>
    </row>
    <row r="8445">
      <c r="A8445" s="134" t="str">
        <f>IFERROR(__xludf.DUMMYFUNCTION("""COMPUTED_VALUE"""),"Terceira Island")</f>
        <v>Terceira Island</v>
      </c>
      <c r="B8445" s="120" t="str">
        <f>IFERROR(__xludf.DUMMYFUNCTION("""COMPUTED_VALUE"""),"TER")</f>
        <v>TER</v>
      </c>
      <c r="C8445" s="120" t="str">
        <f>IFERROR(__xludf.DUMMYFUNCTION("""COMPUTED_VALUE"""),"Lajes")</f>
        <v>Lajes</v>
      </c>
      <c r="D8445" s="120" t="str">
        <f>IFERROR(__xludf.DUMMYFUNCTION("""COMPUTED_VALUE"""),"Portugal")</f>
        <v>Portugal</v>
      </c>
      <c r="E8445" s="135"/>
      <c r="F8445" s="31"/>
    </row>
    <row r="8446">
      <c r="A8446" s="134" t="str">
        <f>IFERROR(__xludf.DUMMYFUNCTION("""COMPUTED_VALUE"""),"Teresina")</f>
        <v>Teresina</v>
      </c>
      <c r="B8446" s="120" t="str">
        <f>IFERROR(__xludf.DUMMYFUNCTION("""COMPUTED_VALUE"""),"THE")</f>
        <v>THE</v>
      </c>
      <c r="C8446" s="120" t="str">
        <f>IFERROR(__xludf.DUMMYFUNCTION("""COMPUTED_VALUE"""),"Teresina")</f>
        <v>Teresina</v>
      </c>
      <c r="D8446" s="120" t="str">
        <f>IFERROR(__xludf.DUMMYFUNCTION("""COMPUTED_VALUE"""),"Brazil")</f>
        <v>Brazil</v>
      </c>
      <c r="E8446" s="135"/>
      <c r="F8446" s="31"/>
    </row>
    <row r="8447">
      <c r="A8447" s="134" t="str">
        <f>IFERROR(__xludf.DUMMYFUNCTION("""COMPUTED_VALUE"""),"Termez")</f>
        <v>Termez</v>
      </c>
      <c r="B8447" s="120" t="str">
        <f>IFERROR(__xludf.DUMMYFUNCTION("""COMPUTED_VALUE"""),"TMJ")</f>
        <v>TMJ</v>
      </c>
      <c r="C8447" s="120" t="str">
        <f>IFERROR(__xludf.DUMMYFUNCTION("""COMPUTED_VALUE"""),"Termez")</f>
        <v>Termez</v>
      </c>
      <c r="D8447" s="120" t="str">
        <f>IFERROR(__xludf.DUMMYFUNCTION("""COMPUTED_VALUE"""),"Uzbekistan")</f>
        <v>Uzbekistan</v>
      </c>
      <c r="E8447" s="135"/>
      <c r="F8447" s="31"/>
    </row>
    <row r="8448">
      <c r="A8448" s="134" t="str">
        <f>IFERROR(__xludf.DUMMYFUNCTION("""COMPUTED_VALUE"""),"Ternate")</f>
        <v>Ternate</v>
      </c>
      <c r="B8448" s="120" t="str">
        <f>IFERROR(__xludf.DUMMYFUNCTION("""COMPUTED_VALUE"""),"TTE")</f>
        <v>TTE</v>
      </c>
      <c r="C8448" s="120" t="str">
        <f>IFERROR(__xludf.DUMMYFUNCTION("""COMPUTED_VALUE"""),"Babullah")</f>
        <v>Babullah</v>
      </c>
      <c r="D8448" s="120" t="str">
        <f>IFERROR(__xludf.DUMMYFUNCTION("""COMPUTED_VALUE"""),"Indonesia")</f>
        <v>Indonesia</v>
      </c>
      <c r="E8448" s="135"/>
      <c r="F8448" s="31"/>
    </row>
    <row r="8449">
      <c r="A8449" s="134" t="str">
        <f>IFERROR(__xludf.DUMMYFUNCTION("""COMPUTED_VALUE"""),"Ternopol")</f>
        <v>Ternopol</v>
      </c>
      <c r="B8449" s="120" t="str">
        <f>IFERROR(__xludf.DUMMYFUNCTION("""COMPUTED_VALUE"""),"TNL")</f>
        <v>TNL</v>
      </c>
      <c r="C8449" s="120" t="str">
        <f>IFERROR(__xludf.DUMMYFUNCTION("""COMPUTED_VALUE"""),"Ternopol")</f>
        <v>Ternopol</v>
      </c>
      <c r="D8449" s="120" t="str">
        <f>IFERROR(__xludf.DUMMYFUNCTION("""COMPUTED_VALUE"""),"Ukraine")</f>
        <v>Ukraine</v>
      </c>
      <c r="E8449" s="135"/>
      <c r="F8449" s="31"/>
    </row>
    <row r="8450">
      <c r="A8450" s="134" t="str">
        <f>IFERROR(__xludf.DUMMYFUNCTION("""COMPUTED_VALUE"""),"Terrace")</f>
        <v>Terrace</v>
      </c>
      <c r="B8450" s="120" t="str">
        <f>IFERROR(__xludf.DUMMYFUNCTION("""COMPUTED_VALUE"""),"YXT")</f>
        <v>YXT</v>
      </c>
      <c r="C8450" s="120" t="str">
        <f>IFERROR(__xludf.DUMMYFUNCTION("""COMPUTED_VALUE"""),"Terrace")</f>
        <v>Terrace</v>
      </c>
      <c r="D8450" s="120" t="str">
        <f>IFERROR(__xludf.DUMMYFUNCTION("""COMPUTED_VALUE"""),"Canada")</f>
        <v>Canada</v>
      </c>
      <c r="E8450" s="135"/>
      <c r="F8450" s="31"/>
    </row>
    <row r="8451">
      <c r="A8451" s="134" t="str">
        <f>IFERROR(__xludf.DUMMYFUNCTION("""COMPUTED_VALUE"""),"Terrace Bay")</f>
        <v>Terrace Bay</v>
      </c>
      <c r="B8451" s="120" t="str">
        <f>IFERROR(__xludf.DUMMYFUNCTION("""COMPUTED_VALUE"""),"TCY")</f>
        <v>TCY</v>
      </c>
      <c r="C8451" s="120" t="str">
        <f>IFERROR(__xludf.DUMMYFUNCTION("""COMPUTED_VALUE"""),"Terrace Bay")</f>
        <v>Terrace Bay</v>
      </c>
      <c r="D8451" s="120" t="str">
        <f>IFERROR(__xludf.DUMMYFUNCTION("""COMPUTED_VALUE"""),"Namibia")</f>
        <v>Namibia</v>
      </c>
      <c r="E8451" s="135"/>
      <c r="F8451" s="31"/>
    </row>
    <row r="8452">
      <c r="A8452" s="134" t="str">
        <f>IFERROR(__xludf.DUMMYFUNCTION("""COMPUTED_VALUE"""),"Terrace Bay")</f>
        <v>Terrace Bay</v>
      </c>
      <c r="B8452" s="120" t="str">
        <f>IFERROR(__xludf.DUMMYFUNCTION("""COMPUTED_VALUE"""),"YTJ")</f>
        <v>YTJ</v>
      </c>
      <c r="C8452" s="120" t="str">
        <f>IFERROR(__xludf.DUMMYFUNCTION("""COMPUTED_VALUE"""),"Terrace Bay")</f>
        <v>Terrace Bay</v>
      </c>
      <c r="D8452" s="120" t="str">
        <f>IFERROR(__xludf.DUMMYFUNCTION("""COMPUTED_VALUE"""),"Canada")</f>
        <v>Canada</v>
      </c>
      <c r="E8452" s="135"/>
      <c r="F8452" s="31"/>
    </row>
    <row r="8453">
      <c r="A8453" s="134" t="str">
        <f>IFERROR(__xludf.DUMMYFUNCTION("""COMPUTED_VALUE"""),"Terre Haute")</f>
        <v>Terre Haute</v>
      </c>
      <c r="B8453" s="120" t="str">
        <f>IFERROR(__xludf.DUMMYFUNCTION("""COMPUTED_VALUE"""),"HUF")</f>
        <v>HUF</v>
      </c>
      <c r="C8453" s="120" t="str">
        <f>IFERROR(__xludf.DUMMYFUNCTION("""COMPUTED_VALUE"""),"Hulman Field")</f>
        <v>Hulman Field</v>
      </c>
      <c r="D8453" s="120" t="str">
        <f>IFERROR(__xludf.DUMMYFUNCTION("""COMPUTED_VALUE"""),"United States")</f>
        <v>United States</v>
      </c>
      <c r="E8453" s="135"/>
      <c r="F8453" s="31"/>
    </row>
    <row r="8454">
      <c r="A8454" s="134" t="str">
        <f>IFERROR(__xludf.DUMMYFUNCTION("""COMPUTED_VALUE"""),"Terre-de-Bas")</f>
        <v>Terre-de-Bas</v>
      </c>
      <c r="B8454" s="120" t="str">
        <f>IFERROR(__xludf.DUMMYFUNCTION("""COMPUTED_VALUE"""),"HTB")</f>
        <v>HTB</v>
      </c>
      <c r="C8454" s="120" t="str">
        <f>IFERROR(__xludf.DUMMYFUNCTION("""COMPUTED_VALUE"""),"Terre-de-Bas")</f>
        <v>Terre-de-Bas</v>
      </c>
      <c r="D8454" s="120" t="str">
        <f>IFERROR(__xludf.DUMMYFUNCTION("""COMPUTED_VALUE"""),"Guadeloupe")</f>
        <v>Guadeloupe</v>
      </c>
      <c r="E8454" s="135"/>
      <c r="F8454" s="31"/>
    </row>
    <row r="8455">
      <c r="A8455" s="134" t="str">
        <f>IFERROR(__xludf.DUMMYFUNCTION("""COMPUTED_VALUE"""),"Terre-de-Haut")</f>
        <v>Terre-de-Haut</v>
      </c>
      <c r="B8455" s="120" t="str">
        <f>IFERROR(__xludf.DUMMYFUNCTION("""COMPUTED_VALUE"""),"LSS")</f>
        <v>LSS</v>
      </c>
      <c r="C8455" s="120" t="str">
        <f>IFERROR(__xludf.DUMMYFUNCTION("""COMPUTED_VALUE"""),"Terre-de-Haut")</f>
        <v>Terre-de-Haut</v>
      </c>
      <c r="D8455" s="120" t="str">
        <f>IFERROR(__xludf.DUMMYFUNCTION("""COMPUTED_VALUE"""),"Guadeloupe")</f>
        <v>Guadeloupe</v>
      </c>
      <c r="E8455" s="135"/>
      <c r="F8455" s="31"/>
    </row>
    <row r="8456">
      <c r="A8456" s="134" t="str">
        <f>IFERROR(__xludf.DUMMYFUNCTION("""COMPUTED_VALUE"""),"Terrell")</f>
        <v>Terrell</v>
      </c>
      <c r="B8456" s="120" t="str">
        <f>IFERROR(__xludf.DUMMYFUNCTION("""COMPUTED_VALUE"""),"TRL")</f>
        <v>TRL</v>
      </c>
      <c r="C8456" s="120" t="str">
        <f>IFERROR(__xludf.DUMMYFUNCTION("""COMPUTED_VALUE"""),"Terrell Field")</f>
        <v>Terrell Field</v>
      </c>
      <c r="D8456" s="120" t="str">
        <f>IFERROR(__xludf.DUMMYFUNCTION("""COMPUTED_VALUE"""),"United States")</f>
        <v>United States</v>
      </c>
      <c r="E8456" s="135"/>
      <c r="F8456" s="31"/>
    </row>
    <row r="8457">
      <c r="A8457" s="134" t="str">
        <f>IFERROR(__xludf.DUMMYFUNCTION("""COMPUTED_VALUE"""),"Teslin")</f>
        <v>Teslin</v>
      </c>
      <c r="B8457" s="120" t="str">
        <f>IFERROR(__xludf.DUMMYFUNCTION("""COMPUTED_VALUE"""),"YZW")</f>
        <v>YZW</v>
      </c>
      <c r="C8457" s="120" t="str">
        <f>IFERROR(__xludf.DUMMYFUNCTION("""COMPUTED_VALUE"""),"Teslin")</f>
        <v>Teslin</v>
      </c>
      <c r="D8457" s="120" t="str">
        <f>IFERROR(__xludf.DUMMYFUNCTION("""COMPUTED_VALUE"""),"Canada")</f>
        <v>Canada</v>
      </c>
      <c r="E8457" s="135"/>
      <c r="F8457" s="31"/>
    </row>
    <row r="8458">
      <c r="A8458" s="134" t="str">
        <f>IFERROR(__xludf.DUMMYFUNCTION("""COMPUTED_VALUE"""),"Tessenei")</f>
        <v>Tessenei</v>
      </c>
      <c r="B8458" s="120" t="str">
        <f>IFERROR(__xludf.DUMMYFUNCTION("""COMPUTED_VALUE"""),"TES")</f>
        <v>TES</v>
      </c>
      <c r="C8458" s="120" t="str">
        <f>IFERROR(__xludf.DUMMYFUNCTION("""COMPUTED_VALUE"""),"Tessenei")</f>
        <v>Tessenei</v>
      </c>
      <c r="D8458" s="120"/>
      <c r="E8458" s="135"/>
      <c r="F8458" s="31"/>
    </row>
    <row r="8459">
      <c r="A8459" s="134" t="str">
        <f>IFERROR(__xludf.DUMMYFUNCTION("""COMPUTED_VALUE"""),"Tetabedi")</f>
        <v>Tetabedi</v>
      </c>
      <c r="B8459" s="120" t="str">
        <f>IFERROR(__xludf.DUMMYFUNCTION("""COMPUTED_VALUE"""),"TDB")</f>
        <v>TDB</v>
      </c>
      <c r="C8459" s="120" t="str">
        <f>IFERROR(__xludf.DUMMYFUNCTION("""COMPUTED_VALUE"""),"Tetabedi")</f>
        <v>Tetabedi</v>
      </c>
      <c r="D8459" s="120" t="str">
        <f>IFERROR(__xludf.DUMMYFUNCTION("""COMPUTED_VALUE"""),"Papua New Guinea")</f>
        <v>Papua New Guinea</v>
      </c>
      <c r="E8459" s="135"/>
      <c r="F8459" s="31"/>
    </row>
    <row r="8460">
      <c r="A8460" s="134" t="str">
        <f>IFERROR(__xludf.DUMMYFUNCTION("""COMPUTED_VALUE"""),"Tete")</f>
        <v>Tete</v>
      </c>
      <c r="B8460" s="120" t="str">
        <f>IFERROR(__xludf.DUMMYFUNCTION("""COMPUTED_VALUE"""),"TCV")</f>
        <v>TCV</v>
      </c>
      <c r="C8460" s="120" t="str">
        <f>IFERROR(__xludf.DUMMYFUNCTION("""COMPUTED_VALUE"""),"Tete")</f>
        <v>Tete</v>
      </c>
      <c r="D8460" s="120" t="str">
        <f>IFERROR(__xludf.DUMMYFUNCTION("""COMPUTED_VALUE"""),"Mozambique")</f>
        <v>Mozambique</v>
      </c>
      <c r="E8460" s="135"/>
      <c r="F8460" s="31"/>
    </row>
    <row r="8461">
      <c r="A8461" s="134" t="str">
        <f>IFERROR(__xludf.DUMMYFUNCTION("""COMPUTED_VALUE"""),"Tete")</f>
        <v>Tete</v>
      </c>
      <c r="B8461" s="120" t="str">
        <f>IFERROR(__xludf.DUMMYFUNCTION("""COMPUTED_VALUE"""),"TET")</f>
        <v>TET</v>
      </c>
      <c r="C8461" s="120" t="str">
        <f>IFERROR(__xludf.DUMMYFUNCTION("""COMPUTED_VALUE"""),"Matunda")</f>
        <v>Matunda</v>
      </c>
      <c r="D8461" s="120" t="str">
        <f>IFERROR(__xludf.DUMMYFUNCTION("""COMPUTED_VALUE"""),"Mozambique")</f>
        <v>Mozambique</v>
      </c>
      <c r="E8461" s="135"/>
      <c r="F8461" s="31"/>
    </row>
    <row r="8462">
      <c r="A8462" s="134" t="str">
        <f>IFERROR(__xludf.DUMMYFUNCTION("""COMPUTED_VALUE"""),"Tete-a-La Baleine")</f>
        <v>Tete-a-La Baleine</v>
      </c>
      <c r="B8462" s="120" t="str">
        <f>IFERROR(__xludf.DUMMYFUNCTION("""COMPUTED_VALUE"""),"ZTB")</f>
        <v>ZTB</v>
      </c>
      <c r="C8462" s="120" t="str">
        <f>IFERROR(__xludf.DUMMYFUNCTION("""COMPUTED_VALUE"""),"Tete-a-La Baleine")</f>
        <v>Tete-a-La Baleine</v>
      </c>
      <c r="D8462" s="120" t="str">
        <f>IFERROR(__xludf.DUMMYFUNCTION("""COMPUTED_VALUE"""),"Canada")</f>
        <v>Canada</v>
      </c>
      <c r="E8462" s="135"/>
      <c r="F8462" s="31"/>
    </row>
    <row r="8463">
      <c r="A8463" s="134" t="str">
        <f>IFERROR(__xludf.DUMMYFUNCTION("""COMPUTED_VALUE"""),"Teterboro")</f>
        <v>Teterboro</v>
      </c>
      <c r="B8463" s="120" t="str">
        <f>IFERROR(__xludf.DUMMYFUNCTION("""COMPUTED_VALUE"""),"TEB")</f>
        <v>TEB</v>
      </c>
      <c r="C8463" s="120" t="str">
        <f>IFERROR(__xludf.DUMMYFUNCTION("""COMPUTED_VALUE"""),"Teterboro")</f>
        <v>Teterboro</v>
      </c>
      <c r="D8463" s="120" t="str">
        <f>IFERROR(__xludf.DUMMYFUNCTION("""COMPUTED_VALUE"""),"United States")</f>
        <v>United States</v>
      </c>
      <c r="E8463" s="135"/>
      <c r="F8463" s="31"/>
    </row>
    <row r="8464">
      <c r="A8464" s="134" t="str">
        <f>IFERROR(__xludf.DUMMYFUNCTION("""COMPUTED_VALUE"""),"Tetiaroa Is")</f>
        <v>Tetiaroa Is</v>
      </c>
      <c r="B8464" s="120" t="str">
        <f>IFERROR(__xludf.DUMMYFUNCTION("""COMPUTED_VALUE"""),"TTI")</f>
        <v>TTI</v>
      </c>
      <c r="C8464" s="120" t="str">
        <f>IFERROR(__xludf.DUMMYFUNCTION("""COMPUTED_VALUE"""),"Tetiaroa Is")</f>
        <v>Tetiaroa Is</v>
      </c>
      <c r="D8464" s="120" t="str">
        <f>IFERROR(__xludf.DUMMYFUNCTION("""COMPUTED_VALUE"""),"French Polynesia")</f>
        <v>French Polynesia</v>
      </c>
      <c r="E8464" s="135"/>
      <c r="F8464" s="31"/>
    </row>
    <row r="8465">
      <c r="A8465" s="134" t="str">
        <f>IFERROR(__xludf.DUMMYFUNCTION("""COMPUTED_VALUE"""),"Tetlin")</f>
        <v>Tetlin</v>
      </c>
      <c r="B8465" s="120" t="str">
        <f>IFERROR(__xludf.DUMMYFUNCTION("""COMPUTED_VALUE"""),"TEH")</f>
        <v>TEH</v>
      </c>
      <c r="C8465" s="120" t="str">
        <f>IFERROR(__xludf.DUMMYFUNCTION("""COMPUTED_VALUE"""),"Tetlin")</f>
        <v>Tetlin</v>
      </c>
      <c r="D8465" s="120" t="str">
        <f>IFERROR(__xludf.DUMMYFUNCTION("""COMPUTED_VALUE"""),"United States")</f>
        <v>United States</v>
      </c>
      <c r="E8465" s="135"/>
      <c r="F8465" s="31"/>
    </row>
    <row r="8466">
      <c r="A8466" s="134" t="str">
        <f>IFERROR(__xludf.DUMMYFUNCTION("""COMPUTED_VALUE"""),"Tetuan")</f>
        <v>Tetuan</v>
      </c>
      <c r="B8466" s="120" t="str">
        <f>IFERROR(__xludf.DUMMYFUNCTION("""COMPUTED_VALUE"""),"TTU")</f>
        <v>TTU</v>
      </c>
      <c r="C8466" s="120" t="str">
        <f>IFERROR(__xludf.DUMMYFUNCTION("""COMPUTED_VALUE"""),"Sania Ramel")</f>
        <v>Sania Ramel</v>
      </c>
      <c r="D8466" s="120" t="str">
        <f>IFERROR(__xludf.DUMMYFUNCTION("""COMPUTED_VALUE"""),"Morocco")</f>
        <v>Morocco</v>
      </c>
      <c r="E8466" s="135"/>
      <c r="F8466" s="31"/>
    </row>
    <row r="8467">
      <c r="A8467" s="134" t="str">
        <f>IFERROR(__xludf.DUMMYFUNCTION("""COMPUTED_VALUE"""),"Tewantin")</f>
        <v>Tewantin</v>
      </c>
      <c r="B8467" s="120" t="str">
        <f>IFERROR(__xludf.DUMMYFUNCTION("""COMPUTED_VALUE"""),"TWN")</f>
        <v>TWN</v>
      </c>
      <c r="C8467" s="120" t="str">
        <f>IFERROR(__xludf.DUMMYFUNCTION("""COMPUTED_VALUE"""),"Tewantin")</f>
        <v>Tewantin</v>
      </c>
      <c r="D8467" s="120" t="str">
        <f>IFERROR(__xludf.DUMMYFUNCTION("""COMPUTED_VALUE"""),"Australia")</f>
        <v>Australia</v>
      </c>
      <c r="E8467" s="135"/>
      <c r="F8467" s="31"/>
    </row>
    <row r="8468">
      <c r="A8468" s="134" t="str">
        <f>IFERROR(__xludf.DUMMYFUNCTION("""COMPUTED_VALUE"""),"Texarkana")</f>
        <v>Texarkana</v>
      </c>
      <c r="B8468" s="120" t="str">
        <f>IFERROR(__xludf.DUMMYFUNCTION("""COMPUTED_VALUE"""),"TXK")</f>
        <v>TXK</v>
      </c>
      <c r="C8468" s="120" t="str">
        <f>IFERROR(__xludf.DUMMYFUNCTION("""COMPUTED_VALUE"""),"Municipal")</f>
        <v>Municipal</v>
      </c>
      <c r="D8468" s="120" t="str">
        <f>IFERROR(__xludf.DUMMYFUNCTION("""COMPUTED_VALUE"""),"United States")</f>
        <v>United States</v>
      </c>
      <c r="E8468" s="135"/>
      <c r="F8468" s="31"/>
    </row>
    <row r="8469">
      <c r="A8469" s="134" t="str">
        <f>IFERROR(__xludf.DUMMYFUNCTION("""COMPUTED_VALUE"""),"Tezpur")</f>
        <v>Tezpur</v>
      </c>
      <c r="B8469" s="120" t="str">
        <f>IFERROR(__xludf.DUMMYFUNCTION("""COMPUTED_VALUE"""),"TEZ")</f>
        <v>TEZ</v>
      </c>
      <c r="C8469" s="120" t="str">
        <f>IFERROR(__xludf.DUMMYFUNCTION("""COMPUTED_VALUE"""),"Salonibari")</f>
        <v>Salonibari</v>
      </c>
      <c r="D8469" s="120" t="str">
        <f>IFERROR(__xludf.DUMMYFUNCTION("""COMPUTED_VALUE"""),"India")</f>
        <v>India</v>
      </c>
      <c r="E8469" s="135"/>
      <c r="F8469" s="31"/>
    </row>
    <row r="8470">
      <c r="A8470" s="134" t="str">
        <f>IFERROR(__xludf.DUMMYFUNCTION("""COMPUTED_VALUE"""),"Tezu")</f>
        <v>Tezu</v>
      </c>
      <c r="B8470" s="120" t="str">
        <f>IFERROR(__xludf.DUMMYFUNCTION("""COMPUTED_VALUE"""),"TEI")</f>
        <v>TEI</v>
      </c>
      <c r="C8470" s="120" t="str">
        <f>IFERROR(__xludf.DUMMYFUNCTION("""COMPUTED_VALUE"""),"Tezu")</f>
        <v>Tezu</v>
      </c>
      <c r="D8470" s="120" t="str">
        <f>IFERROR(__xludf.DUMMYFUNCTION("""COMPUTED_VALUE"""),"India")</f>
        <v>India</v>
      </c>
      <c r="E8470" s="135"/>
      <c r="F8470" s="31"/>
    </row>
    <row r="8471">
      <c r="A8471" s="134" t="str">
        <f>IFERROR(__xludf.DUMMYFUNCTION("""COMPUTED_VALUE"""),"Thaba Nchu")</f>
        <v>Thaba Nchu</v>
      </c>
      <c r="B8471" s="120" t="str">
        <f>IFERROR(__xludf.DUMMYFUNCTION("""COMPUTED_VALUE"""),"TCU")</f>
        <v>TCU</v>
      </c>
      <c r="C8471" s="120" t="str">
        <f>IFERROR(__xludf.DUMMYFUNCTION("""COMPUTED_VALUE"""),"Thaba Nchu")</f>
        <v>Thaba Nchu</v>
      </c>
      <c r="D8471" s="120" t="str">
        <f>IFERROR(__xludf.DUMMYFUNCTION("""COMPUTED_VALUE"""),"South Africa")</f>
        <v>South Africa</v>
      </c>
      <c r="E8471" s="135"/>
      <c r="F8471" s="31"/>
    </row>
    <row r="8472">
      <c r="A8472" s="134" t="str">
        <f>IFERROR(__xludf.DUMMYFUNCTION("""COMPUTED_VALUE"""),"Thaba-Tseka")</f>
        <v>Thaba-Tseka</v>
      </c>
      <c r="B8472" s="120" t="str">
        <f>IFERROR(__xludf.DUMMYFUNCTION("""COMPUTED_VALUE"""),"THB")</f>
        <v>THB</v>
      </c>
      <c r="C8472" s="120" t="str">
        <f>IFERROR(__xludf.DUMMYFUNCTION("""COMPUTED_VALUE"""),"Thaba-Tseka")</f>
        <v>Thaba-Tseka</v>
      </c>
      <c r="D8472" s="120" t="str">
        <f>IFERROR(__xludf.DUMMYFUNCTION("""COMPUTED_VALUE"""),"Lesotho")</f>
        <v>Lesotho</v>
      </c>
      <c r="E8472" s="135"/>
      <c r="F8472" s="31"/>
    </row>
    <row r="8473">
      <c r="A8473" s="134" t="str">
        <f>IFERROR(__xludf.DUMMYFUNCTION("""COMPUTED_VALUE"""),"Thakhek")</f>
        <v>Thakhek</v>
      </c>
      <c r="B8473" s="120" t="str">
        <f>IFERROR(__xludf.DUMMYFUNCTION("""COMPUTED_VALUE"""),"THK")</f>
        <v>THK</v>
      </c>
      <c r="C8473" s="120" t="str">
        <f>IFERROR(__xludf.DUMMYFUNCTION("""COMPUTED_VALUE"""),"Thakhek")</f>
        <v>Thakhek</v>
      </c>
      <c r="D8473" s="120" t="str">
        <f>IFERROR(__xludf.DUMMYFUNCTION("""COMPUTED_VALUE"""),"Laos")</f>
        <v>Laos</v>
      </c>
      <c r="E8473" s="135"/>
      <c r="F8473" s="31"/>
    </row>
    <row r="8474">
      <c r="A8474" s="134" t="str">
        <f>IFERROR(__xludf.DUMMYFUNCTION("""COMPUTED_VALUE"""),"Thakurgaon")</f>
        <v>Thakurgaon</v>
      </c>
      <c r="B8474" s="120" t="str">
        <f>IFERROR(__xludf.DUMMYFUNCTION("""COMPUTED_VALUE"""),"TKR")</f>
        <v>TKR</v>
      </c>
      <c r="C8474" s="120" t="str">
        <f>IFERROR(__xludf.DUMMYFUNCTION("""COMPUTED_VALUE"""),"Thakurgaon")</f>
        <v>Thakurgaon</v>
      </c>
      <c r="D8474" s="120" t="str">
        <f>IFERROR(__xludf.DUMMYFUNCTION("""COMPUTED_VALUE"""),"Bangladesh")</f>
        <v>Bangladesh</v>
      </c>
      <c r="E8474" s="135"/>
      <c r="F8474" s="31"/>
    </row>
    <row r="8475">
      <c r="A8475" s="134" t="str">
        <f>IFERROR(__xludf.DUMMYFUNCTION("""COMPUTED_VALUE"""),"Thames")</f>
        <v>Thames</v>
      </c>
      <c r="B8475" s="120" t="str">
        <f>IFERROR(__xludf.DUMMYFUNCTION("""COMPUTED_VALUE"""),"TMZ")</f>
        <v>TMZ</v>
      </c>
      <c r="C8475" s="120" t="str">
        <f>IFERROR(__xludf.DUMMYFUNCTION("""COMPUTED_VALUE"""),"Thames")</f>
        <v>Thames</v>
      </c>
      <c r="D8475" s="120" t="str">
        <f>IFERROR(__xludf.DUMMYFUNCTION("""COMPUTED_VALUE"""),"New Zealand (Aotearoa)")</f>
        <v>New Zealand (Aotearoa)</v>
      </c>
      <c r="E8475" s="135"/>
      <c r="F8475" s="31"/>
    </row>
    <row r="8476">
      <c r="A8476" s="134" t="str">
        <f>IFERROR(__xludf.DUMMYFUNCTION("""COMPUTED_VALUE"""),"Thandwe")</f>
        <v>Thandwe</v>
      </c>
      <c r="B8476" s="120" t="str">
        <f>IFERROR(__xludf.DUMMYFUNCTION("""COMPUTED_VALUE"""),"SNW")</f>
        <v>SNW</v>
      </c>
      <c r="C8476" s="120" t="str">
        <f>IFERROR(__xludf.DUMMYFUNCTION("""COMPUTED_VALUE"""),"Thandwe")</f>
        <v>Thandwe</v>
      </c>
      <c r="D8476" s="120" t="str">
        <f>IFERROR(__xludf.DUMMYFUNCTION("""COMPUTED_VALUE"""),"Myanmar")</f>
        <v>Myanmar</v>
      </c>
      <c r="E8476" s="135"/>
      <c r="F8476" s="31"/>
    </row>
    <row r="8477">
      <c r="A8477" s="134" t="str">
        <f>IFERROR(__xludf.DUMMYFUNCTION("""COMPUTED_VALUE"""),"Thangool")</f>
        <v>Thangool</v>
      </c>
      <c r="B8477" s="120" t="str">
        <f>IFERROR(__xludf.DUMMYFUNCTION("""COMPUTED_VALUE"""),"THG")</f>
        <v>THG</v>
      </c>
      <c r="C8477" s="120" t="str">
        <f>IFERROR(__xludf.DUMMYFUNCTION("""COMPUTED_VALUE"""),"Thangool")</f>
        <v>Thangool</v>
      </c>
      <c r="D8477" s="120" t="str">
        <f>IFERROR(__xludf.DUMMYFUNCTION("""COMPUTED_VALUE"""),"Australia")</f>
        <v>Australia</v>
      </c>
      <c r="E8477" s="135"/>
      <c r="F8477" s="31"/>
    </row>
    <row r="8478">
      <c r="A8478" s="134" t="str">
        <f>IFERROR(__xludf.DUMMYFUNCTION("""COMPUTED_VALUE"""),"Thanjavur")</f>
        <v>Thanjavur</v>
      </c>
      <c r="B8478" s="120" t="str">
        <f>IFERROR(__xludf.DUMMYFUNCTION("""COMPUTED_VALUE"""),"TJV")</f>
        <v>TJV</v>
      </c>
      <c r="C8478" s="120" t="str">
        <f>IFERROR(__xludf.DUMMYFUNCTION("""COMPUTED_VALUE"""),"Thanjavur")</f>
        <v>Thanjavur</v>
      </c>
      <c r="D8478" s="120" t="str">
        <f>IFERROR(__xludf.DUMMYFUNCTION("""COMPUTED_VALUE"""),"India")</f>
        <v>India</v>
      </c>
      <c r="E8478" s="135"/>
      <c r="F8478" s="31"/>
    </row>
    <row r="8479">
      <c r="A8479" s="134" t="str">
        <f>IFERROR(__xludf.DUMMYFUNCTION("""COMPUTED_VALUE"""),"Thargomindah")</f>
        <v>Thargomindah</v>
      </c>
      <c r="B8479" s="120" t="str">
        <f>IFERROR(__xludf.DUMMYFUNCTION("""COMPUTED_VALUE"""),"XTG")</f>
        <v>XTG</v>
      </c>
      <c r="C8479" s="120" t="str">
        <f>IFERROR(__xludf.DUMMYFUNCTION("""COMPUTED_VALUE"""),"Thargomindah")</f>
        <v>Thargomindah</v>
      </c>
      <c r="D8479" s="120" t="str">
        <f>IFERROR(__xludf.DUMMYFUNCTION("""COMPUTED_VALUE"""),"Australia")</f>
        <v>Australia</v>
      </c>
      <c r="E8479" s="135"/>
      <c r="F8479" s="31"/>
    </row>
    <row r="8480">
      <c r="A8480" s="134" t="str">
        <f>IFERROR(__xludf.DUMMYFUNCTION("""COMPUTED_VALUE"""),"The Bight")</f>
        <v>The Bight</v>
      </c>
      <c r="B8480" s="120" t="str">
        <f>IFERROR(__xludf.DUMMYFUNCTION("""COMPUTED_VALUE"""),"TBI")</f>
        <v>TBI</v>
      </c>
      <c r="C8480" s="120" t="str">
        <f>IFERROR(__xludf.DUMMYFUNCTION("""COMPUTED_VALUE"""),"New Bright")</f>
        <v>New Bright</v>
      </c>
      <c r="D8480" s="120" t="str">
        <f>IFERROR(__xludf.DUMMYFUNCTION("""COMPUTED_VALUE"""),"Bahamas")</f>
        <v>Bahamas</v>
      </c>
      <c r="E8480" s="135"/>
      <c r="F8480" s="31"/>
    </row>
    <row r="8481">
      <c r="A8481" s="134" t="str">
        <f>IFERROR(__xludf.DUMMYFUNCTION("""COMPUTED_VALUE"""),"The Dalles")</f>
        <v>The Dalles</v>
      </c>
      <c r="B8481" s="120" t="str">
        <f>IFERROR(__xludf.DUMMYFUNCTION("""COMPUTED_VALUE"""),"DLS")</f>
        <v>DLS</v>
      </c>
      <c r="C8481" s="120" t="str">
        <f>IFERROR(__xludf.DUMMYFUNCTION("""COMPUTED_VALUE"""),"The Dalles")</f>
        <v>The Dalles</v>
      </c>
      <c r="D8481" s="120" t="str">
        <f>IFERROR(__xludf.DUMMYFUNCTION("""COMPUTED_VALUE"""),"United States")</f>
        <v>United States</v>
      </c>
      <c r="E8481" s="135"/>
      <c r="F8481" s="31"/>
    </row>
    <row r="8482">
      <c r="A8482" s="134" t="str">
        <f>IFERROR(__xludf.DUMMYFUNCTION("""COMPUTED_VALUE"""),"The Hague")</f>
        <v>The Hague</v>
      </c>
      <c r="B8482" s="120" t="str">
        <f>IFERROR(__xludf.DUMMYFUNCTION("""COMPUTED_VALUE"""),"ZYH")</f>
        <v>ZYH</v>
      </c>
      <c r="C8482" s="120" t="str">
        <f>IFERROR(__xludf.DUMMYFUNCTION("""COMPUTED_VALUE"""),"Holland Spoor Rail Stn")</f>
        <v>Holland Spoor Rail Stn</v>
      </c>
      <c r="D8482" s="120" t="str">
        <f>IFERROR(__xludf.DUMMYFUNCTION("""COMPUTED_VALUE"""),"Netherlands")</f>
        <v>Netherlands</v>
      </c>
      <c r="E8482" s="135"/>
      <c r="F8482" s="31"/>
    </row>
    <row r="8483">
      <c r="A8483" s="134" t="str">
        <f>IFERROR(__xludf.DUMMYFUNCTION("""COMPUTED_VALUE"""),"The Pas")</f>
        <v>The Pas</v>
      </c>
      <c r="B8483" s="120" t="str">
        <f>IFERROR(__xludf.DUMMYFUNCTION("""COMPUTED_VALUE"""),"YQD")</f>
        <v>YQD</v>
      </c>
      <c r="C8483" s="120" t="str">
        <f>IFERROR(__xludf.DUMMYFUNCTION("""COMPUTED_VALUE"""),"The Pas")</f>
        <v>The Pas</v>
      </c>
      <c r="D8483" s="120" t="str">
        <f>IFERROR(__xludf.DUMMYFUNCTION("""COMPUTED_VALUE"""),"Canada")</f>
        <v>Canada</v>
      </c>
      <c r="E8483" s="135"/>
      <c r="F8483" s="31"/>
    </row>
    <row r="8484">
      <c r="A8484" s="134" t="str">
        <f>IFERROR(__xludf.DUMMYFUNCTION("""COMPUTED_VALUE"""),"Theda")</f>
        <v>Theda</v>
      </c>
      <c r="B8484" s="120" t="str">
        <f>IFERROR(__xludf.DUMMYFUNCTION("""COMPUTED_VALUE"""),"TDN")</f>
        <v>TDN</v>
      </c>
      <c r="C8484" s="120" t="str">
        <f>IFERROR(__xludf.DUMMYFUNCTION("""COMPUTED_VALUE"""),"Theda Station")</f>
        <v>Theda Station</v>
      </c>
      <c r="D8484" s="120" t="str">
        <f>IFERROR(__xludf.DUMMYFUNCTION("""COMPUTED_VALUE"""),"Australia")</f>
        <v>Australia</v>
      </c>
      <c r="E8484" s="135"/>
      <c r="F8484" s="31"/>
    </row>
    <row r="8485">
      <c r="A8485" s="134" t="str">
        <f>IFERROR(__xludf.DUMMYFUNCTION("""COMPUTED_VALUE"""),"Theodore")</f>
        <v>Theodore</v>
      </c>
      <c r="B8485" s="120" t="str">
        <f>IFERROR(__xludf.DUMMYFUNCTION("""COMPUTED_VALUE"""),"TDR")</f>
        <v>TDR</v>
      </c>
      <c r="C8485" s="120" t="str">
        <f>IFERROR(__xludf.DUMMYFUNCTION("""COMPUTED_VALUE"""),"Theodore")</f>
        <v>Theodore</v>
      </c>
      <c r="D8485" s="120" t="str">
        <f>IFERROR(__xludf.DUMMYFUNCTION("""COMPUTED_VALUE"""),"Australia")</f>
        <v>Australia</v>
      </c>
      <c r="E8485" s="135"/>
      <c r="F8485" s="31"/>
    </row>
    <row r="8486">
      <c r="A8486" s="134" t="str">
        <f>IFERROR(__xludf.DUMMYFUNCTION("""COMPUTED_VALUE"""),"Thermal")</f>
        <v>Thermal</v>
      </c>
      <c r="B8486" s="120" t="str">
        <f>IFERROR(__xludf.DUMMYFUNCTION("""COMPUTED_VALUE"""),"TRM")</f>
        <v>TRM</v>
      </c>
      <c r="C8486" s="120" t="str">
        <f>IFERROR(__xludf.DUMMYFUNCTION("""COMPUTED_VALUE"""),"Thermal")</f>
        <v>Thermal</v>
      </c>
      <c r="D8486" s="120" t="str">
        <f>IFERROR(__xludf.DUMMYFUNCTION("""COMPUTED_VALUE"""),"United States")</f>
        <v>United States</v>
      </c>
      <c r="E8486" s="135"/>
      <c r="F8486" s="31"/>
    </row>
    <row r="8487">
      <c r="A8487" s="134" t="str">
        <f>IFERROR(__xludf.DUMMYFUNCTION("""COMPUTED_VALUE"""),"Thermopolis")</f>
        <v>Thermopolis</v>
      </c>
      <c r="B8487" s="120" t="str">
        <f>IFERROR(__xludf.DUMMYFUNCTION("""COMPUTED_VALUE"""),"THP")</f>
        <v>THP</v>
      </c>
      <c r="C8487" s="120" t="str">
        <f>IFERROR(__xludf.DUMMYFUNCTION("""COMPUTED_VALUE"""),"Hot Springs")</f>
        <v>Hot Springs</v>
      </c>
      <c r="D8487" s="120" t="str">
        <f>IFERROR(__xludf.DUMMYFUNCTION("""COMPUTED_VALUE"""),"United States")</f>
        <v>United States</v>
      </c>
      <c r="E8487" s="135"/>
      <c r="F8487" s="31"/>
    </row>
    <row r="8488">
      <c r="A8488" s="134" t="str">
        <f>IFERROR(__xludf.DUMMYFUNCTION("""COMPUTED_VALUE"""),"Thessaloniki")</f>
        <v>Thessaloniki</v>
      </c>
      <c r="B8488" s="120" t="str">
        <f>IFERROR(__xludf.DUMMYFUNCTION("""COMPUTED_VALUE"""),"SKG")</f>
        <v>SKG</v>
      </c>
      <c r="C8488" s="120" t="str">
        <f>IFERROR(__xludf.DUMMYFUNCTION("""COMPUTED_VALUE"""),"Thessaloniki International Airport 'Makedonia'")</f>
        <v>Thessaloniki International Airport 'Makedonia'</v>
      </c>
      <c r="D8488" s="120" t="str">
        <f>IFERROR(__xludf.DUMMYFUNCTION("""COMPUTED_VALUE"""),"Greece")</f>
        <v>Greece</v>
      </c>
      <c r="E8488" s="135"/>
      <c r="F8488" s="31"/>
    </row>
    <row r="8489">
      <c r="A8489" s="134" t="str">
        <f>IFERROR(__xludf.DUMMYFUNCTION("""COMPUTED_VALUE"""),"Thicket Portage")</f>
        <v>Thicket Portage</v>
      </c>
      <c r="B8489" s="120" t="str">
        <f>IFERROR(__xludf.DUMMYFUNCTION("""COMPUTED_VALUE"""),"YTD")</f>
        <v>YTD</v>
      </c>
      <c r="C8489" s="120" t="str">
        <f>IFERROR(__xludf.DUMMYFUNCTION("""COMPUTED_VALUE"""),"Thicket Portage")</f>
        <v>Thicket Portage</v>
      </c>
      <c r="D8489" s="120" t="str">
        <f>IFERROR(__xludf.DUMMYFUNCTION("""COMPUTED_VALUE"""),"Canada")</f>
        <v>Canada</v>
      </c>
      <c r="E8489" s="135"/>
      <c r="F8489" s="31"/>
    </row>
    <row r="8490">
      <c r="A8490" s="134" t="str">
        <f>IFERROR(__xludf.DUMMYFUNCTION("""COMPUTED_VALUE"""),"Thief River Falls")</f>
        <v>Thief River Falls</v>
      </c>
      <c r="B8490" s="120" t="str">
        <f>IFERROR(__xludf.DUMMYFUNCTION("""COMPUTED_VALUE"""),"TVF")</f>
        <v>TVF</v>
      </c>
      <c r="C8490" s="120" t="str">
        <f>IFERROR(__xludf.DUMMYFUNCTION("""COMPUTED_VALUE"""),"Regional")</f>
        <v>Regional</v>
      </c>
      <c r="D8490" s="120" t="str">
        <f>IFERROR(__xludf.DUMMYFUNCTION("""COMPUTED_VALUE"""),"United States")</f>
        <v>United States</v>
      </c>
      <c r="E8490" s="135"/>
      <c r="F8490" s="31"/>
    </row>
    <row r="8491">
      <c r="A8491" s="134" t="str">
        <f>IFERROR(__xludf.DUMMYFUNCTION("""COMPUTED_VALUE"""),"Thingeyri")</f>
        <v>Thingeyri</v>
      </c>
      <c r="B8491" s="120" t="str">
        <f>IFERROR(__xludf.DUMMYFUNCTION("""COMPUTED_VALUE"""),"TEY")</f>
        <v>TEY</v>
      </c>
      <c r="C8491" s="120" t="str">
        <f>IFERROR(__xludf.DUMMYFUNCTION("""COMPUTED_VALUE"""),"Thingeyri")</f>
        <v>Thingeyri</v>
      </c>
      <c r="D8491" s="120" t="str">
        <f>IFERROR(__xludf.DUMMYFUNCTION("""COMPUTED_VALUE"""),"Iceland")</f>
        <v>Iceland</v>
      </c>
      <c r="E8491" s="135"/>
      <c r="F8491" s="31"/>
    </row>
    <row r="8492">
      <c r="A8492" s="134" t="str">
        <f>IFERROR(__xludf.DUMMYFUNCTION("""COMPUTED_VALUE"""),"Thira")</f>
        <v>Thira</v>
      </c>
      <c r="B8492" s="120" t="str">
        <f>IFERROR(__xludf.DUMMYFUNCTION("""COMPUTED_VALUE"""),"JTR")</f>
        <v>JTR</v>
      </c>
      <c r="C8492" s="120" t="str">
        <f>IFERROR(__xludf.DUMMYFUNCTION("""COMPUTED_VALUE"""),"Thira")</f>
        <v>Thira</v>
      </c>
      <c r="D8492" s="120" t="str">
        <f>IFERROR(__xludf.DUMMYFUNCTION("""COMPUTED_VALUE"""),"Greece")</f>
        <v>Greece</v>
      </c>
      <c r="E8492" s="135"/>
      <c r="F8492" s="31"/>
    </row>
    <row r="8493">
      <c r="A8493" s="134" t="str">
        <f>IFERROR(__xludf.DUMMYFUNCTION("""COMPUTED_VALUE"""),"Thiruvananthapuram")</f>
        <v>Thiruvananthapuram</v>
      </c>
      <c r="B8493" s="120" t="str">
        <f>IFERROR(__xludf.DUMMYFUNCTION("""COMPUTED_VALUE"""),"TRV")</f>
        <v>TRV</v>
      </c>
      <c r="C8493" s="120" t="str">
        <f>IFERROR(__xludf.DUMMYFUNCTION("""COMPUTED_VALUE"""),"International")</f>
        <v>International</v>
      </c>
      <c r="D8493" s="120" t="str">
        <f>IFERROR(__xludf.DUMMYFUNCTION("""COMPUTED_VALUE"""),"India")</f>
        <v>India</v>
      </c>
      <c r="E8493" s="135"/>
      <c r="F8493" s="31"/>
    </row>
    <row r="8494">
      <c r="A8494" s="134" t="str">
        <f>IFERROR(__xludf.DUMMYFUNCTION("""COMPUTED_VALUE"""),"Thisted")</f>
        <v>Thisted</v>
      </c>
      <c r="B8494" s="120" t="str">
        <f>IFERROR(__xludf.DUMMYFUNCTION("""COMPUTED_VALUE"""),"TED")</f>
        <v>TED</v>
      </c>
      <c r="C8494" s="120" t="str">
        <f>IFERROR(__xludf.DUMMYFUNCTION("""COMPUTED_VALUE"""),"Thisted")</f>
        <v>Thisted</v>
      </c>
      <c r="D8494" s="120" t="str">
        <f>IFERROR(__xludf.DUMMYFUNCTION("""COMPUTED_VALUE"""),"Denmark")</f>
        <v>Denmark</v>
      </c>
      <c r="E8494" s="135"/>
      <c r="F8494" s="31"/>
    </row>
    <row r="8495">
      <c r="A8495" s="134" t="str">
        <f>IFERROR(__xludf.DUMMYFUNCTION("""COMPUTED_VALUE"""),"Thohoyandou")</f>
        <v>Thohoyandou</v>
      </c>
      <c r="B8495" s="120" t="str">
        <f>IFERROR(__xludf.DUMMYFUNCTION("""COMPUTED_VALUE"""),"THY")</f>
        <v>THY</v>
      </c>
      <c r="C8495" s="120" t="str">
        <f>IFERROR(__xludf.DUMMYFUNCTION("""COMPUTED_VALUE"""),"Thohoyandou")</f>
        <v>Thohoyandou</v>
      </c>
      <c r="D8495" s="120" t="str">
        <f>IFERROR(__xludf.DUMMYFUNCTION("""COMPUTED_VALUE"""),"South Africa")</f>
        <v>South Africa</v>
      </c>
      <c r="E8495" s="135"/>
      <c r="F8495" s="31"/>
    </row>
    <row r="8496">
      <c r="A8496" s="134" t="str">
        <f>IFERROR(__xludf.DUMMYFUNCTION("""COMPUTED_VALUE"""),"Thomasville")</f>
        <v>Thomasville</v>
      </c>
      <c r="B8496" s="120" t="str">
        <f>IFERROR(__xludf.DUMMYFUNCTION("""COMPUTED_VALUE"""),"TVI")</f>
        <v>TVI</v>
      </c>
      <c r="C8496" s="120" t="str">
        <f>IFERROR(__xludf.DUMMYFUNCTION("""COMPUTED_VALUE"""),"Municipal")</f>
        <v>Municipal</v>
      </c>
      <c r="D8496" s="120" t="str">
        <f>IFERROR(__xludf.DUMMYFUNCTION("""COMPUTED_VALUE"""),"United States")</f>
        <v>United States</v>
      </c>
      <c r="E8496" s="135"/>
      <c r="F8496" s="31"/>
    </row>
    <row r="8497">
      <c r="A8497" s="134" t="str">
        <f>IFERROR(__xludf.DUMMYFUNCTION("""COMPUTED_VALUE"""),"Thompson")</f>
        <v>Thompson</v>
      </c>
      <c r="B8497" s="120" t="str">
        <f>IFERROR(__xludf.DUMMYFUNCTION("""COMPUTED_VALUE"""),"YTH")</f>
        <v>YTH</v>
      </c>
      <c r="C8497" s="120" t="str">
        <f>IFERROR(__xludf.DUMMYFUNCTION("""COMPUTED_VALUE"""),"Thompson")</f>
        <v>Thompson</v>
      </c>
      <c r="D8497" s="120" t="str">
        <f>IFERROR(__xludf.DUMMYFUNCTION("""COMPUTED_VALUE"""),"Canada")</f>
        <v>Canada</v>
      </c>
      <c r="E8497" s="135"/>
      <c r="F8497" s="31"/>
    </row>
    <row r="8498">
      <c r="A8498" s="134" t="str">
        <f>IFERROR(__xludf.DUMMYFUNCTION("""COMPUTED_VALUE"""),"Thompsonfield")</f>
        <v>Thompsonfield</v>
      </c>
      <c r="B8498" s="120" t="str">
        <f>IFERROR(__xludf.DUMMYFUNCTION("""COMPUTED_VALUE"""),"THM")</f>
        <v>THM</v>
      </c>
      <c r="C8498" s="120" t="str">
        <f>IFERROR(__xludf.DUMMYFUNCTION("""COMPUTED_VALUE"""),"Thompsonfield")</f>
        <v>Thompsonfield</v>
      </c>
      <c r="D8498" s="120" t="str">
        <f>IFERROR(__xludf.DUMMYFUNCTION("""COMPUTED_VALUE"""),"United States")</f>
        <v>United States</v>
      </c>
      <c r="E8498" s="135"/>
      <c r="F8498" s="31"/>
    </row>
    <row r="8499">
      <c r="A8499" s="134" t="str">
        <f>IFERROR(__xludf.DUMMYFUNCTION("""COMPUTED_VALUE"""),"Thorne Bay")</f>
        <v>Thorne Bay</v>
      </c>
      <c r="B8499" s="120" t="str">
        <f>IFERROR(__xludf.DUMMYFUNCTION("""COMPUTED_VALUE"""),"KTB")</f>
        <v>KTB</v>
      </c>
      <c r="C8499" s="120" t="str">
        <f>IFERROR(__xludf.DUMMYFUNCTION("""COMPUTED_VALUE"""),"Thorne Bay")</f>
        <v>Thorne Bay</v>
      </c>
      <c r="D8499" s="120" t="str">
        <f>IFERROR(__xludf.DUMMYFUNCTION("""COMPUTED_VALUE"""),"United States")</f>
        <v>United States</v>
      </c>
      <c r="E8499" s="135"/>
      <c r="F8499" s="31"/>
    </row>
    <row r="8500">
      <c r="A8500" s="134" t="str">
        <f>IFERROR(__xludf.DUMMYFUNCTION("""COMPUTED_VALUE"""),"Thorshofn")</f>
        <v>Thorshofn</v>
      </c>
      <c r="B8500" s="120" t="str">
        <f>IFERROR(__xludf.DUMMYFUNCTION("""COMPUTED_VALUE"""),"THO")</f>
        <v>THO</v>
      </c>
      <c r="C8500" s="120" t="str">
        <f>IFERROR(__xludf.DUMMYFUNCTION("""COMPUTED_VALUE"""),"Thorshofn")</f>
        <v>Thorshofn</v>
      </c>
      <c r="D8500" s="120" t="str">
        <f>IFERROR(__xludf.DUMMYFUNCTION("""COMPUTED_VALUE"""),"Iceland")</f>
        <v>Iceland</v>
      </c>
      <c r="E8500" s="135"/>
      <c r="F8500" s="31"/>
    </row>
    <row r="8501">
      <c r="A8501" s="134" t="str">
        <f>IFERROR(__xludf.DUMMYFUNCTION("""COMPUTED_VALUE"""),"Thousand Oaks")</f>
        <v>Thousand Oaks</v>
      </c>
      <c r="B8501" s="120" t="str">
        <f>IFERROR(__xludf.DUMMYFUNCTION("""COMPUTED_VALUE"""),"JTO")</f>
        <v>JTO</v>
      </c>
      <c r="C8501" s="120" t="str">
        <f>IFERROR(__xludf.DUMMYFUNCTION("""COMPUTED_VALUE"""),"Heliport")</f>
        <v>Heliport</v>
      </c>
      <c r="D8501" s="120" t="str">
        <f>IFERROR(__xludf.DUMMYFUNCTION("""COMPUTED_VALUE"""),"United States")</f>
        <v>United States</v>
      </c>
      <c r="E8501" s="135"/>
      <c r="F8501" s="31"/>
    </row>
    <row r="8502">
      <c r="A8502" s="134" t="str">
        <f>IFERROR(__xludf.DUMMYFUNCTION("""COMPUTED_VALUE"""),"Three Rivers")</f>
        <v>Three Rivers</v>
      </c>
      <c r="B8502" s="120" t="str">
        <f>IFERROR(__xludf.DUMMYFUNCTION("""COMPUTED_VALUE"""),"HAI")</f>
        <v>HAI</v>
      </c>
      <c r="C8502" s="120" t="str">
        <f>IFERROR(__xludf.DUMMYFUNCTION("""COMPUTED_VALUE"""),"Dr Haines")</f>
        <v>Dr Haines</v>
      </c>
      <c r="D8502" s="120" t="str">
        <f>IFERROR(__xludf.DUMMYFUNCTION("""COMPUTED_VALUE"""),"United States")</f>
        <v>United States</v>
      </c>
      <c r="E8502" s="135"/>
      <c r="F8502" s="31"/>
    </row>
    <row r="8503">
      <c r="A8503" s="134" t="str">
        <f>IFERROR(__xludf.DUMMYFUNCTION("""COMPUTED_VALUE"""),"Thumrait")</f>
        <v>Thumrait</v>
      </c>
      <c r="B8503" s="120" t="str">
        <f>IFERROR(__xludf.DUMMYFUNCTION("""COMPUTED_VALUE"""),"TTH")</f>
        <v>TTH</v>
      </c>
      <c r="C8503" s="120" t="str">
        <f>IFERROR(__xludf.DUMMYFUNCTION("""COMPUTED_VALUE"""),"Thumrait")</f>
        <v>Thumrait</v>
      </c>
      <c r="D8503" s="120" t="str">
        <f>IFERROR(__xludf.DUMMYFUNCTION("""COMPUTED_VALUE"""),"Oman")</f>
        <v>Oman</v>
      </c>
      <c r="E8503" s="135"/>
      <c r="F8503" s="31"/>
    </row>
    <row r="8504">
      <c r="A8504" s="134" t="str">
        <f>IFERROR(__xludf.DUMMYFUNCTION("""COMPUTED_VALUE"""),"Thunder Bay")</f>
        <v>Thunder Bay</v>
      </c>
      <c r="B8504" s="120" t="str">
        <f>IFERROR(__xludf.DUMMYFUNCTION("""COMPUTED_VALUE"""),"YQT")</f>
        <v>YQT</v>
      </c>
      <c r="C8504" s="120" t="str">
        <f>IFERROR(__xludf.DUMMYFUNCTION("""COMPUTED_VALUE"""),"Thunder Bay")</f>
        <v>Thunder Bay</v>
      </c>
      <c r="D8504" s="120" t="str">
        <f>IFERROR(__xludf.DUMMYFUNCTION("""COMPUTED_VALUE"""),"Canada")</f>
        <v>Canada</v>
      </c>
      <c r="E8504" s="135"/>
      <c r="F8504" s="31"/>
    </row>
    <row r="8505">
      <c r="A8505" s="134" t="str">
        <f>IFERROR(__xludf.DUMMYFUNCTION("""COMPUTED_VALUE"""),"Thursday Island")</f>
        <v>Thursday Island</v>
      </c>
      <c r="B8505" s="120" t="str">
        <f>IFERROR(__xludf.DUMMYFUNCTION("""COMPUTED_VALUE"""),"TIS")</f>
        <v>TIS</v>
      </c>
      <c r="C8505" s="120" t="str">
        <f>IFERROR(__xludf.DUMMYFUNCTION("""COMPUTED_VALUE"""),"Thursday Island")</f>
        <v>Thursday Island</v>
      </c>
      <c r="D8505" s="120" t="str">
        <f>IFERROR(__xludf.DUMMYFUNCTION("""COMPUTED_VALUE"""),"Australia")</f>
        <v>Australia</v>
      </c>
      <c r="E8505" s="135"/>
      <c r="F8505" s="31"/>
    </row>
    <row r="8506">
      <c r="A8506" s="134" t="str">
        <f>IFERROR(__xludf.DUMMYFUNCTION("""COMPUTED_VALUE"""),"Thylungra")</f>
        <v>Thylungra</v>
      </c>
      <c r="B8506" s="120" t="str">
        <f>IFERROR(__xludf.DUMMYFUNCTION("""COMPUTED_VALUE"""),"TYG")</f>
        <v>TYG</v>
      </c>
      <c r="C8506" s="120" t="str">
        <f>IFERROR(__xludf.DUMMYFUNCTION("""COMPUTED_VALUE"""),"Thylungra")</f>
        <v>Thylungra</v>
      </c>
      <c r="D8506" s="120" t="str">
        <f>IFERROR(__xludf.DUMMYFUNCTION("""COMPUTED_VALUE"""),"Australia")</f>
        <v>Australia</v>
      </c>
      <c r="E8506" s="135"/>
      <c r="F8506" s="31"/>
    </row>
    <row r="8507">
      <c r="A8507" s="134" t="str">
        <f>IFERROR(__xludf.DUMMYFUNCTION("""COMPUTED_VALUE"""),"Tianjin")</f>
        <v>Tianjin</v>
      </c>
      <c r="B8507" s="120" t="str">
        <f>IFERROR(__xludf.DUMMYFUNCTION("""COMPUTED_VALUE"""),"TSN")</f>
        <v>TSN</v>
      </c>
      <c r="C8507" s="120" t="str">
        <f>IFERROR(__xludf.DUMMYFUNCTION("""COMPUTED_VALUE"""),"Tianjin")</f>
        <v>Tianjin</v>
      </c>
      <c r="D8507" s="120" t="str">
        <f>IFERROR(__xludf.DUMMYFUNCTION("""COMPUTED_VALUE"""),"China")</f>
        <v>China</v>
      </c>
      <c r="E8507" s="135"/>
      <c r="F8507" s="31"/>
    </row>
    <row r="8508">
      <c r="A8508" s="134" t="str">
        <f>IFERROR(__xludf.DUMMYFUNCTION("""COMPUTED_VALUE"""),"Tianjin")</f>
        <v>Tianjin</v>
      </c>
      <c r="B8508" s="120" t="str">
        <f>IFERROR(__xludf.DUMMYFUNCTION("""COMPUTED_VALUE"""),"XTA")</f>
        <v>XTA</v>
      </c>
      <c r="C8508" s="120" t="str">
        <f>IFERROR(__xludf.DUMMYFUNCTION("""COMPUTED_VALUE"""),"Econ/Tech Dev. Area")</f>
        <v>Econ/Tech Dev. Area</v>
      </c>
      <c r="D8508" s="120" t="str">
        <f>IFERROR(__xludf.DUMMYFUNCTION("""COMPUTED_VALUE"""),"China")</f>
        <v>China</v>
      </c>
      <c r="E8508" s="135"/>
      <c r="F8508" s="31"/>
    </row>
    <row r="8509">
      <c r="A8509" s="134" t="str">
        <f>IFERROR(__xludf.DUMMYFUNCTION("""COMPUTED_VALUE"""),"Tianjin")</f>
        <v>Tianjin</v>
      </c>
      <c r="B8509" s="120" t="str">
        <f>IFERROR(__xludf.DUMMYFUNCTION("""COMPUTED_VALUE"""),"XTF")</f>
        <v>XTF</v>
      </c>
      <c r="C8509" s="120" t="str">
        <f>IFERROR(__xludf.DUMMYFUNCTION("""COMPUTED_VALUE"""),"Port Free Trade Zone")</f>
        <v>Port Free Trade Zone</v>
      </c>
      <c r="D8509" s="120" t="str">
        <f>IFERROR(__xludf.DUMMYFUNCTION("""COMPUTED_VALUE"""),"China")</f>
        <v>China</v>
      </c>
      <c r="E8509" s="135"/>
      <c r="F8509" s="31"/>
    </row>
    <row r="8510">
      <c r="A8510" s="134" t="str">
        <f>IFERROR(__xludf.DUMMYFUNCTION("""COMPUTED_VALUE"""),"Tiaret")</f>
        <v>Tiaret</v>
      </c>
      <c r="B8510" s="120" t="str">
        <f>IFERROR(__xludf.DUMMYFUNCTION("""COMPUTED_VALUE"""),"TID")</f>
        <v>TID</v>
      </c>
      <c r="C8510" s="120" t="str">
        <f>IFERROR(__xludf.DUMMYFUNCTION("""COMPUTED_VALUE"""),"Bouchekif")</f>
        <v>Bouchekif</v>
      </c>
      <c r="D8510" s="120" t="str">
        <f>IFERROR(__xludf.DUMMYFUNCTION("""COMPUTED_VALUE"""),"Algeria")</f>
        <v>Algeria</v>
      </c>
      <c r="E8510" s="135"/>
      <c r="F8510" s="31"/>
    </row>
    <row r="8511">
      <c r="A8511" s="134" t="str">
        <f>IFERROR(__xludf.DUMMYFUNCTION("""COMPUTED_VALUE"""),"Tibooburra")</f>
        <v>Tibooburra</v>
      </c>
      <c r="B8511" s="120" t="str">
        <f>IFERROR(__xludf.DUMMYFUNCTION("""COMPUTED_VALUE"""),"TYB")</f>
        <v>TYB</v>
      </c>
      <c r="C8511" s="120" t="str">
        <f>IFERROR(__xludf.DUMMYFUNCTION("""COMPUTED_VALUE"""),"Tibooburra")</f>
        <v>Tibooburra</v>
      </c>
      <c r="D8511" s="120" t="str">
        <f>IFERROR(__xludf.DUMMYFUNCTION("""COMPUTED_VALUE"""),"Australia")</f>
        <v>Australia</v>
      </c>
      <c r="E8511" s="135"/>
      <c r="F8511" s="31"/>
    </row>
    <row r="8512">
      <c r="A8512" s="134" t="str">
        <f>IFERROR(__xludf.DUMMYFUNCTION("""COMPUTED_VALUE"""),"Tibu")</f>
        <v>Tibu</v>
      </c>
      <c r="B8512" s="120" t="str">
        <f>IFERROR(__xludf.DUMMYFUNCTION("""COMPUTED_VALUE"""),"TIB")</f>
        <v>TIB</v>
      </c>
      <c r="C8512" s="120" t="str">
        <f>IFERROR(__xludf.DUMMYFUNCTION("""COMPUTED_VALUE"""),"Tibu")</f>
        <v>Tibu</v>
      </c>
      <c r="D8512" s="120" t="str">
        <f>IFERROR(__xludf.DUMMYFUNCTION("""COMPUTED_VALUE"""),"Colombia")</f>
        <v>Colombia</v>
      </c>
      <c r="E8512" s="135"/>
      <c r="F8512" s="31"/>
    </row>
    <row r="8513">
      <c r="A8513" s="134" t="str">
        <f>IFERROR(__xludf.DUMMYFUNCTION("""COMPUTED_VALUE"""),"Ticantiki")</f>
        <v>Ticantiki</v>
      </c>
      <c r="B8513" s="120" t="str">
        <f>IFERROR(__xludf.DUMMYFUNCTION("""COMPUTED_VALUE"""),"TJC")</f>
        <v>TJC</v>
      </c>
      <c r="C8513" s="120" t="str">
        <f>IFERROR(__xludf.DUMMYFUNCTION("""COMPUTED_VALUE"""),"Ticantiki")</f>
        <v>Ticantiki</v>
      </c>
      <c r="D8513" s="120" t="str">
        <f>IFERROR(__xludf.DUMMYFUNCTION("""COMPUTED_VALUE"""),"Panama")</f>
        <v>Panama</v>
      </c>
      <c r="E8513" s="135"/>
      <c r="F8513" s="31"/>
    </row>
    <row r="8514">
      <c r="A8514" s="134" t="str">
        <f>IFERROR(__xludf.DUMMYFUNCTION("""COMPUTED_VALUE"""),"Tichitt")</f>
        <v>Tichitt</v>
      </c>
      <c r="B8514" s="120" t="str">
        <f>IFERROR(__xludf.DUMMYFUNCTION("""COMPUTED_VALUE"""),"THI")</f>
        <v>THI</v>
      </c>
      <c r="C8514" s="120" t="str">
        <f>IFERROR(__xludf.DUMMYFUNCTION("""COMPUTED_VALUE"""),"Tichitt")</f>
        <v>Tichitt</v>
      </c>
      <c r="D8514" s="120" t="str">
        <f>IFERROR(__xludf.DUMMYFUNCTION("""COMPUTED_VALUE"""),"Mauritania")</f>
        <v>Mauritania</v>
      </c>
      <c r="E8514" s="135"/>
      <c r="F8514" s="31"/>
    </row>
    <row r="8515">
      <c r="A8515" s="134" t="str">
        <f>IFERROR(__xludf.DUMMYFUNCTION("""COMPUTED_VALUE"""),"Tidjikja")</f>
        <v>Tidjikja</v>
      </c>
      <c r="B8515" s="120" t="str">
        <f>IFERROR(__xludf.DUMMYFUNCTION("""COMPUTED_VALUE"""),"TIY")</f>
        <v>TIY</v>
      </c>
      <c r="C8515" s="120" t="str">
        <f>IFERROR(__xludf.DUMMYFUNCTION("""COMPUTED_VALUE"""),"Tidjikja")</f>
        <v>Tidjikja</v>
      </c>
      <c r="D8515" s="120" t="str">
        <f>IFERROR(__xludf.DUMMYFUNCTION("""COMPUTED_VALUE"""),"Mauritania")</f>
        <v>Mauritania</v>
      </c>
      <c r="E8515" s="135"/>
      <c r="F8515" s="31"/>
    </row>
    <row r="8516">
      <c r="A8516" s="134" t="str">
        <f>IFERROR(__xludf.DUMMYFUNCTION("""COMPUTED_VALUE"""),"Tifalmin")</f>
        <v>Tifalmin</v>
      </c>
      <c r="B8516" s="120" t="str">
        <f>IFERROR(__xludf.DUMMYFUNCTION("""COMPUTED_VALUE"""),"TFB")</f>
        <v>TFB</v>
      </c>
      <c r="C8516" s="120" t="str">
        <f>IFERROR(__xludf.DUMMYFUNCTION("""COMPUTED_VALUE"""),"Tifalmin")</f>
        <v>Tifalmin</v>
      </c>
      <c r="D8516" s="120" t="str">
        <f>IFERROR(__xludf.DUMMYFUNCTION("""COMPUTED_VALUE"""),"Papua New Guinea")</f>
        <v>Papua New Guinea</v>
      </c>
      <c r="E8516" s="135"/>
      <c r="F8516" s="31"/>
    </row>
    <row r="8517">
      <c r="A8517" s="134" t="str">
        <f>IFERROR(__xludf.DUMMYFUNCTION("""COMPUTED_VALUE"""),"Tifton")</f>
        <v>Tifton</v>
      </c>
      <c r="B8517" s="120" t="str">
        <f>IFERROR(__xludf.DUMMYFUNCTION("""COMPUTED_VALUE"""),"TMA")</f>
        <v>TMA</v>
      </c>
      <c r="C8517" s="120" t="str">
        <f>IFERROR(__xludf.DUMMYFUNCTION("""COMPUTED_VALUE"""),"Henry Tift Myers")</f>
        <v>Henry Tift Myers</v>
      </c>
      <c r="D8517" s="120" t="str">
        <f>IFERROR(__xludf.DUMMYFUNCTION("""COMPUTED_VALUE"""),"United States")</f>
        <v>United States</v>
      </c>
      <c r="E8517" s="135"/>
      <c r="F8517" s="31"/>
    </row>
    <row r="8518">
      <c r="A8518" s="134" t="str">
        <f>IFERROR(__xludf.DUMMYFUNCTION("""COMPUTED_VALUE"""),"Tiga")</f>
        <v>Tiga</v>
      </c>
      <c r="B8518" s="120" t="str">
        <f>IFERROR(__xludf.DUMMYFUNCTION("""COMPUTED_VALUE"""),"TGJ")</f>
        <v>TGJ</v>
      </c>
      <c r="C8518" s="120" t="str">
        <f>IFERROR(__xludf.DUMMYFUNCTION("""COMPUTED_VALUE"""),"Tiga")</f>
        <v>Tiga</v>
      </c>
      <c r="D8518" s="120" t="str">
        <f>IFERROR(__xludf.DUMMYFUNCTION("""COMPUTED_VALUE"""),"New Caledonia")</f>
        <v>New Caledonia</v>
      </c>
      <c r="E8518" s="135"/>
      <c r="F8518" s="31"/>
    </row>
    <row r="8519">
      <c r="A8519" s="134" t="str">
        <f>IFERROR(__xludf.DUMMYFUNCTION("""COMPUTED_VALUE"""),"Tignes")</f>
        <v>Tignes</v>
      </c>
      <c r="B8519" s="120" t="str">
        <f>IFERROR(__xludf.DUMMYFUNCTION("""COMPUTED_VALUE"""),"TGF")</f>
        <v>TGF</v>
      </c>
      <c r="C8519" s="120" t="str">
        <f>IFERROR(__xludf.DUMMYFUNCTION("""COMPUTED_VALUE"""),"Tignes")</f>
        <v>Tignes</v>
      </c>
      <c r="D8519" s="120" t="str">
        <f>IFERROR(__xludf.DUMMYFUNCTION("""COMPUTED_VALUE"""),"France")</f>
        <v>France</v>
      </c>
      <c r="E8519" s="135"/>
      <c r="F8519" s="31"/>
    </row>
    <row r="8520">
      <c r="A8520" s="134" t="str">
        <f>IFERROR(__xludf.DUMMYFUNCTION("""COMPUTED_VALUE"""),"Tijuana")</f>
        <v>Tijuana</v>
      </c>
      <c r="B8520" s="120" t="str">
        <f>IFERROR(__xludf.DUMMYFUNCTION("""COMPUTED_VALUE"""),"TIJ")</f>
        <v>TIJ</v>
      </c>
      <c r="C8520" s="120" t="str">
        <f>IFERROR(__xludf.DUMMYFUNCTION("""COMPUTED_VALUE"""),"Rodriguez")</f>
        <v>Rodriguez</v>
      </c>
      <c r="D8520" s="120" t="str">
        <f>IFERROR(__xludf.DUMMYFUNCTION("""COMPUTED_VALUE"""),"Mexico")</f>
        <v>Mexico</v>
      </c>
      <c r="E8520" s="135"/>
      <c r="F8520" s="31"/>
    </row>
    <row r="8521">
      <c r="A8521" s="134" t="str">
        <f>IFERROR(__xludf.DUMMYFUNCTION("""COMPUTED_VALUE"""),"Tikal")</f>
        <v>Tikal</v>
      </c>
      <c r="B8521" s="120" t="str">
        <f>IFERROR(__xludf.DUMMYFUNCTION("""COMPUTED_VALUE"""),"TKM")</f>
        <v>TKM</v>
      </c>
      <c r="C8521" s="120" t="str">
        <f>IFERROR(__xludf.DUMMYFUNCTION("""COMPUTED_VALUE"""),"El Peten")</f>
        <v>El Peten</v>
      </c>
      <c r="D8521" s="120" t="str">
        <f>IFERROR(__xludf.DUMMYFUNCTION("""COMPUTED_VALUE"""),"Guatemala")</f>
        <v>Guatemala</v>
      </c>
      <c r="E8521" s="135"/>
      <c r="F8521" s="31"/>
    </row>
    <row r="8522">
      <c r="A8522" s="134" t="str">
        <f>IFERROR(__xludf.DUMMYFUNCTION("""COMPUTED_VALUE"""),"Tikapur")</f>
        <v>Tikapur</v>
      </c>
      <c r="B8522" s="120" t="str">
        <f>IFERROR(__xludf.DUMMYFUNCTION("""COMPUTED_VALUE"""),"TPU")</f>
        <v>TPU</v>
      </c>
      <c r="C8522" s="120" t="str">
        <f>IFERROR(__xludf.DUMMYFUNCTION("""COMPUTED_VALUE"""),"Tikapur")</f>
        <v>Tikapur</v>
      </c>
      <c r="D8522" s="120" t="str">
        <f>IFERROR(__xludf.DUMMYFUNCTION("""COMPUTED_VALUE"""),"Nepal")</f>
        <v>Nepal</v>
      </c>
      <c r="E8522" s="135"/>
      <c r="F8522" s="31"/>
    </row>
    <row r="8523">
      <c r="A8523" s="134" t="str">
        <f>IFERROR(__xludf.DUMMYFUNCTION("""COMPUTED_VALUE"""),"Tikchik")</f>
        <v>Tikchik</v>
      </c>
      <c r="B8523" s="120" t="str">
        <f>IFERROR(__xludf.DUMMYFUNCTION("""COMPUTED_VALUE"""),"KTH")</f>
        <v>KTH</v>
      </c>
      <c r="C8523" s="120" t="str">
        <f>IFERROR(__xludf.DUMMYFUNCTION("""COMPUTED_VALUE"""),"SPB")</f>
        <v>SPB</v>
      </c>
      <c r="D8523" s="120" t="str">
        <f>IFERROR(__xludf.DUMMYFUNCTION("""COMPUTED_VALUE"""),"United States")</f>
        <v>United States</v>
      </c>
      <c r="E8523" s="135"/>
      <c r="F8523" s="31"/>
    </row>
    <row r="8524">
      <c r="A8524" s="134" t="str">
        <f>IFERROR(__xludf.DUMMYFUNCTION("""COMPUTED_VALUE"""),"Tikehau Atoll")</f>
        <v>Tikehau Atoll</v>
      </c>
      <c r="B8524" s="120" t="str">
        <f>IFERROR(__xludf.DUMMYFUNCTION("""COMPUTED_VALUE"""),"TIH")</f>
        <v>TIH</v>
      </c>
      <c r="C8524" s="120" t="str">
        <f>IFERROR(__xludf.DUMMYFUNCTION("""COMPUTED_VALUE"""),"Tikehau Atoll")</f>
        <v>Tikehau Atoll</v>
      </c>
      <c r="D8524" s="120" t="str">
        <f>IFERROR(__xludf.DUMMYFUNCTION("""COMPUTED_VALUE"""),"French Polynesia")</f>
        <v>French Polynesia</v>
      </c>
      <c r="E8524" s="135"/>
      <c r="F8524" s="31"/>
    </row>
    <row r="8525">
      <c r="A8525" s="134" t="str">
        <f>IFERROR(__xludf.DUMMYFUNCTION("""COMPUTED_VALUE"""),"Tiko")</f>
        <v>Tiko</v>
      </c>
      <c r="B8525" s="120" t="str">
        <f>IFERROR(__xludf.DUMMYFUNCTION("""COMPUTED_VALUE"""),"TKC")</f>
        <v>TKC</v>
      </c>
      <c r="C8525" s="120" t="str">
        <f>IFERROR(__xludf.DUMMYFUNCTION("""COMPUTED_VALUE"""),"Tiko")</f>
        <v>Tiko</v>
      </c>
      <c r="D8525" s="120" t="str">
        <f>IFERROR(__xludf.DUMMYFUNCTION("""COMPUTED_VALUE"""),"Cameroon")</f>
        <v>Cameroon</v>
      </c>
      <c r="E8525" s="135"/>
      <c r="F8525" s="31"/>
    </row>
    <row r="8526">
      <c r="A8526" s="134" t="str">
        <f>IFERROR(__xludf.DUMMYFUNCTION("""COMPUTED_VALUE"""),"Tikrit")</f>
        <v>Tikrit</v>
      </c>
      <c r="B8526" s="120" t="str">
        <f>IFERROR(__xludf.DUMMYFUNCTION("""COMPUTED_VALUE"""),"XTV")</f>
        <v>XTV</v>
      </c>
      <c r="C8526" s="120" t="str">
        <f>IFERROR(__xludf.DUMMYFUNCTION("""COMPUTED_VALUE"""),"Tikrit")</f>
        <v>Tikrit</v>
      </c>
      <c r="D8526" s="120" t="str">
        <f>IFERROR(__xludf.DUMMYFUNCTION("""COMPUTED_VALUE"""),"Iraq")</f>
        <v>Iraq</v>
      </c>
      <c r="E8526" s="135"/>
      <c r="F8526" s="31"/>
    </row>
    <row r="8527">
      <c r="A8527" s="134" t="str">
        <f>IFERROR(__xludf.DUMMYFUNCTION("""COMPUTED_VALUE"""),"Tiksi")</f>
        <v>Tiksi</v>
      </c>
      <c r="B8527" s="120" t="str">
        <f>IFERROR(__xludf.DUMMYFUNCTION("""COMPUTED_VALUE"""),"IKS")</f>
        <v>IKS</v>
      </c>
      <c r="C8527" s="120" t="str">
        <f>IFERROR(__xludf.DUMMYFUNCTION("""COMPUTED_VALUE"""),"Tiksi")</f>
        <v>Tiksi</v>
      </c>
      <c r="D8527" s="120" t="str">
        <f>IFERROR(__xludf.DUMMYFUNCTION("""COMPUTED_VALUE"""),"Russia")</f>
        <v>Russia</v>
      </c>
      <c r="E8527" s="135"/>
      <c r="F8527" s="31"/>
    </row>
    <row r="8528">
      <c r="A8528" s="134" t="str">
        <f>IFERROR(__xludf.DUMMYFUNCTION("""COMPUTED_VALUE"""),"Tilin")</f>
        <v>Tilin</v>
      </c>
      <c r="B8528" s="120" t="str">
        <f>IFERROR(__xludf.DUMMYFUNCTION("""COMPUTED_VALUE"""),"TIO")</f>
        <v>TIO</v>
      </c>
      <c r="C8528" s="120" t="str">
        <f>IFERROR(__xludf.DUMMYFUNCTION("""COMPUTED_VALUE"""),"Tilin")</f>
        <v>Tilin</v>
      </c>
      <c r="D8528" s="120" t="str">
        <f>IFERROR(__xludf.DUMMYFUNCTION("""COMPUTED_VALUE"""),"Myanmar")</f>
        <v>Myanmar</v>
      </c>
      <c r="E8528" s="135"/>
      <c r="F8528" s="31"/>
    </row>
    <row r="8529">
      <c r="A8529" s="134" t="str">
        <f>IFERROR(__xludf.DUMMYFUNCTION("""COMPUTED_VALUE"""),"Timaru")</f>
        <v>Timaru</v>
      </c>
      <c r="B8529" s="120" t="str">
        <f>IFERROR(__xludf.DUMMYFUNCTION("""COMPUTED_VALUE"""),"TIU")</f>
        <v>TIU</v>
      </c>
      <c r="C8529" s="120" t="str">
        <f>IFERROR(__xludf.DUMMYFUNCTION("""COMPUTED_VALUE"""),"Timaru")</f>
        <v>Timaru</v>
      </c>
      <c r="D8529" s="120" t="str">
        <f>IFERROR(__xludf.DUMMYFUNCTION("""COMPUTED_VALUE"""),"New Zealand (Aotearoa)")</f>
        <v>New Zealand (Aotearoa)</v>
      </c>
      <c r="E8529" s="135"/>
      <c r="F8529" s="31"/>
    </row>
    <row r="8530">
      <c r="A8530" s="134" t="str">
        <f>IFERROR(__xludf.DUMMYFUNCTION("""COMPUTED_VALUE"""),"Timbedra")</f>
        <v>Timbedra</v>
      </c>
      <c r="B8530" s="120" t="str">
        <f>IFERROR(__xludf.DUMMYFUNCTION("""COMPUTED_VALUE"""),"TMD")</f>
        <v>TMD</v>
      </c>
      <c r="C8530" s="120" t="str">
        <f>IFERROR(__xludf.DUMMYFUNCTION("""COMPUTED_VALUE"""),"Timbedra")</f>
        <v>Timbedra</v>
      </c>
      <c r="D8530" s="120" t="str">
        <f>IFERROR(__xludf.DUMMYFUNCTION("""COMPUTED_VALUE"""),"Mauritania")</f>
        <v>Mauritania</v>
      </c>
      <c r="E8530" s="135"/>
      <c r="F8530" s="31"/>
    </row>
    <row r="8531">
      <c r="A8531" s="134" t="str">
        <f>IFERROR(__xludf.DUMMYFUNCTION("""COMPUTED_VALUE"""),"Timber Creek")</f>
        <v>Timber Creek</v>
      </c>
      <c r="B8531" s="120" t="str">
        <f>IFERROR(__xludf.DUMMYFUNCTION("""COMPUTED_VALUE"""),"TBK")</f>
        <v>TBK</v>
      </c>
      <c r="C8531" s="120" t="str">
        <f>IFERROR(__xludf.DUMMYFUNCTION("""COMPUTED_VALUE"""),"Timber Creek")</f>
        <v>Timber Creek</v>
      </c>
      <c r="D8531" s="120" t="str">
        <f>IFERROR(__xludf.DUMMYFUNCTION("""COMPUTED_VALUE"""),"Australia")</f>
        <v>Australia</v>
      </c>
      <c r="E8531" s="135"/>
      <c r="F8531" s="31"/>
    </row>
    <row r="8532">
      <c r="A8532" s="134" t="str">
        <f>IFERROR(__xludf.DUMMYFUNCTION("""COMPUTED_VALUE"""),"Timbiqui")</f>
        <v>Timbiqui</v>
      </c>
      <c r="B8532" s="120" t="str">
        <f>IFERROR(__xludf.DUMMYFUNCTION("""COMPUTED_VALUE"""),"TBD")</f>
        <v>TBD</v>
      </c>
      <c r="C8532" s="120" t="str">
        <f>IFERROR(__xludf.DUMMYFUNCTION("""COMPUTED_VALUE"""),"Timbiqui")</f>
        <v>Timbiqui</v>
      </c>
      <c r="D8532" s="120" t="str">
        <f>IFERROR(__xludf.DUMMYFUNCTION("""COMPUTED_VALUE"""),"Colombia")</f>
        <v>Colombia</v>
      </c>
      <c r="E8532" s="135"/>
      <c r="F8532" s="31"/>
    </row>
    <row r="8533">
      <c r="A8533" s="134" t="str">
        <f>IFERROR(__xludf.DUMMYFUNCTION("""COMPUTED_VALUE"""),"Timbunke")</f>
        <v>Timbunke</v>
      </c>
      <c r="B8533" s="120" t="str">
        <f>IFERROR(__xludf.DUMMYFUNCTION("""COMPUTED_VALUE"""),"TBE")</f>
        <v>TBE</v>
      </c>
      <c r="C8533" s="120" t="str">
        <f>IFERROR(__xludf.DUMMYFUNCTION("""COMPUTED_VALUE"""),"Timbunke")</f>
        <v>Timbunke</v>
      </c>
      <c r="D8533" s="120" t="str">
        <f>IFERROR(__xludf.DUMMYFUNCTION("""COMPUTED_VALUE"""),"Papua New Guinea")</f>
        <v>Papua New Guinea</v>
      </c>
      <c r="E8533" s="135"/>
      <c r="F8533" s="31"/>
    </row>
    <row r="8534">
      <c r="A8534" s="134" t="str">
        <f>IFERROR(__xludf.DUMMYFUNCTION("""COMPUTED_VALUE"""),"Timimoun")</f>
        <v>Timimoun</v>
      </c>
      <c r="B8534" s="120" t="str">
        <f>IFERROR(__xludf.DUMMYFUNCTION("""COMPUTED_VALUE"""),"TMX")</f>
        <v>TMX</v>
      </c>
      <c r="C8534" s="120" t="str">
        <f>IFERROR(__xludf.DUMMYFUNCTION("""COMPUTED_VALUE"""),"Timimoun")</f>
        <v>Timimoun</v>
      </c>
      <c r="D8534" s="120" t="str">
        <f>IFERROR(__xludf.DUMMYFUNCTION("""COMPUTED_VALUE"""),"Algeria")</f>
        <v>Algeria</v>
      </c>
      <c r="E8534" s="135"/>
      <c r="F8534" s="31"/>
    </row>
    <row r="8535">
      <c r="A8535" s="134" t="str">
        <f>IFERROR(__xludf.DUMMYFUNCTION("""COMPUTED_VALUE"""),"Timisoara")</f>
        <v>Timisoara</v>
      </c>
      <c r="B8535" s="120" t="str">
        <f>IFERROR(__xludf.DUMMYFUNCTION("""COMPUTED_VALUE"""),"TSR")</f>
        <v>TSR</v>
      </c>
      <c r="C8535" s="120" t="str">
        <f>IFERROR(__xludf.DUMMYFUNCTION("""COMPUTED_VALUE"""),"Timisoara (Traian Vuia) International")</f>
        <v>Timisoara (Traian Vuia) International</v>
      </c>
      <c r="D8535" s="120" t="str">
        <f>IFERROR(__xludf.DUMMYFUNCTION("""COMPUTED_VALUE"""),"Romania")</f>
        <v>Romania</v>
      </c>
      <c r="E8535" s="135"/>
      <c r="F8535" s="31"/>
    </row>
    <row r="8536">
      <c r="A8536" s="134" t="str">
        <f>IFERROR(__xludf.DUMMYFUNCTION("""COMPUTED_VALUE"""),"Timmins")</f>
        <v>Timmins</v>
      </c>
      <c r="B8536" s="120" t="str">
        <f>IFERROR(__xludf.DUMMYFUNCTION("""COMPUTED_VALUE"""),"YTS")</f>
        <v>YTS</v>
      </c>
      <c r="C8536" s="120" t="str">
        <f>IFERROR(__xludf.DUMMYFUNCTION("""COMPUTED_VALUE"""),"Timmins")</f>
        <v>Timmins</v>
      </c>
      <c r="D8536" s="120" t="str">
        <f>IFERROR(__xludf.DUMMYFUNCTION("""COMPUTED_VALUE"""),"Canada")</f>
        <v>Canada</v>
      </c>
      <c r="E8536" s="135"/>
      <c r="F8536" s="31"/>
    </row>
    <row r="8537">
      <c r="A8537" s="134" t="str">
        <f>IFERROR(__xludf.DUMMYFUNCTION("""COMPUTED_VALUE"""),"Tin City")</f>
        <v>Tin City</v>
      </c>
      <c r="B8537" s="120" t="str">
        <f>IFERROR(__xludf.DUMMYFUNCTION("""COMPUTED_VALUE"""),"TNC")</f>
        <v>TNC</v>
      </c>
      <c r="C8537" s="120" t="str">
        <f>IFERROR(__xludf.DUMMYFUNCTION("""COMPUTED_VALUE"""),"Tin City AFS")</f>
        <v>Tin City AFS</v>
      </c>
      <c r="D8537" s="120" t="str">
        <f>IFERROR(__xludf.DUMMYFUNCTION("""COMPUTED_VALUE"""),"United States")</f>
        <v>United States</v>
      </c>
      <c r="E8537" s="135"/>
      <c r="F8537" s="31"/>
    </row>
    <row r="8538">
      <c r="A8538" s="134" t="str">
        <f>IFERROR(__xludf.DUMMYFUNCTION("""COMPUTED_VALUE"""),"Tinak Island")</f>
        <v>Tinak Island</v>
      </c>
      <c r="B8538" s="120" t="str">
        <f>IFERROR(__xludf.DUMMYFUNCTION("""COMPUTED_VALUE"""),"TIC")</f>
        <v>TIC</v>
      </c>
      <c r="C8538" s="120" t="str">
        <f>IFERROR(__xludf.DUMMYFUNCTION("""COMPUTED_VALUE"""),"Tinak Island")</f>
        <v>Tinak Island</v>
      </c>
      <c r="D8538" s="120" t="str">
        <f>IFERROR(__xludf.DUMMYFUNCTION("""COMPUTED_VALUE"""),"Marshall Islands")</f>
        <v>Marshall Islands</v>
      </c>
      <c r="E8538" s="135"/>
      <c r="F8538" s="31"/>
    </row>
    <row r="8539">
      <c r="A8539" s="134" t="str">
        <f>IFERROR(__xludf.DUMMYFUNCTION("""COMPUTED_VALUE"""),"Tinboli")</f>
        <v>Tinboli</v>
      </c>
      <c r="B8539" s="120" t="str">
        <f>IFERROR(__xludf.DUMMYFUNCTION("""COMPUTED_VALUE"""),"TCK")</f>
        <v>TCK</v>
      </c>
      <c r="C8539" s="120" t="str">
        <f>IFERROR(__xludf.DUMMYFUNCTION("""COMPUTED_VALUE"""),"Tinboli Airport")</f>
        <v>Tinboli Airport</v>
      </c>
      <c r="D8539" s="120" t="str">
        <f>IFERROR(__xludf.DUMMYFUNCTION("""COMPUTED_VALUE"""),"Papua New Guinea")</f>
        <v>Papua New Guinea</v>
      </c>
      <c r="E8539" s="135"/>
      <c r="F8539" s="31"/>
    </row>
    <row r="8540">
      <c r="A8540" s="134" t="str">
        <f>IFERROR(__xludf.DUMMYFUNCTION("""COMPUTED_VALUE"""),"Tindouf")</f>
        <v>Tindouf</v>
      </c>
      <c r="B8540" s="120" t="str">
        <f>IFERROR(__xludf.DUMMYFUNCTION("""COMPUTED_VALUE"""),"TIN")</f>
        <v>TIN</v>
      </c>
      <c r="C8540" s="120" t="str">
        <f>IFERROR(__xludf.DUMMYFUNCTION("""COMPUTED_VALUE"""),"Tindouf")</f>
        <v>Tindouf</v>
      </c>
      <c r="D8540" s="120" t="str">
        <f>IFERROR(__xludf.DUMMYFUNCTION("""COMPUTED_VALUE"""),"Algeria")</f>
        <v>Algeria</v>
      </c>
      <c r="E8540" s="135"/>
      <c r="F8540" s="31"/>
    </row>
    <row r="8541">
      <c r="A8541" s="134" t="str">
        <f>IFERROR(__xludf.DUMMYFUNCTION("""COMPUTED_VALUE"""),"Tingo Maria")</f>
        <v>Tingo Maria</v>
      </c>
      <c r="B8541" s="120" t="str">
        <f>IFERROR(__xludf.DUMMYFUNCTION("""COMPUTED_VALUE"""),"TGI")</f>
        <v>TGI</v>
      </c>
      <c r="C8541" s="120" t="str">
        <f>IFERROR(__xludf.DUMMYFUNCTION("""COMPUTED_VALUE"""),"Tingo Maria")</f>
        <v>Tingo Maria</v>
      </c>
      <c r="D8541" s="120" t="str">
        <f>IFERROR(__xludf.DUMMYFUNCTION("""COMPUTED_VALUE"""),"Peru")</f>
        <v>Peru</v>
      </c>
      <c r="E8541" s="135"/>
      <c r="F8541" s="31"/>
    </row>
    <row r="8542">
      <c r="A8542" s="134" t="str">
        <f>IFERROR(__xludf.DUMMYFUNCTION("""COMPUTED_VALUE"""),"Tingrela")</f>
        <v>Tingrela</v>
      </c>
      <c r="B8542" s="120" t="str">
        <f>IFERROR(__xludf.DUMMYFUNCTION("""COMPUTED_VALUE"""),"TGX")</f>
        <v>TGX</v>
      </c>
      <c r="C8542" s="120" t="str">
        <f>IFERROR(__xludf.DUMMYFUNCTION("""COMPUTED_VALUE"""),"Tingrela")</f>
        <v>Tingrela</v>
      </c>
      <c r="D8542" s="120" t="str">
        <f>IFERROR(__xludf.DUMMYFUNCTION("""COMPUTED_VALUE"""),"Cote D'Ivoire (Ivory Coast)")</f>
        <v>Cote D'Ivoire (Ivory Coast)</v>
      </c>
      <c r="E8542" s="135"/>
      <c r="F8542" s="31"/>
    </row>
    <row r="8543">
      <c r="A8543" s="134" t="str">
        <f>IFERROR(__xludf.DUMMYFUNCTION("""COMPUTED_VALUE"""),"Tingwon")</f>
        <v>Tingwon</v>
      </c>
      <c r="B8543" s="120" t="str">
        <f>IFERROR(__xludf.DUMMYFUNCTION("""COMPUTED_VALUE"""),"TIG")</f>
        <v>TIG</v>
      </c>
      <c r="C8543" s="120" t="str">
        <f>IFERROR(__xludf.DUMMYFUNCTION("""COMPUTED_VALUE"""),"Tingwon")</f>
        <v>Tingwon</v>
      </c>
      <c r="D8543" s="120" t="str">
        <f>IFERROR(__xludf.DUMMYFUNCTION("""COMPUTED_VALUE"""),"Papua New Guinea")</f>
        <v>Papua New Guinea</v>
      </c>
      <c r="E8543" s="135"/>
      <c r="F8543" s="31"/>
    </row>
    <row r="8544">
      <c r="A8544" s="134" t="str">
        <f>IFERROR(__xludf.DUMMYFUNCTION("""COMPUTED_VALUE"""),"Tinian")</f>
        <v>Tinian</v>
      </c>
      <c r="B8544" s="120" t="str">
        <f>IFERROR(__xludf.DUMMYFUNCTION("""COMPUTED_VALUE"""),"TIQ")</f>
        <v>TIQ</v>
      </c>
      <c r="C8544" s="120" t="str">
        <f>IFERROR(__xludf.DUMMYFUNCTION("""COMPUTED_VALUE"""),"Tinian")</f>
        <v>Tinian</v>
      </c>
      <c r="D8544" s="120" t="str">
        <f>IFERROR(__xludf.DUMMYFUNCTION("""COMPUTED_VALUE"""),"Northern Mariana Islands")</f>
        <v>Northern Mariana Islands</v>
      </c>
      <c r="E8544" s="135"/>
      <c r="F8544" s="31"/>
    </row>
    <row r="8545">
      <c r="A8545" s="134" t="str">
        <f>IFERROR(__xludf.DUMMYFUNCTION("""COMPUTED_VALUE"""),"Tioga")</f>
        <v>Tioga</v>
      </c>
      <c r="B8545" s="120" t="str">
        <f>IFERROR(__xludf.DUMMYFUNCTION("""COMPUTED_VALUE"""),"VEX")</f>
        <v>VEX</v>
      </c>
      <c r="C8545" s="120" t="str">
        <f>IFERROR(__xludf.DUMMYFUNCTION("""COMPUTED_VALUE"""),"Municipal")</f>
        <v>Municipal</v>
      </c>
      <c r="D8545" s="120" t="str">
        <f>IFERROR(__xludf.DUMMYFUNCTION("""COMPUTED_VALUE"""),"United States")</f>
        <v>United States</v>
      </c>
      <c r="E8545" s="135"/>
      <c r="F8545" s="31"/>
    </row>
    <row r="8546">
      <c r="A8546" s="134" t="str">
        <f>IFERROR(__xludf.DUMMYFUNCTION("""COMPUTED_VALUE"""),"Tiom")</f>
        <v>Tiom</v>
      </c>
      <c r="B8546" s="120" t="str">
        <f>IFERROR(__xludf.DUMMYFUNCTION("""COMPUTED_VALUE"""),"TMY")</f>
        <v>TMY</v>
      </c>
      <c r="C8546" s="120" t="str">
        <f>IFERROR(__xludf.DUMMYFUNCTION("""COMPUTED_VALUE"""),"Tiom")</f>
        <v>Tiom</v>
      </c>
      <c r="D8546" s="120" t="str">
        <f>IFERROR(__xludf.DUMMYFUNCTION("""COMPUTED_VALUE"""),"Indonesia")</f>
        <v>Indonesia</v>
      </c>
      <c r="E8546" s="135"/>
      <c r="F8546" s="31"/>
    </row>
    <row r="8547">
      <c r="A8547" s="134" t="str">
        <f>IFERROR(__xludf.DUMMYFUNCTION("""COMPUTED_VALUE"""),"Tioman")</f>
        <v>Tioman</v>
      </c>
      <c r="B8547" s="120" t="str">
        <f>IFERROR(__xludf.DUMMYFUNCTION("""COMPUTED_VALUE"""),"TOD")</f>
        <v>TOD</v>
      </c>
      <c r="C8547" s="120" t="str">
        <f>IFERROR(__xludf.DUMMYFUNCTION("""COMPUTED_VALUE"""),"Tioman")</f>
        <v>Tioman</v>
      </c>
      <c r="D8547" s="120" t="str">
        <f>IFERROR(__xludf.DUMMYFUNCTION("""COMPUTED_VALUE"""),"Malaysia")</f>
        <v>Malaysia</v>
      </c>
      <c r="E8547" s="135"/>
      <c r="F8547" s="31"/>
    </row>
    <row r="8548">
      <c r="A8548" s="134" t="str">
        <f>IFERROR(__xludf.DUMMYFUNCTION("""COMPUTED_VALUE"""),"Tippi")</f>
        <v>Tippi</v>
      </c>
      <c r="B8548" s="120" t="str">
        <f>IFERROR(__xludf.DUMMYFUNCTION("""COMPUTED_VALUE"""),"TIE")</f>
        <v>TIE</v>
      </c>
      <c r="C8548" s="120" t="str">
        <f>IFERROR(__xludf.DUMMYFUNCTION("""COMPUTED_VALUE"""),"Tippi")</f>
        <v>Tippi</v>
      </c>
      <c r="D8548" s="120" t="str">
        <f>IFERROR(__xludf.DUMMYFUNCTION("""COMPUTED_VALUE"""),"Ethiopia")</f>
        <v>Ethiopia</v>
      </c>
      <c r="E8548" s="135"/>
      <c r="F8548" s="31"/>
    </row>
    <row r="8549">
      <c r="A8549" s="134" t="str">
        <f>IFERROR(__xludf.DUMMYFUNCTION("""COMPUTED_VALUE"""),"Tiputini")</f>
        <v>Tiputini</v>
      </c>
      <c r="B8549" s="120" t="str">
        <f>IFERROR(__xludf.DUMMYFUNCTION("""COMPUTED_VALUE"""),"TPN")</f>
        <v>TPN</v>
      </c>
      <c r="C8549" s="120" t="str">
        <f>IFERROR(__xludf.DUMMYFUNCTION("""COMPUTED_VALUE"""),"Tiputini")</f>
        <v>Tiputini</v>
      </c>
      <c r="D8549" s="120" t="str">
        <f>IFERROR(__xludf.DUMMYFUNCTION("""COMPUTED_VALUE"""),"Ecuador")</f>
        <v>Ecuador</v>
      </c>
      <c r="E8549" s="135"/>
      <c r="F8549" s="31"/>
    </row>
    <row r="8550">
      <c r="A8550" s="134" t="str">
        <f>IFERROR(__xludf.DUMMYFUNCTION("""COMPUTED_VALUE"""),"Tirana")</f>
        <v>Tirana</v>
      </c>
      <c r="B8550" s="120" t="str">
        <f>IFERROR(__xludf.DUMMYFUNCTION("""COMPUTED_VALUE"""),"TIA")</f>
        <v>TIA</v>
      </c>
      <c r="C8550" s="120" t="str">
        <f>IFERROR(__xludf.DUMMYFUNCTION("""COMPUTED_VALUE"""),"Rinas")</f>
        <v>Rinas</v>
      </c>
      <c r="D8550" s="120" t="str">
        <f>IFERROR(__xludf.DUMMYFUNCTION("""COMPUTED_VALUE"""),"Albania")</f>
        <v>Albania</v>
      </c>
      <c r="E8550" s="135"/>
      <c r="F8550" s="31"/>
    </row>
    <row r="8551">
      <c r="A8551" s="134" t="str">
        <f>IFERROR(__xludf.DUMMYFUNCTION("""COMPUTED_VALUE"""),"Tiree")</f>
        <v>Tiree</v>
      </c>
      <c r="B8551" s="120" t="str">
        <f>IFERROR(__xludf.DUMMYFUNCTION("""COMPUTED_VALUE"""),"TRE")</f>
        <v>TRE</v>
      </c>
      <c r="C8551" s="120" t="str">
        <f>IFERROR(__xludf.DUMMYFUNCTION("""COMPUTED_VALUE"""),"Tiree")</f>
        <v>Tiree</v>
      </c>
      <c r="D8551" s="120" t="str">
        <f>IFERROR(__xludf.DUMMYFUNCTION("""COMPUTED_VALUE"""),"United Kingdom")</f>
        <v>United Kingdom</v>
      </c>
      <c r="E8551" s="135"/>
      <c r="F8551" s="31"/>
    </row>
    <row r="8552">
      <c r="A8552" s="134" t="str">
        <f>IFERROR(__xludf.DUMMYFUNCTION("""COMPUTED_VALUE"""),"Tirgu Mures")</f>
        <v>Tirgu Mures</v>
      </c>
      <c r="B8552" s="120" t="str">
        <f>IFERROR(__xludf.DUMMYFUNCTION("""COMPUTED_VALUE"""),"TGM")</f>
        <v>TGM</v>
      </c>
      <c r="C8552" s="120" t="str">
        <f>IFERROR(__xludf.DUMMYFUNCTION("""COMPUTED_VALUE"""),"Tirgu Mures")</f>
        <v>Tirgu Mures</v>
      </c>
      <c r="D8552" s="120" t="str">
        <f>IFERROR(__xludf.DUMMYFUNCTION("""COMPUTED_VALUE"""),"Romania")</f>
        <v>Romania</v>
      </c>
      <c r="E8552" s="135"/>
      <c r="F8552" s="31"/>
    </row>
    <row r="8553">
      <c r="A8553" s="134" t="str">
        <f>IFERROR(__xludf.DUMMYFUNCTION("""COMPUTED_VALUE"""),"Tirinkot")</f>
        <v>Tirinkot</v>
      </c>
      <c r="B8553" s="120" t="str">
        <f>IFERROR(__xludf.DUMMYFUNCTION("""COMPUTED_VALUE"""),"TII")</f>
        <v>TII</v>
      </c>
      <c r="C8553" s="120" t="str">
        <f>IFERROR(__xludf.DUMMYFUNCTION("""COMPUTED_VALUE"""),"Tirinkot")</f>
        <v>Tirinkot</v>
      </c>
      <c r="D8553" s="120" t="str">
        <f>IFERROR(__xludf.DUMMYFUNCTION("""COMPUTED_VALUE"""),"Afghanistan")</f>
        <v>Afghanistan</v>
      </c>
      <c r="E8553" s="135"/>
      <c r="F8553" s="31"/>
    </row>
    <row r="8554">
      <c r="A8554" s="134" t="str">
        <f>IFERROR(__xludf.DUMMYFUNCTION("""COMPUTED_VALUE"""),"Tiruchirapally")</f>
        <v>Tiruchirapally</v>
      </c>
      <c r="B8554" s="120" t="str">
        <f>IFERROR(__xludf.DUMMYFUNCTION("""COMPUTED_VALUE"""),"TRZ")</f>
        <v>TRZ</v>
      </c>
      <c r="C8554" s="120" t="str">
        <f>IFERROR(__xludf.DUMMYFUNCTION("""COMPUTED_VALUE"""),"Civil")</f>
        <v>Civil</v>
      </c>
      <c r="D8554" s="120" t="str">
        <f>IFERROR(__xludf.DUMMYFUNCTION("""COMPUTED_VALUE"""),"India")</f>
        <v>India</v>
      </c>
      <c r="E8554" s="135"/>
      <c r="F8554" s="31"/>
    </row>
    <row r="8555">
      <c r="A8555" s="134" t="str">
        <f>IFERROR(__xludf.DUMMYFUNCTION("""COMPUTED_VALUE"""),"Tirupati")</f>
        <v>Tirupati</v>
      </c>
      <c r="B8555" s="120" t="str">
        <f>IFERROR(__xludf.DUMMYFUNCTION("""COMPUTED_VALUE"""),"TIR")</f>
        <v>TIR</v>
      </c>
      <c r="C8555" s="120" t="str">
        <f>IFERROR(__xludf.DUMMYFUNCTION("""COMPUTED_VALUE"""),"Tirupati")</f>
        <v>Tirupati</v>
      </c>
      <c r="D8555" s="120" t="str">
        <f>IFERROR(__xludf.DUMMYFUNCTION("""COMPUTED_VALUE"""),"India")</f>
        <v>India</v>
      </c>
      <c r="E8555" s="135"/>
      <c r="F8555" s="31"/>
    </row>
    <row r="8556">
      <c r="A8556" s="134" t="str">
        <f>IFERROR(__xludf.DUMMYFUNCTION("""COMPUTED_VALUE"""),"Tisdale")</f>
        <v>Tisdale</v>
      </c>
      <c r="B8556" s="120" t="str">
        <f>IFERROR(__xludf.DUMMYFUNCTION("""COMPUTED_VALUE"""),"YTT")</f>
        <v>YTT</v>
      </c>
      <c r="C8556" s="120" t="str">
        <f>IFERROR(__xludf.DUMMYFUNCTION("""COMPUTED_VALUE"""),"Tisdale")</f>
        <v>Tisdale</v>
      </c>
      <c r="D8556" s="120" t="str">
        <f>IFERROR(__xludf.DUMMYFUNCTION("""COMPUTED_VALUE"""),"Canada")</f>
        <v>Canada</v>
      </c>
      <c r="E8556" s="135"/>
      <c r="F8556" s="31"/>
    </row>
    <row r="8557">
      <c r="A8557" s="134" t="str">
        <f>IFERROR(__xludf.DUMMYFUNCTION("""COMPUTED_VALUE"""),"Titusville")</f>
        <v>Titusville</v>
      </c>
      <c r="B8557" s="120" t="str">
        <f>IFERROR(__xludf.DUMMYFUNCTION("""COMPUTED_VALUE"""),"TIX")</f>
        <v>TIX</v>
      </c>
      <c r="C8557" s="120" t="str">
        <f>IFERROR(__xludf.DUMMYFUNCTION("""COMPUTED_VALUE"""),"Space Center Exect.")</f>
        <v>Space Center Exect.</v>
      </c>
      <c r="D8557" s="120" t="str">
        <f>IFERROR(__xludf.DUMMYFUNCTION("""COMPUTED_VALUE"""),"United States")</f>
        <v>United States</v>
      </c>
      <c r="E8557" s="135"/>
      <c r="F8557" s="31"/>
    </row>
    <row r="8558">
      <c r="A8558" s="134" t="str">
        <f>IFERROR(__xludf.DUMMYFUNCTION("""COMPUTED_VALUE"""),"Tizimin")</f>
        <v>Tizimin</v>
      </c>
      <c r="B8558" s="120" t="str">
        <f>IFERROR(__xludf.DUMMYFUNCTION("""COMPUTED_VALUE"""),"TZM")</f>
        <v>TZM</v>
      </c>
      <c r="C8558" s="120" t="str">
        <f>IFERROR(__xludf.DUMMYFUNCTION("""COMPUTED_VALUE"""),"Tizimin")</f>
        <v>Tizimin</v>
      </c>
      <c r="D8558" s="120" t="str">
        <f>IFERROR(__xludf.DUMMYFUNCTION("""COMPUTED_VALUE"""),"Mexico")</f>
        <v>Mexico</v>
      </c>
      <c r="E8558" s="135"/>
      <c r="F8558" s="31"/>
    </row>
    <row r="8559">
      <c r="A8559" s="134" t="str">
        <f>IFERROR(__xludf.DUMMYFUNCTION("""COMPUTED_VALUE"""),"Tlemcen")</f>
        <v>Tlemcen</v>
      </c>
      <c r="B8559" s="120" t="str">
        <f>IFERROR(__xludf.DUMMYFUNCTION("""COMPUTED_VALUE"""),"TLM")</f>
        <v>TLM</v>
      </c>
      <c r="C8559" s="120" t="str">
        <f>IFERROR(__xludf.DUMMYFUNCTION("""COMPUTED_VALUE"""),"Zenata")</f>
        <v>Zenata</v>
      </c>
      <c r="D8559" s="120" t="str">
        <f>IFERROR(__xludf.DUMMYFUNCTION("""COMPUTED_VALUE"""),"Algeria")</f>
        <v>Algeria</v>
      </c>
      <c r="E8559" s="135"/>
      <c r="F8559" s="31"/>
    </row>
    <row r="8560">
      <c r="A8560" s="134" t="str">
        <f>IFERROR(__xludf.DUMMYFUNCTION("""COMPUTED_VALUE"""),"Tlokoeng")</f>
        <v>Tlokoeng</v>
      </c>
      <c r="B8560" s="120" t="str">
        <f>IFERROR(__xludf.DUMMYFUNCTION("""COMPUTED_VALUE"""),"TKO")</f>
        <v>TKO</v>
      </c>
      <c r="C8560" s="120" t="str">
        <f>IFERROR(__xludf.DUMMYFUNCTION("""COMPUTED_VALUE"""),"Tlokoeng")</f>
        <v>Tlokoeng</v>
      </c>
      <c r="D8560" s="120" t="str">
        <f>IFERROR(__xludf.DUMMYFUNCTION("""COMPUTED_VALUE"""),"Lesotho")</f>
        <v>Lesotho</v>
      </c>
      <c r="E8560" s="135"/>
      <c r="F8560" s="31"/>
    </row>
    <row r="8561">
      <c r="A8561" s="134" t="str">
        <f>IFERROR(__xludf.DUMMYFUNCTION("""COMPUTED_VALUE"""),"Tobago")</f>
        <v>Tobago</v>
      </c>
      <c r="B8561" s="120" t="str">
        <f>IFERROR(__xludf.DUMMYFUNCTION("""COMPUTED_VALUE"""),"TAB")</f>
        <v>TAB</v>
      </c>
      <c r="C8561" s="120" t="str">
        <f>IFERROR(__xludf.DUMMYFUNCTION("""COMPUTED_VALUE"""),"Crown Point Airport")</f>
        <v>Crown Point Airport</v>
      </c>
      <c r="D8561" s="120" t="str">
        <f>IFERROR(__xludf.DUMMYFUNCTION("""COMPUTED_VALUE"""),"Trinidad and Tobago")</f>
        <v>Trinidad and Tobago</v>
      </c>
      <c r="E8561" s="135"/>
      <c r="F8561" s="31"/>
    </row>
    <row r="8562">
      <c r="A8562" s="134" t="str">
        <f>IFERROR(__xludf.DUMMYFUNCTION("""COMPUTED_VALUE"""),"Tobermorey")</f>
        <v>Tobermorey</v>
      </c>
      <c r="B8562" s="120" t="str">
        <f>IFERROR(__xludf.DUMMYFUNCTION("""COMPUTED_VALUE"""),"TYP")</f>
        <v>TYP</v>
      </c>
      <c r="C8562" s="120" t="str">
        <f>IFERROR(__xludf.DUMMYFUNCTION("""COMPUTED_VALUE"""),"Tobermorey")</f>
        <v>Tobermorey</v>
      </c>
      <c r="D8562" s="120" t="str">
        <f>IFERROR(__xludf.DUMMYFUNCTION("""COMPUTED_VALUE"""),"Australia")</f>
        <v>Australia</v>
      </c>
      <c r="E8562" s="135"/>
      <c r="F8562" s="31"/>
    </row>
    <row r="8563">
      <c r="A8563" s="134" t="str">
        <f>IFERROR(__xludf.DUMMYFUNCTION("""COMPUTED_VALUE"""),"Tobolsk")</f>
        <v>Tobolsk</v>
      </c>
      <c r="B8563" s="120" t="str">
        <f>IFERROR(__xludf.DUMMYFUNCTION("""COMPUTED_VALUE"""),"TOX")</f>
        <v>TOX</v>
      </c>
      <c r="C8563" s="120" t="str">
        <f>IFERROR(__xludf.DUMMYFUNCTION("""COMPUTED_VALUE"""),"Tobolsk")</f>
        <v>Tobolsk</v>
      </c>
      <c r="D8563" s="120" t="str">
        <f>IFERROR(__xludf.DUMMYFUNCTION("""COMPUTED_VALUE"""),"Russia")</f>
        <v>Russia</v>
      </c>
      <c r="E8563" s="135"/>
      <c r="F8563" s="31"/>
    </row>
    <row r="8564">
      <c r="A8564" s="134" t="str">
        <f>IFERROR(__xludf.DUMMYFUNCTION("""COMPUTED_VALUE"""),"Tobruk")</f>
        <v>Tobruk</v>
      </c>
      <c r="B8564" s="120" t="str">
        <f>IFERROR(__xludf.DUMMYFUNCTION("""COMPUTED_VALUE"""),"TOB")</f>
        <v>TOB</v>
      </c>
      <c r="C8564" s="120" t="str">
        <f>IFERROR(__xludf.DUMMYFUNCTION("""COMPUTED_VALUE"""),"Tobruk")</f>
        <v>Tobruk</v>
      </c>
      <c r="D8564" s="120" t="str">
        <f>IFERROR(__xludf.DUMMYFUNCTION("""COMPUTED_VALUE"""),"Libya")</f>
        <v>Libya</v>
      </c>
      <c r="E8564" s="135"/>
      <c r="F8564" s="31"/>
    </row>
    <row r="8565">
      <c r="A8565" s="134" t="str">
        <f>IFERROR(__xludf.DUMMYFUNCTION("""COMPUTED_VALUE"""),"Toccoa")</f>
        <v>Toccoa</v>
      </c>
      <c r="B8565" s="120" t="str">
        <f>IFERROR(__xludf.DUMMYFUNCTION("""COMPUTED_VALUE"""),"TOC")</f>
        <v>TOC</v>
      </c>
      <c r="C8565" s="120" t="str">
        <f>IFERROR(__xludf.DUMMYFUNCTION("""COMPUTED_VALUE"""),"Toccoa")</f>
        <v>Toccoa</v>
      </c>
      <c r="D8565" s="120" t="str">
        <f>IFERROR(__xludf.DUMMYFUNCTION("""COMPUTED_VALUE"""),"United States")</f>
        <v>United States</v>
      </c>
      <c r="E8565" s="135"/>
      <c r="F8565" s="31"/>
    </row>
    <row r="8566">
      <c r="A8566" s="134" t="str">
        <f>IFERROR(__xludf.DUMMYFUNCTION("""COMPUTED_VALUE"""),"Tocoa")</f>
        <v>Tocoa</v>
      </c>
      <c r="B8566" s="120" t="str">
        <f>IFERROR(__xludf.DUMMYFUNCTION("""COMPUTED_VALUE"""),"TCF")</f>
        <v>TCF</v>
      </c>
      <c r="C8566" s="120" t="str">
        <f>IFERROR(__xludf.DUMMYFUNCTION("""COMPUTED_VALUE"""),"Tocoa")</f>
        <v>Tocoa</v>
      </c>
      <c r="D8566" s="120" t="str">
        <f>IFERROR(__xludf.DUMMYFUNCTION("""COMPUTED_VALUE"""),"Honduras")</f>
        <v>Honduras</v>
      </c>
      <c r="E8566" s="135"/>
      <c r="F8566" s="31"/>
    </row>
    <row r="8567">
      <c r="A8567" s="134" t="str">
        <f>IFERROR(__xludf.DUMMYFUNCTION("""COMPUTED_VALUE"""),"Tocopilla")</f>
        <v>Tocopilla</v>
      </c>
      <c r="B8567" s="120" t="str">
        <f>IFERROR(__xludf.DUMMYFUNCTION("""COMPUTED_VALUE"""),"TOQ")</f>
        <v>TOQ</v>
      </c>
      <c r="C8567" s="120" t="str">
        <f>IFERROR(__xludf.DUMMYFUNCTION("""COMPUTED_VALUE"""),"Barriles")</f>
        <v>Barriles</v>
      </c>
      <c r="D8567" s="120" t="str">
        <f>IFERROR(__xludf.DUMMYFUNCTION("""COMPUTED_VALUE"""),"Chile")</f>
        <v>Chile</v>
      </c>
      <c r="E8567" s="135"/>
      <c r="F8567" s="31"/>
    </row>
    <row r="8568">
      <c r="A8568" s="134" t="str">
        <f>IFERROR(__xludf.DUMMYFUNCTION("""COMPUTED_VALUE"""),"Tocumwal")</f>
        <v>Tocumwal</v>
      </c>
      <c r="B8568" s="120" t="str">
        <f>IFERROR(__xludf.DUMMYFUNCTION("""COMPUTED_VALUE"""),"TCW")</f>
        <v>TCW</v>
      </c>
      <c r="C8568" s="120" t="str">
        <f>IFERROR(__xludf.DUMMYFUNCTION("""COMPUTED_VALUE"""),"Tocumwal")</f>
        <v>Tocumwal</v>
      </c>
      <c r="D8568" s="120" t="str">
        <f>IFERROR(__xludf.DUMMYFUNCTION("""COMPUTED_VALUE"""),"Australia")</f>
        <v>Australia</v>
      </c>
      <c r="E8568" s="135"/>
      <c r="F8568" s="31"/>
    </row>
    <row r="8569">
      <c r="A8569" s="134" t="str">
        <f>IFERROR(__xludf.DUMMYFUNCTION("""COMPUTED_VALUE"""),"Tofino")</f>
        <v>Tofino</v>
      </c>
      <c r="B8569" s="120" t="str">
        <f>IFERROR(__xludf.DUMMYFUNCTION("""COMPUTED_VALUE"""),"YTP")</f>
        <v>YTP</v>
      </c>
      <c r="C8569" s="120" t="str">
        <f>IFERROR(__xludf.DUMMYFUNCTION("""COMPUTED_VALUE"""),"Seaplane Base")</f>
        <v>Seaplane Base</v>
      </c>
      <c r="D8569" s="120" t="str">
        <f>IFERROR(__xludf.DUMMYFUNCTION("""COMPUTED_VALUE"""),"Canada")</f>
        <v>Canada</v>
      </c>
      <c r="E8569" s="135"/>
      <c r="F8569" s="31"/>
    </row>
    <row r="8570">
      <c r="A8570" s="134" t="str">
        <f>IFERROR(__xludf.DUMMYFUNCTION("""COMPUTED_VALUE"""),"Tofino")</f>
        <v>Tofino</v>
      </c>
      <c r="B8570" s="120" t="str">
        <f>IFERROR(__xludf.DUMMYFUNCTION("""COMPUTED_VALUE"""),"YAZ")</f>
        <v>YAZ</v>
      </c>
      <c r="C8570" s="120" t="str">
        <f>IFERROR(__xludf.DUMMYFUNCTION("""COMPUTED_VALUE"""),"Tofino Airport")</f>
        <v>Tofino Airport</v>
      </c>
      <c r="D8570" s="120" t="str">
        <f>IFERROR(__xludf.DUMMYFUNCTION("""COMPUTED_VALUE"""),"Canada")</f>
        <v>Canada</v>
      </c>
      <c r="E8570" s="135"/>
      <c r="F8570" s="31"/>
    </row>
    <row r="8571">
      <c r="A8571" s="134" t="str">
        <f>IFERROR(__xludf.DUMMYFUNCTION("""COMPUTED_VALUE"""),"Togiak Fish")</f>
        <v>Togiak Fish</v>
      </c>
      <c r="B8571" s="120" t="str">
        <f>IFERROR(__xludf.DUMMYFUNCTION("""COMPUTED_VALUE"""),"GFB")</f>
        <v>GFB</v>
      </c>
      <c r="C8571" s="120" t="str">
        <f>IFERROR(__xludf.DUMMYFUNCTION("""COMPUTED_VALUE"""),"Togiak Fish")</f>
        <v>Togiak Fish</v>
      </c>
      <c r="D8571" s="120" t="str">
        <f>IFERROR(__xludf.DUMMYFUNCTION("""COMPUTED_VALUE"""),"United States")</f>
        <v>United States</v>
      </c>
      <c r="E8571" s="135"/>
      <c r="F8571" s="31"/>
    </row>
    <row r="8572">
      <c r="A8572" s="134" t="str">
        <f>IFERROR(__xludf.DUMMYFUNCTION("""COMPUTED_VALUE"""),"Togiak Village")</f>
        <v>Togiak Village</v>
      </c>
      <c r="B8572" s="120" t="str">
        <f>IFERROR(__xludf.DUMMYFUNCTION("""COMPUTED_VALUE"""),"TOG")</f>
        <v>TOG</v>
      </c>
      <c r="C8572" s="120" t="str">
        <f>IFERROR(__xludf.DUMMYFUNCTION("""COMPUTED_VALUE"""),"Togiak Village")</f>
        <v>Togiak Village</v>
      </c>
      <c r="D8572" s="120" t="str">
        <f>IFERROR(__xludf.DUMMYFUNCTION("""COMPUTED_VALUE"""),"United States")</f>
        <v>United States</v>
      </c>
      <c r="E8572" s="135"/>
      <c r="F8572" s="31"/>
    </row>
    <row r="8573">
      <c r="A8573" s="134" t="str">
        <f>IFERROR(__xludf.DUMMYFUNCTION("""COMPUTED_VALUE"""),"Tohid")</f>
        <v>Tohid</v>
      </c>
      <c r="B8573" s="120" t="str">
        <f>IFERROR(__xludf.DUMMYFUNCTION("""COMPUTED_VALUE"""),"TEW")</f>
        <v>TEW</v>
      </c>
      <c r="C8573" s="120" t="str">
        <f>IFERROR(__xludf.DUMMYFUNCTION("""COMPUTED_VALUE"""),"Tohid")</f>
        <v>Tohid</v>
      </c>
      <c r="D8573" s="120" t="str">
        <f>IFERROR(__xludf.DUMMYFUNCTION("""COMPUTED_VALUE"""),"Iran")</f>
        <v>Iran</v>
      </c>
      <c r="E8573" s="135"/>
      <c r="F8573" s="31"/>
    </row>
    <row r="8574">
      <c r="A8574" s="134" t="str">
        <f>IFERROR(__xludf.DUMMYFUNCTION("""COMPUTED_VALUE"""),"Tok")</f>
        <v>Tok</v>
      </c>
      <c r="B8574" s="120" t="str">
        <f>IFERROR(__xludf.DUMMYFUNCTION("""COMPUTED_VALUE"""),"TKJ")</f>
        <v>TKJ</v>
      </c>
      <c r="C8574" s="120" t="str">
        <f>IFERROR(__xludf.DUMMYFUNCTION("""COMPUTED_VALUE"""),"Tok")</f>
        <v>Tok</v>
      </c>
      <c r="D8574" s="120" t="str">
        <f>IFERROR(__xludf.DUMMYFUNCTION("""COMPUTED_VALUE"""),"United States")</f>
        <v>United States</v>
      </c>
      <c r="E8574" s="135"/>
      <c r="F8574" s="31"/>
    </row>
    <row r="8575">
      <c r="A8575" s="134" t="str">
        <f>IFERROR(__xludf.DUMMYFUNCTION("""COMPUTED_VALUE"""),"Tokat")</f>
        <v>Tokat</v>
      </c>
      <c r="B8575" s="120" t="str">
        <f>IFERROR(__xludf.DUMMYFUNCTION("""COMPUTED_VALUE"""),"TJK")</f>
        <v>TJK</v>
      </c>
      <c r="C8575" s="120" t="str">
        <f>IFERROR(__xludf.DUMMYFUNCTION("""COMPUTED_VALUE"""),"Tokat")</f>
        <v>Tokat</v>
      </c>
      <c r="D8575" s="120" t="str">
        <f>IFERROR(__xludf.DUMMYFUNCTION("""COMPUTED_VALUE"""),"Turkey")</f>
        <v>Turkey</v>
      </c>
      <c r="E8575" s="135"/>
      <c r="F8575" s="31"/>
    </row>
    <row r="8576">
      <c r="A8576" s="134" t="str">
        <f>IFERROR(__xludf.DUMMYFUNCTION("""COMPUTED_VALUE"""),"Tokeen")</f>
        <v>Tokeen</v>
      </c>
      <c r="B8576" s="120" t="str">
        <f>IFERROR(__xludf.DUMMYFUNCTION("""COMPUTED_VALUE"""),"TKI")</f>
        <v>TKI</v>
      </c>
      <c r="C8576" s="120" t="str">
        <f>IFERROR(__xludf.DUMMYFUNCTION("""COMPUTED_VALUE"""),"Tokeen")</f>
        <v>Tokeen</v>
      </c>
      <c r="D8576" s="120" t="str">
        <f>IFERROR(__xludf.DUMMYFUNCTION("""COMPUTED_VALUE"""),"United States")</f>
        <v>United States</v>
      </c>
      <c r="E8576" s="135"/>
      <c r="F8576" s="31"/>
    </row>
    <row r="8577">
      <c r="A8577" s="134" t="str">
        <f>IFERROR(__xludf.DUMMYFUNCTION("""COMPUTED_VALUE"""),"Tokoroa")</f>
        <v>Tokoroa</v>
      </c>
      <c r="B8577" s="120" t="str">
        <f>IFERROR(__xludf.DUMMYFUNCTION("""COMPUTED_VALUE"""),"TKZ")</f>
        <v>TKZ</v>
      </c>
      <c r="C8577" s="120" t="str">
        <f>IFERROR(__xludf.DUMMYFUNCTION("""COMPUTED_VALUE"""),"Tokoroa")</f>
        <v>Tokoroa</v>
      </c>
      <c r="D8577" s="120" t="str">
        <f>IFERROR(__xludf.DUMMYFUNCTION("""COMPUTED_VALUE"""),"New Zealand (Aotearoa)")</f>
        <v>New Zealand (Aotearoa)</v>
      </c>
      <c r="E8577" s="135"/>
      <c r="F8577" s="31"/>
    </row>
    <row r="8578">
      <c r="A8578" s="134" t="str">
        <f>IFERROR(__xludf.DUMMYFUNCTION("""COMPUTED_VALUE"""),"Toksook Bay")</f>
        <v>Toksook Bay</v>
      </c>
      <c r="B8578" s="120" t="str">
        <f>IFERROR(__xludf.DUMMYFUNCTION("""COMPUTED_VALUE"""),"OOK")</f>
        <v>OOK</v>
      </c>
      <c r="C8578" s="120" t="str">
        <f>IFERROR(__xludf.DUMMYFUNCTION("""COMPUTED_VALUE"""),"Toksook Bay")</f>
        <v>Toksook Bay</v>
      </c>
      <c r="D8578" s="120" t="str">
        <f>IFERROR(__xludf.DUMMYFUNCTION("""COMPUTED_VALUE"""),"United States")</f>
        <v>United States</v>
      </c>
      <c r="E8578" s="135"/>
      <c r="F8578" s="31"/>
    </row>
    <row r="8579">
      <c r="A8579" s="134" t="str">
        <f>IFERROR(__xludf.DUMMYFUNCTION("""COMPUTED_VALUE"""),"Tokunoshima")</f>
        <v>Tokunoshima</v>
      </c>
      <c r="B8579" s="120" t="str">
        <f>IFERROR(__xludf.DUMMYFUNCTION("""COMPUTED_VALUE"""),"TKN")</f>
        <v>TKN</v>
      </c>
      <c r="C8579" s="120" t="str">
        <f>IFERROR(__xludf.DUMMYFUNCTION("""COMPUTED_VALUE"""),"Tokunoshima")</f>
        <v>Tokunoshima</v>
      </c>
      <c r="D8579" s="120" t="str">
        <f>IFERROR(__xludf.DUMMYFUNCTION("""COMPUTED_VALUE"""),"Japan")</f>
        <v>Japan</v>
      </c>
      <c r="E8579" s="135"/>
      <c r="F8579" s="31"/>
    </row>
    <row r="8580">
      <c r="A8580" s="134" t="str">
        <f>IFERROR(__xludf.DUMMYFUNCTION("""COMPUTED_VALUE"""),"Tokushima")</f>
        <v>Tokushima</v>
      </c>
      <c r="B8580" s="120" t="str">
        <f>IFERROR(__xludf.DUMMYFUNCTION("""COMPUTED_VALUE"""),"TKS")</f>
        <v>TKS</v>
      </c>
      <c r="C8580" s="120" t="str">
        <f>IFERROR(__xludf.DUMMYFUNCTION("""COMPUTED_VALUE"""),"Tokushima")</f>
        <v>Tokushima</v>
      </c>
      <c r="D8580" s="120" t="str">
        <f>IFERROR(__xludf.DUMMYFUNCTION("""COMPUTED_VALUE"""),"Japan")</f>
        <v>Japan</v>
      </c>
      <c r="E8580" s="135"/>
      <c r="F8580" s="31"/>
    </row>
    <row r="8581">
      <c r="A8581" s="134" t="str">
        <f>IFERROR(__xludf.DUMMYFUNCTION("""COMPUTED_VALUE"""),"Tokyo")</f>
        <v>Tokyo</v>
      </c>
      <c r="B8581" s="120" t="str">
        <f>IFERROR(__xludf.DUMMYFUNCTION("""COMPUTED_VALUE"""),"HND")</f>
        <v>HND</v>
      </c>
      <c r="C8581" s="120" t="str">
        <f>IFERROR(__xludf.DUMMYFUNCTION("""COMPUTED_VALUE"""),"Haneda")</f>
        <v>Haneda</v>
      </c>
      <c r="D8581" s="120" t="str">
        <f>IFERROR(__xludf.DUMMYFUNCTION("""COMPUTED_VALUE"""),"Japan")</f>
        <v>Japan</v>
      </c>
      <c r="E8581" s="135"/>
      <c r="F8581" s="31"/>
    </row>
    <row r="8582">
      <c r="A8582" s="134" t="str">
        <f>IFERROR(__xludf.DUMMYFUNCTION("""COMPUTED_VALUE"""),"Tokyo")</f>
        <v>Tokyo</v>
      </c>
      <c r="B8582" s="120" t="str">
        <f>IFERROR(__xludf.DUMMYFUNCTION("""COMPUTED_VALUE"""),"NRT")</f>
        <v>NRT</v>
      </c>
      <c r="C8582" s="120" t="str">
        <f>IFERROR(__xludf.DUMMYFUNCTION("""COMPUTED_VALUE"""),"Narita")</f>
        <v>Narita</v>
      </c>
      <c r="D8582" s="120" t="str">
        <f>IFERROR(__xludf.DUMMYFUNCTION("""COMPUTED_VALUE"""),"Japan")</f>
        <v>Japan</v>
      </c>
      <c r="E8582" s="135"/>
      <c r="F8582" s="31"/>
    </row>
    <row r="8583">
      <c r="A8583" s="134" t="str">
        <f>IFERROR(__xludf.DUMMYFUNCTION("""COMPUTED_VALUE"""),"Tokyo")</f>
        <v>Tokyo</v>
      </c>
      <c r="B8583" s="120" t="str">
        <f>IFERROR(__xludf.DUMMYFUNCTION("""COMPUTED_VALUE"""),"OKO")</f>
        <v>OKO</v>
      </c>
      <c r="C8583" s="120" t="str">
        <f>IFERROR(__xludf.DUMMYFUNCTION("""COMPUTED_VALUE"""),"Yokota AFB")</f>
        <v>Yokota AFB</v>
      </c>
      <c r="D8583" s="120" t="str">
        <f>IFERROR(__xludf.DUMMYFUNCTION("""COMPUTED_VALUE"""),"Japan")</f>
        <v>Japan</v>
      </c>
      <c r="E8583" s="135"/>
      <c r="F8583" s="31"/>
    </row>
    <row r="8584">
      <c r="A8584" s="134" t="str">
        <f>IFERROR(__xludf.DUMMYFUNCTION("""COMPUTED_VALUE"""),"Tol")</f>
        <v>Tol</v>
      </c>
      <c r="B8584" s="120" t="str">
        <f>IFERROR(__xludf.DUMMYFUNCTION("""COMPUTED_VALUE"""),"TLO")</f>
        <v>TLO</v>
      </c>
      <c r="C8584" s="120" t="str">
        <f>IFERROR(__xludf.DUMMYFUNCTION("""COMPUTED_VALUE"""),"Tol")</f>
        <v>Tol</v>
      </c>
      <c r="D8584" s="120" t="str">
        <f>IFERROR(__xludf.DUMMYFUNCTION("""COMPUTED_VALUE"""),"Papua New Guinea")</f>
        <v>Papua New Guinea</v>
      </c>
      <c r="E8584" s="135"/>
      <c r="F8584" s="31"/>
    </row>
    <row r="8585">
      <c r="A8585" s="134" t="str">
        <f>IFERROR(__xludf.DUMMYFUNCTION("""COMPUTED_VALUE"""),"Toledo")</f>
        <v>Toledo</v>
      </c>
      <c r="B8585" s="120" t="str">
        <f>IFERROR(__xludf.DUMMYFUNCTION("""COMPUTED_VALUE"""),"TDZ")</f>
        <v>TDZ</v>
      </c>
      <c r="C8585" s="120" t="str">
        <f>IFERROR(__xludf.DUMMYFUNCTION("""COMPUTED_VALUE"""),"Toledo")</f>
        <v>Toledo</v>
      </c>
      <c r="D8585" s="120" t="str">
        <f>IFERROR(__xludf.DUMMYFUNCTION("""COMPUTED_VALUE"""),"United States")</f>
        <v>United States</v>
      </c>
      <c r="E8585" s="135"/>
      <c r="F8585" s="31"/>
    </row>
    <row r="8586">
      <c r="A8586" s="134" t="str">
        <f>IFERROR(__xludf.DUMMYFUNCTION("""COMPUTED_VALUE"""),"Toledo")</f>
        <v>Toledo</v>
      </c>
      <c r="B8586" s="120" t="str">
        <f>IFERROR(__xludf.DUMMYFUNCTION("""COMPUTED_VALUE"""),"TOL")</f>
        <v>TOL</v>
      </c>
      <c r="C8586" s="120" t="str">
        <f>IFERROR(__xludf.DUMMYFUNCTION("""COMPUTED_VALUE"""),"Express")</f>
        <v>Express</v>
      </c>
      <c r="D8586" s="120" t="str">
        <f>IFERROR(__xludf.DUMMYFUNCTION("""COMPUTED_VALUE"""),"United States")</f>
        <v>United States</v>
      </c>
      <c r="E8586" s="135"/>
      <c r="F8586" s="31"/>
    </row>
    <row r="8587">
      <c r="A8587" s="134" t="str">
        <f>IFERROR(__xludf.DUMMYFUNCTION("""COMPUTED_VALUE"""),"Toledo")</f>
        <v>Toledo</v>
      </c>
      <c r="B8587" s="120" t="str">
        <f>IFERROR(__xludf.DUMMYFUNCTION("""COMPUTED_VALUE"""),"TOW")</f>
        <v>TOW</v>
      </c>
      <c r="C8587" s="120" t="str">
        <f>IFERROR(__xludf.DUMMYFUNCTION("""COMPUTED_VALUE"""),"Toledo")</f>
        <v>Toledo</v>
      </c>
      <c r="D8587" s="120" t="str">
        <f>IFERROR(__xludf.DUMMYFUNCTION("""COMPUTED_VALUE"""),"Brazil")</f>
        <v>Brazil</v>
      </c>
      <c r="E8587" s="135"/>
      <c r="F8587" s="31"/>
    </row>
    <row r="8588">
      <c r="A8588" s="134" t="str">
        <f>IFERROR(__xludf.DUMMYFUNCTION("""COMPUTED_VALUE"""),"Toledo")</f>
        <v>Toledo</v>
      </c>
      <c r="B8588" s="120" t="str">
        <f>IFERROR(__xludf.DUMMYFUNCTION("""COMPUTED_VALUE"""),"TDO")</f>
        <v>TDO</v>
      </c>
      <c r="C8588" s="120" t="str">
        <f>IFERROR(__xludf.DUMMYFUNCTION("""COMPUTED_VALUE"""),"Winlock")</f>
        <v>Winlock</v>
      </c>
      <c r="D8588" s="120" t="str">
        <f>IFERROR(__xludf.DUMMYFUNCTION("""COMPUTED_VALUE"""),"United States")</f>
        <v>United States</v>
      </c>
      <c r="E8588" s="135"/>
      <c r="F8588" s="31"/>
    </row>
    <row r="8589">
      <c r="A8589" s="134" t="str">
        <f>IFERROR(__xludf.DUMMYFUNCTION("""COMPUTED_VALUE"""),"Tolitoli")</f>
        <v>Tolitoli</v>
      </c>
      <c r="B8589" s="120" t="str">
        <f>IFERROR(__xludf.DUMMYFUNCTION("""COMPUTED_VALUE"""),"TLI")</f>
        <v>TLI</v>
      </c>
      <c r="C8589" s="120" t="str">
        <f>IFERROR(__xludf.DUMMYFUNCTION("""COMPUTED_VALUE"""),"Tolitoli")</f>
        <v>Tolitoli</v>
      </c>
      <c r="D8589" s="120" t="str">
        <f>IFERROR(__xludf.DUMMYFUNCTION("""COMPUTED_VALUE"""),"Indonesia")</f>
        <v>Indonesia</v>
      </c>
      <c r="E8589" s="135"/>
      <c r="F8589" s="31"/>
    </row>
    <row r="8590">
      <c r="A8590" s="134" t="str">
        <f>IFERROR(__xludf.DUMMYFUNCTION("""COMPUTED_VALUE"""),"Tolu")</f>
        <v>Tolu</v>
      </c>
      <c r="B8590" s="120" t="str">
        <f>IFERROR(__xludf.DUMMYFUNCTION("""COMPUTED_VALUE"""),"TLU")</f>
        <v>TLU</v>
      </c>
      <c r="C8590" s="120" t="str">
        <f>IFERROR(__xludf.DUMMYFUNCTION("""COMPUTED_VALUE"""),"Tolu")</f>
        <v>Tolu</v>
      </c>
      <c r="D8590" s="120" t="str">
        <f>IFERROR(__xludf.DUMMYFUNCTION("""COMPUTED_VALUE"""),"Colombia")</f>
        <v>Colombia</v>
      </c>
      <c r="E8590" s="135"/>
      <c r="F8590" s="31"/>
    </row>
    <row r="8591">
      <c r="A8591" s="134" t="str">
        <f>IFERROR(__xludf.DUMMYFUNCTION("""COMPUTED_VALUE"""),"Toluca")</f>
        <v>Toluca</v>
      </c>
      <c r="B8591" s="120" t="str">
        <f>IFERROR(__xludf.DUMMYFUNCTION("""COMPUTED_VALUE"""),"TLC")</f>
        <v>TLC</v>
      </c>
      <c r="C8591" s="120" t="str">
        <f>IFERROR(__xludf.DUMMYFUNCTION("""COMPUTED_VALUE"""),"Toluca")</f>
        <v>Toluca</v>
      </c>
      <c r="D8591" s="120" t="str">
        <f>IFERROR(__xludf.DUMMYFUNCTION("""COMPUTED_VALUE"""),"Mexico")</f>
        <v>Mexico</v>
      </c>
      <c r="E8591" s="135"/>
      <c r="F8591" s="31"/>
    </row>
    <row r="8592">
      <c r="A8592" s="134" t="str">
        <f>IFERROR(__xludf.DUMMYFUNCTION("""COMPUTED_VALUE"""),"Tom Price")</f>
        <v>Tom Price</v>
      </c>
      <c r="B8592" s="120" t="str">
        <f>IFERROR(__xludf.DUMMYFUNCTION("""COMPUTED_VALUE"""),"TPR")</f>
        <v>TPR</v>
      </c>
      <c r="C8592" s="120" t="str">
        <f>IFERROR(__xludf.DUMMYFUNCTION("""COMPUTED_VALUE"""),"Tom Price")</f>
        <v>Tom Price</v>
      </c>
      <c r="D8592" s="120" t="str">
        <f>IFERROR(__xludf.DUMMYFUNCTION("""COMPUTED_VALUE"""),"Australia")</f>
        <v>Australia</v>
      </c>
      <c r="E8592" s="135"/>
      <c r="F8592" s="31"/>
    </row>
    <row r="8593">
      <c r="A8593" s="134" t="str">
        <f>IFERROR(__xludf.DUMMYFUNCTION("""COMPUTED_VALUE"""),"Tomanggong")</f>
        <v>Tomanggong</v>
      </c>
      <c r="B8593" s="120" t="str">
        <f>IFERROR(__xludf.DUMMYFUNCTION("""COMPUTED_VALUE"""),"TMG")</f>
        <v>TMG</v>
      </c>
      <c r="C8593" s="120" t="str">
        <f>IFERROR(__xludf.DUMMYFUNCTION("""COMPUTED_VALUE"""),"Tomanggong")</f>
        <v>Tomanggong</v>
      </c>
      <c r="D8593" s="120" t="str">
        <f>IFERROR(__xludf.DUMMYFUNCTION("""COMPUTED_VALUE"""),"Malaysia")</f>
        <v>Malaysia</v>
      </c>
      <c r="E8593" s="135"/>
      <c r="F8593" s="31"/>
    </row>
    <row r="8594">
      <c r="A8594" s="134" t="str">
        <f>IFERROR(__xludf.DUMMYFUNCTION("""COMPUTED_VALUE"""),"Tombouctou")</f>
        <v>Tombouctou</v>
      </c>
      <c r="B8594" s="120" t="str">
        <f>IFERROR(__xludf.DUMMYFUNCTION("""COMPUTED_VALUE"""),"TOM")</f>
        <v>TOM</v>
      </c>
      <c r="C8594" s="120" t="str">
        <f>IFERROR(__xludf.DUMMYFUNCTION("""COMPUTED_VALUE"""),"Tombouctou")</f>
        <v>Tombouctou</v>
      </c>
      <c r="D8594" s="120" t="str">
        <f>IFERROR(__xludf.DUMMYFUNCTION("""COMPUTED_VALUE"""),"Mali")</f>
        <v>Mali</v>
      </c>
      <c r="E8594" s="135"/>
      <c r="F8594" s="31"/>
    </row>
    <row r="8595">
      <c r="A8595" s="134" t="str">
        <f>IFERROR(__xludf.DUMMYFUNCTION("""COMPUTED_VALUE"""),"Toms River")</f>
        <v>Toms River</v>
      </c>
      <c r="B8595" s="120" t="str">
        <f>IFERROR(__xludf.DUMMYFUNCTION("""COMPUTED_VALUE"""),"MJX")</f>
        <v>MJX</v>
      </c>
      <c r="C8595" s="120" t="str">
        <f>IFERROR(__xludf.DUMMYFUNCTION("""COMPUTED_VALUE"""),"Robert J. Miller")</f>
        <v>Robert J. Miller</v>
      </c>
      <c r="D8595" s="120" t="str">
        <f>IFERROR(__xludf.DUMMYFUNCTION("""COMPUTED_VALUE"""),"United States")</f>
        <v>United States</v>
      </c>
      <c r="E8595" s="135"/>
      <c r="F8595" s="31"/>
    </row>
    <row r="8596">
      <c r="A8596" s="134" t="str">
        <f>IFERROR(__xludf.DUMMYFUNCTION("""COMPUTED_VALUE"""),"Tomsk")</f>
        <v>Tomsk</v>
      </c>
      <c r="B8596" s="120" t="str">
        <f>IFERROR(__xludf.DUMMYFUNCTION("""COMPUTED_VALUE"""),"TOF")</f>
        <v>TOF</v>
      </c>
      <c r="C8596" s="120" t="str">
        <f>IFERROR(__xludf.DUMMYFUNCTION("""COMPUTED_VALUE"""),"Tomsk")</f>
        <v>Tomsk</v>
      </c>
      <c r="D8596" s="120" t="str">
        <f>IFERROR(__xludf.DUMMYFUNCTION("""COMPUTED_VALUE"""),"Russia")</f>
        <v>Russia</v>
      </c>
      <c r="E8596" s="135"/>
      <c r="F8596" s="31"/>
    </row>
    <row r="8597">
      <c r="A8597" s="134" t="str">
        <f>IFERROR(__xludf.DUMMYFUNCTION("""COMPUTED_VALUE"""),"Tonghua")</f>
        <v>Tonghua</v>
      </c>
      <c r="B8597" s="120" t="str">
        <f>IFERROR(__xludf.DUMMYFUNCTION("""COMPUTED_VALUE"""),"TNH")</f>
        <v>TNH</v>
      </c>
      <c r="C8597" s="120" t="str">
        <f>IFERROR(__xludf.DUMMYFUNCTION("""COMPUTED_VALUE"""),"Tonghua Liuhe")</f>
        <v>Tonghua Liuhe</v>
      </c>
      <c r="D8597" s="120" t="str">
        <f>IFERROR(__xludf.DUMMYFUNCTION("""COMPUTED_VALUE"""),"China")</f>
        <v>China</v>
      </c>
      <c r="E8597" s="135"/>
      <c r="F8597" s="31"/>
    </row>
    <row r="8598">
      <c r="A8598" s="134" t="str">
        <f>IFERROR(__xludf.DUMMYFUNCTION("""COMPUTED_VALUE"""),"Tongliao")</f>
        <v>Tongliao</v>
      </c>
      <c r="B8598" s="120" t="str">
        <f>IFERROR(__xludf.DUMMYFUNCTION("""COMPUTED_VALUE"""),"TGO")</f>
        <v>TGO</v>
      </c>
      <c r="C8598" s="120" t="str">
        <f>IFERROR(__xludf.DUMMYFUNCTION("""COMPUTED_VALUE"""),"Tongliao")</f>
        <v>Tongliao</v>
      </c>
      <c r="D8598" s="120" t="str">
        <f>IFERROR(__xludf.DUMMYFUNCTION("""COMPUTED_VALUE"""),"China")</f>
        <v>China</v>
      </c>
      <c r="E8598" s="135"/>
      <c r="F8598" s="31"/>
    </row>
    <row r="8599">
      <c r="A8599" s="134" t="str">
        <f>IFERROR(__xludf.DUMMYFUNCTION("""COMPUTED_VALUE"""),"Tongoa")</f>
        <v>Tongoa</v>
      </c>
      <c r="B8599" s="120" t="str">
        <f>IFERROR(__xludf.DUMMYFUNCTION("""COMPUTED_VALUE"""),"TGH")</f>
        <v>TGH</v>
      </c>
      <c r="C8599" s="120" t="str">
        <f>IFERROR(__xludf.DUMMYFUNCTION("""COMPUTED_VALUE"""),"Tongoa")</f>
        <v>Tongoa</v>
      </c>
      <c r="D8599" s="120" t="str">
        <f>IFERROR(__xludf.DUMMYFUNCTION("""COMPUTED_VALUE"""),"Vanuatu")</f>
        <v>Vanuatu</v>
      </c>
      <c r="E8599" s="135"/>
      <c r="F8599" s="31"/>
    </row>
    <row r="8600">
      <c r="A8600" s="134" t="str">
        <f>IFERROR(__xludf.DUMMYFUNCTION("""COMPUTED_VALUE"""),"Tongren")</f>
        <v>Tongren</v>
      </c>
      <c r="B8600" s="120" t="str">
        <f>IFERROR(__xludf.DUMMYFUNCTION("""COMPUTED_VALUE"""),"TEN")</f>
        <v>TEN</v>
      </c>
      <c r="C8600" s="120" t="str">
        <f>IFERROR(__xludf.DUMMYFUNCTION("""COMPUTED_VALUE"""),"Tongren")</f>
        <v>Tongren</v>
      </c>
      <c r="D8600" s="120" t="str">
        <f>IFERROR(__xludf.DUMMYFUNCTION("""COMPUTED_VALUE"""),"China")</f>
        <v>China</v>
      </c>
      <c r="E8600" s="135"/>
      <c r="F8600" s="31"/>
    </row>
    <row r="8601">
      <c r="A8601" s="134" t="str">
        <f>IFERROR(__xludf.DUMMYFUNCTION("""COMPUTED_VALUE"""),"Tonopah")</f>
        <v>Tonopah</v>
      </c>
      <c r="B8601" s="120" t="str">
        <f>IFERROR(__xludf.DUMMYFUNCTION("""COMPUTED_VALUE"""),"XSD")</f>
        <v>XSD</v>
      </c>
      <c r="C8601" s="120" t="str">
        <f>IFERROR(__xludf.DUMMYFUNCTION("""COMPUTED_VALUE"""),"Test Range")</f>
        <v>Test Range</v>
      </c>
      <c r="D8601" s="120" t="str">
        <f>IFERROR(__xludf.DUMMYFUNCTION("""COMPUTED_VALUE"""),"United States")</f>
        <v>United States</v>
      </c>
      <c r="E8601" s="135"/>
      <c r="F8601" s="31"/>
    </row>
    <row r="8602">
      <c r="A8602" s="134" t="str">
        <f>IFERROR(__xludf.DUMMYFUNCTION("""COMPUTED_VALUE"""),"Tonopah")</f>
        <v>Tonopah</v>
      </c>
      <c r="B8602" s="120" t="str">
        <f>IFERROR(__xludf.DUMMYFUNCTION("""COMPUTED_VALUE"""),"TPH")</f>
        <v>TPH</v>
      </c>
      <c r="C8602" s="120" t="str">
        <f>IFERROR(__xludf.DUMMYFUNCTION("""COMPUTED_VALUE"""),"Tonopah Arpt")</f>
        <v>Tonopah Arpt</v>
      </c>
      <c r="D8602" s="120" t="str">
        <f>IFERROR(__xludf.DUMMYFUNCTION("""COMPUTED_VALUE"""),"United States")</f>
        <v>United States</v>
      </c>
      <c r="E8602" s="135"/>
      <c r="F8602" s="31"/>
    </row>
    <row r="8603">
      <c r="A8603" s="134" t="str">
        <f>IFERROR(__xludf.DUMMYFUNCTION("""COMPUTED_VALUE"""),"Tonsberg")</f>
        <v>Tonsberg</v>
      </c>
      <c r="B8603" s="120" t="str">
        <f>IFERROR(__xludf.DUMMYFUNCTION("""COMPUTED_VALUE"""),"XKW")</f>
        <v>XKW</v>
      </c>
      <c r="C8603" s="120" t="str">
        <f>IFERROR(__xludf.DUMMYFUNCTION("""COMPUTED_VALUE"""),"Tonsberg Rail St.")</f>
        <v>Tonsberg Rail St.</v>
      </c>
      <c r="D8603" s="120" t="str">
        <f>IFERROR(__xludf.DUMMYFUNCTION("""COMPUTED_VALUE"""),"Norway")</f>
        <v>Norway</v>
      </c>
      <c r="E8603" s="135"/>
      <c r="F8603" s="31"/>
    </row>
    <row r="8604">
      <c r="A8604" s="134" t="str">
        <f>IFERROR(__xludf.DUMMYFUNCTION("""COMPUTED_VALUE"""),"Tonu")</f>
        <v>Tonu</v>
      </c>
      <c r="B8604" s="120" t="str">
        <f>IFERROR(__xludf.DUMMYFUNCTION("""COMPUTED_VALUE"""),"TON")</f>
        <v>TON</v>
      </c>
      <c r="C8604" s="120" t="str">
        <f>IFERROR(__xludf.DUMMYFUNCTION("""COMPUTED_VALUE"""),"Tonu")</f>
        <v>Tonu</v>
      </c>
      <c r="D8604" s="120" t="str">
        <f>IFERROR(__xludf.DUMMYFUNCTION("""COMPUTED_VALUE"""),"Papua New Guinea")</f>
        <v>Papua New Guinea</v>
      </c>
      <c r="E8604" s="135"/>
      <c r="F8604" s="31"/>
    </row>
    <row r="8605">
      <c r="A8605" s="134" t="str">
        <f>IFERROR(__xludf.DUMMYFUNCTION("""COMPUTED_VALUE"""),"Toowoomba")</f>
        <v>Toowoomba</v>
      </c>
      <c r="B8605" s="120" t="str">
        <f>IFERROR(__xludf.DUMMYFUNCTION("""COMPUTED_VALUE"""),"TWB")</f>
        <v>TWB</v>
      </c>
      <c r="C8605" s="120" t="str">
        <f>IFERROR(__xludf.DUMMYFUNCTION("""COMPUTED_VALUE"""),"Toowoomba")</f>
        <v>Toowoomba</v>
      </c>
      <c r="D8605" s="120" t="str">
        <f>IFERROR(__xludf.DUMMYFUNCTION("""COMPUTED_VALUE"""),"Australia")</f>
        <v>Australia</v>
      </c>
      <c r="E8605" s="135"/>
      <c r="F8605" s="31"/>
    </row>
    <row r="8606">
      <c r="A8606" s="134" t="str">
        <f>IFERROR(__xludf.DUMMYFUNCTION("""COMPUTED_VALUE"""),"Topeka")</f>
        <v>Topeka</v>
      </c>
      <c r="B8606" s="120" t="str">
        <f>IFERROR(__xludf.DUMMYFUNCTION("""COMPUTED_VALUE"""),"FOE")</f>
        <v>FOE</v>
      </c>
      <c r="C8606" s="120" t="str">
        <f>IFERROR(__xludf.DUMMYFUNCTION("""COMPUTED_VALUE"""),"Forbes AFB")</f>
        <v>Forbes AFB</v>
      </c>
      <c r="D8606" s="120" t="str">
        <f>IFERROR(__xludf.DUMMYFUNCTION("""COMPUTED_VALUE"""),"United States")</f>
        <v>United States</v>
      </c>
      <c r="E8606" s="135"/>
      <c r="F8606" s="31"/>
    </row>
    <row r="8607">
      <c r="A8607" s="134" t="str">
        <f>IFERROR(__xludf.DUMMYFUNCTION("""COMPUTED_VALUE"""),"Topeka")</f>
        <v>Topeka</v>
      </c>
      <c r="B8607" s="120" t="str">
        <f>IFERROR(__xludf.DUMMYFUNCTION("""COMPUTED_VALUE"""),"TOP")</f>
        <v>TOP</v>
      </c>
      <c r="C8607" s="120" t="str">
        <f>IFERROR(__xludf.DUMMYFUNCTION("""COMPUTED_VALUE"""),"Philip Billard")</f>
        <v>Philip Billard</v>
      </c>
      <c r="D8607" s="120" t="str">
        <f>IFERROR(__xludf.DUMMYFUNCTION("""COMPUTED_VALUE"""),"United States")</f>
        <v>United States</v>
      </c>
      <c r="E8607" s="135"/>
      <c r="F8607" s="31"/>
    </row>
    <row r="8608">
      <c r="A8608" s="134" t="str">
        <f>IFERROR(__xludf.DUMMYFUNCTION("""COMPUTED_VALUE"""),"Torembi")</f>
        <v>Torembi</v>
      </c>
      <c r="B8608" s="120" t="str">
        <f>IFERROR(__xludf.DUMMYFUNCTION("""COMPUTED_VALUE"""),"TCJ")</f>
        <v>TCJ</v>
      </c>
      <c r="C8608" s="120" t="str">
        <f>IFERROR(__xludf.DUMMYFUNCTION("""COMPUTED_VALUE"""),"Torembi Airport")</f>
        <v>Torembi Airport</v>
      </c>
      <c r="D8608" s="120" t="str">
        <f>IFERROR(__xludf.DUMMYFUNCTION("""COMPUTED_VALUE"""),"Papua New Guinea")</f>
        <v>Papua New Guinea</v>
      </c>
      <c r="E8608" s="135"/>
      <c r="F8608" s="31"/>
    </row>
    <row r="8609">
      <c r="A8609" s="134" t="str">
        <f>IFERROR(__xludf.DUMMYFUNCTION("""COMPUTED_VALUE"""),"Torokina")</f>
        <v>Torokina</v>
      </c>
      <c r="B8609" s="120" t="str">
        <f>IFERROR(__xludf.DUMMYFUNCTION("""COMPUTED_VALUE"""),"TOK")</f>
        <v>TOK</v>
      </c>
      <c r="C8609" s="120" t="str">
        <f>IFERROR(__xludf.DUMMYFUNCTION("""COMPUTED_VALUE"""),"Torokina")</f>
        <v>Torokina</v>
      </c>
      <c r="D8609" s="120" t="str">
        <f>IFERROR(__xludf.DUMMYFUNCTION("""COMPUTED_VALUE"""),"Papua New Guinea")</f>
        <v>Papua New Guinea</v>
      </c>
      <c r="E8609" s="135"/>
      <c r="F8609" s="31"/>
    </row>
    <row r="8610">
      <c r="A8610" s="134" t="str">
        <f>IFERROR(__xludf.DUMMYFUNCTION("""COMPUTED_VALUE"""),"Toronto")</f>
        <v>Toronto</v>
      </c>
      <c r="B8610" s="120" t="str">
        <f>IFERROR(__xludf.DUMMYFUNCTION("""COMPUTED_VALUE"""),"YKZ")</f>
        <v>YKZ</v>
      </c>
      <c r="C8610" s="120" t="str">
        <f>IFERROR(__xludf.DUMMYFUNCTION("""COMPUTED_VALUE"""),"Buttonville Municipal")</f>
        <v>Buttonville Municipal</v>
      </c>
      <c r="D8610" s="120" t="str">
        <f>IFERROR(__xludf.DUMMYFUNCTION("""COMPUTED_VALUE"""),"Canada")</f>
        <v>Canada</v>
      </c>
      <c r="E8610" s="135"/>
      <c r="F8610" s="31"/>
    </row>
    <row r="8611">
      <c r="A8611" s="134" t="str">
        <f>IFERROR(__xludf.DUMMYFUNCTION("""COMPUTED_VALUE"""),"Toronto")</f>
        <v>Toronto</v>
      </c>
      <c r="B8611" s="120" t="str">
        <f>IFERROR(__xludf.DUMMYFUNCTION("""COMPUTED_VALUE"""),"YYZ")</f>
        <v>YYZ</v>
      </c>
      <c r="C8611" s="120" t="str">
        <f>IFERROR(__xludf.DUMMYFUNCTION("""COMPUTED_VALUE"""),"Toronto/Lester B. Pearson International")</f>
        <v>Toronto/Lester B. Pearson International</v>
      </c>
      <c r="D8611" s="120" t="str">
        <f>IFERROR(__xludf.DUMMYFUNCTION("""COMPUTED_VALUE"""),"Canada")</f>
        <v>Canada</v>
      </c>
      <c r="E8611" s="135"/>
      <c r="F8611" s="31"/>
    </row>
    <row r="8612">
      <c r="A8612" s="134" t="str">
        <f>IFERROR(__xludf.DUMMYFUNCTION("""COMPUTED_VALUE"""),"Toronto")</f>
        <v>Toronto</v>
      </c>
      <c r="B8612" s="120" t="str">
        <f>IFERROR(__xludf.DUMMYFUNCTION("""COMPUTED_VALUE"""),"YTZ")</f>
        <v>YTZ</v>
      </c>
      <c r="C8612" s="120" t="str">
        <f>IFERROR(__xludf.DUMMYFUNCTION("""COMPUTED_VALUE"""),"Toronto Island")</f>
        <v>Toronto Island</v>
      </c>
      <c r="D8612" s="120" t="str">
        <f>IFERROR(__xludf.DUMMYFUNCTION("""COMPUTED_VALUE"""),"Canada")</f>
        <v>Canada</v>
      </c>
      <c r="E8612" s="135"/>
      <c r="F8612" s="31"/>
    </row>
    <row r="8613">
      <c r="A8613" s="134" t="str">
        <f>IFERROR(__xludf.DUMMYFUNCTION("""COMPUTED_VALUE"""),"Tororo")</f>
        <v>Tororo</v>
      </c>
      <c r="B8613" s="120" t="str">
        <f>IFERROR(__xludf.DUMMYFUNCTION("""COMPUTED_VALUE"""),"TRY")</f>
        <v>TRY</v>
      </c>
      <c r="C8613" s="120" t="str">
        <f>IFERROR(__xludf.DUMMYFUNCTION("""COMPUTED_VALUE"""),"Tororo")</f>
        <v>Tororo</v>
      </c>
      <c r="D8613" s="120" t="str">
        <f>IFERROR(__xludf.DUMMYFUNCTION("""COMPUTED_VALUE"""),"Uganda")</f>
        <v>Uganda</v>
      </c>
      <c r="E8613" s="135"/>
      <c r="F8613" s="31"/>
    </row>
    <row r="8614">
      <c r="A8614" s="134" t="str">
        <f>IFERROR(__xludf.DUMMYFUNCTION("""COMPUTED_VALUE"""),"Torrance")</f>
        <v>Torrance</v>
      </c>
      <c r="B8614" s="120" t="str">
        <f>IFERROR(__xludf.DUMMYFUNCTION("""COMPUTED_VALUE"""),"TOA")</f>
        <v>TOA</v>
      </c>
      <c r="C8614" s="120" t="str">
        <f>IFERROR(__xludf.DUMMYFUNCTION("""COMPUTED_VALUE"""),"Torrance")</f>
        <v>Torrance</v>
      </c>
      <c r="D8614" s="120" t="str">
        <f>IFERROR(__xludf.DUMMYFUNCTION("""COMPUTED_VALUE"""),"United States")</f>
        <v>United States</v>
      </c>
      <c r="E8614" s="135"/>
      <c r="F8614" s="31"/>
    </row>
    <row r="8615">
      <c r="A8615" s="134" t="str">
        <f>IFERROR(__xludf.DUMMYFUNCTION("""COMPUTED_VALUE"""),"Torremolinos")</f>
        <v>Torremolinos</v>
      </c>
      <c r="B8615" s="120" t="str">
        <f>IFERROR(__xludf.DUMMYFUNCTION("""COMPUTED_VALUE"""),"UTL")</f>
        <v>UTL</v>
      </c>
      <c r="C8615" s="120" t="str">
        <f>IFERROR(__xludf.DUMMYFUNCTION("""COMPUTED_VALUE"""),"Torremolinos")</f>
        <v>Torremolinos</v>
      </c>
      <c r="D8615" s="120" t="str">
        <f>IFERROR(__xludf.DUMMYFUNCTION("""COMPUTED_VALUE"""),"Spain")</f>
        <v>Spain</v>
      </c>
      <c r="E8615" s="135"/>
      <c r="F8615" s="31"/>
    </row>
    <row r="8616">
      <c r="A8616" s="134" t="str">
        <f>IFERROR(__xludf.DUMMYFUNCTION("""COMPUTED_VALUE"""),"Torreon")</f>
        <v>Torreon</v>
      </c>
      <c r="B8616" s="120" t="str">
        <f>IFERROR(__xludf.DUMMYFUNCTION("""COMPUTED_VALUE"""),"TRC")</f>
        <v>TRC</v>
      </c>
      <c r="C8616" s="120" t="str">
        <f>IFERROR(__xludf.DUMMYFUNCTION("""COMPUTED_VALUE"""),"Torreon")</f>
        <v>Torreon</v>
      </c>
      <c r="D8616" s="120" t="str">
        <f>IFERROR(__xludf.DUMMYFUNCTION("""COMPUTED_VALUE"""),"Mexico")</f>
        <v>Mexico</v>
      </c>
      <c r="E8616" s="135"/>
      <c r="F8616" s="31"/>
    </row>
    <row r="8617">
      <c r="A8617" s="134" t="str">
        <f>IFERROR(__xludf.DUMMYFUNCTION("""COMPUTED_VALUE"""),"Torres")</f>
        <v>Torres</v>
      </c>
      <c r="B8617" s="120" t="str">
        <f>IFERROR(__xludf.DUMMYFUNCTION("""COMPUTED_VALUE"""),"TSQ")</f>
        <v>TSQ</v>
      </c>
      <c r="C8617" s="120" t="str">
        <f>IFERROR(__xludf.DUMMYFUNCTION("""COMPUTED_VALUE"""),"Torres")</f>
        <v>Torres</v>
      </c>
      <c r="D8617" s="120" t="str">
        <f>IFERROR(__xludf.DUMMYFUNCTION("""COMPUTED_VALUE"""),"Brazil")</f>
        <v>Brazil</v>
      </c>
      <c r="E8617" s="135"/>
      <c r="F8617" s="31"/>
    </row>
    <row r="8618">
      <c r="A8618" s="134" t="str">
        <f>IFERROR(__xludf.DUMMYFUNCTION("""COMPUTED_VALUE"""),"Torres")</f>
        <v>Torres</v>
      </c>
      <c r="B8618" s="120" t="str">
        <f>IFERROR(__xludf.DUMMYFUNCTION("""COMPUTED_VALUE"""),"TOH")</f>
        <v>TOH</v>
      </c>
      <c r="C8618" s="120" t="str">
        <f>IFERROR(__xludf.DUMMYFUNCTION("""COMPUTED_VALUE"""),"Torres Airstrip")</f>
        <v>Torres Airstrip</v>
      </c>
      <c r="D8618" s="120" t="str">
        <f>IFERROR(__xludf.DUMMYFUNCTION("""COMPUTED_VALUE"""),"Vanuatu")</f>
        <v>Vanuatu</v>
      </c>
      <c r="E8618" s="135"/>
      <c r="F8618" s="31"/>
    </row>
    <row r="8619">
      <c r="A8619" s="134" t="str">
        <f>IFERROR(__xludf.DUMMYFUNCTION("""COMPUTED_VALUE"""),"Torrington")</f>
        <v>Torrington</v>
      </c>
      <c r="B8619" s="120" t="str">
        <f>IFERROR(__xludf.DUMMYFUNCTION("""COMPUTED_VALUE"""),"TOR")</f>
        <v>TOR</v>
      </c>
      <c r="C8619" s="120" t="str">
        <f>IFERROR(__xludf.DUMMYFUNCTION("""COMPUTED_VALUE"""),"Municipal")</f>
        <v>Municipal</v>
      </c>
      <c r="D8619" s="120" t="str">
        <f>IFERROR(__xludf.DUMMYFUNCTION("""COMPUTED_VALUE"""),"United States")</f>
        <v>United States</v>
      </c>
      <c r="E8619" s="135"/>
      <c r="F8619" s="31"/>
    </row>
    <row r="8620">
      <c r="A8620" s="134" t="str">
        <f>IFERROR(__xludf.DUMMYFUNCTION("""COMPUTED_VALUE"""),"Torsby")</f>
        <v>Torsby</v>
      </c>
      <c r="B8620" s="120" t="str">
        <f>IFERROR(__xludf.DUMMYFUNCTION("""COMPUTED_VALUE"""),"TYF")</f>
        <v>TYF</v>
      </c>
      <c r="C8620" s="120" t="str">
        <f>IFERROR(__xludf.DUMMYFUNCTION("""COMPUTED_VALUE"""),"Torsby Airport")</f>
        <v>Torsby Airport</v>
      </c>
      <c r="D8620" s="120" t="str">
        <f>IFERROR(__xludf.DUMMYFUNCTION("""COMPUTED_VALUE"""),"Sweden")</f>
        <v>Sweden</v>
      </c>
      <c r="E8620" s="135"/>
      <c r="F8620" s="31"/>
    </row>
    <row r="8621">
      <c r="A8621" s="134" t="str">
        <f>IFERROR(__xludf.DUMMYFUNCTION("""COMPUTED_VALUE"""),"Tortola")</f>
        <v>Tortola</v>
      </c>
      <c r="B8621" s="120" t="str">
        <f>IFERROR(__xludf.DUMMYFUNCTION("""COMPUTED_VALUE"""),"RAD")</f>
        <v>RAD</v>
      </c>
      <c r="C8621" s="120" t="str">
        <f>IFERROR(__xludf.DUMMYFUNCTION("""COMPUTED_VALUE"""),"Road Town")</f>
        <v>Road Town</v>
      </c>
      <c r="D8621" s="120" t="str">
        <f>IFERROR(__xludf.DUMMYFUNCTION("""COMPUTED_VALUE"""),"Virgin Islands (British)")</f>
        <v>Virgin Islands (British)</v>
      </c>
      <c r="E8621" s="135"/>
      <c r="F8621" s="31"/>
    </row>
    <row r="8622">
      <c r="A8622" s="134" t="str">
        <f>IFERROR(__xludf.DUMMYFUNCTION("""COMPUTED_VALUE"""),"Tortola")</f>
        <v>Tortola</v>
      </c>
      <c r="B8622" s="120" t="str">
        <f>IFERROR(__xludf.DUMMYFUNCTION("""COMPUTED_VALUE"""),"TOV")</f>
        <v>TOV</v>
      </c>
      <c r="C8622" s="120" t="str">
        <f>IFERROR(__xludf.DUMMYFUNCTION("""COMPUTED_VALUE"""),"West End SPB")</f>
        <v>West End SPB</v>
      </c>
      <c r="D8622" s="120" t="str">
        <f>IFERROR(__xludf.DUMMYFUNCTION("""COMPUTED_VALUE"""),"Virgin Islands (British)")</f>
        <v>Virgin Islands (British)</v>
      </c>
      <c r="E8622" s="135"/>
      <c r="F8622" s="31"/>
    </row>
    <row r="8623">
      <c r="A8623" s="134" t="str">
        <f>IFERROR(__xludf.DUMMYFUNCTION("""COMPUTED_VALUE"""),"Tortoli")</f>
        <v>Tortoli</v>
      </c>
      <c r="B8623" s="120" t="str">
        <f>IFERROR(__xludf.DUMMYFUNCTION("""COMPUTED_VALUE"""),"TTB")</f>
        <v>TTB</v>
      </c>
      <c r="C8623" s="120" t="str">
        <f>IFERROR(__xludf.DUMMYFUNCTION("""COMPUTED_VALUE"""),"Arbatax")</f>
        <v>Arbatax</v>
      </c>
      <c r="D8623" s="120" t="str">
        <f>IFERROR(__xludf.DUMMYFUNCTION("""COMPUTED_VALUE"""),"Italy")</f>
        <v>Italy</v>
      </c>
      <c r="E8623" s="135"/>
      <c r="F8623" s="31"/>
    </row>
    <row r="8624">
      <c r="A8624" s="134" t="str">
        <f>IFERROR(__xludf.DUMMYFUNCTION("""COMPUTED_VALUE"""),"Tortuquero")</f>
        <v>Tortuquero</v>
      </c>
      <c r="B8624" s="120" t="str">
        <f>IFERROR(__xludf.DUMMYFUNCTION("""COMPUTED_VALUE"""),"TTQ")</f>
        <v>TTQ</v>
      </c>
      <c r="C8624" s="120" t="str">
        <f>IFERROR(__xludf.DUMMYFUNCTION("""COMPUTED_VALUE"""),"Tortuquero")</f>
        <v>Tortuquero</v>
      </c>
      <c r="D8624" s="120" t="str">
        <f>IFERROR(__xludf.DUMMYFUNCTION("""COMPUTED_VALUE"""),"Costa Rica")</f>
        <v>Costa Rica</v>
      </c>
      <c r="E8624" s="135"/>
      <c r="F8624" s="31"/>
    </row>
    <row r="8625">
      <c r="A8625" s="134" t="str">
        <f>IFERROR(__xludf.DUMMYFUNCTION("""COMPUTED_VALUE"""),"Torwood")</f>
        <v>Torwood</v>
      </c>
      <c r="B8625" s="120" t="str">
        <f>IFERROR(__xludf.DUMMYFUNCTION("""COMPUTED_VALUE"""),"TWP")</f>
        <v>TWP</v>
      </c>
      <c r="C8625" s="120" t="str">
        <f>IFERROR(__xludf.DUMMYFUNCTION("""COMPUTED_VALUE"""),"Torwood")</f>
        <v>Torwood</v>
      </c>
      <c r="D8625" s="120" t="str">
        <f>IFERROR(__xludf.DUMMYFUNCTION("""COMPUTED_VALUE"""),"Australia")</f>
        <v>Australia</v>
      </c>
      <c r="E8625" s="135"/>
      <c r="F8625" s="31"/>
    </row>
    <row r="8626">
      <c r="A8626" s="134" t="str">
        <f>IFERROR(__xludf.DUMMYFUNCTION("""COMPUTED_VALUE"""),"Tosontsengel")</f>
        <v>Tosontsengel</v>
      </c>
      <c r="B8626" s="120" t="str">
        <f>IFERROR(__xludf.DUMMYFUNCTION("""COMPUTED_VALUE"""),"TNZ")</f>
        <v>TNZ</v>
      </c>
      <c r="C8626" s="120" t="str">
        <f>IFERROR(__xludf.DUMMYFUNCTION("""COMPUTED_VALUE"""),"Tosontsengel")</f>
        <v>Tosontsengel</v>
      </c>
      <c r="D8626" s="120" t="str">
        <f>IFERROR(__xludf.DUMMYFUNCTION("""COMPUTED_VALUE"""),"Mongolia")</f>
        <v>Mongolia</v>
      </c>
      <c r="E8626" s="135"/>
      <c r="F8626" s="31"/>
    </row>
    <row r="8627">
      <c r="A8627" s="134" t="str">
        <f>IFERROR(__xludf.DUMMYFUNCTION("""COMPUTED_VALUE"""),"Totness")</f>
        <v>Totness</v>
      </c>
      <c r="B8627" s="120" t="str">
        <f>IFERROR(__xludf.DUMMYFUNCTION("""COMPUTED_VALUE"""),"TOT")</f>
        <v>TOT</v>
      </c>
      <c r="C8627" s="120" t="str">
        <f>IFERROR(__xludf.DUMMYFUNCTION("""COMPUTED_VALUE"""),"Coronie")</f>
        <v>Coronie</v>
      </c>
      <c r="D8627" s="120" t="str">
        <f>IFERROR(__xludf.DUMMYFUNCTION("""COMPUTED_VALUE"""),"Suriname")</f>
        <v>Suriname</v>
      </c>
      <c r="E8627" s="135"/>
      <c r="F8627" s="31"/>
    </row>
    <row r="8628">
      <c r="A8628" s="134" t="str">
        <f>IFERROR(__xludf.DUMMYFUNCTION("""COMPUTED_VALUE"""),"Tottori")</f>
        <v>Tottori</v>
      </c>
      <c r="B8628" s="120" t="str">
        <f>IFERROR(__xludf.DUMMYFUNCTION("""COMPUTED_VALUE"""),"TTJ")</f>
        <v>TTJ</v>
      </c>
      <c r="C8628" s="120" t="str">
        <f>IFERROR(__xludf.DUMMYFUNCTION("""COMPUTED_VALUE"""),"Tottori")</f>
        <v>Tottori</v>
      </c>
      <c r="D8628" s="120" t="str">
        <f>IFERROR(__xludf.DUMMYFUNCTION("""COMPUTED_VALUE"""),"Japan")</f>
        <v>Japan</v>
      </c>
      <c r="E8628" s="135"/>
      <c r="F8628" s="31"/>
    </row>
    <row r="8629">
      <c r="A8629" s="134" t="str">
        <f>IFERROR(__xludf.DUMMYFUNCTION("""COMPUTED_VALUE"""),"Touba")</f>
        <v>Touba</v>
      </c>
      <c r="B8629" s="120" t="str">
        <f>IFERROR(__xludf.DUMMYFUNCTION("""COMPUTED_VALUE"""),"TOZ")</f>
        <v>TOZ</v>
      </c>
      <c r="C8629" s="120" t="str">
        <f>IFERROR(__xludf.DUMMYFUNCTION("""COMPUTED_VALUE"""),"Touba")</f>
        <v>Touba</v>
      </c>
      <c r="D8629" s="120" t="str">
        <f>IFERROR(__xludf.DUMMYFUNCTION("""COMPUTED_VALUE"""),"Cote D'Ivoire (Ivory Coast)")</f>
        <v>Cote D'Ivoire (Ivory Coast)</v>
      </c>
      <c r="E8629" s="135"/>
      <c r="F8629" s="31"/>
    </row>
    <row r="8630">
      <c r="A8630" s="134" t="str">
        <f>IFERROR(__xludf.DUMMYFUNCTION("""COMPUTED_VALUE"""),"Tougan")</f>
        <v>Tougan</v>
      </c>
      <c r="B8630" s="120" t="str">
        <f>IFERROR(__xludf.DUMMYFUNCTION("""COMPUTED_VALUE"""),"TUQ")</f>
        <v>TUQ</v>
      </c>
      <c r="C8630" s="120" t="str">
        <f>IFERROR(__xludf.DUMMYFUNCTION("""COMPUTED_VALUE"""),"Tougan")</f>
        <v>Tougan</v>
      </c>
      <c r="D8630" s="120" t="str">
        <f>IFERROR(__xludf.DUMMYFUNCTION("""COMPUTED_VALUE"""),"Burkina Faso")</f>
        <v>Burkina Faso</v>
      </c>
      <c r="E8630" s="135"/>
      <c r="F8630" s="31"/>
    </row>
    <row r="8631">
      <c r="A8631" s="134" t="str">
        <f>IFERROR(__xludf.DUMMYFUNCTION("""COMPUTED_VALUE"""),"Touggourt")</f>
        <v>Touggourt</v>
      </c>
      <c r="B8631" s="120" t="str">
        <f>IFERROR(__xludf.DUMMYFUNCTION("""COMPUTED_VALUE"""),"TGR")</f>
        <v>TGR</v>
      </c>
      <c r="C8631" s="120" t="str">
        <f>IFERROR(__xludf.DUMMYFUNCTION("""COMPUTED_VALUE"""),"Touggourt")</f>
        <v>Touggourt</v>
      </c>
      <c r="D8631" s="120" t="str">
        <f>IFERROR(__xludf.DUMMYFUNCTION("""COMPUTED_VALUE"""),"Algeria")</f>
        <v>Algeria</v>
      </c>
      <c r="E8631" s="135"/>
      <c r="F8631" s="31"/>
    </row>
    <row r="8632">
      <c r="A8632" s="134" t="str">
        <f>IFERROR(__xludf.DUMMYFUNCTION("""COMPUTED_VALUE"""),"Touho")</f>
        <v>Touho</v>
      </c>
      <c r="B8632" s="120" t="str">
        <f>IFERROR(__xludf.DUMMYFUNCTION("""COMPUTED_VALUE"""),"TOU")</f>
        <v>TOU</v>
      </c>
      <c r="C8632" s="120" t="str">
        <f>IFERROR(__xludf.DUMMYFUNCTION("""COMPUTED_VALUE"""),"Touho")</f>
        <v>Touho</v>
      </c>
      <c r="D8632" s="120" t="str">
        <f>IFERROR(__xludf.DUMMYFUNCTION("""COMPUTED_VALUE"""),"New Caledonia")</f>
        <v>New Caledonia</v>
      </c>
      <c r="E8632" s="135"/>
      <c r="F8632" s="31"/>
    </row>
    <row r="8633">
      <c r="A8633" s="134" t="str">
        <f>IFERROR(__xludf.DUMMYFUNCTION("""COMPUTED_VALUE"""),"Toulon")</f>
        <v>Toulon</v>
      </c>
      <c r="B8633" s="120" t="str">
        <f>IFERROR(__xludf.DUMMYFUNCTION("""COMPUTED_VALUE"""),"TLN")</f>
        <v>TLN</v>
      </c>
      <c r="C8633" s="120" t="str">
        <f>IFERROR(__xludf.DUMMYFUNCTION("""COMPUTED_VALUE"""),"Hyeres")</f>
        <v>Hyeres</v>
      </c>
      <c r="D8633" s="120" t="str">
        <f>IFERROR(__xludf.DUMMYFUNCTION("""COMPUTED_VALUE"""),"France")</f>
        <v>France</v>
      </c>
      <c r="E8633" s="135"/>
      <c r="F8633" s="31"/>
    </row>
    <row r="8634">
      <c r="A8634" s="134" t="str">
        <f>IFERROR(__xludf.DUMMYFUNCTION("""COMPUTED_VALUE"""),"Toulon")</f>
        <v>Toulon</v>
      </c>
      <c r="B8634" s="120" t="str">
        <f>IFERROR(__xludf.DUMMYFUNCTION("""COMPUTED_VALUE"""),"XZV")</f>
        <v>XZV</v>
      </c>
      <c r="C8634" s="120" t="str">
        <f>IFERROR(__xludf.DUMMYFUNCTION("""COMPUTED_VALUE"""),"TGV Station")</f>
        <v>TGV Station</v>
      </c>
      <c r="D8634" s="120" t="str">
        <f>IFERROR(__xludf.DUMMYFUNCTION("""COMPUTED_VALUE"""),"France")</f>
        <v>France</v>
      </c>
      <c r="E8634" s="135"/>
      <c r="F8634" s="31"/>
    </row>
    <row r="8635">
      <c r="A8635" s="134" t="str">
        <f>IFERROR(__xludf.DUMMYFUNCTION("""COMPUTED_VALUE"""),"Toulouse")</f>
        <v>Toulouse</v>
      </c>
      <c r="B8635" s="120" t="str">
        <f>IFERROR(__xludf.DUMMYFUNCTION("""COMPUTED_VALUE"""),"TLS")</f>
        <v>TLS</v>
      </c>
      <c r="C8635" s="120" t="str">
        <f>IFERROR(__xludf.DUMMYFUNCTION("""COMPUTED_VALUE"""),"Blagnac")</f>
        <v>Blagnac</v>
      </c>
      <c r="D8635" s="120" t="str">
        <f>IFERROR(__xludf.DUMMYFUNCTION("""COMPUTED_VALUE"""),"France")</f>
        <v>France</v>
      </c>
      <c r="E8635" s="135"/>
      <c r="F8635" s="31"/>
    </row>
    <row r="8636">
      <c r="A8636" s="134" t="str">
        <f>IFERROR(__xludf.DUMMYFUNCTION("""COMPUTED_VALUE"""),"Toulouse")</f>
        <v>Toulouse</v>
      </c>
      <c r="B8636" s="120" t="str">
        <f>IFERROR(__xludf.DUMMYFUNCTION("""COMPUTED_VALUE"""),"XYT")</f>
        <v>XYT</v>
      </c>
      <c r="C8636" s="120" t="str">
        <f>IFERROR(__xludf.DUMMYFUNCTION("""COMPUTED_VALUE"""),"Montaudran")</f>
        <v>Montaudran</v>
      </c>
      <c r="D8636" s="120" t="str">
        <f>IFERROR(__xludf.DUMMYFUNCTION("""COMPUTED_VALUE"""),"France")</f>
        <v>France</v>
      </c>
      <c r="E8636" s="135"/>
      <c r="F8636" s="31"/>
    </row>
    <row r="8637">
      <c r="A8637" s="134" t="str">
        <f>IFERROR(__xludf.DUMMYFUNCTION("""COMPUTED_VALUE"""),"Tour Sinai City")</f>
        <v>Tour Sinai City</v>
      </c>
      <c r="B8637" s="120" t="str">
        <f>IFERROR(__xludf.DUMMYFUNCTION("""COMPUTED_VALUE"""),"ELT")</f>
        <v>ELT</v>
      </c>
      <c r="C8637" s="120" t="str">
        <f>IFERROR(__xludf.DUMMYFUNCTION("""COMPUTED_VALUE"""),"Tour Sinai City")</f>
        <v>Tour Sinai City</v>
      </c>
      <c r="D8637" s="120" t="str">
        <f>IFERROR(__xludf.DUMMYFUNCTION("""COMPUTED_VALUE"""),"Egypt")</f>
        <v>Egypt</v>
      </c>
      <c r="E8637" s="135"/>
      <c r="F8637" s="31"/>
    </row>
    <row r="8638">
      <c r="A8638" s="134" t="str">
        <f>IFERROR(__xludf.DUMMYFUNCTION("""COMPUTED_VALUE"""),"Tours")</f>
        <v>Tours</v>
      </c>
      <c r="B8638" s="120" t="str">
        <f>IFERROR(__xludf.DUMMYFUNCTION("""COMPUTED_VALUE"""),"TUF")</f>
        <v>TUF</v>
      </c>
      <c r="C8638" s="120" t="str">
        <f>IFERROR(__xludf.DUMMYFUNCTION("""COMPUTED_VALUE"""),"St Symphorien")</f>
        <v>St Symphorien</v>
      </c>
      <c r="D8638" s="120" t="str">
        <f>IFERROR(__xludf.DUMMYFUNCTION("""COMPUTED_VALUE"""),"France")</f>
        <v>France</v>
      </c>
      <c r="E8638" s="135"/>
      <c r="F8638" s="31"/>
    </row>
    <row r="8639">
      <c r="A8639" s="134" t="str">
        <f>IFERROR(__xludf.DUMMYFUNCTION("""COMPUTED_VALUE"""),"Toussus-le-noble")</f>
        <v>Toussus-le-noble</v>
      </c>
      <c r="B8639" s="120" t="str">
        <f>IFERROR(__xludf.DUMMYFUNCTION("""COMPUTED_VALUE"""),"TNF")</f>
        <v>TNF</v>
      </c>
      <c r="C8639" s="120" t="str">
        <f>IFERROR(__xludf.DUMMYFUNCTION("""COMPUTED_VALUE"""),"Toussus-le-noble")</f>
        <v>Toussus-le-noble</v>
      </c>
      <c r="D8639" s="120" t="str">
        <f>IFERROR(__xludf.DUMMYFUNCTION("""COMPUTED_VALUE"""),"France")</f>
        <v>France</v>
      </c>
      <c r="E8639" s="135"/>
      <c r="F8639" s="31"/>
    </row>
    <row r="8640">
      <c r="A8640" s="134" t="str">
        <f>IFERROR(__xludf.DUMMYFUNCTION("""COMPUTED_VALUE"""),"Townsville")</f>
        <v>Townsville</v>
      </c>
      <c r="B8640" s="120" t="str">
        <f>IFERROR(__xludf.DUMMYFUNCTION("""COMPUTED_VALUE"""),"TSV")</f>
        <v>TSV</v>
      </c>
      <c r="C8640" s="120" t="str">
        <f>IFERROR(__xludf.DUMMYFUNCTION("""COMPUTED_VALUE"""),"Townsville International")</f>
        <v>Townsville International</v>
      </c>
      <c r="D8640" s="120" t="str">
        <f>IFERROR(__xludf.DUMMYFUNCTION("""COMPUTED_VALUE"""),"Australia")</f>
        <v>Australia</v>
      </c>
      <c r="E8640" s="135"/>
      <c r="F8640" s="31"/>
    </row>
    <row r="8641">
      <c r="A8641" s="134" t="str">
        <f>IFERROR(__xludf.DUMMYFUNCTION("""COMPUTED_VALUE"""),"Toyama")</f>
        <v>Toyama</v>
      </c>
      <c r="B8641" s="120" t="str">
        <f>IFERROR(__xludf.DUMMYFUNCTION("""COMPUTED_VALUE"""),"TOY")</f>
        <v>TOY</v>
      </c>
      <c r="C8641" s="120" t="str">
        <f>IFERROR(__xludf.DUMMYFUNCTION("""COMPUTED_VALUE"""),"Toyama")</f>
        <v>Toyama</v>
      </c>
      <c r="D8641" s="120" t="str">
        <f>IFERROR(__xludf.DUMMYFUNCTION("""COMPUTED_VALUE"""),"Japan")</f>
        <v>Japan</v>
      </c>
      <c r="E8641" s="135"/>
      <c r="F8641" s="31"/>
    </row>
    <row r="8642">
      <c r="A8642" s="134" t="str">
        <f>IFERROR(__xludf.DUMMYFUNCTION("""COMPUTED_VALUE"""),"Toyooka")</f>
        <v>Toyooka</v>
      </c>
      <c r="B8642" s="120" t="str">
        <f>IFERROR(__xludf.DUMMYFUNCTION("""COMPUTED_VALUE"""),"TJH")</f>
        <v>TJH</v>
      </c>
      <c r="C8642" s="120" t="str">
        <f>IFERROR(__xludf.DUMMYFUNCTION("""COMPUTED_VALUE"""),"Tajima")</f>
        <v>Tajima</v>
      </c>
      <c r="D8642" s="120" t="str">
        <f>IFERROR(__xludf.DUMMYFUNCTION("""COMPUTED_VALUE"""),"Japan")</f>
        <v>Japan</v>
      </c>
      <c r="E8642" s="135"/>
      <c r="F8642" s="31"/>
    </row>
    <row r="8643">
      <c r="A8643" s="134" t="str">
        <f>IFERROR(__xludf.DUMMYFUNCTION("""COMPUTED_VALUE"""),"Tozeur")</f>
        <v>Tozeur</v>
      </c>
      <c r="B8643" s="120" t="str">
        <f>IFERROR(__xludf.DUMMYFUNCTION("""COMPUTED_VALUE"""),"TOE")</f>
        <v>TOE</v>
      </c>
      <c r="C8643" s="120" t="str">
        <f>IFERROR(__xludf.DUMMYFUNCTION("""COMPUTED_VALUE"""),"Tozeur")</f>
        <v>Tozeur</v>
      </c>
      <c r="D8643" s="120" t="str">
        <f>IFERROR(__xludf.DUMMYFUNCTION("""COMPUTED_VALUE"""),"Tunisia")</f>
        <v>Tunisia</v>
      </c>
      <c r="E8643" s="135"/>
      <c r="F8643" s="31"/>
    </row>
    <row r="8644">
      <c r="A8644" s="134" t="str">
        <f>IFERROR(__xludf.DUMMYFUNCTION("""COMPUTED_VALUE"""),"Trabzon")</f>
        <v>Trabzon</v>
      </c>
      <c r="B8644" s="120" t="str">
        <f>IFERROR(__xludf.DUMMYFUNCTION("""COMPUTED_VALUE"""),"TZX")</f>
        <v>TZX</v>
      </c>
      <c r="C8644" s="120" t="str">
        <f>IFERROR(__xludf.DUMMYFUNCTION("""COMPUTED_VALUE"""),"Trabzon")</f>
        <v>Trabzon</v>
      </c>
      <c r="D8644" s="120" t="str">
        <f>IFERROR(__xludf.DUMMYFUNCTION("""COMPUTED_VALUE"""),"Turkey")</f>
        <v>Turkey</v>
      </c>
      <c r="E8644" s="135"/>
      <c r="F8644" s="31"/>
    </row>
    <row r="8645">
      <c r="A8645" s="134" t="str">
        <f>IFERROR(__xludf.DUMMYFUNCTION("""COMPUTED_VALUE"""),"Trang")</f>
        <v>Trang</v>
      </c>
      <c r="B8645" s="120" t="str">
        <f>IFERROR(__xludf.DUMMYFUNCTION("""COMPUTED_VALUE"""),"TST")</f>
        <v>TST</v>
      </c>
      <c r="C8645" s="120" t="str">
        <f>IFERROR(__xludf.DUMMYFUNCTION("""COMPUTED_VALUE"""),"Trang")</f>
        <v>Trang</v>
      </c>
      <c r="D8645" s="120" t="str">
        <f>IFERROR(__xludf.DUMMYFUNCTION("""COMPUTED_VALUE"""),"Thailand")</f>
        <v>Thailand</v>
      </c>
      <c r="E8645" s="135"/>
      <c r="F8645" s="31"/>
    </row>
    <row r="8646">
      <c r="A8646" s="134" t="str">
        <f>IFERROR(__xludf.DUMMYFUNCTION("""COMPUTED_VALUE"""),"Trapani")</f>
        <v>Trapani</v>
      </c>
      <c r="B8646" s="120" t="str">
        <f>IFERROR(__xludf.DUMMYFUNCTION("""COMPUTED_VALUE"""),"TPS")</f>
        <v>TPS</v>
      </c>
      <c r="C8646" s="120" t="str">
        <f>IFERROR(__xludf.DUMMYFUNCTION("""COMPUTED_VALUE"""),"Birgi")</f>
        <v>Birgi</v>
      </c>
      <c r="D8646" s="120" t="str">
        <f>IFERROR(__xludf.DUMMYFUNCTION("""COMPUTED_VALUE"""),"Italy")</f>
        <v>Italy</v>
      </c>
      <c r="E8646" s="135"/>
      <c r="F8646" s="31"/>
    </row>
    <row r="8647">
      <c r="A8647" s="134" t="str">
        <f>IFERROR(__xludf.DUMMYFUNCTION("""COMPUTED_VALUE"""),"Traralgon")</f>
        <v>Traralgon</v>
      </c>
      <c r="B8647" s="120" t="str">
        <f>IFERROR(__xludf.DUMMYFUNCTION("""COMPUTED_VALUE"""),"TGN")</f>
        <v>TGN</v>
      </c>
      <c r="C8647" s="120" t="str">
        <f>IFERROR(__xludf.DUMMYFUNCTION("""COMPUTED_VALUE"""),"La Trobe Regional")</f>
        <v>La Trobe Regional</v>
      </c>
      <c r="D8647" s="120" t="str">
        <f>IFERROR(__xludf.DUMMYFUNCTION("""COMPUTED_VALUE"""),"Australia")</f>
        <v>Australia</v>
      </c>
      <c r="E8647" s="135"/>
      <c r="F8647" s="31"/>
    </row>
    <row r="8648">
      <c r="A8648" s="134" t="str">
        <f>IFERROR(__xludf.DUMMYFUNCTION("""COMPUTED_VALUE"""),"Trat")</f>
        <v>Trat</v>
      </c>
      <c r="B8648" s="120" t="str">
        <f>IFERROR(__xludf.DUMMYFUNCTION("""COMPUTED_VALUE"""),"TDX")</f>
        <v>TDX</v>
      </c>
      <c r="C8648" s="120" t="str">
        <f>IFERROR(__xludf.DUMMYFUNCTION("""COMPUTED_VALUE"""),"Trat")</f>
        <v>Trat</v>
      </c>
      <c r="D8648" s="120" t="str">
        <f>IFERROR(__xludf.DUMMYFUNCTION("""COMPUTED_VALUE"""),"Thailand")</f>
        <v>Thailand</v>
      </c>
      <c r="E8648" s="135"/>
      <c r="F8648" s="31"/>
    </row>
    <row r="8649">
      <c r="A8649" s="134" t="str">
        <f>IFERROR(__xludf.DUMMYFUNCTION("""COMPUTED_VALUE"""),"Traverse City")</f>
        <v>Traverse City</v>
      </c>
      <c r="B8649" s="120" t="str">
        <f>IFERROR(__xludf.DUMMYFUNCTION("""COMPUTED_VALUE"""),"TVC")</f>
        <v>TVC</v>
      </c>
      <c r="C8649" s="120" t="str">
        <f>IFERROR(__xludf.DUMMYFUNCTION("""COMPUTED_VALUE"""),"Traverse City")</f>
        <v>Traverse City</v>
      </c>
      <c r="D8649" s="120" t="str">
        <f>IFERROR(__xludf.DUMMYFUNCTION("""COMPUTED_VALUE"""),"United States")</f>
        <v>United States</v>
      </c>
      <c r="E8649" s="135"/>
      <c r="F8649" s="31"/>
    </row>
    <row r="8650">
      <c r="A8650" s="134" t="str">
        <f>IFERROR(__xludf.DUMMYFUNCTION("""COMPUTED_VALUE"""),"Treasure Cay")</f>
        <v>Treasure Cay</v>
      </c>
      <c r="B8650" s="120" t="str">
        <f>IFERROR(__xludf.DUMMYFUNCTION("""COMPUTED_VALUE"""),"TCB")</f>
        <v>TCB</v>
      </c>
      <c r="C8650" s="120" t="str">
        <f>IFERROR(__xludf.DUMMYFUNCTION("""COMPUTED_VALUE"""),"Treasure Cay")</f>
        <v>Treasure Cay</v>
      </c>
      <c r="D8650" s="120" t="str">
        <f>IFERROR(__xludf.DUMMYFUNCTION("""COMPUTED_VALUE"""),"Bahamas")</f>
        <v>Bahamas</v>
      </c>
      <c r="E8650" s="135"/>
      <c r="F8650" s="31"/>
    </row>
    <row r="8651">
      <c r="A8651" s="134" t="str">
        <f>IFERROR(__xludf.DUMMYFUNCTION("""COMPUTED_VALUE"""),"Tree Point")</f>
        <v>Tree Point</v>
      </c>
      <c r="B8651" s="120" t="str">
        <f>IFERROR(__xludf.DUMMYFUNCTION("""COMPUTED_VALUE"""),"TRP")</f>
        <v>TRP</v>
      </c>
      <c r="C8651" s="120" t="str">
        <f>IFERROR(__xludf.DUMMYFUNCTION("""COMPUTED_VALUE"""),"Coast Guard Heliport")</f>
        <v>Coast Guard Heliport</v>
      </c>
      <c r="D8651" s="120" t="str">
        <f>IFERROR(__xludf.DUMMYFUNCTION("""COMPUTED_VALUE"""),"United States")</f>
        <v>United States</v>
      </c>
      <c r="E8651" s="135"/>
      <c r="F8651" s="31"/>
    </row>
    <row r="8652">
      <c r="A8652" s="134" t="str">
        <f>IFERROR(__xludf.DUMMYFUNCTION("""COMPUTED_VALUE"""),"Treinta-y-Tres")</f>
        <v>Treinta-y-Tres</v>
      </c>
      <c r="B8652" s="120" t="str">
        <f>IFERROR(__xludf.DUMMYFUNCTION("""COMPUTED_VALUE"""),"TYT")</f>
        <v>TYT</v>
      </c>
      <c r="C8652" s="120" t="str">
        <f>IFERROR(__xludf.DUMMYFUNCTION("""COMPUTED_VALUE"""),"Treinta-y-Tres")</f>
        <v>Treinta-y-Tres</v>
      </c>
      <c r="D8652" s="120" t="str">
        <f>IFERROR(__xludf.DUMMYFUNCTION("""COMPUTED_VALUE"""),"Uruguay")</f>
        <v>Uruguay</v>
      </c>
      <c r="E8652" s="135"/>
      <c r="F8652" s="31"/>
    </row>
    <row r="8653">
      <c r="A8653" s="134" t="str">
        <f>IFERROR(__xludf.DUMMYFUNCTION("""COMPUTED_VALUE"""),"Trelew")</f>
        <v>Trelew</v>
      </c>
      <c r="B8653" s="120" t="str">
        <f>IFERROR(__xludf.DUMMYFUNCTION("""COMPUTED_VALUE"""),"REL")</f>
        <v>REL</v>
      </c>
      <c r="C8653" s="120" t="str">
        <f>IFERROR(__xludf.DUMMYFUNCTION("""COMPUTED_VALUE"""),"Trelew")</f>
        <v>Trelew</v>
      </c>
      <c r="D8653" s="120" t="str">
        <f>IFERROR(__xludf.DUMMYFUNCTION("""COMPUTED_VALUE"""),"Argentina")</f>
        <v>Argentina</v>
      </c>
      <c r="E8653" s="135"/>
      <c r="F8653" s="31"/>
    </row>
    <row r="8654">
      <c r="A8654" s="134" t="str">
        <f>IFERROR(__xludf.DUMMYFUNCTION("""COMPUTED_VALUE"""),"Tremonton")</f>
        <v>Tremonton</v>
      </c>
      <c r="B8654" s="120" t="str">
        <f>IFERROR(__xludf.DUMMYFUNCTION("""COMPUTED_VALUE"""),"TRT")</f>
        <v>TRT</v>
      </c>
      <c r="C8654" s="120" t="str">
        <f>IFERROR(__xludf.DUMMYFUNCTION("""COMPUTED_VALUE"""),"Tremonton")</f>
        <v>Tremonton</v>
      </c>
      <c r="D8654" s="120" t="str">
        <f>IFERROR(__xludf.DUMMYFUNCTION("""COMPUTED_VALUE"""),"United States")</f>
        <v>United States</v>
      </c>
      <c r="E8654" s="135"/>
      <c r="F8654" s="31"/>
    </row>
    <row r="8655">
      <c r="A8655" s="134" t="str">
        <f>IFERROR(__xludf.DUMMYFUNCTION("""COMPUTED_VALUE"""),"Trenton")</f>
        <v>Trenton</v>
      </c>
      <c r="B8655" s="120" t="str">
        <f>IFERROR(__xludf.DUMMYFUNCTION("""COMPUTED_VALUE"""),"TRX")</f>
        <v>TRX</v>
      </c>
      <c r="C8655" s="120" t="str">
        <f>IFERROR(__xludf.DUMMYFUNCTION("""COMPUTED_VALUE"""),"Memorial")</f>
        <v>Memorial</v>
      </c>
      <c r="D8655" s="120" t="str">
        <f>IFERROR(__xludf.DUMMYFUNCTION("""COMPUTED_VALUE"""),"United States")</f>
        <v>United States</v>
      </c>
      <c r="E8655" s="135"/>
      <c r="F8655" s="31"/>
    </row>
    <row r="8656">
      <c r="A8656" s="134" t="str">
        <f>IFERROR(__xludf.DUMMYFUNCTION("""COMPUTED_VALUE"""),"Trenton")</f>
        <v>Trenton</v>
      </c>
      <c r="B8656" s="120" t="str">
        <f>IFERROR(__xludf.DUMMYFUNCTION("""COMPUTED_VALUE"""),"YTR")</f>
        <v>YTR</v>
      </c>
      <c r="C8656" s="120" t="str">
        <f>IFERROR(__xludf.DUMMYFUNCTION("""COMPUTED_VALUE"""),"Trenton")</f>
        <v>Trenton</v>
      </c>
      <c r="D8656" s="120" t="str">
        <f>IFERROR(__xludf.DUMMYFUNCTION("""COMPUTED_VALUE"""),"Canada")</f>
        <v>Canada</v>
      </c>
      <c r="E8656" s="135"/>
      <c r="F8656" s="31"/>
    </row>
    <row r="8657">
      <c r="A8657" s="134" t="str">
        <f>IFERROR(__xludf.DUMMYFUNCTION("""COMPUTED_VALUE"""),"Tres Arroyos")</f>
        <v>Tres Arroyos</v>
      </c>
      <c r="B8657" s="120" t="str">
        <f>IFERROR(__xludf.DUMMYFUNCTION("""COMPUTED_VALUE"""),"OYO")</f>
        <v>OYO</v>
      </c>
      <c r="C8657" s="120" t="str">
        <f>IFERROR(__xludf.DUMMYFUNCTION("""COMPUTED_VALUE"""),"Tres Arroyos")</f>
        <v>Tres Arroyos</v>
      </c>
      <c r="D8657" s="120" t="str">
        <f>IFERROR(__xludf.DUMMYFUNCTION("""COMPUTED_VALUE"""),"Argentina")</f>
        <v>Argentina</v>
      </c>
      <c r="E8657" s="135"/>
      <c r="F8657" s="31"/>
    </row>
    <row r="8658">
      <c r="A8658" s="134" t="str">
        <f>IFERROR(__xludf.DUMMYFUNCTION("""COMPUTED_VALUE"""),"Tres Esquinas")</f>
        <v>Tres Esquinas</v>
      </c>
      <c r="B8658" s="120" t="str">
        <f>IFERROR(__xludf.DUMMYFUNCTION("""COMPUTED_VALUE"""),"TQS")</f>
        <v>TQS</v>
      </c>
      <c r="C8658" s="120" t="str">
        <f>IFERROR(__xludf.DUMMYFUNCTION("""COMPUTED_VALUE"""),"Tres Esquinas")</f>
        <v>Tres Esquinas</v>
      </c>
      <c r="D8658" s="120" t="str">
        <f>IFERROR(__xludf.DUMMYFUNCTION("""COMPUTED_VALUE"""),"Colombia")</f>
        <v>Colombia</v>
      </c>
      <c r="E8658" s="135"/>
      <c r="F8658" s="31"/>
    </row>
    <row r="8659">
      <c r="A8659" s="134" t="str">
        <f>IFERROR(__xludf.DUMMYFUNCTION("""COMPUTED_VALUE"""),"Trieste")</f>
        <v>Trieste</v>
      </c>
      <c r="B8659" s="120" t="str">
        <f>IFERROR(__xludf.DUMMYFUNCTION("""COMPUTED_VALUE"""),"TRS")</f>
        <v>TRS</v>
      </c>
      <c r="C8659" s="120" t="str">
        <f>IFERROR(__xludf.DUMMYFUNCTION("""COMPUTED_VALUE"""),"Ronchi Dei Legionari")</f>
        <v>Ronchi Dei Legionari</v>
      </c>
      <c r="D8659" s="120" t="str">
        <f>IFERROR(__xludf.DUMMYFUNCTION("""COMPUTED_VALUE"""),"Italy")</f>
        <v>Italy</v>
      </c>
      <c r="E8659" s="135"/>
      <c r="F8659" s="31"/>
    </row>
    <row r="8660">
      <c r="A8660" s="134" t="str">
        <f>IFERROR(__xludf.DUMMYFUNCTION("""COMPUTED_VALUE"""),"Trincomalee")</f>
        <v>Trincomalee</v>
      </c>
      <c r="B8660" s="120" t="str">
        <f>IFERROR(__xludf.DUMMYFUNCTION("""COMPUTED_VALUE"""),"TRR")</f>
        <v>TRR</v>
      </c>
      <c r="C8660" s="120" t="str">
        <f>IFERROR(__xludf.DUMMYFUNCTION("""COMPUTED_VALUE"""),"China Bay")</f>
        <v>China Bay</v>
      </c>
      <c r="D8660" s="120" t="str">
        <f>IFERROR(__xludf.DUMMYFUNCTION("""COMPUTED_VALUE"""),"Sri Lanka")</f>
        <v>Sri Lanka</v>
      </c>
      <c r="E8660" s="135"/>
      <c r="F8660" s="31"/>
    </row>
    <row r="8661">
      <c r="A8661" s="134" t="str">
        <f>IFERROR(__xludf.DUMMYFUNCTION("""COMPUTED_VALUE"""),"Trinidad")</f>
        <v>Trinidad</v>
      </c>
      <c r="B8661" s="120" t="str">
        <f>IFERROR(__xludf.DUMMYFUNCTION("""COMPUTED_VALUE"""),"TDD")</f>
        <v>TDD</v>
      </c>
      <c r="C8661" s="120" t="str">
        <f>IFERROR(__xludf.DUMMYFUNCTION("""COMPUTED_VALUE"""),"Trinidad")</f>
        <v>Trinidad</v>
      </c>
      <c r="D8661" s="120" t="str">
        <f>IFERROR(__xludf.DUMMYFUNCTION("""COMPUTED_VALUE"""),"Bolivia")</f>
        <v>Bolivia</v>
      </c>
      <c r="E8661" s="135"/>
      <c r="F8661" s="31"/>
    </row>
    <row r="8662">
      <c r="A8662" s="134" t="str">
        <f>IFERROR(__xludf.DUMMYFUNCTION("""COMPUTED_VALUE"""),"Trinidad")</f>
        <v>Trinidad</v>
      </c>
      <c r="B8662" s="120" t="str">
        <f>IFERROR(__xludf.DUMMYFUNCTION("""COMPUTED_VALUE"""),"TDA")</f>
        <v>TDA</v>
      </c>
      <c r="C8662" s="120" t="str">
        <f>IFERROR(__xludf.DUMMYFUNCTION("""COMPUTED_VALUE"""),"Trinidad")</f>
        <v>Trinidad</v>
      </c>
      <c r="D8662" s="120" t="str">
        <f>IFERROR(__xludf.DUMMYFUNCTION("""COMPUTED_VALUE"""),"Colombia")</f>
        <v>Colombia</v>
      </c>
      <c r="E8662" s="135"/>
      <c r="F8662" s="31"/>
    </row>
    <row r="8663">
      <c r="A8663" s="134" t="str">
        <f>IFERROR(__xludf.DUMMYFUNCTION("""COMPUTED_VALUE"""),"Trinidad")</f>
        <v>Trinidad</v>
      </c>
      <c r="B8663" s="120" t="str">
        <f>IFERROR(__xludf.DUMMYFUNCTION("""COMPUTED_VALUE"""),"TAD")</f>
        <v>TAD</v>
      </c>
      <c r="C8663" s="120" t="str">
        <f>IFERROR(__xludf.DUMMYFUNCTION("""COMPUTED_VALUE"""),"Las Animas")</f>
        <v>Las Animas</v>
      </c>
      <c r="D8663" s="120" t="str">
        <f>IFERROR(__xludf.DUMMYFUNCTION("""COMPUTED_VALUE"""),"United States")</f>
        <v>United States</v>
      </c>
      <c r="E8663" s="135"/>
      <c r="F8663" s="31"/>
    </row>
    <row r="8664">
      <c r="A8664" s="134" t="str">
        <f>IFERROR(__xludf.DUMMYFUNCTION("""COMPUTED_VALUE"""),"Trinidad")</f>
        <v>Trinidad</v>
      </c>
      <c r="B8664" s="120" t="str">
        <f>IFERROR(__xludf.DUMMYFUNCTION("""COMPUTED_VALUE"""),"TND")</f>
        <v>TND</v>
      </c>
      <c r="C8664" s="120" t="str">
        <f>IFERROR(__xludf.DUMMYFUNCTION("""COMPUTED_VALUE"""),"Trinidad")</f>
        <v>Trinidad</v>
      </c>
      <c r="D8664" s="120" t="str">
        <f>IFERROR(__xludf.DUMMYFUNCTION("""COMPUTED_VALUE"""),"Cuba")</f>
        <v>Cuba</v>
      </c>
      <c r="E8664" s="135"/>
      <c r="F8664" s="31"/>
    </row>
    <row r="8665">
      <c r="A8665" s="134" t="str">
        <f>IFERROR(__xludf.DUMMYFUNCTION("""COMPUTED_VALUE"""),"Trinidad")</f>
        <v>Trinidad</v>
      </c>
      <c r="B8665" s="120" t="str">
        <f>IFERROR(__xludf.DUMMYFUNCTION("""COMPUTED_VALUE"""),"POS")</f>
        <v>POS</v>
      </c>
      <c r="C8665" s="120" t="str">
        <f>IFERROR(__xludf.DUMMYFUNCTION("""COMPUTED_VALUE"""),"Trinidad")</f>
        <v>Trinidad</v>
      </c>
      <c r="D8665" s="120" t="str">
        <f>IFERROR(__xludf.DUMMYFUNCTION("""COMPUTED_VALUE"""),"Trinidad and Tobago")</f>
        <v>Trinidad and Tobago</v>
      </c>
      <c r="E8665" s="135"/>
      <c r="F8665" s="31"/>
    </row>
    <row r="8666">
      <c r="A8666" s="134" t="str">
        <f>IFERROR(__xludf.DUMMYFUNCTION("""COMPUTED_VALUE"""),"Triple Island")</f>
        <v>Triple Island</v>
      </c>
      <c r="B8666" s="120" t="str">
        <f>IFERROR(__xludf.DUMMYFUNCTION("""COMPUTED_VALUE"""),"YTI")</f>
        <v>YTI</v>
      </c>
      <c r="C8666" s="120" t="str">
        <f>IFERROR(__xludf.DUMMYFUNCTION("""COMPUTED_VALUE"""),"Triple Island")</f>
        <v>Triple Island</v>
      </c>
      <c r="D8666" s="120" t="str">
        <f>IFERROR(__xludf.DUMMYFUNCTION("""COMPUTED_VALUE"""),"Canada")</f>
        <v>Canada</v>
      </c>
      <c r="E8666" s="135"/>
      <c r="F8666" s="31"/>
    </row>
    <row r="8667">
      <c r="A8667" s="134" t="str">
        <f>IFERROR(__xludf.DUMMYFUNCTION("""COMPUTED_VALUE"""),"Tripoli")</f>
        <v>Tripoli</v>
      </c>
      <c r="B8667" s="120" t="str">
        <f>IFERROR(__xludf.DUMMYFUNCTION("""COMPUTED_VALUE"""),"KYE")</f>
        <v>KYE</v>
      </c>
      <c r="C8667" s="120" t="str">
        <f>IFERROR(__xludf.DUMMYFUNCTION("""COMPUTED_VALUE"""),"Kleyate")</f>
        <v>Kleyate</v>
      </c>
      <c r="D8667" s="120" t="str">
        <f>IFERROR(__xludf.DUMMYFUNCTION("""COMPUTED_VALUE"""),"Lebanon")</f>
        <v>Lebanon</v>
      </c>
      <c r="E8667" s="135"/>
      <c r="F8667" s="31"/>
    </row>
    <row r="8668">
      <c r="A8668" s="134" t="str">
        <f>IFERROR(__xludf.DUMMYFUNCTION("""COMPUTED_VALUE"""),"Tripoli")</f>
        <v>Tripoli</v>
      </c>
      <c r="B8668" s="120" t="str">
        <f>IFERROR(__xludf.DUMMYFUNCTION("""COMPUTED_VALUE"""),"TIP")</f>
        <v>TIP</v>
      </c>
      <c r="C8668" s="120" t="str">
        <f>IFERROR(__xludf.DUMMYFUNCTION("""COMPUTED_VALUE"""),"International")</f>
        <v>International</v>
      </c>
      <c r="D8668" s="120" t="str">
        <f>IFERROR(__xludf.DUMMYFUNCTION("""COMPUTED_VALUE"""),"Libya")</f>
        <v>Libya</v>
      </c>
      <c r="E8668" s="135"/>
      <c r="F8668" s="31"/>
    </row>
    <row r="8669">
      <c r="A8669" s="134" t="str">
        <f>IFERROR(__xludf.DUMMYFUNCTION("""COMPUTED_VALUE"""),"Trois-Rivieres")</f>
        <v>Trois-Rivieres</v>
      </c>
      <c r="B8669" s="120" t="str">
        <f>IFERROR(__xludf.DUMMYFUNCTION("""COMPUTED_VALUE"""),"YRQ")</f>
        <v>YRQ</v>
      </c>
      <c r="C8669" s="120" t="str">
        <f>IFERROR(__xludf.DUMMYFUNCTION("""COMPUTED_VALUE"""),"Trois-Rivieres")</f>
        <v>Trois-Rivieres</v>
      </c>
      <c r="D8669" s="120" t="str">
        <f>IFERROR(__xludf.DUMMYFUNCTION("""COMPUTED_VALUE"""),"Canada")</f>
        <v>Canada</v>
      </c>
      <c r="E8669" s="135"/>
      <c r="F8669" s="31"/>
    </row>
    <row r="8670">
      <c r="A8670" s="134" t="str">
        <f>IFERROR(__xludf.DUMMYFUNCTION("""COMPUTED_VALUE"""),"Trollhattan")</f>
        <v>Trollhattan</v>
      </c>
      <c r="B8670" s="120" t="str">
        <f>IFERROR(__xludf.DUMMYFUNCTION("""COMPUTED_VALUE"""),"THN")</f>
        <v>THN</v>
      </c>
      <c r="C8670" s="120" t="str">
        <f>IFERROR(__xludf.DUMMYFUNCTION("""COMPUTED_VALUE"""),"Trollhattan")</f>
        <v>Trollhattan</v>
      </c>
      <c r="D8670" s="120" t="str">
        <f>IFERROR(__xludf.DUMMYFUNCTION("""COMPUTED_VALUE"""),"Sweden")</f>
        <v>Sweden</v>
      </c>
      <c r="E8670" s="135"/>
      <c r="F8670" s="31"/>
    </row>
    <row r="8671">
      <c r="A8671" s="134" t="str">
        <f>IFERROR(__xludf.DUMMYFUNCTION("""COMPUTED_VALUE"""),"Trombetas")</f>
        <v>Trombetas</v>
      </c>
      <c r="B8671" s="120" t="str">
        <f>IFERROR(__xludf.DUMMYFUNCTION("""COMPUTED_VALUE"""),"TMT")</f>
        <v>TMT</v>
      </c>
      <c r="C8671" s="120" t="str">
        <f>IFERROR(__xludf.DUMMYFUNCTION("""COMPUTED_VALUE"""),"Trombetas")</f>
        <v>Trombetas</v>
      </c>
      <c r="D8671" s="120" t="str">
        <f>IFERROR(__xludf.DUMMYFUNCTION("""COMPUTED_VALUE"""),"Brazil")</f>
        <v>Brazil</v>
      </c>
      <c r="E8671" s="135"/>
      <c r="F8671" s="31"/>
    </row>
    <row r="8672">
      <c r="A8672" s="134" t="str">
        <f>IFERROR(__xludf.DUMMYFUNCTION("""COMPUTED_VALUE"""),"Tromso")</f>
        <v>Tromso</v>
      </c>
      <c r="B8672" s="120" t="str">
        <f>IFERROR(__xludf.DUMMYFUNCTION("""COMPUTED_VALUE"""),"TOS")</f>
        <v>TOS</v>
      </c>
      <c r="C8672" s="120" t="str">
        <f>IFERROR(__xludf.DUMMYFUNCTION("""COMPUTED_VALUE"""),"Tromso/langnes")</f>
        <v>Tromso/langnes</v>
      </c>
      <c r="D8672" s="120" t="str">
        <f>IFERROR(__xludf.DUMMYFUNCTION("""COMPUTED_VALUE"""),"Norway")</f>
        <v>Norway</v>
      </c>
      <c r="E8672" s="135"/>
      <c r="F8672" s="31"/>
    </row>
    <row r="8673">
      <c r="A8673" s="134" t="str">
        <f>IFERROR(__xludf.DUMMYFUNCTION("""COMPUTED_VALUE"""),"Trona")</f>
        <v>Trona</v>
      </c>
      <c r="B8673" s="120" t="str">
        <f>IFERROR(__xludf.DUMMYFUNCTION("""COMPUTED_VALUE"""),"TRH")</f>
        <v>TRH</v>
      </c>
      <c r="C8673" s="120" t="str">
        <f>IFERROR(__xludf.DUMMYFUNCTION("""COMPUTED_VALUE"""),"Trona")</f>
        <v>Trona</v>
      </c>
      <c r="D8673" s="120" t="str">
        <f>IFERROR(__xludf.DUMMYFUNCTION("""COMPUTED_VALUE"""),"United States")</f>
        <v>United States</v>
      </c>
      <c r="E8673" s="135"/>
      <c r="F8673" s="31"/>
    </row>
    <row r="8674">
      <c r="A8674" s="134" t="str">
        <f>IFERROR(__xludf.DUMMYFUNCTION("""COMPUTED_VALUE"""),"Trondheim")</f>
        <v>Trondheim</v>
      </c>
      <c r="B8674" s="120" t="str">
        <f>IFERROR(__xludf.DUMMYFUNCTION("""COMPUTED_VALUE"""),"TRD")</f>
        <v>TRD</v>
      </c>
      <c r="C8674" s="120" t="str">
        <f>IFERROR(__xludf.DUMMYFUNCTION("""COMPUTED_VALUE"""),"Vaernes")</f>
        <v>Vaernes</v>
      </c>
      <c r="D8674" s="120" t="str">
        <f>IFERROR(__xludf.DUMMYFUNCTION("""COMPUTED_VALUE"""),"Norway")</f>
        <v>Norway</v>
      </c>
      <c r="E8674" s="135"/>
      <c r="F8674" s="31"/>
    </row>
    <row r="8675">
      <c r="A8675" s="134" t="str">
        <f>IFERROR(__xludf.DUMMYFUNCTION("""COMPUTED_VALUE"""),"Troutdale")</f>
        <v>Troutdale</v>
      </c>
      <c r="B8675" s="120" t="str">
        <f>IFERROR(__xludf.DUMMYFUNCTION("""COMPUTED_VALUE"""),"TTD")</f>
        <v>TTD</v>
      </c>
      <c r="C8675" s="120" t="str">
        <f>IFERROR(__xludf.DUMMYFUNCTION("""COMPUTED_VALUE"""),"Troutdale")</f>
        <v>Troutdale</v>
      </c>
      <c r="D8675" s="120" t="str">
        <f>IFERROR(__xludf.DUMMYFUNCTION("""COMPUTED_VALUE"""),"United States")</f>
        <v>United States</v>
      </c>
      <c r="E8675" s="135"/>
      <c r="F8675" s="31"/>
    </row>
    <row r="8676">
      <c r="A8676" s="134" t="str">
        <f>IFERROR(__xludf.DUMMYFUNCTION("""COMPUTED_VALUE"""),"Troy")</f>
        <v>Troy</v>
      </c>
      <c r="B8676" s="120" t="str">
        <f>IFERROR(__xludf.DUMMYFUNCTION("""COMPUTED_VALUE"""),"TOI")</f>
        <v>TOI</v>
      </c>
      <c r="C8676" s="120" t="str">
        <f>IFERROR(__xludf.DUMMYFUNCTION("""COMPUTED_VALUE"""),"Municipal")</f>
        <v>Municipal</v>
      </c>
      <c r="D8676" s="120" t="str">
        <f>IFERROR(__xludf.DUMMYFUNCTION("""COMPUTED_VALUE"""),"United States")</f>
        <v>United States</v>
      </c>
      <c r="E8676" s="135"/>
      <c r="F8676" s="31"/>
    </row>
    <row r="8677">
      <c r="A8677" s="134" t="str">
        <f>IFERROR(__xludf.DUMMYFUNCTION("""COMPUTED_VALUE"""),"Truckee")</f>
        <v>Truckee</v>
      </c>
      <c r="B8677" s="120" t="str">
        <f>IFERROR(__xludf.DUMMYFUNCTION("""COMPUTED_VALUE"""),"TKF")</f>
        <v>TKF</v>
      </c>
      <c r="C8677" s="120" t="str">
        <f>IFERROR(__xludf.DUMMYFUNCTION("""COMPUTED_VALUE"""),"Truckee")</f>
        <v>Truckee</v>
      </c>
      <c r="D8677" s="120" t="str">
        <f>IFERROR(__xludf.DUMMYFUNCTION("""COMPUTED_VALUE"""),"United States")</f>
        <v>United States</v>
      </c>
      <c r="E8677" s="135"/>
      <c r="F8677" s="31"/>
    </row>
    <row r="8678">
      <c r="A8678" s="134" t="str">
        <f>IFERROR(__xludf.DUMMYFUNCTION("""COMPUTED_VALUE"""),"Trujillo")</f>
        <v>Trujillo</v>
      </c>
      <c r="B8678" s="120" t="str">
        <f>IFERROR(__xludf.DUMMYFUNCTION("""COMPUTED_VALUE"""),"TJI")</f>
        <v>TJI</v>
      </c>
      <c r="C8678" s="120" t="str">
        <f>IFERROR(__xludf.DUMMYFUNCTION("""COMPUTED_VALUE"""),"Capiro")</f>
        <v>Capiro</v>
      </c>
      <c r="D8678" s="120" t="str">
        <f>IFERROR(__xludf.DUMMYFUNCTION("""COMPUTED_VALUE"""),"Honduras")</f>
        <v>Honduras</v>
      </c>
      <c r="E8678" s="135"/>
      <c r="F8678" s="31"/>
    </row>
    <row r="8679">
      <c r="A8679" s="134" t="str">
        <f>IFERROR(__xludf.DUMMYFUNCTION("""COMPUTED_VALUE"""),"Trujillo")</f>
        <v>Trujillo</v>
      </c>
      <c r="B8679" s="120" t="str">
        <f>IFERROR(__xludf.DUMMYFUNCTION("""COMPUTED_VALUE"""),"TRU")</f>
        <v>TRU</v>
      </c>
      <c r="C8679" s="120" t="str">
        <f>IFERROR(__xludf.DUMMYFUNCTION("""COMPUTED_VALUE"""),"Trujillo")</f>
        <v>Trujillo</v>
      </c>
      <c r="D8679" s="120" t="str">
        <f>IFERROR(__xludf.DUMMYFUNCTION("""COMPUTED_VALUE"""),"Peru")</f>
        <v>Peru</v>
      </c>
      <c r="E8679" s="135"/>
      <c r="F8679" s="31"/>
    </row>
    <row r="8680">
      <c r="A8680" s="134" t="str">
        <f>IFERROR(__xludf.DUMMYFUNCTION("""COMPUTED_VALUE"""),"Truk")</f>
        <v>Truk</v>
      </c>
      <c r="B8680" s="120" t="str">
        <f>IFERROR(__xludf.DUMMYFUNCTION("""COMPUTED_VALUE"""),"TKK")</f>
        <v>TKK</v>
      </c>
      <c r="C8680" s="120" t="str">
        <f>IFERROR(__xludf.DUMMYFUNCTION("""COMPUTED_VALUE"""),"Truk")</f>
        <v>Truk</v>
      </c>
      <c r="D8680" s="120" t="str">
        <f>IFERROR(__xludf.DUMMYFUNCTION("""COMPUTED_VALUE"""),"Micronesia")</f>
        <v>Micronesia</v>
      </c>
      <c r="E8680" s="135"/>
      <c r="F8680" s="31"/>
    </row>
    <row r="8681">
      <c r="A8681" s="134" t="str">
        <f>IFERROR(__xludf.DUMMYFUNCTION("""COMPUTED_VALUE"""),"Truth Or Consequences")</f>
        <v>Truth Or Consequences</v>
      </c>
      <c r="B8681" s="120" t="str">
        <f>IFERROR(__xludf.DUMMYFUNCTION("""COMPUTED_VALUE"""),"TCS")</f>
        <v>TCS</v>
      </c>
      <c r="C8681" s="120" t="str">
        <f>IFERROR(__xludf.DUMMYFUNCTION("""COMPUTED_VALUE"""),"Municipal")</f>
        <v>Municipal</v>
      </c>
      <c r="D8681" s="120" t="str">
        <f>IFERROR(__xludf.DUMMYFUNCTION("""COMPUTED_VALUE"""),"United States")</f>
        <v>United States</v>
      </c>
      <c r="E8681" s="135"/>
      <c r="F8681" s="31"/>
    </row>
    <row r="8682">
      <c r="A8682" s="134" t="str">
        <f>IFERROR(__xludf.DUMMYFUNCTION("""COMPUTED_VALUE"""),"Tsabong")</f>
        <v>Tsabong</v>
      </c>
      <c r="B8682" s="120" t="str">
        <f>IFERROR(__xludf.DUMMYFUNCTION("""COMPUTED_VALUE"""),"TBY")</f>
        <v>TBY</v>
      </c>
      <c r="C8682" s="120" t="str">
        <f>IFERROR(__xludf.DUMMYFUNCTION("""COMPUTED_VALUE"""),"Tsabong")</f>
        <v>Tsabong</v>
      </c>
      <c r="D8682" s="120" t="str">
        <f>IFERROR(__xludf.DUMMYFUNCTION("""COMPUTED_VALUE"""),"Botswana")</f>
        <v>Botswana</v>
      </c>
      <c r="E8682" s="135"/>
      <c r="F8682" s="31"/>
    </row>
    <row r="8683">
      <c r="A8683" s="134" t="str">
        <f>IFERROR(__xludf.DUMMYFUNCTION("""COMPUTED_VALUE"""),"Tsaratanana")</f>
        <v>Tsaratanana</v>
      </c>
      <c r="B8683" s="120" t="str">
        <f>IFERROR(__xludf.DUMMYFUNCTION("""COMPUTED_VALUE"""),"TTS")</f>
        <v>TTS</v>
      </c>
      <c r="C8683" s="120" t="str">
        <f>IFERROR(__xludf.DUMMYFUNCTION("""COMPUTED_VALUE"""),"Tsaratanana")</f>
        <v>Tsaratanana</v>
      </c>
      <c r="D8683" s="120" t="str">
        <f>IFERROR(__xludf.DUMMYFUNCTION("""COMPUTED_VALUE"""),"Madagascar")</f>
        <v>Madagascar</v>
      </c>
      <c r="E8683" s="135"/>
      <c r="F8683" s="31"/>
    </row>
    <row r="8684">
      <c r="A8684" s="134" t="str">
        <f>IFERROR(__xludf.DUMMYFUNCTION("""COMPUTED_VALUE"""),"Tsetserleg")</f>
        <v>Tsetserleg</v>
      </c>
      <c r="B8684" s="120" t="str">
        <f>IFERROR(__xludf.DUMMYFUNCTION("""COMPUTED_VALUE"""),"TSZ")</f>
        <v>TSZ</v>
      </c>
      <c r="C8684" s="120" t="str">
        <f>IFERROR(__xludf.DUMMYFUNCTION("""COMPUTED_VALUE"""),"Tsetserleg")</f>
        <v>Tsetserleg</v>
      </c>
      <c r="D8684" s="120" t="str">
        <f>IFERROR(__xludf.DUMMYFUNCTION("""COMPUTED_VALUE"""),"Mongolia")</f>
        <v>Mongolia</v>
      </c>
      <c r="E8684" s="135"/>
      <c r="F8684" s="31"/>
    </row>
    <row r="8685">
      <c r="A8685" s="134" t="str">
        <f>IFERROR(__xludf.DUMMYFUNCTION("""COMPUTED_VALUE"""),"Tsewi")</f>
        <v>Tsewi</v>
      </c>
      <c r="B8685" s="120" t="str">
        <f>IFERROR(__xludf.DUMMYFUNCTION("""COMPUTED_VALUE"""),"TSW")</f>
        <v>TSW</v>
      </c>
      <c r="C8685" s="120" t="str">
        <f>IFERROR(__xludf.DUMMYFUNCTION("""COMPUTED_VALUE"""),"Tsewi")</f>
        <v>Tsewi</v>
      </c>
      <c r="D8685" s="120" t="str">
        <f>IFERROR(__xludf.DUMMYFUNCTION("""COMPUTED_VALUE"""),"Papua New Guinea")</f>
        <v>Papua New Guinea</v>
      </c>
      <c r="E8685" s="135"/>
      <c r="F8685" s="31"/>
    </row>
    <row r="8686">
      <c r="A8686" s="134" t="str">
        <f>IFERROR(__xludf.DUMMYFUNCTION("""COMPUTED_VALUE"""),"Tshikapa")</f>
        <v>Tshikapa</v>
      </c>
      <c r="B8686" s="120" t="str">
        <f>IFERROR(__xludf.DUMMYFUNCTION("""COMPUTED_VALUE"""),"TSH")</f>
        <v>TSH</v>
      </c>
      <c r="C8686" s="120" t="str">
        <f>IFERROR(__xludf.DUMMYFUNCTION("""COMPUTED_VALUE"""),"Tshikapa")</f>
        <v>Tshikapa</v>
      </c>
      <c r="D8686" s="120"/>
      <c r="E8686" s="135"/>
      <c r="F8686" s="31"/>
    </row>
    <row r="8687">
      <c r="A8687" s="134" t="str">
        <f>IFERROR(__xludf.DUMMYFUNCTION("""COMPUTED_VALUE"""),"Tshipise")</f>
        <v>Tshipise</v>
      </c>
      <c r="B8687" s="120" t="str">
        <f>IFERROR(__xludf.DUMMYFUNCTION("""COMPUTED_VALUE"""),"TSD")</f>
        <v>TSD</v>
      </c>
      <c r="C8687" s="120" t="str">
        <f>IFERROR(__xludf.DUMMYFUNCTION("""COMPUTED_VALUE"""),"Tshipise")</f>
        <v>Tshipise</v>
      </c>
      <c r="D8687" s="120" t="str">
        <f>IFERROR(__xludf.DUMMYFUNCTION("""COMPUTED_VALUE"""),"South Africa")</f>
        <v>South Africa</v>
      </c>
      <c r="E8687" s="135"/>
      <c r="F8687" s="31"/>
    </row>
    <row r="8688">
      <c r="A8688" s="134" t="str">
        <f>IFERROR(__xludf.DUMMYFUNCTION("""COMPUTED_VALUE"""),"Tsili Tsili")</f>
        <v>Tsili Tsili</v>
      </c>
      <c r="B8688" s="120" t="str">
        <f>IFERROR(__xludf.DUMMYFUNCTION("""COMPUTED_VALUE"""),"TSI")</f>
        <v>TSI</v>
      </c>
      <c r="C8688" s="120" t="str">
        <f>IFERROR(__xludf.DUMMYFUNCTION("""COMPUTED_VALUE"""),"Tsili Tsili")</f>
        <v>Tsili Tsili</v>
      </c>
      <c r="D8688" s="120" t="str">
        <f>IFERROR(__xludf.DUMMYFUNCTION("""COMPUTED_VALUE"""),"Papua New Guinea")</f>
        <v>Papua New Guinea</v>
      </c>
      <c r="E8688" s="135"/>
      <c r="F8688" s="31"/>
    </row>
    <row r="8689">
      <c r="A8689" s="134" t="str">
        <f>IFERROR(__xludf.DUMMYFUNCTION("""COMPUTED_VALUE"""),"Tsiroanomandidy")</f>
        <v>Tsiroanomandidy</v>
      </c>
      <c r="B8689" s="120" t="str">
        <f>IFERROR(__xludf.DUMMYFUNCTION("""COMPUTED_VALUE"""),"WTS")</f>
        <v>WTS</v>
      </c>
      <c r="C8689" s="120" t="str">
        <f>IFERROR(__xludf.DUMMYFUNCTION("""COMPUTED_VALUE"""),"Tsiroanomandidy")</f>
        <v>Tsiroanomandidy</v>
      </c>
      <c r="D8689" s="120" t="str">
        <f>IFERROR(__xludf.DUMMYFUNCTION("""COMPUTED_VALUE"""),"Madagascar")</f>
        <v>Madagascar</v>
      </c>
      <c r="E8689" s="135"/>
      <c r="F8689" s="31"/>
    </row>
    <row r="8690">
      <c r="A8690" s="134" t="str">
        <f>IFERROR(__xludf.DUMMYFUNCTION("""COMPUTED_VALUE"""),"Tsumeb")</f>
        <v>Tsumeb</v>
      </c>
      <c r="B8690" s="120" t="str">
        <f>IFERROR(__xludf.DUMMYFUNCTION("""COMPUTED_VALUE"""),"TSB")</f>
        <v>TSB</v>
      </c>
      <c r="C8690" s="120" t="str">
        <f>IFERROR(__xludf.DUMMYFUNCTION("""COMPUTED_VALUE"""),"Tsumeb")</f>
        <v>Tsumeb</v>
      </c>
      <c r="D8690" s="120" t="str">
        <f>IFERROR(__xludf.DUMMYFUNCTION("""COMPUTED_VALUE"""),"Namibia")</f>
        <v>Namibia</v>
      </c>
      <c r="E8690" s="135"/>
      <c r="F8690" s="31"/>
    </row>
    <row r="8691">
      <c r="A8691" s="134" t="str">
        <f>IFERROR(__xludf.DUMMYFUNCTION("""COMPUTED_VALUE"""),"Tsushima")</f>
        <v>Tsushima</v>
      </c>
      <c r="B8691" s="120" t="str">
        <f>IFERROR(__xludf.DUMMYFUNCTION("""COMPUTED_VALUE"""),"TSJ")</f>
        <v>TSJ</v>
      </c>
      <c r="C8691" s="120" t="str">
        <f>IFERROR(__xludf.DUMMYFUNCTION("""COMPUTED_VALUE"""),"Tsushima")</f>
        <v>Tsushima</v>
      </c>
      <c r="D8691" s="120" t="str">
        <f>IFERROR(__xludf.DUMMYFUNCTION("""COMPUTED_VALUE"""),"Japan")</f>
        <v>Japan</v>
      </c>
      <c r="E8691" s="135"/>
      <c r="F8691" s="31"/>
    </row>
    <row r="8692">
      <c r="A8692" s="134" t="str">
        <f>IFERROR(__xludf.DUMMYFUNCTION("""COMPUTED_VALUE"""),"Tuba City")</f>
        <v>Tuba City</v>
      </c>
      <c r="B8692" s="120" t="str">
        <f>IFERROR(__xludf.DUMMYFUNCTION("""COMPUTED_VALUE"""),"TBC")</f>
        <v>TBC</v>
      </c>
      <c r="C8692" s="120" t="str">
        <f>IFERROR(__xludf.DUMMYFUNCTION("""COMPUTED_VALUE"""),"Tuba City")</f>
        <v>Tuba City</v>
      </c>
      <c r="D8692" s="120" t="str">
        <f>IFERROR(__xludf.DUMMYFUNCTION("""COMPUTED_VALUE"""),"United States")</f>
        <v>United States</v>
      </c>
      <c r="E8692" s="135"/>
      <c r="F8692" s="31"/>
    </row>
    <row r="8693">
      <c r="A8693" s="134" t="str">
        <f>IFERROR(__xludf.DUMMYFUNCTION("""COMPUTED_VALUE"""),"Tubala")</f>
        <v>Tubala</v>
      </c>
      <c r="B8693" s="120" t="str">
        <f>IFERROR(__xludf.DUMMYFUNCTION("""COMPUTED_VALUE"""),"TUW")</f>
        <v>TUW</v>
      </c>
      <c r="C8693" s="120" t="str">
        <f>IFERROR(__xludf.DUMMYFUNCTION("""COMPUTED_VALUE"""),"Tubala")</f>
        <v>Tubala</v>
      </c>
      <c r="D8693" s="120" t="str">
        <f>IFERROR(__xludf.DUMMYFUNCTION("""COMPUTED_VALUE"""),"Panama")</f>
        <v>Panama</v>
      </c>
      <c r="E8693" s="135"/>
      <c r="F8693" s="31"/>
    </row>
    <row r="8694">
      <c r="A8694" s="134" t="str">
        <f>IFERROR(__xludf.DUMMYFUNCTION("""COMPUTED_VALUE"""),"Tubuai")</f>
        <v>Tubuai</v>
      </c>
      <c r="B8694" s="120" t="str">
        <f>IFERROR(__xludf.DUMMYFUNCTION("""COMPUTED_VALUE"""),"TUB")</f>
        <v>TUB</v>
      </c>
      <c r="C8694" s="120" t="str">
        <f>IFERROR(__xludf.DUMMYFUNCTION("""COMPUTED_VALUE"""),"Tubuai")</f>
        <v>Tubuai</v>
      </c>
      <c r="D8694" s="120" t="str">
        <f>IFERROR(__xludf.DUMMYFUNCTION("""COMPUTED_VALUE"""),"French Polynesia")</f>
        <v>French Polynesia</v>
      </c>
      <c r="E8694" s="135"/>
      <c r="F8694" s="31"/>
    </row>
    <row r="8695">
      <c r="A8695" s="134" t="str">
        <f>IFERROR(__xludf.DUMMYFUNCTION("""COMPUTED_VALUE"""),"Tucson")</f>
        <v>Tucson</v>
      </c>
      <c r="B8695" s="120" t="str">
        <f>IFERROR(__xludf.DUMMYFUNCTION("""COMPUTED_VALUE"""),"AVW")</f>
        <v>AVW</v>
      </c>
      <c r="C8695" s="120" t="str">
        <f>IFERROR(__xludf.DUMMYFUNCTION("""COMPUTED_VALUE"""),"Avra Valley")</f>
        <v>Avra Valley</v>
      </c>
      <c r="D8695" s="120" t="str">
        <f>IFERROR(__xludf.DUMMYFUNCTION("""COMPUTED_VALUE"""),"United States")</f>
        <v>United States</v>
      </c>
      <c r="E8695" s="135"/>
      <c r="F8695" s="31"/>
    </row>
    <row r="8696">
      <c r="A8696" s="134" t="str">
        <f>IFERROR(__xludf.DUMMYFUNCTION("""COMPUTED_VALUE"""),"Tucson")</f>
        <v>Tucson</v>
      </c>
      <c r="B8696" s="120" t="str">
        <f>IFERROR(__xludf.DUMMYFUNCTION("""COMPUTED_VALUE"""),"DMA")</f>
        <v>DMA</v>
      </c>
      <c r="C8696" s="120" t="str">
        <f>IFERROR(__xludf.DUMMYFUNCTION("""COMPUTED_VALUE"""),"Davis Monthan AFB")</f>
        <v>Davis Monthan AFB</v>
      </c>
      <c r="D8696" s="120" t="str">
        <f>IFERROR(__xludf.DUMMYFUNCTION("""COMPUTED_VALUE"""),"United States")</f>
        <v>United States</v>
      </c>
      <c r="E8696" s="135"/>
      <c r="F8696" s="31"/>
    </row>
    <row r="8697">
      <c r="A8697" s="134" t="str">
        <f>IFERROR(__xludf.DUMMYFUNCTION("""COMPUTED_VALUE"""),"Tucson")</f>
        <v>Tucson</v>
      </c>
      <c r="B8697" s="120" t="str">
        <f>IFERROR(__xludf.DUMMYFUNCTION("""COMPUTED_VALUE"""),"TUS")</f>
        <v>TUS</v>
      </c>
      <c r="C8697" s="120" t="str">
        <f>IFERROR(__xludf.DUMMYFUNCTION("""COMPUTED_VALUE"""),"International")</f>
        <v>International</v>
      </c>
      <c r="D8697" s="120" t="str">
        <f>IFERROR(__xludf.DUMMYFUNCTION("""COMPUTED_VALUE"""),"United States")</f>
        <v>United States</v>
      </c>
      <c r="E8697" s="135"/>
      <c r="F8697" s="31"/>
    </row>
    <row r="8698">
      <c r="A8698" s="134" t="str">
        <f>IFERROR(__xludf.DUMMYFUNCTION("""COMPUTED_VALUE"""),"Tucuma")</f>
        <v>Tucuma</v>
      </c>
      <c r="B8698" s="120" t="str">
        <f>IFERROR(__xludf.DUMMYFUNCTION("""COMPUTED_VALUE"""),"TUZ")</f>
        <v>TUZ</v>
      </c>
      <c r="C8698" s="120" t="str">
        <f>IFERROR(__xludf.DUMMYFUNCTION("""COMPUTED_VALUE"""),"Tucuma")</f>
        <v>Tucuma</v>
      </c>
      <c r="D8698" s="120" t="str">
        <f>IFERROR(__xludf.DUMMYFUNCTION("""COMPUTED_VALUE"""),"Brazil")</f>
        <v>Brazil</v>
      </c>
      <c r="E8698" s="135"/>
      <c r="F8698" s="31"/>
    </row>
    <row r="8699">
      <c r="A8699" s="134" t="str">
        <f>IFERROR(__xludf.DUMMYFUNCTION("""COMPUTED_VALUE"""),"Tucuman")</f>
        <v>Tucuman</v>
      </c>
      <c r="B8699" s="120" t="str">
        <f>IFERROR(__xludf.DUMMYFUNCTION("""COMPUTED_VALUE"""),"TUC")</f>
        <v>TUC</v>
      </c>
      <c r="C8699" s="120" t="str">
        <f>IFERROR(__xludf.DUMMYFUNCTION("""COMPUTED_VALUE"""),"Benj Matienzo")</f>
        <v>Benj Matienzo</v>
      </c>
      <c r="D8699" s="120" t="str">
        <f>IFERROR(__xludf.DUMMYFUNCTION("""COMPUTED_VALUE"""),"Argentina")</f>
        <v>Argentina</v>
      </c>
      <c r="E8699" s="135"/>
      <c r="F8699" s="31"/>
    </row>
    <row r="8700">
      <c r="A8700" s="134" t="str">
        <f>IFERROR(__xludf.DUMMYFUNCTION("""COMPUTED_VALUE"""),"Tucumcari")</f>
        <v>Tucumcari</v>
      </c>
      <c r="B8700" s="120" t="str">
        <f>IFERROR(__xludf.DUMMYFUNCTION("""COMPUTED_VALUE"""),"TCC")</f>
        <v>TCC</v>
      </c>
      <c r="C8700" s="120" t="str">
        <f>IFERROR(__xludf.DUMMYFUNCTION("""COMPUTED_VALUE"""),"Tucumcari")</f>
        <v>Tucumcari</v>
      </c>
      <c r="D8700" s="120" t="str">
        <f>IFERROR(__xludf.DUMMYFUNCTION("""COMPUTED_VALUE"""),"United States")</f>
        <v>United States</v>
      </c>
      <c r="E8700" s="135"/>
      <c r="F8700" s="31"/>
    </row>
    <row r="8701">
      <c r="A8701" s="134" t="str">
        <f>IFERROR(__xludf.DUMMYFUNCTION("""COMPUTED_VALUE"""),"Tucupita")</f>
        <v>Tucupita</v>
      </c>
      <c r="B8701" s="120" t="str">
        <f>IFERROR(__xludf.DUMMYFUNCTION("""COMPUTED_VALUE"""),"TUV")</f>
        <v>TUV</v>
      </c>
      <c r="C8701" s="120" t="str">
        <f>IFERROR(__xludf.DUMMYFUNCTION("""COMPUTED_VALUE"""),"Tucupita")</f>
        <v>Tucupita</v>
      </c>
      <c r="D8701" s="120" t="str">
        <f>IFERROR(__xludf.DUMMYFUNCTION("""COMPUTED_VALUE"""),"Venezuela")</f>
        <v>Venezuela</v>
      </c>
      <c r="E8701" s="135"/>
      <c r="F8701" s="31"/>
    </row>
    <row r="8702">
      <c r="A8702" s="134" t="str">
        <f>IFERROR(__xludf.DUMMYFUNCTION("""COMPUTED_VALUE"""),"Tucurui")</f>
        <v>Tucurui</v>
      </c>
      <c r="B8702" s="120" t="str">
        <f>IFERROR(__xludf.DUMMYFUNCTION("""COMPUTED_VALUE"""),"TUR")</f>
        <v>TUR</v>
      </c>
      <c r="C8702" s="120" t="str">
        <f>IFERROR(__xludf.DUMMYFUNCTION("""COMPUTED_VALUE"""),"Tucurui")</f>
        <v>Tucurui</v>
      </c>
      <c r="D8702" s="120" t="str">
        <f>IFERROR(__xludf.DUMMYFUNCTION("""COMPUTED_VALUE"""),"Brazil")</f>
        <v>Brazil</v>
      </c>
      <c r="E8702" s="135"/>
      <c r="F8702" s="31"/>
    </row>
    <row r="8703">
      <c r="A8703" s="134" t="str">
        <f>IFERROR(__xludf.DUMMYFUNCTION("""COMPUTED_VALUE"""),"Tufi")</f>
        <v>Tufi</v>
      </c>
      <c r="B8703" s="120" t="str">
        <f>IFERROR(__xludf.DUMMYFUNCTION("""COMPUTED_VALUE"""),"TFI")</f>
        <v>TFI</v>
      </c>
      <c r="C8703" s="120" t="str">
        <f>IFERROR(__xludf.DUMMYFUNCTION("""COMPUTED_VALUE"""),"Tufi")</f>
        <v>Tufi</v>
      </c>
      <c r="D8703" s="120" t="str">
        <f>IFERROR(__xludf.DUMMYFUNCTION("""COMPUTED_VALUE"""),"Papua New Guinea")</f>
        <v>Papua New Guinea</v>
      </c>
      <c r="E8703" s="135"/>
      <c r="F8703" s="31"/>
    </row>
    <row r="8704">
      <c r="A8704" s="134" t="str">
        <f>IFERROR(__xludf.DUMMYFUNCTION("""COMPUTED_VALUE"""),"Tuguegarao")</f>
        <v>Tuguegarao</v>
      </c>
      <c r="B8704" s="120" t="str">
        <f>IFERROR(__xludf.DUMMYFUNCTION("""COMPUTED_VALUE"""),"TUG")</f>
        <v>TUG</v>
      </c>
      <c r="C8704" s="120" t="str">
        <f>IFERROR(__xludf.DUMMYFUNCTION("""COMPUTED_VALUE"""),"Tuguegarao")</f>
        <v>Tuguegarao</v>
      </c>
      <c r="D8704" s="120" t="str">
        <f>IFERROR(__xludf.DUMMYFUNCTION("""COMPUTED_VALUE"""),"Philippines")</f>
        <v>Philippines</v>
      </c>
      <c r="E8704" s="135"/>
      <c r="F8704" s="31"/>
    </row>
    <row r="8705">
      <c r="A8705" s="134" t="str">
        <f>IFERROR(__xludf.DUMMYFUNCTION("""COMPUTED_VALUE"""),"Tuktoyaktuk")</f>
        <v>Tuktoyaktuk</v>
      </c>
      <c r="B8705" s="120" t="str">
        <f>IFERROR(__xludf.DUMMYFUNCTION("""COMPUTED_VALUE"""),"YUB")</f>
        <v>YUB</v>
      </c>
      <c r="C8705" s="120" t="str">
        <f>IFERROR(__xludf.DUMMYFUNCTION("""COMPUTED_VALUE"""),"Tuktoyaktuk")</f>
        <v>Tuktoyaktuk</v>
      </c>
      <c r="D8705" s="120" t="str">
        <f>IFERROR(__xludf.DUMMYFUNCTION("""COMPUTED_VALUE"""),"Canada")</f>
        <v>Canada</v>
      </c>
      <c r="E8705" s="135"/>
      <c r="F8705" s="31"/>
    </row>
    <row r="8706">
      <c r="A8706" s="134" t="str">
        <f>IFERROR(__xludf.DUMMYFUNCTION("""COMPUTED_VALUE"""),"Tula")</f>
        <v>Tula</v>
      </c>
      <c r="B8706" s="120" t="str">
        <f>IFERROR(__xludf.DUMMYFUNCTION("""COMPUTED_VALUE"""),"TYA")</f>
        <v>TYA</v>
      </c>
      <c r="C8706" s="120" t="str">
        <f>IFERROR(__xludf.DUMMYFUNCTION("""COMPUTED_VALUE"""),"Tula")</f>
        <v>Tula</v>
      </c>
      <c r="D8706" s="120" t="str">
        <f>IFERROR(__xludf.DUMMYFUNCTION("""COMPUTED_VALUE"""),"Russia")</f>
        <v>Russia</v>
      </c>
      <c r="E8706" s="135"/>
      <c r="F8706" s="31"/>
    </row>
    <row r="8707">
      <c r="A8707" s="134" t="str">
        <f>IFERROR(__xludf.DUMMYFUNCTION("""COMPUTED_VALUE"""),"Tulagi Island")</f>
        <v>Tulagi Island</v>
      </c>
      <c r="B8707" s="120" t="str">
        <f>IFERROR(__xludf.DUMMYFUNCTION("""COMPUTED_VALUE"""),"TLG")</f>
        <v>TLG</v>
      </c>
      <c r="C8707" s="120" t="str">
        <f>IFERROR(__xludf.DUMMYFUNCTION("""COMPUTED_VALUE"""),"Tulagi Island")</f>
        <v>Tulagi Island</v>
      </c>
      <c r="D8707" s="120" t="str">
        <f>IFERROR(__xludf.DUMMYFUNCTION("""COMPUTED_VALUE"""),"Solomon Islands")</f>
        <v>Solomon Islands</v>
      </c>
      <c r="E8707" s="135"/>
      <c r="F8707" s="31"/>
    </row>
    <row r="8708">
      <c r="A8708" s="134" t="str">
        <f>IFERROR(__xludf.DUMMYFUNCTION("""COMPUTED_VALUE"""),"Tulare")</f>
        <v>Tulare</v>
      </c>
      <c r="B8708" s="120" t="str">
        <f>IFERROR(__xludf.DUMMYFUNCTION("""COMPUTED_VALUE"""),"TLR")</f>
        <v>TLR</v>
      </c>
      <c r="C8708" s="120" t="str">
        <f>IFERROR(__xludf.DUMMYFUNCTION("""COMPUTED_VALUE"""),"Tulare")</f>
        <v>Tulare</v>
      </c>
      <c r="D8708" s="120" t="str">
        <f>IFERROR(__xludf.DUMMYFUNCTION("""COMPUTED_VALUE"""),"United States")</f>
        <v>United States</v>
      </c>
      <c r="E8708" s="135"/>
      <c r="F8708" s="31"/>
    </row>
    <row r="8709">
      <c r="A8709" s="134" t="str">
        <f>IFERROR(__xludf.DUMMYFUNCTION("""COMPUTED_VALUE"""),"Tulcan")</f>
        <v>Tulcan</v>
      </c>
      <c r="B8709" s="120" t="str">
        <f>IFERROR(__xludf.DUMMYFUNCTION("""COMPUTED_VALUE"""),"TUA")</f>
        <v>TUA</v>
      </c>
      <c r="C8709" s="120" t="str">
        <f>IFERROR(__xludf.DUMMYFUNCTION("""COMPUTED_VALUE"""),"Tulcan")</f>
        <v>Tulcan</v>
      </c>
      <c r="D8709" s="120" t="str">
        <f>IFERROR(__xludf.DUMMYFUNCTION("""COMPUTED_VALUE"""),"Ecuador")</f>
        <v>Ecuador</v>
      </c>
      <c r="E8709" s="135"/>
      <c r="F8709" s="31"/>
    </row>
    <row r="8710">
      <c r="A8710" s="134" t="str">
        <f>IFERROR(__xludf.DUMMYFUNCTION("""COMPUTED_VALUE"""),"Tulcea")</f>
        <v>Tulcea</v>
      </c>
      <c r="B8710" s="120" t="str">
        <f>IFERROR(__xludf.DUMMYFUNCTION("""COMPUTED_VALUE"""),"TCE")</f>
        <v>TCE</v>
      </c>
      <c r="C8710" s="120" t="str">
        <f>IFERROR(__xludf.DUMMYFUNCTION("""COMPUTED_VALUE"""),"Tulcea")</f>
        <v>Tulcea</v>
      </c>
      <c r="D8710" s="120" t="str">
        <f>IFERROR(__xludf.DUMMYFUNCTION("""COMPUTED_VALUE"""),"Romania")</f>
        <v>Romania</v>
      </c>
      <c r="E8710" s="135"/>
      <c r="F8710" s="31"/>
    </row>
    <row r="8711">
      <c r="A8711" s="134" t="str">
        <f>IFERROR(__xludf.DUMMYFUNCTION("""COMPUTED_VALUE"""),"Tulear")</f>
        <v>Tulear</v>
      </c>
      <c r="B8711" s="120" t="str">
        <f>IFERROR(__xludf.DUMMYFUNCTION("""COMPUTED_VALUE"""),"TLE")</f>
        <v>TLE</v>
      </c>
      <c r="C8711" s="120" t="str">
        <f>IFERROR(__xludf.DUMMYFUNCTION("""COMPUTED_VALUE"""),"Tulear")</f>
        <v>Tulear</v>
      </c>
      <c r="D8711" s="120" t="str">
        <f>IFERROR(__xludf.DUMMYFUNCTION("""COMPUTED_VALUE"""),"Madagascar")</f>
        <v>Madagascar</v>
      </c>
      <c r="E8711" s="135"/>
      <c r="F8711" s="31"/>
    </row>
    <row r="8712">
      <c r="A8712" s="134" t="str">
        <f>IFERROR(__xludf.DUMMYFUNCTION("""COMPUTED_VALUE"""),"Tuli Block")</f>
        <v>Tuli Block</v>
      </c>
      <c r="B8712" s="120" t="str">
        <f>IFERROR(__xludf.DUMMYFUNCTION("""COMPUTED_VALUE"""),"TLD")</f>
        <v>TLD</v>
      </c>
      <c r="C8712" s="120" t="str">
        <f>IFERROR(__xludf.DUMMYFUNCTION("""COMPUTED_VALUE"""),"Limpopo Valley")</f>
        <v>Limpopo Valley</v>
      </c>
      <c r="D8712" s="120" t="str">
        <f>IFERROR(__xludf.DUMMYFUNCTION("""COMPUTED_VALUE"""),"Botswana")</f>
        <v>Botswana</v>
      </c>
      <c r="E8712" s="135"/>
      <c r="F8712" s="31"/>
    </row>
    <row r="8713">
      <c r="A8713" s="134" t="str">
        <f>IFERROR(__xludf.DUMMYFUNCTION("""COMPUTED_VALUE"""),"Tulita/Fort Norman")</f>
        <v>Tulita/Fort Norman</v>
      </c>
      <c r="B8713" s="120" t="str">
        <f>IFERROR(__xludf.DUMMYFUNCTION("""COMPUTED_VALUE"""),"ZFN")</f>
        <v>ZFN</v>
      </c>
      <c r="C8713" s="120" t="str">
        <f>IFERROR(__xludf.DUMMYFUNCTION("""COMPUTED_VALUE"""),"Tulita")</f>
        <v>Tulita</v>
      </c>
      <c r="D8713" s="120" t="str">
        <f>IFERROR(__xludf.DUMMYFUNCTION("""COMPUTED_VALUE"""),"Canada")</f>
        <v>Canada</v>
      </c>
      <c r="E8713" s="135"/>
      <c r="F8713" s="31"/>
    </row>
    <row r="8714">
      <c r="A8714" s="134" t="str">
        <f>IFERROR(__xludf.DUMMYFUNCTION("""COMPUTED_VALUE"""),"Tullahoma")</f>
        <v>Tullahoma</v>
      </c>
      <c r="B8714" s="120" t="str">
        <f>IFERROR(__xludf.DUMMYFUNCTION("""COMPUTED_VALUE"""),"TUH")</f>
        <v>TUH</v>
      </c>
      <c r="C8714" s="120" t="str">
        <f>IFERROR(__xludf.DUMMYFUNCTION("""COMPUTED_VALUE"""),"Arnold AFS")</f>
        <v>Arnold AFS</v>
      </c>
      <c r="D8714" s="120" t="str">
        <f>IFERROR(__xludf.DUMMYFUNCTION("""COMPUTED_VALUE"""),"United States")</f>
        <v>United States</v>
      </c>
      <c r="E8714" s="135"/>
      <c r="F8714" s="31"/>
    </row>
    <row r="8715">
      <c r="A8715" s="134" t="str">
        <f>IFERROR(__xludf.DUMMYFUNCTION("""COMPUTED_VALUE"""),"Tullahoma")</f>
        <v>Tullahoma</v>
      </c>
      <c r="B8715" s="120" t="str">
        <f>IFERROR(__xludf.DUMMYFUNCTION("""COMPUTED_VALUE"""),"THA")</f>
        <v>THA</v>
      </c>
      <c r="C8715" s="120" t="str">
        <f>IFERROR(__xludf.DUMMYFUNCTION("""COMPUTED_VALUE"""),"Northern")</f>
        <v>Northern</v>
      </c>
      <c r="D8715" s="120" t="str">
        <f>IFERROR(__xludf.DUMMYFUNCTION("""COMPUTED_VALUE"""),"United States")</f>
        <v>United States</v>
      </c>
      <c r="E8715" s="135"/>
      <c r="F8715" s="31"/>
    </row>
    <row r="8716">
      <c r="A8716" s="134" t="str">
        <f>IFERROR(__xludf.DUMMYFUNCTION("""COMPUTED_VALUE"""),"Tulsa")</f>
        <v>Tulsa</v>
      </c>
      <c r="B8716" s="120" t="str">
        <f>IFERROR(__xludf.DUMMYFUNCTION("""COMPUTED_VALUE"""),"TUL")</f>
        <v>TUL</v>
      </c>
      <c r="C8716" s="120" t="str">
        <f>IFERROR(__xludf.DUMMYFUNCTION("""COMPUTED_VALUE"""),"International")</f>
        <v>International</v>
      </c>
      <c r="D8716" s="120" t="str">
        <f>IFERROR(__xludf.DUMMYFUNCTION("""COMPUTED_VALUE"""),"United States")</f>
        <v>United States</v>
      </c>
      <c r="E8716" s="135"/>
      <c r="F8716" s="31"/>
    </row>
    <row r="8717">
      <c r="A8717" s="134" t="str">
        <f>IFERROR(__xludf.DUMMYFUNCTION("""COMPUTED_VALUE"""),"Tulsa")</f>
        <v>Tulsa</v>
      </c>
      <c r="B8717" s="120" t="str">
        <f>IFERROR(__xludf.DUMMYFUNCTION("""COMPUTED_VALUE"""),"RVS")</f>
        <v>RVS</v>
      </c>
      <c r="C8717" s="120" t="str">
        <f>IFERROR(__xludf.DUMMYFUNCTION("""COMPUTED_VALUE"""),"R.Lloyd Jones")</f>
        <v>R.Lloyd Jones</v>
      </c>
      <c r="D8717" s="120" t="str">
        <f>IFERROR(__xludf.DUMMYFUNCTION("""COMPUTED_VALUE"""),"United States")</f>
        <v>United States</v>
      </c>
      <c r="E8717" s="135"/>
      <c r="F8717" s="31"/>
    </row>
    <row r="8718">
      <c r="A8718" s="134" t="str">
        <f>IFERROR(__xludf.DUMMYFUNCTION("""COMPUTED_VALUE"""),"Tulua")</f>
        <v>Tulua</v>
      </c>
      <c r="B8718" s="120" t="str">
        <f>IFERROR(__xludf.DUMMYFUNCTION("""COMPUTED_VALUE"""),"ULQ")</f>
        <v>ULQ</v>
      </c>
      <c r="C8718" s="120" t="str">
        <f>IFERROR(__xludf.DUMMYFUNCTION("""COMPUTED_VALUE"""),"Farfan")</f>
        <v>Farfan</v>
      </c>
      <c r="D8718" s="120" t="str">
        <f>IFERROR(__xludf.DUMMYFUNCTION("""COMPUTED_VALUE"""),"Colombia")</f>
        <v>Colombia</v>
      </c>
      <c r="E8718" s="135"/>
      <c r="F8718" s="31"/>
    </row>
    <row r="8719">
      <c r="A8719" s="134" t="str">
        <f>IFERROR(__xludf.DUMMYFUNCTION("""COMPUTED_VALUE"""),"Tulugak")</f>
        <v>Tulugak</v>
      </c>
      <c r="B8719" s="120" t="str">
        <f>IFERROR(__xludf.DUMMYFUNCTION("""COMPUTED_VALUE"""),"YTK")</f>
        <v>YTK</v>
      </c>
      <c r="C8719" s="120" t="str">
        <f>IFERROR(__xludf.DUMMYFUNCTION("""COMPUTED_VALUE"""),"Tulugak")</f>
        <v>Tulugak</v>
      </c>
      <c r="D8719" s="120" t="str">
        <f>IFERROR(__xludf.DUMMYFUNCTION("""COMPUTED_VALUE"""),"Canada")</f>
        <v>Canada</v>
      </c>
      <c r="E8719" s="135"/>
      <c r="F8719" s="31"/>
    </row>
    <row r="8720">
      <c r="A8720" s="134" t="str">
        <f>IFERROR(__xludf.DUMMYFUNCTION("""COMPUTED_VALUE"""),"Tuluksak")</f>
        <v>Tuluksak</v>
      </c>
      <c r="B8720" s="120" t="str">
        <f>IFERROR(__xludf.DUMMYFUNCTION("""COMPUTED_VALUE"""),"TLT")</f>
        <v>TLT</v>
      </c>
      <c r="C8720" s="120" t="str">
        <f>IFERROR(__xludf.DUMMYFUNCTION("""COMPUTED_VALUE"""),"Tuluksak")</f>
        <v>Tuluksak</v>
      </c>
      <c r="D8720" s="120" t="str">
        <f>IFERROR(__xludf.DUMMYFUNCTION("""COMPUTED_VALUE"""),"United States")</f>
        <v>United States</v>
      </c>
      <c r="E8720" s="135"/>
      <c r="F8720" s="31"/>
    </row>
    <row r="8721">
      <c r="A8721" s="134" t="str">
        <f>IFERROR(__xludf.DUMMYFUNCTION("""COMPUTED_VALUE"""),"Tulum")</f>
        <v>Tulum</v>
      </c>
      <c r="B8721" s="120" t="str">
        <f>IFERROR(__xludf.DUMMYFUNCTION("""COMPUTED_VALUE"""),"TUY")</f>
        <v>TUY</v>
      </c>
      <c r="C8721" s="120" t="str">
        <f>IFERROR(__xludf.DUMMYFUNCTION("""COMPUTED_VALUE"""),"Tulum")</f>
        <v>Tulum</v>
      </c>
      <c r="D8721" s="120" t="str">
        <f>IFERROR(__xludf.DUMMYFUNCTION("""COMPUTED_VALUE"""),"Mexico")</f>
        <v>Mexico</v>
      </c>
      <c r="E8721" s="135"/>
      <c r="F8721" s="31"/>
    </row>
    <row r="8722">
      <c r="A8722" s="134" t="str">
        <f>IFERROR(__xludf.DUMMYFUNCTION("""COMPUTED_VALUE"""),"Tum")</f>
        <v>Tum</v>
      </c>
      <c r="B8722" s="120" t="str">
        <f>IFERROR(__xludf.DUMMYFUNCTION("""COMPUTED_VALUE"""),"TUJ")</f>
        <v>TUJ</v>
      </c>
      <c r="C8722" s="120" t="str">
        <f>IFERROR(__xludf.DUMMYFUNCTION("""COMPUTED_VALUE"""),"Tum")</f>
        <v>Tum</v>
      </c>
      <c r="D8722" s="120" t="str">
        <f>IFERROR(__xludf.DUMMYFUNCTION("""COMPUTED_VALUE"""),"Ethiopia")</f>
        <v>Ethiopia</v>
      </c>
      <c r="E8722" s="135"/>
      <c r="F8722" s="31"/>
    </row>
    <row r="8723">
      <c r="A8723" s="134" t="str">
        <f>IFERROR(__xludf.DUMMYFUNCTION("""COMPUTED_VALUE"""),"Tumaco")</f>
        <v>Tumaco</v>
      </c>
      <c r="B8723" s="120" t="str">
        <f>IFERROR(__xludf.DUMMYFUNCTION("""COMPUTED_VALUE"""),"TCO")</f>
        <v>TCO</v>
      </c>
      <c r="C8723" s="120" t="str">
        <f>IFERROR(__xludf.DUMMYFUNCTION("""COMPUTED_VALUE"""),"La Florida")</f>
        <v>La Florida</v>
      </c>
      <c r="D8723" s="120" t="str">
        <f>IFERROR(__xludf.DUMMYFUNCTION("""COMPUTED_VALUE"""),"Colombia")</f>
        <v>Colombia</v>
      </c>
      <c r="E8723" s="135"/>
      <c r="F8723" s="31"/>
    </row>
    <row r="8724">
      <c r="A8724" s="134" t="str">
        <f>IFERROR(__xludf.DUMMYFUNCTION("""COMPUTED_VALUE"""),"Tumbang Samba")</f>
        <v>Tumbang Samba</v>
      </c>
      <c r="B8724" s="120" t="str">
        <f>IFERROR(__xludf.DUMMYFUNCTION("""COMPUTED_VALUE"""),"TBM")</f>
        <v>TBM</v>
      </c>
      <c r="C8724" s="120" t="str">
        <f>IFERROR(__xludf.DUMMYFUNCTION("""COMPUTED_VALUE"""),"Tumbang Samba")</f>
        <v>Tumbang Samba</v>
      </c>
      <c r="D8724" s="120" t="str">
        <f>IFERROR(__xludf.DUMMYFUNCTION("""COMPUTED_VALUE"""),"Indonesia")</f>
        <v>Indonesia</v>
      </c>
      <c r="E8724" s="135"/>
      <c r="F8724" s="31"/>
    </row>
    <row r="8725">
      <c r="A8725" s="134" t="str">
        <f>IFERROR(__xludf.DUMMYFUNCTION("""COMPUTED_VALUE"""),"Tumbes")</f>
        <v>Tumbes</v>
      </c>
      <c r="B8725" s="120" t="str">
        <f>IFERROR(__xludf.DUMMYFUNCTION("""COMPUTED_VALUE"""),"TBP")</f>
        <v>TBP</v>
      </c>
      <c r="C8725" s="120" t="str">
        <f>IFERROR(__xludf.DUMMYFUNCTION("""COMPUTED_VALUE"""),"Tumbes")</f>
        <v>Tumbes</v>
      </c>
      <c r="D8725" s="120" t="str">
        <f>IFERROR(__xludf.DUMMYFUNCTION("""COMPUTED_VALUE"""),"Peru")</f>
        <v>Peru</v>
      </c>
      <c r="E8725" s="135"/>
      <c r="F8725" s="31"/>
    </row>
    <row r="8726">
      <c r="A8726" s="134" t="str">
        <f>IFERROR(__xludf.DUMMYFUNCTION("""COMPUTED_VALUE"""),"Tumbler Ridge")</f>
        <v>Tumbler Ridge</v>
      </c>
      <c r="B8726" s="120" t="str">
        <f>IFERROR(__xludf.DUMMYFUNCTION("""COMPUTED_VALUE"""),"TUX")</f>
        <v>TUX</v>
      </c>
      <c r="C8726" s="120" t="str">
        <f>IFERROR(__xludf.DUMMYFUNCTION("""COMPUTED_VALUE"""),"Tumbler Ridge")</f>
        <v>Tumbler Ridge</v>
      </c>
      <c r="D8726" s="120" t="str">
        <f>IFERROR(__xludf.DUMMYFUNCTION("""COMPUTED_VALUE"""),"Canada")</f>
        <v>Canada</v>
      </c>
      <c r="E8726" s="135"/>
      <c r="F8726" s="31"/>
    </row>
    <row r="8727">
      <c r="A8727" s="134" t="str">
        <f>IFERROR(__xludf.DUMMYFUNCTION("""COMPUTED_VALUE"""),"Tumeremo")</f>
        <v>Tumeremo</v>
      </c>
      <c r="B8727" s="120" t="str">
        <f>IFERROR(__xludf.DUMMYFUNCTION("""COMPUTED_VALUE"""),"TMO")</f>
        <v>TMO</v>
      </c>
      <c r="C8727" s="120" t="str">
        <f>IFERROR(__xludf.DUMMYFUNCTION("""COMPUTED_VALUE"""),"Tumeremo")</f>
        <v>Tumeremo</v>
      </c>
      <c r="D8727" s="120" t="str">
        <f>IFERROR(__xludf.DUMMYFUNCTION("""COMPUTED_VALUE"""),"Venezuela")</f>
        <v>Venezuela</v>
      </c>
      <c r="E8727" s="135"/>
      <c r="F8727" s="31"/>
    </row>
    <row r="8728">
      <c r="A8728" s="134" t="str">
        <f>IFERROR(__xludf.DUMMYFUNCTION("""COMPUTED_VALUE"""),"Tumling Tar")</f>
        <v>Tumling Tar</v>
      </c>
      <c r="B8728" s="120" t="str">
        <f>IFERROR(__xludf.DUMMYFUNCTION("""COMPUTED_VALUE"""),"TMI")</f>
        <v>TMI</v>
      </c>
      <c r="C8728" s="120" t="str">
        <f>IFERROR(__xludf.DUMMYFUNCTION("""COMPUTED_VALUE"""),"Tumling Tar")</f>
        <v>Tumling Tar</v>
      </c>
      <c r="D8728" s="120" t="str">
        <f>IFERROR(__xludf.DUMMYFUNCTION("""COMPUTED_VALUE"""),"Nepal")</f>
        <v>Nepal</v>
      </c>
      <c r="E8728" s="135"/>
      <c r="F8728" s="31"/>
    </row>
    <row r="8729">
      <c r="A8729" s="134" t="str">
        <f>IFERROR(__xludf.DUMMYFUNCTION("""COMPUTED_VALUE"""),"Tumolbil")</f>
        <v>Tumolbil</v>
      </c>
      <c r="B8729" s="120" t="str">
        <f>IFERROR(__xludf.DUMMYFUNCTION("""COMPUTED_VALUE"""),"TLP")</f>
        <v>TLP</v>
      </c>
      <c r="C8729" s="120" t="str">
        <f>IFERROR(__xludf.DUMMYFUNCTION("""COMPUTED_VALUE"""),"Tumolbil")</f>
        <v>Tumolbil</v>
      </c>
      <c r="D8729" s="120" t="str">
        <f>IFERROR(__xludf.DUMMYFUNCTION("""COMPUTED_VALUE"""),"Papua New Guinea")</f>
        <v>Papua New Guinea</v>
      </c>
      <c r="E8729" s="135"/>
      <c r="F8729" s="31"/>
    </row>
    <row r="8730">
      <c r="A8730" s="134" t="str">
        <f>IFERROR(__xludf.DUMMYFUNCTION("""COMPUTED_VALUE"""),"Tumut")</f>
        <v>Tumut</v>
      </c>
      <c r="B8730" s="120" t="str">
        <f>IFERROR(__xludf.DUMMYFUNCTION("""COMPUTED_VALUE"""),"TUM")</f>
        <v>TUM</v>
      </c>
      <c r="C8730" s="120" t="str">
        <f>IFERROR(__xludf.DUMMYFUNCTION("""COMPUTED_VALUE"""),"Tumut")</f>
        <v>Tumut</v>
      </c>
      <c r="D8730" s="120" t="str">
        <f>IFERROR(__xludf.DUMMYFUNCTION("""COMPUTED_VALUE"""),"Australia")</f>
        <v>Australia</v>
      </c>
      <c r="E8730" s="135"/>
      <c r="F8730" s="31"/>
    </row>
    <row r="8731">
      <c r="A8731" s="134" t="str">
        <f>IFERROR(__xludf.DUMMYFUNCTION("""COMPUTED_VALUE"""),"Tungsten")</f>
        <v>Tungsten</v>
      </c>
      <c r="B8731" s="120" t="str">
        <f>IFERROR(__xludf.DUMMYFUNCTION("""COMPUTED_VALUE"""),"TNS")</f>
        <v>TNS</v>
      </c>
      <c r="C8731" s="120" t="str">
        <f>IFERROR(__xludf.DUMMYFUNCTION("""COMPUTED_VALUE"""),"Tungsten")</f>
        <v>Tungsten</v>
      </c>
      <c r="D8731" s="120" t="str">
        <f>IFERROR(__xludf.DUMMYFUNCTION("""COMPUTED_VALUE"""),"Canada")</f>
        <v>Canada</v>
      </c>
      <c r="E8731" s="135"/>
      <c r="F8731" s="31"/>
    </row>
    <row r="8732">
      <c r="A8732" s="134" t="str">
        <f>IFERROR(__xludf.DUMMYFUNCTION("""COMPUTED_VALUE"""),"Tunis")</f>
        <v>Tunis</v>
      </c>
      <c r="B8732" s="120" t="str">
        <f>IFERROR(__xludf.DUMMYFUNCTION("""COMPUTED_VALUE"""),"TUN")</f>
        <v>TUN</v>
      </c>
      <c r="C8732" s="120" t="str">
        <f>IFERROR(__xludf.DUMMYFUNCTION("""COMPUTED_VALUE"""),"Carthage")</f>
        <v>Carthage</v>
      </c>
      <c r="D8732" s="120" t="str">
        <f>IFERROR(__xludf.DUMMYFUNCTION("""COMPUTED_VALUE"""),"Tunisia")</f>
        <v>Tunisia</v>
      </c>
      <c r="E8732" s="135"/>
      <c r="F8732" s="31"/>
    </row>
    <row r="8733">
      <c r="A8733" s="134" t="str">
        <f>IFERROR(__xludf.DUMMYFUNCTION("""COMPUTED_VALUE"""),"Tuntutuliak")</f>
        <v>Tuntutuliak</v>
      </c>
      <c r="B8733" s="120" t="str">
        <f>IFERROR(__xludf.DUMMYFUNCTION("""COMPUTED_VALUE"""),"WTL")</f>
        <v>WTL</v>
      </c>
      <c r="C8733" s="120" t="str">
        <f>IFERROR(__xludf.DUMMYFUNCTION("""COMPUTED_VALUE"""),"Tuntutuliak")</f>
        <v>Tuntutuliak</v>
      </c>
      <c r="D8733" s="120" t="str">
        <f>IFERROR(__xludf.DUMMYFUNCTION("""COMPUTED_VALUE"""),"United States")</f>
        <v>United States</v>
      </c>
      <c r="E8733" s="135"/>
      <c r="F8733" s="31"/>
    </row>
    <row r="8734">
      <c r="A8734" s="134" t="str">
        <f>IFERROR(__xludf.DUMMYFUNCTION("""COMPUTED_VALUE"""),"Tununak")</f>
        <v>Tununak</v>
      </c>
      <c r="B8734" s="120" t="str">
        <f>IFERROR(__xludf.DUMMYFUNCTION("""COMPUTED_VALUE"""),"TNK")</f>
        <v>TNK</v>
      </c>
      <c r="C8734" s="120" t="str">
        <f>IFERROR(__xludf.DUMMYFUNCTION("""COMPUTED_VALUE"""),"Tununak")</f>
        <v>Tununak</v>
      </c>
      <c r="D8734" s="120" t="str">
        <f>IFERROR(__xludf.DUMMYFUNCTION("""COMPUTED_VALUE"""),"United States")</f>
        <v>United States</v>
      </c>
      <c r="E8734" s="135"/>
      <c r="F8734" s="31"/>
    </row>
    <row r="8735">
      <c r="A8735" s="134" t="str">
        <f>IFERROR(__xludf.DUMMYFUNCTION("""COMPUTED_VALUE"""),"Tunxi")</f>
        <v>Tunxi</v>
      </c>
      <c r="B8735" s="120" t="str">
        <f>IFERROR(__xludf.DUMMYFUNCTION("""COMPUTED_VALUE"""),"TXN")</f>
        <v>TXN</v>
      </c>
      <c r="C8735" s="120" t="str">
        <f>IFERROR(__xludf.DUMMYFUNCTION("""COMPUTED_VALUE"""),"Tunxi")</f>
        <v>Tunxi</v>
      </c>
      <c r="D8735" s="120" t="str">
        <f>IFERROR(__xludf.DUMMYFUNCTION("""COMPUTED_VALUE"""),"China")</f>
        <v>China</v>
      </c>
      <c r="E8735" s="135"/>
      <c r="F8735" s="31"/>
    </row>
    <row r="8736">
      <c r="A8736" s="134" t="str">
        <f>IFERROR(__xludf.DUMMYFUNCTION("""COMPUTED_VALUE"""),"Tupai")</f>
        <v>Tupai</v>
      </c>
      <c r="B8736" s="120" t="str">
        <f>IFERROR(__xludf.DUMMYFUNCTION("""COMPUTED_VALUE"""),"TPX")</f>
        <v>TPX</v>
      </c>
      <c r="C8736" s="120" t="str">
        <f>IFERROR(__xludf.DUMMYFUNCTION("""COMPUTED_VALUE"""),"Tupai")</f>
        <v>Tupai</v>
      </c>
      <c r="D8736" s="120" t="str">
        <f>IFERROR(__xludf.DUMMYFUNCTION("""COMPUTED_VALUE"""),"French Polynesia")</f>
        <v>French Polynesia</v>
      </c>
      <c r="E8736" s="135"/>
      <c r="F8736" s="31"/>
    </row>
    <row r="8737">
      <c r="A8737" s="134" t="str">
        <f>IFERROR(__xludf.DUMMYFUNCTION("""COMPUTED_VALUE"""),"Tupelo")</f>
        <v>Tupelo</v>
      </c>
      <c r="B8737" s="120" t="str">
        <f>IFERROR(__xludf.DUMMYFUNCTION("""COMPUTED_VALUE"""),"TUP")</f>
        <v>TUP</v>
      </c>
      <c r="C8737" s="120" t="str">
        <f>IFERROR(__xludf.DUMMYFUNCTION("""COMPUTED_VALUE"""),"Lemons Municipal")</f>
        <v>Lemons Municipal</v>
      </c>
      <c r="D8737" s="120" t="str">
        <f>IFERROR(__xludf.DUMMYFUNCTION("""COMPUTED_VALUE"""),"United States")</f>
        <v>United States</v>
      </c>
      <c r="E8737" s="135"/>
      <c r="F8737" s="31"/>
    </row>
    <row r="8738">
      <c r="A8738" s="134" t="str">
        <f>IFERROR(__xludf.DUMMYFUNCTION("""COMPUTED_VALUE"""),"Tupile")</f>
        <v>Tupile</v>
      </c>
      <c r="B8738" s="120" t="str">
        <f>IFERROR(__xludf.DUMMYFUNCTION("""COMPUTED_VALUE"""),"TUE")</f>
        <v>TUE</v>
      </c>
      <c r="C8738" s="120" t="str">
        <f>IFERROR(__xludf.DUMMYFUNCTION("""COMPUTED_VALUE"""),"Tupile")</f>
        <v>Tupile</v>
      </c>
      <c r="D8738" s="120" t="str">
        <f>IFERROR(__xludf.DUMMYFUNCTION("""COMPUTED_VALUE"""),"Panama")</f>
        <v>Panama</v>
      </c>
      <c r="E8738" s="135"/>
      <c r="F8738" s="31"/>
    </row>
    <row r="8739">
      <c r="A8739" s="134" t="str">
        <f>IFERROR(__xludf.DUMMYFUNCTION("""COMPUTED_VALUE"""),"Turaif")</f>
        <v>Turaif</v>
      </c>
      <c r="B8739" s="120" t="str">
        <f>IFERROR(__xludf.DUMMYFUNCTION("""COMPUTED_VALUE"""),"TUI")</f>
        <v>TUI</v>
      </c>
      <c r="C8739" s="120" t="str">
        <f>IFERROR(__xludf.DUMMYFUNCTION("""COMPUTED_VALUE"""),"Turaif")</f>
        <v>Turaif</v>
      </c>
      <c r="D8739" s="120" t="str">
        <f>IFERROR(__xludf.DUMMYFUNCTION("""COMPUTED_VALUE"""),"Saudi Arabia")</f>
        <v>Saudi Arabia</v>
      </c>
      <c r="E8739" s="135"/>
      <c r="F8739" s="31"/>
    </row>
    <row r="8740">
      <c r="A8740" s="134" t="str">
        <f>IFERROR(__xludf.DUMMYFUNCTION("""COMPUTED_VALUE"""),"Turbat")</f>
        <v>Turbat</v>
      </c>
      <c r="B8740" s="120" t="str">
        <f>IFERROR(__xludf.DUMMYFUNCTION("""COMPUTED_VALUE"""),"TUK")</f>
        <v>TUK</v>
      </c>
      <c r="C8740" s="120" t="str">
        <f>IFERROR(__xludf.DUMMYFUNCTION("""COMPUTED_VALUE"""),"Turbat")</f>
        <v>Turbat</v>
      </c>
      <c r="D8740" s="120" t="str">
        <f>IFERROR(__xludf.DUMMYFUNCTION("""COMPUTED_VALUE"""),"Pakistan")</f>
        <v>Pakistan</v>
      </c>
      <c r="E8740" s="135"/>
      <c r="F8740" s="31"/>
    </row>
    <row r="8741">
      <c r="A8741" s="134" t="str">
        <f>IFERROR(__xludf.DUMMYFUNCTION("""COMPUTED_VALUE"""),"Turbo")</f>
        <v>Turbo</v>
      </c>
      <c r="B8741" s="120" t="str">
        <f>IFERROR(__xludf.DUMMYFUNCTION("""COMPUTED_VALUE"""),"TRB")</f>
        <v>TRB</v>
      </c>
      <c r="C8741" s="120" t="str">
        <f>IFERROR(__xludf.DUMMYFUNCTION("""COMPUTED_VALUE"""),"Gonzalo")</f>
        <v>Gonzalo</v>
      </c>
      <c r="D8741" s="120" t="str">
        <f>IFERROR(__xludf.DUMMYFUNCTION("""COMPUTED_VALUE"""),"Colombia")</f>
        <v>Colombia</v>
      </c>
      <c r="E8741" s="135"/>
      <c r="F8741" s="31"/>
    </row>
    <row r="8742">
      <c r="A8742" s="134" t="str">
        <f>IFERROR(__xludf.DUMMYFUNCTION("""COMPUTED_VALUE"""),"Tureira")</f>
        <v>Tureira</v>
      </c>
      <c r="B8742" s="120" t="str">
        <f>IFERROR(__xludf.DUMMYFUNCTION("""COMPUTED_VALUE"""),"ZTA")</f>
        <v>ZTA</v>
      </c>
      <c r="C8742" s="120" t="str">
        <f>IFERROR(__xludf.DUMMYFUNCTION("""COMPUTED_VALUE"""),"Tureira")</f>
        <v>Tureira</v>
      </c>
      <c r="D8742" s="120" t="str">
        <f>IFERROR(__xludf.DUMMYFUNCTION("""COMPUTED_VALUE"""),"French Polynesia")</f>
        <v>French Polynesia</v>
      </c>
      <c r="E8742" s="135"/>
      <c r="F8742" s="31"/>
    </row>
    <row r="8743">
      <c r="A8743" s="134" t="str">
        <f>IFERROR(__xludf.DUMMYFUNCTION("""COMPUTED_VALUE"""),"Turin")</f>
        <v>Turin</v>
      </c>
      <c r="B8743" s="120" t="str">
        <f>IFERROR(__xludf.DUMMYFUNCTION("""COMPUTED_VALUE"""),"TRN")</f>
        <v>TRN</v>
      </c>
      <c r="C8743" s="120" t="str">
        <f>IFERROR(__xludf.DUMMYFUNCTION("""COMPUTED_VALUE"""),"Sandro Pertini (caselle)")</f>
        <v>Sandro Pertini (caselle)</v>
      </c>
      <c r="D8743" s="120" t="str">
        <f>IFERROR(__xludf.DUMMYFUNCTION("""COMPUTED_VALUE"""),"Italy")</f>
        <v>Italy</v>
      </c>
      <c r="E8743" s="135"/>
      <c r="F8743" s="31"/>
    </row>
    <row r="8744">
      <c r="A8744" s="134" t="str">
        <f>IFERROR(__xludf.DUMMYFUNCTION("""COMPUTED_VALUE"""),"Turkey Creek")</f>
        <v>Turkey Creek</v>
      </c>
      <c r="B8744" s="120" t="str">
        <f>IFERROR(__xludf.DUMMYFUNCTION("""COMPUTED_VALUE"""),"TKY")</f>
        <v>TKY</v>
      </c>
      <c r="C8744" s="120" t="str">
        <f>IFERROR(__xludf.DUMMYFUNCTION("""COMPUTED_VALUE"""),"Turkey Creek")</f>
        <v>Turkey Creek</v>
      </c>
      <c r="D8744" s="120" t="str">
        <f>IFERROR(__xludf.DUMMYFUNCTION("""COMPUTED_VALUE"""),"Australia")</f>
        <v>Australia</v>
      </c>
      <c r="E8744" s="135"/>
      <c r="F8744" s="31"/>
    </row>
    <row r="8745">
      <c r="A8745" s="134" t="str">
        <f>IFERROR(__xludf.DUMMYFUNCTION("""COMPUTED_VALUE"""),"Turkmenabad")</f>
        <v>Turkmenabad</v>
      </c>
      <c r="B8745" s="120" t="str">
        <f>IFERROR(__xludf.DUMMYFUNCTION("""COMPUTED_VALUE"""),"CRZ")</f>
        <v>CRZ</v>
      </c>
      <c r="C8745" s="120" t="str">
        <f>IFERROR(__xludf.DUMMYFUNCTION("""COMPUTED_VALUE"""),"Turkmenabad")</f>
        <v>Turkmenabad</v>
      </c>
      <c r="D8745" s="120" t="str">
        <f>IFERROR(__xludf.DUMMYFUNCTION("""COMPUTED_VALUE"""),"Turkmenistan")</f>
        <v>Turkmenistan</v>
      </c>
      <c r="E8745" s="135"/>
      <c r="F8745" s="31"/>
    </row>
    <row r="8746">
      <c r="A8746" s="134" t="str">
        <f>IFERROR(__xludf.DUMMYFUNCTION("""COMPUTED_VALUE"""),"Turkmenbashi")</f>
        <v>Turkmenbashi</v>
      </c>
      <c r="B8746" s="120" t="str">
        <f>IFERROR(__xludf.DUMMYFUNCTION("""COMPUTED_VALUE"""),"KRW")</f>
        <v>KRW</v>
      </c>
      <c r="C8746" s="120" t="str">
        <f>IFERROR(__xludf.DUMMYFUNCTION("""COMPUTED_VALUE"""),"Turkmanbashi")</f>
        <v>Turkmanbashi</v>
      </c>
      <c r="D8746" s="120" t="str">
        <f>IFERROR(__xludf.DUMMYFUNCTION("""COMPUTED_VALUE"""),"Turkmenistan")</f>
        <v>Turkmenistan</v>
      </c>
      <c r="E8746" s="135"/>
      <c r="F8746" s="31"/>
    </row>
    <row r="8747">
      <c r="A8747" s="134" t="str">
        <f>IFERROR(__xludf.DUMMYFUNCTION("""COMPUTED_VALUE"""),"Turku")</f>
        <v>Turku</v>
      </c>
      <c r="B8747" s="120" t="str">
        <f>IFERROR(__xludf.DUMMYFUNCTION("""COMPUTED_VALUE"""),"TKU")</f>
        <v>TKU</v>
      </c>
      <c r="C8747" s="120" t="str">
        <f>IFERROR(__xludf.DUMMYFUNCTION("""COMPUTED_VALUE"""),"Turku")</f>
        <v>Turku</v>
      </c>
      <c r="D8747" s="120" t="str">
        <f>IFERROR(__xludf.DUMMYFUNCTION("""COMPUTED_VALUE"""),"Finland")</f>
        <v>Finland</v>
      </c>
      <c r="E8747" s="135"/>
      <c r="F8747" s="31"/>
    </row>
    <row r="8748">
      <c r="A8748" s="134" t="str">
        <f>IFERROR(__xludf.DUMMYFUNCTION("""COMPUTED_VALUE"""),"Turtle Island")</f>
        <v>Turtle Island</v>
      </c>
      <c r="B8748" s="120" t="str">
        <f>IFERROR(__xludf.DUMMYFUNCTION("""COMPUTED_VALUE"""),"TTL")</f>
        <v>TTL</v>
      </c>
      <c r="C8748" s="120" t="str">
        <f>IFERROR(__xludf.DUMMYFUNCTION("""COMPUTED_VALUE"""),"Turtle Island")</f>
        <v>Turtle Island</v>
      </c>
      <c r="D8748" s="120" t="str">
        <f>IFERROR(__xludf.DUMMYFUNCTION("""COMPUTED_VALUE"""),"Fiji")</f>
        <v>Fiji</v>
      </c>
      <c r="E8748" s="135"/>
      <c r="F8748" s="31"/>
    </row>
    <row r="8749">
      <c r="A8749" s="134" t="str">
        <f>IFERROR(__xludf.DUMMYFUNCTION("""COMPUTED_VALUE"""),"Tuscaloosa")</f>
        <v>Tuscaloosa</v>
      </c>
      <c r="B8749" s="120" t="str">
        <f>IFERROR(__xludf.DUMMYFUNCTION("""COMPUTED_VALUE"""),"TCL")</f>
        <v>TCL</v>
      </c>
      <c r="C8749" s="120" t="str">
        <f>IFERROR(__xludf.DUMMYFUNCTION("""COMPUTED_VALUE"""),"Van De Graaf")</f>
        <v>Van De Graaf</v>
      </c>
      <c r="D8749" s="120" t="str">
        <f>IFERROR(__xludf.DUMMYFUNCTION("""COMPUTED_VALUE"""),"United States")</f>
        <v>United States</v>
      </c>
      <c r="E8749" s="135"/>
      <c r="F8749" s="31"/>
    </row>
    <row r="8750">
      <c r="A8750" s="134" t="str">
        <f>IFERROR(__xludf.DUMMYFUNCTION("""COMPUTED_VALUE"""),"Tuskegee")</f>
        <v>Tuskegee</v>
      </c>
      <c r="B8750" s="120" t="str">
        <f>IFERROR(__xludf.DUMMYFUNCTION("""COMPUTED_VALUE"""),"TGE")</f>
        <v>TGE</v>
      </c>
      <c r="C8750" s="120" t="str">
        <f>IFERROR(__xludf.DUMMYFUNCTION("""COMPUTED_VALUE"""),"Sharpe Field")</f>
        <v>Sharpe Field</v>
      </c>
      <c r="D8750" s="120" t="str">
        <f>IFERROR(__xludf.DUMMYFUNCTION("""COMPUTED_VALUE"""),"United States")</f>
        <v>United States</v>
      </c>
      <c r="E8750" s="135"/>
      <c r="F8750" s="31"/>
    </row>
    <row r="8751">
      <c r="A8751" s="134" t="str">
        <f>IFERROR(__xludf.DUMMYFUNCTION("""COMPUTED_VALUE"""),"Tuticorin")</f>
        <v>Tuticorin</v>
      </c>
      <c r="B8751" s="120" t="str">
        <f>IFERROR(__xludf.DUMMYFUNCTION("""COMPUTED_VALUE"""),"TCR")</f>
        <v>TCR</v>
      </c>
      <c r="C8751" s="120" t="str">
        <f>IFERROR(__xludf.DUMMYFUNCTION("""COMPUTED_VALUE"""),"Tuticorin")</f>
        <v>Tuticorin</v>
      </c>
      <c r="D8751" s="120" t="str">
        <f>IFERROR(__xludf.DUMMYFUNCTION("""COMPUTED_VALUE"""),"India")</f>
        <v>India</v>
      </c>
      <c r="E8751" s="135"/>
      <c r="F8751" s="31"/>
    </row>
    <row r="8752">
      <c r="A8752" s="134" t="str">
        <f>IFERROR(__xludf.DUMMYFUNCTION("""COMPUTED_VALUE"""),"Tuxekan Island")</f>
        <v>Tuxekan Island</v>
      </c>
      <c r="B8752" s="120" t="str">
        <f>IFERROR(__xludf.DUMMYFUNCTION("""COMPUTED_VALUE"""),"WNC")</f>
        <v>WNC</v>
      </c>
      <c r="C8752" s="120" t="str">
        <f>IFERROR(__xludf.DUMMYFUNCTION("""COMPUTED_VALUE"""),"Nichen Cove SPB")</f>
        <v>Nichen Cove SPB</v>
      </c>
      <c r="D8752" s="120" t="str">
        <f>IFERROR(__xludf.DUMMYFUNCTION("""COMPUTED_VALUE"""),"United States")</f>
        <v>United States</v>
      </c>
      <c r="E8752" s="135"/>
      <c r="F8752" s="31"/>
    </row>
    <row r="8753">
      <c r="A8753" s="134" t="str">
        <f>IFERROR(__xludf.DUMMYFUNCTION("""COMPUTED_VALUE"""),"Tuxtla Gutierrez")</f>
        <v>Tuxtla Gutierrez</v>
      </c>
      <c r="B8753" s="120" t="str">
        <f>IFERROR(__xludf.DUMMYFUNCTION("""COMPUTED_VALUE"""),"TGZ")</f>
        <v>TGZ</v>
      </c>
      <c r="C8753" s="120" t="str">
        <f>IFERROR(__xludf.DUMMYFUNCTION("""COMPUTED_VALUE"""),"Llano San Juan")</f>
        <v>Llano San Juan</v>
      </c>
      <c r="D8753" s="120" t="str">
        <f>IFERROR(__xludf.DUMMYFUNCTION("""COMPUTED_VALUE"""),"Mexico")</f>
        <v>Mexico</v>
      </c>
      <c r="E8753" s="135"/>
      <c r="F8753" s="31"/>
    </row>
    <row r="8754">
      <c r="A8754" s="134" t="str">
        <f>IFERROR(__xludf.DUMMYFUNCTION("""COMPUTED_VALUE"""),"Tuy Hoa")</f>
        <v>Tuy Hoa</v>
      </c>
      <c r="B8754" s="120" t="str">
        <f>IFERROR(__xludf.DUMMYFUNCTION("""COMPUTED_VALUE"""),"TBB")</f>
        <v>TBB</v>
      </c>
      <c r="C8754" s="120" t="str">
        <f>IFERROR(__xludf.DUMMYFUNCTION("""COMPUTED_VALUE"""),"Tuy Hoa")</f>
        <v>Tuy Hoa</v>
      </c>
      <c r="D8754" s="120" t="str">
        <f>IFERROR(__xludf.DUMMYFUNCTION("""COMPUTED_VALUE"""),"Vietnam")</f>
        <v>Vietnam</v>
      </c>
      <c r="E8754" s="135"/>
      <c r="F8754" s="31"/>
    </row>
    <row r="8755">
      <c r="A8755" s="134" t="str">
        <f>IFERROR(__xludf.DUMMYFUNCTION("""COMPUTED_VALUE"""),"Tuzla")</f>
        <v>Tuzla</v>
      </c>
      <c r="B8755" s="120" t="str">
        <f>IFERROR(__xludf.DUMMYFUNCTION("""COMPUTED_VALUE"""),"TZL")</f>
        <v>TZL</v>
      </c>
      <c r="C8755" s="120" t="str">
        <f>IFERROR(__xludf.DUMMYFUNCTION("""COMPUTED_VALUE"""),"Tuzla International")</f>
        <v>Tuzla International</v>
      </c>
      <c r="D8755" s="120" t="str">
        <f>IFERROR(__xludf.DUMMYFUNCTION("""COMPUTED_VALUE"""),"Bosnia and Herzegovina")</f>
        <v>Bosnia and Herzegovina</v>
      </c>
      <c r="E8755" s="135"/>
      <c r="F8755" s="31"/>
    </row>
    <row r="8756">
      <c r="A8756" s="134" t="str">
        <f>IFERROR(__xludf.DUMMYFUNCTION("""COMPUTED_VALUE"""),"Twentynine Palms")</f>
        <v>Twentynine Palms</v>
      </c>
      <c r="B8756" s="120" t="str">
        <f>IFERROR(__xludf.DUMMYFUNCTION("""COMPUTED_VALUE"""),"TNP")</f>
        <v>TNP</v>
      </c>
      <c r="C8756" s="120" t="str">
        <f>IFERROR(__xludf.DUMMYFUNCTION("""COMPUTED_VALUE"""),"Twentynine Palms")</f>
        <v>Twentynine Palms</v>
      </c>
      <c r="D8756" s="120" t="str">
        <f>IFERROR(__xludf.DUMMYFUNCTION("""COMPUTED_VALUE"""),"United States")</f>
        <v>United States</v>
      </c>
      <c r="E8756" s="135"/>
      <c r="F8756" s="31"/>
    </row>
    <row r="8757">
      <c r="A8757" s="134" t="str">
        <f>IFERROR(__xludf.DUMMYFUNCTION("""COMPUTED_VALUE"""),"Twin Falls")</f>
        <v>Twin Falls</v>
      </c>
      <c r="B8757" s="120" t="str">
        <f>IFERROR(__xludf.DUMMYFUNCTION("""COMPUTED_VALUE"""),"TWF")</f>
        <v>TWF</v>
      </c>
      <c r="C8757" s="120" t="str">
        <f>IFERROR(__xludf.DUMMYFUNCTION("""COMPUTED_VALUE"""),"City County")</f>
        <v>City County</v>
      </c>
      <c r="D8757" s="120" t="str">
        <f>IFERROR(__xludf.DUMMYFUNCTION("""COMPUTED_VALUE"""),"United States")</f>
        <v>United States</v>
      </c>
      <c r="E8757" s="135"/>
      <c r="F8757" s="31"/>
    </row>
    <row r="8758">
      <c r="A8758" s="134" t="str">
        <f>IFERROR(__xludf.DUMMYFUNCTION("""COMPUTED_VALUE"""),"Twin Hills")</f>
        <v>Twin Hills</v>
      </c>
      <c r="B8758" s="120" t="str">
        <f>IFERROR(__xludf.DUMMYFUNCTION("""COMPUTED_VALUE"""),"TWA")</f>
        <v>TWA</v>
      </c>
      <c r="C8758" s="120" t="str">
        <f>IFERROR(__xludf.DUMMYFUNCTION("""COMPUTED_VALUE"""),"Twin Hills")</f>
        <v>Twin Hills</v>
      </c>
      <c r="D8758" s="120" t="str">
        <f>IFERROR(__xludf.DUMMYFUNCTION("""COMPUTED_VALUE"""),"United States")</f>
        <v>United States</v>
      </c>
      <c r="E8758" s="135"/>
      <c r="F8758" s="31"/>
    </row>
    <row r="8759">
      <c r="A8759" s="134" t="str">
        <f>IFERROR(__xludf.DUMMYFUNCTION("""COMPUTED_VALUE"""),"Tyler")</f>
        <v>Tyler</v>
      </c>
      <c r="B8759" s="120" t="str">
        <f>IFERROR(__xludf.DUMMYFUNCTION("""COMPUTED_VALUE"""),"TYR")</f>
        <v>TYR</v>
      </c>
      <c r="C8759" s="120" t="str">
        <f>IFERROR(__xludf.DUMMYFUNCTION("""COMPUTED_VALUE"""),"Pounds Field")</f>
        <v>Pounds Field</v>
      </c>
      <c r="D8759" s="120" t="str">
        <f>IFERROR(__xludf.DUMMYFUNCTION("""COMPUTED_VALUE"""),"United States")</f>
        <v>United States</v>
      </c>
      <c r="E8759" s="135"/>
      <c r="F8759" s="31"/>
    </row>
    <row r="8760">
      <c r="A8760" s="134" t="str">
        <f>IFERROR(__xludf.DUMMYFUNCTION("""COMPUTED_VALUE"""),"Tynda")</f>
        <v>Tynda</v>
      </c>
      <c r="B8760" s="120" t="str">
        <f>IFERROR(__xludf.DUMMYFUNCTION("""COMPUTED_VALUE"""),"TYD")</f>
        <v>TYD</v>
      </c>
      <c r="C8760" s="120" t="str">
        <f>IFERROR(__xludf.DUMMYFUNCTION("""COMPUTED_VALUE"""),"Tynda")</f>
        <v>Tynda</v>
      </c>
      <c r="D8760" s="120" t="str">
        <f>IFERROR(__xludf.DUMMYFUNCTION("""COMPUTED_VALUE"""),"Russia")</f>
        <v>Russia</v>
      </c>
      <c r="E8760" s="135"/>
      <c r="F8760" s="31"/>
    </row>
    <row r="8761">
      <c r="A8761" s="134" t="str">
        <f>IFERROR(__xludf.DUMMYFUNCTION("""COMPUTED_VALUE"""),"Tynset")</f>
        <v>Tynset</v>
      </c>
      <c r="B8761" s="120" t="str">
        <f>IFERROR(__xludf.DUMMYFUNCTION("""COMPUTED_VALUE"""),"ZMX")</f>
        <v>ZMX</v>
      </c>
      <c r="C8761" s="120" t="str">
        <f>IFERROR(__xludf.DUMMYFUNCTION("""COMPUTED_VALUE"""),"Railway")</f>
        <v>Railway</v>
      </c>
      <c r="D8761" s="120" t="str">
        <f>IFERROR(__xludf.DUMMYFUNCTION("""COMPUTED_VALUE"""),"Norway")</f>
        <v>Norway</v>
      </c>
      <c r="E8761" s="135"/>
      <c r="F8761" s="31"/>
    </row>
    <row r="8762">
      <c r="A8762" s="134" t="str">
        <f>IFERROR(__xludf.DUMMYFUNCTION("""COMPUTED_VALUE"""),"Tyonek")</f>
        <v>Tyonek</v>
      </c>
      <c r="B8762" s="120" t="str">
        <f>IFERROR(__xludf.DUMMYFUNCTION("""COMPUTED_VALUE"""),"TYE")</f>
        <v>TYE</v>
      </c>
      <c r="C8762" s="120" t="str">
        <f>IFERROR(__xludf.DUMMYFUNCTION("""COMPUTED_VALUE"""),"Tyonek")</f>
        <v>Tyonek</v>
      </c>
      <c r="D8762" s="120" t="str">
        <f>IFERROR(__xludf.DUMMYFUNCTION("""COMPUTED_VALUE"""),"United States")</f>
        <v>United States</v>
      </c>
      <c r="E8762" s="135"/>
      <c r="F8762" s="31"/>
    </row>
    <row r="8763">
      <c r="A8763" s="134" t="str">
        <f>IFERROR(__xludf.DUMMYFUNCTION("""COMPUTED_VALUE"""),"Tyumen")</f>
        <v>Tyumen</v>
      </c>
      <c r="B8763" s="120" t="str">
        <f>IFERROR(__xludf.DUMMYFUNCTION("""COMPUTED_VALUE"""),"TJM")</f>
        <v>TJM</v>
      </c>
      <c r="C8763" s="120" t="str">
        <f>IFERROR(__xludf.DUMMYFUNCTION("""COMPUTED_VALUE"""),"Tyumen")</f>
        <v>Tyumen</v>
      </c>
      <c r="D8763" s="120" t="str">
        <f>IFERROR(__xludf.DUMMYFUNCTION("""COMPUTED_VALUE"""),"Russia")</f>
        <v>Russia</v>
      </c>
      <c r="E8763" s="135"/>
      <c r="F8763" s="31"/>
    </row>
    <row r="8764">
      <c r="A8764" s="134" t="str">
        <f>IFERROR(__xludf.DUMMYFUNCTION("""COMPUTED_VALUE"""),"Tzaneen")</f>
        <v>Tzaneen</v>
      </c>
      <c r="B8764" s="120" t="str">
        <f>IFERROR(__xludf.DUMMYFUNCTION("""COMPUTED_VALUE"""),"LTA")</f>
        <v>LTA</v>
      </c>
      <c r="C8764" s="120" t="str">
        <f>IFERROR(__xludf.DUMMYFUNCTION("""COMPUTED_VALUE"""),"Letaba")</f>
        <v>Letaba</v>
      </c>
      <c r="D8764" s="120" t="str">
        <f>IFERROR(__xludf.DUMMYFUNCTION("""COMPUTED_VALUE"""),"South Africa")</f>
        <v>South Africa</v>
      </c>
      <c r="E8764" s="135"/>
      <c r="F8764" s="31"/>
    </row>
    <row r="8765">
      <c r="A8765" s="134" t="str">
        <f>IFERROR(__xludf.DUMMYFUNCTION("""COMPUTED_VALUE"""),"Ua Huka")</f>
        <v>Ua Huka</v>
      </c>
      <c r="B8765" s="120" t="str">
        <f>IFERROR(__xludf.DUMMYFUNCTION("""COMPUTED_VALUE"""),"UAH")</f>
        <v>UAH</v>
      </c>
      <c r="C8765" s="120" t="str">
        <f>IFERROR(__xludf.DUMMYFUNCTION("""COMPUTED_VALUE"""),"Ua Huka")</f>
        <v>Ua Huka</v>
      </c>
      <c r="D8765" s="120" t="str">
        <f>IFERROR(__xludf.DUMMYFUNCTION("""COMPUTED_VALUE"""),"French Polynesia")</f>
        <v>French Polynesia</v>
      </c>
      <c r="E8765" s="135"/>
      <c r="F8765" s="31"/>
    </row>
    <row r="8766">
      <c r="A8766" s="134" t="str">
        <f>IFERROR(__xludf.DUMMYFUNCTION("""COMPUTED_VALUE"""),"Ua Pou")</f>
        <v>Ua Pou</v>
      </c>
      <c r="B8766" s="120" t="str">
        <f>IFERROR(__xludf.DUMMYFUNCTION("""COMPUTED_VALUE"""),"UAP")</f>
        <v>UAP</v>
      </c>
      <c r="C8766" s="120" t="str">
        <f>IFERROR(__xludf.DUMMYFUNCTION("""COMPUTED_VALUE"""),"Ua Pou")</f>
        <v>Ua Pou</v>
      </c>
      <c r="D8766" s="120" t="str">
        <f>IFERROR(__xludf.DUMMYFUNCTION("""COMPUTED_VALUE"""),"French Polynesia")</f>
        <v>French Polynesia</v>
      </c>
      <c r="E8766" s="135"/>
      <c r="F8766" s="31"/>
    </row>
    <row r="8767">
      <c r="A8767" s="134" t="str">
        <f>IFERROR(__xludf.DUMMYFUNCTION("""COMPUTED_VALUE"""),"Uaxactun")</f>
        <v>Uaxactun</v>
      </c>
      <c r="B8767" s="120" t="str">
        <f>IFERROR(__xludf.DUMMYFUNCTION("""COMPUTED_VALUE"""),"UAX")</f>
        <v>UAX</v>
      </c>
      <c r="C8767" s="120" t="str">
        <f>IFERROR(__xludf.DUMMYFUNCTION("""COMPUTED_VALUE"""),"Uaxactun")</f>
        <v>Uaxactun</v>
      </c>
      <c r="D8767" s="120" t="str">
        <f>IFERROR(__xludf.DUMMYFUNCTION("""COMPUTED_VALUE"""),"Guatemala")</f>
        <v>Guatemala</v>
      </c>
      <c r="E8767" s="135"/>
      <c r="F8767" s="31"/>
    </row>
    <row r="8768">
      <c r="A8768" s="134" t="str">
        <f>IFERROR(__xludf.DUMMYFUNCTION("""COMPUTED_VALUE"""),"Ubari")</f>
        <v>Ubari</v>
      </c>
      <c r="B8768" s="120" t="str">
        <f>IFERROR(__xludf.DUMMYFUNCTION("""COMPUTED_VALUE"""),"QUB")</f>
        <v>QUB</v>
      </c>
      <c r="C8768" s="120" t="str">
        <f>IFERROR(__xludf.DUMMYFUNCTION("""COMPUTED_VALUE"""),"Ubari")</f>
        <v>Ubari</v>
      </c>
      <c r="D8768" s="120" t="str">
        <f>IFERROR(__xludf.DUMMYFUNCTION("""COMPUTED_VALUE"""),"Libya")</f>
        <v>Libya</v>
      </c>
      <c r="E8768" s="135"/>
      <c r="F8768" s="31"/>
    </row>
    <row r="8769">
      <c r="A8769" s="134" t="str">
        <f>IFERROR(__xludf.DUMMYFUNCTION("""COMPUTED_VALUE"""),"Ubatuba")</f>
        <v>Ubatuba</v>
      </c>
      <c r="B8769" s="120" t="str">
        <f>IFERROR(__xludf.DUMMYFUNCTION("""COMPUTED_VALUE"""),"UBT")</f>
        <v>UBT</v>
      </c>
      <c r="C8769" s="120" t="str">
        <f>IFERROR(__xludf.DUMMYFUNCTION("""COMPUTED_VALUE"""),"Ubatuba")</f>
        <v>Ubatuba</v>
      </c>
      <c r="D8769" s="120" t="str">
        <f>IFERROR(__xludf.DUMMYFUNCTION("""COMPUTED_VALUE"""),"Brazil")</f>
        <v>Brazil</v>
      </c>
      <c r="E8769" s="135"/>
      <c r="F8769" s="31"/>
    </row>
    <row r="8770">
      <c r="A8770" s="134" t="str">
        <f>IFERROR(__xludf.DUMMYFUNCTION("""COMPUTED_VALUE"""),"Ube")</f>
        <v>Ube</v>
      </c>
      <c r="B8770" s="120" t="str">
        <f>IFERROR(__xludf.DUMMYFUNCTION("""COMPUTED_VALUE"""),"UBJ")</f>
        <v>UBJ</v>
      </c>
      <c r="C8770" s="120" t="str">
        <f>IFERROR(__xludf.DUMMYFUNCTION("""COMPUTED_VALUE"""),"Ube")</f>
        <v>Ube</v>
      </c>
      <c r="D8770" s="120" t="str">
        <f>IFERROR(__xludf.DUMMYFUNCTION("""COMPUTED_VALUE"""),"Japan")</f>
        <v>Japan</v>
      </c>
      <c r="E8770" s="135"/>
      <c r="F8770" s="31"/>
    </row>
    <row r="8771">
      <c r="A8771" s="134" t="str">
        <f>IFERROR(__xludf.DUMMYFUNCTION("""COMPUTED_VALUE"""),"Uberaba")</f>
        <v>Uberaba</v>
      </c>
      <c r="B8771" s="120" t="str">
        <f>IFERROR(__xludf.DUMMYFUNCTION("""COMPUTED_VALUE"""),"UBA")</f>
        <v>UBA</v>
      </c>
      <c r="C8771" s="120" t="str">
        <f>IFERROR(__xludf.DUMMYFUNCTION("""COMPUTED_VALUE"""),"Uberaba")</f>
        <v>Uberaba</v>
      </c>
      <c r="D8771" s="120" t="str">
        <f>IFERROR(__xludf.DUMMYFUNCTION("""COMPUTED_VALUE"""),"Brazil")</f>
        <v>Brazil</v>
      </c>
      <c r="E8771" s="135"/>
      <c r="F8771" s="31"/>
    </row>
    <row r="8772">
      <c r="A8772" s="134" t="str">
        <f>IFERROR(__xludf.DUMMYFUNCTION("""COMPUTED_VALUE"""),"Uberlandia")</f>
        <v>Uberlandia</v>
      </c>
      <c r="B8772" s="120" t="str">
        <f>IFERROR(__xludf.DUMMYFUNCTION("""COMPUTED_VALUE"""),"UDI")</f>
        <v>UDI</v>
      </c>
      <c r="C8772" s="120" t="str">
        <f>IFERROR(__xludf.DUMMYFUNCTION("""COMPUTED_VALUE"""),"Eduardo Gomes")</f>
        <v>Eduardo Gomes</v>
      </c>
      <c r="D8772" s="120" t="str">
        <f>IFERROR(__xludf.DUMMYFUNCTION("""COMPUTED_VALUE"""),"Brazil")</f>
        <v>Brazil</v>
      </c>
      <c r="E8772" s="135"/>
      <c r="F8772" s="31"/>
    </row>
    <row r="8773">
      <c r="A8773" s="134" t="str">
        <f>IFERROR(__xludf.DUMMYFUNCTION("""COMPUTED_VALUE"""),"Ubon Ratchathani")</f>
        <v>Ubon Ratchathani</v>
      </c>
      <c r="B8773" s="120" t="str">
        <f>IFERROR(__xludf.DUMMYFUNCTION("""COMPUTED_VALUE"""),"UBP")</f>
        <v>UBP</v>
      </c>
      <c r="C8773" s="120" t="str">
        <f>IFERROR(__xludf.DUMMYFUNCTION("""COMPUTED_VALUE"""),"Muang Ubon")</f>
        <v>Muang Ubon</v>
      </c>
      <c r="D8773" s="120" t="str">
        <f>IFERROR(__xludf.DUMMYFUNCTION("""COMPUTED_VALUE"""),"Thailand")</f>
        <v>Thailand</v>
      </c>
      <c r="E8773" s="135"/>
      <c r="F8773" s="31"/>
    </row>
    <row r="8774">
      <c r="A8774" s="134" t="str">
        <f>IFERROR(__xludf.DUMMYFUNCTION("""COMPUTED_VALUE"""),"Ubrub")</f>
        <v>Ubrub</v>
      </c>
      <c r="B8774" s="120" t="str">
        <f>IFERROR(__xludf.DUMMYFUNCTION("""COMPUTED_VALUE"""),"UBR")</f>
        <v>UBR</v>
      </c>
      <c r="C8774" s="120" t="str">
        <f>IFERROR(__xludf.DUMMYFUNCTION("""COMPUTED_VALUE"""),"Ubrub")</f>
        <v>Ubrub</v>
      </c>
      <c r="D8774" s="120" t="str">
        <f>IFERROR(__xludf.DUMMYFUNCTION("""COMPUTED_VALUE"""),"Indonesia")</f>
        <v>Indonesia</v>
      </c>
      <c r="E8774" s="135"/>
      <c r="F8774" s="31"/>
    </row>
    <row r="8775">
      <c r="A8775" s="134" t="str">
        <f>IFERROR(__xludf.DUMMYFUNCTION("""COMPUTED_VALUE"""),"Udaipur")</f>
        <v>Udaipur</v>
      </c>
      <c r="B8775" s="120" t="str">
        <f>IFERROR(__xludf.DUMMYFUNCTION("""COMPUTED_VALUE"""),"UDR")</f>
        <v>UDR</v>
      </c>
      <c r="C8775" s="120" t="str">
        <f>IFERROR(__xludf.DUMMYFUNCTION("""COMPUTED_VALUE"""),"Dabok")</f>
        <v>Dabok</v>
      </c>
      <c r="D8775" s="120" t="str">
        <f>IFERROR(__xludf.DUMMYFUNCTION("""COMPUTED_VALUE"""),"India")</f>
        <v>India</v>
      </c>
      <c r="E8775" s="135"/>
      <c r="F8775" s="31"/>
    </row>
    <row r="8776">
      <c r="A8776" s="134" t="str">
        <f>IFERROR(__xludf.DUMMYFUNCTION("""COMPUTED_VALUE"""),"Uden")</f>
        <v>Uden</v>
      </c>
      <c r="B8776" s="120" t="str">
        <f>IFERROR(__xludf.DUMMYFUNCTION("""COMPUTED_VALUE"""),"UDE")</f>
        <v>UDE</v>
      </c>
      <c r="C8776" s="120" t="str">
        <f>IFERROR(__xludf.DUMMYFUNCTION("""COMPUTED_VALUE"""),"Volkel")</f>
        <v>Volkel</v>
      </c>
      <c r="D8776" s="120" t="str">
        <f>IFERROR(__xludf.DUMMYFUNCTION("""COMPUTED_VALUE"""),"Netherlands")</f>
        <v>Netherlands</v>
      </c>
      <c r="E8776" s="135"/>
      <c r="F8776" s="31"/>
    </row>
    <row r="8777">
      <c r="A8777" s="134" t="str">
        <f>IFERROR(__xludf.DUMMYFUNCTION("""COMPUTED_VALUE"""),"Udine")</f>
        <v>Udine</v>
      </c>
      <c r="B8777" s="120" t="str">
        <f>IFERROR(__xludf.DUMMYFUNCTION("""COMPUTED_VALUE"""),"UDN")</f>
        <v>UDN</v>
      </c>
      <c r="C8777" s="120" t="str">
        <f>IFERROR(__xludf.DUMMYFUNCTION("""COMPUTED_VALUE"""),"Airfield")</f>
        <v>Airfield</v>
      </c>
      <c r="D8777" s="120" t="str">
        <f>IFERROR(__xludf.DUMMYFUNCTION("""COMPUTED_VALUE"""),"Italy")</f>
        <v>Italy</v>
      </c>
      <c r="E8777" s="135"/>
      <c r="F8777" s="31"/>
    </row>
    <row r="8778">
      <c r="A8778" s="134" t="str">
        <f>IFERROR(__xludf.DUMMYFUNCTION("""COMPUTED_VALUE"""),"Udomxay")</f>
        <v>Udomxay</v>
      </c>
      <c r="B8778" s="120" t="str">
        <f>IFERROR(__xludf.DUMMYFUNCTION("""COMPUTED_VALUE"""),"UDO")</f>
        <v>UDO</v>
      </c>
      <c r="C8778" s="120" t="str">
        <f>IFERROR(__xludf.DUMMYFUNCTION("""COMPUTED_VALUE"""),"Udomxay")</f>
        <v>Udomxay</v>
      </c>
      <c r="D8778" s="120" t="str">
        <f>IFERROR(__xludf.DUMMYFUNCTION("""COMPUTED_VALUE"""),"Laos")</f>
        <v>Laos</v>
      </c>
      <c r="E8778" s="135"/>
      <c r="F8778" s="31"/>
    </row>
    <row r="8779">
      <c r="A8779" s="134" t="str">
        <f>IFERROR(__xludf.DUMMYFUNCTION("""COMPUTED_VALUE"""),"Udon Thani")</f>
        <v>Udon Thani</v>
      </c>
      <c r="B8779" s="120" t="str">
        <f>IFERROR(__xludf.DUMMYFUNCTION("""COMPUTED_VALUE"""),"UTH")</f>
        <v>UTH</v>
      </c>
      <c r="C8779" s="120" t="str">
        <f>IFERROR(__xludf.DUMMYFUNCTION("""COMPUTED_VALUE"""),"Udon Thani")</f>
        <v>Udon Thani</v>
      </c>
      <c r="D8779" s="120" t="str">
        <f>IFERROR(__xludf.DUMMYFUNCTION("""COMPUTED_VALUE"""),"Thailand")</f>
        <v>Thailand</v>
      </c>
      <c r="E8779" s="135"/>
      <c r="F8779" s="31"/>
    </row>
    <row r="8780">
      <c r="A8780" s="134" t="str">
        <f>IFERROR(__xludf.DUMMYFUNCTION("""COMPUTED_VALUE"""),"Ufa")</f>
        <v>Ufa</v>
      </c>
      <c r="B8780" s="120" t="str">
        <f>IFERROR(__xludf.DUMMYFUNCTION("""COMPUTED_VALUE"""),"UFA")</f>
        <v>UFA</v>
      </c>
      <c r="C8780" s="120" t="str">
        <f>IFERROR(__xludf.DUMMYFUNCTION("""COMPUTED_VALUE"""),"Ufa")</f>
        <v>Ufa</v>
      </c>
      <c r="D8780" s="120" t="str">
        <f>IFERROR(__xludf.DUMMYFUNCTION("""COMPUTED_VALUE"""),"Russia")</f>
        <v>Russia</v>
      </c>
      <c r="E8780" s="135"/>
      <c r="F8780" s="31"/>
    </row>
    <row r="8781">
      <c r="A8781" s="134" t="str">
        <f>IFERROR(__xludf.DUMMYFUNCTION("""COMPUTED_VALUE"""),"Uganik")</f>
        <v>Uganik</v>
      </c>
      <c r="B8781" s="120" t="str">
        <f>IFERROR(__xludf.DUMMYFUNCTION("""COMPUTED_VALUE"""),"UGI")</f>
        <v>UGI</v>
      </c>
      <c r="C8781" s="120" t="str">
        <f>IFERROR(__xludf.DUMMYFUNCTION("""COMPUTED_VALUE"""),"Uganik")</f>
        <v>Uganik</v>
      </c>
      <c r="D8781" s="120" t="str">
        <f>IFERROR(__xludf.DUMMYFUNCTION("""COMPUTED_VALUE"""),"United States")</f>
        <v>United States</v>
      </c>
      <c r="E8781" s="135"/>
      <c r="F8781" s="31"/>
    </row>
    <row r="8782">
      <c r="A8782" s="134" t="str">
        <f>IFERROR(__xludf.DUMMYFUNCTION("""COMPUTED_VALUE"""),"Ugashik")</f>
        <v>Ugashik</v>
      </c>
      <c r="B8782" s="120" t="str">
        <f>IFERROR(__xludf.DUMMYFUNCTION("""COMPUTED_VALUE"""),"UGS")</f>
        <v>UGS</v>
      </c>
      <c r="C8782" s="120" t="str">
        <f>IFERROR(__xludf.DUMMYFUNCTION("""COMPUTED_VALUE"""),"Ugashik")</f>
        <v>Ugashik</v>
      </c>
      <c r="D8782" s="120" t="str">
        <f>IFERROR(__xludf.DUMMYFUNCTION("""COMPUTED_VALUE"""),"United States")</f>
        <v>United States</v>
      </c>
      <c r="E8782" s="135"/>
      <c r="F8782" s="31"/>
    </row>
    <row r="8783">
      <c r="A8783" s="134" t="str">
        <f>IFERROR(__xludf.DUMMYFUNCTION("""COMPUTED_VALUE"""),"Uherske Hradiste")</f>
        <v>Uherske Hradiste</v>
      </c>
      <c r="B8783" s="120" t="str">
        <f>IFERROR(__xludf.DUMMYFUNCTION("""COMPUTED_VALUE"""),"UHE")</f>
        <v>UHE</v>
      </c>
      <c r="C8783" s="120" t="str">
        <f>IFERROR(__xludf.DUMMYFUNCTION("""COMPUTED_VALUE"""),"Kunovice")</f>
        <v>Kunovice</v>
      </c>
      <c r="D8783" s="120" t="str">
        <f>IFERROR(__xludf.DUMMYFUNCTION("""COMPUTED_VALUE"""),"Czech")</f>
        <v>Czech</v>
      </c>
      <c r="E8783" s="135"/>
      <c r="F8783" s="31"/>
    </row>
    <row r="8784">
      <c r="A8784" s="134" t="str">
        <f>IFERROR(__xludf.DUMMYFUNCTION("""COMPUTED_VALUE"""),"Uige")</f>
        <v>Uige</v>
      </c>
      <c r="B8784" s="120" t="str">
        <f>IFERROR(__xludf.DUMMYFUNCTION("""COMPUTED_VALUE"""),"UGO")</f>
        <v>UGO</v>
      </c>
      <c r="C8784" s="120" t="str">
        <f>IFERROR(__xludf.DUMMYFUNCTION("""COMPUTED_VALUE"""),"Uige")</f>
        <v>Uige</v>
      </c>
      <c r="D8784" s="120" t="str">
        <f>IFERROR(__xludf.DUMMYFUNCTION("""COMPUTED_VALUE"""),"Angola")</f>
        <v>Angola</v>
      </c>
      <c r="E8784" s="135"/>
      <c r="F8784" s="31"/>
    </row>
    <row r="8785">
      <c r="A8785" s="134" t="str">
        <f>IFERROR(__xludf.DUMMYFUNCTION("""COMPUTED_VALUE"""),"Ujae Island")</f>
        <v>Ujae Island</v>
      </c>
      <c r="B8785" s="120" t="str">
        <f>IFERROR(__xludf.DUMMYFUNCTION("""COMPUTED_VALUE"""),"UJE")</f>
        <v>UJE</v>
      </c>
      <c r="C8785" s="120" t="str">
        <f>IFERROR(__xludf.DUMMYFUNCTION("""COMPUTED_VALUE"""),"Ujae Island")</f>
        <v>Ujae Island</v>
      </c>
      <c r="D8785" s="120" t="str">
        <f>IFERROR(__xludf.DUMMYFUNCTION("""COMPUTED_VALUE"""),"Marshall Islands")</f>
        <v>Marshall Islands</v>
      </c>
      <c r="E8785" s="135"/>
      <c r="F8785" s="31"/>
    </row>
    <row r="8786">
      <c r="A8786" s="134" t="str">
        <f>IFERROR(__xludf.DUMMYFUNCTION("""COMPUTED_VALUE"""),"Ujung Pandang")</f>
        <v>Ujung Pandang</v>
      </c>
      <c r="B8786" s="120" t="str">
        <f>IFERROR(__xludf.DUMMYFUNCTION("""COMPUTED_VALUE"""),"UPG")</f>
        <v>UPG</v>
      </c>
      <c r="C8786" s="120" t="str">
        <f>IFERROR(__xludf.DUMMYFUNCTION("""COMPUTED_VALUE"""),"Hasanudin")</f>
        <v>Hasanudin</v>
      </c>
      <c r="D8786" s="120" t="str">
        <f>IFERROR(__xludf.DUMMYFUNCTION("""COMPUTED_VALUE"""),"Indonesia")</f>
        <v>Indonesia</v>
      </c>
      <c r="E8786" s="135"/>
      <c r="F8786" s="31"/>
    </row>
    <row r="8787">
      <c r="A8787" s="134" t="str">
        <f>IFERROR(__xludf.DUMMYFUNCTION("""COMPUTED_VALUE"""),"Ukhta")</f>
        <v>Ukhta</v>
      </c>
      <c r="B8787" s="120" t="str">
        <f>IFERROR(__xludf.DUMMYFUNCTION("""COMPUTED_VALUE"""),"UCT")</f>
        <v>UCT</v>
      </c>
      <c r="C8787" s="120" t="str">
        <f>IFERROR(__xludf.DUMMYFUNCTION("""COMPUTED_VALUE"""),"Ukhta")</f>
        <v>Ukhta</v>
      </c>
      <c r="D8787" s="120" t="str">
        <f>IFERROR(__xludf.DUMMYFUNCTION("""COMPUTED_VALUE"""),"Russia")</f>
        <v>Russia</v>
      </c>
      <c r="E8787" s="135"/>
      <c r="F8787" s="31"/>
    </row>
    <row r="8788">
      <c r="A8788" s="134" t="str">
        <f>IFERROR(__xludf.DUMMYFUNCTION("""COMPUTED_VALUE"""),"Ukiah")</f>
        <v>Ukiah</v>
      </c>
      <c r="B8788" s="120" t="str">
        <f>IFERROR(__xludf.DUMMYFUNCTION("""COMPUTED_VALUE"""),"UKI")</f>
        <v>UKI</v>
      </c>
      <c r="C8788" s="120" t="str">
        <f>IFERROR(__xludf.DUMMYFUNCTION("""COMPUTED_VALUE"""),"Ukiah")</f>
        <v>Ukiah</v>
      </c>
      <c r="D8788" s="120" t="str">
        <f>IFERROR(__xludf.DUMMYFUNCTION("""COMPUTED_VALUE"""),"United States")</f>
        <v>United States</v>
      </c>
      <c r="E8788" s="135"/>
      <c r="F8788" s="31"/>
    </row>
    <row r="8789">
      <c r="A8789" s="134" t="str">
        <f>IFERROR(__xludf.DUMMYFUNCTION("""COMPUTED_VALUE"""),"Ukunda")</f>
        <v>Ukunda</v>
      </c>
      <c r="B8789" s="120" t="str">
        <f>IFERROR(__xludf.DUMMYFUNCTION("""COMPUTED_VALUE"""),"UKA")</f>
        <v>UKA</v>
      </c>
      <c r="C8789" s="120" t="str">
        <f>IFERROR(__xludf.DUMMYFUNCTION("""COMPUTED_VALUE"""),"Ukunda")</f>
        <v>Ukunda</v>
      </c>
      <c r="D8789" s="120" t="str">
        <f>IFERROR(__xludf.DUMMYFUNCTION("""COMPUTED_VALUE"""),"Kenya")</f>
        <v>Kenya</v>
      </c>
      <c r="E8789" s="135"/>
      <c r="F8789" s="31"/>
    </row>
    <row r="8790">
      <c r="A8790" s="134" t="str">
        <f>IFERROR(__xludf.DUMMYFUNCTION("""COMPUTED_VALUE"""),"Ulaanbaatar")</f>
        <v>Ulaanbaatar</v>
      </c>
      <c r="B8790" s="120" t="str">
        <f>IFERROR(__xludf.DUMMYFUNCTION("""COMPUTED_VALUE"""),"ULN")</f>
        <v>ULN</v>
      </c>
      <c r="C8790" s="120" t="str">
        <f>IFERROR(__xludf.DUMMYFUNCTION("""COMPUTED_VALUE"""),"Buyant Uhaa")</f>
        <v>Buyant Uhaa</v>
      </c>
      <c r="D8790" s="120" t="str">
        <f>IFERROR(__xludf.DUMMYFUNCTION("""COMPUTED_VALUE"""),"Mongolia")</f>
        <v>Mongolia</v>
      </c>
      <c r="E8790" s="135"/>
      <c r="F8790" s="31"/>
    </row>
    <row r="8791">
      <c r="A8791" s="134" t="str">
        <f>IFERROR(__xludf.DUMMYFUNCTION("""COMPUTED_VALUE"""),"Ulaangom")</f>
        <v>Ulaangom</v>
      </c>
      <c r="B8791" s="120" t="str">
        <f>IFERROR(__xludf.DUMMYFUNCTION("""COMPUTED_VALUE"""),"ULO")</f>
        <v>ULO</v>
      </c>
      <c r="C8791" s="120" t="str">
        <f>IFERROR(__xludf.DUMMYFUNCTION("""COMPUTED_VALUE"""),"Ulaangom")</f>
        <v>Ulaangom</v>
      </c>
      <c r="D8791" s="120" t="str">
        <f>IFERROR(__xludf.DUMMYFUNCTION("""COMPUTED_VALUE"""),"Mongolia")</f>
        <v>Mongolia</v>
      </c>
      <c r="E8791" s="135"/>
      <c r="F8791" s="31"/>
    </row>
    <row r="8792">
      <c r="A8792" s="134" t="str">
        <f>IFERROR(__xludf.DUMMYFUNCTION("""COMPUTED_VALUE"""),"Ulanhot")</f>
        <v>Ulanhot</v>
      </c>
      <c r="B8792" s="120" t="str">
        <f>IFERROR(__xludf.DUMMYFUNCTION("""COMPUTED_VALUE"""),"HLH")</f>
        <v>HLH</v>
      </c>
      <c r="C8792" s="120" t="str">
        <f>IFERROR(__xludf.DUMMYFUNCTION("""COMPUTED_VALUE"""),"Ulanhot")</f>
        <v>Ulanhot</v>
      </c>
      <c r="D8792" s="120" t="str">
        <f>IFERROR(__xludf.DUMMYFUNCTION("""COMPUTED_VALUE"""),"China")</f>
        <v>China</v>
      </c>
      <c r="E8792" s="135"/>
      <c r="F8792" s="31"/>
    </row>
    <row r="8793">
      <c r="A8793" s="134" t="str">
        <f>IFERROR(__xludf.DUMMYFUNCTION("""COMPUTED_VALUE"""),"Ulan-ude")</f>
        <v>Ulan-ude</v>
      </c>
      <c r="B8793" s="120" t="str">
        <f>IFERROR(__xludf.DUMMYFUNCTION("""COMPUTED_VALUE"""),"UUD")</f>
        <v>UUD</v>
      </c>
      <c r="C8793" s="120" t="str">
        <f>IFERROR(__xludf.DUMMYFUNCTION("""COMPUTED_VALUE"""),"Ulan-ude, Mukhino")</f>
        <v>Ulan-ude, Mukhino</v>
      </c>
      <c r="D8793" s="120" t="str">
        <f>IFERROR(__xludf.DUMMYFUNCTION("""COMPUTED_VALUE"""),"Russia")</f>
        <v>Russia</v>
      </c>
      <c r="E8793" s="135"/>
      <c r="F8793" s="31"/>
    </row>
    <row r="8794">
      <c r="A8794" s="134" t="str">
        <f>IFERROR(__xludf.DUMMYFUNCTION("""COMPUTED_VALUE"""),"Ulei")</f>
        <v>Ulei</v>
      </c>
      <c r="B8794" s="120" t="str">
        <f>IFERROR(__xludf.DUMMYFUNCTION("""COMPUTED_VALUE"""),"ULB")</f>
        <v>ULB</v>
      </c>
      <c r="C8794" s="120" t="str">
        <f>IFERROR(__xludf.DUMMYFUNCTION("""COMPUTED_VALUE"""),"Ulei")</f>
        <v>Ulei</v>
      </c>
      <c r="D8794" s="120" t="str">
        <f>IFERROR(__xludf.DUMMYFUNCTION("""COMPUTED_VALUE"""),"Vanuatu")</f>
        <v>Vanuatu</v>
      </c>
      <c r="E8794" s="135"/>
      <c r="F8794" s="31"/>
    </row>
    <row r="8795">
      <c r="A8795" s="134" t="str">
        <f>IFERROR(__xludf.DUMMYFUNCTION("""COMPUTED_VALUE"""),"Ulgit")</f>
        <v>Ulgit</v>
      </c>
      <c r="B8795" s="120" t="str">
        <f>IFERROR(__xludf.DUMMYFUNCTION("""COMPUTED_VALUE"""),"ULG")</f>
        <v>ULG</v>
      </c>
      <c r="C8795" s="120" t="str">
        <f>IFERROR(__xludf.DUMMYFUNCTION("""COMPUTED_VALUE"""),"Ulgit")</f>
        <v>Ulgit</v>
      </c>
      <c r="D8795" s="120" t="str">
        <f>IFERROR(__xludf.DUMMYFUNCTION("""COMPUTED_VALUE"""),"Mongolia")</f>
        <v>Mongolia</v>
      </c>
      <c r="E8795" s="135"/>
      <c r="F8795" s="31"/>
    </row>
    <row r="8796">
      <c r="A8796" s="134" t="str">
        <f>IFERROR(__xludf.DUMMYFUNCTION("""COMPUTED_VALUE"""),"Uliastai")</f>
        <v>Uliastai</v>
      </c>
      <c r="B8796" s="120" t="str">
        <f>IFERROR(__xludf.DUMMYFUNCTION("""COMPUTED_VALUE"""),"ULZ")</f>
        <v>ULZ</v>
      </c>
      <c r="C8796" s="120" t="str">
        <f>IFERROR(__xludf.DUMMYFUNCTION("""COMPUTED_VALUE"""),"Uliastai")</f>
        <v>Uliastai</v>
      </c>
      <c r="D8796" s="120" t="str">
        <f>IFERROR(__xludf.DUMMYFUNCTION("""COMPUTED_VALUE"""),"Mongolia")</f>
        <v>Mongolia</v>
      </c>
      <c r="E8796" s="135"/>
      <c r="F8796" s="31"/>
    </row>
    <row r="8797">
      <c r="A8797" s="134" t="str">
        <f>IFERROR(__xludf.DUMMYFUNCTION("""COMPUTED_VALUE"""),"Ulithi")</f>
        <v>Ulithi</v>
      </c>
      <c r="B8797" s="120" t="str">
        <f>IFERROR(__xludf.DUMMYFUNCTION("""COMPUTED_VALUE"""),"ULI")</f>
        <v>ULI</v>
      </c>
      <c r="C8797" s="120" t="str">
        <f>IFERROR(__xludf.DUMMYFUNCTION("""COMPUTED_VALUE"""),"Ulithi")</f>
        <v>Ulithi</v>
      </c>
      <c r="D8797" s="120" t="str">
        <f>IFERROR(__xludf.DUMMYFUNCTION("""COMPUTED_VALUE"""),"Micronesia")</f>
        <v>Micronesia</v>
      </c>
      <c r="E8797" s="135"/>
      <c r="F8797" s="31"/>
    </row>
    <row r="8798">
      <c r="A8798" s="134" t="str">
        <f>IFERROR(__xludf.DUMMYFUNCTION("""COMPUTED_VALUE"""),"Ulsan")</f>
        <v>Ulsan</v>
      </c>
      <c r="B8798" s="120" t="str">
        <f>IFERROR(__xludf.DUMMYFUNCTION("""COMPUTED_VALUE"""),"USN")</f>
        <v>USN</v>
      </c>
      <c r="C8798" s="120" t="str">
        <f>IFERROR(__xludf.DUMMYFUNCTION("""COMPUTED_VALUE"""),"Ulsan")</f>
        <v>Ulsan</v>
      </c>
      <c r="D8798" s="120" t="str">
        <f>IFERROR(__xludf.DUMMYFUNCTION("""COMPUTED_VALUE"""),"Korea (South)")</f>
        <v>Korea (South)</v>
      </c>
      <c r="E8798" s="135"/>
      <c r="F8798" s="31"/>
    </row>
    <row r="8799">
      <c r="A8799" s="134" t="str">
        <f>IFERROR(__xludf.DUMMYFUNCTION("""COMPUTED_VALUE"""),"Ulundi")</f>
        <v>Ulundi</v>
      </c>
      <c r="B8799" s="120" t="str">
        <f>IFERROR(__xludf.DUMMYFUNCTION("""COMPUTED_VALUE"""),"ULD")</f>
        <v>ULD</v>
      </c>
      <c r="C8799" s="120" t="str">
        <f>IFERROR(__xludf.DUMMYFUNCTION("""COMPUTED_VALUE"""),"Ulundi")</f>
        <v>Ulundi</v>
      </c>
      <c r="D8799" s="120" t="str">
        <f>IFERROR(__xludf.DUMMYFUNCTION("""COMPUTED_VALUE"""),"South Africa")</f>
        <v>South Africa</v>
      </c>
      <c r="E8799" s="135"/>
      <c r="F8799" s="31"/>
    </row>
    <row r="8800">
      <c r="A8800" s="134" t="str">
        <f>IFERROR(__xludf.DUMMYFUNCTION("""COMPUTED_VALUE"""),"Ulusaba")</f>
        <v>Ulusaba</v>
      </c>
      <c r="B8800" s="120" t="str">
        <f>IFERROR(__xludf.DUMMYFUNCTION("""COMPUTED_VALUE"""),"ULX")</f>
        <v>ULX</v>
      </c>
      <c r="C8800" s="120" t="str">
        <f>IFERROR(__xludf.DUMMYFUNCTION("""COMPUTED_VALUE"""),"Ulusaba")</f>
        <v>Ulusaba</v>
      </c>
      <c r="D8800" s="120" t="str">
        <f>IFERROR(__xludf.DUMMYFUNCTION("""COMPUTED_VALUE"""),"South Africa")</f>
        <v>South Africa</v>
      </c>
      <c r="E8800" s="135"/>
      <c r="F8800" s="31"/>
    </row>
    <row r="8801">
      <c r="A8801" s="134" t="str">
        <f>IFERROR(__xludf.DUMMYFUNCTION("""COMPUTED_VALUE"""),"Ulyanovsk")</f>
        <v>Ulyanovsk</v>
      </c>
      <c r="B8801" s="120" t="str">
        <f>IFERROR(__xludf.DUMMYFUNCTION("""COMPUTED_VALUE"""),"ULY")</f>
        <v>ULY</v>
      </c>
      <c r="C8801" s="120" t="str">
        <f>IFERROR(__xludf.DUMMYFUNCTION("""COMPUTED_VALUE"""),"Ulyanovsk")</f>
        <v>Ulyanovsk</v>
      </c>
      <c r="D8801" s="120" t="str">
        <f>IFERROR(__xludf.DUMMYFUNCTION("""COMPUTED_VALUE"""),"Russia")</f>
        <v>Russia</v>
      </c>
      <c r="E8801" s="135"/>
      <c r="F8801" s="31"/>
    </row>
    <row r="8802">
      <c r="A8802" s="134" t="str">
        <f>IFERROR(__xludf.DUMMYFUNCTION("""COMPUTED_VALUE"""),"Umba")</f>
        <v>Umba</v>
      </c>
      <c r="B8802" s="120" t="str">
        <f>IFERROR(__xludf.DUMMYFUNCTION("""COMPUTED_VALUE"""),"UMC")</f>
        <v>UMC</v>
      </c>
      <c r="C8802" s="120" t="str">
        <f>IFERROR(__xludf.DUMMYFUNCTION("""COMPUTED_VALUE"""),"Umba")</f>
        <v>Umba</v>
      </c>
      <c r="D8802" s="120" t="str">
        <f>IFERROR(__xludf.DUMMYFUNCTION("""COMPUTED_VALUE"""),"Papua New Guinea")</f>
        <v>Papua New Guinea</v>
      </c>
      <c r="E8802" s="135"/>
      <c r="F8802" s="31"/>
    </row>
    <row r="8803">
      <c r="A8803" s="134" t="str">
        <f>IFERROR(__xludf.DUMMYFUNCTION("""COMPUTED_VALUE"""),"Umea")</f>
        <v>Umea</v>
      </c>
      <c r="B8803" s="120" t="str">
        <f>IFERROR(__xludf.DUMMYFUNCTION("""COMPUTED_VALUE"""),"UME")</f>
        <v>UME</v>
      </c>
      <c r="C8803" s="120" t="str">
        <f>IFERROR(__xludf.DUMMYFUNCTION("""COMPUTED_VALUE"""),"Umea")</f>
        <v>Umea</v>
      </c>
      <c r="D8803" s="120" t="str">
        <f>IFERROR(__xludf.DUMMYFUNCTION("""COMPUTED_VALUE"""),"Sweden")</f>
        <v>Sweden</v>
      </c>
      <c r="E8803" s="135"/>
      <c r="F8803" s="31"/>
    </row>
    <row r="8804">
      <c r="A8804" s="134" t="str">
        <f>IFERROR(__xludf.DUMMYFUNCTION("""COMPUTED_VALUE"""),"Umiat")</f>
        <v>Umiat</v>
      </c>
      <c r="B8804" s="120" t="str">
        <f>IFERROR(__xludf.DUMMYFUNCTION("""COMPUTED_VALUE"""),"UMT")</f>
        <v>UMT</v>
      </c>
      <c r="C8804" s="120" t="str">
        <f>IFERROR(__xludf.DUMMYFUNCTION("""COMPUTED_VALUE"""),"Umiat")</f>
        <v>Umiat</v>
      </c>
      <c r="D8804" s="120" t="str">
        <f>IFERROR(__xludf.DUMMYFUNCTION("""COMPUTED_VALUE"""),"United States")</f>
        <v>United States</v>
      </c>
      <c r="E8804" s="135"/>
      <c r="F8804" s="31"/>
    </row>
    <row r="8805">
      <c r="A8805" s="134" t="str">
        <f>IFERROR(__xludf.DUMMYFUNCTION("""COMPUTED_VALUE"""),"Umiujaq")</f>
        <v>Umiujaq</v>
      </c>
      <c r="B8805" s="120" t="str">
        <f>IFERROR(__xludf.DUMMYFUNCTION("""COMPUTED_VALUE"""),"YUD")</f>
        <v>YUD</v>
      </c>
      <c r="C8805" s="120" t="str">
        <f>IFERROR(__xludf.DUMMYFUNCTION("""COMPUTED_VALUE"""),"Umiujaq")</f>
        <v>Umiujaq</v>
      </c>
      <c r="D8805" s="120" t="str">
        <f>IFERROR(__xludf.DUMMYFUNCTION("""COMPUTED_VALUE"""),"Canada")</f>
        <v>Canada</v>
      </c>
      <c r="E8805" s="135"/>
      <c r="F8805" s="31"/>
    </row>
    <row r="8806">
      <c r="A8806" s="134" t="str">
        <f>IFERROR(__xludf.DUMMYFUNCTION("""COMPUTED_VALUE"""),"Umnak Island")</f>
        <v>Umnak Island</v>
      </c>
      <c r="B8806" s="120" t="str">
        <f>IFERROR(__xludf.DUMMYFUNCTION("""COMPUTED_VALUE"""),"UMB")</f>
        <v>UMB</v>
      </c>
      <c r="C8806" s="120" t="str">
        <f>IFERROR(__xludf.DUMMYFUNCTION("""COMPUTED_VALUE"""),"North Shore")</f>
        <v>North Shore</v>
      </c>
      <c r="D8806" s="120" t="str">
        <f>IFERROR(__xludf.DUMMYFUNCTION("""COMPUTED_VALUE"""),"United States")</f>
        <v>United States</v>
      </c>
      <c r="E8806" s="135"/>
      <c r="F8806" s="31"/>
    </row>
    <row r="8807">
      <c r="A8807" s="134" t="str">
        <f>IFERROR(__xludf.DUMMYFUNCTION("""COMPUTED_VALUE"""),"Umnak Island")</f>
        <v>Umnak Island</v>
      </c>
      <c r="B8807" s="120" t="str">
        <f>IFERROR(__xludf.DUMMYFUNCTION("""COMPUTED_VALUE"""),"UNS")</f>
        <v>UNS</v>
      </c>
      <c r="C8807" s="120" t="str">
        <f>IFERROR(__xludf.DUMMYFUNCTION("""COMPUTED_VALUE"""),"Umnak")</f>
        <v>Umnak</v>
      </c>
      <c r="D8807" s="120" t="str">
        <f>IFERROR(__xludf.DUMMYFUNCTION("""COMPUTED_VALUE"""),"United States")</f>
        <v>United States</v>
      </c>
      <c r="E8807" s="135"/>
      <c r="F8807" s="31"/>
    </row>
    <row r="8808">
      <c r="A8808" s="134" t="str">
        <f>IFERROR(__xludf.DUMMYFUNCTION("""COMPUTED_VALUE"""),"Umnugobitour")</f>
        <v>Umnugobitour</v>
      </c>
      <c r="B8808" s="120" t="str">
        <f>IFERROR(__xludf.DUMMYFUNCTION("""COMPUTED_VALUE"""),"UGT")</f>
        <v>UGT</v>
      </c>
      <c r="C8808" s="120" t="str">
        <f>IFERROR(__xludf.DUMMYFUNCTION("""COMPUTED_VALUE"""),"Umnugobitour")</f>
        <v>Umnugobitour</v>
      </c>
      <c r="D8808" s="120" t="str">
        <f>IFERROR(__xludf.DUMMYFUNCTION("""COMPUTED_VALUE"""),"Mongolia")</f>
        <v>Mongolia</v>
      </c>
      <c r="E8808" s="135"/>
      <c r="F8808" s="31"/>
    </row>
    <row r="8809">
      <c r="A8809" s="134" t="str">
        <f>IFERROR(__xludf.DUMMYFUNCTION("""COMPUTED_VALUE"""),"Umtata")</f>
        <v>Umtata</v>
      </c>
      <c r="B8809" s="120" t="str">
        <f>IFERROR(__xludf.DUMMYFUNCTION("""COMPUTED_VALUE"""),"UTT")</f>
        <v>UTT</v>
      </c>
      <c r="C8809" s="120" t="str">
        <f>IFERROR(__xludf.DUMMYFUNCTION("""COMPUTED_VALUE"""),"Umtata")</f>
        <v>Umtata</v>
      </c>
      <c r="D8809" s="120" t="str">
        <f>IFERROR(__xludf.DUMMYFUNCTION("""COMPUTED_VALUE"""),"South Africa")</f>
        <v>South Africa</v>
      </c>
      <c r="E8809" s="135"/>
      <c r="F8809" s="31"/>
    </row>
    <row r="8810">
      <c r="A8810" s="134" t="str">
        <f>IFERROR(__xludf.DUMMYFUNCTION("""COMPUTED_VALUE"""),"Umuarama")</f>
        <v>Umuarama</v>
      </c>
      <c r="B8810" s="120" t="str">
        <f>IFERROR(__xludf.DUMMYFUNCTION("""COMPUTED_VALUE"""),"UMU")</f>
        <v>UMU</v>
      </c>
      <c r="C8810" s="120" t="str">
        <f>IFERROR(__xludf.DUMMYFUNCTION("""COMPUTED_VALUE"""),"Ernesto Geisel")</f>
        <v>Ernesto Geisel</v>
      </c>
      <c r="D8810" s="120" t="str">
        <f>IFERROR(__xludf.DUMMYFUNCTION("""COMPUTED_VALUE"""),"Brazil")</f>
        <v>Brazil</v>
      </c>
      <c r="E8810" s="135"/>
      <c r="F8810" s="31"/>
    </row>
    <row r="8811">
      <c r="A8811" s="134" t="str">
        <f>IFERROR(__xludf.DUMMYFUNCTION("""COMPUTED_VALUE"""),"Una")</f>
        <v>Una</v>
      </c>
      <c r="B8811" s="120" t="str">
        <f>IFERROR(__xludf.DUMMYFUNCTION("""COMPUTED_VALUE"""),"UNA")</f>
        <v>UNA</v>
      </c>
      <c r="C8811" s="120" t="str">
        <f>IFERROR(__xludf.DUMMYFUNCTION("""COMPUTED_VALUE"""),"Una")</f>
        <v>Una</v>
      </c>
      <c r="D8811" s="120" t="str">
        <f>IFERROR(__xludf.DUMMYFUNCTION("""COMPUTED_VALUE"""),"Brazil")</f>
        <v>Brazil</v>
      </c>
      <c r="E8811" s="135"/>
      <c r="F8811" s="31"/>
    </row>
    <row r="8812">
      <c r="A8812" s="134" t="str">
        <f>IFERROR(__xludf.DUMMYFUNCTION("""COMPUTED_VALUE"""),"Unalakleet")</f>
        <v>Unalakleet</v>
      </c>
      <c r="B8812" s="120" t="str">
        <f>IFERROR(__xludf.DUMMYFUNCTION("""COMPUTED_VALUE"""),"UNK")</f>
        <v>UNK</v>
      </c>
      <c r="C8812" s="120" t="str">
        <f>IFERROR(__xludf.DUMMYFUNCTION("""COMPUTED_VALUE"""),"Unalakleet")</f>
        <v>Unalakleet</v>
      </c>
      <c r="D8812" s="120" t="str">
        <f>IFERROR(__xludf.DUMMYFUNCTION("""COMPUTED_VALUE"""),"United States")</f>
        <v>United States</v>
      </c>
      <c r="E8812" s="135"/>
      <c r="F8812" s="31"/>
    </row>
    <row r="8813">
      <c r="A8813" s="134" t="str">
        <f>IFERROR(__xludf.DUMMYFUNCTION("""COMPUTED_VALUE"""),"Unayzah")</f>
        <v>Unayzah</v>
      </c>
      <c r="B8813" s="120" t="str">
        <f>IFERROR(__xludf.DUMMYFUNCTION("""COMPUTED_VALUE"""),"UZH")</f>
        <v>UZH</v>
      </c>
      <c r="C8813" s="120" t="str">
        <f>IFERROR(__xludf.DUMMYFUNCTION("""COMPUTED_VALUE"""),"Unayzah")</f>
        <v>Unayzah</v>
      </c>
      <c r="D8813" s="120" t="str">
        <f>IFERROR(__xludf.DUMMYFUNCTION("""COMPUTED_VALUE"""),"Saudi Arabia")</f>
        <v>Saudi Arabia</v>
      </c>
      <c r="E8813" s="135"/>
      <c r="F8813" s="31"/>
    </row>
    <row r="8814">
      <c r="A8814" s="134" t="str">
        <f>IFERROR(__xludf.DUMMYFUNCTION("""COMPUTED_VALUE"""),"Undarra")</f>
        <v>Undarra</v>
      </c>
      <c r="B8814" s="120" t="str">
        <f>IFERROR(__xludf.DUMMYFUNCTION("""COMPUTED_VALUE"""),"UDA")</f>
        <v>UDA</v>
      </c>
      <c r="C8814" s="120" t="str">
        <f>IFERROR(__xludf.DUMMYFUNCTION("""COMPUTED_VALUE"""),"Undarra")</f>
        <v>Undarra</v>
      </c>
      <c r="D8814" s="120" t="str">
        <f>IFERROR(__xludf.DUMMYFUNCTION("""COMPUTED_VALUE"""),"Australia")</f>
        <v>Australia</v>
      </c>
      <c r="E8814" s="135"/>
      <c r="F8814" s="31"/>
    </row>
    <row r="8815">
      <c r="A8815" s="134" t="str">
        <f>IFERROR(__xludf.DUMMYFUNCTION("""COMPUTED_VALUE"""),"Underkhaan")</f>
        <v>Underkhaan</v>
      </c>
      <c r="B8815" s="120" t="str">
        <f>IFERROR(__xludf.DUMMYFUNCTION("""COMPUTED_VALUE"""),"UNR")</f>
        <v>UNR</v>
      </c>
      <c r="C8815" s="120" t="str">
        <f>IFERROR(__xludf.DUMMYFUNCTION("""COMPUTED_VALUE"""),"Underkhaan")</f>
        <v>Underkhaan</v>
      </c>
      <c r="D8815" s="120" t="str">
        <f>IFERROR(__xludf.DUMMYFUNCTION("""COMPUTED_VALUE"""),"Mongolia")</f>
        <v>Mongolia</v>
      </c>
      <c r="E8815" s="135"/>
      <c r="F8815" s="31"/>
    </row>
    <row r="8816">
      <c r="A8816" s="134" t="str">
        <f>IFERROR(__xludf.DUMMYFUNCTION("""COMPUTED_VALUE"""),"Unguia")</f>
        <v>Unguia</v>
      </c>
      <c r="B8816" s="120" t="str">
        <f>IFERROR(__xludf.DUMMYFUNCTION("""COMPUTED_VALUE"""),"UNC")</f>
        <v>UNC</v>
      </c>
      <c r="C8816" s="120" t="str">
        <f>IFERROR(__xludf.DUMMYFUNCTION("""COMPUTED_VALUE"""),"Unguia")</f>
        <v>Unguia</v>
      </c>
      <c r="D8816" s="120" t="str">
        <f>IFERROR(__xludf.DUMMYFUNCTION("""COMPUTED_VALUE"""),"Colombia")</f>
        <v>Colombia</v>
      </c>
      <c r="E8816" s="135"/>
      <c r="F8816" s="31"/>
    </row>
    <row r="8817">
      <c r="A8817" s="134" t="str">
        <f>IFERROR(__xludf.DUMMYFUNCTION("""COMPUTED_VALUE"""),"Union City")</f>
        <v>Union City</v>
      </c>
      <c r="B8817" s="120" t="str">
        <f>IFERROR(__xludf.DUMMYFUNCTION("""COMPUTED_VALUE"""),"UCY")</f>
        <v>UCY</v>
      </c>
      <c r="C8817" s="120" t="str">
        <f>IFERROR(__xludf.DUMMYFUNCTION("""COMPUTED_VALUE"""),"Everett-Stewart")</f>
        <v>Everett-Stewart</v>
      </c>
      <c r="D8817" s="120" t="str">
        <f>IFERROR(__xludf.DUMMYFUNCTION("""COMPUTED_VALUE"""),"United States")</f>
        <v>United States</v>
      </c>
      <c r="E8817" s="135"/>
      <c r="F8817" s="31"/>
    </row>
    <row r="8818">
      <c r="A8818" s="134" t="str">
        <f>IFERROR(__xludf.DUMMYFUNCTION("""COMPUTED_VALUE"""),"Union Island")</f>
        <v>Union Island</v>
      </c>
      <c r="B8818" s="120" t="str">
        <f>IFERROR(__xludf.DUMMYFUNCTION("""COMPUTED_VALUE"""),"UNI")</f>
        <v>UNI</v>
      </c>
      <c r="C8818" s="120" t="str">
        <f>IFERROR(__xludf.DUMMYFUNCTION("""COMPUTED_VALUE"""),"Union Island")</f>
        <v>Union Island</v>
      </c>
      <c r="D8818" s="120" t="str">
        <f>IFERROR(__xludf.DUMMYFUNCTION("""COMPUTED_VALUE"""),"Saint Vincent and the Grenadines")</f>
        <v>Saint Vincent and the Grenadines</v>
      </c>
      <c r="E8818" s="135"/>
      <c r="F8818" s="31"/>
    </row>
    <row r="8819">
      <c r="A8819" s="134" t="str">
        <f>IFERROR(__xludf.DUMMYFUNCTION("""COMPUTED_VALUE"""),"Unst Shetland Is")</f>
        <v>Unst Shetland Is</v>
      </c>
      <c r="B8819" s="120" t="str">
        <f>IFERROR(__xludf.DUMMYFUNCTION("""COMPUTED_VALUE"""),"UNT")</f>
        <v>UNT</v>
      </c>
      <c r="C8819" s="120" t="str">
        <f>IFERROR(__xludf.DUMMYFUNCTION("""COMPUTED_VALUE"""),"Baltasound")</f>
        <v>Baltasound</v>
      </c>
      <c r="D8819" s="120" t="str">
        <f>IFERROR(__xludf.DUMMYFUNCTION("""COMPUTED_VALUE"""),"United Kingdom")</f>
        <v>United Kingdom</v>
      </c>
      <c r="E8819" s="135"/>
      <c r="F8819" s="31"/>
    </row>
    <row r="8820">
      <c r="A8820" s="134" t="str">
        <f>IFERROR(__xludf.DUMMYFUNCTION("""COMPUTED_VALUE"""),"Upala")</f>
        <v>Upala</v>
      </c>
      <c r="B8820" s="120" t="str">
        <f>IFERROR(__xludf.DUMMYFUNCTION("""COMPUTED_VALUE"""),"UPL")</f>
        <v>UPL</v>
      </c>
      <c r="C8820" s="120" t="str">
        <f>IFERROR(__xludf.DUMMYFUNCTION("""COMPUTED_VALUE"""),"Upala")</f>
        <v>Upala</v>
      </c>
      <c r="D8820" s="120" t="str">
        <f>IFERROR(__xludf.DUMMYFUNCTION("""COMPUTED_VALUE"""),"Costa Rica")</f>
        <v>Costa Rica</v>
      </c>
      <c r="E8820" s="135"/>
      <c r="F8820" s="31"/>
    </row>
    <row r="8821">
      <c r="A8821" s="134" t="str">
        <f>IFERROR(__xludf.DUMMYFUNCTION("""COMPUTED_VALUE"""),"Upavon")</f>
        <v>Upavon</v>
      </c>
      <c r="B8821" s="120" t="str">
        <f>IFERROR(__xludf.DUMMYFUNCTION("""COMPUTED_VALUE"""),"UPV")</f>
        <v>UPV</v>
      </c>
      <c r="C8821" s="120" t="str">
        <f>IFERROR(__xludf.DUMMYFUNCTION("""COMPUTED_VALUE"""),"Upavon")</f>
        <v>Upavon</v>
      </c>
      <c r="D8821" s="120" t="str">
        <f>IFERROR(__xludf.DUMMYFUNCTION("""COMPUTED_VALUE"""),"United Kingdom")</f>
        <v>United Kingdom</v>
      </c>
      <c r="E8821" s="135"/>
      <c r="F8821" s="31"/>
    </row>
    <row r="8822">
      <c r="A8822" s="134" t="str">
        <f>IFERROR(__xludf.DUMMYFUNCTION("""COMPUTED_VALUE"""),"Upernavik")</f>
        <v>Upernavik</v>
      </c>
      <c r="B8822" s="120" t="str">
        <f>IFERROR(__xludf.DUMMYFUNCTION("""COMPUTED_VALUE"""),"JUV")</f>
        <v>JUV</v>
      </c>
      <c r="C8822" s="120" t="str">
        <f>IFERROR(__xludf.DUMMYFUNCTION("""COMPUTED_VALUE"""),"Heliport")</f>
        <v>Heliport</v>
      </c>
      <c r="D8822" s="120" t="str">
        <f>IFERROR(__xludf.DUMMYFUNCTION("""COMPUTED_VALUE"""),"Greenland")</f>
        <v>Greenland</v>
      </c>
      <c r="E8822" s="135"/>
      <c r="F8822" s="31"/>
    </row>
    <row r="8823">
      <c r="A8823" s="134" t="str">
        <f>IFERROR(__xludf.DUMMYFUNCTION("""COMPUTED_VALUE"""),"Upiara")</f>
        <v>Upiara</v>
      </c>
      <c r="B8823" s="120" t="str">
        <f>IFERROR(__xludf.DUMMYFUNCTION("""COMPUTED_VALUE"""),"UPR")</f>
        <v>UPR</v>
      </c>
      <c r="C8823" s="120" t="str">
        <f>IFERROR(__xludf.DUMMYFUNCTION("""COMPUTED_VALUE"""),"Upiara")</f>
        <v>Upiara</v>
      </c>
      <c r="D8823" s="120" t="str">
        <f>IFERROR(__xludf.DUMMYFUNCTION("""COMPUTED_VALUE"""),"Papua New Guinea")</f>
        <v>Papua New Guinea</v>
      </c>
      <c r="E8823" s="135"/>
      <c r="F8823" s="31"/>
    </row>
    <row r="8824">
      <c r="A8824" s="134" t="str">
        <f>IFERROR(__xludf.DUMMYFUNCTION("""COMPUTED_VALUE"""),"Upington")</f>
        <v>Upington</v>
      </c>
      <c r="B8824" s="120" t="str">
        <f>IFERROR(__xludf.DUMMYFUNCTION("""COMPUTED_VALUE"""),"UTN")</f>
        <v>UTN</v>
      </c>
      <c r="C8824" s="120" t="str">
        <f>IFERROR(__xludf.DUMMYFUNCTION("""COMPUTED_VALUE"""),"Upington")</f>
        <v>Upington</v>
      </c>
      <c r="D8824" s="120" t="str">
        <f>IFERROR(__xludf.DUMMYFUNCTION("""COMPUTED_VALUE"""),"South Africa")</f>
        <v>South Africa</v>
      </c>
      <c r="E8824" s="135"/>
      <c r="F8824" s="31"/>
    </row>
    <row r="8825">
      <c r="A8825" s="134" t="str">
        <f>IFERROR(__xludf.DUMMYFUNCTION("""COMPUTED_VALUE"""),"Upland")</f>
        <v>Upland</v>
      </c>
      <c r="B8825" s="120" t="str">
        <f>IFERROR(__xludf.DUMMYFUNCTION("""COMPUTED_VALUE"""),"CCB")</f>
        <v>CCB</v>
      </c>
      <c r="C8825" s="120" t="str">
        <f>IFERROR(__xludf.DUMMYFUNCTION("""COMPUTED_VALUE"""),"Cable")</f>
        <v>Cable</v>
      </c>
      <c r="D8825" s="120" t="str">
        <f>IFERROR(__xludf.DUMMYFUNCTION("""COMPUTED_VALUE"""),"United States")</f>
        <v>United States</v>
      </c>
      <c r="E8825" s="135"/>
      <c r="F8825" s="31"/>
    </row>
    <row r="8826">
      <c r="A8826" s="134" t="str">
        <f>IFERROR(__xludf.DUMMYFUNCTION("""COMPUTED_VALUE"""),"Upland")</f>
        <v>Upland</v>
      </c>
      <c r="B8826" s="120" t="str">
        <f>IFERROR(__xludf.DUMMYFUNCTION("""COMPUTED_VALUE"""),"JUP")</f>
        <v>JUP</v>
      </c>
      <c r="C8826" s="120" t="str">
        <f>IFERROR(__xludf.DUMMYFUNCTION("""COMPUTED_VALUE"""),"Cable Heliport")</f>
        <v>Cable Heliport</v>
      </c>
      <c r="D8826" s="120" t="str">
        <f>IFERROR(__xludf.DUMMYFUNCTION("""COMPUTED_VALUE"""),"United States")</f>
        <v>United States</v>
      </c>
      <c r="E8826" s="135"/>
      <c r="F8826" s="31"/>
    </row>
    <row r="8827">
      <c r="A8827" s="134" t="str">
        <f>IFERROR(__xludf.DUMMYFUNCTION("""COMPUTED_VALUE"""),"Upolu Point")</f>
        <v>Upolu Point</v>
      </c>
      <c r="B8827" s="120" t="str">
        <f>IFERROR(__xludf.DUMMYFUNCTION("""COMPUTED_VALUE"""),"UPP")</f>
        <v>UPP</v>
      </c>
      <c r="C8827" s="120" t="str">
        <f>IFERROR(__xludf.DUMMYFUNCTION("""COMPUTED_VALUE"""),"Upolu Point")</f>
        <v>Upolu Point</v>
      </c>
      <c r="D8827" s="120" t="str">
        <f>IFERROR(__xludf.DUMMYFUNCTION("""COMPUTED_VALUE"""),"United States")</f>
        <v>United States</v>
      </c>
      <c r="E8827" s="135"/>
      <c r="F8827" s="31"/>
    </row>
    <row r="8828">
      <c r="A8828" s="134" t="str">
        <f>IFERROR(__xludf.DUMMYFUNCTION("""COMPUTED_VALUE"""),"Upper Heyford")</f>
        <v>Upper Heyford</v>
      </c>
      <c r="B8828" s="120" t="str">
        <f>IFERROR(__xludf.DUMMYFUNCTION("""COMPUTED_VALUE"""),"UHF")</f>
        <v>UHF</v>
      </c>
      <c r="C8828" s="120" t="str">
        <f>IFERROR(__xludf.DUMMYFUNCTION("""COMPUTED_VALUE"""),"RAF Station")</f>
        <v>RAF Station</v>
      </c>
      <c r="D8828" s="120" t="str">
        <f>IFERROR(__xludf.DUMMYFUNCTION("""COMPUTED_VALUE"""),"United Kingdom")</f>
        <v>United Kingdom</v>
      </c>
      <c r="E8828" s="135"/>
      <c r="F8828" s="31"/>
    </row>
    <row r="8829">
      <c r="A8829" s="134" t="str">
        <f>IFERROR(__xludf.DUMMYFUNCTION("""COMPUTED_VALUE"""),"Uraj")</f>
        <v>Uraj</v>
      </c>
      <c r="B8829" s="120" t="str">
        <f>IFERROR(__xludf.DUMMYFUNCTION("""COMPUTED_VALUE"""),"URJ")</f>
        <v>URJ</v>
      </c>
      <c r="C8829" s="120" t="str">
        <f>IFERROR(__xludf.DUMMYFUNCTION("""COMPUTED_VALUE"""),"Uraj")</f>
        <v>Uraj</v>
      </c>
      <c r="D8829" s="120" t="str">
        <f>IFERROR(__xludf.DUMMYFUNCTION("""COMPUTED_VALUE"""),"Russia")</f>
        <v>Russia</v>
      </c>
      <c r="E8829" s="135"/>
      <c r="F8829" s="31"/>
    </row>
    <row r="8830">
      <c r="A8830" s="134" t="str">
        <f>IFERROR(__xludf.DUMMYFUNCTION("""COMPUTED_VALUE"""),"Uralsk")</f>
        <v>Uralsk</v>
      </c>
      <c r="B8830" s="120" t="str">
        <f>IFERROR(__xludf.DUMMYFUNCTION("""COMPUTED_VALUE"""),"URA")</f>
        <v>URA</v>
      </c>
      <c r="C8830" s="120" t="str">
        <f>IFERROR(__xludf.DUMMYFUNCTION("""COMPUTED_VALUE"""),"Uralsk")</f>
        <v>Uralsk</v>
      </c>
      <c r="D8830" s="120" t="str">
        <f>IFERROR(__xludf.DUMMYFUNCTION("""COMPUTED_VALUE"""),"Kazakhstan")</f>
        <v>Kazakhstan</v>
      </c>
      <c r="E8830" s="135"/>
      <c r="F8830" s="31"/>
    </row>
    <row r="8831">
      <c r="A8831" s="134" t="str">
        <f>IFERROR(__xludf.DUMMYFUNCTION("""COMPUTED_VALUE"""),"Uranium City")</f>
        <v>Uranium City</v>
      </c>
      <c r="B8831" s="120" t="str">
        <f>IFERROR(__xludf.DUMMYFUNCTION("""COMPUTED_VALUE"""),"YBE")</f>
        <v>YBE</v>
      </c>
      <c r="C8831" s="120" t="str">
        <f>IFERROR(__xludf.DUMMYFUNCTION("""COMPUTED_VALUE"""),"Uranium City")</f>
        <v>Uranium City</v>
      </c>
      <c r="D8831" s="120" t="str">
        <f>IFERROR(__xludf.DUMMYFUNCTION("""COMPUTED_VALUE"""),"Canada")</f>
        <v>Canada</v>
      </c>
      <c r="E8831" s="135"/>
      <c r="F8831" s="31"/>
    </row>
    <row r="8832">
      <c r="A8832" s="134" t="str">
        <f>IFERROR(__xludf.DUMMYFUNCTION("""COMPUTED_VALUE"""),"Urgench")</f>
        <v>Urgench</v>
      </c>
      <c r="B8832" s="120" t="str">
        <f>IFERROR(__xludf.DUMMYFUNCTION("""COMPUTED_VALUE"""),"UGC")</f>
        <v>UGC</v>
      </c>
      <c r="C8832" s="120" t="str">
        <f>IFERROR(__xludf.DUMMYFUNCTION("""COMPUTED_VALUE"""),"Urgench")</f>
        <v>Urgench</v>
      </c>
      <c r="D8832" s="120" t="str">
        <f>IFERROR(__xludf.DUMMYFUNCTION("""COMPUTED_VALUE"""),"Uzbekistan")</f>
        <v>Uzbekistan</v>
      </c>
      <c r="E8832" s="135"/>
      <c r="F8832" s="31"/>
    </row>
    <row r="8833">
      <c r="A8833" s="134" t="str">
        <f>IFERROR(__xludf.DUMMYFUNCTION("""COMPUTED_VALUE"""),"Urgoon")</f>
        <v>Urgoon</v>
      </c>
      <c r="B8833" s="120" t="str">
        <f>IFERROR(__xludf.DUMMYFUNCTION("""COMPUTED_VALUE"""),"URN")</f>
        <v>URN</v>
      </c>
      <c r="C8833" s="120" t="str">
        <f>IFERROR(__xludf.DUMMYFUNCTION("""COMPUTED_VALUE"""),"Urgoon")</f>
        <v>Urgoon</v>
      </c>
      <c r="D8833" s="120" t="str">
        <f>IFERROR(__xludf.DUMMYFUNCTION("""COMPUTED_VALUE"""),"Afghanistan")</f>
        <v>Afghanistan</v>
      </c>
      <c r="E8833" s="135"/>
      <c r="F8833" s="31"/>
    </row>
    <row r="8834">
      <c r="A8834" s="134" t="str">
        <f>IFERROR(__xludf.DUMMYFUNCTION("""COMPUTED_VALUE"""),"Uribe")</f>
        <v>Uribe</v>
      </c>
      <c r="B8834" s="120" t="str">
        <f>IFERROR(__xludf.DUMMYFUNCTION("""COMPUTED_VALUE"""),"URI")</f>
        <v>URI</v>
      </c>
      <c r="C8834" s="120" t="str">
        <f>IFERROR(__xludf.DUMMYFUNCTION("""COMPUTED_VALUE"""),"Uribe")</f>
        <v>Uribe</v>
      </c>
      <c r="D8834" s="120" t="str">
        <f>IFERROR(__xludf.DUMMYFUNCTION("""COMPUTED_VALUE"""),"Colombia")</f>
        <v>Colombia</v>
      </c>
      <c r="E8834" s="135"/>
      <c r="F8834" s="31"/>
    </row>
    <row r="8835">
      <c r="A8835" s="134" t="str">
        <f>IFERROR(__xludf.DUMMYFUNCTION("""COMPUTED_VALUE"""),"Uriman")</f>
        <v>Uriman</v>
      </c>
      <c r="B8835" s="120" t="str">
        <f>IFERROR(__xludf.DUMMYFUNCTION("""COMPUTED_VALUE"""),"URM")</f>
        <v>URM</v>
      </c>
      <c r="C8835" s="120" t="str">
        <f>IFERROR(__xludf.DUMMYFUNCTION("""COMPUTED_VALUE"""),"Uriman")</f>
        <v>Uriman</v>
      </c>
      <c r="D8835" s="120" t="str">
        <f>IFERROR(__xludf.DUMMYFUNCTION("""COMPUTED_VALUE"""),"Venezuela")</f>
        <v>Venezuela</v>
      </c>
      <c r="E8835" s="135"/>
      <c r="F8835" s="31"/>
    </row>
    <row r="8836">
      <c r="A8836" s="134" t="str">
        <f>IFERROR(__xludf.DUMMYFUNCTION("""COMPUTED_VALUE"""),"Urmieh")</f>
        <v>Urmieh</v>
      </c>
      <c r="B8836" s="120" t="str">
        <f>IFERROR(__xludf.DUMMYFUNCTION("""COMPUTED_VALUE"""),"OMH")</f>
        <v>OMH</v>
      </c>
      <c r="C8836" s="120" t="str">
        <f>IFERROR(__xludf.DUMMYFUNCTION("""COMPUTED_VALUE"""),"Urmieh")</f>
        <v>Urmieh</v>
      </c>
      <c r="D8836" s="120" t="str">
        <f>IFERROR(__xludf.DUMMYFUNCTION("""COMPUTED_VALUE"""),"Iran")</f>
        <v>Iran</v>
      </c>
      <c r="E8836" s="135"/>
      <c r="F8836" s="31"/>
    </row>
    <row r="8837">
      <c r="A8837" s="134" t="str">
        <f>IFERROR(__xludf.DUMMYFUNCTION("""COMPUTED_VALUE"""),"Uroubi")</f>
        <v>Uroubi</v>
      </c>
      <c r="B8837" s="120" t="str">
        <f>IFERROR(__xludf.DUMMYFUNCTION("""COMPUTED_VALUE"""),"URU")</f>
        <v>URU</v>
      </c>
      <c r="C8837" s="120" t="str">
        <f>IFERROR(__xludf.DUMMYFUNCTION("""COMPUTED_VALUE"""),"Uroubi")</f>
        <v>Uroubi</v>
      </c>
      <c r="D8837" s="120" t="str">
        <f>IFERROR(__xludf.DUMMYFUNCTION("""COMPUTED_VALUE"""),"Papua New Guinea")</f>
        <v>Papua New Guinea</v>
      </c>
      <c r="E8837" s="135"/>
      <c r="F8837" s="31"/>
    </row>
    <row r="8838">
      <c r="A8838" s="134" t="str">
        <f>IFERROR(__xludf.DUMMYFUNCTION("""COMPUTED_VALUE"""),"Urrao")</f>
        <v>Urrao</v>
      </c>
      <c r="B8838" s="120" t="str">
        <f>IFERROR(__xludf.DUMMYFUNCTION("""COMPUTED_VALUE"""),"URR")</f>
        <v>URR</v>
      </c>
      <c r="C8838" s="120" t="str">
        <f>IFERROR(__xludf.DUMMYFUNCTION("""COMPUTED_VALUE"""),"Urrao")</f>
        <v>Urrao</v>
      </c>
      <c r="D8838" s="120" t="str">
        <f>IFERROR(__xludf.DUMMYFUNCTION("""COMPUTED_VALUE"""),"Colombia")</f>
        <v>Colombia</v>
      </c>
      <c r="E8838" s="135"/>
      <c r="F8838" s="31"/>
    </row>
    <row r="8839">
      <c r="A8839" s="134" t="str">
        <f>IFERROR(__xludf.DUMMYFUNCTION("""COMPUTED_VALUE"""),"Uruapan")</f>
        <v>Uruapan</v>
      </c>
      <c r="B8839" s="120" t="str">
        <f>IFERROR(__xludf.DUMMYFUNCTION("""COMPUTED_VALUE"""),"UPN")</f>
        <v>UPN</v>
      </c>
      <c r="C8839" s="120" t="str">
        <f>IFERROR(__xludf.DUMMYFUNCTION("""COMPUTED_VALUE"""),"Uruapan")</f>
        <v>Uruapan</v>
      </c>
      <c r="D8839" s="120" t="str">
        <f>IFERROR(__xludf.DUMMYFUNCTION("""COMPUTED_VALUE"""),"Mexico")</f>
        <v>Mexico</v>
      </c>
      <c r="E8839" s="135"/>
      <c r="F8839" s="31"/>
    </row>
    <row r="8840">
      <c r="A8840" s="134" t="str">
        <f>IFERROR(__xludf.DUMMYFUNCTION("""COMPUTED_VALUE"""),"Urubupunga")</f>
        <v>Urubupunga</v>
      </c>
      <c r="B8840" s="120" t="str">
        <f>IFERROR(__xludf.DUMMYFUNCTION("""COMPUTED_VALUE"""),"URB")</f>
        <v>URB</v>
      </c>
      <c r="C8840" s="120" t="str">
        <f>IFERROR(__xludf.DUMMYFUNCTION("""COMPUTED_VALUE"""),"Ernesto Pochler")</f>
        <v>Ernesto Pochler</v>
      </c>
      <c r="D8840" s="120" t="str">
        <f>IFERROR(__xludf.DUMMYFUNCTION("""COMPUTED_VALUE"""),"Brazil")</f>
        <v>Brazil</v>
      </c>
      <c r="E8840" s="135"/>
      <c r="F8840" s="31"/>
    </row>
    <row r="8841">
      <c r="A8841" s="134" t="str">
        <f>IFERROR(__xludf.DUMMYFUNCTION("""COMPUTED_VALUE"""),"Uruguaiana")</f>
        <v>Uruguaiana</v>
      </c>
      <c r="B8841" s="120" t="str">
        <f>IFERROR(__xludf.DUMMYFUNCTION("""COMPUTED_VALUE"""),"URG")</f>
        <v>URG</v>
      </c>
      <c r="C8841" s="120" t="str">
        <f>IFERROR(__xludf.DUMMYFUNCTION("""COMPUTED_VALUE"""),"Ruben Berta")</f>
        <v>Ruben Berta</v>
      </c>
      <c r="D8841" s="120" t="str">
        <f>IFERROR(__xludf.DUMMYFUNCTION("""COMPUTED_VALUE"""),"Brazil")</f>
        <v>Brazil</v>
      </c>
      <c r="E8841" s="135"/>
      <c r="F8841" s="31"/>
    </row>
    <row r="8842">
      <c r="A8842" s="134" t="str">
        <f>IFERROR(__xludf.DUMMYFUNCTION("""COMPUTED_VALUE"""),"Urumqi")</f>
        <v>Urumqi</v>
      </c>
      <c r="B8842" s="120" t="str">
        <f>IFERROR(__xludf.DUMMYFUNCTION("""COMPUTED_VALUE"""),"URC")</f>
        <v>URC</v>
      </c>
      <c r="C8842" s="120" t="str">
        <f>IFERROR(__xludf.DUMMYFUNCTION("""COMPUTED_VALUE"""),"Urumqi")</f>
        <v>Urumqi</v>
      </c>
      <c r="D8842" s="120" t="str">
        <f>IFERROR(__xludf.DUMMYFUNCTION("""COMPUTED_VALUE"""),"China")</f>
        <v>China</v>
      </c>
      <c r="E8842" s="135"/>
      <c r="F8842" s="31"/>
    </row>
    <row r="8843">
      <c r="A8843" s="134" t="str">
        <f>IFERROR(__xludf.DUMMYFUNCTION("""COMPUTED_VALUE"""),"Uruzgan")</f>
        <v>Uruzgan</v>
      </c>
      <c r="B8843" s="120" t="str">
        <f>IFERROR(__xludf.DUMMYFUNCTION("""COMPUTED_VALUE"""),"URZ")</f>
        <v>URZ</v>
      </c>
      <c r="C8843" s="120" t="str">
        <f>IFERROR(__xludf.DUMMYFUNCTION("""COMPUTED_VALUE"""),"Uruzgan")</f>
        <v>Uruzgan</v>
      </c>
      <c r="D8843" s="120" t="str">
        <f>IFERROR(__xludf.DUMMYFUNCTION("""COMPUTED_VALUE"""),"Afghanistan")</f>
        <v>Afghanistan</v>
      </c>
      <c r="E8843" s="135"/>
      <c r="F8843" s="31"/>
    </row>
    <row r="8844">
      <c r="A8844" s="134" t="str">
        <f>IFERROR(__xludf.DUMMYFUNCTION("""COMPUTED_VALUE"""),"Usak")</f>
        <v>Usak</v>
      </c>
      <c r="B8844" s="120" t="str">
        <f>IFERROR(__xludf.DUMMYFUNCTION("""COMPUTED_VALUE"""),"USQ")</f>
        <v>USQ</v>
      </c>
      <c r="C8844" s="120" t="str">
        <f>IFERROR(__xludf.DUMMYFUNCTION("""COMPUTED_VALUE"""),"Usak")</f>
        <v>Usak</v>
      </c>
      <c r="D8844" s="120" t="str">
        <f>IFERROR(__xludf.DUMMYFUNCTION("""COMPUTED_VALUE"""),"Turkey")</f>
        <v>Turkey</v>
      </c>
      <c r="E8844" s="135"/>
      <c r="F8844" s="31"/>
    </row>
    <row r="8845">
      <c r="A8845" s="134" t="str">
        <f>IFERROR(__xludf.DUMMYFUNCTION("""COMPUTED_VALUE"""),"Useless Loop")</f>
        <v>Useless Loop</v>
      </c>
      <c r="B8845" s="120" t="str">
        <f>IFERROR(__xludf.DUMMYFUNCTION("""COMPUTED_VALUE"""),"USL")</f>
        <v>USL</v>
      </c>
      <c r="C8845" s="120" t="str">
        <f>IFERROR(__xludf.DUMMYFUNCTION("""COMPUTED_VALUE"""),"Useless Loop")</f>
        <v>Useless Loop</v>
      </c>
      <c r="D8845" s="120" t="str">
        <f>IFERROR(__xludf.DUMMYFUNCTION("""COMPUTED_VALUE"""),"Australia")</f>
        <v>Australia</v>
      </c>
      <c r="E8845" s="135"/>
      <c r="F8845" s="31"/>
    </row>
    <row r="8846">
      <c r="A8846" s="134" t="str">
        <f>IFERROR(__xludf.DUMMYFUNCTION("""COMPUTED_VALUE"""),"Ushuaia")</f>
        <v>Ushuaia</v>
      </c>
      <c r="B8846" s="120" t="str">
        <f>IFERROR(__xludf.DUMMYFUNCTION("""COMPUTED_VALUE"""),"USH")</f>
        <v>USH</v>
      </c>
      <c r="C8846" s="120" t="str">
        <f>IFERROR(__xludf.DUMMYFUNCTION("""COMPUTED_VALUE"""),"Islas Malvinas")</f>
        <v>Islas Malvinas</v>
      </c>
      <c r="D8846" s="120" t="str">
        <f>IFERROR(__xludf.DUMMYFUNCTION("""COMPUTED_VALUE"""),"Argentina")</f>
        <v>Argentina</v>
      </c>
      <c r="E8846" s="135"/>
      <c r="F8846" s="31"/>
    </row>
    <row r="8847">
      <c r="A8847" s="134" t="str">
        <f>IFERROR(__xludf.DUMMYFUNCTION("""COMPUTED_VALUE"""),"Usino")</f>
        <v>Usino</v>
      </c>
      <c r="B8847" s="120" t="str">
        <f>IFERROR(__xludf.DUMMYFUNCTION("""COMPUTED_VALUE"""),"USO")</f>
        <v>USO</v>
      </c>
      <c r="C8847" s="120" t="str">
        <f>IFERROR(__xludf.DUMMYFUNCTION("""COMPUTED_VALUE"""),"Usino")</f>
        <v>Usino</v>
      </c>
      <c r="D8847" s="120" t="str">
        <f>IFERROR(__xludf.DUMMYFUNCTION("""COMPUTED_VALUE"""),"Papua New Guinea")</f>
        <v>Papua New Guinea</v>
      </c>
      <c r="E8847" s="135"/>
      <c r="F8847" s="31"/>
    </row>
    <row r="8848">
      <c r="A8848" s="134" t="str">
        <f>IFERROR(__xludf.DUMMYFUNCTION("""COMPUTED_VALUE"""),"Usinsk")</f>
        <v>Usinsk</v>
      </c>
      <c r="B8848" s="120" t="str">
        <f>IFERROR(__xludf.DUMMYFUNCTION("""COMPUTED_VALUE"""),"USK")</f>
        <v>USK</v>
      </c>
      <c r="C8848" s="120" t="str">
        <f>IFERROR(__xludf.DUMMYFUNCTION("""COMPUTED_VALUE"""),"Usinsk")</f>
        <v>Usinsk</v>
      </c>
      <c r="D8848" s="120" t="str">
        <f>IFERROR(__xludf.DUMMYFUNCTION("""COMPUTED_VALUE"""),"Russia")</f>
        <v>Russia</v>
      </c>
      <c r="E8848" s="135"/>
      <c r="F8848" s="31"/>
    </row>
    <row r="8849">
      <c r="A8849" s="134" t="str">
        <f>IFERROR(__xludf.DUMMYFUNCTION("""COMPUTED_VALUE"""),"Ustaoset")</f>
        <v>Ustaoset</v>
      </c>
      <c r="B8849" s="120" t="str">
        <f>IFERROR(__xludf.DUMMYFUNCTION("""COMPUTED_VALUE"""),"XUX")</f>
        <v>XUX</v>
      </c>
      <c r="C8849" s="120" t="str">
        <f>IFERROR(__xludf.DUMMYFUNCTION("""COMPUTED_VALUE"""),"Ustaoset Railway")</f>
        <v>Ustaoset Railway</v>
      </c>
      <c r="D8849" s="120" t="str">
        <f>IFERROR(__xludf.DUMMYFUNCTION("""COMPUTED_VALUE"""),"Norway")</f>
        <v>Norway</v>
      </c>
      <c r="E8849" s="135"/>
      <c r="F8849" s="31"/>
    </row>
    <row r="8850">
      <c r="A8850" s="134" t="str">
        <f>IFERROR(__xludf.DUMMYFUNCTION("""COMPUTED_VALUE"""),"Ust-Ilimsk")</f>
        <v>Ust-Ilimsk</v>
      </c>
      <c r="B8850" s="120" t="str">
        <f>IFERROR(__xludf.DUMMYFUNCTION("""COMPUTED_VALUE"""),"UIK")</f>
        <v>UIK</v>
      </c>
      <c r="C8850" s="120" t="str">
        <f>IFERROR(__xludf.DUMMYFUNCTION("""COMPUTED_VALUE"""),"Ust-Ilimsk")</f>
        <v>Ust-Ilimsk</v>
      </c>
      <c r="D8850" s="120" t="str">
        <f>IFERROR(__xludf.DUMMYFUNCTION("""COMPUTED_VALUE"""),"Russia")</f>
        <v>Russia</v>
      </c>
      <c r="E8850" s="135"/>
      <c r="F8850" s="31"/>
    </row>
    <row r="8851">
      <c r="A8851" s="134" t="str">
        <f>IFERROR(__xludf.DUMMYFUNCTION("""COMPUTED_VALUE"""),"Ust-kamenogorsk")</f>
        <v>Ust-kamenogorsk</v>
      </c>
      <c r="B8851" s="120" t="str">
        <f>IFERROR(__xludf.DUMMYFUNCTION("""COMPUTED_VALUE"""),"UKK")</f>
        <v>UKK</v>
      </c>
      <c r="C8851" s="120" t="str">
        <f>IFERROR(__xludf.DUMMYFUNCTION("""COMPUTED_VALUE"""),"Ust-kamenogorsk")</f>
        <v>Ust-kamenogorsk</v>
      </c>
      <c r="D8851" s="120" t="str">
        <f>IFERROR(__xludf.DUMMYFUNCTION("""COMPUTED_VALUE"""),"Kazakhstan")</f>
        <v>Kazakhstan</v>
      </c>
      <c r="E8851" s="135"/>
      <c r="F8851" s="31"/>
    </row>
    <row r="8852">
      <c r="A8852" s="134" t="str">
        <f>IFERROR(__xludf.DUMMYFUNCTION("""COMPUTED_VALUE"""),"Ust-Kut")</f>
        <v>Ust-Kut</v>
      </c>
      <c r="B8852" s="120" t="str">
        <f>IFERROR(__xludf.DUMMYFUNCTION("""COMPUTED_VALUE"""),"UKX")</f>
        <v>UKX</v>
      </c>
      <c r="C8852" s="120" t="str">
        <f>IFERROR(__xludf.DUMMYFUNCTION("""COMPUTED_VALUE"""),"Ust-Kut")</f>
        <v>Ust-Kut</v>
      </c>
      <c r="D8852" s="120" t="str">
        <f>IFERROR(__xludf.DUMMYFUNCTION("""COMPUTED_VALUE"""),"Russia")</f>
        <v>Russia</v>
      </c>
      <c r="E8852" s="135"/>
      <c r="F8852" s="31"/>
    </row>
    <row r="8853">
      <c r="A8853" s="134" t="str">
        <f>IFERROR(__xludf.DUMMYFUNCTION("""COMPUTED_VALUE"""),"Ustupo")</f>
        <v>Ustupo</v>
      </c>
      <c r="B8853" s="120" t="str">
        <f>IFERROR(__xludf.DUMMYFUNCTION("""COMPUTED_VALUE"""),"UTU")</f>
        <v>UTU</v>
      </c>
      <c r="C8853" s="120" t="str">
        <f>IFERROR(__xludf.DUMMYFUNCTION("""COMPUTED_VALUE"""),"Ustupo")</f>
        <v>Ustupo</v>
      </c>
      <c r="D8853" s="120" t="str">
        <f>IFERROR(__xludf.DUMMYFUNCTION("""COMPUTED_VALUE"""),"Panama")</f>
        <v>Panama</v>
      </c>
      <c r="E8853" s="135"/>
      <c r="F8853" s="31"/>
    </row>
    <row r="8854">
      <c r="A8854" s="134" t="str">
        <f>IFERROR(__xludf.DUMMYFUNCTION("""COMPUTED_VALUE"""),"Utapao")</f>
        <v>Utapao</v>
      </c>
      <c r="B8854" s="120" t="str">
        <f>IFERROR(__xludf.DUMMYFUNCTION("""COMPUTED_VALUE"""),"UTP")</f>
        <v>UTP</v>
      </c>
      <c r="C8854" s="120" t="str">
        <f>IFERROR(__xludf.DUMMYFUNCTION("""COMPUTED_VALUE"""),"Utapao")</f>
        <v>Utapao</v>
      </c>
      <c r="D8854" s="120" t="str">
        <f>IFERROR(__xludf.DUMMYFUNCTION("""COMPUTED_VALUE"""),"Thailand")</f>
        <v>Thailand</v>
      </c>
      <c r="E8854" s="135"/>
      <c r="F8854" s="31"/>
    </row>
    <row r="8855">
      <c r="A8855" s="134" t="str">
        <f>IFERROR(__xludf.DUMMYFUNCTION("""COMPUTED_VALUE"""),"Utica")</f>
        <v>Utica</v>
      </c>
      <c r="B8855" s="120" t="str">
        <f>IFERROR(__xludf.DUMMYFUNCTION("""COMPUTED_VALUE"""),"UIZ")</f>
        <v>UIZ</v>
      </c>
      <c r="C8855" s="120" t="str">
        <f>IFERROR(__xludf.DUMMYFUNCTION("""COMPUTED_VALUE"""),"Berz-Macomb")</f>
        <v>Berz-Macomb</v>
      </c>
      <c r="D8855" s="120" t="str">
        <f>IFERROR(__xludf.DUMMYFUNCTION("""COMPUTED_VALUE"""),"United States")</f>
        <v>United States</v>
      </c>
      <c r="E8855" s="135"/>
      <c r="F8855" s="31"/>
    </row>
    <row r="8856">
      <c r="A8856" s="134" t="str">
        <f>IFERROR(__xludf.DUMMYFUNCTION("""COMPUTED_VALUE"""),"Utica")</f>
        <v>Utica</v>
      </c>
      <c r="B8856" s="120" t="str">
        <f>IFERROR(__xludf.DUMMYFUNCTION("""COMPUTED_VALUE"""),"UCA")</f>
        <v>UCA</v>
      </c>
      <c r="C8856" s="120" t="str">
        <f>IFERROR(__xludf.DUMMYFUNCTION("""COMPUTED_VALUE"""),"Oneida County")</f>
        <v>Oneida County</v>
      </c>
      <c r="D8856" s="120" t="str">
        <f>IFERROR(__xludf.DUMMYFUNCTION("""COMPUTED_VALUE"""),"United States")</f>
        <v>United States</v>
      </c>
      <c r="E8856" s="135"/>
      <c r="F8856" s="31"/>
    </row>
    <row r="8857">
      <c r="A8857" s="134" t="str">
        <f>IFERROR(__xludf.DUMMYFUNCTION("""COMPUTED_VALUE"""),"Utica")</f>
        <v>Utica</v>
      </c>
      <c r="B8857" s="120" t="str">
        <f>IFERROR(__xludf.DUMMYFUNCTION("""COMPUTED_VALUE"""),"ZUA")</f>
        <v>ZUA</v>
      </c>
      <c r="C8857" s="120" t="str">
        <f>IFERROR(__xludf.DUMMYFUNCTION("""COMPUTED_VALUE"""),"Utica NNY Rail")</f>
        <v>Utica NNY Rail</v>
      </c>
      <c r="D8857" s="120" t="str">
        <f>IFERROR(__xludf.DUMMYFUNCTION("""COMPUTED_VALUE"""),"United States")</f>
        <v>United States</v>
      </c>
      <c r="E8857" s="135"/>
      <c r="F8857" s="31"/>
    </row>
    <row r="8858">
      <c r="A8858" s="134" t="str">
        <f>IFERROR(__xludf.DUMMYFUNCTION("""COMPUTED_VALUE"""),"Utila")</f>
        <v>Utila</v>
      </c>
      <c r="B8858" s="120" t="str">
        <f>IFERROR(__xludf.DUMMYFUNCTION("""COMPUTED_VALUE"""),"UII")</f>
        <v>UII</v>
      </c>
      <c r="C8858" s="120" t="str">
        <f>IFERROR(__xludf.DUMMYFUNCTION("""COMPUTED_VALUE"""),"Utila")</f>
        <v>Utila</v>
      </c>
      <c r="D8858" s="120" t="str">
        <f>IFERROR(__xludf.DUMMYFUNCTION("""COMPUTED_VALUE"""),"Honduras")</f>
        <v>Honduras</v>
      </c>
      <c r="E8858" s="135"/>
      <c r="F8858" s="31"/>
    </row>
    <row r="8859">
      <c r="A8859" s="134" t="str">
        <f>IFERROR(__xludf.DUMMYFUNCTION("""COMPUTED_VALUE"""),"Utirik Island")</f>
        <v>Utirik Island</v>
      </c>
      <c r="B8859" s="120" t="str">
        <f>IFERROR(__xludf.DUMMYFUNCTION("""COMPUTED_VALUE"""),"UTK")</f>
        <v>UTK</v>
      </c>
      <c r="C8859" s="120" t="str">
        <f>IFERROR(__xludf.DUMMYFUNCTION("""COMPUTED_VALUE"""),"Utirik Island")</f>
        <v>Utirik Island</v>
      </c>
      <c r="D8859" s="120" t="str">
        <f>IFERROR(__xludf.DUMMYFUNCTION("""COMPUTED_VALUE"""),"Marshall Islands")</f>
        <v>Marshall Islands</v>
      </c>
      <c r="E8859" s="135"/>
      <c r="F8859" s="31"/>
    </row>
    <row r="8860">
      <c r="A8860" s="134" t="str">
        <f>IFERROR(__xludf.DUMMYFUNCTION("""COMPUTED_VALUE"""),"Utopia Creek")</f>
        <v>Utopia Creek</v>
      </c>
      <c r="B8860" s="120" t="str">
        <f>IFERROR(__xludf.DUMMYFUNCTION("""COMPUTED_VALUE"""),"UTO")</f>
        <v>UTO</v>
      </c>
      <c r="C8860" s="120" t="str">
        <f>IFERROR(__xludf.DUMMYFUNCTION("""COMPUTED_VALUE"""),"Indian Mountain AFS")</f>
        <v>Indian Mountain AFS</v>
      </c>
      <c r="D8860" s="120" t="str">
        <f>IFERROR(__xludf.DUMMYFUNCTION("""COMPUTED_VALUE"""),"United States")</f>
        <v>United States</v>
      </c>
      <c r="E8860" s="135"/>
      <c r="F8860" s="31"/>
    </row>
    <row r="8861">
      <c r="A8861" s="134" t="str">
        <f>IFERROR(__xludf.DUMMYFUNCTION("""COMPUTED_VALUE"""),"Utrecht")</f>
        <v>Utrecht</v>
      </c>
      <c r="B8861" s="120" t="str">
        <f>IFERROR(__xludf.DUMMYFUNCTION("""COMPUTED_VALUE"""),"UTC")</f>
        <v>UTC</v>
      </c>
      <c r="C8861" s="120" t="str">
        <f>IFERROR(__xludf.DUMMYFUNCTION("""COMPUTED_VALUE"""),"Soesterberg")</f>
        <v>Soesterberg</v>
      </c>
      <c r="D8861" s="120" t="str">
        <f>IFERROR(__xludf.DUMMYFUNCTION("""COMPUTED_VALUE"""),"Netherlands")</f>
        <v>Netherlands</v>
      </c>
      <c r="E8861" s="135"/>
      <c r="F8861" s="31"/>
    </row>
    <row r="8862">
      <c r="A8862" s="134" t="str">
        <f>IFERROR(__xludf.DUMMYFUNCTION("""COMPUTED_VALUE"""),"Uttaradit")</f>
        <v>Uttaradit</v>
      </c>
      <c r="B8862" s="120" t="str">
        <f>IFERROR(__xludf.DUMMYFUNCTION("""COMPUTED_VALUE"""),"UTR")</f>
        <v>UTR</v>
      </c>
      <c r="C8862" s="120" t="str">
        <f>IFERROR(__xludf.DUMMYFUNCTION("""COMPUTED_VALUE"""),"Uttaradit")</f>
        <v>Uttaradit</v>
      </c>
      <c r="D8862" s="120" t="str">
        <f>IFERROR(__xludf.DUMMYFUNCTION("""COMPUTED_VALUE"""),"Thailand")</f>
        <v>Thailand</v>
      </c>
      <c r="E8862" s="135"/>
      <c r="F8862" s="31"/>
    </row>
    <row r="8863">
      <c r="A8863" s="134" t="str">
        <f>IFERROR(__xludf.DUMMYFUNCTION("""COMPUTED_VALUE"""),"Uummannaq")</f>
        <v>Uummannaq</v>
      </c>
      <c r="B8863" s="120" t="str">
        <f>IFERROR(__xludf.DUMMYFUNCTION("""COMPUTED_VALUE"""),"UMD")</f>
        <v>UMD</v>
      </c>
      <c r="C8863" s="120" t="str">
        <f>IFERROR(__xludf.DUMMYFUNCTION("""COMPUTED_VALUE"""),"Uummannaq")</f>
        <v>Uummannaq</v>
      </c>
      <c r="D8863" s="120" t="str">
        <f>IFERROR(__xludf.DUMMYFUNCTION("""COMPUTED_VALUE"""),"Greenland")</f>
        <v>Greenland</v>
      </c>
      <c r="E8863" s="135"/>
      <c r="F8863" s="31"/>
    </row>
    <row r="8864">
      <c r="A8864" s="134" t="str">
        <f>IFERROR(__xludf.DUMMYFUNCTION("""COMPUTED_VALUE"""),"Uvalde")</f>
        <v>Uvalde</v>
      </c>
      <c r="B8864" s="120" t="str">
        <f>IFERROR(__xludf.DUMMYFUNCTION("""COMPUTED_VALUE"""),"UVA")</f>
        <v>UVA</v>
      </c>
      <c r="C8864" s="120" t="str">
        <f>IFERROR(__xludf.DUMMYFUNCTION("""COMPUTED_VALUE"""),"Garner Fld")</f>
        <v>Garner Fld</v>
      </c>
      <c r="D8864" s="120" t="str">
        <f>IFERROR(__xludf.DUMMYFUNCTION("""COMPUTED_VALUE"""),"United States")</f>
        <v>United States</v>
      </c>
      <c r="E8864" s="135"/>
      <c r="F8864" s="31"/>
    </row>
    <row r="8865">
      <c r="A8865" s="134" t="str">
        <f>IFERROR(__xludf.DUMMYFUNCTION("""COMPUTED_VALUE"""),"Uvol")</f>
        <v>Uvol</v>
      </c>
      <c r="B8865" s="120" t="str">
        <f>IFERROR(__xludf.DUMMYFUNCTION("""COMPUTED_VALUE"""),"UVO")</f>
        <v>UVO</v>
      </c>
      <c r="C8865" s="120" t="str">
        <f>IFERROR(__xludf.DUMMYFUNCTION("""COMPUTED_VALUE"""),"Uvol")</f>
        <v>Uvol</v>
      </c>
      <c r="D8865" s="120" t="str">
        <f>IFERROR(__xludf.DUMMYFUNCTION("""COMPUTED_VALUE"""),"Papua New Guinea")</f>
        <v>Papua New Guinea</v>
      </c>
      <c r="E8865" s="135"/>
      <c r="F8865" s="31"/>
    </row>
    <row r="8866">
      <c r="A8866" s="134" t="str">
        <f>IFERROR(__xludf.DUMMYFUNCTION("""COMPUTED_VALUE"""),"Uzhgorod")</f>
        <v>Uzhgorod</v>
      </c>
      <c r="B8866" s="120" t="str">
        <f>IFERROR(__xludf.DUMMYFUNCTION("""COMPUTED_VALUE"""),"UDJ")</f>
        <v>UDJ</v>
      </c>
      <c r="C8866" s="120" t="str">
        <f>IFERROR(__xludf.DUMMYFUNCTION("""COMPUTED_VALUE"""),"Uzhgorod")</f>
        <v>Uzhgorod</v>
      </c>
      <c r="D8866" s="120" t="str">
        <f>IFERROR(__xludf.DUMMYFUNCTION("""COMPUTED_VALUE"""),"Ukraine")</f>
        <v>Ukraine</v>
      </c>
      <c r="E8866" s="135"/>
      <c r="F8866" s="31"/>
    </row>
    <row r="8867">
      <c r="A8867" s="134" t="str">
        <f>IFERROR(__xludf.DUMMYFUNCTION("""COMPUTED_VALUE"""),"Uzice")</f>
        <v>Uzice</v>
      </c>
      <c r="B8867" s="120" t="str">
        <f>IFERROR(__xludf.DUMMYFUNCTION("""COMPUTED_VALUE"""),"UZC")</f>
        <v>UZC</v>
      </c>
      <c r="C8867" s="120" t="str">
        <f>IFERROR(__xludf.DUMMYFUNCTION("""COMPUTED_VALUE"""),"Ponikve")</f>
        <v>Ponikve</v>
      </c>
      <c r="D8867" s="120" t="str">
        <f>IFERROR(__xludf.DUMMYFUNCTION("""COMPUTED_VALUE"""),"Serbia and Montenegro")</f>
        <v>Serbia and Montenegro</v>
      </c>
      <c r="E8867" s="135"/>
      <c r="F8867" s="31"/>
    </row>
    <row r="8868">
      <c r="A8868" s="134" t="str">
        <f>IFERROR(__xludf.DUMMYFUNCTION("""COMPUTED_VALUE"""),"Vaasa")</f>
        <v>Vaasa</v>
      </c>
      <c r="B8868" s="120" t="str">
        <f>IFERROR(__xludf.DUMMYFUNCTION("""COMPUTED_VALUE"""),"VAA")</f>
        <v>VAA</v>
      </c>
      <c r="C8868" s="120" t="str">
        <f>IFERROR(__xludf.DUMMYFUNCTION("""COMPUTED_VALUE"""),"Vaasa")</f>
        <v>Vaasa</v>
      </c>
      <c r="D8868" s="120" t="str">
        <f>IFERROR(__xludf.DUMMYFUNCTION("""COMPUTED_VALUE"""),"Finland")</f>
        <v>Finland</v>
      </c>
      <c r="E8868" s="135"/>
      <c r="F8868" s="31"/>
    </row>
    <row r="8869">
      <c r="A8869" s="134" t="str">
        <f>IFERROR(__xludf.DUMMYFUNCTION("""COMPUTED_VALUE"""),"Vadodara")</f>
        <v>Vadodara</v>
      </c>
      <c r="B8869" s="120" t="str">
        <f>IFERROR(__xludf.DUMMYFUNCTION("""COMPUTED_VALUE"""),"BDQ")</f>
        <v>BDQ</v>
      </c>
      <c r="C8869" s="120" t="str">
        <f>IFERROR(__xludf.DUMMYFUNCTION("""COMPUTED_VALUE"""),"Vadodara")</f>
        <v>Vadodara</v>
      </c>
      <c r="D8869" s="120" t="str">
        <f>IFERROR(__xludf.DUMMYFUNCTION("""COMPUTED_VALUE"""),"India")</f>
        <v>India</v>
      </c>
      <c r="E8869" s="135"/>
      <c r="F8869" s="31"/>
    </row>
    <row r="8870">
      <c r="A8870" s="134" t="str">
        <f>IFERROR(__xludf.DUMMYFUNCTION("""COMPUTED_VALUE"""),"Vadso")</f>
        <v>Vadso</v>
      </c>
      <c r="B8870" s="120" t="str">
        <f>IFERROR(__xludf.DUMMYFUNCTION("""COMPUTED_VALUE"""),"VDS")</f>
        <v>VDS</v>
      </c>
      <c r="C8870" s="120" t="str">
        <f>IFERROR(__xludf.DUMMYFUNCTION("""COMPUTED_VALUE"""),"Vadso")</f>
        <v>Vadso</v>
      </c>
      <c r="D8870" s="120" t="str">
        <f>IFERROR(__xludf.DUMMYFUNCTION("""COMPUTED_VALUE"""),"Norway")</f>
        <v>Norway</v>
      </c>
      <c r="E8870" s="135"/>
      <c r="F8870" s="31"/>
    </row>
    <row r="8871">
      <c r="A8871" s="134" t="str">
        <f>IFERROR(__xludf.DUMMYFUNCTION("""COMPUTED_VALUE"""),"Vaeroy")</f>
        <v>Vaeroy</v>
      </c>
      <c r="B8871" s="120" t="str">
        <f>IFERROR(__xludf.DUMMYFUNCTION("""COMPUTED_VALUE"""),"VRY")</f>
        <v>VRY</v>
      </c>
      <c r="C8871" s="120" t="str">
        <f>IFERROR(__xludf.DUMMYFUNCTION("""COMPUTED_VALUE"""),"Stolport")</f>
        <v>Stolport</v>
      </c>
      <c r="D8871" s="120" t="str">
        <f>IFERROR(__xludf.DUMMYFUNCTION("""COMPUTED_VALUE"""),"Norway")</f>
        <v>Norway</v>
      </c>
      <c r="E8871" s="135"/>
      <c r="F8871" s="31"/>
    </row>
    <row r="8872">
      <c r="A8872" s="134" t="str">
        <f>IFERROR(__xludf.DUMMYFUNCTION("""COMPUTED_VALUE"""),"Vahitahi")</f>
        <v>Vahitahi</v>
      </c>
      <c r="B8872" s="120" t="str">
        <f>IFERROR(__xludf.DUMMYFUNCTION("""COMPUTED_VALUE"""),"VHZ")</f>
        <v>VHZ</v>
      </c>
      <c r="C8872" s="120" t="str">
        <f>IFERROR(__xludf.DUMMYFUNCTION("""COMPUTED_VALUE"""),"Vahitahi")</f>
        <v>Vahitahi</v>
      </c>
      <c r="D8872" s="120" t="str">
        <f>IFERROR(__xludf.DUMMYFUNCTION("""COMPUTED_VALUE"""),"French Polynesia")</f>
        <v>French Polynesia</v>
      </c>
      <c r="E8872" s="135"/>
      <c r="F8872" s="31"/>
    </row>
    <row r="8873">
      <c r="A8873" s="134" t="str">
        <f>IFERROR(__xludf.DUMMYFUNCTION("""COMPUTED_VALUE"""),"Vail/Eagle")</f>
        <v>Vail/Eagle</v>
      </c>
      <c r="B8873" s="120" t="str">
        <f>IFERROR(__xludf.DUMMYFUNCTION("""COMPUTED_VALUE"""),"ZBV")</f>
        <v>ZBV</v>
      </c>
      <c r="C8873" s="120" t="str">
        <f>IFERROR(__xludf.DUMMYFUNCTION("""COMPUTED_VALUE"""),"Beaver Creek Van Svce.")</f>
        <v>Beaver Creek Van Svce.</v>
      </c>
      <c r="D8873" s="120" t="str">
        <f>IFERROR(__xludf.DUMMYFUNCTION("""COMPUTED_VALUE"""),"United States")</f>
        <v>United States</v>
      </c>
      <c r="E8873" s="135"/>
      <c r="F8873" s="31"/>
    </row>
    <row r="8874">
      <c r="A8874" s="134" t="str">
        <f>IFERROR(__xludf.DUMMYFUNCTION("""COMPUTED_VALUE"""),"Vail/Eagle")</f>
        <v>Vail/Eagle</v>
      </c>
      <c r="B8874" s="120" t="str">
        <f>IFERROR(__xludf.DUMMYFUNCTION("""COMPUTED_VALUE"""),"EGE")</f>
        <v>EGE</v>
      </c>
      <c r="C8874" s="120" t="str">
        <f>IFERROR(__xludf.DUMMYFUNCTION("""COMPUTED_VALUE"""),"Eagle County")</f>
        <v>Eagle County</v>
      </c>
      <c r="D8874" s="120" t="str">
        <f>IFERROR(__xludf.DUMMYFUNCTION("""COMPUTED_VALUE"""),"United States")</f>
        <v>United States</v>
      </c>
      <c r="E8874" s="135"/>
      <c r="F8874" s="31"/>
    </row>
    <row r="8875">
      <c r="A8875" s="134" t="str">
        <f>IFERROR(__xludf.DUMMYFUNCTION("""COMPUTED_VALUE"""),"Vail/Eagle")</f>
        <v>Vail/Eagle</v>
      </c>
      <c r="B8875" s="120" t="str">
        <f>IFERROR(__xludf.DUMMYFUNCTION("""COMPUTED_VALUE"""),"QBF")</f>
        <v>QBF</v>
      </c>
      <c r="C8875" s="120" t="str">
        <f>IFERROR(__xludf.DUMMYFUNCTION("""COMPUTED_VALUE"""),"Vail Van Service")</f>
        <v>Vail Van Service</v>
      </c>
      <c r="D8875" s="120" t="str">
        <f>IFERROR(__xludf.DUMMYFUNCTION("""COMPUTED_VALUE"""),"United States")</f>
        <v>United States</v>
      </c>
      <c r="E8875" s="135"/>
      <c r="F8875" s="31"/>
    </row>
    <row r="8876">
      <c r="A8876" s="134" t="str">
        <f>IFERROR(__xludf.DUMMYFUNCTION("""COMPUTED_VALUE"""),"Valcartier")</f>
        <v>Valcartier</v>
      </c>
      <c r="B8876" s="120" t="str">
        <f>IFERROR(__xludf.DUMMYFUNCTION("""COMPUTED_VALUE"""),"YOY")</f>
        <v>YOY</v>
      </c>
      <c r="C8876" s="120" t="str">
        <f>IFERROR(__xludf.DUMMYFUNCTION("""COMPUTED_VALUE"""),"Valcartier")</f>
        <v>Valcartier</v>
      </c>
      <c r="D8876" s="120" t="str">
        <f>IFERROR(__xludf.DUMMYFUNCTION("""COMPUTED_VALUE"""),"Canada")</f>
        <v>Canada</v>
      </c>
      <c r="E8876" s="135"/>
      <c r="F8876" s="31"/>
    </row>
    <row r="8877">
      <c r="A8877" s="134" t="str">
        <f>IFERROR(__xludf.DUMMYFUNCTION("""COMPUTED_VALUE"""),"Valcheta")</f>
        <v>Valcheta</v>
      </c>
      <c r="B8877" s="120" t="str">
        <f>IFERROR(__xludf.DUMMYFUNCTION("""COMPUTED_VALUE"""),"VCF")</f>
        <v>VCF</v>
      </c>
      <c r="C8877" s="120" t="str">
        <f>IFERROR(__xludf.DUMMYFUNCTION("""COMPUTED_VALUE"""),"Valcheta")</f>
        <v>Valcheta</v>
      </c>
      <c r="D8877" s="120" t="str">
        <f>IFERROR(__xludf.DUMMYFUNCTION("""COMPUTED_VALUE"""),"Argentina")</f>
        <v>Argentina</v>
      </c>
      <c r="E8877" s="135"/>
      <c r="F8877" s="31"/>
    </row>
    <row r="8878">
      <c r="A8878" s="134" t="str">
        <f>IFERROR(__xludf.DUMMYFUNCTION("""COMPUTED_VALUE"""),"Valdez")</f>
        <v>Valdez</v>
      </c>
      <c r="B8878" s="120" t="str">
        <f>IFERROR(__xludf.DUMMYFUNCTION("""COMPUTED_VALUE"""),"VDZ")</f>
        <v>VDZ</v>
      </c>
      <c r="C8878" s="120" t="str">
        <f>IFERROR(__xludf.DUMMYFUNCTION("""COMPUTED_VALUE"""),"Municipal")</f>
        <v>Municipal</v>
      </c>
      <c r="D8878" s="120" t="str">
        <f>IFERROR(__xludf.DUMMYFUNCTION("""COMPUTED_VALUE"""),"United States")</f>
        <v>United States</v>
      </c>
      <c r="E8878" s="135"/>
      <c r="F8878" s="31"/>
    </row>
    <row r="8879">
      <c r="A8879" s="134" t="str">
        <f>IFERROR(__xludf.DUMMYFUNCTION("""COMPUTED_VALUE"""),"Valdivia")</f>
        <v>Valdivia</v>
      </c>
      <c r="B8879" s="120" t="str">
        <f>IFERROR(__xludf.DUMMYFUNCTION("""COMPUTED_VALUE"""),"ZAL")</f>
        <v>ZAL</v>
      </c>
      <c r="C8879" s="120" t="str">
        <f>IFERROR(__xludf.DUMMYFUNCTION("""COMPUTED_VALUE"""),"Pichoy")</f>
        <v>Pichoy</v>
      </c>
      <c r="D8879" s="120" t="str">
        <f>IFERROR(__xludf.DUMMYFUNCTION("""COMPUTED_VALUE"""),"Chile")</f>
        <v>Chile</v>
      </c>
      <c r="E8879" s="135"/>
      <c r="F8879" s="31"/>
    </row>
    <row r="8880">
      <c r="A8880" s="134" t="str">
        <f>IFERROR(__xludf.DUMMYFUNCTION("""COMPUTED_VALUE"""),"Valdosta")</f>
        <v>Valdosta</v>
      </c>
      <c r="B8880" s="120" t="str">
        <f>IFERROR(__xludf.DUMMYFUNCTION("""COMPUTED_VALUE"""),"VAD")</f>
        <v>VAD</v>
      </c>
      <c r="C8880" s="120" t="str">
        <f>IFERROR(__xludf.DUMMYFUNCTION("""COMPUTED_VALUE"""),"Moody AFB")</f>
        <v>Moody AFB</v>
      </c>
      <c r="D8880" s="120" t="str">
        <f>IFERROR(__xludf.DUMMYFUNCTION("""COMPUTED_VALUE"""),"United States")</f>
        <v>United States</v>
      </c>
      <c r="E8880" s="135"/>
      <c r="F8880" s="31"/>
    </row>
    <row r="8881">
      <c r="A8881" s="134" t="str">
        <f>IFERROR(__xludf.DUMMYFUNCTION("""COMPUTED_VALUE"""),"Valdosta")</f>
        <v>Valdosta</v>
      </c>
      <c r="B8881" s="120" t="str">
        <f>IFERROR(__xludf.DUMMYFUNCTION("""COMPUTED_VALUE"""),"VLD")</f>
        <v>VLD</v>
      </c>
      <c r="C8881" s="120" t="str">
        <f>IFERROR(__xludf.DUMMYFUNCTION("""COMPUTED_VALUE"""),"Regional")</f>
        <v>Regional</v>
      </c>
      <c r="D8881" s="120" t="str">
        <f>IFERROR(__xludf.DUMMYFUNCTION("""COMPUTED_VALUE"""),"United States")</f>
        <v>United States</v>
      </c>
      <c r="E8881" s="135"/>
      <c r="F8881" s="31"/>
    </row>
    <row r="8882">
      <c r="A8882" s="134" t="str">
        <f>IFERROR(__xludf.DUMMYFUNCTION("""COMPUTED_VALUE"""),"Valenca")</f>
        <v>Valenca</v>
      </c>
      <c r="B8882" s="120" t="str">
        <f>IFERROR(__xludf.DUMMYFUNCTION("""COMPUTED_VALUE"""),"VAL")</f>
        <v>VAL</v>
      </c>
      <c r="C8882" s="120" t="str">
        <f>IFERROR(__xludf.DUMMYFUNCTION("""COMPUTED_VALUE"""),"Valenca")</f>
        <v>Valenca</v>
      </c>
      <c r="D8882" s="120" t="str">
        <f>IFERROR(__xludf.DUMMYFUNCTION("""COMPUTED_VALUE"""),"Brazil")</f>
        <v>Brazil</v>
      </c>
      <c r="E8882" s="135"/>
      <c r="F8882" s="31"/>
    </row>
    <row r="8883">
      <c r="A8883" s="134" t="str">
        <f>IFERROR(__xludf.DUMMYFUNCTION("""COMPUTED_VALUE"""),"Valence")</f>
        <v>Valence</v>
      </c>
      <c r="B8883" s="120" t="str">
        <f>IFERROR(__xludf.DUMMYFUNCTION("""COMPUTED_VALUE"""),"VAF")</f>
        <v>VAF</v>
      </c>
      <c r="C8883" s="120" t="str">
        <f>IFERROR(__xludf.DUMMYFUNCTION("""COMPUTED_VALUE"""),"Chabeuil")</f>
        <v>Chabeuil</v>
      </c>
      <c r="D8883" s="120" t="str">
        <f>IFERROR(__xludf.DUMMYFUNCTION("""COMPUTED_VALUE"""),"France")</f>
        <v>France</v>
      </c>
      <c r="E8883" s="135"/>
      <c r="F8883" s="31"/>
    </row>
    <row r="8884">
      <c r="A8884" s="134" t="str">
        <f>IFERROR(__xludf.DUMMYFUNCTION("""COMPUTED_VALUE"""),"Valencia")</f>
        <v>Valencia</v>
      </c>
      <c r="B8884" s="120" t="str">
        <f>IFERROR(__xludf.DUMMYFUNCTION("""COMPUTED_VALUE"""),"VLC")</f>
        <v>VLC</v>
      </c>
      <c r="C8884" s="120" t="str">
        <f>IFERROR(__xludf.DUMMYFUNCTION("""COMPUTED_VALUE"""),"Valencia")</f>
        <v>Valencia</v>
      </c>
      <c r="D8884" s="120" t="str">
        <f>IFERROR(__xludf.DUMMYFUNCTION("""COMPUTED_VALUE"""),"Spain")</f>
        <v>Spain</v>
      </c>
      <c r="E8884" s="135"/>
      <c r="F8884" s="31"/>
    </row>
    <row r="8885">
      <c r="A8885" s="134" t="str">
        <f>IFERROR(__xludf.DUMMYFUNCTION("""COMPUTED_VALUE"""),"Valencia")</f>
        <v>Valencia</v>
      </c>
      <c r="B8885" s="120" t="str">
        <f>IFERROR(__xludf.DUMMYFUNCTION("""COMPUTED_VALUE"""),"VLN")</f>
        <v>VLN</v>
      </c>
      <c r="C8885" s="120" t="str">
        <f>IFERROR(__xludf.DUMMYFUNCTION("""COMPUTED_VALUE"""),"Valencia")</f>
        <v>Valencia</v>
      </c>
      <c r="D8885" s="120" t="str">
        <f>IFERROR(__xludf.DUMMYFUNCTION("""COMPUTED_VALUE"""),"Venezuela")</f>
        <v>Venezuela</v>
      </c>
      <c r="E8885" s="135"/>
      <c r="F8885" s="31"/>
    </row>
    <row r="8886">
      <c r="A8886" s="134" t="str">
        <f>IFERROR(__xludf.DUMMYFUNCTION("""COMPUTED_VALUE"""),"Valentine")</f>
        <v>Valentine</v>
      </c>
      <c r="B8886" s="120" t="str">
        <f>IFERROR(__xludf.DUMMYFUNCTION("""COMPUTED_VALUE"""),"VTN")</f>
        <v>VTN</v>
      </c>
      <c r="C8886" s="120" t="str">
        <f>IFERROR(__xludf.DUMMYFUNCTION("""COMPUTED_VALUE"""),"Miller Field")</f>
        <v>Miller Field</v>
      </c>
      <c r="D8886" s="120" t="str">
        <f>IFERROR(__xludf.DUMMYFUNCTION("""COMPUTED_VALUE"""),"United States")</f>
        <v>United States</v>
      </c>
      <c r="E8886" s="135"/>
      <c r="F8886" s="31"/>
    </row>
    <row r="8887">
      <c r="A8887" s="134" t="str">
        <f>IFERROR(__xludf.DUMMYFUNCTION("""COMPUTED_VALUE"""),"Valera")</f>
        <v>Valera</v>
      </c>
      <c r="B8887" s="120" t="str">
        <f>IFERROR(__xludf.DUMMYFUNCTION("""COMPUTED_VALUE"""),"VLV")</f>
        <v>VLV</v>
      </c>
      <c r="C8887" s="120" t="str">
        <f>IFERROR(__xludf.DUMMYFUNCTION("""COMPUTED_VALUE"""),"Carvajal")</f>
        <v>Carvajal</v>
      </c>
      <c r="D8887" s="120" t="str">
        <f>IFERROR(__xludf.DUMMYFUNCTION("""COMPUTED_VALUE"""),"Venezuela")</f>
        <v>Venezuela</v>
      </c>
      <c r="E8887" s="135"/>
      <c r="F8887" s="31"/>
    </row>
    <row r="8888">
      <c r="A8888" s="134" t="str">
        <f>IFERROR(__xludf.DUMMYFUNCTION("""COMPUTED_VALUE"""),"Valesdir")</f>
        <v>Valesdir</v>
      </c>
      <c r="B8888" s="120" t="str">
        <f>IFERROR(__xludf.DUMMYFUNCTION("""COMPUTED_VALUE"""),"VLS")</f>
        <v>VLS</v>
      </c>
      <c r="C8888" s="120" t="str">
        <f>IFERROR(__xludf.DUMMYFUNCTION("""COMPUTED_VALUE"""),"Valesdir")</f>
        <v>Valesdir</v>
      </c>
      <c r="D8888" s="120" t="str">
        <f>IFERROR(__xludf.DUMMYFUNCTION("""COMPUTED_VALUE"""),"Vanuatu")</f>
        <v>Vanuatu</v>
      </c>
      <c r="E8888" s="135"/>
      <c r="F8888" s="31"/>
    </row>
    <row r="8889">
      <c r="A8889" s="134" t="str">
        <f>IFERROR(__xludf.DUMMYFUNCTION("""COMPUTED_VALUE"""),"Valladolid")</f>
        <v>Valladolid</v>
      </c>
      <c r="B8889" s="120" t="str">
        <f>IFERROR(__xludf.DUMMYFUNCTION("""COMPUTED_VALUE"""),"VLL")</f>
        <v>VLL</v>
      </c>
      <c r="C8889" s="120" t="str">
        <f>IFERROR(__xludf.DUMMYFUNCTION("""COMPUTED_VALUE"""),"Valladolid")</f>
        <v>Valladolid</v>
      </c>
      <c r="D8889" s="120" t="str">
        <f>IFERROR(__xludf.DUMMYFUNCTION("""COMPUTED_VALUE"""),"Spain")</f>
        <v>Spain</v>
      </c>
      <c r="E8889" s="135"/>
      <c r="F8889" s="31"/>
    </row>
    <row r="8890">
      <c r="A8890" s="134" t="str">
        <f>IFERROR(__xludf.DUMMYFUNCTION("""COMPUTED_VALUE"""),"Valle")</f>
        <v>Valle</v>
      </c>
      <c r="B8890" s="120" t="str">
        <f>IFERROR(__xludf.DUMMYFUNCTION("""COMPUTED_VALUE"""),"VLE")</f>
        <v>VLE</v>
      </c>
      <c r="C8890" s="120" t="str">
        <f>IFERROR(__xludf.DUMMYFUNCTION("""COMPUTED_VALUE"""),"J t Robidoux")</f>
        <v>J t Robidoux</v>
      </c>
      <c r="D8890" s="120" t="str">
        <f>IFERROR(__xludf.DUMMYFUNCTION("""COMPUTED_VALUE"""),"United States")</f>
        <v>United States</v>
      </c>
      <c r="E8890" s="135"/>
      <c r="F8890" s="31"/>
    </row>
    <row r="8891">
      <c r="A8891" s="134" t="str">
        <f>IFERROR(__xludf.DUMMYFUNCTION("""COMPUTED_VALUE"""),"Valle De Pascua")</f>
        <v>Valle De Pascua</v>
      </c>
      <c r="B8891" s="120" t="str">
        <f>IFERROR(__xludf.DUMMYFUNCTION("""COMPUTED_VALUE"""),"VDP")</f>
        <v>VDP</v>
      </c>
      <c r="C8891" s="120" t="str">
        <f>IFERROR(__xludf.DUMMYFUNCTION("""COMPUTED_VALUE"""),"Valle De Pascua")</f>
        <v>Valle De Pascua</v>
      </c>
      <c r="D8891" s="120" t="str">
        <f>IFERROR(__xludf.DUMMYFUNCTION("""COMPUTED_VALUE"""),"Venezuela")</f>
        <v>Venezuela</v>
      </c>
      <c r="E8891" s="135"/>
      <c r="F8891" s="31"/>
    </row>
    <row r="8892">
      <c r="A8892" s="134" t="str">
        <f>IFERROR(__xludf.DUMMYFUNCTION("""COMPUTED_VALUE"""),"Valledupar")</f>
        <v>Valledupar</v>
      </c>
      <c r="B8892" s="120" t="str">
        <f>IFERROR(__xludf.DUMMYFUNCTION("""COMPUTED_VALUE"""),"VUP")</f>
        <v>VUP</v>
      </c>
      <c r="C8892" s="120" t="str">
        <f>IFERROR(__xludf.DUMMYFUNCTION("""COMPUTED_VALUE"""),"Valledupar")</f>
        <v>Valledupar</v>
      </c>
      <c r="D8892" s="120" t="str">
        <f>IFERROR(__xludf.DUMMYFUNCTION("""COMPUTED_VALUE"""),"Colombia")</f>
        <v>Colombia</v>
      </c>
      <c r="E8892" s="135"/>
      <c r="F8892" s="31"/>
    </row>
    <row r="8893">
      <c r="A8893" s="134" t="str">
        <f>IFERROR(__xludf.DUMMYFUNCTION("""COMPUTED_VALUE"""),"Vallegrande")</f>
        <v>Vallegrande</v>
      </c>
      <c r="B8893" s="120" t="str">
        <f>IFERROR(__xludf.DUMMYFUNCTION("""COMPUTED_VALUE"""),"VAH")</f>
        <v>VAH</v>
      </c>
      <c r="C8893" s="120" t="str">
        <f>IFERROR(__xludf.DUMMYFUNCTION("""COMPUTED_VALUE"""),"Vallegrande")</f>
        <v>Vallegrande</v>
      </c>
      <c r="D8893" s="120" t="str">
        <f>IFERROR(__xludf.DUMMYFUNCTION("""COMPUTED_VALUE"""),"Bolivia")</f>
        <v>Bolivia</v>
      </c>
      <c r="E8893" s="135"/>
      <c r="F8893" s="31"/>
    </row>
    <row r="8894">
      <c r="A8894" s="134" t="str">
        <f>IFERROR(__xludf.DUMMYFUNCTION("""COMPUTED_VALUE"""),"Vallejo")</f>
        <v>Vallejo</v>
      </c>
      <c r="B8894" s="120" t="str">
        <f>IFERROR(__xludf.DUMMYFUNCTION("""COMPUTED_VALUE"""),"VLO")</f>
        <v>VLO</v>
      </c>
      <c r="C8894" s="120" t="str">
        <f>IFERROR(__xludf.DUMMYFUNCTION("""COMPUTED_VALUE"""),"Stolport")</f>
        <v>Stolport</v>
      </c>
      <c r="D8894" s="120" t="str">
        <f>IFERROR(__xludf.DUMMYFUNCTION("""COMPUTED_VALUE"""),"United States")</f>
        <v>United States</v>
      </c>
      <c r="E8894" s="135"/>
      <c r="F8894" s="31"/>
    </row>
    <row r="8895">
      <c r="A8895" s="134" t="str">
        <f>IFERROR(__xludf.DUMMYFUNCTION("""COMPUTED_VALUE"""),"Vallemi")</f>
        <v>Vallemi</v>
      </c>
      <c r="B8895" s="120" t="str">
        <f>IFERROR(__xludf.DUMMYFUNCTION("""COMPUTED_VALUE"""),"VMI")</f>
        <v>VMI</v>
      </c>
      <c r="C8895" s="120" t="str">
        <f>IFERROR(__xludf.DUMMYFUNCTION("""COMPUTED_VALUE"""),"INC")</f>
        <v>INC</v>
      </c>
      <c r="D8895" s="120" t="str">
        <f>IFERROR(__xludf.DUMMYFUNCTION("""COMPUTED_VALUE"""),"Paraguay")</f>
        <v>Paraguay</v>
      </c>
      <c r="E8895" s="135"/>
      <c r="F8895" s="31"/>
    </row>
    <row r="8896">
      <c r="A8896" s="134" t="str">
        <f>IFERROR(__xludf.DUMMYFUNCTION("""COMPUTED_VALUE"""),"Vallenar")</f>
        <v>Vallenar</v>
      </c>
      <c r="B8896" s="120" t="str">
        <f>IFERROR(__xludf.DUMMYFUNCTION("""COMPUTED_VALUE"""),"VLR")</f>
        <v>VLR</v>
      </c>
      <c r="C8896" s="120" t="str">
        <f>IFERROR(__xludf.DUMMYFUNCTION("""COMPUTED_VALUE"""),"Vallenar")</f>
        <v>Vallenar</v>
      </c>
      <c r="D8896" s="120" t="str">
        <f>IFERROR(__xludf.DUMMYFUNCTION("""COMPUTED_VALUE"""),"Chile")</f>
        <v>Chile</v>
      </c>
      <c r="E8896" s="135"/>
      <c r="F8896" s="31"/>
    </row>
    <row r="8897">
      <c r="A8897" s="134" t="str">
        <f>IFERROR(__xludf.DUMMYFUNCTION("""COMPUTED_VALUE"""),"Valparaiso")</f>
        <v>Valparaiso</v>
      </c>
      <c r="B8897" s="120" t="str">
        <f>IFERROR(__xludf.DUMMYFUNCTION("""COMPUTED_VALUE"""),"VAP")</f>
        <v>VAP</v>
      </c>
      <c r="C8897" s="120" t="str">
        <f>IFERROR(__xludf.DUMMYFUNCTION("""COMPUTED_VALUE"""),"Valparaiso")</f>
        <v>Valparaiso</v>
      </c>
      <c r="D8897" s="120" t="str">
        <f>IFERROR(__xludf.DUMMYFUNCTION("""COMPUTED_VALUE"""),"Chile")</f>
        <v>Chile</v>
      </c>
      <c r="E8897" s="135"/>
      <c r="F8897" s="31"/>
    </row>
    <row r="8898">
      <c r="A8898" s="134" t="str">
        <f>IFERROR(__xludf.DUMMYFUNCTION("""COMPUTED_VALUE"""),"Valparaiso")</f>
        <v>Valparaiso</v>
      </c>
      <c r="B8898" s="120" t="str">
        <f>IFERROR(__xludf.DUMMYFUNCTION("""COMPUTED_VALUE"""),"EGI")</f>
        <v>EGI</v>
      </c>
      <c r="C8898" s="120" t="str">
        <f>IFERROR(__xludf.DUMMYFUNCTION("""COMPUTED_VALUE"""),"Duke Field")</f>
        <v>Duke Field</v>
      </c>
      <c r="D8898" s="120" t="str">
        <f>IFERROR(__xludf.DUMMYFUNCTION("""COMPUTED_VALUE"""),"United States")</f>
        <v>United States</v>
      </c>
      <c r="E8898" s="135"/>
      <c r="F8898" s="31"/>
    </row>
    <row r="8899">
      <c r="A8899" s="134" t="str">
        <f>IFERROR(__xludf.DUMMYFUNCTION("""COMPUTED_VALUE"""),"Valparaiso")</f>
        <v>Valparaiso</v>
      </c>
      <c r="B8899" s="120" t="str">
        <f>IFERROR(__xludf.DUMMYFUNCTION("""COMPUTED_VALUE"""),"VPS")</f>
        <v>VPS</v>
      </c>
      <c r="C8899" s="120" t="str">
        <f>IFERROR(__xludf.DUMMYFUNCTION("""COMPUTED_VALUE"""),"Ft. Walton Beach")</f>
        <v>Ft. Walton Beach</v>
      </c>
      <c r="D8899" s="120" t="str">
        <f>IFERROR(__xludf.DUMMYFUNCTION("""COMPUTED_VALUE"""),"United States")</f>
        <v>United States</v>
      </c>
      <c r="E8899" s="135"/>
      <c r="F8899" s="31"/>
    </row>
    <row r="8900">
      <c r="A8900" s="134" t="str">
        <f>IFERROR(__xludf.DUMMYFUNCTION("""COMPUTED_VALUE"""),"Valparaiso")</f>
        <v>Valparaiso</v>
      </c>
      <c r="B8900" s="120" t="str">
        <f>IFERROR(__xludf.DUMMYFUNCTION("""COMPUTED_VALUE"""),"VPZ")</f>
        <v>VPZ</v>
      </c>
      <c r="C8900" s="120" t="str">
        <f>IFERROR(__xludf.DUMMYFUNCTION("""COMPUTED_VALUE"""),"Porter County")</f>
        <v>Porter County</v>
      </c>
      <c r="D8900" s="120" t="str">
        <f>IFERROR(__xludf.DUMMYFUNCTION("""COMPUTED_VALUE"""),"United States")</f>
        <v>United States</v>
      </c>
      <c r="E8900" s="135"/>
      <c r="F8900" s="31"/>
    </row>
    <row r="8901">
      <c r="A8901" s="134" t="str">
        <f>IFERROR(__xludf.DUMMYFUNCTION("""COMPUTED_VALUE"""),"Valverde")</f>
        <v>Valverde</v>
      </c>
      <c r="B8901" s="120" t="str">
        <f>IFERROR(__xludf.DUMMYFUNCTION("""COMPUTED_VALUE"""),"VDE")</f>
        <v>VDE</v>
      </c>
      <c r="C8901" s="120" t="str">
        <f>IFERROR(__xludf.DUMMYFUNCTION("""COMPUTED_VALUE"""),"Hierro")</f>
        <v>Hierro</v>
      </c>
      <c r="D8901" s="120" t="str">
        <f>IFERROR(__xludf.DUMMYFUNCTION("""COMPUTED_VALUE"""),"Spain")</f>
        <v>Spain</v>
      </c>
      <c r="E8901" s="135"/>
      <c r="F8901" s="31"/>
    </row>
    <row r="8902">
      <c r="A8902" s="134" t="str">
        <f>IFERROR(__xludf.DUMMYFUNCTION("""COMPUTED_VALUE"""),"Van")</f>
        <v>Van</v>
      </c>
      <c r="B8902" s="120" t="str">
        <f>IFERROR(__xludf.DUMMYFUNCTION("""COMPUTED_VALUE"""),"VAN")</f>
        <v>VAN</v>
      </c>
      <c r="C8902" s="120" t="str">
        <f>IFERROR(__xludf.DUMMYFUNCTION("""COMPUTED_VALUE"""),"Van")</f>
        <v>Van</v>
      </c>
      <c r="D8902" s="120" t="str">
        <f>IFERROR(__xludf.DUMMYFUNCTION("""COMPUTED_VALUE"""),"Turkey")</f>
        <v>Turkey</v>
      </c>
      <c r="E8902" s="135"/>
      <c r="F8902" s="31"/>
    </row>
    <row r="8903">
      <c r="A8903" s="134" t="str">
        <f>IFERROR(__xludf.DUMMYFUNCTION("""COMPUTED_VALUE"""),"Van Horn")</f>
        <v>Van Horn</v>
      </c>
      <c r="B8903" s="120" t="str">
        <f>IFERROR(__xludf.DUMMYFUNCTION("""COMPUTED_VALUE"""),"VHN")</f>
        <v>VHN</v>
      </c>
      <c r="C8903" s="120" t="str">
        <f>IFERROR(__xludf.DUMMYFUNCTION("""COMPUTED_VALUE"""),"Culberson County")</f>
        <v>Culberson County</v>
      </c>
      <c r="D8903" s="120" t="str">
        <f>IFERROR(__xludf.DUMMYFUNCTION("""COMPUTED_VALUE"""),"United States")</f>
        <v>United States</v>
      </c>
      <c r="E8903" s="135"/>
      <c r="F8903" s="31"/>
    </row>
    <row r="8904">
      <c r="A8904" s="134" t="str">
        <f>IFERROR(__xludf.DUMMYFUNCTION("""COMPUTED_VALUE"""),"Vancouver")</f>
        <v>Vancouver</v>
      </c>
      <c r="B8904" s="120" t="str">
        <f>IFERROR(__xludf.DUMMYFUNCTION("""COMPUTED_VALUE"""),"YDT")</f>
        <v>YDT</v>
      </c>
      <c r="C8904" s="120" t="str">
        <f>IFERROR(__xludf.DUMMYFUNCTION("""COMPUTED_VALUE"""),"Boundary Bay")</f>
        <v>Boundary Bay</v>
      </c>
      <c r="D8904" s="120" t="str">
        <f>IFERROR(__xludf.DUMMYFUNCTION("""COMPUTED_VALUE"""),"Canada")</f>
        <v>Canada</v>
      </c>
      <c r="E8904" s="135"/>
      <c r="F8904" s="31"/>
    </row>
    <row r="8905">
      <c r="A8905" s="134" t="str">
        <f>IFERROR(__xludf.DUMMYFUNCTION("""COMPUTED_VALUE"""),"Vancouver")</f>
        <v>Vancouver</v>
      </c>
      <c r="B8905" s="120" t="str">
        <f>IFERROR(__xludf.DUMMYFUNCTION("""COMPUTED_VALUE"""),"CXH")</f>
        <v>CXH</v>
      </c>
      <c r="C8905" s="120" t="str">
        <f>IFERROR(__xludf.DUMMYFUNCTION("""COMPUTED_VALUE"""),"Coal Harbour")</f>
        <v>Coal Harbour</v>
      </c>
      <c r="D8905" s="120" t="str">
        <f>IFERROR(__xludf.DUMMYFUNCTION("""COMPUTED_VALUE"""),"Canada")</f>
        <v>Canada</v>
      </c>
      <c r="E8905" s="135"/>
      <c r="F8905" s="31"/>
    </row>
    <row r="8906">
      <c r="A8906" s="134" t="str">
        <f>IFERROR(__xludf.DUMMYFUNCTION("""COMPUTED_VALUE"""),"Vancouver")</f>
        <v>Vancouver</v>
      </c>
      <c r="B8906" s="120" t="str">
        <f>IFERROR(__xludf.DUMMYFUNCTION("""COMPUTED_VALUE"""),"YVR")</f>
        <v>YVR</v>
      </c>
      <c r="C8906" s="120" t="str">
        <f>IFERROR(__xludf.DUMMYFUNCTION("""COMPUTED_VALUE"""),"Vancouver Intl")</f>
        <v>Vancouver Intl</v>
      </c>
      <c r="D8906" s="120" t="str">
        <f>IFERROR(__xludf.DUMMYFUNCTION("""COMPUTED_VALUE"""),"Canada")</f>
        <v>Canada</v>
      </c>
      <c r="E8906" s="135"/>
      <c r="F8906" s="31"/>
    </row>
    <row r="8907">
      <c r="A8907" s="134" t="str">
        <f>IFERROR(__xludf.DUMMYFUNCTION("""COMPUTED_VALUE"""),"Vancouver")</f>
        <v>Vancouver</v>
      </c>
      <c r="B8907" s="120" t="str">
        <f>IFERROR(__xludf.DUMMYFUNCTION("""COMPUTED_VALUE"""),"XEA")</f>
        <v>XEA</v>
      </c>
      <c r="C8907" s="120" t="str">
        <f>IFERROR(__xludf.DUMMYFUNCTION("""COMPUTED_VALUE"""),"Vancouver Rail Stn.")</f>
        <v>Vancouver Rail Stn.</v>
      </c>
      <c r="D8907" s="120" t="str">
        <f>IFERROR(__xludf.DUMMYFUNCTION("""COMPUTED_VALUE"""),"Canada")</f>
        <v>Canada</v>
      </c>
      <c r="E8907" s="135"/>
      <c r="F8907" s="31"/>
    </row>
    <row r="8908">
      <c r="A8908" s="134" t="str">
        <f>IFERROR(__xludf.DUMMYFUNCTION("""COMPUTED_VALUE"""),"Vandalia")</f>
        <v>Vandalia</v>
      </c>
      <c r="B8908" s="120" t="str">
        <f>IFERROR(__xludf.DUMMYFUNCTION("""COMPUTED_VALUE"""),"VLA")</f>
        <v>VLA</v>
      </c>
      <c r="C8908" s="120" t="str">
        <f>IFERROR(__xludf.DUMMYFUNCTION("""COMPUTED_VALUE"""),"Vandalia")</f>
        <v>Vandalia</v>
      </c>
      <c r="D8908" s="120" t="str">
        <f>IFERROR(__xludf.DUMMYFUNCTION("""COMPUTED_VALUE"""),"United States")</f>
        <v>United States</v>
      </c>
      <c r="E8908" s="135"/>
      <c r="F8908" s="31"/>
    </row>
    <row r="8909">
      <c r="A8909" s="134" t="str">
        <f>IFERROR(__xludf.DUMMYFUNCTION("""COMPUTED_VALUE"""),"Vangaindrano")</f>
        <v>Vangaindrano</v>
      </c>
      <c r="B8909" s="120" t="str">
        <f>IFERROR(__xludf.DUMMYFUNCTION("""COMPUTED_VALUE"""),"VND")</f>
        <v>VND</v>
      </c>
      <c r="C8909" s="120" t="str">
        <f>IFERROR(__xludf.DUMMYFUNCTION("""COMPUTED_VALUE"""),"Vangaindrano")</f>
        <v>Vangaindrano</v>
      </c>
      <c r="D8909" s="120" t="str">
        <f>IFERROR(__xludf.DUMMYFUNCTION("""COMPUTED_VALUE"""),"Madagascar")</f>
        <v>Madagascar</v>
      </c>
      <c r="E8909" s="135"/>
      <c r="F8909" s="31"/>
    </row>
    <row r="8910">
      <c r="A8910" s="134" t="str">
        <f>IFERROR(__xludf.DUMMYFUNCTION("""COMPUTED_VALUE"""),"Vangrieng")</f>
        <v>Vangrieng</v>
      </c>
      <c r="B8910" s="120" t="str">
        <f>IFERROR(__xludf.DUMMYFUNCTION("""COMPUTED_VALUE"""),"VGG")</f>
        <v>VGG</v>
      </c>
      <c r="C8910" s="120" t="str">
        <f>IFERROR(__xludf.DUMMYFUNCTION("""COMPUTED_VALUE"""),"Vangrieng")</f>
        <v>Vangrieng</v>
      </c>
      <c r="D8910" s="120" t="str">
        <f>IFERROR(__xludf.DUMMYFUNCTION("""COMPUTED_VALUE"""),"Laos")</f>
        <v>Laos</v>
      </c>
      <c r="E8910" s="135"/>
      <c r="F8910" s="31"/>
    </row>
    <row r="8911">
      <c r="A8911" s="134" t="str">
        <f>IFERROR(__xludf.DUMMYFUNCTION("""COMPUTED_VALUE"""),"Vanimo")</f>
        <v>Vanimo</v>
      </c>
      <c r="B8911" s="120" t="str">
        <f>IFERROR(__xludf.DUMMYFUNCTION("""COMPUTED_VALUE"""),"VAI")</f>
        <v>VAI</v>
      </c>
      <c r="C8911" s="120" t="str">
        <f>IFERROR(__xludf.DUMMYFUNCTION("""COMPUTED_VALUE"""),"Vanimo")</f>
        <v>Vanimo</v>
      </c>
      <c r="D8911" s="120" t="str">
        <f>IFERROR(__xludf.DUMMYFUNCTION("""COMPUTED_VALUE"""),"Papua New Guinea")</f>
        <v>Papua New Guinea</v>
      </c>
      <c r="E8911" s="135"/>
      <c r="F8911" s="31"/>
    </row>
    <row r="8912">
      <c r="A8912" s="134" t="str">
        <f>IFERROR(__xludf.DUMMYFUNCTION("""COMPUTED_VALUE"""),"Vannes")</f>
        <v>Vannes</v>
      </c>
      <c r="B8912" s="120" t="str">
        <f>IFERROR(__xludf.DUMMYFUNCTION("""COMPUTED_VALUE"""),"VNE")</f>
        <v>VNE</v>
      </c>
      <c r="C8912" s="120" t="str">
        <f>IFERROR(__xludf.DUMMYFUNCTION("""COMPUTED_VALUE"""),"Meucon")</f>
        <v>Meucon</v>
      </c>
      <c r="D8912" s="120" t="str">
        <f>IFERROR(__xludf.DUMMYFUNCTION("""COMPUTED_VALUE"""),"France")</f>
        <v>France</v>
      </c>
      <c r="E8912" s="135"/>
      <c r="F8912" s="31"/>
    </row>
    <row r="8913">
      <c r="A8913" s="134" t="str">
        <f>IFERROR(__xludf.DUMMYFUNCTION("""COMPUTED_VALUE"""),"Vanrook")</f>
        <v>Vanrook</v>
      </c>
      <c r="B8913" s="120" t="str">
        <f>IFERROR(__xludf.DUMMYFUNCTION("""COMPUTED_VALUE"""),"VNR")</f>
        <v>VNR</v>
      </c>
      <c r="C8913" s="120" t="str">
        <f>IFERROR(__xludf.DUMMYFUNCTION("""COMPUTED_VALUE"""),"Vanrook")</f>
        <v>Vanrook</v>
      </c>
      <c r="D8913" s="120" t="str">
        <f>IFERROR(__xludf.DUMMYFUNCTION("""COMPUTED_VALUE"""),"Australia")</f>
        <v>Australia</v>
      </c>
      <c r="E8913" s="135"/>
      <c r="F8913" s="31"/>
    </row>
    <row r="8914">
      <c r="A8914" s="134" t="str">
        <f>IFERROR(__xludf.DUMMYFUNCTION("""COMPUTED_VALUE"""),"Vanuabalavu")</f>
        <v>Vanuabalavu</v>
      </c>
      <c r="B8914" s="120" t="str">
        <f>IFERROR(__xludf.DUMMYFUNCTION("""COMPUTED_VALUE"""),"VBV")</f>
        <v>VBV</v>
      </c>
      <c r="C8914" s="120" t="str">
        <f>IFERROR(__xludf.DUMMYFUNCTION("""COMPUTED_VALUE"""),"Vanuabalavu")</f>
        <v>Vanuabalavu</v>
      </c>
      <c r="D8914" s="120" t="str">
        <f>IFERROR(__xludf.DUMMYFUNCTION("""COMPUTED_VALUE"""),"Fiji")</f>
        <v>Fiji</v>
      </c>
      <c r="E8914" s="135"/>
      <c r="F8914" s="31"/>
    </row>
    <row r="8915">
      <c r="A8915" s="134" t="str">
        <f>IFERROR(__xludf.DUMMYFUNCTION("""COMPUTED_VALUE"""),"Varadero")</f>
        <v>Varadero</v>
      </c>
      <c r="B8915" s="120" t="str">
        <f>IFERROR(__xludf.DUMMYFUNCTION("""COMPUTED_VALUE"""),"VRA")</f>
        <v>VRA</v>
      </c>
      <c r="C8915" s="120" t="str">
        <f>IFERROR(__xludf.DUMMYFUNCTION("""COMPUTED_VALUE"""),"Juan Gualberto Gomez")</f>
        <v>Juan Gualberto Gomez</v>
      </c>
      <c r="D8915" s="120" t="str">
        <f>IFERROR(__xludf.DUMMYFUNCTION("""COMPUTED_VALUE"""),"Cuba")</f>
        <v>Cuba</v>
      </c>
      <c r="E8915" s="135"/>
      <c r="F8915" s="31"/>
    </row>
    <row r="8916">
      <c r="A8916" s="134" t="str">
        <f>IFERROR(__xludf.DUMMYFUNCTION("""COMPUTED_VALUE"""),"Varanasi")</f>
        <v>Varanasi</v>
      </c>
      <c r="B8916" s="120" t="str">
        <f>IFERROR(__xludf.DUMMYFUNCTION("""COMPUTED_VALUE"""),"VNS")</f>
        <v>VNS</v>
      </c>
      <c r="C8916" s="120" t="str">
        <f>IFERROR(__xludf.DUMMYFUNCTION("""COMPUTED_VALUE"""),"Varanasi")</f>
        <v>Varanasi</v>
      </c>
      <c r="D8916" s="120" t="str">
        <f>IFERROR(__xludf.DUMMYFUNCTION("""COMPUTED_VALUE"""),"India")</f>
        <v>India</v>
      </c>
      <c r="E8916" s="135"/>
      <c r="F8916" s="31"/>
    </row>
    <row r="8917">
      <c r="A8917" s="134" t="str">
        <f>IFERROR(__xludf.DUMMYFUNCTION("""COMPUTED_VALUE"""),"Vardoe")</f>
        <v>Vardoe</v>
      </c>
      <c r="B8917" s="120" t="str">
        <f>IFERROR(__xludf.DUMMYFUNCTION("""COMPUTED_VALUE"""),"VAW")</f>
        <v>VAW</v>
      </c>
      <c r="C8917" s="120" t="str">
        <f>IFERROR(__xludf.DUMMYFUNCTION("""COMPUTED_VALUE"""),"Vardoe")</f>
        <v>Vardoe</v>
      </c>
      <c r="D8917" s="120" t="str">
        <f>IFERROR(__xludf.DUMMYFUNCTION("""COMPUTED_VALUE"""),"Norway")</f>
        <v>Norway</v>
      </c>
      <c r="E8917" s="135"/>
      <c r="F8917" s="31"/>
    </row>
    <row r="8918">
      <c r="A8918" s="134" t="str">
        <f>IFERROR(__xludf.DUMMYFUNCTION("""COMPUTED_VALUE"""),"Varginha")</f>
        <v>Varginha</v>
      </c>
      <c r="B8918" s="120" t="str">
        <f>IFERROR(__xludf.DUMMYFUNCTION("""COMPUTED_VALUE"""),"VAG")</f>
        <v>VAG</v>
      </c>
      <c r="C8918" s="120" t="str">
        <f>IFERROR(__xludf.DUMMYFUNCTION("""COMPUTED_VALUE"""),"Maj. Brig. Trompowsky")</f>
        <v>Maj. Brig. Trompowsky</v>
      </c>
      <c r="D8918" s="120" t="str">
        <f>IFERROR(__xludf.DUMMYFUNCTION("""COMPUTED_VALUE"""),"Brazil")</f>
        <v>Brazil</v>
      </c>
      <c r="E8918" s="135"/>
      <c r="F8918" s="31"/>
    </row>
    <row r="8919">
      <c r="A8919" s="134" t="str">
        <f>IFERROR(__xludf.DUMMYFUNCTION("""COMPUTED_VALUE"""),"Varkaus")</f>
        <v>Varkaus</v>
      </c>
      <c r="B8919" s="120" t="str">
        <f>IFERROR(__xludf.DUMMYFUNCTION("""COMPUTED_VALUE"""),"VRK")</f>
        <v>VRK</v>
      </c>
      <c r="C8919" s="120" t="str">
        <f>IFERROR(__xludf.DUMMYFUNCTION("""COMPUTED_VALUE"""),"Varkaus")</f>
        <v>Varkaus</v>
      </c>
      <c r="D8919" s="120" t="str">
        <f>IFERROR(__xludf.DUMMYFUNCTION("""COMPUTED_VALUE"""),"Finland")</f>
        <v>Finland</v>
      </c>
      <c r="E8919" s="135"/>
      <c r="F8919" s="31"/>
    </row>
    <row r="8920">
      <c r="A8920" s="134" t="str">
        <f>IFERROR(__xludf.DUMMYFUNCTION("""COMPUTED_VALUE"""),"Varna")</f>
        <v>Varna</v>
      </c>
      <c r="B8920" s="120" t="str">
        <f>IFERROR(__xludf.DUMMYFUNCTION("""COMPUTED_VALUE"""),"VAR")</f>
        <v>VAR</v>
      </c>
      <c r="C8920" s="120" t="str">
        <f>IFERROR(__xludf.DUMMYFUNCTION("""COMPUTED_VALUE"""),"Varna")</f>
        <v>Varna</v>
      </c>
      <c r="D8920" s="120" t="str">
        <f>IFERROR(__xludf.DUMMYFUNCTION("""COMPUTED_VALUE"""),"Bulgaria")</f>
        <v>Bulgaria</v>
      </c>
      <c r="E8920" s="135"/>
      <c r="F8920" s="31"/>
    </row>
    <row r="8921">
      <c r="A8921" s="134" t="str">
        <f>IFERROR(__xludf.DUMMYFUNCTION("""COMPUTED_VALUE"""),"Varrelbusch")</f>
        <v>Varrelbusch</v>
      </c>
      <c r="B8921" s="120" t="str">
        <f>IFERROR(__xludf.DUMMYFUNCTION("""COMPUTED_VALUE"""),"VAC")</f>
        <v>VAC</v>
      </c>
      <c r="C8921" s="120" t="str">
        <f>IFERROR(__xludf.DUMMYFUNCTION("""COMPUTED_VALUE"""),"Varrelbusch")</f>
        <v>Varrelbusch</v>
      </c>
      <c r="D8921" s="120" t="str">
        <f>IFERROR(__xludf.DUMMYFUNCTION("""COMPUTED_VALUE"""),"Germany")</f>
        <v>Germany</v>
      </c>
      <c r="E8921" s="135"/>
      <c r="F8921" s="31"/>
    </row>
    <row r="8922">
      <c r="A8922" s="134" t="str">
        <f>IFERROR(__xludf.DUMMYFUNCTION("""COMPUTED_VALUE"""),"Vastervik")</f>
        <v>Vastervik</v>
      </c>
      <c r="B8922" s="120" t="str">
        <f>IFERROR(__xludf.DUMMYFUNCTION("""COMPUTED_VALUE"""),"VVK")</f>
        <v>VVK</v>
      </c>
      <c r="C8922" s="120" t="str">
        <f>IFERROR(__xludf.DUMMYFUNCTION("""COMPUTED_VALUE"""),"Vastervik")</f>
        <v>Vastervik</v>
      </c>
      <c r="D8922" s="120" t="str">
        <f>IFERROR(__xludf.DUMMYFUNCTION("""COMPUTED_VALUE"""),"Sweden")</f>
        <v>Sweden</v>
      </c>
      <c r="E8922" s="135"/>
      <c r="F8922" s="31"/>
    </row>
    <row r="8923">
      <c r="A8923" s="134" t="str">
        <f>IFERROR(__xludf.DUMMYFUNCTION("""COMPUTED_VALUE"""),"Vatomandry")</f>
        <v>Vatomandry</v>
      </c>
      <c r="B8923" s="120" t="str">
        <f>IFERROR(__xludf.DUMMYFUNCTION("""COMPUTED_VALUE"""),"VAT")</f>
        <v>VAT</v>
      </c>
      <c r="C8923" s="120" t="str">
        <f>IFERROR(__xludf.DUMMYFUNCTION("""COMPUTED_VALUE"""),"Vatomandry")</f>
        <v>Vatomandry</v>
      </c>
      <c r="D8923" s="120" t="str">
        <f>IFERROR(__xludf.DUMMYFUNCTION("""COMPUTED_VALUE"""),"Madagascar")</f>
        <v>Madagascar</v>
      </c>
      <c r="E8923" s="135"/>
      <c r="F8923" s="31"/>
    </row>
    <row r="8924">
      <c r="A8924" s="134" t="str">
        <f>IFERROR(__xludf.DUMMYFUNCTION("""COMPUTED_VALUE"""),"Vatukoula")</f>
        <v>Vatukoula</v>
      </c>
      <c r="B8924" s="120" t="str">
        <f>IFERROR(__xludf.DUMMYFUNCTION("""COMPUTED_VALUE"""),"VAU")</f>
        <v>VAU</v>
      </c>
      <c r="C8924" s="120" t="str">
        <f>IFERROR(__xludf.DUMMYFUNCTION("""COMPUTED_VALUE"""),"Vatukoula")</f>
        <v>Vatukoula</v>
      </c>
      <c r="D8924" s="120" t="str">
        <f>IFERROR(__xludf.DUMMYFUNCTION("""COMPUTED_VALUE"""),"Fiji")</f>
        <v>Fiji</v>
      </c>
      <c r="E8924" s="135"/>
      <c r="F8924" s="31"/>
    </row>
    <row r="8925">
      <c r="A8925" s="134" t="str">
        <f>IFERROR(__xludf.DUMMYFUNCTION("""COMPUTED_VALUE"""),"Vatulele")</f>
        <v>Vatulele</v>
      </c>
      <c r="B8925" s="120" t="str">
        <f>IFERROR(__xludf.DUMMYFUNCTION("""COMPUTED_VALUE"""),"VTF")</f>
        <v>VTF</v>
      </c>
      <c r="C8925" s="120" t="str">
        <f>IFERROR(__xludf.DUMMYFUNCTION("""COMPUTED_VALUE"""),"Vatulele")</f>
        <v>Vatulele</v>
      </c>
      <c r="D8925" s="120" t="str">
        <f>IFERROR(__xludf.DUMMYFUNCTION("""COMPUTED_VALUE"""),"Fiji")</f>
        <v>Fiji</v>
      </c>
      <c r="E8925" s="135"/>
      <c r="F8925" s="31"/>
    </row>
    <row r="8926">
      <c r="A8926" s="134" t="str">
        <f>IFERROR(__xludf.DUMMYFUNCTION("""COMPUTED_VALUE"""),"Vaxjo")</f>
        <v>Vaxjo</v>
      </c>
      <c r="B8926" s="120" t="str">
        <f>IFERROR(__xludf.DUMMYFUNCTION("""COMPUTED_VALUE"""),"VXO")</f>
        <v>VXO</v>
      </c>
      <c r="C8926" s="120" t="str">
        <f>IFERROR(__xludf.DUMMYFUNCTION("""COMPUTED_VALUE"""),"Vaxjo")</f>
        <v>Vaxjo</v>
      </c>
      <c r="D8926" s="120" t="str">
        <f>IFERROR(__xludf.DUMMYFUNCTION("""COMPUTED_VALUE"""),"Sweden")</f>
        <v>Sweden</v>
      </c>
      <c r="E8926" s="135"/>
      <c r="F8926" s="31"/>
    </row>
    <row r="8927">
      <c r="A8927" s="134" t="str">
        <f>IFERROR(__xludf.DUMMYFUNCTION("""COMPUTED_VALUE"""),"Vejle")</f>
        <v>Vejle</v>
      </c>
      <c r="B8927" s="120" t="str">
        <f>IFERROR(__xludf.DUMMYFUNCTION("""COMPUTED_VALUE"""),"VEJ")</f>
        <v>VEJ</v>
      </c>
      <c r="C8927" s="120" t="str">
        <f>IFERROR(__xludf.DUMMYFUNCTION("""COMPUTED_VALUE"""),"Vejle")</f>
        <v>Vejle</v>
      </c>
      <c r="D8927" s="120" t="str">
        <f>IFERROR(__xludf.DUMMYFUNCTION("""COMPUTED_VALUE"""),"Denmark")</f>
        <v>Denmark</v>
      </c>
      <c r="E8927" s="135"/>
      <c r="F8927" s="31"/>
    </row>
    <row r="8928">
      <c r="A8928" s="134" t="str">
        <f>IFERROR(__xludf.DUMMYFUNCTION("""COMPUTED_VALUE"""),"Velikij Ustyug")</f>
        <v>Velikij Ustyug</v>
      </c>
      <c r="B8928" s="120" t="str">
        <f>IFERROR(__xludf.DUMMYFUNCTION("""COMPUTED_VALUE"""),"VUS")</f>
        <v>VUS</v>
      </c>
      <c r="C8928" s="120" t="str">
        <f>IFERROR(__xludf.DUMMYFUNCTION("""COMPUTED_VALUE"""),"Velikij Ustyug")</f>
        <v>Velikij Ustyug</v>
      </c>
      <c r="D8928" s="120" t="str">
        <f>IFERROR(__xludf.DUMMYFUNCTION("""COMPUTED_VALUE"""),"Russia")</f>
        <v>Russia</v>
      </c>
      <c r="E8928" s="135"/>
      <c r="F8928" s="31"/>
    </row>
    <row r="8929">
      <c r="A8929" s="134" t="str">
        <f>IFERROR(__xludf.DUMMYFUNCTION("""COMPUTED_VALUE"""),"Velikiye Luki")</f>
        <v>Velikiye Luki</v>
      </c>
      <c r="B8929" s="120" t="str">
        <f>IFERROR(__xludf.DUMMYFUNCTION("""COMPUTED_VALUE"""),"VLU")</f>
        <v>VLU</v>
      </c>
      <c r="C8929" s="120" t="str">
        <f>IFERROR(__xludf.DUMMYFUNCTION("""COMPUTED_VALUE"""),"Velikiye Luki")</f>
        <v>Velikiye Luki</v>
      </c>
      <c r="D8929" s="120" t="str">
        <f>IFERROR(__xludf.DUMMYFUNCTION("""COMPUTED_VALUE"""),"Russia")</f>
        <v>Russia</v>
      </c>
      <c r="E8929" s="135"/>
      <c r="F8929" s="31"/>
    </row>
    <row r="8930">
      <c r="A8930" s="134" t="str">
        <f>IFERROR(__xludf.DUMMYFUNCTION("""COMPUTED_VALUE"""),"Venetie")</f>
        <v>Venetie</v>
      </c>
      <c r="B8930" s="120" t="str">
        <f>IFERROR(__xludf.DUMMYFUNCTION("""COMPUTED_VALUE"""),"VEE")</f>
        <v>VEE</v>
      </c>
      <c r="C8930" s="120" t="str">
        <f>IFERROR(__xludf.DUMMYFUNCTION("""COMPUTED_VALUE"""),"Venetie")</f>
        <v>Venetie</v>
      </c>
      <c r="D8930" s="120" t="str">
        <f>IFERROR(__xludf.DUMMYFUNCTION("""COMPUTED_VALUE"""),"United States")</f>
        <v>United States</v>
      </c>
      <c r="E8930" s="135"/>
      <c r="F8930" s="31"/>
    </row>
    <row r="8931">
      <c r="A8931" s="134" t="str">
        <f>IFERROR(__xludf.DUMMYFUNCTION("""COMPUTED_VALUE"""),"Venice")</f>
        <v>Venice</v>
      </c>
      <c r="B8931" s="120" t="str">
        <f>IFERROR(__xludf.DUMMYFUNCTION("""COMPUTED_VALUE"""),"VNC")</f>
        <v>VNC</v>
      </c>
      <c r="C8931" s="120" t="str">
        <f>IFERROR(__xludf.DUMMYFUNCTION("""COMPUTED_VALUE"""),"Venice")</f>
        <v>Venice</v>
      </c>
      <c r="D8931" s="120" t="str">
        <f>IFERROR(__xludf.DUMMYFUNCTION("""COMPUTED_VALUE"""),"United States")</f>
        <v>United States</v>
      </c>
      <c r="E8931" s="135"/>
      <c r="F8931" s="31"/>
    </row>
    <row r="8932">
      <c r="A8932" s="134" t="str">
        <f>IFERROR(__xludf.DUMMYFUNCTION("""COMPUTED_VALUE"""),"Venice")</f>
        <v>Venice</v>
      </c>
      <c r="B8932" s="120" t="str">
        <f>IFERROR(__xludf.DUMMYFUNCTION("""COMPUTED_VALUE"""),"VCE")</f>
        <v>VCE</v>
      </c>
      <c r="C8932" s="120" t="str">
        <f>IFERROR(__xludf.DUMMYFUNCTION("""COMPUTED_VALUE"""),"Marco Polo")</f>
        <v>Marco Polo</v>
      </c>
      <c r="D8932" s="120" t="str">
        <f>IFERROR(__xludf.DUMMYFUNCTION("""COMPUTED_VALUE"""),"Italy")</f>
        <v>Italy</v>
      </c>
      <c r="E8932" s="135"/>
      <c r="F8932" s="31"/>
    </row>
    <row r="8933">
      <c r="A8933" s="134" t="str">
        <f>IFERROR(__xludf.DUMMYFUNCTION("""COMPUTED_VALUE"""),"Venice")</f>
        <v>Venice</v>
      </c>
      <c r="B8933" s="120" t="str">
        <f>IFERROR(__xludf.DUMMYFUNCTION("""COMPUTED_VALUE"""),"XVQ")</f>
        <v>XVQ</v>
      </c>
      <c r="C8933" s="120" t="str">
        <f>IFERROR(__xludf.DUMMYFUNCTION("""COMPUTED_VALUE"""),"Santa Lucia Rail")</f>
        <v>Santa Lucia Rail</v>
      </c>
      <c r="D8933" s="120" t="str">
        <f>IFERROR(__xludf.DUMMYFUNCTION("""COMPUTED_VALUE"""),"Italy")</f>
        <v>Italy</v>
      </c>
      <c r="E8933" s="135"/>
      <c r="F8933" s="31"/>
    </row>
    <row r="8934">
      <c r="A8934" s="134" t="str">
        <f>IFERROR(__xludf.DUMMYFUNCTION("""COMPUTED_VALUE"""),"Treviso")</f>
        <v>Treviso</v>
      </c>
      <c r="B8934" s="120" t="str">
        <f>IFERROR(__xludf.DUMMYFUNCTION("""COMPUTED_VALUE"""),"TSF")</f>
        <v>TSF</v>
      </c>
      <c r="C8934" s="120" t="str">
        <f>IFERROR(__xludf.DUMMYFUNCTION("""COMPUTED_VALUE"""),"Treviso")</f>
        <v>Treviso</v>
      </c>
      <c r="D8934" s="120" t="str">
        <f>IFERROR(__xludf.DUMMYFUNCTION("""COMPUTED_VALUE"""),"Italy")</f>
        <v>Italy</v>
      </c>
      <c r="E8934" s="135"/>
      <c r="F8934" s="31"/>
    </row>
    <row r="8935">
      <c r="A8935" s="134" t="str">
        <f>IFERROR(__xludf.DUMMYFUNCTION("""COMPUTED_VALUE"""),"Vennesla")</f>
        <v>Vennesla</v>
      </c>
      <c r="B8935" s="120" t="str">
        <f>IFERROR(__xludf.DUMMYFUNCTION("""COMPUTED_VALUE"""),"XXE")</f>
        <v>XXE</v>
      </c>
      <c r="C8935" s="120" t="str">
        <f>IFERROR(__xludf.DUMMYFUNCTION("""COMPUTED_VALUE"""),"Vennesla Railway")</f>
        <v>Vennesla Railway</v>
      </c>
      <c r="D8935" s="120" t="str">
        <f>IFERROR(__xludf.DUMMYFUNCTION("""COMPUTED_VALUE"""),"Norway")</f>
        <v>Norway</v>
      </c>
      <c r="E8935" s="135"/>
      <c r="F8935" s="31"/>
    </row>
    <row r="8936">
      <c r="A8936" s="134" t="str">
        <f>IFERROR(__xludf.DUMMYFUNCTION("""COMPUTED_VALUE"""),"Ventura")</f>
        <v>Ventura</v>
      </c>
      <c r="B8936" s="120" t="str">
        <f>IFERROR(__xludf.DUMMYFUNCTION("""COMPUTED_VALUE"""),"OXR")</f>
        <v>OXR</v>
      </c>
      <c r="C8936" s="120" t="str">
        <f>IFERROR(__xludf.DUMMYFUNCTION("""COMPUTED_VALUE"""),"Ventura")</f>
        <v>Ventura</v>
      </c>
      <c r="D8936" s="120" t="str">
        <f>IFERROR(__xludf.DUMMYFUNCTION("""COMPUTED_VALUE"""),"United States")</f>
        <v>United States</v>
      </c>
      <c r="E8936" s="135"/>
      <c r="F8936" s="31"/>
    </row>
    <row r="8937">
      <c r="A8937" s="134" t="str">
        <f>IFERROR(__xludf.DUMMYFUNCTION("""COMPUTED_VALUE"""),"Veracruz")</f>
        <v>Veracruz</v>
      </c>
      <c r="B8937" s="120" t="str">
        <f>IFERROR(__xludf.DUMMYFUNCTION("""COMPUTED_VALUE"""),"VER")</f>
        <v>VER</v>
      </c>
      <c r="C8937" s="120" t="str">
        <f>IFERROR(__xludf.DUMMYFUNCTION("""COMPUTED_VALUE"""),"Las Bajadas")</f>
        <v>Las Bajadas</v>
      </c>
      <c r="D8937" s="120" t="str">
        <f>IFERROR(__xludf.DUMMYFUNCTION("""COMPUTED_VALUE"""),"Mexico")</f>
        <v>Mexico</v>
      </c>
      <c r="E8937" s="135"/>
      <c r="F8937" s="31"/>
    </row>
    <row r="8938">
      <c r="A8938" s="134" t="str">
        <f>IFERROR(__xludf.DUMMYFUNCTION("""COMPUTED_VALUE"""),"Verdal")</f>
        <v>Verdal</v>
      </c>
      <c r="B8938" s="120" t="str">
        <f>IFERROR(__xludf.DUMMYFUNCTION("""COMPUTED_VALUE"""),"XXG")</f>
        <v>XXG</v>
      </c>
      <c r="C8938" s="120" t="str">
        <f>IFERROR(__xludf.DUMMYFUNCTION("""COMPUTED_VALUE"""),"Verdal Railway")</f>
        <v>Verdal Railway</v>
      </c>
      <c r="D8938" s="120" t="str">
        <f>IFERROR(__xludf.DUMMYFUNCTION("""COMPUTED_VALUE"""),"Norway")</f>
        <v>Norway</v>
      </c>
      <c r="E8938" s="135"/>
      <c r="F8938" s="31"/>
    </row>
    <row r="8939">
      <c r="A8939" s="134" t="str">
        <f>IFERROR(__xludf.DUMMYFUNCTION("""COMPUTED_VALUE"""),"Vermilion")</f>
        <v>Vermilion</v>
      </c>
      <c r="B8939" s="120" t="str">
        <f>IFERROR(__xludf.DUMMYFUNCTION("""COMPUTED_VALUE"""),"YVG")</f>
        <v>YVG</v>
      </c>
      <c r="C8939" s="120" t="str">
        <f>IFERROR(__xludf.DUMMYFUNCTION("""COMPUTED_VALUE"""),"Vermilion")</f>
        <v>Vermilion</v>
      </c>
      <c r="D8939" s="120" t="str">
        <f>IFERROR(__xludf.DUMMYFUNCTION("""COMPUTED_VALUE"""),"Canada")</f>
        <v>Canada</v>
      </c>
      <c r="E8939" s="135"/>
      <c r="F8939" s="31"/>
    </row>
    <row r="8940">
      <c r="A8940" s="134" t="str">
        <f>IFERROR(__xludf.DUMMYFUNCTION("""COMPUTED_VALUE"""),"Vernal")</f>
        <v>Vernal</v>
      </c>
      <c r="B8940" s="120" t="str">
        <f>IFERROR(__xludf.DUMMYFUNCTION("""COMPUTED_VALUE"""),"VEL")</f>
        <v>VEL</v>
      </c>
      <c r="C8940" s="120" t="str">
        <f>IFERROR(__xludf.DUMMYFUNCTION("""COMPUTED_VALUE"""),"Vernal")</f>
        <v>Vernal</v>
      </c>
      <c r="D8940" s="120" t="str">
        <f>IFERROR(__xludf.DUMMYFUNCTION("""COMPUTED_VALUE"""),"United States")</f>
        <v>United States</v>
      </c>
      <c r="E8940" s="135"/>
      <c r="F8940" s="31"/>
    </row>
    <row r="8941">
      <c r="A8941" s="134" t="str">
        <f>IFERROR(__xludf.DUMMYFUNCTION("""COMPUTED_VALUE"""),"Vernon")</f>
        <v>Vernon</v>
      </c>
      <c r="B8941" s="120" t="str">
        <f>IFERROR(__xludf.DUMMYFUNCTION("""COMPUTED_VALUE"""),"YVE")</f>
        <v>YVE</v>
      </c>
      <c r="C8941" s="120" t="str">
        <f>IFERROR(__xludf.DUMMYFUNCTION("""COMPUTED_VALUE"""),"Vernon")</f>
        <v>Vernon</v>
      </c>
      <c r="D8941" s="120" t="str">
        <f>IFERROR(__xludf.DUMMYFUNCTION("""COMPUTED_VALUE"""),"Canada")</f>
        <v>Canada</v>
      </c>
      <c r="E8941" s="135"/>
      <c r="F8941" s="31"/>
    </row>
    <row r="8942">
      <c r="A8942" s="134" t="str">
        <f>IFERROR(__xludf.DUMMYFUNCTION("""COMPUTED_VALUE"""),"Vero Beach")</f>
        <v>Vero Beach</v>
      </c>
      <c r="B8942" s="120" t="str">
        <f>IFERROR(__xludf.DUMMYFUNCTION("""COMPUTED_VALUE"""),"VRB")</f>
        <v>VRB</v>
      </c>
      <c r="C8942" s="120" t="str">
        <f>IFERROR(__xludf.DUMMYFUNCTION("""COMPUTED_VALUE"""),"Municipal")</f>
        <v>Municipal</v>
      </c>
      <c r="D8942" s="120" t="str">
        <f>IFERROR(__xludf.DUMMYFUNCTION("""COMPUTED_VALUE"""),"United States")</f>
        <v>United States</v>
      </c>
      <c r="E8942" s="135"/>
      <c r="F8942" s="31"/>
    </row>
    <row r="8943">
      <c r="A8943" s="134" t="str">
        <f>IFERROR(__xludf.DUMMYFUNCTION("""COMPUTED_VALUE"""),"Verona")</f>
        <v>Verona</v>
      </c>
      <c r="B8943" s="120" t="str">
        <f>IFERROR(__xludf.DUMMYFUNCTION("""COMPUTED_VALUE"""),"VRN")</f>
        <v>VRN</v>
      </c>
      <c r="C8943" s="120" t="str">
        <f>IFERROR(__xludf.DUMMYFUNCTION("""COMPUTED_VALUE"""),"Valerio Catullo")</f>
        <v>Valerio Catullo</v>
      </c>
      <c r="D8943" s="120" t="str">
        <f>IFERROR(__xludf.DUMMYFUNCTION("""COMPUTED_VALUE"""),"Italy")</f>
        <v>Italy</v>
      </c>
      <c r="E8943" s="135"/>
      <c r="F8943" s="31"/>
    </row>
    <row r="8944">
      <c r="A8944" s="134" t="str">
        <f>IFERROR(__xludf.DUMMYFUNCTION("""COMPUTED_VALUE"""),"Verona")</f>
        <v>Verona</v>
      </c>
      <c r="B8944" s="120" t="str">
        <f>IFERROR(__xludf.DUMMYFUNCTION("""COMPUTED_VALUE"""),"VBS")</f>
        <v>VBS</v>
      </c>
      <c r="C8944" s="120" t="str">
        <f>IFERROR(__xludf.DUMMYFUNCTION("""COMPUTED_VALUE"""),"Brescia Montichiari")</f>
        <v>Brescia Montichiari</v>
      </c>
      <c r="D8944" s="120" t="str">
        <f>IFERROR(__xludf.DUMMYFUNCTION("""COMPUTED_VALUE"""),"Italy")</f>
        <v>Italy</v>
      </c>
      <c r="E8944" s="135"/>
      <c r="F8944" s="31"/>
    </row>
    <row r="8945">
      <c r="A8945" s="134" t="str">
        <f>IFERROR(__xludf.DUMMYFUNCTION("""COMPUTED_VALUE"""),"Verona")</f>
        <v>Verona</v>
      </c>
      <c r="B8945" s="120" t="str">
        <f>IFERROR(__xludf.DUMMYFUNCTION("""COMPUTED_VALUE"""),"XIX")</f>
        <v>XIX</v>
      </c>
      <c r="C8945" s="120" t="str">
        <f>IFERROR(__xludf.DUMMYFUNCTION("""COMPUTED_VALUE"""),"Porta Nuova Rail")</f>
        <v>Porta Nuova Rail</v>
      </c>
      <c r="D8945" s="120" t="str">
        <f>IFERROR(__xludf.DUMMYFUNCTION("""COMPUTED_VALUE"""),"Italy")</f>
        <v>Italy</v>
      </c>
      <c r="E8945" s="135"/>
      <c r="F8945" s="31"/>
    </row>
    <row r="8946">
      <c r="A8946" s="134" t="str">
        <f>IFERROR(__xludf.DUMMYFUNCTION("""COMPUTED_VALUE"""),"Versailles")</f>
        <v>Versailles</v>
      </c>
      <c r="B8946" s="120" t="str">
        <f>IFERROR(__xludf.DUMMYFUNCTION("""COMPUTED_VALUE"""),"VRS")</f>
        <v>VRS</v>
      </c>
      <c r="C8946" s="120" t="str">
        <f>IFERROR(__xludf.DUMMYFUNCTION("""COMPUTED_VALUE"""),"Versailles")</f>
        <v>Versailles</v>
      </c>
      <c r="D8946" s="120" t="str">
        <f>IFERROR(__xludf.DUMMYFUNCTION("""COMPUTED_VALUE"""),"United States")</f>
        <v>United States</v>
      </c>
      <c r="E8946" s="135"/>
      <c r="F8946" s="31"/>
    </row>
    <row r="8947">
      <c r="A8947" s="134" t="str">
        <f>IFERROR(__xludf.DUMMYFUNCTION("""COMPUTED_VALUE"""),"Vestmannaeyjar")</f>
        <v>Vestmannaeyjar</v>
      </c>
      <c r="B8947" s="120" t="str">
        <f>IFERROR(__xludf.DUMMYFUNCTION("""COMPUTED_VALUE"""),"VEY")</f>
        <v>VEY</v>
      </c>
      <c r="C8947" s="120" t="str">
        <f>IFERROR(__xludf.DUMMYFUNCTION("""COMPUTED_VALUE"""),"Vestmannaeyjar")</f>
        <v>Vestmannaeyjar</v>
      </c>
      <c r="D8947" s="120" t="str">
        <f>IFERROR(__xludf.DUMMYFUNCTION("""COMPUTED_VALUE"""),"Iceland")</f>
        <v>Iceland</v>
      </c>
      <c r="E8947" s="135"/>
      <c r="F8947" s="31"/>
    </row>
    <row r="8948">
      <c r="A8948" s="134" t="str">
        <f>IFERROR(__xludf.DUMMYFUNCTION("""COMPUTED_VALUE"""),"Vicenza")</f>
        <v>Vicenza</v>
      </c>
      <c r="B8948" s="120" t="str">
        <f>IFERROR(__xludf.DUMMYFUNCTION("""COMPUTED_VALUE"""),"VIC")</f>
        <v>VIC</v>
      </c>
      <c r="C8948" s="120" t="str">
        <f>IFERROR(__xludf.DUMMYFUNCTION("""COMPUTED_VALUE"""),"Vicenza")</f>
        <v>Vicenza</v>
      </c>
      <c r="D8948" s="120" t="str">
        <f>IFERROR(__xludf.DUMMYFUNCTION("""COMPUTED_VALUE"""),"Italy")</f>
        <v>Italy</v>
      </c>
      <c r="E8948" s="135"/>
      <c r="F8948" s="31"/>
    </row>
    <row r="8949">
      <c r="A8949" s="134" t="str">
        <f>IFERROR(__xludf.DUMMYFUNCTION("""COMPUTED_VALUE"""),"Vichadero")</f>
        <v>Vichadero</v>
      </c>
      <c r="B8949" s="120" t="str">
        <f>IFERROR(__xludf.DUMMYFUNCTION("""COMPUTED_VALUE"""),"VCH")</f>
        <v>VCH</v>
      </c>
      <c r="C8949" s="120" t="str">
        <f>IFERROR(__xludf.DUMMYFUNCTION("""COMPUTED_VALUE"""),"Vichadero")</f>
        <v>Vichadero</v>
      </c>
      <c r="D8949" s="120" t="str">
        <f>IFERROR(__xludf.DUMMYFUNCTION("""COMPUTED_VALUE"""),"Uruguay")</f>
        <v>Uruguay</v>
      </c>
      <c r="E8949" s="135"/>
      <c r="F8949" s="31"/>
    </row>
    <row r="8950">
      <c r="A8950" s="134" t="str">
        <f>IFERROR(__xludf.DUMMYFUNCTION("""COMPUTED_VALUE"""),"Vichy")</f>
        <v>Vichy</v>
      </c>
      <c r="B8950" s="120" t="str">
        <f>IFERROR(__xludf.DUMMYFUNCTION("""COMPUTED_VALUE"""),"VHY")</f>
        <v>VHY</v>
      </c>
      <c r="C8950" s="120" t="str">
        <f>IFERROR(__xludf.DUMMYFUNCTION("""COMPUTED_VALUE"""),"Charmeil")</f>
        <v>Charmeil</v>
      </c>
      <c r="D8950" s="120" t="str">
        <f>IFERROR(__xludf.DUMMYFUNCTION("""COMPUTED_VALUE"""),"France")</f>
        <v>France</v>
      </c>
      <c r="E8950" s="135"/>
      <c r="F8950" s="31"/>
    </row>
    <row r="8951">
      <c r="A8951" s="134" t="str">
        <f>IFERROR(__xludf.DUMMYFUNCTION("""COMPUTED_VALUE"""),"Vichy")</f>
        <v>Vichy</v>
      </c>
      <c r="B8951" s="120" t="str">
        <f>IFERROR(__xludf.DUMMYFUNCTION("""COMPUTED_VALUE"""),"VIH")</f>
        <v>VIH</v>
      </c>
      <c r="C8951" s="120" t="str">
        <f>IFERROR(__xludf.DUMMYFUNCTION("""COMPUTED_VALUE"""),"Rolla National")</f>
        <v>Rolla National</v>
      </c>
      <c r="D8951" s="120" t="str">
        <f>IFERROR(__xludf.DUMMYFUNCTION("""COMPUTED_VALUE"""),"United States")</f>
        <v>United States</v>
      </c>
      <c r="E8951" s="135"/>
      <c r="F8951" s="31"/>
    </row>
    <row r="8952">
      <c r="A8952" s="134" t="str">
        <f>IFERROR(__xludf.DUMMYFUNCTION("""COMPUTED_VALUE"""),"Vicksburg")</f>
        <v>Vicksburg</v>
      </c>
      <c r="B8952" s="120" t="str">
        <f>IFERROR(__xludf.DUMMYFUNCTION("""COMPUTED_VALUE"""),"VKS")</f>
        <v>VKS</v>
      </c>
      <c r="C8952" s="120" t="str">
        <f>IFERROR(__xludf.DUMMYFUNCTION("""COMPUTED_VALUE"""),"Vicksburg")</f>
        <v>Vicksburg</v>
      </c>
      <c r="D8952" s="120" t="str">
        <f>IFERROR(__xludf.DUMMYFUNCTION("""COMPUTED_VALUE"""),"United States")</f>
        <v>United States</v>
      </c>
      <c r="E8952" s="135"/>
      <c r="F8952" s="31"/>
    </row>
    <row r="8953">
      <c r="A8953" s="134" t="str">
        <f>IFERROR(__xludf.DUMMYFUNCTION("""COMPUTED_VALUE"""),"Victoria")</f>
        <v>Victoria</v>
      </c>
      <c r="B8953" s="120" t="str">
        <f>IFERROR(__xludf.DUMMYFUNCTION("""COMPUTED_VALUE"""),"YYJ")</f>
        <v>YYJ</v>
      </c>
      <c r="C8953" s="120" t="str">
        <f>IFERROR(__xludf.DUMMYFUNCTION("""COMPUTED_VALUE"""),"Victoria International")</f>
        <v>Victoria International</v>
      </c>
      <c r="D8953" s="120" t="str">
        <f>IFERROR(__xludf.DUMMYFUNCTION("""COMPUTED_VALUE"""),"Canada")</f>
        <v>Canada</v>
      </c>
      <c r="E8953" s="135"/>
      <c r="F8953" s="31"/>
    </row>
    <row r="8954">
      <c r="A8954" s="134" t="str">
        <f>IFERROR(__xludf.DUMMYFUNCTION("""COMPUTED_VALUE"""),"Victoria")</f>
        <v>Victoria</v>
      </c>
      <c r="B8954" s="120" t="str">
        <f>IFERROR(__xludf.DUMMYFUNCTION("""COMPUTED_VALUE"""),"YWH")</f>
        <v>YWH</v>
      </c>
      <c r="C8954" s="120" t="str">
        <f>IFERROR(__xludf.DUMMYFUNCTION("""COMPUTED_VALUE"""),"Victoria Inner Harbor")</f>
        <v>Victoria Inner Harbor</v>
      </c>
      <c r="D8954" s="120" t="str">
        <f>IFERROR(__xludf.DUMMYFUNCTION("""COMPUTED_VALUE"""),"Canada")</f>
        <v>Canada</v>
      </c>
      <c r="E8954" s="135"/>
      <c r="F8954" s="31"/>
    </row>
    <row r="8955">
      <c r="A8955" s="134" t="str">
        <f>IFERROR(__xludf.DUMMYFUNCTION("""COMPUTED_VALUE"""),"Victoria")</f>
        <v>Victoria</v>
      </c>
      <c r="B8955" s="120" t="str">
        <f>IFERROR(__xludf.DUMMYFUNCTION("""COMPUTED_VALUE"""),"ZIC")</f>
        <v>ZIC</v>
      </c>
      <c r="C8955" s="120" t="str">
        <f>IFERROR(__xludf.DUMMYFUNCTION("""COMPUTED_VALUE"""),"Victoria")</f>
        <v>Victoria</v>
      </c>
      <c r="D8955" s="120" t="str">
        <f>IFERROR(__xludf.DUMMYFUNCTION("""COMPUTED_VALUE"""),"Chile")</f>
        <v>Chile</v>
      </c>
      <c r="E8955" s="135"/>
      <c r="F8955" s="31"/>
    </row>
    <row r="8956">
      <c r="A8956" s="134" t="str">
        <f>IFERROR(__xludf.DUMMYFUNCTION("""COMPUTED_VALUE"""),"Victoria")</f>
        <v>Victoria</v>
      </c>
      <c r="B8956" s="120" t="str">
        <f>IFERROR(__xludf.DUMMYFUNCTION("""COMPUTED_VALUE"""),"VTA")</f>
        <v>VTA</v>
      </c>
      <c r="C8956" s="120" t="str">
        <f>IFERROR(__xludf.DUMMYFUNCTION("""COMPUTED_VALUE"""),"Victoria")</f>
        <v>Victoria</v>
      </c>
      <c r="D8956" s="120" t="str">
        <f>IFERROR(__xludf.DUMMYFUNCTION("""COMPUTED_VALUE"""),"Honduras")</f>
        <v>Honduras</v>
      </c>
      <c r="E8956" s="135"/>
      <c r="F8956" s="31"/>
    </row>
    <row r="8957">
      <c r="A8957" s="134" t="str">
        <f>IFERROR(__xludf.DUMMYFUNCTION("""COMPUTED_VALUE"""),"Victoria")</f>
        <v>Victoria</v>
      </c>
      <c r="B8957" s="120" t="str">
        <f>IFERROR(__xludf.DUMMYFUNCTION("""COMPUTED_VALUE"""),"VCT")</f>
        <v>VCT</v>
      </c>
      <c r="C8957" s="120" t="str">
        <f>IFERROR(__xludf.DUMMYFUNCTION("""COMPUTED_VALUE"""),"County-Foster")</f>
        <v>County-Foster</v>
      </c>
      <c r="D8957" s="120" t="str">
        <f>IFERROR(__xludf.DUMMYFUNCTION("""COMPUTED_VALUE"""),"United States")</f>
        <v>United States</v>
      </c>
      <c r="E8957" s="135"/>
      <c r="F8957" s="31"/>
    </row>
    <row r="8958">
      <c r="A8958" s="134" t="str">
        <f>IFERROR(__xludf.DUMMYFUNCTION("""COMPUTED_VALUE"""),"Victoria Falls")</f>
        <v>Victoria Falls</v>
      </c>
      <c r="B8958" s="120" t="str">
        <f>IFERROR(__xludf.DUMMYFUNCTION("""COMPUTED_VALUE"""),"VFA")</f>
        <v>VFA</v>
      </c>
      <c r="C8958" s="120" t="str">
        <f>IFERROR(__xludf.DUMMYFUNCTION("""COMPUTED_VALUE"""),"Victoria Falls")</f>
        <v>Victoria Falls</v>
      </c>
      <c r="D8958" s="120" t="str">
        <f>IFERROR(__xludf.DUMMYFUNCTION("""COMPUTED_VALUE"""),"Zimbabwe")</f>
        <v>Zimbabwe</v>
      </c>
      <c r="E8958" s="135"/>
      <c r="F8958" s="31"/>
    </row>
    <row r="8959">
      <c r="A8959" s="134" t="str">
        <f>IFERROR(__xludf.DUMMYFUNCTION("""COMPUTED_VALUE"""),"Victoria Island")</f>
        <v>Victoria Island</v>
      </c>
      <c r="B8959" s="120" t="str">
        <f>IFERROR(__xludf.DUMMYFUNCTION("""COMPUTED_VALUE"""),"QVL")</f>
        <v>QVL</v>
      </c>
      <c r="C8959" s="120" t="str">
        <f>IFERROR(__xludf.DUMMYFUNCTION("""COMPUTED_VALUE"""),"Victoria Island")</f>
        <v>Victoria Island</v>
      </c>
      <c r="D8959" s="120" t="str">
        <f>IFERROR(__xludf.DUMMYFUNCTION("""COMPUTED_VALUE"""),"Nigeria")</f>
        <v>Nigeria</v>
      </c>
      <c r="E8959" s="135"/>
      <c r="F8959" s="31"/>
    </row>
    <row r="8960">
      <c r="A8960" s="134" t="str">
        <f>IFERROR(__xludf.DUMMYFUNCTION("""COMPUTED_VALUE"""),"Victoria River Downs")</f>
        <v>Victoria River Downs</v>
      </c>
      <c r="B8960" s="120" t="str">
        <f>IFERROR(__xludf.DUMMYFUNCTION("""COMPUTED_VALUE"""),"VCD")</f>
        <v>VCD</v>
      </c>
      <c r="C8960" s="120" t="str">
        <f>IFERROR(__xludf.DUMMYFUNCTION("""COMPUTED_VALUE"""),"Victoria River Downs")</f>
        <v>Victoria River Downs</v>
      </c>
      <c r="D8960" s="120" t="str">
        <f>IFERROR(__xludf.DUMMYFUNCTION("""COMPUTED_VALUE"""),"Australia")</f>
        <v>Australia</v>
      </c>
      <c r="E8960" s="135"/>
      <c r="F8960" s="31"/>
    </row>
    <row r="8961">
      <c r="A8961" s="134" t="str">
        <f>IFERROR(__xludf.DUMMYFUNCTION("""COMPUTED_VALUE"""),"Victorville")</f>
        <v>Victorville</v>
      </c>
      <c r="B8961" s="120" t="str">
        <f>IFERROR(__xludf.DUMMYFUNCTION("""COMPUTED_VALUE"""),"VCV")</f>
        <v>VCV</v>
      </c>
      <c r="C8961" s="120" t="str">
        <f>IFERROR(__xludf.DUMMYFUNCTION("""COMPUTED_VALUE"""),"George AFB")</f>
        <v>George AFB</v>
      </c>
      <c r="D8961" s="120" t="str">
        <f>IFERROR(__xludf.DUMMYFUNCTION("""COMPUTED_VALUE"""),"United States")</f>
        <v>United States</v>
      </c>
      <c r="E8961" s="135"/>
      <c r="F8961" s="31"/>
    </row>
    <row r="8962">
      <c r="A8962" s="134" t="str">
        <f>IFERROR(__xludf.DUMMYFUNCTION("""COMPUTED_VALUE"""),"Vidalia")</f>
        <v>Vidalia</v>
      </c>
      <c r="B8962" s="120" t="str">
        <f>IFERROR(__xludf.DUMMYFUNCTION("""COMPUTED_VALUE"""),"VDI")</f>
        <v>VDI</v>
      </c>
      <c r="C8962" s="120" t="str">
        <f>IFERROR(__xludf.DUMMYFUNCTION("""COMPUTED_VALUE"""),"Municipal")</f>
        <v>Municipal</v>
      </c>
      <c r="D8962" s="120" t="str">
        <f>IFERROR(__xludf.DUMMYFUNCTION("""COMPUTED_VALUE"""),"United States")</f>
        <v>United States</v>
      </c>
      <c r="E8962" s="135"/>
      <c r="F8962" s="31"/>
    </row>
    <row r="8963">
      <c r="A8963" s="134" t="str">
        <f>IFERROR(__xludf.DUMMYFUNCTION("""COMPUTED_VALUE"""),"Videira")</f>
        <v>Videira</v>
      </c>
      <c r="B8963" s="120" t="str">
        <f>IFERROR(__xludf.DUMMYFUNCTION("""COMPUTED_VALUE"""),"VIA")</f>
        <v>VIA</v>
      </c>
      <c r="C8963" s="120" t="str">
        <f>IFERROR(__xludf.DUMMYFUNCTION("""COMPUTED_VALUE"""),"Vienna")</f>
        <v>Vienna</v>
      </c>
      <c r="D8963" s="120" t="str">
        <f>IFERROR(__xludf.DUMMYFUNCTION("""COMPUTED_VALUE"""),"Brazil")</f>
        <v>Brazil</v>
      </c>
      <c r="E8963" s="135"/>
      <c r="F8963" s="31"/>
    </row>
    <row r="8964">
      <c r="A8964" s="134" t="str">
        <f>IFERROR(__xludf.DUMMYFUNCTION("""COMPUTED_VALUE"""),"Vidin")</f>
        <v>Vidin</v>
      </c>
      <c r="B8964" s="120" t="str">
        <f>IFERROR(__xludf.DUMMYFUNCTION("""COMPUTED_VALUE"""),"VID")</f>
        <v>VID</v>
      </c>
      <c r="C8964" s="120" t="str">
        <f>IFERROR(__xludf.DUMMYFUNCTION("""COMPUTED_VALUE"""),"Vidin")</f>
        <v>Vidin</v>
      </c>
      <c r="D8964" s="120" t="str">
        <f>IFERROR(__xludf.DUMMYFUNCTION("""COMPUTED_VALUE"""),"Bulgaria")</f>
        <v>Bulgaria</v>
      </c>
      <c r="E8964" s="135"/>
      <c r="F8964" s="31"/>
    </row>
    <row r="8965">
      <c r="A8965" s="134" t="str">
        <f>IFERROR(__xludf.DUMMYFUNCTION("""COMPUTED_VALUE"""),"Viedma")</f>
        <v>Viedma</v>
      </c>
      <c r="B8965" s="120" t="str">
        <f>IFERROR(__xludf.DUMMYFUNCTION("""COMPUTED_VALUE"""),"VDM")</f>
        <v>VDM</v>
      </c>
      <c r="C8965" s="120" t="str">
        <f>IFERROR(__xludf.DUMMYFUNCTION("""COMPUTED_VALUE"""),"Viedma")</f>
        <v>Viedma</v>
      </c>
      <c r="D8965" s="120" t="str">
        <f>IFERROR(__xludf.DUMMYFUNCTION("""COMPUTED_VALUE"""),"Argentina")</f>
        <v>Argentina</v>
      </c>
      <c r="E8965" s="135"/>
      <c r="F8965" s="31"/>
    </row>
    <row r="8966">
      <c r="A8966" s="134" t="str">
        <f>IFERROR(__xludf.DUMMYFUNCTION("""COMPUTED_VALUE"""),"Viengxay")</f>
        <v>Viengxay</v>
      </c>
      <c r="B8966" s="120" t="str">
        <f>IFERROR(__xludf.DUMMYFUNCTION("""COMPUTED_VALUE"""),"VNG")</f>
        <v>VNG</v>
      </c>
      <c r="C8966" s="120" t="str">
        <f>IFERROR(__xludf.DUMMYFUNCTION("""COMPUTED_VALUE"""),"Viengxay")</f>
        <v>Viengxay</v>
      </c>
      <c r="D8966" s="120" t="str">
        <f>IFERROR(__xludf.DUMMYFUNCTION("""COMPUTED_VALUE"""),"Laos")</f>
        <v>Laos</v>
      </c>
      <c r="E8966" s="135"/>
      <c r="F8966" s="31"/>
    </row>
    <row r="8967">
      <c r="A8967" s="134" t="str">
        <f>IFERROR(__xludf.DUMMYFUNCTION("""COMPUTED_VALUE"""),"Vienna")</f>
        <v>Vienna</v>
      </c>
      <c r="B8967" s="120" t="str">
        <f>IFERROR(__xludf.DUMMYFUNCTION("""COMPUTED_VALUE"""),"XWC")</f>
        <v>XWC</v>
      </c>
      <c r="C8967" s="120" t="str">
        <f>IFERROR(__xludf.DUMMYFUNCTION("""COMPUTED_VALUE"""),"Suedbahnhof Rail")</f>
        <v>Suedbahnhof Rail</v>
      </c>
      <c r="D8967" s="120" t="str">
        <f>IFERROR(__xludf.DUMMYFUNCTION("""COMPUTED_VALUE"""),"Austria")</f>
        <v>Austria</v>
      </c>
      <c r="E8967" s="135"/>
      <c r="F8967" s="31"/>
    </row>
    <row r="8968">
      <c r="A8968" s="134" t="str">
        <f>IFERROR(__xludf.DUMMYFUNCTION("""COMPUTED_VALUE"""),"Vienna")</f>
        <v>Vienna</v>
      </c>
      <c r="B8968" s="120" t="str">
        <f>IFERROR(__xludf.DUMMYFUNCTION("""COMPUTED_VALUE"""),"VDD")</f>
        <v>VDD</v>
      </c>
      <c r="C8968" s="120" t="str">
        <f>IFERROR(__xludf.DUMMYFUNCTION("""COMPUTED_VALUE"""),"Vienna Danubepier Hov")</f>
        <v>Vienna Danubepier Hov</v>
      </c>
      <c r="D8968" s="120" t="str">
        <f>IFERROR(__xludf.DUMMYFUNCTION("""COMPUTED_VALUE"""),"Austria")</f>
        <v>Austria</v>
      </c>
      <c r="E8968" s="135"/>
      <c r="F8968" s="31"/>
    </row>
    <row r="8969">
      <c r="A8969" s="134" t="str">
        <f>IFERROR(__xludf.DUMMYFUNCTION("""COMPUTED_VALUE"""),"Vienna")</f>
        <v>Vienna</v>
      </c>
      <c r="B8969" s="120" t="str">
        <f>IFERROR(__xludf.DUMMYFUNCTION("""COMPUTED_VALUE"""),"VIE")</f>
        <v>VIE</v>
      </c>
      <c r="C8969" s="120" t="str">
        <f>IFERROR(__xludf.DUMMYFUNCTION("""COMPUTED_VALUE"""),"Schwechat International")</f>
        <v>Schwechat International</v>
      </c>
      <c r="D8969" s="120" t="str">
        <f>IFERROR(__xludf.DUMMYFUNCTION("""COMPUTED_VALUE"""),"Austria")</f>
        <v>Austria</v>
      </c>
      <c r="E8969" s="135"/>
      <c r="F8969" s="31"/>
    </row>
    <row r="8970">
      <c r="A8970" s="134" t="str">
        <f>IFERROR(__xludf.DUMMYFUNCTION("""COMPUTED_VALUE"""),"Vienna")</f>
        <v>Vienna</v>
      </c>
      <c r="B8970" s="120" t="str">
        <f>IFERROR(__xludf.DUMMYFUNCTION("""COMPUTED_VALUE"""),"XWW")</f>
        <v>XWW</v>
      </c>
      <c r="C8970" s="120" t="str">
        <f>IFERROR(__xludf.DUMMYFUNCTION("""COMPUTED_VALUE"""),"Westbahnhof Rail")</f>
        <v>Westbahnhof Rail</v>
      </c>
      <c r="D8970" s="120" t="str">
        <f>IFERROR(__xludf.DUMMYFUNCTION("""COMPUTED_VALUE"""),"Austria")</f>
        <v>Austria</v>
      </c>
      <c r="E8970" s="135"/>
      <c r="F8970" s="31"/>
    </row>
    <row r="8971">
      <c r="A8971" s="134" t="str">
        <f>IFERROR(__xludf.DUMMYFUNCTION("""COMPUTED_VALUE"""),"Vientiane")</f>
        <v>Vientiane</v>
      </c>
      <c r="B8971" s="120" t="str">
        <f>IFERROR(__xludf.DUMMYFUNCTION("""COMPUTED_VALUE"""),"VTE")</f>
        <v>VTE</v>
      </c>
      <c r="C8971" s="120" t="str">
        <f>IFERROR(__xludf.DUMMYFUNCTION("""COMPUTED_VALUE"""),"Wattay")</f>
        <v>Wattay</v>
      </c>
      <c r="D8971" s="120" t="str">
        <f>IFERROR(__xludf.DUMMYFUNCTION("""COMPUTED_VALUE"""),"Laos")</f>
        <v>Laos</v>
      </c>
      <c r="E8971" s="135"/>
      <c r="F8971" s="31"/>
    </row>
    <row r="8972">
      <c r="A8972" s="134" t="str">
        <f>IFERROR(__xludf.DUMMYFUNCTION("""COMPUTED_VALUE"""),"Vieques")</f>
        <v>Vieques</v>
      </c>
      <c r="B8972" s="120" t="str">
        <f>IFERROR(__xludf.DUMMYFUNCTION("""COMPUTED_VALUE"""),"VQS")</f>
        <v>VQS</v>
      </c>
      <c r="C8972" s="120" t="str">
        <f>IFERROR(__xludf.DUMMYFUNCTION("""COMPUTED_VALUE"""),"Vieques")</f>
        <v>Vieques</v>
      </c>
      <c r="D8972" s="120" t="str">
        <f>IFERROR(__xludf.DUMMYFUNCTION("""COMPUTED_VALUE"""),"Puerto Rico")</f>
        <v>Puerto Rico</v>
      </c>
      <c r="E8972" s="135"/>
      <c r="F8972" s="31"/>
    </row>
    <row r="8973">
      <c r="A8973" s="134" t="str">
        <f>IFERROR(__xludf.DUMMYFUNCTION("""COMPUTED_VALUE"""),"Vieste")</f>
        <v>Vieste</v>
      </c>
      <c r="B8973" s="120" t="str">
        <f>IFERROR(__xludf.DUMMYFUNCTION("""COMPUTED_VALUE"""),"VIF")</f>
        <v>VIF</v>
      </c>
      <c r="C8973" s="120" t="str">
        <f>IFERROR(__xludf.DUMMYFUNCTION("""COMPUTED_VALUE"""),"Vieste")</f>
        <v>Vieste</v>
      </c>
      <c r="D8973" s="120" t="str">
        <f>IFERROR(__xludf.DUMMYFUNCTION("""COMPUTED_VALUE"""),"Italy")</f>
        <v>Italy</v>
      </c>
      <c r="E8973" s="135"/>
      <c r="F8973" s="31"/>
    </row>
    <row r="8974">
      <c r="A8974" s="134" t="str">
        <f>IFERROR(__xludf.DUMMYFUNCTION("""COMPUTED_VALUE"""),"View Cove")</f>
        <v>View Cove</v>
      </c>
      <c r="B8974" s="120" t="str">
        <f>IFERROR(__xludf.DUMMYFUNCTION("""COMPUTED_VALUE"""),"VCB")</f>
        <v>VCB</v>
      </c>
      <c r="C8974" s="120" t="str">
        <f>IFERROR(__xludf.DUMMYFUNCTION("""COMPUTED_VALUE"""),"View Cove")</f>
        <v>View Cove</v>
      </c>
      <c r="D8974" s="120" t="str">
        <f>IFERROR(__xludf.DUMMYFUNCTION("""COMPUTED_VALUE"""),"United States")</f>
        <v>United States</v>
      </c>
      <c r="E8974" s="135"/>
      <c r="F8974" s="31"/>
    </row>
    <row r="8975">
      <c r="A8975" s="134" t="str">
        <f>IFERROR(__xludf.DUMMYFUNCTION("""COMPUTED_VALUE"""),"Vigo")</f>
        <v>Vigo</v>
      </c>
      <c r="B8975" s="120" t="str">
        <f>IFERROR(__xludf.DUMMYFUNCTION("""COMPUTED_VALUE"""),"VGO")</f>
        <v>VGO</v>
      </c>
      <c r="C8975" s="120" t="str">
        <f>IFERROR(__xludf.DUMMYFUNCTION("""COMPUTED_VALUE"""),"Vigo")</f>
        <v>Vigo</v>
      </c>
      <c r="D8975" s="120" t="str">
        <f>IFERROR(__xludf.DUMMYFUNCTION("""COMPUTED_VALUE"""),"Spain")</f>
        <v>Spain</v>
      </c>
      <c r="E8975" s="135"/>
      <c r="F8975" s="31"/>
    </row>
    <row r="8976">
      <c r="A8976" s="134" t="str">
        <f>IFERROR(__xludf.DUMMYFUNCTION("""COMPUTED_VALUE"""),"Vijayawada")</f>
        <v>Vijayawada</v>
      </c>
      <c r="B8976" s="120" t="str">
        <f>IFERROR(__xludf.DUMMYFUNCTION("""COMPUTED_VALUE"""),"VGA")</f>
        <v>VGA</v>
      </c>
      <c r="C8976" s="120" t="str">
        <f>IFERROR(__xludf.DUMMYFUNCTION("""COMPUTED_VALUE"""),"Vijayawada")</f>
        <v>Vijayawada</v>
      </c>
      <c r="D8976" s="120" t="str">
        <f>IFERROR(__xludf.DUMMYFUNCTION("""COMPUTED_VALUE"""),"India")</f>
        <v>India</v>
      </c>
      <c r="E8976" s="135"/>
      <c r="F8976" s="31"/>
    </row>
    <row r="8977">
      <c r="A8977" s="134" t="str">
        <f>IFERROR(__xludf.DUMMYFUNCTION("""COMPUTED_VALUE"""),"Vila Real")</f>
        <v>Vila Real</v>
      </c>
      <c r="B8977" s="120" t="str">
        <f>IFERROR(__xludf.DUMMYFUNCTION("""COMPUTED_VALUE"""),"VRL")</f>
        <v>VRL</v>
      </c>
      <c r="C8977" s="120" t="str">
        <f>IFERROR(__xludf.DUMMYFUNCTION("""COMPUTED_VALUE"""),"Vila Real")</f>
        <v>Vila Real</v>
      </c>
      <c r="D8977" s="120" t="str">
        <f>IFERROR(__xludf.DUMMYFUNCTION("""COMPUTED_VALUE"""),"Portugal")</f>
        <v>Portugal</v>
      </c>
      <c r="E8977" s="135"/>
      <c r="F8977" s="31"/>
    </row>
    <row r="8978">
      <c r="A8978" s="134" t="str">
        <f>IFERROR(__xludf.DUMMYFUNCTION("""COMPUTED_VALUE"""),"Vila Rica")</f>
        <v>Vila Rica</v>
      </c>
      <c r="B8978" s="120" t="str">
        <f>IFERROR(__xludf.DUMMYFUNCTION("""COMPUTED_VALUE"""),"VLP")</f>
        <v>VLP</v>
      </c>
      <c r="C8978" s="120" t="str">
        <f>IFERROR(__xludf.DUMMYFUNCTION("""COMPUTED_VALUE"""),"Municipal")</f>
        <v>Municipal</v>
      </c>
      <c r="D8978" s="120" t="str">
        <f>IFERROR(__xludf.DUMMYFUNCTION("""COMPUTED_VALUE"""),"Brazil")</f>
        <v>Brazil</v>
      </c>
      <c r="E8978" s="135"/>
      <c r="F8978" s="31"/>
    </row>
    <row r="8979">
      <c r="A8979" s="134" t="str">
        <f>IFERROR(__xludf.DUMMYFUNCTION("""COMPUTED_VALUE"""),"Vilanculos")</f>
        <v>Vilanculos</v>
      </c>
      <c r="B8979" s="120" t="str">
        <f>IFERROR(__xludf.DUMMYFUNCTION("""COMPUTED_VALUE"""),"VNX")</f>
        <v>VNX</v>
      </c>
      <c r="C8979" s="120" t="str">
        <f>IFERROR(__xludf.DUMMYFUNCTION("""COMPUTED_VALUE"""),"Vilanculos")</f>
        <v>Vilanculos</v>
      </c>
      <c r="D8979" s="120" t="str">
        <f>IFERROR(__xludf.DUMMYFUNCTION("""COMPUTED_VALUE"""),"Mozambique")</f>
        <v>Mozambique</v>
      </c>
      <c r="E8979" s="135"/>
      <c r="F8979" s="31"/>
    </row>
    <row r="8980">
      <c r="A8980" s="134" t="str">
        <f>IFERROR(__xludf.DUMMYFUNCTION("""COMPUTED_VALUE"""),"Vilhelmina")</f>
        <v>Vilhelmina</v>
      </c>
      <c r="B8980" s="120" t="str">
        <f>IFERROR(__xludf.DUMMYFUNCTION("""COMPUTED_VALUE"""),"VHM")</f>
        <v>VHM</v>
      </c>
      <c r="C8980" s="120" t="str">
        <f>IFERROR(__xludf.DUMMYFUNCTION("""COMPUTED_VALUE"""),"Vilhelmina")</f>
        <v>Vilhelmina</v>
      </c>
      <c r="D8980" s="120" t="str">
        <f>IFERROR(__xludf.DUMMYFUNCTION("""COMPUTED_VALUE"""),"Sweden")</f>
        <v>Sweden</v>
      </c>
      <c r="E8980" s="135"/>
      <c r="F8980" s="31"/>
    </row>
    <row r="8981">
      <c r="A8981" s="134" t="str">
        <f>IFERROR(__xludf.DUMMYFUNCTION("""COMPUTED_VALUE"""),"Vilhena")</f>
        <v>Vilhena</v>
      </c>
      <c r="B8981" s="120" t="str">
        <f>IFERROR(__xludf.DUMMYFUNCTION("""COMPUTED_VALUE"""),"BVH")</f>
        <v>BVH</v>
      </c>
      <c r="C8981" s="120" t="str">
        <f>IFERROR(__xludf.DUMMYFUNCTION("""COMPUTED_VALUE"""),"Vilhena")</f>
        <v>Vilhena</v>
      </c>
      <c r="D8981" s="120" t="str">
        <f>IFERROR(__xludf.DUMMYFUNCTION("""COMPUTED_VALUE"""),"Brazil")</f>
        <v>Brazil</v>
      </c>
      <c r="E8981" s="135"/>
      <c r="F8981" s="31"/>
    </row>
    <row r="8982">
      <c r="A8982" s="134" t="str">
        <f>IFERROR(__xludf.DUMMYFUNCTION("""COMPUTED_VALUE"""),"Villa Constitucion")</f>
        <v>Villa Constitucion</v>
      </c>
      <c r="B8982" s="120" t="str">
        <f>IFERROR(__xludf.DUMMYFUNCTION("""COMPUTED_VALUE"""),"VIB")</f>
        <v>VIB</v>
      </c>
      <c r="C8982" s="120" t="str">
        <f>IFERROR(__xludf.DUMMYFUNCTION("""COMPUTED_VALUE"""),"Villa Constitucion")</f>
        <v>Villa Constitucion</v>
      </c>
      <c r="D8982" s="120" t="str">
        <f>IFERROR(__xludf.DUMMYFUNCTION("""COMPUTED_VALUE"""),"Mexico")</f>
        <v>Mexico</v>
      </c>
      <c r="E8982" s="135"/>
      <c r="F8982" s="31"/>
    </row>
    <row r="8983">
      <c r="A8983" s="134" t="str">
        <f>IFERROR(__xludf.DUMMYFUNCTION("""COMPUTED_VALUE"""),"Villa Dolores")</f>
        <v>Villa Dolores</v>
      </c>
      <c r="B8983" s="120" t="str">
        <f>IFERROR(__xludf.DUMMYFUNCTION("""COMPUTED_VALUE"""),"VDR")</f>
        <v>VDR</v>
      </c>
      <c r="C8983" s="120" t="str">
        <f>IFERROR(__xludf.DUMMYFUNCTION("""COMPUTED_VALUE"""),"Villa Dolores")</f>
        <v>Villa Dolores</v>
      </c>
      <c r="D8983" s="120" t="str">
        <f>IFERROR(__xludf.DUMMYFUNCTION("""COMPUTED_VALUE"""),"Argentina")</f>
        <v>Argentina</v>
      </c>
      <c r="E8983" s="135"/>
      <c r="F8983" s="31"/>
    </row>
    <row r="8984">
      <c r="A8984" s="134" t="str">
        <f>IFERROR(__xludf.DUMMYFUNCTION("""COMPUTED_VALUE"""),"Villa Gesell")</f>
        <v>Villa Gesell</v>
      </c>
      <c r="B8984" s="120" t="str">
        <f>IFERROR(__xludf.DUMMYFUNCTION("""COMPUTED_VALUE"""),"VLG")</f>
        <v>VLG</v>
      </c>
      <c r="C8984" s="120" t="str">
        <f>IFERROR(__xludf.DUMMYFUNCTION("""COMPUTED_VALUE"""),"Villa Gesell")</f>
        <v>Villa Gesell</v>
      </c>
      <c r="D8984" s="120" t="str">
        <f>IFERROR(__xludf.DUMMYFUNCTION("""COMPUTED_VALUE"""),"Argentina")</f>
        <v>Argentina</v>
      </c>
      <c r="E8984" s="135"/>
      <c r="F8984" s="31"/>
    </row>
    <row r="8985">
      <c r="A8985" s="134" t="str">
        <f>IFERROR(__xludf.DUMMYFUNCTION("""COMPUTED_VALUE"""),"Villa Mercedes")</f>
        <v>Villa Mercedes</v>
      </c>
      <c r="B8985" s="120" t="str">
        <f>IFERROR(__xludf.DUMMYFUNCTION("""COMPUTED_VALUE"""),"VME")</f>
        <v>VME</v>
      </c>
      <c r="C8985" s="120" t="str">
        <f>IFERROR(__xludf.DUMMYFUNCTION("""COMPUTED_VALUE"""),"Villa Mercedes")</f>
        <v>Villa Mercedes</v>
      </c>
      <c r="D8985" s="120" t="str">
        <f>IFERROR(__xludf.DUMMYFUNCTION("""COMPUTED_VALUE"""),"Argentina")</f>
        <v>Argentina</v>
      </c>
      <c r="E8985" s="135"/>
      <c r="F8985" s="31"/>
    </row>
    <row r="8986">
      <c r="A8986" s="134" t="str">
        <f>IFERROR(__xludf.DUMMYFUNCTION("""COMPUTED_VALUE"""),"Villagarzon")</f>
        <v>Villagarzon</v>
      </c>
      <c r="B8986" s="120" t="str">
        <f>IFERROR(__xludf.DUMMYFUNCTION("""COMPUTED_VALUE"""),"VGZ")</f>
        <v>VGZ</v>
      </c>
      <c r="C8986" s="120" t="str">
        <f>IFERROR(__xludf.DUMMYFUNCTION("""COMPUTED_VALUE"""),"Villagarzon")</f>
        <v>Villagarzon</v>
      </c>
      <c r="D8986" s="120" t="str">
        <f>IFERROR(__xludf.DUMMYFUNCTION("""COMPUTED_VALUE"""),"Colombia")</f>
        <v>Colombia</v>
      </c>
      <c r="E8986" s="135"/>
      <c r="F8986" s="31"/>
    </row>
    <row r="8987">
      <c r="A8987" s="134" t="str">
        <f>IFERROR(__xludf.DUMMYFUNCTION("""COMPUTED_VALUE"""),"Villahermosa")</f>
        <v>Villahermosa</v>
      </c>
      <c r="B8987" s="120" t="str">
        <f>IFERROR(__xludf.DUMMYFUNCTION("""COMPUTED_VALUE"""),"VSA")</f>
        <v>VSA</v>
      </c>
      <c r="C8987" s="120" t="str">
        <f>IFERROR(__xludf.DUMMYFUNCTION("""COMPUTED_VALUE"""),"Capitan Carlos Rovirosa")</f>
        <v>Capitan Carlos Rovirosa</v>
      </c>
      <c r="D8987" s="120" t="str">
        <f>IFERROR(__xludf.DUMMYFUNCTION("""COMPUTED_VALUE"""),"Mexico")</f>
        <v>Mexico</v>
      </c>
      <c r="E8987" s="135"/>
      <c r="F8987" s="31"/>
    </row>
    <row r="8988">
      <c r="A8988" s="134" t="str">
        <f>IFERROR(__xludf.DUMMYFUNCTION("""COMPUTED_VALUE"""),"Villamontes")</f>
        <v>Villamontes</v>
      </c>
      <c r="B8988" s="120" t="str">
        <f>IFERROR(__xludf.DUMMYFUNCTION("""COMPUTED_VALUE"""),"VLM")</f>
        <v>VLM</v>
      </c>
      <c r="C8988" s="120" t="str">
        <f>IFERROR(__xludf.DUMMYFUNCTION("""COMPUTED_VALUE"""),"Villamontes")</f>
        <v>Villamontes</v>
      </c>
      <c r="D8988" s="120" t="str">
        <f>IFERROR(__xludf.DUMMYFUNCTION("""COMPUTED_VALUE"""),"Bolivia")</f>
        <v>Bolivia</v>
      </c>
      <c r="E8988" s="135"/>
      <c r="F8988" s="31"/>
    </row>
    <row r="8989">
      <c r="A8989" s="134" t="str">
        <f>IFERROR(__xludf.DUMMYFUNCTION("""COMPUTED_VALUE"""),"Villavicencio")</f>
        <v>Villavicencio</v>
      </c>
      <c r="B8989" s="120" t="str">
        <f>IFERROR(__xludf.DUMMYFUNCTION("""COMPUTED_VALUE"""),"VVC")</f>
        <v>VVC</v>
      </c>
      <c r="C8989" s="120" t="str">
        <f>IFERROR(__xludf.DUMMYFUNCTION("""COMPUTED_VALUE"""),"La Vanguardia")</f>
        <v>La Vanguardia</v>
      </c>
      <c r="D8989" s="120" t="str">
        <f>IFERROR(__xludf.DUMMYFUNCTION("""COMPUTED_VALUE"""),"Colombia")</f>
        <v>Colombia</v>
      </c>
      <c r="E8989" s="135"/>
      <c r="F8989" s="31"/>
    </row>
    <row r="8990">
      <c r="A8990" s="134" t="str">
        <f>IFERROR(__xludf.DUMMYFUNCTION("""COMPUTED_VALUE"""),"Vilnius")</f>
        <v>Vilnius</v>
      </c>
      <c r="B8990" s="120" t="str">
        <f>IFERROR(__xludf.DUMMYFUNCTION("""COMPUTED_VALUE"""),"VNO")</f>
        <v>VNO</v>
      </c>
      <c r="C8990" s="120" t="str">
        <f>IFERROR(__xludf.DUMMYFUNCTION("""COMPUTED_VALUE"""),"Vilnius")</f>
        <v>Vilnius</v>
      </c>
      <c r="D8990" s="120" t="str">
        <f>IFERROR(__xludf.DUMMYFUNCTION("""COMPUTED_VALUE"""),"Lithuania")</f>
        <v>Lithuania</v>
      </c>
      <c r="E8990" s="135"/>
      <c r="F8990" s="31"/>
    </row>
    <row r="8991">
      <c r="A8991" s="134" t="str">
        <f>IFERROR(__xludf.DUMMYFUNCTION("""COMPUTED_VALUE"""),"Vina del Mar")</f>
        <v>Vina del Mar</v>
      </c>
      <c r="B8991" s="120" t="str">
        <f>IFERROR(__xludf.DUMMYFUNCTION("""COMPUTED_VALUE"""),"KNA")</f>
        <v>KNA</v>
      </c>
      <c r="C8991" s="120" t="str">
        <f>IFERROR(__xludf.DUMMYFUNCTION("""COMPUTED_VALUE"""),"Vina del Mar")</f>
        <v>Vina del Mar</v>
      </c>
      <c r="D8991" s="120" t="str">
        <f>IFERROR(__xludf.DUMMYFUNCTION("""COMPUTED_VALUE"""),"Chile")</f>
        <v>Chile</v>
      </c>
      <c r="E8991" s="135"/>
      <c r="F8991" s="31"/>
    </row>
    <row r="8992">
      <c r="A8992" s="134" t="str">
        <f>IFERROR(__xludf.DUMMYFUNCTION("""COMPUTED_VALUE"""),"Vincennes")</f>
        <v>Vincennes</v>
      </c>
      <c r="B8992" s="120" t="str">
        <f>IFERROR(__xludf.DUMMYFUNCTION("""COMPUTED_VALUE"""),"OEA")</f>
        <v>OEA</v>
      </c>
      <c r="C8992" s="120" t="str">
        <f>IFERROR(__xludf.DUMMYFUNCTION("""COMPUTED_VALUE"""),"Oneal")</f>
        <v>Oneal</v>
      </c>
      <c r="D8992" s="120" t="str">
        <f>IFERROR(__xludf.DUMMYFUNCTION("""COMPUTED_VALUE"""),"United States")</f>
        <v>United States</v>
      </c>
      <c r="E8992" s="135"/>
      <c r="F8992" s="31"/>
    </row>
    <row r="8993">
      <c r="A8993" s="134" t="str">
        <f>IFERROR(__xludf.DUMMYFUNCTION("""COMPUTED_VALUE"""),"Vinh City")</f>
        <v>Vinh City</v>
      </c>
      <c r="B8993" s="120" t="str">
        <f>IFERROR(__xludf.DUMMYFUNCTION("""COMPUTED_VALUE"""),"VII")</f>
        <v>VII</v>
      </c>
      <c r="C8993" s="120" t="str">
        <f>IFERROR(__xludf.DUMMYFUNCTION("""COMPUTED_VALUE"""),"Vinh City")</f>
        <v>Vinh City</v>
      </c>
      <c r="D8993" s="120" t="str">
        <f>IFERROR(__xludf.DUMMYFUNCTION("""COMPUTED_VALUE"""),"Vietnam")</f>
        <v>Vietnam</v>
      </c>
      <c r="E8993" s="135"/>
      <c r="F8993" s="31"/>
    </row>
    <row r="8994">
      <c r="A8994" s="134" t="str">
        <f>IFERROR(__xludf.DUMMYFUNCTION("""COMPUTED_VALUE"""),"Vinh Long")</f>
        <v>Vinh Long</v>
      </c>
      <c r="B8994" s="120" t="str">
        <f>IFERROR(__xludf.DUMMYFUNCTION("""COMPUTED_VALUE"""),"XVL")</f>
        <v>XVL</v>
      </c>
      <c r="C8994" s="120" t="str">
        <f>IFERROR(__xludf.DUMMYFUNCTION("""COMPUTED_VALUE"""),"Vinh Long")</f>
        <v>Vinh Long</v>
      </c>
      <c r="D8994" s="120" t="str">
        <f>IFERROR(__xludf.DUMMYFUNCTION("""COMPUTED_VALUE"""),"Vietnam")</f>
        <v>Vietnam</v>
      </c>
      <c r="E8994" s="135"/>
      <c r="F8994" s="31"/>
    </row>
    <row r="8995">
      <c r="A8995" s="134" t="str">
        <f>IFERROR(__xludf.DUMMYFUNCTION("""COMPUTED_VALUE"""),"Vinnica")</f>
        <v>Vinnica</v>
      </c>
      <c r="B8995" s="120" t="str">
        <f>IFERROR(__xludf.DUMMYFUNCTION("""COMPUTED_VALUE"""),"VIN")</f>
        <v>VIN</v>
      </c>
      <c r="C8995" s="120" t="str">
        <f>IFERROR(__xludf.DUMMYFUNCTION("""COMPUTED_VALUE"""),"Vinnica")</f>
        <v>Vinnica</v>
      </c>
      <c r="D8995" s="120" t="str">
        <f>IFERROR(__xludf.DUMMYFUNCTION("""COMPUTED_VALUE"""),"Ukraine")</f>
        <v>Ukraine</v>
      </c>
      <c r="E8995" s="135"/>
      <c r="F8995" s="31"/>
    </row>
    <row r="8996">
      <c r="A8996" s="134" t="str">
        <f>IFERROR(__xludf.DUMMYFUNCTION("""COMPUTED_VALUE"""),"Viqueque")</f>
        <v>Viqueque</v>
      </c>
      <c r="B8996" s="120" t="str">
        <f>IFERROR(__xludf.DUMMYFUNCTION("""COMPUTED_VALUE"""),"VIQ")</f>
        <v>VIQ</v>
      </c>
      <c r="C8996" s="120" t="str">
        <f>IFERROR(__xludf.DUMMYFUNCTION("""COMPUTED_VALUE"""),"Viqueque")</f>
        <v>Viqueque</v>
      </c>
      <c r="D8996" s="120" t="str">
        <f>IFERROR(__xludf.DUMMYFUNCTION("""COMPUTED_VALUE"""),"Indonesia")</f>
        <v>Indonesia</v>
      </c>
      <c r="E8996" s="135"/>
      <c r="F8996" s="31"/>
    </row>
    <row r="8997">
      <c r="A8997" s="134" t="str">
        <f>IFERROR(__xludf.DUMMYFUNCTION("""COMPUTED_VALUE"""),"Virac")</f>
        <v>Virac</v>
      </c>
      <c r="B8997" s="120" t="str">
        <f>IFERROR(__xludf.DUMMYFUNCTION("""COMPUTED_VALUE"""),"VRC")</f>
        <v>VRC</v>
      </c>
      <c r="C8997" s="120" t="str">
        <f>IFERROR(__xludf.DUMMYFUNCTION("""COMPUTED_VALUE"""),"Virac")</f>
        <v>Virac</v>
      </c>
      <c r="D8997" s="120" t="str">
        <f>IFERROR(__xludf.DUMMYFUNCTION("""COMPUTED_VALUE"""),"Philippines")</f>
        <v>Philippines</v>
      </c>
      <c r="E8997" s="135"/>
      <c r="F8997" s="31"/>
    </row>
    <row r="8998">
      <c r="A8998" s="134" t="str">
        <f>IFERROR(__xludf.DUMMYFUNCTION("""COMPUTED_VALUE"""),"Virgin Gorda")</f>
        <v>Virgin Gorda</v>
      </c>
      <c r="B8998" s="120" t="str">
        <f>IFERROR(__xludf.DUMMYFUNCTION("""COMPUTED_VALUE"""),"VIJ")</f>
        <v>VIJ</v>
      </c>
      <c r="C8998" s="120" t="str">
        <f>IFERROR(__xludf.DUMMYFUNCTION("""COMPUTED_VALUE"""),"Virgin Gorda")</f>
        <v>Virgin Gorda</v>
      </c>
      <c r="D8998" s="120" t="str">
        <f>IFERROR(__xludf.DUMMYFUNCTION("""COMPUTED_VALUE"""),"Virgin Islands (British)")</f>
        <v>Virgin Islands (British)</v>
      </c>
      <c r="E8998" s="135"/>
      <c r="F8998" s="31"/>
    </row>
    <row r="8999">
      <c r="A8999" s="134" t="str">
        <f>IFERROR(__xludf.DUMMYFUNCTION("""COMPUTED_VALUE"""),"Viru")</f>
        <v>Viru</v>
      </c>
      <c r="B8999" s="120" t="str">
        <f>IFERROR(__xludf.DUMMYFUNCTION("""COMPUTED_VALUE"""),"VIU")</f>
        <v>VIU</v>
      </c>
      <c r="C8999" s="120" t="str">
        <f>IFERROR(__xludf.DUMMYFUNCTION("""COMPUTED_VALUE"""),"Viru Harbour Airstrip")</f>
        <v>Viru Harbour Airstrip</v>
      </c>
      <c r="D8999" s="120" t="str">
        <f>IFERROR(__xludf.DUMMYFUNCTION("""COMPUTED_VALUE"""),"Solomon Islands")</f>
        <v>Solomon Islands</v>
      </c>
      <c r="E8999" s="135"/>
      <c r="F8999" s="31"/>
    </row>
    <row r="9000">
      <c r="A9000" s="134" t="str">
        <f>IFERROR(__xludf.DUMMYFUNCTION("""COMPUTED_VALUE"""),"Visalia")</f>
        <v>Visalia</v>
      </c>
      <c r="B9000" s="120" t="str">
        <f>IFERROR(__xludf.DUMMYFUNCTION("""COMPUTED_VALUE"""),"VIS")</f>
        <v>VIS</v>
      </c>
      <c r="C9000" s="120" t="str">
        <f>IFERROR(__xludf.DUMMYFUNCTION("""COMPUTED_VALUE"""),"Visalia")</f>
        <v>Visalia</v>
      </c>
      <c r="D9000" s="120" t="str">
        <f>IFERROR(__xludf.DUMMYFUNCTION("""COMPUTED_VALUE"""),"United States")</f>
        <v>United States</v>
      </c>
      <c r="E9000" s="135"/>
      <c r="F9000" s="31"/>
    </row>
    <row r="9001">
      <c r="A9001" s="134" t="str">
        <f>IFERROR(__xludf.DUMMYFUNCTION("""COMPUTED_VALUE"""),"Visby")</f>
        <v>Visby</v>
      </c>
      <c r="B9001" s="120" t="str">
        <f>IFERROR(__xludf.DUMMYFUNCTION("""COMPUTED_VALUE"""),"VBY")</f>
        <v>VBY</v>
      </c>
      <c r="C9001" s="120" t="str">
        <f>IFERROR(__xludf.DUMMYFUNCTION("""COMPUTED_VALUE"""),"Visby")</f>
        <v>Visby</v>
      </c>
      <c r="D9001" s="120" t="str">
        <f>IFERROR(__xludf.DUMMYFUNCTION("""COMPUTED_VALUE"""),"Sweden")</f>
        <v>Sweden</v>
      </c>
      <c r="E9001" s="135"/>
      <c r="F9001" s="31"/>
    </row>
    <row r="9002">
      <c r="A9002" s="134" t="str">
        <f>IFERROR(__xludf.DUMMYFUNCTION("""COMPUTED_VALUE"""),"Viseu")</f>
        <v>Viseu</v>
      </c>
      <c r="B9002" s="120" t="str">
        <f>IFERROR(__xludf.DUMMYFUNCTION("""COMPUTED_VALUE"""),"VSE")</f>
        <v>VSE</v>
      </c>
      <c r="C9002" s="120" t="str">
        <f>IFERROR(__xludf.DUMMYFUNCTION("""COMPUTED_VALUE"""),"Viseu")</f>
        <v>Viseu</v>
      </c>
      <c r="D9002" s="120" t="str">
        <f>IFERROR(__xludf.DUMMYFUNCTION("""COMPUTED_VALUE"""),"Portugal")</f>
        <v>Portugal</v>
      </c>
      <c r="E9002" s="135"/>
      <c r="F9002" s="31"/>
    </row>
    <row r="9003">
      <c r="A9003" s="134" t="str">
        <f>IFERROR(__xludf.DUMMYFUNCTION("""COMPUTED_VALUE"""),"Vishakhapatnam")</f>
        <v>Vishakhapatnam</v>
      </c>
      <c r="B9003" s="120" t="str">
        <f>IFERROR(__xludf.DUMMYFUNCTION("""COMPUTED_VALUE"""),"VTZ")</f>
        <v>VTZ</v>
      </c>
      <c r="C9003" s="120" t="str">
        <f>IFERROR(__xludf.DUMMYFUNCTION("""COMPUTED_VALUE"""),"Vishakhapatnam")</f>
        <v>Vishakhapatnam</v>
      </c>
      <c r="D9003" s="120" t="str">
        <f>IFERROR(__xludf.DUMMYFUNCTION("""COMPUTED_VALUE"""),"India")</f>
        <v>India</v>
      </c>
      <c r="E9003" s="135"/>
      <c r="F9003" s="31"/>
    </row>
    <row r="9004">
      <c r="A9004" s="134" t="str">
        <f>IFERROR(__xludf.DUMMYFUNCTION("""COMPUTED_VALUE"""),"Vitebsk")</f>
        <v>Vitebsk</v>
      </c>
      <c r="B9004" s="120" t="str">
        <f>IFERROR(__xludf.DUMMYFUNCTION("""COMPUTED_VALUE"""),"VTB")</f>
        <v>VTB</v>
      </c>
      <c r="C9004" s="120" t="str">
        <f>IFERROR(__xludf.DUMMYFUNCTION("""COMPUTED_VALUE"""),"Vitebsk")</f>
        <v>Vitebsk</v>
      </c>
      <c r="D9004" s="120" t="str">
        <f>IFERROR(__xludf.DUMMYFUNCTION("""COMPUTED_VALUE"""),"Belarus")</f>
        <v>Belarus</v>
      </c>
      <c r="E9004" s="135"/>
      <c r="F9004" s="31"/>
    </row>
    <row r="9005">
      <c r="A9005" s="134" t="str">
        <f>IFERROR(__xludf.DUMMYFUNCTION("""COMPUTED_VALUE"""),"Vitoria")</f>
        <v>Vitoria</v>
      </c>
      <c r="B9005" s="120" t="str">
        <f>IFERROR(__xludf.DUMMYFUNCTION("""COMPUTED_VALUE"""),"VIX")</f>
        <v>VIX</v>
      </c>
      <c r="C9005" s="120" t="str">
        <f>IFERROR(__xludf.DUMMYFUNCTION("""COMPUTED_VALUE"""),"Eurico Sales")</f>
        <v>Eurico Sales</v>
      </c>
      <c r="D9005" s="120" t="str">
        <f>IFERROR(__xludf.DUMMYFUNCTION("""COMPUTED_VALUE"""),"Brazil")</f>
        <v>Brazil</v>
      </c>
      <c r="E9005" s="135"/>
      <c r="F9005" s="31"/>
    </row>
    <row r="9006">
      <c r="A9006" s="134" t="str">
        <f>IFERROR(__xludf.DUMMYFUNCTION("""COMPUTED_VALUE"""),"Vitoria Da Conquista")</f>
        <v>Vitoria Da Conquista</v>
      </c>
      <c r="B9006" s="120" t="str">
        <f>IFERROR(__xludf.DUMMYFUNCTION("""COMPUTED_VALUE"""),"VDC")</f>
        <v>VDC</v>
      </c>
      <c r="C9006" s="120" t="str">
        <f>IFERROR(__xludf.DUMMYFUNCTION("""COMPUTED_VALUE"""),"Vitoria Da Conquista")</f>
        <v>Vitoria Da Conquista</v>
      </c>
      <c r="D9006" s="120" t="str">
        <f>IFERROR(__xludf.DUMMYFUNCTION("""COMPUTED_VALUE"""),"Brazil")</f>
        <v>Brazil</v>
      </c>
      <c r="E9006" s="135"/>
      <c r="F9006" s="31"/>
    </row>
    <row r="9007">
      <c r="A9007" s="134" t="str">
        <f>IFERROR(__xludf.DUMMYFUNCTION("""COMPUTED_VALUE"""),"Vitoria.")</f>
        <v>Vitoria.</v>
      </c>
      <c r="B9007" s="120" t="str">
        <f>IFERROR(__xludf.DUMMYFUNCTION("""COMPUTED_VALUE"""),"VIT")</f>
        <v>VIT</v>
      </c>
      <c r="C9007" s="120" t="str">
        <f>IFERROR(__xludf.DUMMYFUNCTION("""COMPUTED_VALUE"""),"Vitoria.")</f>
        <v>Vitoria.</v>
      </c>
      <c r="D9007" s="120" t="str">
        <f>IFERROR(__xludf.DUMMYFUNCTION("""COMPUTED_VALUE"""),"Spain")</f>
        <v>Spain</v>
      </c>
      <c r="E9007" s="135"/>
      <c r="F9007" s="31"/>
    </row>
    <row r="9008">
      <c r="A9008" s="134" t="str">
        <f>IFERROR(__xludf.DUMMYFUNCTION("""COMPUTED_VALUE"""),"Vittel")</f>
        <v>Vittel</v>
      </c>
      <c r="B9008" s="120" t="str">
        <f>IFERROR(__xludf.DUMMYFUNCTION("""COMPUTED_VALUE"""),"VTL")</f>
        <v>VTL</v>
      </c>
      <c r="C9008" s="120" t="str">
        <f>IFERROR(__xludf.DUMMYFUNCTION("""COMPUTED_VALUE"""),"Vittel")</f>
        <v>Vittel</v>
      </c>
      <c r="D9008" s="120" t="str">
        <f>IFERROR(__xludf.DUMMYFUNCTION("""COMPUTED_VALUE"""),"France")</f>
        <v>France</v>
      </c>
      <c r="E9008" s="135"/>
      <c r="F9008" s="31"/>
    </row>
    <row r="9009">
      <c r="A9009" s="134" t="str">
        <f>IFERROR(__xludf.DUMMYFUNCTION("""COMPUTED_VALUE"""),"Vivigani")</f>
        <v>Vivigani</v>
      </c>
      <c r="B9009" s="120" t="str">
        <f>IFERROR(__xludf.DUMMYFUNCTION("""COMPUTED_VALUE"""),"VIV")</f>
        <v>VIV</v>
      </c>
      <c r="C9009" s="120" t="str">
        <f>IFERROR(__xludf.DUMMYFUNCTION("""COMPUTED_VALUE"""),"Vivigani")</f>
        <v>Vivigani</v>
      </c>
      <c r="D9009" s="120" t="str">
        <f>IFERROR(__xludf.DUMMYFUNCTION("""COMPUTED_VALUE"""),"Papua New Guinea")</f>
        <v>Papua New Guinea</v>
      </c>
      <c r="E9009" s="135"/>
      <c r="F9009" s="31"/>
    </row>
    <row r="9010">
      <c r="A9010" s="134" t="str">
        <f>IFERROR(__xludf.DUMMYFUNCTION("""COMPUTED_VALUE"""),"Vladikavkaz")</f>
        <v>Vladikavkaz</v>
      </c>
      <c r="B9010" s="120" t="str">
        <f>IFERROR(__xludf.DUMMYFUNCTION("""COMPUTED_VALUE"""),"OGZ")</f>
        <v>OGZ</v>
      </c>
      <c r="C9010" s="120" t="str">
        <f>IFERROR(__xludf.DUMMYFUNCTION("""COMPUTED_VALUE"""),"Vladikavkaz")</f>
        <v>Vladikavkaz</v>
      </c>
      <c r="D9010" s="120" t="str">
        <f>IFERROR(__xludf.DUMMYFUNCTION("""COMPUTED_VALUE"""),"Russia")</f>
        <v>Russia</v>
      </c>
      <c r="E9010" s="135"/>
      <c r="F9010" s="31"/>
    </row>
    <row r="9011">
      <c r="A9011" s="134" t="str">
        <f>IFERROR(__xludf.DUMMYFUNCTION("""COMPUTED_VALUE"""),"Vladivostok")</f>
        <v>Vladivostok</v>
      </c>
      <c r="B9011" s="120" t="str">
        <f>IFERROR(__xludf.DUMMYFUNCTION("""COMPUTED_VALUE"""),"VVO")</f>
        <v>VVO</v>
      </c>
      <c r="C9011" s="120" t="str">
        <f>IFERROR(__xludf.DUMMYFUNCTION("""COMPUTED_VALUE"""),"Vladivostok")</f>
        <v>Vladivostok</v>
      </c>
      <c r="D9011" s="120" t="str">
        <f>IFERROR(__xludf.DUMMYFUNCTION("""COMPUTED_VALUE"""),"Russia")</f>
        <v>Russia</v>
      </c>
      <c r="E9011" s="135"/>
      <c r="F9011" s="31"/>
    </row>
    <row r="9012">
      <c r="A9012" s="134" t="str">
        <f>IFERROR(__xludf.DUMMYFUNCTION("""COMPUTED_VALUE"""),"Vohemar")</f>
        <v>Vohemar</v>
      </c>
      <c r="B9012" s="120" t="str">
        <f>IFERROR(__xludf.DUMMYFUNCTION("""COMPUTED_VALUE"""),"VOH")</f>
        <v>VOH</v>
      </c>
      <c r="C9012" s="120" t="str">
        <f>IFERROR(__xludf.DUMMYFUNCTION("""COMPUTED_VALUE"""),"Vohemar")</f>
        <v>Vohemar</v>
      </c>
      <c r="D9012" s="120" t="str">
        <f>IFERROR(__xludf.DUMMYFUNCTION("""COMPUTED_VALUE"""),"Madagascar")</f>
        <v>Madagascar</v>
      </c>
      <c r="E9012" s="135"/>
      <c r="F9012" s="31"/>
    </row>
    <row r="9013">
      <c r="A9013" s="134" t="str">
        <f>IFERROR(__xludf.DUMMYFUNCTION("""COMPUTED_VALUE"""),"Voinjama")</f>
        <v>Voinjama</v>
      </c>
      <c r="B9013" s="120" t="str">
        <f>IFERROR(__xludf.DUMMYFUNCTION("""COMPUTED_VALUE"""),"VOI")</f>
        <v>VOI</v>
      </c>
      <c r="C9013" s="120" t="str">
        <f>IFERROR(__xludf.DUMMYFUNCTION("""COMPUTED_VALUE"""),"Voinjama")</f>
        <v>Voinjama</v>
      </c>
      <c r="D9013" s="120" t="str">
        <f>IFERROR(__xludf.DUMMYFUNCTION("""COMPUTED_VALUE"""),"Liberia")</f>
        <v>Liberia</v>
      </c>
      <c r="E9013" s="135"/>
      <c r="F9013" s="31"/>
    </row>
    <row r="9014">
      <c r="A9014" s="134" t="str">
        <f>IFERROR(__xludf.DUMMYFUNCTION("""COMPUTED_VALUE"""),"Vojens")</f>
        <v>Vojens</v>
      </c>
      <c r="B9014" s="120" t="str">
        <f>IFERROR(__xludf.DUMMYFUNCTION("""COMPUTED_VALUE"""),"SKS")</f>
        <v>SKS</v>
      </c>
      <c r="C9014" s="120" t="str">
        <f>IFERROR(__xludf.DUMMYFUNCTION("""COMPUTED_VALUE"""),"Vojens")</f>
        <v>Vojens</v>
      </c>
      <c r="D9014" s="120" t="str">
        <f>IFERROR(__xludf.DUMMYFUNCTION("""COMPUTED_VALUE"""),"Denmark")</f>
        <v>Denmark</v>
      </c>
      <c r="E9014" s="135"/>
      <c r="F9014" s="31"/>
    </row>
    <row r="9015">
      <c r="A9015" s="134" t="str">
        <f>IFERROR(__xludf.DUMMYFUNCTION("""COMPUTED_VALUE"""),"Vojens")</f>
        <v>Vojens</v>
      </c>
      <c r="B9015" s="120" t="str">
        <f>IFERROR(__xludf.DUMMYFUNCTION("""COMPUTED_VALUE"""),"XJE")</f>
        <v>XJE</v>
      </c>
      <c r="C9015" s="120" t="str">
        <f>IFERROR(__xludf.DUMMYFUNCTION("""COMPUTED_VALUE"""),"Rialway Service")</f>
        <v>Rialway Service</v>
      </c>
      <c r="D9015" s="120" t="str">
        <f>IFERROR(__xludf.DUMMYFUNCTION("""COMPUTED_VALUE"""),"Denmark")</f>
        <v>Denmark</v>
      </c>
      <c r="E9015" s="135"/>
      <c r="F9015" s="31"/>
    </row>
    <row r="9016">
      <c r="A9016" s="134" t="str">
        <f>IFERROR(__xludf.DUMMYFUNCTION("""COMPUTED_VALUE"""),"Volgodonsk")</f>
        <v>Volgodonsk</v>
      </c>
      <c r="B9016" s="120" t="str">
        <f>IFERROR(__xludf.DUMMYFUNCTION("""COMPUTED_VALUE"""),"VLK")</f>
        <v>VLK</v>
      </c>
      <c r="C9016" s="120" t="str">
        <f>IFERROR(__xludf.DUMMYFUNCTION("""COMPUTED_VALUE"""),"Volgodonsk")</f>
        <v>Volgodonsk</v>
      </c>
      <c r="D9016" s="120" t="str">
        <f>IFERROR(__xludf.DUMMYFUNCTION("""COMPUTED_VALUE"""),"Russia")</f>
        <v>Russia</v>
      </c>
      <c r="E9016" s="135"/>
      <c r="F9016" s="31"/>
    </row>
    <row r="9017">
      <c r="A9017" s="134" t="str">
        <f>IFERROR(__xludf.DUMMYFUNCTION("""COMPUTED_VALUE"""),"Volgograd")</f>
        <v>Volgograd</v>
      </c>
      <c r="B9017" s="120" t="str">
        <f>IFERROR(__xludf.DUMMYFUNCTION("""COMPUTED_VALUE"""),"VOG")</f>
        <v>VOG</v>
      </c>
      <c r="C9017" s="120" t="str">
        <f>IFERROR(__xludf.DUMMYFUNCTION("""COMPUTED_VALUE"""),"Volgograd")</f>
        <v>Volgograd</v>
      </c>
      <c r="D9017" s="120" t="str">
        <f>IFERROR(__xludf.DUMMYFUNCTION("""COMPUTED_VALUE"""),"Russia")</f>
        <v>Russia</v>
      </c>
      <c r="E9017" s="135"/>
      <c r="F9017" s="31"/>
    </row>
    <row r="9018">
      <c r="A9018" s="134" t="str">
        <f>IFERROR(__xludf.DUMMYFUNCTION("""COMPUTED_VALUE"""),"Vologda")</f>
        <v>Vologda</v>
      </c>
      <c r="B9018" s="120" t="str">
        <f>IFERROR(__xludf.DUMMYFUNCTION("""COMPUTED_VALUE"""),"VGD")</f>
        <v>VGD</v>
      </c>
      <c r="C9018" s="120" t="str">
        <f>IFERROR(__xludf.DUMMYFUNCTION("""COMPUTED_VALUE"""),"Vologda")</f>
        <v>Vologda</v>
      </c>
      <c r="D9018" s="120" t="str">
        <f>IFERROR(__xludf.DUMMYFUNCTION("""COMPUTED_VALUE"""),"Russia")</f>
        <v>Russia</v>
      </c>
      <c r="E9018" s="135"/>
      <c r="F9018" s="31"/>
    </row>
    <row r="9019">
      <c r="A9019" s="134" t="str">
        <f>IFERROR(__xludf.DUMMYFUNCTION("""COMPUTED_VALUE"""),"Volos")</f>
        <v>Volos</v>
      </c>
      <c r="B9019" s="120" t="str">
        <f>IFERROR(__xludf.DUMMYFUNCTION("""COMPUTED_VALUE"""),"VOL")</f>
        <v>VOL</v>
      </c>
      <c r="C9019" s="120" t="str">
        <f>IFERROR(__xludf.DUMMYFUNCTION("""COMPUTED_VALUE"""),"Nea Anchialos")</f>
        <v>Nea Anchialos</v>
      </c>
      <c r="D9019" s="120" t="str">
        <f>IFERROR(__xludf.DUMMYFUNCTION("""COMPUTED_VALUE"""),"Greece")</f>
        <v>Greece</v>
      </c>
      <c r="E9019" s="135"/>
      <c r="F9019" s="31"/>
    </row>
    <row r="9020">
      <c r="A9020" s="134" t="str">
        <f>IFERROR(__xludf.DUMMYFUNCTION("""COMPUTED_VALUE"""),"Vopnafjordur")</f>
        <v>Vopnafjordur</v>
      </c>
      <c r="B9020" s="120" t="str">
        <f>IFERROR(__xludf.DUMMYFUNCTION("""COMPUTED_VALUE"""),"VPN")</f>
        <v>VPN</v>
      </c>
      <c r="C9020" s="120" t="str">
        <f>IFERROR(__xludf.DUMMYFUNCTION("""COMPUTED_VALUE"""),"Vopnafjordur")</f>
        <v>Vopnafjordur</v>
      </c>
      <c r="D9020" s="120" t="str">
        <f>IFERROR(__xludf.DUMMYFUNCTION("""COMPUTED_VALUE"""),"Iceland")</f>
        <v>Iceland</v>
      </c>
      <c r="E9020" s="135"/>
      <c r="F9020" s="31"/>
    </row>
    <row r="9021">
      <c r="A9021" s="134" t="str">
        <f>IFERROR(__xludf.DUMMYFUNCTION("""COMPUTED_VALUE"""),"Vorkuta")</f>
        <v>Vorkuta</v>
      </c>
      <c r="B9021" s="120" t="str">
        <f>IFERROR(__xludf.DUMMYFUNCTION("""COMPUTED_VALUE"""),"VKT")</f>
        <v>VKT</v>
      </c>
      <c r="C9021" s="120" t="str">
        <f>IFERROR(__xludf.DUMMYFUNCTION("""COMPUTED_VALUE"""),"Vorkuta")</f>
        <v>Vorkuta</v>
      </c>
      <c r="D9021" s="120" t="str">
        <f>IFERROR(__xludf.DUMMYFUNCTION("""COMPUTED_VALUE"""),"Russia")</f>
        <v>Russia</v>
      </c>
      <c r="E9021" s="135"/>
      <c r="F9021" s="31"/>
    </row>
    <row r="9022">
      <c r="A9022" s="134" t="str">
        <f>IFERROR(__xludf.DUMMYFUNCTION("""COMPUTED_VALUE"""),"Voronezh")</f>
        <v>Voronezh</v>
      </c>
      <c r="B9022" s="120" t="str">
        <f>IFERROR(__xludf.DUMMYFUNCTION("""COMPUTED_VALUE"""),"VOZ")</f>
        <v>VOZ</v>
      </c>
      <c r="C9022" s="120" t="str">
        <f>IFERROR(__xludf.DUMMYFUNCTION("""COMPUTED_VALUE"""),"Voronezh")</f>
        <v>Voronezh</v>
      </c>
      <c r="D9022" s="120" t="str">
        <f>IFERROR(__xludf.DUMMYFUNCTION("""COMPUTED_VALUE"""),"Russia")</f>
        <v>Russia</v>
      </c>
      <c r="E9022" s="135"/>
      <c r="F9022" s="31"/>
    </row>
    <row r="9023">
      <c r="A9023" s="134" t="str">
        <f>IFERROR(__xludf.DUMMYFUNCTION("""COMPUTED_VALUE"""),"Votuporanga")</f>
        <v>Votuporanga</v>
      </c>
      <c r="B9023" s="120" t="str">
        <f>IFERROR(__xludf.DUMMYFUNCTION("""COMPUTED_VALUE"""),"VOT")</f>
        <v>VOT</v>
      </c>
      <c r="C9023" s="120" t="str">
        <f>IFERROR(__xludf.DUMMYFUNCTION("""COMPUTED_VALUE"""),"Votuporanga")</f>
        <v>Votuporanga</v>
      </c>
      <c r="D9023" s="120" t="str">
        <f>IFERROR(__xludf.DUMMYFUNCTION("""COMPUTED_VALUE"""),"Brazil")</f>
        <v>Brazil</v>
      </c>
      <c r="E9023" s="135"/>
      <c r="F9023" s="31"/>
    </row>
    <row r="9024">
      <c r="A9024" s="134" t="str">
        <f>IFERROR(__xludf.DUMMYFUNCTION("""COMPUTED_VALUE"""),"Vredendal")</f>
        <v>Vredendal</v>
      </c>
      <c r="B9024" s="120" t="str">
        <f>IFERROR(__xludf.DUMMYFUNCTION("""COMPUTED_VALUE"""),"VRE")</f>
        <v>VRE</v>
      </c>
      <c r="C9024" s="120" t="str">
        <f>IFERROR(__xludf.DUMMYFUNCTION("""COMPUTED_VALUE"""),"Vredendal")</f>
        <v>Vredendal</v>
      </c>
      <c r="D9024" s="120" t="str">
        <f>IFERROR(__xludf.DUMMYFUNCTION("""COMPUTED_VALUE"""),"South Africa")</f>
        <v>South Africa</v>
      </c>
      <c r="E9024" s="135"/>
      <c r="F9024" s="31"/>
    </row>
    <row r="9025">
      <c r="A9025" s="134" t="str">
        <f>IFERROR(__xludf.DUMMYFUNCTION("""COMPUTED_VALUE"""),"Vryburg")</f>
        <v>Vryburg</v>
      </c>
      <c r="B9025" s="120" t="str">
        <f>IFERROR(__xludf.DUMMYFUNCTION("""COMPUTED_VALUE"""),"VRU")</f>
        <v>VRU</v>
      </c>
      <c r="C9025" s="120" t="str">
        <f>IFERROR(__xludf.DUMMYFUNCTION("""COMPUTED_VALUE"""),"Vryburg")</f>
        <v>Vryburg</v>
      </c>
      <c r="D9025" s="120" t="str">
        <f>IFERROR(__xludf.DUMMYFUNCTION("""COMPUTED_VALUE"""),"South Africa")</f>
        <v>South Africa</v>
      </c>
      <c r="E9025" s="135"/>
      <c r="F9025" s="31"/>
    </row>
    <row r="9026">
      <c r="A9026" s="134" t="str">
        <f>IFERROR(__xludf.DUMMYFUNCTION("""COMPUTED_VALUE"""),"Vryheid")</f>
        <v>Vryheid</v>
      </c>
      <c r="B9026" s="120" t="str">
        <f>IFERROR(__xludf.DUMMYFUNCTION("""COMPUTED_VALUE"""),"VYD")</f>
        <v>VYD</v>
      </c>
      <c r="C9026" s="120" t="str">
        <f>IFERROR(__xludf.DUMMYFUNCTION("""COMPUTED_VALUE"""),"Vryheid")</f>
        <v>Vryheid</v>
      </c>
      <c r="D9026" s="120" t="str">
        <f>IFERROR(__xludf.DUMMYFUNCTION("""COMPUTED_VALUE"""),"South Africa")</f>
        <v>South Africa</v>
      </c>
      <c r="E9026" s="135"/>
      <c r="F9026" s="31"/>
    </row>
    <row r="9027">
      <c r="A9027" s="134" t="str">
        <f>IFERROR(__xludf.DUMMYFUNCTION("""COMPUTED_VALUE"""),"Vulcano")</f>
        <v>Vulcano</v>
      </c>
      <c r="B9027" s="120" t="str">
        <f>IFERROR(__xludf.DUMMYFUNCTION("""COMPUTED_VALUE"""),"ZIE")</f>
        <v>ZIE</v>
      </c>
      <c r="C9027" s="120" t="str">
        <f>IFERROR(__xludf.DUMMYFUNCTION("""COMPUTED_VALUE"""),"Harbour (Eolie Island)")</f>
        <v>Harbour (Eolie Island)</v>
      </c>
      <c r="D9027" s="120" t="str">
        <f>IFERROR(__xludf.DUMMYFUNCTION("""COMPUTED_VALUE"""),"Italy")</f>
        <v>Italy</v>
      </c>
      <c r="E9027" s="135"/>
      <c r="F9027" s="31"/>
    </row>
    <row r="9028">
      <c r="A9028" s="134" t="str">
        <f>IFERROR(__xludf.DUMMYFUNCTION("""COMPUTED_VALUE"""),"Vung Tau")</f>
        <v>Vung Tau</v>
      </c>
      <c r="B9028" s="120" t="str">
        <f>IFERROR(__xludf.DUMMYFUNCTION("""COMPUTED_VALUE"""),"VTG")</f>
        <v>VTG</v>
      </c>
      <c r="C9028" s="120" t="str">
        <f>IFERROR(__xludf.DUMMYFUNCTION("""COMPUTED_VALUE"""),"Vung Tau")</f>
        <v>Vung Tau</v>
      </c>
      <c r="D9028" s="120" t="str">
        <f>IFERROR(__xludf.DUMMYFUNCTION("""COMPUTED_VALUE"""),"Vietnam")</f>
        <v>Vietnam</v>
      </c>
      <c r="E9028" s="135"/>
      <c r="F9028" s="31"/>
    </row>
    <row r="9029">
      <c r="A9029" s="134" t="str">
        <f>IFERROR(__xludf.DUMMYFUNCTION("""COMPUTED_VALUE"""),"Wabag")</f>
        <v>Wabag</v>
      </c>
      <c r="B9029" s="120" t="str">
        <f>IFERROR(__xludf.DUMMYFUNCTION("""COMPUTED_VALUE"""),"WAB")</f>
        <v>WAB</v>
      </c>
      <c r="C9029" s="120" t="str">
        <f>IFERROR(__xludf.DUMMYFUNCTION("""COMPUTED_VALUE"""),"Wabag")</f>
        <v>Wabag</v>
      </c>
      <c r="D9029" s="120" t="str">
        <f>IFERROR(__xludf.DUMMYFUNCTION("""COMPUTED_VALUE"""),"Papua New Guinea")</f>
        <v>Papua New Guinea</v>
      </c>
      <c r="E9029" s="135"/>
      <c r="F9029" s="31"/>
    </row>
    <row r="9030">
      <c r="A9030" s="134" t="str">
        <f>IFERROR(__xludf.DUMMYFUNCTION("""COMPUTED_VALUE"""),"Wabo")</f>
        <v>Wabo</v>
      </c>
      <c r="B9030" s="120" t="str">
        <f>IFERROR(__xludf.DUMMYFUNCTION("""COMPUTED_VALUE"""),"WAO")</f>
        <v>WAO</v>
      </c>
      <c r="C9030" s="120" t="str">
        <f>IFERROR(__xludf.DUMMYFUNCTION("""COMPUTED_VALUE"""),"Wabo")</f>
        <v>Wabo</v>
      </c>
      <c r="D9030" s="120" t="str">
        <f>IFERROR(__xludf.DUMMYFUNCTION("""COMPUTED_VALUE"""),"Papua New Guinea")</f>
        <v>Papua New Guinea</v>
      </c>
      <c r="E9030" s="135"/>
      <c r="F9030" s="31"/>
    </row>
    <row r="9031">
      <c r="A9031" s="134" t="str">
        <f>IFERROR(__xludf.DUMMYFUNCTION("""COMPUTED_VALUE"""),"Wabush")</f>
        <v>Wabush</v>
      </c>
      <c r="B9031" s="120" t="str">
        <f>IFERROR(__xludf.DUMMYFUNCTION("""COMPUTED_VALUE"""),"YWK")</f>
        <v>YWK</v>
      </c>
      <c r="C9031" s="120" t="str">
        <f>IFERROR(__xludf.DUMMYFUNCTION("""COMPUTED_VALUE"""),"Wabush")</f>
        <v>Wabush</v>
      </c>
      <c r="D9031" s="120" t="str">
        <f>IFERROR(__xludf.DUMMYFUNCTION("""COMPUTED_VALUE"""),"Canada")</f>
        <v>Canada</v>
      </c>
      <c r="E9031" s="135"/>
      <c r="F9031" s="31"/>
    </row>
    <row r="9032">
      <c r="A9032" s="134" t="str">
        <f>IFERROR(__xludf.DUMMYFUNCTION("""COMPUTED_VALUE"""),"Waca")</f>
        <v>Waca</v>
      </c>
      <c r="B9032" s="120" t="str">
        <f>IFERROR(__xludf.DUMMYFUNCTION("""COMPUTED_VALUE"""),"WAC")</f>
        <v>WAC</v>
      </c>
      <c r="C9032" s="120" t="str">
        <f>IFERROR(__xludf.DUMMYFUNCTION("""COMPUTED_VALUE"""),"Waca")</f>
        <v>Waca</v>
      </c>
      <c r="D9032" s="120" t="str">
        <f>IFERROR(__xludf.DUMMYFUNCTION("""COMPUTED_VALUE"""),"Ethiopia")</f>
        <v>Ethiopia</v>
      </c>
      <c r="E9032" s="135"/>
      <c r="F9032" s="31"/>
    </row>
    <row r="9033">
      <c r="A9033" s="134" t="str">
        <f>IFERROR(__xludf.DUMMYFUNCTION("""COMPUTED_VALUE"""),"Waco")</f>
        <v>Waco</v>
      </c>
      <c r="B9033" s="120" t="str">
        <f>IFERROR(__xludf.DUMMYFUNCTION("""COMPUTED_VALUE"""),"CNW")</f>
        <v>CNW</v>
      </c>
      <c r="C9033" s="120" t="str">
        <f>IFERROR(__xludf.DUMMYFUNCTION("""COMPUTED_VALUE"""),"James Connall")</f>
        <v>James Connall</v>
      </c>
      <c r="D9033" s="120" t="str">
        <f>IFERROR(__xludf.DUMMYFUNCTION("""COMPUTED_VALUE"""),"United States")</f>
        <v>United States</v>
      </c>
      <c r="E9033" s="135"/>
      <c r="F9033" s="31"/>
    </row>
    <row r="9034">
      <c r="A9034" s="134" t="str">
        <f>IFERROR(__xludf.DUMMYFUNCTION("""COMPUTED_VALUE"""),"Waco")</f>
        <v>Waco</v>
      </c>
      <c r="B9034" s="120" t="str">
        <f>IFERROR(__xludf.DUMMYFUNCTION("""COMPUTED_VALUE"""),"ACT")</f>
        <v>ACT</v>
      </c>
      <c r="C9034" s="120" t="str">
        <f>IFERROR(__xludf.DUMMYFUNCTION("""COMPUTED_VALUE"""),"Municipal")</f>
        <v>Municipal</v>
      </c>
      <c r="D9034" s="120" t="str">
        <f>IFERROR(__xludf.DUMMYFUNCTION("""COMPUTED_VALUE"""),"United States")</f>
        <v>United States</v>
      </c>
      <c r="E9034" s="135"/>
      <c r="F9034" s="31"/>
    </row>
    <row r="9035">
      <c r="A9035" s="134" t="str">
        <f>IFERROR(__xludf.DUMMYFUNCTION("""COMPUTED_VALUE"""),"Waco Kungo")</f>
        <v>Waco Kungo</v>
      </c>
      <c r="B9035" s="120" t="str">
        <f>IFERROR(__xludf.DUMMYFUNCTION("""COMPUTED_VALUE"""),"CEO")</f>
        <v>CEO</v>
      </c>
      <c r="C9035" s="120" t="str">
        <f>IFERROR(__xludf.DUMMYFUNCTION("""COMPUTED_VALUE"""),"Waco Kungo")</f>
        <v>Waco Kungo</v>
      </c>
      <c r="D9035" s="120" t="str">
        <f>IFERROR(__xludf.DUMMYFUNCTION("""COMPUTED_VALUE"""),"Angola")</f>
        <v>Angola</v>
      </c>
      <c r="E9035" s="135"/>
      <c r="F9035" s="31"/>
    </row>
    <row r="9036">
      <c r="A9036" s="134" t="str">
        <f>IFERROR(__xludf.DUMMYFUNCTION("""COMPUTED_VALUE"""),"Wad Medani")</f>
        <v>Wad Medani</v>
      </c>
      <c r="B9036" s="120" t="str">
        <f>IFERROR(__xludf.DUMMYFUNCTION("""COMPUTED_VALUE"""),"DNI")</f>
        <v>DNI</v>
      </c>
      <c r="C9036" s="120" t="str">
        <f>IFERROR(__xludf.DUMMYFUNCTION("""COMPUTED_VALUE"""),"Wad Medani")</f>
        <v>Wad Medani</v>
      </c>
      <c r="D9036" s="120" t="str">
        <f>IFERROR(__xludf.DUMMYFUNCTION("""COMPUTED_VALUE"""),"Sudan")</f>
        <v>Sudan</v>
      </c>
      <c r="E9036" s="135"/>
      <c r="F9036" s="31"/>
    </row>
    <row r="9037">
      <c r="A9037" s="134" t="str">
        <f>IFERROR(__xludf.DUMMYFUNCTION("""COMPUTED_VALUE"""),"Waddington")</f>
        <v>Waddington</v>
      </c>
      <c r="B9037" s="120" t="str">
        <f>IFERROR(__xludf.DUMMYFUNCTION("""COMPUTED_VALUE"""),"WTN")</f>
        <v>WTN</v>
      </c>
      <c r="C9037" s="120" t="str">
        <f>IFERROR(__xludf.DUMMYFUNCTION("""COMPUTED_VALUE"""),"RAF Station")</f>
        <v>RAF Station</v>
      </c>
      <c r="D9037" s="120" t="str">
        <f>IFERROR(__xludf.DUMMYFUNCTION("""COMPUTED_VALUE"""),"United Kingdom")</f>
        <v>United Kingdom</v>
      </c>
      <c r="E9037" s="135"/>
      <c r="F9037" s="31"/>
    </row>
    <row r="9038">
      <c r="A9038" s="134" t="str">
        <f>IFERROR(__xludf.DUMMYFUNCTION("""COMPUTED_VALUE"""),"Wadi Ad Dawasir")</f>
        <v>Wadi Ad Dawasir</v>
      </c>
      <c r="B9038" s="120" t="str">
        <f>IFERROR(__xludf.DUMMYFUNCTION("""COMPUTED_VALUE"""),"WAE")</f>
        <v>WAE</v>
      </c>
      <c r="C9038" s="120" t="str">
        <f>IFERROR(__xludf.DUMMYFUNCTION("""COMPUTED_VALUE"""),"Wadi Ad Dawasir")</f>
        <v>Wadi Ad Dawasir</v>
      </c>
      <c r="D9038" s="120" t="str">
        <f>IFERROR(__xludf.DUMMYFUNCTION("""COMPUTED_VALUE"""),"Saudi Arabia")</f>
        <v>Saudi Arabia</v>
      </c>
      <c r="E9038" s="135"/>
      <c r="F9038" s="31"/>
    </row>
    <row r="9039">
      <c r="A9039" s="134" t="str">
        <f>IFERROR(__xludf.DUMMYFUNCTION("""COMPUTED_VALUE"""),"Wadi Ain")</f>
        <v>Wadi Ain</v>
      </c>
      <c r="B9039" s="120" t="str">
        <f>IFERROR(__xludf.DUMMYFUNCTION("""COMPUTED_VALUE"""),"WDA")</f>
        <v>WDA</v>
      </c>
      <c r="C9039" s="120" t="str">
        <f>IFERROR(__xludf.DUMMYFUNCTION("""COMPUTED_VALUE"""),"Wadi Ain")</f>
        <v>Wadi Ain</v>
      </c>
      <c r="D9039" s="120" t="str">
        <f>IFERROR(__xludf.DUMMYFUNCTION("""COMPUTED_VALUE"""),"Yemen")</f>
        <v>Yemen</v>
      </c>
      <c r="E9039" s="135"/>
      <c r="F9039" s="31"/>
    </row>
    <row r="9040">
      <c r="A9040" s="134" t="str">
        <f>IFERROR(__xludf.DUMMYFUNCTION("""COMPUTED_VALUE"""),"Wadi Halfa")</f>
        <v>Wadi Halfa</v>
      </c>
      <c r="B9040" s="120" t="str">
        <f>IFERROR(__xludf.DUMMYFUNCTION("""COMPUTED_VALUE"""),"WHF")</f>
        <v>WHF</v>
      </c>
      <c r="C9040" s="120" t="str">
        <f>IFERROR(__xludf.DUMMYFUNCTION("""COMPUTED_VALUE"""),"Wadi Halfa")</f>
        <v>Wadi Halfa</v>
      </c>
      <c r="D9040" s="120" t="str">
        <f>IFERROR(__xludf.DUMMYFUNCTION("""COMPUTED_VALUE"""),"Sudan")</f>
        <v>Sudan</v>
      </c>
      <c r="E9040" s="135"/>
      <c r="F9040" s="31"/>
    </row>
    <row r="9041">
      <c r="A9041" s="134" t="str">
        <f>IFERROR(__xludf.DUMMYFUNCTION("""COMPUTED_VALUE"""),"Wagau")</f>
        <v>Wagau</v>
      </c>
      <c r="B9041" s="120" t="str">
        <f>IFERROR(__xludf.DUMMYFUNCTION("""COMPUTED_VALUE"""),"WGU")</f>
        <v>WGU</v>
      </c>
      <c r="C9041" s="120" t="str">
        <f>IFERROR(__xludf.DUMMYFUNCTION("""COMPUTED_VALUE"""),"Wagau")</f>
        <v>Wagau</v>
      </c>
      <c r="D9041" s="120" t="str">
        <f>IFERROR(__xludf.DUMMYFUNCTION("""COMPUTED_VALUE"""),"Papua New Guinea")</f>
        <v>Papua New Guinea</v>
      </c>
      <c r="E9041" s="135"/>
      <c r="F9041" s="31"/>
    </row>
    <row r="9042">
      <c r="A9042" s="134" t="str">
        <f>IFERROR(__xludf.DUMMYFUNCTION("""COMPUTED_VALUE"""),"Wageningen")</f>
        <v>Wageningen</v>
      </c>
      <c r="B9042" s="120" t="str">
        <f>IFERROR(__xludf.DUMMYFUNCTION("""COMPUTED_VALUE"""),"AGI")</f>
        <v>AGI</v>
      </c>
      <c r="C9042" s="120" t="str">
        <f>IFERROR(__xludf.DUMMYFUNCTION("""COMPUTED_VALUE"""),"Wageningen")</f>
        <v>Wageningen</v>
      </c>
      <c r="D9042" s="120" t="str">
        <f>IFERROR(__xludf.DUMMYFUNCTION("""COMPUTED_VALUE"""),"Suriname")</f>
        <v>Suriname</v>
      </c>
      <c r="E9042" s="135"/>
      <c r="F9042" s="31"/>
    </row>
    <row r="9043">
      <c r="A9043" s="134" t="str">
        <f>IFERROR(__xludf.DUMMYFUNCTION("""COMPUTED_VALUE"""),"Wagethe")</f>
        <v>Wagethe</v>
      </c>
      <c r="B9043" s="120" t="str">
        <f>IFERROR(__xludf.DUMMYFUNCTION("""COMPUTED_VALUE"""),"WET")</f>
        <v>WET</v>
      </c>
      <c r="C9043" s="120" t="str">
        <f>IFERROR(__xludf.DUMMYFUNCTION("""COMPUTED_VALUE"""),"Wagethe")</f>
        <v>Wagethe</v>
      </c>
      <c r="D9043" s="120" t="str">
        <f>IFERROR(__xludf.DUMMYFUNCTION("""COMPUTED_VALUE"""),"Indonesia")</f>
        <v>Indonesia</v>
      </c>
      <c r="E9043" s="135"/>
      <c r="F9043" s="31"/>
    </row>
    <row r="9044">
      <c r="A9044" s="134" t="str">
        <f>IFERROR(__xludf.DUMMYFUNCTION("""COMPUTED_VALUE"""),"Wagga Wagga")</f>
        <v>Wagga Wagga</v>
      </c>
      <c r="B9044" s="120" t="str">
        <f>IFERROR(__xludf.DUMMYFUNCTION("""COMPUTED_VALUE"""),"WGA")</f>
        <v>WGA</v>
      </c>
      <c r="C9044" s="120" t="str">
        <f>IFERROR(__xludf.DUMMYFUNCTION("""COMPUTED_VALUE"""),"Forrest Hill")</f>
        <v>Forrest Hill</v>
      </c>
      <c r="D9044" s="120" t="str">
        <f>IFERROR(__xludf.DUMMYFUNCTION("""COMPUTED_VALUE"""),"Australia")</f>
        <v>Australia</v>
      </c>
      <c r="E9044" s="135"/>
      <c r="F9044" s="31"/>
    </row>
    <row r="9045">
      <c r="A9045" s="134" t="str">
        <f>IFERROR(__xludf.DUMMYFUNCTION("""COMPUTED_VALUE"""),"Wagny")</f>
        <v>Wagny</v>
      </c>
      <c r="B9045" s="120" t="str">
        <f>IFERROR(__xludf.DUMMYFUNCTION("""COMPUTED_VALUE"""),"WGY")</f>
        <v>WGY</v>
      </c>
      <c r="C9045" s="120" t="str">
        <f>IFERROR(__xludf.DUMMYFUNCTION("""COMPUTED_VALUE"""),"Wagny")</f>
        <v>Wagny</v>
      </c>
      <c r="D9045" s="120" t="str">
        <f>IFERROR(__xludf.DUMMYFUNCTION("""COMPUTED_VALUE"""),"Gabon")</f>
        <v>Gabon</v>
      </c>
      <c r="E9045" s="135"/>
      <c r="F9045" s="31"/>
    </row>
    <row r="9046">
      <c r="A9046" s="134" t="str">
        <f>IFERROR(__xludf.DUMMYFUNCTION("""COMPUTED_VALUE"""),"Wahai")</f>
        <v>Wahai</v>
      </c>
      <c r="B9046" s="120" t="str">
        <f>IFERROR(__xludf.DUMMYFUNCTION("""COMPUTED_VALUE"""),"WBA")</f>
        <v>WBA</v>
      </c>
      <c r="C9046" s="120" t="str">
        <f>IFERROR(__xludf.DUMMYFUNCTION("""COMPUTED_VALUE"""),"Wahai")</f>
        <v>Wahai</v>
      </c>
      <c r="D9046" s="120" t="str">
        <f>IFERROR(__xludf.DUMMYFUNCTION("""COMPUTED_VALUE"""),"Australia")</f>
        <v>Australia</v>
      </c>
      <c r="E9046" s="135"/>
      <c r="F9046" s="31"/>
    </row>
    <row r="9047">
      <c r="A9047" s="134" t="str">
        <f>IFERROR(__xludf.DUMMYFUNCTION("""COMPUTED_VALUE"""),"Wahiawa")</f>
        <v>Wahiawa</v>
      </c>
      <c r="B9047" s="120" t="str">
        <f>IFERROR(__xludf.DUMMYFUNCTION("""COMPUTED_VALUE"""),"HHI")</f>
        <v>HHI</v>
      </c>
      <c r="C9047" s="120" t="str">
        <f>IFERROR(__xludf.DUMMYFUNCTION("""COMPUTED_VALUE"""),"Wheeler AFB")</f>
        <v>Wheeler AFB</v>
      </c>
      <c r="D9047" s="120" t="str">
        <f>IFERROR(__xludf.DUMMYFUNCTION("""COMPUTED_VALUE"""),"United States")</f>
        <v>United States</v>
      </c>
      <c r="E9047" s="135"/>
      <c r="F9047" s="31"/>
    </row>
    <row r="9048">
      <c r="A9048" s="134" t="str">
        <f>IFERROR(__xludf.DUMMYFUNCTION("""COMPUTED_VALUE"""),"Wahpeton")</f>
        <v>Wahpeton</v>
      </c>
      <c r="B9048" s="120" t="str">
        <f>IFERROR(__xludf.DUMMYFUNCTION("""COMPUTED_VALUE"""),"WAH")</f>
        <v>WAH</v>
      </c>
      <c r="C9048" s="120" t="str">
        <f>IFERROR(__xludf.DUMMYFUNCTION("""COMPUTED_VALUE"""),"Wahpeton")</f>
        <v>Wahpeton</v>
      </c>
      <c r="D9048" s="120" t="str">
        <f>IFERROR(__xludf.DUMMYFUNCTION("""COMPUTED_VALUE"""),"United States")</f>
        <v>United States</v>
      </c>
      <c r="E9048" s="135"/>
      <c r="F9048" s="31"/>
    </row>
    <row r="9049">
      <c r="A9049" s="134" t="str">
        <f>IFERROR(__xludf.DUMMYFUNCTION("""COMPUTED_VALUE"""),"Waikoloa")</f>
        <v>Waikoloa</v>
      </c>
      <c r="B9049" s="120" t="str">
        <f>IFERROR(__xludf.DUMMYFUNCTION("""COMPUTED_VALUE"""),"WKL")</f>
        <v>WKL</v>
      </c>
      <c r="C9049" s="120" t="str">
        <f>IFERROR(__xludf.DUMMYFUNCTION("""COMPUTED_VALUE"""),"Waikoloa Airport")</f>
        <v>Waikoloa Airport</v>
      </c>
      <c r="D9049" s="120" t="str">
        <f>IFERROR(__xludf.DUMMYFUNCTION("""COMPUTED_VALUE"""),"United States")</f>
        <v>United States</v>
      </c>
      <c r="E9049" s="135"/>
      <c r="F9049" s="31"/>
    </row>
    <row r="9050">
      <c r="A9050" s="134" t="str">
        <f>IFERROR(__xludf.DUMMYFUNCTION("""COMPUTED_VALUE"""),"Waimanalo")</f>
        <v>Waimanalo</v>
      </c>
      <c r="B9050" s="120" t="str">
        <f>IFERROR(__xludf.DUMMYFUNCTION("""COMPUTED_VALUE"""),"BLW")</f>
        <v>BLW</v>
      </c>
      <c r="C9050" s="120" t="str">
        <f>IFERROR(__xludf.DUMMYFUNCTION("""COMPUTED_VALUE"""),"Bellows Field")</f>
        <v>Bellows Field</v>
      </c>
      <c r="D9050" s="120" t="str">
        <f>IFERROR(__xludf.DUMMYFUNCTION("""COMPUTED_VALUE"""),"United States")</f>
        <v>United States</v>
      </c>
      <c r="E9050" s="135"/>
      <c r="F9050" s="31"/>
    </row>
    <row r="9051">
      <c r="A9051" s="134" t="str">
        <f>IFERROR(__xludf.DUMMYFUNCTION("""COMPUTED_VALUE"""),"Waingapu")</f>
        <v>Waingapu</v>
      </c>
      <c r="B9051" s="120" t="str">
        <f>IFERROR(__xludf.DUMMYFUNCTION("""COMPUTED_VALUE"""),"WGP")</f>
        <v>WGP</v>
      </c>
      <c r="C9051" s="120" t="str">
        <f>IFERROR(__xludf.DUMMYFUNCTION("""COMPUTED_VALUE"""),"Waingapu")</f>
        <v>Waingapu</v>
      </c>
      <c r="D9051" s="120" t="str">
        <f>IFERROR(__xludf.DUMMYFUNCTION("""COMPUTED_VALUE"""),"Indonesia")</f>
        <v>Indonesia</v>
      </c>
      <c r="E9051" s="135"/>
      <c r="F9051" s="31"/>
    </row>
    <row r="9052">
      <c r="A9052" s="134" t="str">
        <f>IFERROR(__xludf.DUMMYFUNCTION("""COMPUTED_VALUE"""),"Wainwright")</f>
        <v>Wainwright</v>
      </c>
      <c r="B9052" s="120" t="str">
        <f>IFERROR(__xludf.DUMMYFUNCTION("""COMPUTED_VALUE"""),"AIN")</f>
        <v>AIN</v>
      </c>
      <c r="C9052" s="120" t="str">
        <f>IFERROR(__xludf.DUMMYFUNCTION("""COMPUTED_VALUE"""),"Wainwright")</f>
        <v>Wainwright</v>
      </c>
      <c r="D9052" s="120" t="str">
        <f>IFERROR(__xludf.DUMMYFUNCTION("""COMPUTED_VALUE"""),"United States")</f>
        <v>United States</v>
      </c>
      <c r="E9052" s="135"/>
      <c r="F9052" s="31"/>
    </row>
    <row r="9053">
      <c r="A9053" s="134" t="str">
        <f>IFERROR(__xludf.DUMMYFUNCTION("""COMPUTED_VALUE"""),"Wairoa")</f>
        <v>Wairoa</v>
      </c>
      <c r="B9053" s="120" t="str">
        <f>IFERROR(__xludf.DUMMYFUNCTION("""COMPUTED_VALUE"""),"WIR")</f>
        <v>WIR</v>
      </c>
      <c r="C9053" s="120" t="str">
        <f>IFERROR(__xludf.DUMMYFUNCTION("""COMPUTED_VALUE"""),"Wairoa")</f>
        <v>Wairoa</v>
      </c>
      <c r="D9053" s="120" t="str">
        <f>IFERROR(__xludf.DUMMYFUNCTION("""COMPUTED_VALUE"""),"New Zealand (Aotearoa)")</f>
        <v>New Zealand (Aotearoa)</v>
      </c>
      <c r="E9053" s="135"/>
      <c r="F9053" s="31"/>
    </row>
    <row r="9054">
      <c r="A9054" s="134" t="str">
        <f>IFERROR(__xludf.DUMMYFUNCTION("""COMPUTED_VALUE"""),"Waitangi")</f>
        <v>Waitangi</v>
      </c>
      <c r="B9054" s="120" t="str">
        <f>IFERROR(__xludf.DUMMYFUNCTION("""COMPUTED_VALUE"""),"WGN")</f>
        <v>WGN</v>
      </c>
      <c r="C9054" s="120" t="str">
        <f>IFERROR(__xludf.DUMMYFUNCTION("""COMPUTED_VALUE"""),"Waitangi")</f>
        <v>Waitangi</v>
      </c>
      <c r="D9054" s="120" t="str">
        <f>IFERROR(__xludf.DUMMYFUNCTION("""COMPUTED_VALUE"""),"New Zealand (Aotearoa)")</f>
        <v>New Zealand (Aotearoa)</v>
      </c>
      <c r="E9054" s="135"/>
      <c r="F9054" s="31"/>
    </row>
    <row r="9055">
      <c r="A9055" s="134" t="str">
        <f>IFERROR(__xludf.DUMMYFUNCTION("""COMPUTED_VALUE"""),"Wajima")</f>
        <v>Wajima</v>
      </c>
      <c r="B9055" s="120" t="str">
        <f>IFERROR(__xludf.DUMMYFUNCTION("""COMPUTED_VALUE"""),"NTQ")</f>
        <v>NTQ</v>
      </c>
      <c r="C9055" s="120" t="str">
        <f>IFERROR(__xludf.DUMMYFUNCTION("""COMPUTED_VALUE"""),"Noto Airport")</f>
        <v>Noto Airport</v>
      </c>
      <c r="D9055" s="120" t="str">
        <f>IFERROR(__xludf.DUMMYFUNCTION("""COMPUTED_VALUE"""),"Japan")</f>
        <v>Japan</v>
      </c>
      <c r="E9055" s="135"/>
      <c r="F9055" s="31"/>
    </row>
    <row r="9056">
      <c r="A9056" s="134" t="str">
        <f>IFERROR(__xludf.DUMMYFUNCTION("""COMPUTED_VALUE"""),"Wajir")</f>
        <v>Wajir</v>
      </c>
      <c r="B9056" s="120" t="str">
        <f>IFERROR(__xludf.DUMMYFUNCTION("""COMPUTED_VALUE"""),"WJR")</f>
        <v>WJR</v>
      </c>
      <c r="C9056" s="120" t="str">
        <f>IFERROR(__xludf.DUMMYFUNCTION("""COMPUTED_VALUE"""),"Wajir")</f>
        <v>Wajir</v>
      </c>
      <c r="D9056" s="120" t="str">
        <f>IFERROR(__xludf.DUMMYFUNCTION("""COMPUTED_VALUE"""),"Kenya")</f>
        <v>Kenya</v>
      </c>
      <c r="E9056" s="135"/>
      <c r="F9056" s="31"/>
    </row>
    <row r="9057">
      <c r="A9057" s="134" t="str">
        <f>IFERROR(__xludf.DUMMYFUNCTION("""COMPUTED_VALUE"""),"Wakaya Island")</f>
        <v>Wakaya Island</v>
      </c>
      <c r="B9057" s="120" t="str">
        <f>IFERROR(__xludf.DUMMYFUNCTION("""COMPUTED_VALUE"""),"KAY")</f>
        <v>KAY</v>
      </c>
      <c r="C9057" s="120" t="str">
        <f>IFERROR(__xludf.DUMMYFUNCTION("""COMPUTED_VALUE"""),"Wakaya Island")</f>
        <v>Wakaya Island</v>
      </c>
      <c r="D9057" s="120" t="str">
        <f>IFERROR(__xludf.DUMMYFUNCTION("""COMPUTED_VALUE"""),"Fiji")</f>
        <v>Fiji</v>
      </c>
      <c r="E9057" s="135"/>
      <c r="F9057" s="31"/>
    </row>
    <row r="9058">
      <c r="A9058" s="134" t="str">
        <f>IFERROR(__xludf.DUMMYFUNCTION("""COMPUTED_VALUE"""),"Wake Island")</f>
        <v>Wake Island</v>
      </c>
      <c r="B9058" s="120" t="str">
        <f>IFERROR(__xludf.DUMMYFUNCTION("""COMPUTED_VALUE"""),"AWK")</f>
        <v>AWK</v>
      </c>
      <c r="C9058" s="120" t="str">
        <f>IFERROR(__xludf.DUMMYFUNCTION("""COMPUTED_VALUE"""),"Wake Island")</f>
        <v>Wake Island</v>
      </c>
      <c r="D9058" s="120" t="str">
        <f>IFERROR(__xludf.DUMMYFUNCTION("""COMPUTED_VALUE"""),"US Minor Outlying Islands")</f>
        <v>US Minor Outlying Islands</v>
      </c>
      <c r="E9058" s="135"/>
      <c r="F9058" s="31"/>
    </row>
    <row r="9059">
      <c r="A9059" s="134" t="str">
        <f>IFERROR(__xludf.DUMMYFUNCTION("""COMPUTED_VALUE"""),"Wakkanai")</f>
        <v>Wakkanai</v>
      </c>
      <c r="B9059" s="120" t="str">
        <f>IFERROR(__xludf.DUMMYFUNCTION("""COMPUTED_VALUE"""),"WKJ")</f>
        <v>WKJ</v>
      </c>
      <c r="C9059" s="120" t="str">
        <f>IFERROR(__xludf.DUMMYFUNCTION("""COMPUTED_VALUE"""),"Hokkaido")</f>
        <v>Hokkaido</v>
      </c>
      <c r="D9059" s="120" t="str">
        <f>IFERROR(__xludf.DUMMYFUNCTION("""COMPUTED_VALUE"""),"Japan")</f>
        <v>Japan</v>
      </c>
      <c r="E9059" s="135"/>
      <c r="F9059" s="31"/>
    </row>
    <row r="9060">
      <c r="A9060" s="134" t="str">
        <f>IFERROR(__xludf.DUMMYFUNCTION("""COMPUTED_VALUE"""),"Wakunai")</f>
        <v>Wakunai</v>
      </c>
      <c r="B9060" s="120" t="str">
        <f>IFERROR(__xludf.DUMMYFUNCTION("""COMPUTED_VALUE"""),"WKN")</f>
        <v>WKN</v>
      </c>
      <c r="C9060" s="120" t="str">
        <f>IFERROR(__xludf.DUMMYFUNCTION("""COMPUTED_VALUE"""),"Wakunai")</f>
        <v>Wakunai</v>
      </c>
      <c r="D9060" s="120" t="str">
        <f>IFERROR(__xludf.DUMMYFUNCTION("""COMPUTED_VALUE"""),"Papua New Guinea")</f>
        <v>Papua New Guinea</v>
      </c>
      <c r="E9060" s="135"/>
      <c r="F9060" s="31"/>
    </row>
    <row r="9061">
      <c r="A9061" s="134" t="str">
        <f>IFERROR(__xludf.DUMMYFUNCTION("""COMPUTED_VALUE"""),"Walaha")</f>
        <v>Walaha</v>
      </c>
      <c r="B9061" s="120" t="str">
        <f>IFERROR(__xludf.DUMMYFUNCTION("""COMPUTED_VALUE"""),"WLH")</f>
        <v>WLH</v>
      </c>
      <c r="C9061" s="120" t="str">
        <f>IFERROR(__xludf.DUMMYFUNCTION("""COMPUTED_VALUE"""),"Walaha")</f>
        <v>Walaha</v>
      </c>
      <c r="D9061" s="120" t="str">
        <f>IFERROR(__xludf.DUMMYFUNCTION("""COMPUTED_VALUE"""),"Vanuatu")</f>
        <v>Vanuatu</v>
      </c>
      <c r="E9061" s="135"/>
      <c r="F9061" s="31"/>
    </row>
    <row r="9062">
      <c r="A9062" s="134" t="str">
        <f>IFERROR(__xludf.DUMMYFUNCTION("""COMPUTED_VALUE"""),"Walcha")</f>
        <v>Walcha</v>
      </c>
      <c r="B9062" s="120" t="str">
        <f>IFERROR(__xludf.DUMMYFUNCTION("""COMPUTED_VALUE"""),"WLC")</f>
        <v>WLC</v>
      </c>
      <c r="C9062" s="120" t="str">
        <f>IFERROR(__xludf.DUMMYFUNCTION("""COMPUTED_VALUE"""),"Walcha")</f>
        <v>Walcha</v>
      </c>
      <c r="D9062" s="120" t="str">
        <f>IFERROR(__xludf.DUMMYFUNCTION("""COMPUTED_VALUE"""),"Australia")</f>
        <v>Australia</v>
      </c>
      <c r="E9062" s="135"/>
      <c r="F9062" s="31"/>
    </row>
    <row r="9063">
      <c r="A9063" s="134" t="str">
        <f>IFERROR(__xludf.DUMMYFUNCTION("""COMPUTED_VALUE"""),"Waldron Island")</f>
        <v>Waldron Island</v>
      </c>
      <c r="B9063" s="120" t="str">
        <f>IFERROR(__xludf.DUMMYFUNCTION("""COMPUTED_VALUE"""),"WDN")</f>
        <v>WDN</v>
      </c>
      <c r="C9063" s="120" t="str">
        <f>IFERROR(__xludf.DUMMYFUNCTION("""COMPUTED_VALUE"""),"Waldron Island")</f>
        <v>Waldron Island</v>
      </c>
      <c r="D9063" s="120" t="str">
        <f>IFERROR(__xludf.DUMMYFUNCTION("""COMPUTED_VALUE"""),"United States")</f>
        <v>United States</v>
      </c>
      <c r="E9063" s="135"/>
      <c r="F9063" s="31"/>
    </row>
    <row r="9064">
      <c r="A9064" s="134" t="str">
        <f>IFERROR(__xludf.DUMMYFUNCTION("""COMPUTED_VALUE"""),"Wales")</f>
        <v>Wales</v>
      </c>
      <c r="B9064" s="120" t="str">
        <f>IFERROR(__xludf.DUMMYFUNCTION("""COMPUTED_VALUE"""),"WAA")</f>
        <v>WAA</v>
      </c>
      <c r="C9064" s="120" t="str">
        <f>IFERROR(__xludf.DUMMYFUNCTION("""COMPUTED_VALUE"""),"Wales")</f>
        <v>Wales</v>
      </c>
      <c r="D9064" s="120" t="str">
        <f>IFERROR(__xludf.DUMMYFUNCTION("""COMPUTED_VALUE"""),"United States")</f>
        <v>United States</v>
      </c>
      <c r="E9064" s="135"/>
      <c r="F9064" s="31"/>
    </row>
    <row r="9065">
      <c r="A9065" s="134" t="str">
        <f>IFERROR(__xludf.DUMMYFUNCTION("""COMPUTED_VALUE"""),"Walgett")</f>
        <v>Walgett</v>
      </c>
      <c r="B9065" s="120" t="str">
        <f>IFERROR(__xludf.DUMMYFUNCTION("""COMPUTED_VALUE"""),"WGE")</f>
        <v>WGE</v>
      </c>
      <c r="C9065" s="120" t="str">
        <f>IFERROR(__xludf.DUMMYFUNCTION("""COMPUTED_VALUE"""),"Walgett")</f>
        <v>Walgett</v>
      </c>
      <c r="D9065" s="120" t="str">
        <f>IFERROR(__xludf.DUMMYFUNCTION("""COMPUTED_VALUE"""),"Australia")</f>
        <v>Australia</v>
      </c>
      <c r="E9065" s="135"/>
      <c r="F9065" s="31"/>
    </row>
    <row r="9066">
      <c r="A9066" s="134" t="str">
        <f>IFERROR(__xludf.DUMMYFUNCTION("""COMPUTED_VALUE"""),"Walla Walla")</f>
        <v>Walla Walla</v>
      </c>
      <c r="B9066" s="120" t="str">
        <f>IFERROR(__xludf.DUMMYFUNCTION("""COMPUTED_VALUE"""),"ALW")</f>
        <v>ALW</v>
      </c>
      <c r="C9066" s="120" t="str">
        <f>IFERROR(__xludf.DUMMYFUNCTION("""COMPUTED_VALUE"""),"Walla Walla")</f>
        <v>Walla Walla</v>
      </c>
      <c r="D9066" s="120" t="str">
        <f>IFERROR(__xludf.DUMMYFUNCTION("""COMPUTED_VALUE"""),"United States")</f>
        <v>United States</v>
      </c>
      <c r="E9066" s="135"/>
      <c r="F9066" s="31"/>
    </row>
    <row r="9067">
      <c r="A9067" s="134" t="str">
        <f>IFERROR(__xludf.DUMMYFUNCTION("""COMPUTED_VALUE"""),"Wallal")</f>
        <v>Wallal</v>
      </c>
      <c r="B9067" s="120" t="str">
        <f>IFERROR(__xludf.DUMMYFUNCTION("""COMPUTED_VALUE"""),"WLA")</f>
        <v>WLA</v>
      </c>
      <c r="C9067" s="120" t="str">
        <f>IFERROR(__xludf.DUMMYFUNCTION("""COMPUTED_VALUE"""),"Wallal")</f>
        <v>Wallal</v>
      </c>
      <c r="D9067" s="120" t="str">
        <f>IFERROR(__xludf.DUMMYFUNCTION("""COMPUTED_VALUE"""),"Australia")</f>
        <v>Australia</v>
      </c>
      <c r="E9067" s="135"/>
      <c r="F9067" s="31"/>
    </row>
    <row r="9068">
      <c r="A9068" s="134" t="str">
        <f>IFERROR(__xludf.DUMMYFUNCTION("""COMPUTED_VALUE"""),"Wallis Island")</f>
        <v>Wallis Island</v>
      </c>
      <c r="B9068" s="120" t="str">
        <f>IFERROR(__xludf.DUMMYFUNCTION("""COMPUTED_VALUE"""),"WLS")</f>
        <v>WLS</v>
      </c>
      <c r="C9068" s="120" t="str">
        <f>IFERROR(__xludf.DUMMYFUNCTION("""COMPUTED_VALUE"""),"Wallis Island")</f>
        <v>Wallis Island</v>
      </c>
      <c r="D9068" s="120" t="str">
        <f>IFERROR(__xludf.DUMMYFUNCTION("""COMPUTED_VALUE"""),"Wallis and Futuna Islands")</f>
        <v>Wallis and Futuna Islands</v>
      </c>
      <c r="E9068" s="135"/>
      <c r="F9068" s="31"/>
    </row>
    <row r="9069">
      <c r="A9069" s="134" t="str">
        <f>IFERROR(__xludf.DUMMYFUNCTION("""COMPUTED_VALUE"""),"Walnut Ridge")</f>
        <v>Walnut Ridge</v>
      </c>
      <c r="B9069" s="120" t="str">
        <f>IFERROR(__xludf.DUMMYFUNCTION("""COMPUTED_VALUE"""),"ARG")</f>
        <v>ARG</v>
      </c>
      <c r="C9069" s="120" t="str">
        <f>IFERROR(__xludf.DUMMYFUNCTION("""COMPUTED_VALUE"""),"Walnut Ridge")</f>
        <v>Walnut Ridge</v>
      </c>
      <c r="D9069" s="120" t="str">
        <f>IFERROR(__xludf.DUMMYFUNCTION("""COMPUTED_VALUE"""),"United States")</f>
        <v>United States</v>
      </c>
      <c r="E9069" s="135"/>
      <c r="F9069" s="31"/>
    </row>
    <row r="9070">
      <c r="A9070" s="134" t="str">
        <f>IFERROR(__xludf.DUMMYFUNCTION("""COMPUTED_VALUE"""),"Walterboro")</f>
        <v>Walterboro</v>
      </c>
      <c r="B9070" s="120" t="str">
        <f>IFERROR(__xludf.DUMMYFUNCTION("""COMPUTED_VALUE"""),"RBW")</f>
        <v>RBW</v>
      </c>
      <c r="C9070" s="120" t="str">
        <f>IFERROR(__xludf.DUMMYFUNCTION("""COMPUTED_VALUE"""),"Municipal")</f>
        <v>Municipal</v>
      </c>
      <c r="D9070" s="120" t="str">
        <f>IFERROR(__xludf.DUMMYFUNCTION("""COMPUTED_VALUE"""),"United States")</f>
        <v>United States</v>
      </c>
      <c r="E9070" s="135"/>
      <c r="F9070" s="31"/>
    </row>
    <row r="9071">
      <c r="A9071" s="134" t="str">
        <f>IFERROR(__xludf.DUMMYFUNCTION("""COMPUTED_VALUE"""),"Waltham")</f>
        <v>Waltham</v>
      </c>
      <c r="B9071" s="120" t="str">
        <f>IFERROR(__xludf.DUMMYFUNCTION("""COMPUTED_VALUE"""),"WLM")</f>
        <v>WLM</v>
      </c>
      <c r="C9071" s="120" t="str">
        <f>IFERROR(__xludf.DUMMYFUNCTION("""COMPUTED_VALUE"""),"Waltham")</f>
        <v>Waltham</v>
      </c>
      <c r="D9071" s="120" t="str">
        <f>IFERROR(__xludf.DUMMYFUNCTION("""COMPUTED_VALUE"""),"United States")</f>
        <v>United States</v>
      </c>
      <c r="E9071" s="135"/>
      <c r="F9071" s="31"/>
    </row>
    <row r="9072">
      <c r="A9072" s="134" t="str">
        <f>IFERROR(__xludf.DUMMYFUNCTION("""COMPUTED_VALUE"""),"Walvis Bay")</f>
        <v>Walvis Bay</v>
      </c>
      <c r="B9072" s="120" t="str">
        <f>IFERROR(__xludf.DUMMYFUNCTION("""COMPUTED_VALUE"""),"WVB")</f>
        <v>WVB</v>
      </c>
      <c r="C9072" s="120" t="str">
        <f>IFERROR(__xludf.DUMMYFUNCTION("""COMPUTED_VALUE"""),"Rooikop")</f>
        <v>Rooikop</v>
      </c>
      <c r="D9072" s="120" t="str">
        <f>IFERROR(__xludf.DUMMYFUNCTION("""COMPUTED_VALUE"""),"Namibia")</f>
        <v>Namibia</v>
      </c>
      <c r="E9072" s="135"/>
      <c r="F9072" s="31"/>
    </row>
    <row r="9073">
      <c r="A9073" s="134" t="str">
        <f>IFERROR(__xludf.DUMMYFUNCTION("""COMPUTED_VALUE"""),"Wamena")</f>
        <v>Wamena</v>
      </c>
      <c r="B9073" s="120" t="str">
        <f>IFERROR(__xludf.DUMMYFUNCTION("""COMPUTED_VALUE"""),"WMX")</f>
        <v>WMX</v>
      </c>
      <c r="C9073" s="120" t="str">
        <f>IFERROR(__xludf.DUMMYFUNCTION("""COMPUTED_VALUE"""),"Wamena")</f>
        <v>Wamena</v>
      </c>
      <c r="D9073" s="120" t="str">
        <f>IFERROR(__xludf.DUMMYFUNCTION("""COMPUTED_VALUE"""),"Indonesia")</f>
        <v>Indonesia</v>
      </c>
      <c r="E9073" s="135"/>
      <c r="F9073" s="31"/>
    </row>
    <row r="9074">
      <c r="A9074" s="134" t="str">
        <f>IFERROR(__xludf.DUMMYFUNCTION("""COMPUTED_VALUE"""),"Wana")</f>
        <v>Wana</v>
      </c>
      <c r="B9074" s="120" t="str">
        <f>IFERROR(__xludf.DUMMYFUNCTION("""COMPUTED_VALUE"""),"WAF")</f>
        <v>WAF</v>
      </c>
      <c r="C9074" s="120" t="str">
        <f>IFERROR(__xludf.DUMMYFUNCTION("""COMPUTED_VALUE"""),"Wana")</f>
        <v>Wana</v>
      </c>
      <c r="D9074" s="120" t="str">
        <f>IFERROR(__xludf.DUMMYFUNCTION("""COMPUTED_VALUE"""),"Pakistan")</f>
        <v>Pakistan</v>
      </c>
      <c r="E9074" s="135"/>
      <c r="F9074" s="31"/>
    </row>
    <row r="9075">
      <c r="A9075" s="134" t="str">
        <f>IFERROR(__xludf.DUMMYFUNCTION("""COMPUTED_VALUE"""),"Wanaka")</f>
        <v>Wanaka</v>
      </c>
      <c r="B9075" s="120" t="str">
        <f>IFERROR(__xludf.DUMMYFUNCTION("""COMPUTED_VALUE"""),"WKA")</f>
        <v>WKA</v>
      </c>
      <c r="C9075" s="120" t="str">
        <f>IFERROR(__xludf.DUMMYFUNCTION("""COMPUTED_VALUE"""),"Wanaka")</f>
        <v>Wanaka</v>
      </c>
      <c r="D9075" s="120" t="str">
        <f>IFERROR(__xludf.DUMMYFUNCTION("""COMPUTED_VALUE"""),"New Zealand (Aotearoa)")</f>
        <v>New Zealand (Aotearoa)</v>
      </c>
      <c r="E9075" s="135"/>
      <c r="F9075" s="31"/>
    </row>
    <row r="9076">
      <c r="A9076" s="134" t="str">
        <f>IFERROR(__xludf.DUMMYFUNCTION("""COMPUTED_VALUE"""),"Wanganui")</f>
        <v>Wanganui</v>
      </c>
      <c r="B9076" s="120" t="str">
        <f>IFERROR(__xludf.DUMMYFUNCTION("""COMPUTED_VALUE"""),"WAG")</f>
        <v>WAG</v>
      </c>
      <c r="C9076" s="120" t="str">
        <f>IFERROR(__xludf.DUMMYFUNCTION("""COMPUTED_VALUE"""),"Wanganui")</f>
        <v>Wanganui</v>
      </c>
      <c r="D9076" s="120" t="str">
        <f>IFERROR(__xludf.DUMMYFUNCTION("""COMPUTED_VALUE"""),"New Zealand (Aotearoa)")</f>
        <v>New Zealand (Aotearoa)</v>
      </c>
      <c r="E9076" s="135"/>
      <c r="F9076" s="31"/>
    </row>
    <row r="9077">
      <c r="A9077" s="134" t="str">
        <f>IFERROR(__xludf.DUMMYFUNCTION("""COMPUTED_VALUE"""),"Wangaratta")</f>
        <v>Wangaratta</v>
      </c>
      <c r="B9077" s="120" t="str">
        <f>IFERROR(__xludf.DUMMYFUNCTION("""COMPUTED_VALUE"""),"WGT")</f>
        <v>WGT</v>
      </c>
      <c r="C9077" s="120" t="str">
        <f>IFERROR(__xludf.DUMMYFUNCTION("""COMPUTED_VALUE"""),"Wangaratta")</f>
        <v>Wangaratta</v>
      </c>
      <c r="D9077" s="120" t="str">
        <f>IFERROR(__xludf.DUMMYFUNCTION("""COMPUTED_VALUE"""),"Australia")</f>
        <v>Australia</v>
      </c>
      <c r="E9077" s="135"/>
      <c r="F9077" s="31"/>
    </row>
    <row r="9078">
      <c r="A9078" s="134" t="str">
        <f>IFERROR(__xludf.DUMMYFUNCTION("""COMPUTED_VALUE"""),"Wangerooge")</f>
        <v>Wangerooge</v>
      </c>
      <c r="B9078" s="120" t="str">
        <f>IFERROR(__xludf.DUMMYFUNCTION("""COMPUTED_VALUE"""),"AGE")</f>
        <v>AGE</v>
      </c>
      <c r="C9078" s="120" t="str">
        <f>IFERROR(__xludf.DUMMYFUNCTION("""COMPUTED_VALUE"""),"Flugplatz")</f>
        <v>Flugplatz</v>
      </c>
      <c r="D9078" s="120" t="str">
        <f>IFERROR(__xludf.DUMMYFUNCTION("""COMPUTED_VALUE"""),"Germany")</f>
        <v>Germany</v>
      </c>
      <c r="E9078" s="135"/>
      <c r="F9078" s="31"/>
    </row>
    <row r="9079">
      <c r="A9079" s="134" t="str">
        <f>IFERROR(__xludf.DUMMYFUNCTION("""COMPUTED_VALUE"""),"Wanigela")</f>
        <v>Wanigela</v>
      </c>
      <c r="B9079" s="120" t="str">
        <f>IFERROR(__xludf.DUMMYFUNCTION("""COMPUTED_VALUE"""),"AGL")</f>
        <v>AGL</v>
      </c>
      <c r="C9079" s="120" t="str">
        <f>IFERROR(__xludf.DUMMYFUNCTION("""COMPUTED_VALUE"""),"Wanigela")</f>
        <v>Wanigela</v>
      </c>
      <c r="D9079" s="120" t="str">
        <f>IFERROR(__xludf.DUMMYFUNCTION("""COMPUTED_VALUE"""),"Papua New Guinea")</f>
        <v>Papua New Guinea</v>
      </c>
      <c r="E9079" s="135"/>
      <c r="F9079" s="31"/>
    </row>
    <row r="9080">
      <c r="A9080" s="134" t="str">
        <f>IFERROR(__xludf.DUMMYFUNCTION("""COMPUTED_VALUE"""),"Wantoat")</f>
        <v>Wantoat</v>
      </c>
      <c r="B9080" s="120" t="str">
        <f>IFERROR(__xludf.DUMMYFUNCTION("""COMPUTED_VALUE"""),"WTT")</f>
        <v>WTT</v>
      </c>
      <c r="C9080" s="120" t="str">
        <f>IFERROR(__xludf.DUMMYFUNCTION("""COMPUTED_VALUE"""),"Wantoat")</f>
        <v>Wantoat</v>
      </c>
      <c r="D9080" s="120" t="str">
        <f>IFERROR(__xludf.DUMMYFUNCTION("""COMPUTED_VALUE"""),"Papua New Guinea")</f>
        <v>Papua New Guinea</v>
      </c>
      <c r="E9080" s="135"/>
      <c r="F9080" s="31"/>
    </row>
    <row r="9081">
      <c r="A9081" s="134" t="str">
        <f>IFERROR(__xludf.DUMMYFUNCTION("""COMPUTED_VALUE"""),"Wanuma")</f>
        <v>Wanuma</v>
      </c>
      <c r="B9081" s="120" t="str">
        <f>IFERROR(__xludf.DUMMYFUNCTION("""COMPUTED_VALUE"""),"WNU")</f>
        <v>WNU</v>
      </c>
      <c r="C9081" s="120" t="str">
        <f>IFERROR(__xludf.DUMMYFUNCTION("""COMPUTED_VALUE"""),"Wanuma")</f>
        <v>Wanuma</v>
      </c>
      <c r="D9081" s="120" t="str">
        <f>IFERROR(__xludf.DUMMYFUNCTION("""COMPUTED_VALUE"""),"Papua New Guinea")</f>
        <v>Papua New Guinea</v>
      </c>
      <c r="E9081" s="135"/>
      <c r="F9081" s="31"/>
    </row>
    <row r="9082">
      <c r="A9082" s="134" t="str">
        <f>IFERROR(__xludf.DUMMYFUNCTION("""COMPUTED_VALUE"""),"Wanxian")</f>
        <v>Wanxian</v>
      </c>
      <c r="B9082" s="120" t="str">
        <f>IFERROR(__xludf.DUMMYFUNCTION("""COMPUTED_VALUE"""),"WXN")</f>
        <v>WXN</v>
      </c>
      <c r="C9082" s="120" t="str">
        <f>IFERROR(__xludf.DUMMYFUNCTION("""COMPUTED_VALUE"""),"Wanxian")</f>
        <v>Wanxian</v>
      </c>
      <c r="D9082" s="120" t="str">
        <f>IFERROR(__xludf.DUMMYFUNCTION("""COMPUTED_VALUE"""),"China")</f>
        <v>China</v>
      </c>
      <c r="E9082" s="135"/>
      <c r="F9082" s="31"/>
    </row>
    <row r="9083">
      <c r="A9083" s="134" t="str">
        <f>IFERROR(__xludf.DUMMYFUNCTION("""COMPUTED_VALUE"""),"Wapakoneta")</f>
        <v>Wapakoneta</v>
      </c>
      <c r="B9083" s="120" t="str">
        <f>IFERROR(__xludf.DUMMYFUNCTION("""COMPUTED_VALUE"""),"AXV")</f>
        <v>AXV</v>
      </c>
      <c r="C9083" s="120" t="str">
        <f>IFERROR(__xludf.DUMMYFUNCTION("""COMPUTED_VALUE"""),"Neil Armstrong")</f>
        <v>Neil Armstrong</v>
      </c>
      <c r="D9083" s="120" t="str">
        <f>IFERROR(__xludf.DUMMYFUNCTION("""COMPUTED_VALUE"""),"United States")</f>
        <v>United States</v>
      </c>
      <c r="E9083" s="135"/>
      <c r="F9083" s="31"/>
    </row>
    <row r="9084">
      <c r="A9084" s="134" t="str">
        <f>IFERROR(__xludf.DUMMYFUNCTION("""COMPUTED_VALUE"""),"Wapenamanda")</f>
        <v>Wapenamanda</v>
      </c>
      <c r="B9084" s="120" t="str">
        <f>IFERROR(__xludf.DUMMYFUNCTION("""COMPUTED_VALUE"""),"WBM")</f>
        <v>WBM</v>
      </c>
      <c r="C9084" s="120" t="str">
        <f>IFERROR(__xludf.DUMMYFUNCTION("""COMPUTED_VALUE"""),"Wapenamanda")</f>
        <v>Wapenamanda</v>
      </c>
      <c r="D9084" s="120" t="str">
        <f>IFERROR(__xludf.DUMMYFUNCTION("""COMPUTED_VALUE"""),"Papua New Guinea")</f>
        <v>Papua New Guinea</v>
      </c>
      <c r="E9084" s="135"/>
      <c r="F9084" s="31"/>
    </row>
    <row r="9085">
      <c r="A9085" s="134" t="str">
        <f>IFERROR(__xludf.DUMMYFUNCTION("""COMPUTED_VALUE"""),"Wapolu")</f>
        <v>Wapolu</v>
      </c>
      <c r="B9085" s="120" t="str">
        <f>IFERROR(__xludf.DUMMYFUNCTION("""COMPUTED_VALUE"""),"WBC")</f>
        <v>WBC</v>
      </c>
      <c r="C9085" s="120" t="str">
        <f>IFERROR(__xludf.DUMMYFUNCTION("""COMPUTED_VALUE"""),"Wapolu")</f>
        <v>Wapolu</v>
      </c>
      <c r="D9085" s="120" t="str">
        <f>IFERROR(__xludf.DUMMYFUNCTION("""COMPUTED_VALUE"""),"Papua New Guinea")</f>
        <v>Papua New Guinea</v>
      </c>
      <c r="E9085" s="135"/>
      <c r="F9085" s="31"/>
    </row>
    <row r="9086">
      <c r="A9086" s="134" t="str">
        <f>IFERROR(__xludf.DUMMYFUNCTION("""COMPUTED_VALUE"""),"Warangal")</f>
        <v>Warangal</v>
      </c>
      <c r="B9086" s="120" t="str">
        <f>IFERROR(__xludf.DUMMYFUNCTION("""COMPUTED_VALUE"""),"WGC")</f>
        <v>WGC</v>
      </c>
      <c r="C9086" s="120" t="str">
        <f>IFERROR(__xludf.DUMMYFUNCTION("""COMPUTED_VALUE"""),"Warangal")</f>
        <v>Warangal</v>
      </c>
      <c r="D9086" s="120" t="str">
        <f>IFERROR(__xludf.DUMMYFUNCTION("""COMPUTED_VALUE"""),"India")</f>
        <v>India</v>
      </c>
      <c r="E9086" s="135"/>
      <c r="F9086" s="31"/>
    </row>
    <row r="9087">
      <c r="A9087" s="134" t="str">
        <f>IFERROR(__xludf.DUMMYFUNCTION("""COMPUTED_VALUE"""),"Warder")</f>
        <v>Warder</v>
      </c>
      <c r="B9087" s="120" t="str">
        <f>IFERROR(__xludf.DUMMYFUNCTION("""COMPUTED_VALUE"""),"WRA")</f>
        <v>WRA</v>
      </c>
      <c r="C9087" s="120" t="str">
        <f>IFERROR(__xludf.DUMMYFUNCTION("""COMPUTED_VALUE"""),"Warder")</f>
        <v>Warder</v>
      </c>
      <c r="D9087" s="120" t="str">
        <f>IFERROR(__xludf.DUMMYFUNCTION("""COMPUTED_VALUE"""),"Ethiopia")</f>
        <v>Ethiopia</v>
      </c>
      <c r="E9087" s="135"/>
      <c r="F9087" s="31"/>
    </row>
    <row r="9088">
      <c r="A9088" s="134" t="str">
        <f>IFERROR(__xludf.DUMMYFUNCTION("""COMPUTED_VALUE"""),"Ware")</f>
        <v>Ware</v>
      </c>
      <c r="B9088" s="120" t="str">
        <f>IFERROR(__xludf.DUMMYFUNCTION("""COMPUTED_VALUE"""),"UWA")</f>
        <v>UWA</v>
      </c>
      <c r="C9088" s="120" t="str">
        <f>IFERROR(__xludf.DUMMYFUNCTION("""COMPUTED_VALUE"""),"Ware")</f>
        <v>Ware</v>
      </c>
      <c r="D9088" s="120" t="str">
        <f>IFERROR(__xludf.DUMMYFUNCTION("""COMPUTED_VALUE"""),"United States")</f>
        <v>United States</v>
      </c>
      <c r="E9088" s="135"/>
      <c r="F9088" s="31"/>
    </row>
    <row r="9089">
      <c r="A9089" s="134" t="str">
        <f>IFERROR(__xludf.DUMMYFUNCTION("""COMPUTED_VALUE"""),"Waris")</f>
        <v>Waris</v>
      </c>
      <c r="B9089" s="120" t="str">
        <f>IFERROR(__xludf.DUMMYFUNCTION("""COMPUTED_VALUE"""),"WAR")</f>
        <v>WAR</v>
      </c>
      <c r="C9089" s="120" t="str">
        <f>IFERROR(__xludf.DUMMYFUNCTION("""COMPUTED_VALUE"""),"Waris")</f>
        <v>Waris</v>
      </c>
      <c r="D9089" s="120" t="str">
        <f>IFERROR(__xludf.DUMMYFUNCTION("""COMPUTED_VALUE"""),"Indonesia")</f>
        <v>Indonesia</v>
      </c>
      <c r="E9089" s="135"/>
      <c r="F9089" s="31"/>
    </row>
    <row r="9090">
      <c r="A9090" s="134" t="str">
        <f>IFERROR(__xludf.DUMMYFUNCTION("""COMPUTED_VALUE"""),"Warracknabeal")</f>
        <v>Warracknabeal</v>
      </c>
      <c r="B9090" s="120" t="str">
        <f>IFERROR(__xludf.DUMMYFUNCTION("""COMPUTED_VALUE"""),"WKB")</f>
        <v>WKB</v>
      </c>
      <c r="C9090" s="120" t="str">
        <f>IFERROR(__xludf.DUMMYFUNCTION("""COMPUTED_VALUE"""),"Warracknabeal")</f>
        <v>Warracknabeal</v>
      </c>
      <c r="D9090" s="120" t="str">
        <f>IFERROR(__xludf.DUMMYFUNCTION("""COMPUTED_VALUE"""),"Australia")</f>
        <v>Australia</v>
      </c>
      <c r="E9090" s="135"/>
      <c r="F9090" s="31"/>
    </row>
    <row r="9091">
      <c r="A9091" s="134" t="str">
        <f>IFERROR(__xludf.DUMMYFUNCTION("""COMPUTED_VALUE"""),"Warrawagine")</f>
        <v>Warrawagine</v>
      </c>
      <c r="B9091" s="120" t="str">
        <f>IFERROR(__xludf.DUMMYFUNCTION("""COMPUTED_VALUE"""),"WRW")</f>
        <v>WRW</v>
      </c>
      <c r="C9091" s="120" t="str">
        <f>IFERROR(__xludf.DUMMYFUNCTION("""COMPUTED_VALUE"""),"Warrawagine")</f>
        <v>Warrawagine</v>
      </c>
      <c r="D9091" s="120" t="str">
        <f>IFERROR(__xludf.DUMMYFUNCTION("""COMPUTED_VALUE"""),"Australia")</f>
        <v>Australia</v>
      </c>
      <c r="E9091" s="135"/>
      <c r="F9091" s="31"/>
    </row>
    <row r="9092">
      <c r="A9092" s="134" t="str">
        <f>IFERROR(__xludf.DUMMYFUNCTION("""COMPUTED_VALUE"""),"Warrensburg")</f>
        <v>Warrensburg</v>
      </c>
      <c r="B9092" s="120" t="str">
        <f>IFERROR(__xludf.DUMMYFUNCTION("""COMPUTED_VALUE"""),"SZL")</f>
        <v>SZL</v>
      </c>
      <c r="C9092" s="120" t="str">
        <f>IFERROR(__xludf.DUMMYFUNCTION("""COMPUTED_VALUE"""),"Whiteman AFB")</f>
        <v>Whiteman AFB</v>
      </c>
      <c r="D9092" s="120" t="str">
        <f>IFERROR(__xludf.DUMMYFUNCTION("""COMPUTED_VALUE"""),"United States")</f>
        <v>United States</v>
      </c>
      <c r="E9092" s="135"/>
      <c r="F9092" s="31"/>
    </row>
    <row r="9093">
      <c r="A9093" s="134" t="str">
        <f>IFERROR(__xludf.DUMMYFUNCTION("""COMPUTED_VALUE"""),"Warri")</f>
        <v>Warri</v>
      </c>
      <c r="B9093" s="120" t="str">
        <f>IFERROR(__xludf.DUMMYFUNCTION("""COMPUTED_VALUE"""),"QRW")</f>
        <v>QRW</v>
      </c>
      <c r="C9093" s="120" t="str">
        <f>IFERROR(__xludf.DUMMYFUNCTION("""COMPUTED_VALUE"""),"Warri")</f>
        <v>Warri</v>
      </c>
      <c r="D9093" s="120" t="str">
        <f>IFERROR(__xludf.DUMMYFUNCTION("""COMPUTED_VALUE"""),"Nigeria")</f>
        <v>Nigeria</v>
      </c>
      <c r="E9093" s="135"/>
      <c r="F9093" s="31"/>
    </row>
    <row r="9094">
      <c r="A9094" s="134" t="str">
        <f>IFERROR(__xludf.DUMMYFUNCTION("""COMPUTED_VALUE"""),"Warrnambool")</f>
        <v>Warrnambool</v>
      </c>
      <c r="B9094" s="120" t="str">
        <f>IFERROR(__xludf.DUMMYFUNCTION("""COMPUTED_VALUE"""),"WMB")</f>
        <v>WMB</v>
      </c>
      <c r="C9094" s="120" t="str">
        <f>IFERROR(__xludf.DUMMYFUNCTION("""COMPUTED_VALUE"""),"Warrnambool")</f>
        <v>Warrnambool</v>
      </c>
      <c r="D9094" s="120" t="str">
        <f>IFERROR(__xludf.DUMMYFUNCTION("""COMPUTED_VALUE"""),"Australia")</f>
        <v>Australia</v>
      </c>
      <c r="E9094" s="135"/>
      <c r="F9094" s="31"/>
    </row>
    <row r="9095">
      <c r="A9095" s="134" t="str">
        <f>IFERROR(__xludf.DUMMYFUNCTION("""COMPUTED_VALUE"""),"Warroad")</f>
        <v>Warroad</v>
      </c>
      <c r="B9095" s="120" t="str">
        <f>IFERROR(__xludf.DUMMYFUNCTION("""COMPUTED_VALUE"""),"RRT")</f>
        <v>RRT</v>
      </c>
      <c r="C9095" s="120" t="str">
        <f>IFERROR(__xludf.DUMMYFUNCTION("""COMPUTED_VALUE"""),"Warroad")</f>
        <v>Warroad</v>
      </c>
      <c r="D9095" s="120" t="str">
        <f>IFERROR(__xludf.DUMMYFUNCTION("""COMPUTED_VALUE"""),"United States")</f>
        <v>United States</v>
      </c>
      <c r="E9095" s="135"/>
      <c r="F9095" s="31"/>
    </row>
    <row r="9096">
      <c r="A9096" s="134" t="str">
        <f>IFERROR(__xludf.DUMMYFUNCTION("""COMPUTED_VALUE"""),"Warsaw")</f>
        <v>Warsaw</v>
      </c>
      <c r="B9096" s="120" t="str">
        <f>IFERROR(__xludf.DUMMYFUNCTION("""COMPUTED_VALUE"""),"WAW")</f>
        <v>WAW</v>
      </c>
      <c r="C9096" s="120" t="str">
        <f>IFERROR(__xludf.DUMMYFUNCTION("""COMPUTED_VALUE"""),"Frederic Chopin")</f>
        <v>Frederic Chopin</v>
      </c>
      <c r="D9096" s="120" t="str">
        <f>IFERROR(__xludf.DUMMYFUNCTION("""COMPUTED_VALUE"""),"Poland")</f>
        <v>Poland</v>
      </c>
      <c r="E9096" s="135"/>
      <c r="F9096" s="31"/>
    </row>
    <row r="9097">
      <c r="A9097" s="134" t="str">
        <f>IFERROR(__xludf.DUMMYFUNCTION("""COMPUTED_VALUE"""),"Warwick")</f>
        <v>Warwick</v>
      </c>
      <c r="B9097" s="120" t="str">
        <f>IFERROR(__xludf.DUMMYFUNCTION("""COMPUTED_VALUE"""),"WAZ")</f>
        <v>WAZ</v>
      </c>
      <c r="C9097" s="120" t="str">
        <f>IFERROR(__xludf.DUMMYFUNCTION("""COMPUTED_VALUE"""),"Warwick")</f>
        <v>Warwick</v>
      </c>
      <c r="D9097" s="120" t="str">
        <f>IFERROR(__xludf.DUMMYFUNCTION("""COMPUTED_VALUE"""),"Australia")</f>
        <v>Australia</v>
      </c>
      <c r="E9097" s="135"/>
      <c r="F9097" s="31"/>
    </row>
    <row r="9098">
      <c r="A9098" s="134" t="str">
        <f>IFERROR(__xludf.DUMMYFUNCTION("""COMPUTED_VALUE"""),"Washabo")</f>
        <v>Washabo</v>
      </c>
      <c r="B9098" s="120" t="str">
        <f>IFERROR(__xludf.DUMMYFUNCTION("""COMPUTED_VALUE"""),"WSO")</f>
        <v>WSO</v>
      </c>
      <c r="C9098" s="120" t="str">
        <f>IFERROR(__xludf.DUMMYFUNCTION("""COMPUTED_VALUE"""),"Washabo")</f>
        <v>Washabo</v>
      </c>
      <c r="D9098" s="120" t="str">
        <f>IFERROR(__xludf.DUMMYFUNCTION("""COMPUTED_VALUE"""),"Suriname")</f>
        <v>Suriname</v>
      </c>
      <c r="E9098" s="135"/>
      <c r="F9098" s="31"/>
    </row>
    <row r="9099">
      <c r="A9099" s="134" t="str">
        <f>IFERROR(__xludf.DUMMYFUNCTION("""COMPUTED_VALUE"""),"Baltimore")</f>
        <v>Baltimore</v>
      </c>
      <c r="B9099" s="120" t="str">
        <f>IFERROR(__xludf.DUMMYFUNCTION("""COMPUTED_VALUE"""),"BWI")</f>
        <v>BWI</v>
      </c>
      <c r="C9099" s="120" t="str">
        <f>IFERROR(__xludf.DUMMYFUNCTION("""COMPUTED_VALUE"""),"Balt/wash International")</f>
        <v>Balt/wash International</v>
      </c>
      <c r="D9099" s="120" t="str">
        <f>IFERROR(__xludf.DUMMYFUNCTION("""COMPUTED_VALUE"""),"United States")</f>
        <v>United States</v>
      </c>
      <c r="E9099" s="135"/>
      <c r="F9099" s="31"/>
    </row>
    <row r="9100">
      <c r="A9100" s="134" t="str">
        <f>IFERROR(__xludf.DUMMYFUNCTION("""COMPUTED_VALUE"""),"Washington")</f>
        <v>Washington</v>
      </c>
      <c r="B9100" s="120" t="str">
        <f>IFERROR(__xludf.DUMMYFUNCTION("""COMPUTED_VALUE"""),"BOF")</f>
        <v>BOF</v>
      </c>
      <c r="C9100" s="120" t="str">
        <f>IFERROR(__xludf.DUMMYFUNCTION("""COMPUTED_VALUE"""),"Bolling AFB")</f>
        <v>Bolling AFB</v>
      </c>
      <c r="D9100" s="120" t="str">
        <f>IFERROR(__xludf.DUMMYFUNCTION("""COMPUTED_VALUE"""),"United States")</f>
        <v>United States</v>
      </c>
      <c r="E9100" s="135"/>
      <c r="F9100" s="31"/>
    </row>
    <row r="9101">
      <c r="A9101" s="134" t="str">
        <f>IFERROR(__xludf.DUMMYFUNCTION("""COMPUTED_VALUE"""),"Washington")</f>
        <v>Washington</v>
      </c>
      <c r="B9101" s="120" t="str">
        <f>IFERROR(__xludf.DUMMYFUNCTION("""COMPUTED_VALUE"""),"BZS")</f>
        <v>BZS</v>
      </c>
      <c r="C9101" s="120" t="str">
        <f>IFERROR(__xludf.DUMMYFUNCTION("""COMPUTED_VALUE"""),"Buzzards Pt S")</f>
        <v>Buzzards Pt S</v>
      </c>
      <c r="D9101" s="120" t="str">
        <f>IFERROR(__xludf.DUMMYFUNCTION("""COMPUTED_VALUE"""),"United States")</f>
        <v>United States</v>
      </c>
      <c r="E9101" s="135"/>
      <c r="F9101" s="31"/>
    </row>
    <row r="9102">
      <c r="A9102" s="134" t="str">
        <f>IFERROR(__xludf.DUMMYFUNCTION("""COMPUTED_VALUE"""),"Dulles, DC")</f>
        <v>Dulles, DC</v>
      </c>
      <c r="B9102" s="120" t="str">
        <f>IFERROR(__xludf.DUMMYFUNCTION("""COMPUTED_VALUE"""),"IAD")</f>
        <v>IAD</v>
      </c>
      <c r="C9102" s="120" t="str">
        <f>IFERROR(__xludf.DUMMYFUNCTION("""COMPUTED_VALUE"""),"Washington Dulles Intl")</f>
        <v>Washington Dulles Intl</v>
      </c>
      <c r="D9102" s="120" t="str">
        <f>IFERROR(__xludf.DUMMYFUNCTION("""COMPUTED_VALUE"""),"United States")</f>
        <v>United States</v>
      </c>
      <c r="E9102" s="135"/>
      <c r="F9102" s="31"/>
    </row>
    <row r="9103">
      <c r="A9103" s="134" t="str">
        <f>IFERROR(__xludf.DUMMYFUNCTION("""COMPUTED_VALUE"""),"Washington")</f>
        <v>Washington</v>
      </c>
      <c r="B9103" s="120" t="str">
        <f>IFERROR(__xludf.DUMMYFUNCTION("""COMPUTED_VALUE"""),"ZRZ")</f>
        <v>ZRZ</v>
      </c>
      <c r="C9103" s="120" t="str">
        <f>IFERROR(__xludf.DUMMYFUNCTION("""COMPUTED_VALUE"""),"New Carrolton RR")</f>
        <v>New Carrolton RR</v>
      </c>
      <c r="D9103" s="120" t="str">
        <f>IFERROR(__xludf.DUMMYFUNCTION("""COMPUTED_VALUE"""),"United States")</f>
        <v>United States</v>
      </c>
      <c r="E9103" s="135"/>
      <c r="F9103" s="31"/>
    </row>
    <row r="9104">
      <c r="A9104" s="134" t="str">
        <f>IFERROR(__xludf.DUMMYFUNCTION("""COMPUTED_VALUE"""),"Washington")</f>
        <v>Washington</v>
      </c>
      <c r="B9104" s="120" t="str">
        <f>IFERROR(__xludf.DUMMYFUNCTION("""COMPUTED_VALUE"""),"JPN")</f>
        <v>JPN</v>
      </c>
      <c r="C9104" s="120" t="str">
        <f>IFERROR(__xludf.DUMMYFUNCTION("""COMPUTED_VALUE"""),"Pentagon Army")</f>
        <v>Pentagon Army</v>
      </c>
      <c r="D9104" s="120" t="str">
        <f>IFERROR(__xludf.DUMMYFUNCTION("""COMPUTED_VALUE"""),"United States")</f>
        <v>United States</v>
      </c>
      <c r="E9104" s="135"/>
      <c r="F9104" s="31"/>
    </row>
    <row r="9105">
      <c r="A9105" s="134" t="str">
        <f>IFERROR(__xludf.DUMMYFUNCTION("""COMPUTED_VALUE"""),"Washington")</f>
        <v>Washington</v>
      </c>
      <c r="B9105" s="120" t="str">
        <f>IFERROR(__xludf.DUMMYFUNCTION("""COMPUTED_VALUE"""),"DCA")</f>
        <v>DCA</v>
      </c>
      <c r="C9105" s="120" t="str">
        <f>IFERROR(__xludf.DUMMYFUNCTION("""COMPUTED_VALUE"""),"Ronald Reagan National")</f>
        <v>Ronald Reagan National</v>
      </c>
      <c r="D9105" s="120" t="str">
        <f>IFERROR(__xludf.DUMMYFUNCTION("""COMPUTED_VALUE"""),"United States")</f>
        <v>United States</v>
      </c>
      <c r="E9105" s="135"/>
      <c r="F9105" s="31"/>
    </row>
    <row r="9106">
      <c r="A9106" s="134" t="str">
        <f>IFERROR(__xludf.DUMMYFUNCTION("""COMPUTED_VALUE"""),"Leesburg")</f>
        <v>Leesburg</v>
      </c>
      <c r="B9106" s="120" t="str">
        <f>IFERROR(__xludf.DUMMYFUNCTION("""COMPUTED_VALUE"""),"ZWU")</f>
        <v>ZWU</v>
      </c>
      <c r="C9106" s="120" t="str">
        <f>IFERROR(__xludf.DUMMYFUNCTION("""COMPUTED_VALUE"""),"Reagan National")</f>
        <v>Reagan National</v>
      </c>
      <c r="D9106" s="120" t="str">
        <f>IFERROR(__xludf.DUMMYFUNCTION("""COMPUTED_VALUE"""),"United States")</f>
        <v>United States</v>
      </c>
      <c r="E9106" s="135"/>
      <c r="F9106" s="31"/>
    </row>
    <row r="9107">
      <c r="A9107" s="134" t="str">
        <f>IFERROR(__xludf.DUMMYFUNCTION("""COMPUTED_VALUE"""),"Washington")</f>
        <v>Washington</v>
      </c>
      <c r="B9107" s="120" t="str">
        <f>IFERROR(__xludf.DUMMYFUNCTION("""COMPUTED_VALUE"""),"OCW")</f>
        <v>OCW</v>
      </c>
      <c r="C9107" s="120" t="str">
        <f>IFERROR(__xludf.DUMMYFUNCTION("""COMPUTED_VALUE"""),"Warren Field")</f>
        <v>Warren Field</v>
      </c>
      <c r="D9107" s="120" t="str">
        <f>IFERROR(__xludf.DUMMYFUNCTION("""COMPUTED_VALUE"""),"United States")</f>
        <v>United States</v>
      </c>
      <c r="E9107" s="135"/>
      <c r="F9107" s="31"/>
    </row>
    <row r="9108">
      <c r="A9108" s="134" t="str">
        <f>IFERROR(__xludf.DUMMYFUNCTION("""COMPUTED_VALUE"""),"Washington")</f>
        <v>Washington</v>
      </c>
      <c r="B9108" s="120" t="str">
        <f>IFERROR(__xludf.DUMMYFUNCTION("""COMPUTED_VALUE"""),"WSG")</f>
        <v>WSG</v>
      </c>
      <c r="C9108" s="120" t="str">
        <f>IFERROR(__xludf.DUMMYFUNCTION("""COMPUTED_VALUE"""),"County")</f>
        <v>County</v>
      </c>
      <c r="D9108" s="120" t="str">
        <f>IFERROR(__xludf.DUMMYFUNCTION("""COMPUTED_VALUE"""),"United States")</f>
        <v>United States</v>
      </c>
      <c r="E9108" s="135"/>
      <c r="F9108" s="31"/>
    </row>
    <row r="9109">
      <c r="A9109" s="134" t="str">
        <f>IFERROR(__xludf.DUMMYFUNCTION("""COMPUTED_VALUE"""),"Wasilla")</f>
        <v>Wasilla</v>
      </c>
      <c r="B9109" s="120" t="str">
        <f>IFERROR(__xludf.DUMMYFUNCTION("""COMPUTED_VALUE"""),"WWA")</f>
        <v>WWA</v>
      </c>
      <c r="C9109" s="120" t="str">
        <f>IFERROR(__xludf.DUMMYFUNCTION("""COMPUTED_VALUE"""),"Wasilla")</f>
        <v>Wasilla</v>
      </c>
      <c r="D9109" s="120" t="str">
        <f>IFERROR(__xludf.DUMMYFUNCTION("""COMPUTED_VALUE"""),"United States")</f>
        <v>United States</v>
      </c>
      <c r="E9109" s="135"/>
      <c r="F9109" s="31"/>
    </row>
    <row r="9110">
      <c r="A9110" s="134" t="str">
        <f>IFERROR(__xludf.DUMMYFUNCTION("""COMPUTED_VALUE"""),"Wasior")</f>
        <v>Wasior</v>
      </c>
      <c r="B9110" s="120" t="str">
        <f>IFERROR(__xludf.DUMMYFUNCTION("""COMPUTED_VALUE"""),"WSR")</f>
        <v>WSR</v>
      </c>
      <c r="C9110" s="120" t="str">
        <f>IFERROR(__xludf.DUMMYFUNCTION("""COMPUTED_VALUE"""),"Wasior")</f>
        <v>Wasior</v>
      </c>
      <c r="D9110" s="120" t="str">
        <f>IFERROR(__xludf.DUMMYFUNCTION("""COMPUTED_VALUE"""),"Indonesia")</f>
        <v>Indonesia</v>
      </c>
      <c r="E9110" s="135"/>
      <c r="F9110" s="31"/>
    </row>
    <row r="9111">
      <c r="A9111" s="134" t="str">
        <f>IFERROR(__xludf.DUMMYFUNCTION("""COMPUTED_VALUE"""),"Waskaganish")</f>
        <v>Waskaganish</v>
      </c>
      <c r="B9111" s="120" t="str">
        <f>IFERROR(__xludf.DUMMYFUNCTION("""COMPUTED_VALUE"""),"YKQ")</f>
        <v>YKQ</v>
      </c>
      <c r="C9111" s="120" t="str">
        <f>IFERROR(__xludf.DUMMYFUNCTION("""COMPUTED_VALUE"""),"Waskaganish")</f>
        <v>Waskaganish</v>
      </c>
      <c r="D9111" s="120" t="str">
        <f>IFERROR(__xludf.DUMMYFUNCTION("""COMPUTED_VALUE"""),"Canada")</f>
        <v>Canada</v>
      </c>
      <c r="E9111" s="135"/>
      <c r="F9111" s="31"/>
    </row>
    <row r="9112">
      <c r="A9112" s="134" t="str">
        <f>IFERROR(__xludf.DUMMYFUNCTION("""COMPUTED_VALUE"""),"Waspam")</f>
        <v>Waspam</v>
      </c>
      <c r="B9112" s="120" t="str">
        <f>IFERROR(__xludf.DUMMYFUNCTION("""COMPUTED_VALUE"""),"WSP")</f>
        <v>WSP</v>
      </c>
      <c r="C9112" s="120" t="str">
        <f>IFERROR(__xludf.DUMMYFUNCTION("""COMPUTED_VALUE"""),"Waspam")</f>
        <v>Waspam</v>
      </c>
      <c r="D9112" s="120" t="str">
        <f>IFERROR(__xludf.DUMMYFUNCTION("""COMPUTED_VALUE"""),"Nicaragua")</f>
        <v>Nicaragua</v>
      </c>
      <c r="E9112" s="135"/>
      <c r="F9112" s="31"/>
    </row>
    <row r="9113">
      <c r="A9113" s="134" t="str">
        <f>IFERROR(__xludf.DUMMYFUNCTION("""COMPUTED_VALUE"""),"Wasu")</f>
        <v>Wasu</v>
      </c>
      <c r="B9113" s="120" t="str">
        <f>IFERROR(__xludf.DUMMYFUNCTION("""COMPUTED_VALUE"""),"WSU")</f>
        <v>WSU</v>
      </c>
      <c r="C9113" s="120" t="str">
        <f>IFERROR(__xludf.DUMMYFUNCTION("""COMPUTED_VALUE"""),"Wasu")</f>
        <v>Wasu</v>
      </c>
      <c r="D9113" s="120" t="str">
        <f>IFERROR(__xludf.DUMMYFUNCTION("""COMPUTED_VALUE"""),"Papua New Guinea")</f>
        <v>Papua New Guinea</v>
      </c>
      <c r="E9113" s="135"/>
      <c r="F9113" s="31"/>
    </row>
    <row r="9114">
      <c r="A9114" s="134" t="str">
        <f>IFERROR(__xludf.DUMMYFUNCTION("""COMPUTED_VALUE"""),"Wasua")</f>
        <v>Wasua</v>
      </c>
      <c r="B9114" s="120" t="str">
        <f>IFERROR(__xludf.DUMMYFUNCTION("""COMPUTED_VALUE"""),"WSA")</f>
        <v>WSA</v>
      </c>
      <c r="C9114" s="120" t="str">
        <f>IFERROR(__xludf.DUMMYFUNCTION("""COMPUTED_VALUE"""),"Wasua")</f>
        <v>Wasua</v>
      </c>
      <c r="D9114" s="120" t="str">
        <f>IFERROR(__xludf.DUMMYFUNCTION("""COMPUTED_VALUE"""),"Papua New Guinea")</f>
        <v>Papua New Guinea</v>
      </c>
      <c r="E9114" s="135"/>
      <c r="F9114" s="31"/>
    </row>
    <row r="9115">
      <c r="A9115" s="134" t="str">
        <f>IFERROR(__xludf.DUMMYFUNCTION("""COMPUTED_VALUE"""),"Wasum")</f>
        <v>Wasum</v>
      </c>
      <c r="B9115" s="120" t="str">
        <f>IFERROR(__xludf.DUMMYFUNCTION("""COMPUTED_VALUE"""),"WUM")</f>
        <v>WUM</v>
      </c>
      <c r="C9115" s="120" t="str">
        <f>IFERROR(__xludf.DUMMYFUNCTION("""COMPUTED_VALUE"""),"Wasum")</f>
        <v>Wasum</v>
      </c>
      <c r="D9115" s="120" t="str">
        <f>IFERROR(__xludf.DUMMYFUNCTION("""COMPUTED_VALUE"""),"Papua New Guinea")</f>
        <v>Papua New Guinea</v>
      </c>
      <c r="E9115" s="135"/>
      <c r="F9115" s="31"/>
    </row>
    <row r="9116">
      <c r="A9116" s="134" t="str">
        <f>IFERROR(__xludf.DUMMYFUNCTION("""COMPUTED_VALUE"""),"Waterfall")</f>
        <v>Waterfall</v>
      </c>
      <c r="B9116" s="120" t="str">
        <f>IFERROR(__xludf.DUMMYFUNCTION("""COMPUTED_VALUE"""),"KWF")</f>
        <v>KWF</v>
      </c>
      <c r="C9116" s="120" t="str">
        <f>IFERROR(__xludf.DUMMYFUNCTION("""COMPUTED_VALUE"""),"Waterfall SPB")</f>
        <v>Waterfall SPB</v>
      </c>
      <c r="D9116" s="120" t="str">
        <f>IFERROR(__xludf.DUMMYFUNCTION("""COMPUTED_VALUE"""),"United States")</f>
        <v>United States</v>
      </c>
      <c r="E9116" s="135"/>
      <c r="F9116" s="31"/>
    </row>
    <row r="9117">
      <c r="A9117" s="134" t="str">
        <f>IFERROR(__xludf.DUMMYFUNCTION("""COMPUTED_VALUE"""),"Waterford")</f>
        <v>Waterford</v>
      </c>
      <c r="B9117" s="120" t="str">
        <f>IFERROR(__xludf.DUMMYFUNCTION("""COMPUTED_VALUE"""),"WAT")</f>
        <v>WAT</v>
      </c>
      <c r="C9117" s="120" t="str">
        <f>IFERROR(__xludf.DUMMYFUNCTION("""COMPUTED_VALUE"""),"Waterford")</f>
        <v>Waterford</v>
      </c>
      <c r="D9117" s="120" t="str">
        <f>IFERROR(__xludf.DUMMYFUNCTION("""COMPUTED_VALUE"""),"Ireland")</f>
        <v>Ireland</v>
      </c>
      <c r="E9117" s="135"/>
      <c r="F9117" s="31"/>
    </row>
    <row r="9118">
      <c r="A9118" s="134" t="str">
        <f>IFERROR(__xludf.DUMMYFUNCTION("""COMPUTED_VALUE"""),"Waterkloof")</f>
        <v>Waterkloof</v>
      </c>
      <c r="B9118" s="120" t="str">
        <f>IFERROR(__xludf.DUMMYFUNCTION("""COMPUTED_VALUE"""),"WKF")</f>
        <v>WKF</v>
      </c>
      <c r="C9118" s="120" t="str">
        <f>IFERROR(__xludf.DUMMYFUNCTION("""COMPUTED_VALUE"""),"Waterkloof (FAWK)")</f>
        <v>Waterkloof (FAWK)</v>
      </c>
      <c r="D9118" s="120" t="str">
        <f>IFERROR(__xludf.DUMMYFUNCTION("""COMPUTED_VALUE"""),"South Africa")</f>
        <v>South Africa</v>
      </c>
      <c r="E9118" s="135"/>
      <c r="F9118" s="31"/>
    </row>
    <row r="9119">
      <c r="A9119" s="134" t="str">
        <f>IFERROR(__xludf.DUMMYFUNCTION("""COMPUTED_VALUE"""),"Waterloo")</f>
        <v>Waterloo</v>
      </c>
      <c r="B9119" s="120" t="str">
        <f>IFERROR(__xludf.DUMMYFUNCTION("""COMPUTED_VALUE"""),"ALO")</f>
        <v>ALO</v>
      </c>
      <c r="C9119" s="120" t="str">
        <f>IFERROR(__xludf.DUMMYFUNCTION("""COMPUTED_VALUE"""),"Waterloo")</f>
        <v>Waterloo</v>
      </c>
      <c r="D9119" s="120" t="str">
        <f>IFERROR(__xludf.DUMMYFUNCTION("""COMPUTED_VALUE"""),"United States")</f>
        <v>United States</v>
      </c>
      <c r="E9119" s="135"/>
      <c r="F9119" s="31"/>
    </row>
    <row r="9120">
      <c r="A9120" s="134" t="str">
        <f>IFERROR(__xludf.DUMMYFUNCTION("""COMPUTED_VALUE"""),"Waterloo")</f>
        <v>Waterloo</v>
      </c>
      <c r="B9120" s="120" t="str">
        <f>IFERROR(__xludf.DUMMYFUNCTION("""COMPUTED_VALUE"""),"WLO")</f>
        <v>WLO</v>
      </c>
      <c r="C9120" s="120" t="str">
        <f>IFERROR(__xludf.DUMMYFUNCTION("""COMPUTED_VALUE"""),"Waterloo")</f>
        <v>Waterloo</v>
      </c>
      <c r="D9120" s="120" t="str">
        <f>IFERROR(__xludf.DUMMYFUNCTION("""COMPUTED_VALUE"""),"Australia")</f>
        <v>Australia</v>
      </c>
      <c r="E9120" s="135"/>
      <c r="F9120" s="31"/>
    </row>
    <row r="9121">
      <c r="A9121" s="134" t="str">
        <f>IFERROR(__xludf.DUMMYFUNCTION("""COMPUTED_VALUE"""),"Watertown")</f>
        <v>Watertown</v>
      </c>
      <c r="B9121" s="120" t="str">
        <f>IFERROR(__xludf.DUMMYFUNCTION("""COMPUTED_VALUE"""),"ART")</f>
        <v>ART</v>
      </c>
      <c r="C9121" s="120" t="str">
        <f>IFERROR(__xludf.DUMMYFUNCTION("""COMPUTED_VALUE"""),"Watertown")</f>
        <v>Watertown</v>
      </c>
      <c r="D9121" s="120" t="str">
        <f>IFERROR(__xludf.DUMMYFUNCTION("""COMPUTED_VALUE"""),"United States")</f>
        <v>United States</v>
      </c>
      <c r="E9121" s="135"/>
      <c r="F9121" s="31"/>
    </row>
    <row r="9122">
      <c r="A9122" s="134" t="str">
        <f>IFERROR(__xludf.DUMMYFUNCTION("""COMPUTED_VALUE"""),"Watertown")</f>
        <v>Watertown</v>
      </c>
      <c r="B9122" s="120" t="str">
        <f>IFERROR(__xludf.DUMMYFUNCTION("""COMPUTED_VALUE"""),"ATY")</f>
        <v>ATY</v>
      </c>
      <c r="C9122" s="120" t="str">
        <f>IFERROR(__xludf.DUMMYFUNCTION("""COMPUTED_VALUE"""),"Watertown")</f>
        <v>Watertown</v>
      </c>
      <c r="D9122" s="120" t="str">
        <f>IFERROR(__xludf.DUMMYFUNCTION("""COMPUTED_VALUE"""),"United States")</f>
        <v>United States</v>
      </c>
      <c r="E9122" s="135"/>
      <c r="F9122" s="31"/>
    </row>
    <row r="9123">
      <c r="A9123" s="134" t="str">
        <f>IFERROR(__xludf.DUMMYFUNCTION("""COMPUTED_VALUE"""),"Waterville")</f>
        <v>Waterville</v>
      </c>
      <c r="B9123" s="120" t="str">
        <f>IFERROR(__xludf.DUMMYFUNCTION("""COMPUTED_VALUE"""),"WVL")</f>
        <v>WVL</v>
      </c>
      <c r="C9123" s="120" t="str">
        <f>IFERROR(__xludf.DUMMYFUNCTION("""COMPUTED_VALUE"""),"Robert Lafleur")</f>
        <v>Robert Lafleur</v>
      </c>
      <c r="D9123" s="120" t="str">
        <f>IFERROR(__xludf.DUMMYFUNCTION("""COMPUTED_VALUE"""),"United States")</f>
        <v>United States</v>
      </c>
      <c r="E9123" s="135"/>
      <c r="F9123" s="31"/>
    </row>
    <row r="9124">
      <c r="A9124" s="134" t="str">
        <f>IFERROR(__xludf.DUMMYFUNCTION("""COMPUTED_VALUE"""),"Watson Lake")</f>
        <v>Watson Lake</v>
      </c>
      <c r="B9124" s="120" t="str">
        <f>IFERROR(__xludf.DUMMYFUNCTION("""COMPUTED_VALUE"""),"YQH")</f>
        <v>YQH</v>
      </c>
      <c r="C9124" s="120" t="str">
        <f>IFERROR(__xludf.DUMMYFUNCTION("""COMPUTED_VALUE"""),"Watson Lake")</f>
        <v>Watson Lake</v>
      </c>
      <c r="D9124" s="120" t="str">
        <f>IFERROR(__xludf.DUMMYFUNCTION("""COMPUTED_VALUE"""),"Canada")</f>
        <v>Canada</v>
      </c>
      <c r="E9124" s="135"/>
      <c r="F9124" s="31"/>
    </row>
    <row r="9125">
      <c r="A9125" s="134" t="str">
        <f>IFERROR(__xludf.DUMMYFUNCTION("""COMPUTED_VALUE"""),"Watsonville")</f>
        <v>Watsonville</v>
      </c>
      <c r="B9125" s="120" t="str">
        <f>IFERROR(__xludf.DUMMYFUNCTION("""COMPUTED_VALUE"""),"WVI")</f>
        <v>WVI</v>
      </c>
      <c r="C9125" s="120" t="str">
        <f>IFERROR(__xludf.DUMMYFUNCTION("""COMPUTED_VALUE"""),"Watsonville")</f>
        <v>Watsonville</v>
      </c>
      <c r="D9125" s="120" t="str">
        <f>IFERROR(__xludf.DUMMYFUNCTION("""COMPUTED_VALUE"""),"United States")</f>
        <v>United States</v>
      </c>
      <c r="E9125" s="135"/>
      <c r="F9125" s="31"/>
    </row>
    <row r="9126">
      <c r="A9126" s="134" t="str">
        <f>IFERROR(__xludf.DUMMYFUNCTION("""COMPUTED_VALUE"""),"Wau")</f>
        <v>Wau</v>
      </c>
      <c r="B9126" s="120" t="str">
        <f>IFERROR(__xludf.DUMMYFUNCTION("""COMPUTED_VALUE"""),"WUG")</f>
        <v>WUG</v>
      </c>
      <c r="C9126" s="120" t="str">
        <f>IFERROR(__xludf.DUMMYFUNCTION("""COMPUTED_VALUE"""),"Wau")</f>
        <v>Wau</v>
      </c>
      <c r="D9126" s="120" t="str">
        <f>IFERROR(__xludf.DUMMYFUNCTION("""COMPUTED_VALUE"""),"Papua New Guinea")</f>
        <v>Papua New Guinea</v>
      </c>
      <c r="E9126" s="135"/>
      <c r="F9126" s="31"/>
    </row>
    <row r="9127">
      <c r="A9127" s="134" t="str">
        <f>IFERROR(__xludf.DUMMYFUNCTION("""COMPUTED_VALUE"""),"Wau")</f>
        <v>Wau</v>
      </c>
      <c r="B9127" s="120" t="str">
        <f>IFERROR(__xludf.DUMMYFUNCTION("""COMPUTED_VALUE"""),"WUU")</f>
        <v>WUU</v>
      </c>
      <c r="C9127" s="120" t="str">
        <f>IFERROR(__xludf.DUMMYFUNCTION("""COMPUTED_VALUE"""),"Wau")</f>
        <v>Wau</v>
      </c>
      <c r="D9127" s="120" t="str">
        <f>IFERROR(__xludf.DUMMYFUNCTION("""COMPUTED_VALUE"""),"Sudan")</f>
        <v>Sudan</v>
      </c>
      <c r="E9127" s="135"/>
      <c r="F9127" s="31"/>
    </row>
    <row r="9128">
      <c r="A9128" s="134" t="str">
        <f>IFERROR(__xludf.DUMMYFUNCTION("""COMPUTED_VALUE"""),"Wauchope")</f>
        <v>Wauchope</v>
      </c>
      <c r="B9128" s="120" t="str">
        <f>IFERROR(__xludf.DUMMYFUNCTION("""COMPUTED_VALUE"""),"WAU")</f>
        <v>WAU</v>
      </c>
      <c r="C9128" s="120" t="str">
        <f>IFERROR(__xludf.DUMMYFUNCTION("""COMPUTED_VALUE"""),"Wauchope")</f>
        <v>Wauchope</v>
      </c>
      <c r="D9128" s="120" t="str">
        <f>IFERROR(__xludf.DUMMYFUNCTION("""COMPUTED_VALUE"""),"Australia")</f>
        <v>Australia</v>
      </c>
      <c r="E9128" s="135"/>
      <c r="F9128" s="31"/>
    </row>
    <row r="9129">
      <c r="A9129" s="134" t="str">
        <f>IFERROR(__xludf.DUMMYFUNCTION("""COMPUTED_VALUE"""),"Waukegan")</f>
        <v>Waukegan</v>
      </c>
      <c r="B9129" s="120" t="str">
        <f>IFERROR(__xludf.DUMMYFUNCTION("""COMPUTED_VALUE"""),"UGN")</f>
        <v>UGN</v>
      </c>
      <c r="C9129" s="120" t="str">
        <f>IFERROR(__xludf.DUMMYFUNCTION("""COMPUTED_VALUE"""),"Memorial")</f>
        <v>Memorial</v>
      </c>
      <c r="D9129" s="120" t="str">
        <f>IFERROR(__xludf.DUMMYFUNCTION("""COMPUTED_VALUE"""),"United States")</f>
        <v>United States</v>
      </c>
      <c r="E9129" s="135"/>
      <c r="F9129" s="31"/>
    </row>
    <row r="9130">
      <c r="A9130" s="134" t="str">
        <f>IFERROR(__xludf.DUMMYFUNCTION("""COMPUTED_VALUE"""),"Waukesha")</f>
        <v>Waukesha</v>
      </c>
      <c r="B9130" s="120" t="str">
        <f>IFERROR(__xludf.DUMMYFUNCTION("""COMPUTED_VALUE"""),"UES")</f>
        <v>UES</v>
      </c>
      <c r="C9130" s="120" t="str">
        <f>IFERROR(__xludf.DUMMYFUNCTION("""COMPUTED_VALUE"""),"Waukesha")</f>
        <v>Waukesha</v>
      </c>
      <c r="D9130" s="120" t="str">
        <f>IFERROR(__xludf.DUMMYFUNCTION("""COMPUTED_VALUE"""),"United States")</f>
        <v>United States</v>
      </c>
      <c r="E9130" s="135"/>
      <c r="F9130" s="31"/>
    </row>
    <row r="9131">
      <c r="A9131" s="134" t="str">
        <f>IFERROR(__xludf.DUMMYFUNCTION("""COMPUTED_VALUE"""),"Waukon")</f>
        <v>Waukon</v>
      </c>
      <c r="B9131" s="120" t="str">
        <f>IFERROR(__xludf.DUMMYFUNCTION("""COMPUTED_VALUE"""),"UKN")</f>
        <v>UKN</v>
      </c>
      <c r="C9131" s="120" t="str">
        <f>IFERROR(__xludf.DUMMYFUNCTION("""COMPUTED_VALUE"""),"Municipal")</f>
        <v>Municipal</v>
      </c>
      <c r="D9131" s="120" t="str">
        <f>IFERROR(__xludf.DUMMYFUNCTION("""COMPUTED_VALUE"""),"United States")</f>
        <v>United States</v>
      </c>
      <c r="E9131" s="135"/>
      <c r="F9131" s="31"/>
    </row>
    <row r="9132">
      <c r="A9132" s="134" t="str">
        <f>IFERROR(__xludf.DUMMYFUNCTION("""COMPUTED_VALUE"""),"Wausau")</f>
        <v>Wausau</v>
      </c>
      <c r="B9132" s="120" t="str">
        <f>IFERROR(__xludf.DUMMYFUNCTION("""COMPUTED_VALUE"""),"CWA")</f>
        <v>CWA</v>
      </c>
      <c r="C9132" s="120" t="str">
        <f>IFERROR(__xludf.DUMMYFUNCTION("""COMPUTED_VALUE"""),"Central Wisconsin")</f>
        <v>Central Wisconsin</v>
      </c>
      <c r="D9132" s="120" t="str">
        <f>IFERROR(__xludf.DUMMYFUNCTION("""COMPUTED_VALUE"""),"United States")</f>
        <v>United States</v>
      </c>
      <c r="E9132" s="135"/>
      <c r="F9132" s="31"/>
    </row>
    <row r="9133">
      <c r="A9133" s="134" t="str">
        <f>IFERROR(__xludf.DUMMYFUNCTION("""COMPUTED_VALUE"""),"Wausau")</f>
        <v>Wausau</v>
      </c>
      <c r="B9133" s="120" t="str">
        <f>IFERROR(__xludf.DUMMYFUNCTION("""COMPUTED_VALUE"""),"AUW")</f>
        <v>AUW</v>
      </c>
      <c r="C9133" s="120" t="str">
        <f>IFERROR(__xludf.DUMMYFUNCTION("""COMPUTED_VALUE"""),"Municipal")</f>
        <v>Municipal</v>
      </c>
      <c r="D9133" s="120" t="str">
        <f>IFERROR(__xludf.DUMMYFUNCTION("""COMPUTED_VALUE"""),"United States")</f>
        <v>United States</v>
      </c>
      <c r="E9133" s="135"/>
      <c r="F9133" s="31"/>
    </row>
    <row r="9134">
      <c r="A9134" s="134" t="str">
        <f>IFERROR(__xludf.DUMMYFUNCTION("""COMPUTED_VALUE"""),"Wave Hill")</f>
        <v>Wave Hill</v>
      </c>
      <c r="B9134" s="120" t="str">
        <f>IFERROR(__xludf.DUMMYFUNCTION("""COMPUTED_VALUE"""),"WAV")</f>
        <v>WAV</v>
      </c>
      <c r="C9134" s="120" t="str">
        <f>IFERROR(__xludf.DUMMYFUNCTION("""COMPUTED_VALUE"""),"Kalkgurung")</f>
        <v>Kalkgurung</v>
      </c>
      <c r="D9134" s="120" t="str">
        <f>IFERROR(__xludf.DUMMYFUNCTION("""COMPUTED_VALUE"""),"Australia")</f>
        <v>Australia</v>
      </c>
      <c r="E9134" s="135"/>
      <c r="F9134" s="31"/>
    </row>
    <row r="9135">
      <c r="A9135" s="134" t="str">
        <f>IFERROR(__xludf.DUMMYFUNCTION("""COMPUTED_VALUE"""),"Waverney")</f>
        <v>Waverney</v>
      </c>
      <c r="B9135" s="120" t="str">
        <f>IFERROR(__xludf.DUMMYFUNCTION("""COMPUTED_VALUE"""),"WAN")</f>
        <v>WAN</v>
      </c>
      <c r="C9135" s="120" t="str">
        <f>IFERROR(__xludf.DUMMYFUNCTION("""COMPUTED_VALUE"""),"Waverney")</f>
        <v>Waverney</v>
      </c>
      <c r="D9135" s="120" t="str">
        <f>IFERROR(__xludf.DUMMYFUNCTION("""COMPUTED_VALUE"""),"Australia")</f>
        <v>Australia</v>
      </c>
      <c r="E9135" s="135"/>
      <c r="F9135" s="31"/>
    </row>
    <row r="9136">
      <c r="A9136" s="134" t="str">
        <f>IFERROR(__xludf.DUMMYFUNCTION("""COMPUTED_VALUE"""),"Wawa")</f>
        <v>Wawa</v>
      </c>
      <c r="B9136" s="120" t="str">
        <f>IFERROR(__xludf.DUMMYFUNCTION("""COMPUTED_VALUE"""),"YXZ")</f>
        <v>YXZ</v>
      </c>
      <c r="C9136" s="120" t="str">
        <f>IFERROR(__xludf.DUMMYFUNCTION("""COMPUTED_VALUE"""),"Wawa")</f>
        <v>Wawa</v>
      </c>
      <c r="D9136" s="120" t="str">
        <f>IFERROR(__xludf.DUMMYFUNCTION("""COMPUTED_VALUE"""),"Canada")</f>
        <v>Canada</v>
      </c>
      <c r="E9136" s="135"/>
      <c r="F9136" s="31"/>
    </row>
    <row r="9137">
      <c r="A9137" s="134" t="str">
        <f>IFERROR(__xludf.DUMMYFUNCTION("""COMPUTED_VALUE"""),"Wawoi Falls")</f>
        <v>Wawoi Falls</v>
      </c>
      <c r="B9137" s="120" t="str">
        <f>IFERROR(__xludf.DUMMYFUNCTION("""COMPUTED_VALUE"""),"WAJ")</f>
        <v>WAJ</v>
      </c>
      <c r="C9137" s="120" t="str">
        <f>IFERROR(__xludf.DUMMYFUNCTION("""COMPUTED_VALUE"""),"Wawoi Falls")</f>
        <v>Wawoi Falls</v>
      </c>
      <c r="D9137" s="120" t="str">
        <f>IFERROR(__xludf.DUMMYFUNCTION("""COMPUTED_VALUE"""),"Papua New Guinea")</f>
        <v>Papua New Guinea</v>
      </c>
      <c r="E9137" s="135"/>
      <c r="F9137" s="31"/>
    </row>
    <row r="9138">
      <c r="A9138" s="134" t="str">
        <f>IFERROR(__xludf.DUMMYFUNCTION("""COMPUTED_VALUE"""),"Waycross")</f>
        <v>Waycross</v>
      </c>
      <c r="B9138" s="120" t="str">
        <f>IFERROR(__xludf.DUMMYFUNCTION("""COMPUTED_VALUE"""),"AYS")</f>
        <v>AYS</v>
      </c>
      <c r="C9138" s="120" t="str">
        <f>IFERROR(__xludf.DUMMYFUNCTION("""COMPUTED_VALUE"""),"Ware County")</f>
        <v>Ware County</v>
      </c>
      <c r="D9138" s="120" t="str">
        <f>IFERROR(__xludf.DUMMYFUNCTION("""COMPUTED_VALUE"""),"United States")</f>
        <v>United States</v>
      </c>
      <c r="E9138" s="135"/>
      <c r="F9138" s="31"/>
    </row>
    <row r="9139">
      <c r="A9139" s="134" t="str">
        <f>IFERROR(__xludf.DUMMYFUNCTION("""COMPUTED_VALUE"""),"Waynesburg")</f>
        <v>Waynesburg</v>
      </c>
      <c r="B9139" s="120" t="str">
        <f>IFERROR(__xludf.DUMMYFUNCTION("""COMPUTED_VALUE"""),"WAY")</f>
        <v>WAY</v>
      </c>
      <c r="C9139" s="120" t="str">
        <f>IFERROR(__xludf.DUMMYFUNCTION("""COMPUTED_VALUE"""),"Green County")</f>
        <v>Green County</v>
      </c>
      <c r="D9139" s="120" t="str">
        <f>IFERROR(__xludf.DUMMYFUNCTION("""COMPUTED_VALUE"""),"United States")</f>
        <v>United States</v>
      </c>
      <c r="E9139" s="135"/>
      <c r="F9139" s="31"/>
    </row>
    <row r="9140">
      <c r="A9140" s="134" t="str">
        <f>IFERROR(__xludf.DUMMYFUNCTION("""COMPUTED_VALUE"""),"Weam")</f>
        <v>Weam</v>
      </c>
      <c r="B9140" s="120" t="str">
        <f>IFERROR(__xludf.DUMMYFUNCTION("""COMPUTED_VALUE"""),"WEP")</f>
        <v>WEP</v>
      </c>
      <c r="C9140" s="120" t="str">
        <f>IFERROR(__xludf.DUMMYFUNCTION("""COMPUTED_VALUE"""),"Weam")</f>
        <v>Weam</v>
      </c>
      <c r="D9140" s="120" t="str">
        <f>IFERROR(__xludf.DUMMYFUNCTION("""COMPUTED_VALUE"""),"Papua New Guinea")</f>
        <v>Papua New Guinea</v>
      </c>
      <c r="E9140" s="135"/>
      <c r="F9140" s="31"/>
    </row>
    <row r="9141">
      <c r="A9141" s="134" t="str">
        <f>IFERROR(__xludf.DUMMYFUNCTION("""COMPUTED_VALUE"""),"Weasua")</f>
        <v>Weasua</v>
      </c>
      <c r="B9141" s="120" t="str">
        <f>IFERROR(__xludf.DUMMYFUNCTION("""COMPUTED_VALUE"""),"WES")</f>
        <v>WES</v>
      </c>
      <c r="C9141" s="120" t="str">
        <f>IFERROR(__xludf.DUMMYFUNCTION("""COMPUTED_VALUE"""),"Weasua")</f>
        <v>Weasua</v>
      </c>
      <c r="D9141" s="120" t="str">
        <f>IFERROR(__xludf.DUMMYFUNCTION("""COMPUTED_VALUE"""),"Liberia")</f>
        <v>Liberia</v>
      </c>
      <c r="E9141" s="135"/>
      <c r="F9141" s="31"/>
    </row>
    <row r="9142">
      <c r="A9142" s="134" t="str">
        <f>IFERROR(__xludf.DUMMYFUNCTION("""COMPUTED_VALUE"""),"Weatherford")</f>
        <v>Weatherford</v>
      </c>
      <c r="B9142" s="120" t="str">
        <f>IFERROR(__xludf.DUMMYFUNCTION("""COMPUTED_VALUE"""),"WEA")</f>
        <v>WEA</v>
      </c>
      <c r="C9142" s="120" t="str">
        <f>IFERROR(__xludf.DUMMYFUNCTION("""COMPUTED_VALUE"""),"Parker County")</f>
        <v>Parker County</v>
      </c>
      <c r="D9142" s="120" t="str">
        <f>IFERROR(__xludf.DUMMYFUNCTION("""COMPUTED_VALUE"""),"United States")</f>
        <v>United States</v>
      </c>
      <c r="E9142" s="135"/>
      <c r="F9142" s="31"/>
    </row>
    <row r="9143">
      <c r="A9143" s="134" t="str">
        <f>IFERROR(__xludf.DUMMYFUNCTION("""COMPUTED_VALUE"""),"Webequie")</f>
        <v>Webequie</v>
      </c>
      <c r="B9143" s="120" t="str">
        <f>IFERROR(__xludf.DUMMYFUNCTION("""COMPUTED_VALUE"""),"YWP")</f>
        <v>YWP</v>
      </c>
      <c r="C9143" s="120" t="str">
        <f>IFERROR(__xludf.DUMMYFUNCTION("""COMPUTED_VALUE"""),"Webequie")</f>
        <v>Webequie</v>
      </c>
      <c r="D9143" s="120" t="str">
        <f>IFERROR(__xludf.DUMMYFUNCTION("""COMPUTED_VALUE"""),"Canada")</f>
        <v>Canada</v>
      </c>
      <c r="E9143" s="135"/>
      <c r="F9143" s="31"/>
    </row>
    <row r="9144">
      <c r="A9144" s="134" t="str">
        <f>IFERROR(__xludf.DUMMYFUNCTION("""COMPUTED_VALUE"""),"Webster City")</f>
        <v>Webster City</v>
      </c>
      <c r="B9144" s="120" t="str">
        <f>IFERROR(__xludf.DUMMYFUNCTION("""COMPUTED_VALUE"""),"EBS")</f>
        <v>EBS</v>
      </c>
      <c r="C9144" s="120" t="str">
        <f>IFERROR(__xludf.DUMMYFUNCTION("""COMPUTED_VALUE"""),"Municipal")</f>
        <v>Municipal</v>
      </c>
      <c r="D9144" s="120" t="str">
        <f>IFERROR(__xludf.DUMMYFUNCTION("""COMPUTED_VALUE"""),"United States")</f>
        <v>United States</v>
      </c>
      <c r="E9144" s="135"/>
      <c r="F9144" s="31"/>
    </row>
    <row r="9145">
      <c r="A9145" s="134" t="str">
        <f>IFERROR(__xludf.DUMMYFUNCTION("""COMPUTED_VALUE"""),"Wedau")</f>
        <v>Wedau</v>
      </c>
      <c r="B9145" s="120" t="str">
        <f>IFERROR(__xludf.DUMMYFUNCTION("""COMPUTED_VALUE"""),"WED")</f>
        <v>WED</v>
      </c>
      <c r="C9145" s="120" t="str">
        <f>IFERROR(__xludf.DUMMYFUNCTION("""COMPUTED_VALUE"""),"Wedau")</f>
        <v>Wedau</v>
      </c>
      <c r="D9145" s="120" t="str">
        <f>IFERROR(__xludf.DUMMYFUNCTION("""COMPUTED_VALUE"""),"Papua New Guinea")</f>
        <v>Papua New Guinea</v>
      </c>
      <c r="E9145" s="135"/>
      <c r="F9145" s="31"/>
    </row>
    <row r="9146">
      <c r="A9146" s="134" t="str">
        <f>IFERROR(__xludf.DUMMYFUNCTION("""COMPUTED_VALUE"""),"Wedjh")</f>
        <v>Wedjh</v>
      </c>
      <c r="B9146" s="120" t="str">
        <f>IFERROR(__xludf.DUMMYFUNCTION("""COMPUTED_VALUE"""),"EJH")</f>
        <v>EJH</v>
      </c>
      <c r="C9146" s="120" t="str">
        <f>IFERROR(__xludf.DUMMYFUNCTION("""COMPUTED_VALUE"""),"Wedjh")</f>
        <v>Wedjh</v>
      </c>
      <c r="D9146" s="120" t="str">
        <f>IFERROR(__xludf.DUMMYFUNCTION("""COMPUTED_VALUE"""),"Saudi Arabia")</f>
        <v>Saudi Arabia</v>
      </c>
      <c r="E9146" s="135"/>
      <c r="F9146" s="31"/>
    </row>
    <row r="9147">
      <c r="A9147" s="134" t="str">
        <f>IFERROR(__xludf.DUMMYFUNCTION("""COMPUTED_VALUE"""),"Wee Waa")</f>
        <v>Wee Waa</v>
      </c>
      <c r="B9147" s="120" t="str">
        <f>IFERROR(__xludf.DUMMYFUNCTION("""COMPUTED_VALUE"""),"WEW")</f>
        <v>WEW</v>
      </c>
      <c r="C9147" s="120" t="str">
        <f>IFERROR(__xludf.DUMMYFUNCTION("""COMPUTED_VALUE"""),"Wee Waa")</f>
        <v>Wee Waa</v>
      </c>
      <c r="D9147" s="120" t="str">
        <f>IFERROR(__xludf.DUMMYFUNCTION("""COMPUTED_VALUE"""),"Australia")</f>
        <v>Australia</v>
      </c>
      <c r="E9147" s="135"/>
      <c r="F9147" s="31"/>
    </row>
    <row r="9148">
      <c r="A9148" s="134" t="str">
        <f>IFERROR(__xludf.DUMMYFUNCTION("""COMPUTED_VALUE"""),"Weeping Water")</f>
        <v>Weeping Water</v>
      </c>
      <c r="B9148" s="120" t="str">
        <f>IFERROR(__xludf.DUMMYFUNCTION("""COMPUTED_VALUE"""),"EPG")</f>
        <v>EPG</v>
      </c>
      <c r="C9148" s="120" t="str">
        <f>IFERROR(__xludf.DUMMYFUNCTION("""COMPUTED_VALUE"""),"Browns")</f>
        <v>Browns</v>
      </c>
      <c r="D9148" s="120" t="str">
        <f>IFERROR(__xludf.DUMMYFUNCTION("""COMPUTED_VALUE"""),"United States")</f>
        <v>United States</v>
      </c>
      <c r="E9148" s="135"/>
      <c r="F9148" s="31"/>
    </row>
    <row r="9149">
      <c r="A9149" s="134" t="str">
        <f>IFERROR(__xludf.DUMMYFUNCTION("""COMPUTED_VALUE"""),"Weerawila")</f>
        <v>Weerawila</v>
      </c>
      <c r="B9149" s="120" t="str">
        <f>IFERROR(__xludf.DUMMYFUNCTION("""COMPUTED_VALUE"""),"WRZ")</f>
        <v>WRZ</v>
      </c>
      <c r="C9149" s="120" t="str">
        <f>IFERROR(__xludf.DUMMYFUNCTION("""COMPUTED_VALUE"""),"Weerawila")</f>
        <v>Weerawila</v>
      </c>
      <c r="D9149" s="120" t="str">
        <f>IFERROR(__xludf.DUMMYFUNCTION("""COMPUTED_VALUE"""),"Sri Lanka")</f>
        <v>Sri Lanka</v>
      </c>
      <c r="E9149" s="135"/>
      <c r="F9149" s="31"/>
    </row>
    <row r="9150">
      <c r="A9150" s="134" t="str">
        <f>IFERROR(__xludf.DUMMYFUNCTION("""COMPUTED_VALUE"""),"Weifang")</f>
        <v>Weifang</v>
      </c>
      <c r="B9150" s="120" t="str">
        <f>IFERROR(__xludf.DUMMYFUNCTION("""COMPUTED_VALUE"""),"WEF")</f>
        <v>WEF</v>
      </c>
      <c r="C9150" s="120" t="str">
        <f>IFERROR(__xludf.DUMMYFUNCTION("""COMPUTED_VALUE"""),"Weifang")</f>
        <v>Weifang</v>
      </c>
      <c r="D9150" s="120" t="str">
        <f>IFERROR(__xludf.DUMMYFUNCTION("""COMPUTED_VALUE"""),"China")</f>
        <v>China</v>
      </c>
      <c r="E9150" s="135"/>
      <c r="F9150" s="31"/>
    </row>
    <row r="9151">
      <c r="A9151" s="134" t="str">
        <f>IFERROR(__xludf.DUMMYFUNCTION("""COMPUTED_VALUE"""),"Weihai")</f>
        <v>Weihai</v>
      </c>
      <c r="B9151" s="120" t="str">
        <f>IFERROR(__xludf.DUMMYFUNCTION("""COMPUTED_VALUE"""),"WEH")</f>
        <v>WEH</v>
      </c>
      <c r="C9151" s="120" t="str">
        <f>IFERROR(__xludf.DUMMYFUNCTION("""COMPUTED_VALUE"""),"Weihai")</f>
        <v>Weihai</v>
      </c>
      <c r="D9151" s="120" t="str">
        <f>IFERROR(__xludf.DUMMYFUNCTION("""COMPUTED_VALUE"""),"China")</f>
        <v>China</v>
      </c>
      <c r="E9151" s="135"/>
      <c r="F9151" s="31"/>
    </row>
    <row r="9152">
      <c r="A9152" s="134" t="str">
        <f>IFERROR(__xludf.DUMMYFUNCTION("""COMPUTED_VALUE"""),"Weipa")</f>
        <v>Weipa</v>
      </c>
      <c r="B9152" s="120" t="str">
        <f>IFERROR(__xludf.DUMMYFUNCTION("""COMPUTED_VALUE"""),"WEI")</f>
        <v>WEI</v>
      </c>
      <c r="C9152" s="120" t="str">
        <f>IFERROR(__xludf.DUMMYFUNCTION("""COMPUTED_VALUE"""),"Weipa")</f>
        <v>Weipa</v>
      </c>
      <c r="D9152" s="120" t="str">
        <f>IFERROR(__xludf.DUMMYFUNCTION("""COMPUTED_VALUE"""),"Australia")</f>
        <v>Australia</v>
      </c>
      <c r="E9152" s="135"/>
      <c r="F9152" s="31"/>
    </row>
    <row r="9153">
      <c r="A9153" s="134" t="str">
        <f>IFERROR(__xludf.DUMMYFUNCTION("""COMPUTED_VALUE"""),"Welkom")</f>
        <v>Welkom</v>
      </c>
      <c r="B9153" s="120" t="str">
        <f>IFERROR(__xludf.DUMMYFUNCTION("""COMPUTED_VALUE"""),"WEL")</f>
        <v>WEL</v>
      </c>
      <c r="C9153" s="120" t="str">
        <f>IFERROR(__xludf.DUMMYFUNCTION("""COMPUTED_VALUE"""),"Welkom")</f>
        <v>Welkom</v>
      </c>
      <c r="D9153" s="120" t="str">
        <f>IFERROR(__xludf.DUMMYFUNCTION("""COMPUTED_VALUE"""),"South Africa")</f>
        <v>South Africa</v>
      </c>
      <c r="E9153" s="135"/>
      <c r="F9153" s="31"/>
    </row>
    <row r="9154">
      <c r="A9154" s="134" t="str">
        <f>IFERROR(__xludf.DUMMYFUNCTION("""COMPUTED_VALUE"""),"Wellington")</f>
        <v>Wellington</v>
      </c>
      <c r="B9154" s="120" t="str">
        <f>IFERROR(__xludf.DUMMYFUNCTION("""COMPUTED_VALUE"""),"WLG")</f>
        <v>WLG</v>
      </c>
      <c r="C9154" s="120" t="str">
        <f>IFERROR(__xludf.DUMMYFUNCTION("""COMPUTED_VALUE"""),"Wellington International")</f>
        <v>Wellington International</v>
      </c>
      <c r="D9154" s="120" t="str">
        <f>IFERROR(__xludf.DUMMYFUNCTION("""COMPUTED_VALUE"""),"New Zealand (aotearoa)")</f>
        <v>New Zealand (aotearoa)</v>
      </c>
      <c r="E9154" s="135"/>
      <c r="F9154" s="31"/>
    </row>
    <row r="9155">
      <c r="A9155" s="134" t="str">
        <f>IFERROR(__xludf.DUMMYFUNCTION("""COMPUTED_VALUE"""),"Wells")</f>
        <v>Wells</v>
      </c>
      <c r="B9155" s="120" t="str">
        <f>IFERROR(__xludf.DUMMYFUNCTION("""COMPUTED_VALUE"""),"LWL")</f>
        <v>LWL</v>
      </c>
      <c r="C9155" s="120" t="str">
        <f>IFERROR(__xludf.DUMMYFUNCTION("""COMPUTED_VALUE"""),"Harriet Field")</f>
        <v>Harriet Field</v>
      </c>
      <c r="D9155" s="120" t="str">
        <f>IFERROR(__xludf.DUMMYFUNCTION("""COMPUTED_VALUE"""),"United States")</f>
        <v>United States</v>
      </c>
      <c r="E9155" s="135"/>
      <c r="F9155" s="31"/>
    </row>
    <row r="9156">
      <c r="A9156" s="134" t="str">
        <f>IFERROR(__xludf.DUMMYFUNCTION("""COMPUTED_VALUE"""),"Wellsville")</f>
        <v>Wellsville</v>
      </c>
      <c r="B9156" s="120" t="str">
        <f>IFERROR(__xludf.DUMMYFUNCTION("""COMPUTED_VALUE"""),"ELZ")</f>
        <v>ELZ</v>
      </c>
      <c r="C9156" s="120" t="str">
        <f>IFERROR(__xludf.DUMMYFUNCTION("""COMPUTED_VALUE"""),"Municipal")</f>
        <v>Municipal</v>
      </c>
      <c r="D9156" s="120" t="str">
        <f>IFERROR(__xludf.DUMMYFUNCTION("""COMPUTED_VALUE"""),"United States")</f>
        <v>United States</v>
      </c>
      <c r="E9156" s="135"/>
      <c r="F9156" s="31"/>
    </row>
    <row r="9157">
      <c r="A9157" s="134" t="str">
        <f>IFERROR(__xludf.DUMMYFUNCTION("""COMPUTED_VALUE"""),"Welshpool")</f>
        <v>Welshpool</v>
      </c>
      <c r="B9157" s="120" t="str">
        <f>IFERROR(__xludf.DUMMYFUNCTION("""COMPUTED_VALUE"""),"WHL")</f>
        <v>WHL</v>
      </c>
      <c r="C9157" s="120" t="str">
        <f>IFERROR(__xludf.DUMMYFUNCTION("""COMPUTED_VALUE"""),"Welshpool")</f>
        <v>Welshpool</v>
      </c>
      <c r="D9157" s="120" t="str">
        <f>IFERROR(__xludf.DUMMYFUNCTION("""COMPUTED_VALUE"""),"Australia")</f>
        <v>Australia</v>
      </c>
      <c r="E9157" s="135"/>
      <c r="F9157" s="31"/>
    </row>
    <row r="9158">
      <c r="A9158" s="134" t="str">
        <f>IFERROR(__xludf.DUMMYFUNCTION("""COMPUTED_VALUE"""),"Wemindji")</f>
        <v>Wemindji</v>
      </c>
      <c r="B9158" s="120" t="str">
        <f>IFERROR(__xludf.DUMMYFUNCTION("""COMPUTED_VALUE"""),"YNC")</f>
        <v>YNC</v>
      </c>
      <c r="C9158" s="120" t="str">
        <f>IFERROR(__xludf.DUMMYFUNCTION("""COMPUTED_VALUE"""),"Wemindji")</f>
        <v>Wemindji</v>
      </c>
      <c r="D9158" s="120" t="str">
        <f>IFERROR(__xludf.DUMMYFUNCTION("""COMPUTED_VALUE"""),"Canada")</f>
        <v>Canada</v>
      </c>
      <c r="E9158" s="135"/>
      <c r="F9158" s="31"/>
    </row>
    <row r="9159">
      <c r="A9159" s="134" t="str">
        <f>IFERROR(__xludf.DUMMYFUNCTION("""COMPUTED_VALUE"""),"Wenatchee")</f>
        <v>Wenatchee</v>
      </c>
      <c r="B9159" s="120" t="str">
        <f>IFERROR(__xludf.DUMMYFUNCTION("""COMPUTED_VALUE"""),"EAT")</f>
        <v>EAT</v>
      </c>
      <c r="C9159" s="120" t="str">
        <f>IFERROR(__xludf.DUMMYFUNCTION("""COMPUTED_VALUE"""),"Pangborn Field")</f>
        <v>Pangborn Field</v>
      </c>
      <c r="D9159" s="120" t="str">
        <f>IFERROR(__xludf.DUMMYFUNCTION("""COMPUTED_VALUE"""),"United States")</f>
        <v>United States</v>
      </c>
      <c r="E9159" s="135"/>
      <c r="F9159" s="31"/>
    </row>
    <row r="9160">
      <c r="A9160" s="134" t="str">
        <f>IFERROR(__xludf.DUMMYFUNCTION("""COMPUTED_VALUE"""),"Wendover")</f>
        <v>Wendover</v>
      </c>
      <c r="B9160" s="120" t="str">
        <f>IFERROR(__xludf.DUMMYFUNCTION("""COMPUTED_VALUE"""),"ENV")</f>
        <v>ENV</v>
      </c>
      <c r="C9160" s="120" t="str">
        <f>IFERROR(__xludf.DUMMYFUNCTION("""COMPUTED_VALUE"""),"Wendover")</f>
        <v>Wendover</v>
      </c>
      <c r="D9160" s="120" t="str">
        <f>IFERROR(__xludf.DUMMYFUNCTION("""COMPUTED_VALUE"""),"United States")</f>
        <v>United States</v>
      </c>
      <c r="E9160" s="135"/>
      <c r="F9160" s="31"/>
    </row>
    <row r="9161">
      <c r="A9161" s="134" t="str">
        <f>IFERROR(__xludf.DUMMYFUNCTION("""COMPUTED_VALUE"""),"Wenzhou")</f>
        <v>Wenzhou</v>
      </c>
      <c r="B9161" s="120" t="str">
        <f>IFERROR(__xludf.DUMMYFUNCTION("""COMPUTED_VALUE"""),"WNZ")</f>
        <v>WNZ</v>
      </c>
      <c r="C9161" s="120" t="str">
        <f>IFERROR(__xludf.DUMMYFUNCTION("""COMPUTED_VALUE"""),"Wenzhou")</f>
        <v>Wenzhou</v>
      </c>
      <c r="D9161" s="120" t="str">
        <f>IFERROR(__xludf.DUMMYFUNCTION("""COMPUTED_VALUE"""),"China")</f>
        <v>China</v>
      </c>
      <c r="E9161" s="135"/>
      <c r="F9161" s="31"/>
    </row>
    <row r="9162">
      <c r="A9162" s="134" t="str">
        <f>IFERROR(__xludf.DUMMYFUNCTION("""COMPUTED_VALUE"""),"West Bend")</f>
        <v>West Bend</v>
      </c>
      <c r="B9162" s="120" t="str">
        <f>IFERROR(__xludf.DUMMYFUNCTION("""COMPUTED_VALUE"""),"ETB")</f>
        <v>ETB</v>
      </c>
      <c r="C9162" s="120" t="str">
        <f>IFERROR(__xludf.DUMMYFUNCTION("""COMPUTED_VALUE"""),"West Bend")</f>
        <v>West Bend</v>
      </c>
      <c r="D9162" s="120" t="str">
        <f>IFERROR(__xludf.DUMMYFUNCTION("""COMPUTED_VALUE"""),"United States")</f>
        <v>United States</v>
      </c>
      <c r="E9162" s="135"/>
      <c r="F9162" s="31"/>
    </row>
    <row r="9163">
      <c r="A9163" s="134" t="str">
        <f>IFERROR(__xludf.DUMMYFUNCTION("""COMPUTED_VALUE"""),"West End")</f>
        <v>West End</v>
      </c>
      <c r="B9163" s="120" t="str">
        <f>IFERROR(__xludf.DUMMYFUNCTION("""COMPUTED_VALUE"""),"WTD")</f>
        <v>WTD</v>
      </c>
      <c r="C9163" s="120" t="str">
        <f>IFERROR(__xludf.DUMMYFUNCTION("""COMPUTED_VALUE"""),"West End")</f>
        <v>West End</v>
      </c>
      <c r="D9163" s="120" t="str">
        <f>IFERROR(__xludf.DUMMYFUNCTION("""COMPUTED_VALUE"""),"Bahamas")</f>
        <v>Bahamas</v>
      </c>
      <c r="E9163" s="135"/>
      <c r="F9163" s="31"/>
    </row>
    <row r="9164">
      <c r="A9164" s="134" t="str">
        <f>IFERROR(__xludf.DUMMYFUNCTION("""COMPUTED_VALUE"""),"West Kavik")</f>
        <v>West Kavik</v>
      </c>
      <c r="B9164" s="120" t="str">
        <f>IFERROR(__xludf.DUMMYFUNCTION("""COMPUTED_VALUE"""),"VKW")</f>
        <v>VKW</v>
      </c>
      <c r="C9164" s="120" t="str">
        <f>IFERROR(__xludf.DUMMYFUNCTION("""COMPUTED_VALUE"""),"West Kavik")</f>
        <v>West Kavik</v>
      </c>
      <c r="D9164" s="120" t="str">
        <f>IFERROR(__xludf.DUMMYFUNCTION("""COMPUTED_VALUE"""),"United States")</f>
        <v>United States</v>
      </c>
      <c r="E9164" s="135"/>
      <c r="F9164" s="31"/>
    </row>
    <row r="9165">
      <c r="A9165" s="134" t="str">
        <f>IFERROR(__xludf.DUMMYFUNCTION("""COMPUTED_VALUE"""),"West Kuparuk")</f>
        <v>West Kuparuk</v>
      </c>
      <c r="B9165" s="120" t="str">
        <f>IFERROR(__xludf.DUMMYFUNCTION("""COMPUTED_VALUE"""),"XPU")</f>
        <v>XPU</v>
      </c>
      <c r="C9165" s="120" t="str">
        <f>IFERROR(__xludf.DUMMYFUNCTION("""COMPUTED_VALUE"""),"West Kuparuk")</f>
        <v>West Kuparuk</v>
      </c>
      <c r="D9165" s="120" t="str">
        <f>IFERROR(__xludf.DUMMYFUNCTION("""COMPUTED_VALUE"""),"United States")</f>
        <v>United States</v>
      </c>
      <c r="E9165" s="135"/>
      <c r="F9165" s="31"/>
    </row>
    <row r="9166">
      <c r="A9166" s="134" t="str">
        <f>IFERROR(__xludf.DUMMYFUNCTION("""COMPUTED_VALUE"""),"West Malling")</f>
        <v>West Malling</v>
      </c>
      <c r="B9166" s="120" t="str">
        <f>IFERROR(__xludf.DUMMYFUNCTION("""COMPUTED_VALUE"""),"WEM")</f>
        <v>WEM</v>
      </c>
      <c r="C9166" s="120" t="str">
        <f>IFERROR(__xludf.DUMMYFUNCTION("""COMPUTED_VALUE"""),"West Malling")</f>
        <v>West Malling</v>
      </c>
      <c r="D9166" s="120" t="str">
        <f>IFERROR(__xludf.DUMMYFUNCTION("""COMPUTED_VALUE"""),"United Kingdom")</f>
        <v>United Kingdom</v>
      </c>
      <c r="E9166" s="135"/>
      <c r="F9166" s="31"/>
    </row>
    <row r="9167">
      <c r="A9167" s="134" t="str">
        <f>IFERROR(__xludf.DUMMYFUNCTION("""COMPUTED_VALUE"""),"West Memphis")</f>
        <v>West Memphis</v>
      </c>
      <c r="B9167" s="120" t="str">
        <f>IFERROR(__xludf.DUMMYFUNCTION("""COMPUTED_VALUE"""),"AWM")</f>
        <v>AWM</v>
      </c>
      <c r="C9167" s="120" t="str">
        <f>IFERROR(__xludf.DUMMYFUNCTION("""COMPUTED_VALUE"""),"Municipal")</f>
        <v>Municipal</v>
      </c>
      <c r="D9167" s="120" t="str">
        <f>IFERROR(__xludf.DUMMYFUNCTION("""COMPUTED_VALUE"""),"United States")</f>
        <v>United States</v>
      </c>
      <c r="E9167" s="135"/>
      <c r="F9167" s="31"/>
    </row>
    <row r="9168">
      <c r="A9168" s="134" t="str">
        <f>IFERROR(__xludf.DUMMYFUNCTION("""COMPUTED_VALUE"""),"West Palm Beach")</f>
        <v>West Palm Beach</v>
      </c>
      <c r="B9168" s="120" t="str">
        <f>IFERROR(__xludf.DUMMYFUNCTION("""COMPUTED_VALUE"""),"PBI")</f>
        <v>PBI</v>
      </c>
      <c r="C9168" s="120" t="str">
        <f>IFERROR(__xludf.DUMMYFUNCTION("""COMPUTED_VALUE"""),"International")</f>
        <v>International</v>
      </c>
      <c r="D9168" s="120" t="str">
        <f>IFERROR(__xludf.DUMMYFUNCTION("""COMPUTED_VALUE"""),"United States")</f>
        <v>United States</v>
      </c>
      <c r="E9168" s="135"/>
      <c r="F9168" s="31"/>
    </row>
    <row r="9169">
      <c r="A9169" s="134" t="str">
        <f>IFERROR(__xludf.DUMMYFUNCTION("""COMPUTED_VALUE"""),"West Palm Beach")</f>
        <v>West Palm Beach</v>
      </c>
      <c r="B9169" s="120" t="str">
        <f>IFERROR(__xludf.DUMMYFUNCTION("""COMPUTED_VALUE"""),"LNA")</f>
        <v>LNA</v>
      </c>
      <c r="C9169" s="120" t="str">
        <f>IFERROR(__xludf.DUMMYFUNCTION("""COMPUTED_VALUE"""),"Palm Beach County Park")</f>
        <v>Palm Beach County Park</v>
      </c>
      <c r="D9169" s="120" t="str">
        <f>IFERROR(__xludf.DUMMYFUNCTION("""COMPUTED_VALUE"""),"United States")</f>
        <v>United States</v>
      </c>
      <c r="E9169" s="135"/>
      <c r="F9169" s="31"/>
    </row>
    <row r="9170">
      <c r="A9170" s="134" t="str">
        <f>IFERROR(__xludf.DUMMYFUNCTION("""COMPUTED_VALUE"""),"West Point")</f>
        <v>West Point</v>
      </c>
      <c r="B9170" s="120" t="str">
        <f>IFERROR(__xludf.DUMMYFUNCTION("""COMPUTED_VALUE"""),"KWP")</f>
        <v>KWP</v>
      </c>
      <c r="C9170" s="120" t="str">
        <f>IFERROR(__xludf.DUMMYFUNCTION("""COMPUTED_VALUE"""),"Village SPB")</f>
        <v>Village SPB</v>
      </c>
      <c r="D9170" s="120" t="str">
        <f>IFERROR(__xludf.DUMMYFUNCTION("""COMPUTED_VALUE"""),"United States")</f>
        <v>United States</v>
      </c>
      <c r="E9170" s="135"/>
      <c r="F9170" s="31"/>
    </row>
    <row r="9171">
      <c r="A9171" s="134" t="str">
        <f>IFERROR(__xludf.DUMMYFUNCTION("""COMPUTED_VALUE"""),"West Wyalong")</f>
        <v>West Wyalong</v>
      </c>
      <c r="B9171" s="120" t="str">
        <f>IFERROR(__xludf.DUMMYFUNCTION("""COMPUTED_VALUE"""),"WWY")</f>
        <v>WWY</v>
      </c>
      <c r="C9171" s="120" t="str">
        <f>IFERROR(__xludf.DUMMYFUNCTION("""COMPUTED_VALUE"""),"West Wyalong")</f>
        <v>West Wyalong</v>
      </c>
      <c r="D9171" s="120" t="str">
        <f>IFERROR(__xludf.DUMMYFUNCTION("""COMPUTED_VALUE"""),"Australia")</f>
        <v>Australia</v>
      </c>
      <c r="E9171" s="135"/>
      <c r="F9171" s="31"/>
    </row>
    <row r="9172">
      <c r="A9172" s="134" t="str">
        <f>IFERROR(__xludf.DUMMYFUNCTION("""COMPUTED_VALUE"""),"West Yellowstone")</f>
        <v>West Yellowstone</v>
      </c>
      <c r="B9172" s="120" t="str">
        <f>IFERROR(__xludf.DUMMYFUNCTION("""COMPUTED_VALUE"""),"WYS")</f>
        <v>WYS</v>
      </c>
      <c r="C9172" s="120" t="str">
        <f>IFERROR(__xludf.DUMMYFUNCTION("""COMPUTED_VALUE"""),"Yellowstone")</f>
        <v>Yellowstone</v>
      </c>
      <c r="D9172" s="120" t="str">
        <f>IFERROR(__xludf.DUMMYFUNCTION("""COMPUTED_VALUE"""),"United States")</f>
        <v>United States</v>
      </c>
      <c r="E9172" s="135"/>
      <c r="F9172" s="31"/>
    </row>
    <row r="9173">
      <c r="A9173" s="134" t="str">
        <f>IFERROR(__xludf.DUMMYFUNCTION("""COMPUTED_VALUE"""),"Westchester County")</f>
        <v>Westchester County</v>
      </c>
      <c r="B9173" s="120" t="str">
        <f>IFERROR(__xludf.DUMMYFUNCTION("""COMPUTED_VALUE"""),"ZTF")</f>
        <v>ZTF</v>
      </c>
      <c r="C9173" s="120" t="str">
        <f>IFERROR(__xludf.DUMMYFUNCTION("""COMPUTED_VALUE"""),"Stamford Rail STN")</f>
        <v>Stamford Rail STN</v>
      </c>
      <c r="D9173" s="120" t="str">
        <f>IFERROR(__xludf.DUMMYFUNCTION("""COMPUTED_VALUE"""),"United States")</f>
        <v>United States</v>
      </c>
      <c r="E9173" s="135"/>
      <c r="F9173" s="31"/>
    </row>
    <row r="9174">
      <c r="A9174" s="134" t="str">
        <f>IFERROR(__xludf.DUMMYFUNCTION("""COMPUTED_VALUE"""),"Westchester County")</f>
        <v>Westchester County</v>
      </c>
      <c r="B9174" s="120" t="str">
        <f>IFERROR(__xludf.DUMMYFUNCTION("""COMPUTED_VALUE"""),"HPN")</f>
        <v>HPN</v>
      </c>
      <c r="C9174" s="120" t="str">
        <f>IFERROR(__xludf.DUMMYFUNCTION("""COMPUTED_VALUE"""),"Westchester County Apt")</f>
        <v>Westchester County Apt</v>
      </c>
      <c r="D9174" s="120" t="str">
        <f>IFERROR(__xludf.DUMMYFUNCTION("""COMPUTED_VALUE"""),"United States")</f>
        <v>United States</v>
      </c>
      <c r="E9174" s="135"/>
      <c r="F9174" s="31"/>
    </row>
    <row r="9175">
      <c r="A9175" s="134" t="str">
        <f>IFERROR(__xludf.DUMMYFUNCTION("""COMPUTED_VALUE"""),"Westerland")</f>
        <v>Westerland</v>
      </c>
      <c r="B9175" s="120" t="str">
        <f>IFERROR(__xludf.DUMMYFUNCTION("""COMPUTED_VALUE"""),"GWT")</f>
        <v>GWT</v>
      </c>
      <c r="C9175" s="120" t="str">
        <f>IFERROR(__xludf.DUMMYFUNCTION("""COMPUTED_VALUE"""),"Westerland - Sylt")</f>
        <v>Westerland - Sylt</v>
      </c>
      <c r="D9175" s="120" t="str">
        <f>IFERROR(__xludf.DUMMYFUNCTION("""COMPUTED_VALUE"""),"Germany")</f>
        <v>Germany</v>
      </c>
      <c r="E9175" s="135"/>
      <c r="F9175" s="31"/>
    </row>
    <row r="9176">
      <c r="A9176" s="134" t="str">
        <f>IFERROR(__xludf.DUMMYFUNCTION("""COMPUTED_VALUE"""),"Westerly")</f>
        <v>Westerly</v>
      </c>
      <c r="B9176" s="120" t="str">
        <f>IFERROR(__xludf.DUMMYFUNCTION("""COMPUTED_VALUE"""),"WST")</f>
        <v>WST</v>
      </c>
      <c r="C9176" s="120" t="str">
        <f>IFERROR(__xludf.DUMMYFUNCTION("""COMPUTED_VALUE"""),"Westerly State")</f>
        <v>Westerly State</v>
      </c>
      <c r="D9176" s="120" t="str">
        <f>IFERROR(__xludf.DUMMYFUNCTION("""COMPUTED_VALUE"""),"United States")</f>
        <v>United States</v>
      </c>
      <c r="E9176" s="135"/>
      <c r="F9176" s="31"/>
    </row>
    <row r="9177">
      <c r="A9177" s="134" t="str">
        <f>IFERROR(__xludf.DUMMYFUNCTION("""COMPUTED_VALUE"""),"Westfield")</f>
        <v>Westfield</v>
      </c>
      <c r="B9177" s="120" t="str">
        <f>IFERROR(__xludf.DUMMYFUNCTION("""COMPUTED_VALUE"""),"BAF")</f>
        <v>BAF</v>
      </c>
      <c r="C9177" s="120" t="str">
        <f>IFERROR(__xludf.DUMMYFUNCTION("""COMPUTED_VALUE"""),"Barnes")</f>
        <v>Barnes</v>
      </c>
      <c r="D9177" s="120" t="str">
        <f>IFERROR(__xludf.DUMMYFUNCTION("""COMPUTED_VALUE"""),"United States")</f>
        <v>United States</v>
      </c>
      <c r="E9177" s="135"/>
      <c r="F9177" s="31"/>
    </row>
    <row r="9178">
      <c r="A9178" s="134" t="str">
        <f>IFERROR(__xludf.DUMMYFUNCTION("""COMPUTED_VALUE"""),"Westhampton")</f>
        <v>Westhampton</v>
      </c>
      <c r="B9178" s="120" t="str">
        <f>IFERROR(__xludf.DUMMYFUNCTION("""COMPUTED_VALUE"""),"FOK")</f>
        <v>FOK</v>
      </c>
      <c r="C9178" s="120" t="str">
        <f>IFERROR(__xludf.DUMMYFUNCTION("""COMPUTED_VALUE"""),"Suffolk County")</f>
        <v>Suffolk County</v>
      </c>
      <c r="D9178" s="120" t="str">
        <f>IFERROR(__xludf.DUMMYFUNCTION("""COMPUTED_VALUE"""),"United States")</f>
        <v>United States</v>
      </c>
      <c r="E9178" s="135"/>
      <c r="F9178" s="31"/>
    </row>
    <row r="9179">
      <c r="A9179" s="134" t="str">
        <f>IFERROR(__xludf.DUMMYFUNCTION("""COMPUTED_VALUE"""),"Westport")</f>
        <v>Westport</v>
      </c>
      <c r="B9179" s="120" t="str">
        <f>IFERROR(__xludf.DUMMYFUNCTION("""COMPUTED_VALUE"""),"WSZ")</f>
        <v>WSZ</v>
      </c>
      <c r="C9179" s="120" t="str">
        <f>IFERROR(__xludf.DUMMYFUNCTION("""COMPUTED_VALUE"""),"Westport")</f>
        <v>Westport</v>
      </c>
      <c r="D9179" s="120" t="str">
        <f>IFERROR(__xludf.DUMMYFUNCTION("""COMPUTED_VALUE"""),"New Zealand (Aotearoa)")</f>
        <v>New Zealand (Aotearoa)</v>
      </c>
      <c r="E9179" s="135"/>
      <c r="F9179" s="31"/>
    </row>
    <row r="9180">
      <c r="A9180" s="134" t="str">
        <f>IFERROR(__xludf.DUMMYFUNCTION("""COMPUTED_VALUE"""),"Westray")</f>
        <v>Westray</v>
      </c>
      <c r="B9180" s="120" t="str">
        <f>IFERROR(__xludf.DUMMYFUNCTION("""COMPUTED_VALUE"""),"WRY")</f>
        <v>WRY</v>
      </c>
      <c r="C9180" s="120" t="str">
        <f>IFERROR(__xludf.DUMMYFUNCTION("""COMPUTED_VALUE"""),"Westray")</f>
        <v>Westray</v>
      </c>
      <c r="D9180" s="120" t="str">
        <f>IFERROR(__xludf.DUMMYFUNCTION("""COMPUTED_VALUE"""),"United Kingdom")</f>
        <v>United Kingdom</v>
      </c>
      <c r="E9180" s="135"/>
      <c r="F9180" s="31"/>
    </row>
    <row r="9181">
      <c r="A9181" s="134" t="str">
        <f>IFERROR(__xludf.DUMMYFUNCTION("""COMPUTED_VALUE"""),"Westsound")</f>
        <v>Westsound</v>
      </c>
      <c r="B9181" s="120" t="str">
        <f>IFERROR(__xludf.DUMMYFUNCTION("""COMPUTED_VALUE"""),"WSX")</f>
        <v>WSX</v>
      </c>
      <c r="C9181" s="120" t="str">
        <f>IFERROR(__xludf.DUMMYFUNCTION("""COMPUTED_VALUE"""),"Westsound")</f>
        <v>Westsound</v>
      </c>
      <c r="D9181" s="120" t="str">
        <f>IFERROR(__xludf.DUMMYFUNCTION("""COMPUTED_VALUE"""),"United States")</f>
        <v>United States</v>
      </c>
      <c r="E9181" s="135"/>
      <c r="F9181" s="31"/>
    </row>
    <row r="9182">
      <c r="A9182" s="134" t="str">
        <f>IFERROR(__xludf.DUMMYFUNCTION("""COMPUTED_VALUE"""),"Wewak")</f>
        <v>Wewak</v>
      </c>
      <c r="B9182" s="120" t="str">
        <f>IFERROR(__xludf.DUMMYFUNCTION("""COMPUTED_VALUE"""),"WWK")</f>
        <v>WWK</v>
      </c>
      <c r="C9182" s="120" t="str">
        <f>IFERROR(__xludf.DUMMYFUNCTION("""COMPUTED_VALUE"""),"Boram")</f>
        <v>Boram</v>
      </c>
      <c r="D9182" s="120" t="str">
        <f>IFERROR(__xludf.DUMMYFUNCTION("""COMPUTED_VALUE"""),"Papua New Guinea")</f>
        <v>Papua New Guinea</v>
      </c>
      <c r="E9182" s="135"/>
      <c r="F9182" s="31"/>
    </row>
    <row r="9183">
      <c r="A9183" s="134" t="str">
        <f>IFERROR(__xludf.DUMMYFUNCTION("""COMPUTED_VALUE"""),"Wexford")</f>
        <v>Wexford</v>
      </c>
      <c r="B9183" s="120" t="str">
        <f>IFERROR(__xludf.DUMMYFUNCTION("""COMPUTED_VALUE"""),"WEX")</f>
        <v>WEX</v>
      </c>
      <c r="C9183" s="120" t="str">
        <f>IFERROR(__xludf.DUMMYFUNCTION("""COMPUTED_VALUE"""),"Castlebridge")</f>
        <v>Castlebridge</v>
      </c>
      <c r="D9183" s="120" t="str">
        <f>IFERROR(__xludf.DUMMYFUNCTION("""COMPUTED_VALUE"""),"Ireland")</f>
        <v>Ireland</v>
      </c>
      <c r="E9183" s="135"/>
      <c r="F9183" s="31"/>
    </row>
    <row r="9184">
      <c r="A9184" s="134" t="str">
        <f>IFERROR(__xludf.DUMMYFUNCTION("""COMPUTED_VALUE"""),"Wha Ti/Lac La Martre")</f>
        <v>Wha Ti/Lac La Martre</v>
      </c>
      <c r="B9184" s="120" t="str">
        <f>IFERROR(__xludf.DUMMYFUNCTION("""COMPUTED_VALUE"""),"YLE")</f>
        <v>YLE</v>
      </c>
      <c r="C9184" s="120" t="str">
        <f>IFERROR(__xludf.DUMMYFUNCTION("""COMPUTED_VALUE"""),"Wha Ti")</f>
        <v>Wha Ti</v>
      </c>
      <c r="D9184" s="120" t="str">
        <f>IFERROR(__xludf.DUMMYFUNCTION("""COMPUTED_VALUE"""),"Canada")</f>
        <v>Canada</v>
      </c>
      <c r="E9184" s="135"/>
      <c r="F9184" s="31"/>
    </row>
    <row r="9185">
      <c r="A9185" s="134" t="str">
        <f>IFERROR(__xludf.DUMMYFUNCTION("""COMPUTED_VALUE"""),"Whakatane")</f>
        <v>Whakatane</v>
      </c>
      <c r="B9185" s="120" t="str">
        <f>IFERROR(__xludf.DUMMYFUNCTION("""COMPUTED_VALUE"""),"WHK")</f>
        <v>WHK</v>
      </c>
      <c r="C9185" s="120" t="str">
        <f>IFERROR(__xludf.DUMMYFUNCTION("""COMPUTED_VALUE"""),"Whakatane")</f>
        <v>Whakatane</v>
      </c>
      <c r="D9185" s="120" t="str">
        <f>IFERROR(__xludf.DUMMYFUNCTION("""COMPUTED_VALUE"""),"New Zealand (Aotearoa)")</f>
        <v>New Zealand (Aotearoa)</v>
      </c>
      <c r="E9185" s="135"/>
      <c r="F9185" s="31"/>
    </row>
    <row r="9186">
      <c r="A9186" s="134" t="str">
        <f>IFERROR(__xludf.DUMMYFUNCTION("""COMPUTED_VALUE"""),"Whale Cove")</f>
        <v>Whale Cove</v>
      </c>
      <c r="B9186" s="120" t="str">
        <f>IFERROR(__xludf.DUMMYFUNCTION("""COMPUTED_VALUE"""),"YXN")</f>
        <v>YXN</v>
      </c>
      <c r="C9186" s="120" t="str">
        <f>IFERROR(__xludf.DUMMYFUNCTION("""COMPUTED_VALUE"""),"Whale Cove")</f>
        <v>Whale Cove</v>
      </c>
      <c r="D9186" s="120" t="str">
        <f>IFERROR(__xludf.DUMMYFUNCTION("""COMPUTED_VALUE"""),"Canada")</f>
        <v>Canada</v>
      </c>
      <c r="E9186" s="135"/>
      <c r="F9186" s="31"/>
    </row>
    <row r="9187">
      <c r="A9187" s="134" t="str">
        <f>IFERROR(__xludf.DUMMYFUNCTION("""COMPUTED_VALUE"""),"Whale Pass")</f>
        <v>Whale Pass</v>
      </c>
      <c r="B9187" s="120" t="str">
        <f>IFERROR(__xludf.DUMMYFUNCTION("""COMPUTED_VALUE"""),"WWP")</f>
        <v>WWP</v>
      </c>
      <c r="C9187" s="120" t="str">
        <f>IFERROR(__xludf.DUMMYFUNCTION("""COMPUTED_VALUE"""),"Whale Pass")</f>
        <v>Whale Pass</v>
      </c>
      <c r="D9187" s="120" t="str">
        <f>IFERROR(__xludf.DUMMYFUNCTION("""COMPUTED_VALUE"""),"United States")</f>
        <v>United States</v>
      </c>
      <c r="E9187" s="135"/>
      <c r="F9187" s="31"/>
    </row>
    <row r="9188">
      <c r="A9188" s="134" t="str">
        <f>IFERROR(__xludf.DUMMYFUNCTION("""COMPUTED_VALUE"""),"Whalsay")</f>
        <v>Whalsay</v>
      </c>
      <c r="B9188" s="120" t="str">
        <f>IFERROR(__xludf.DUMMYFUNCTION("""COMPUTED_VALUE"""),"WHS")</f>
        <v>WHS</v>
      </c>
      <c r="C9188" s="120" t="str">
        <f>IFERROR(__xludf.DUMMYFUNCTION("""COMPUTED_VALUE"""),"Whalsay")</f>
        <v>Whalsay</v>
      </c>
      <c r="D9188" s="120" t="str">
        <f>IFERROR(__xludf.DUMMYFUNCTION("""COMPUTED_VALUE"""),"United Kingdom")</f>
        <v>United Kingdom</v>
      </c>
      <c r="E9188" s="135"/>
      <c r="F9188" s="31"/>
    </row>
    <row r="9189">
      <c r="A9189" s="134" t="str">
        <f>IFERROR(__xludf.DUMMYFUNCTION("""COMPUTED_VALUE"""),"Whangarei")</f>
        <v>Whangarei</v>
      </c>
      <c r="B9189" s="120" t="str">
        <f>IFERROR(__xludf.DUMMYFUNCTION("""COMPUTED_VALUE"""),"WRE")</f>
        <v>WRE</v>
      </c>
      <c r="C9189" s="120" t="str">
        <f>IFERROR(__xludf.DUMMYFUNCTION("""COMPUTED_VALUE"""),"Whangarei")</f>
        <v>Whangarei</v>
      </c>
      <c r="D9189" s="120" t="str">
        <f>IFERROR(__xludf.DUMMYFUNCTION("""COMPUTED_VALUE"""),"New Zealand (Aotearoa)")</f>
        <v>New Zealand (Aotearoa)</v>
      </c>
      <c r="E9189" s="135"/>
      <c r="F9189" s="31"/>
    </row>
    <row r="9190">
      <c r="A9190" s="134" t="str">
        <f>IFERROR(__xludf.DUMMYFUNCTION("""COMPUTED_VALUE"""),"Wharton")</f>
        <v>Wharton</v>
      </c>
      <c r="B9190" s="120" t="str">
        <f>IFERROR(__xludf.DUMMYFUNCTION("""COMPUTED_VALUE"""),"WHT")</f>
        <v>WHT</v>
      </c>
      <c r="C9190" s="120" t="str">
        <f>IFERROR(__xludf.DUMMYFUNCTION("""COMPUTED_VALUE"""),"Wharton")</f>
        <v>Wharton</v>
      </c>
      <c r="D9190" s="120" t="str">
        <f>IFERROR(__xludf.DUMMYFUNCTION("""COMPUTED_VALUE"""),"United States")</f>
        <v>United States</v>
      </c>
      <c r="E9190" s="135"/>
      <c r="F9190" s="31"/>
    </row>
    <row r="9191">
      <c r="A9191" s="134" t="str">
        <f>IFERROR(__xludf.DUMMYFUNCTION("""COMPUTED_VALUE"""),"Wheatland")</f>
        <v>Wheatland</v>
      </c>
      <c r="B9191" s="120" t="str">
        <f>IFERROR(__xludf.DUMMYFUNCTION("""COMPUTED_VALUE"""),"EAN")</f>
        <v>EAN</v>
      </c>
      <c r="C9191" s="120" t="str">
        <f>IFERROR(__xludf.DUMMYFUNCTION("""COMPUTED_VALUE"""),"Phifer Field")</f>
        <v>Phifer Field</v>
      </c>
      <c r="D9191" s="120" t="str">
        <f>IFERROR(__xludf.DUMMYFUNCTION("""COMPUTED_VALUE"""),"United States")</f>
        <v>United States</v>
      </c>
      <c r="E9191" s="135"/>
      <c r="F9191" s="31"/>
    </row>
    <row r="9192">
      <c r="A9192" s="134" t="str">
        <f>IFERROR(__xludf.DUMMYFUNCTION("""COMPUTED_VALUE"""),"Wheeling")</f>
        <v>Wheeling</v>
      </c>
      <c r="B9192" s="120" t="str">
        <f>IFERROR(__xludf.DUMMYFUNCTION("""COMPUTED_VALUE"""),"HLG")</f>
        <v>HLG</v>
      </c>
      <c r="C9192" s="120" t="str">
        <f>IFERROR(__xludf.DUMMYFUNCTION("""COMPUTED_VALUE"""),"Ohio County")</f>
        <v>Ohio County</v>
      </c>
      <c r="D9192" s="120" t="str">
        <f>IFERROR(__xludf.DUMMYFUNCTION("""COMPUTED_VALUE"""),"United States")</f>
        <v>United States</v>
      </c>
      <c r="E9192" s="135"/>
      <c r="F9192" s="31"/>
    </row>
    <row r="9193">
      <c r="A9193" s="134" t="str">
        <f>IFERROR(__xludf.DUMMYFUNCTION("""COMPUTED_VALUE"""),"Whidbey Island")</f>
        <v>Whidbey Island</v>
      </c>
      <c r="B9193" s="120" t="str">
        <f>IFERROR(__xludf.DUMMYFUNCTION("""COMPUTED_VALUE"""),"NUW")</f>
        <v>NUW</v>
      </c>
      <c r="C9193" s="120" t="str">
        <f>IFERROR(__xludf.DUMMYFUNCTION("""COMPUTED_VALUE"""),"Ault Field")</f>
        <v>Ault Field</v>
      </c>
      <c r="D9193" s="120" t="str">
        <f>IFERROR(__xludf.DUMMYFUNCTION("""COMPUTED_VALUE"""),"United States")</f>
        <v>United States</v>
      </c>
      <c r="E9193" s="135"/>
      <c r="F9193" s="31"/>
    </row>
    <row r="9194">
      <c r="A9194" s="134" t="str">
        <f>IFERROR(__xludf.DUMMYFUNCTION("""COMPUTED_VALUE"""),"Whistler")</f>
        <v>Whistler</v>
      </c>
      <c r="B9194" s="120" t="str">
        <f>IFERROR(__xludf.DUMMYFUNCTION("""COMPUTED_VALUE"""),"YWS")</f>
        <v>YWS</v>
      </c>
      <c r="C9194" s="120" t="str">
        <f>IFERROR(__xludf.DUMMYFUNCTION("""COMPUTED_VALUE"""),"Whistler")</f>
        <v>Whistler</v>
      </c>
      <c r="D9194" s="120" t="str">
        <f>IFERROR(__xludf.DUMMYFUNCTION("""COMPUTED_VALUE"""),"Canada")</f>
        <v>Canada</v>
      </c>
      <c r="E9194" s="135"/>
      <c r="F9194" s="31"/>
    </row>
    <row r="9195">
      <c r="A9195" s="134" t="str">
        <f>IFERROR(__xludf.DUMMYFUNCTION("""COMPUTED_VALUE"""),"White Mountain")</f>
        <v>White Mountain</v>
      </c>
      <c r="B9195" s="120" t="str">
        <f>IFERROR(__xludf.DUMMYFUNCTION("""COMPUTED_VALUE"""),"WMO")</f>
        <v>WMO</v>
      </c>
      <c r="C9195" s="120" t="str">
        <f>IFERROR(__xludf.DUMMYFUNCTION("""COMPUTED_VALUE"""),"White Mountain")</f>
        <v>White Mountain</v>
      </c>
      <c r="D9195" s="120" t="str">
        <f>IFERROR(__xludf.DUMMYFUNCTION("""COMPUTED_VALUE"""),"United States")</f>
        <v>United States</v>
      </c>
      <c r="E9195" s="135"/>
      <c r="F9195" s="31"/>
    </row>
    <row r="9196">
      <c r="A9196" s="134" t="str">
        <f>IFERROR(__xludf.DUMMYFUNCTION("""COMPUTED_VALUE"""),"White River")</f>
        <v>White River</v>
      </c>
      <c r="B9196" s="120" t="str">
        <f>IFERROR(__xludf.DUMMYFUNCTION("""COMPUTED_VALUE"""),"WTR")</f>
        <v>WTR</v>
      </c>
      <c r="C9196" s="120" t="str">
        <f>IFERROR(__xludf.DUMMYFUNCTION("""COMPUTED_VALUE"""),"White River")</f>
        <v>White River</v>
      </c>
      <c r="D9196" s="120" t="str">
        <f>IFERROR(__xludf.DUMMYFUNCTION("""COMPUTED_VALUE"""),"United States")</f>
        <v>United States</v>
      </c>
      <c r="E9196" s="135"/>
      <c r="F9196" s="31"/>
    </row>
    <row r="9197">
      <c r="A9197" s="134" t="str">
        <f>IFERROR(__xludf.DUMMYFUNCTION("""COMPUTED_VALUE"""),"White River")</f>
        <v>White River</v>
      </c>
      <c r="B9197" s="120" t="str">
        <f>IFERROR(__xludf.DUMMYFUNCTION("""COMPUTED_VALUE"""),"YWR")</f>
        <v>YWR</v>
      </c>
      <c r="C9197" s="120" t="str">
        <f>IFERROR(__xludf.DUMMYFUNCTION("""COMPUTED_VALUE"""),"White River")</f>
        <v>White River</v>
      </c>
      <c r="D9197" s="120" t="str">
        <f>IFERROR(__xludf.DUMMYFUNCTION("""COMPUTED_VALUE"""),"Canada")</f>
        <v>Canada</v>
      </c>
      <c r="E9197" s="135"/>
      <c r="F9197" s="31"/>
    </row>
    <row r="9198">
      <c r="A9198" s="134" t="str">
        <f>IFERROR(__xludf.DUMMYFUNCTION("""COMPUTED_VALUE"""),"White River")</f>
        <v>White River</v>
      </c>
      <c r="B9198" s="120" t="str">
        <f>IFERROR(__xludf.DUMMYFUNCTION("""COMPUTED_VALUE"""),"LEB")</f>
        <v>LEB</v>
      </c>
      <c r="C9198" s="120" t="str">
        <f>IFERROR(__xludf.DUMMYFUNCTION("""COMPUTED_VALUE"""),"White River")</f>
        <v>White River</v>
      </c>
      <c r="D9198" s="120" t="str">
        <f>IFERROR(__xludf.DUMMYFUNCTION("""COMPUTED_VALUE"""),"United States")</f>
        <v>United States</v>
      </c>
      <c r="E9198" s="135"/>
      <c r="F9198" s="31"/>
    </row>
    <row r="9199">
      <c r="A9199" s="134" t="str">
        <f>IFERROR(__xludf.DUMMYFUNCTION("""COMPUTED_VALUE"""),"White Sands")</f>
        <v>White Sands</v>
      </c>
      <c r="B9199" s="120" t="str">
        <f>IFERROR(__xludf.DUMMYFUNCTION("""COMPUTED_VALUE"""),"WSD")</f>
        <v>WSD</v>
      </c>
      <c r="C9199" s="120" t="str">
        <f>IFERROR(__xludf.DUMMYFUNCTION("""COMPUTED_VALUE"""),"Condron AAF")</f>
        <v>Condron AAF</v>
      </c>
      <c r="D9199" s="120" t="str">
        <f>IFERROR(__xludf.DUMMYFUNCTION("""COMPUTED_VALUE"""),"United States")</f>
        <v>United States</v>
      </c>
      <c r="E9199" s="135"/>
      <c r="F9199" s="31"/>
    </row>
    <row r="9200">
      <c r="A9200" s="134" t="str">
        <f>IFERROR(__xludf.DUMMYFUNCTION("""COMPUTED_VALUE"""),"White Sulphur Springs")</f>
        <v>White Sulphur Springs</v>
      </c>
      <c r="B9200" s="120" t="str">
        <f>IFERROR(__xludf.DUMMYFUNCTION("""COMPUTED_VALUE"""),"SSU")</f>
        <v>SSU</v>
      </c>
      <c r="C9200" s="120" t="str">
        <f>IFERROR(__xludf.DUMMYFUNCTION("""COMPUTED_VALUE"""),"Greenbrier")</f>
        <v>Greenbrier</v>
      </c>
      <c r="D9200" s="120" t="str">
        <f>IFERROR(__xludf.DUMMYFUNCTION("""COMPUTED_VALUE"""),"United States")</f>
        <v>United States</v>
      </c>
      <c r="E9200" s="135"/>
      <c r="F9200" s="31"/>
    </row>
    <row r="9201">
      <c r="A9201" s="134" t="str">
        <f>IFERROR(__xludf.DUMMYFUNCTION("""COMPUTED_VALUE"""),"Whitecourt")</f>
        <v>Whitecourt</v>
      </c>
      <c r="B9201" s="120" t="str">
        <f>IFERROR(__xludf.DUMMYFUNCTION("""COMPUTED_VALUE"""),"YZU")</f>
        <v>YZU</v>
      </c>
      <c r="C9201" s="120" t="str">
        <f>IFERROR(__xludf.DUMMYFUNCTION("""COMPUTED_VALUE"""),"Whitecourt")</f>
        <v>Whitecourt</v>
      </c>
      <c r="D9201" s="120" t="str">
        <f>IFERROR(__xludf.DUMMYFUNCTION("""COMPUTED_VALUE"""),"Canada")</f>
        <v>Canada</v>
      </c>
      <c r="E9201" s="135"/>
      <c r="F9201" s="31"/>
    </row>
    <row r="9202">
      <c r="A9202" s="134" t="str">
        <f>IFERROR(__xludf.DUMMYFUNCTION("""COMPUTED_VALUE"""),"Whitefield")</f>
        <v>Whitefield</v>
      </c>
      <c r="B9202" s="120" t="str">
        <f>IFERROR(__xludf.DUMMYFUNCTION("""COMPUTED_VALUE"""),"HIE")</f>
        <v>HIE</v>
      </c>
      <c r="C9202" s="120" t="str">
        <f>IFERROR(__xludf.DUMMYFUNCTION("""COMPUTED_VALUE"""),"Regional")</f>
        <v>Regional</v>
      </c>
      <c r="D9202" s="120" t="str">
        <f>IFERROR(__xludf.DUMMYFUNCTION("""COMPUTED_VALUE"""),"United States")</f>
        <v>United States</v>
      </c>
      <c r="E9202" s="135"/>
      <c r="F9202" s="31"/>
    </row>
    <row r="9203">
      <c r="A9203" s="134" t="str">
        <f>IFERROR(__xludf.DUMMYFUNCTION("""COMPUTED_VALUE"""),"Whitehorse")</f>
        <v>Whitehorse</v>
      </c>
      <c r="B9203" s="120" t="str">
        <f>IFERROR(__xludf.DUMMYFUNCTION("""COMPUTED_VALUE"""),"YXY")</f>
        <v>YXY</v>
      </c>
      <c r="C9203" s="120" t="str">
        <f>IFERROR(__xludf.DUMMYFUNCTION("""COMPUTED_VALUE"""),"Whitehorse")</f>
        <v>Whitehorse</v>
      </c>
      <c r="D9203" s="120" t="str">
        <f>IFERROR(__xludf.DUMMYFUNCTION("""COMPUTED_VALUE"""),"Canada")</f>
        <v>Canada</v>
      </c>
      <c r="E9203" s="135"/>
      <c r="F9203" s="31"/>
    </row>
    <row r="9204">
      <c r="A9204" s="134" t="str">
        <f>IFERROR(__xludf.DUMMYFUNCTION("""COMPUTED_VALUE"""),"Whitehouse")</f>
        <v>Whitehouse</v>
      </c>
      <c r="B9204" s="120" t="str">
        <f>IFERROR(__xludf.DUMMYFUNCTION("""COMPUTED_VALUE"""),"NEN")</f>
        <v>NEN</v>
      </c>
      <c r="C9204" s="120" t="str">
        <f>IFERROR(__xludf.DUMMYFUNCTION("""COMPUTED_VALUE"""),"Olf Usn")</f>
        <v>Olf Usn</v>
      </c>
      <c r="D9204" s="120" t="str">
        <f>IFERROR(__xludf.DUMMYFUNCTION("""COMPUTED_VALUE"""),"United States")</f>
        <v>United States</v>
      </c>
      <c r="E9204" s="135"/>
      <c r="F9204" s="31"/>
    </row>
    <row r="9205">
      <c r="A9205" s="134" t="str">
        <f>IFERROR(__xludf.DUMMYFUNCTION("""COMPUTED_VALUE"""),"Whitesburg")</f>
        <v>Whitesburg</v>
      </c>
      <c r="B9205" s="120" t="str">
        <f>IFERROR(__xludf.DUMMYFUNCTION("""COMPUTED_VALUE"""),"BRG")</f>
        <v>BRG</v>
      </c>
      <c r="C9205" s="120" t="str">
        <f>IFERROR(__xludf.DUMMYFUNCTION("""COMPUTED_VALUE"""),"Municipal")</f>
        <v>Municipal</v>
      </c>
      <c r="D9205" s="120" t="str">
        <f>IFERROR(__xludf.DUMMYFUNCTION("""COMPUTED_VALUE"""),"United States")</f>
        <v>United States</v>
      </c>
      <c r="E9205" s="135"/>
      <c r="F9205" s="31"/>
    </row>
    <row r="9206">
      <c r="A9206" s="134" t="str">
        <f>IFERROR(__xludf.DUMMYFUNCTION("""COMPUTED_VALUE"""),"Whitianga")</f>
        <v>Whitianga</v>
      </c>
      <c r="B9206" s="120" t="str">
        <f>IFERROR(__xludf.DUMMYFUNCTION("""COMPUTED_VALUE"""),"WTZ")</f>
        <v>WTZ</v>
      </c>
      <c r="C9206" s="120" t="str">
        <f>IFERROR(__xludf.DUMMYFUNCTION("""COMPUTED_VALUE"""),"Whitianga")</f>
        <v>Whitianga</v>
      </c>
      <c r="D9206" s="120" t="str">
        <f>IFERROR(__xludf.DUMMYFUNCTION("""COMPUTED_VALUE"""),"New Zealand (Aotearoa)")</f>
        <v>New Zealand (Aotearoa)</v>
      </c>
      <c r="E9206" s="135"/>
      <c r="F9206" s="31"/>
    </row>
    <row r="9207">
      <c r="A9207" s="134" t="str">
        <f>IFERROR(__xludf.DUMMYFUNCTION("""COMPUTED_VALUE"""),"Whyalla")</f>
        <v>Whyalla</v>
      </c>
      <c r="B9207" s="120" t="str">
        <f>IFERROR(__xludf.DUMMYFUNCTION("""COMPUTED_VALUE"""),"WYA")</f>
        <v>WYA</v>
      </c>
      <c r="C9207" s="120" t="str">
        <f>IFERROR(__xludf.DUMMYFUNCTION("""COMPUTED_VALUE"""),"Whyalla")</f>
        <v>Whyalla</v>
      </c>
      <c r="D9207" s="120" t="str">
        <f>IFERROR(__xludf.DUMMYFUNCTION("""COMPUTED_VALUE"""),"Australia")</f>
        <v>Australia</v>
      </c>
      <c r="E9207" s="135"/>
      <c r="F9207" s="31"/>
    </row>
    <row r="9208">
      <c r="A9208" s="134" t="str">
        <f>IFERROR(__xludf.DUMMYFUNCTION("""COMPUTED_VALUE"""),"Wiarton")</f>
        <v>Wiarton</v>
      </c>
      <c r="B9208" s="120" t="str">
        <f>IFERROR(__xludf.DUMMYFUNCTION("""COMPUTED_VALUE"""),"YVV")</f>
        <v>YVV</v>
      </c>
      <c r="C9208" s="120" t="str">
        <f>IFERROR(__xludf.DUMMYFUNCTION("""COMPUTED_VALUE"""),"Wiarton")</f>
        <v>Wiarton</v>
      </c>
      <c r="D9208" s="120" t="str">
        <f>IFERROR(__xludf.DUMMYFUNCTION("""COMPUTED_VALUE"""),"Canada")</f>
        <v>Canada</v>
      </c>
      <c r="E9208" s="135"/>
      <c r="F9208" s="31"/>
    </row>
    <row r="9209">
      <c r="A9209" s="134" t="str">
        <f>IFERROR(__xludf.DUMMYFUNCTION("""COMPUTED_VALUE"""),"Wichita")</f>
        <v>Wichita</v>
      </c>
      <c r="B9209" s="120" t="str">
        <f>IFERROR(__xludf.DUMMYFUNCTION("""COMPUTED_VALUE"""),"BEC")</f>
        <v>BEC</v>
      </c>
      <c r="C9209" s="120" t="str">
        <f>IFERROR(__xludf.DUMMYFUNCTION("""COMPUTED_VALUE"""),"Beech")</f>
        <v>Beech</v>
      </c>
      <c r="D9209" s="120" t="str">
        <f>IFERROR(__xludf.DUMMYFUNCTION("""COMPUTED_VALUE"""),"United States")</f>
        <v>United States</v>
      </c>
      <c r="E9209" s="135"/>
      <c r="F9209" s="31"/>
    </row>
    <row r="9210">
      <c r="A9210" s="134" t="str">
        <f>IFERROR(__xludf.DUMMYFUNCTION("""COMPUTED_VALUE"""),"Wichita")</f>
        <v>Wichita</v>
      </c>
      <c r="B9210" s="120" t="str">
        <f>IFERROR(__xludf.DUMMYFUNCTION("""COMPUTED_VALUE"""),"CEA")</f>
        <v>CEA</v>
      </c>
      <c r="C9210" s="120" t="str">
        <f>IFERROR(__xludf.DUMMYFUNCTION("""COMPUTED_VALUE"""),"Cessna Aircraft Field")</f>
        <v>Cessna Aircraft Field</v>
      </c>
      <c r="D9210" s="120" t="str">
        <f>IFERROR(__xludf.DUMMYFUNCTION("""COMPUTED_VALUE"""),"United States")</f>
        <v>United States</v>
      </c>
      <c r="E9210" s="135"/>
      <c r="F9210" s="31"/>
    </row>
    <row r="9211">
      <c r="A9211" s="134" t="str">
        <f>IFERROR(__xludf.DUMMYFUNCTION("""COMPUTED_VALUE"""),"Wichita")</f>
        <v>Wichita</v>
      </c>
      <c r="B9211" s="120" t="str">
        <f>IFERROR(__xludf.DUMMYFUNCTION("""COMPUTED_VALUE"""),"IAB")</f>
        <v>IAB</v>
      </c>
      <c r="C9211" s="120" t="str">
        <f>IFERROR(__xludf.DUMMYFUNCTION("""COMPUTED_VALUE"""),"Mcconnell AFB")</f>
        <v>Mcconnell AFB</v>
      </c>
      <c r="D9211" s="120" t="str">
        <f>IFERROR(__xludf.DUMMYFUNCTION("""COMPUTED_VALUE"""),"United States")</f>
        <v>United States</v>
      </c>
      <c r="E9211" s="135"/>
      <c r="F9211" s="31"/>
    </row>
    <row r="9212">
      <c r="A9212" s="134" t="str">
        <f>IFERROR(__xludf.DUMMYFUNCTION("""COMPUTED_VALUE"""),"Wichita")</f>
        <v>Wichita</v>
      </c>
      <c r="B9212" s="120" t="str">
        <f>IFERROR(__xludf.DUMMYFUNCTION("""COMPUTED_VALUE"""),"ICT")</f>
        <v>ICT</v>
      </c>
      <c r="C9212" s="120" t="str">
        <f>IFERROR(__xludf.DUMMYFUNCTION("""COMPUTED_VALUE"""),"Mid-Continent")</f>
        <v>Mid-Continent</v>
      </c>
      <c r="D9212" s="120" t="str">
        <f>IFERROR(__xludf.DUMMYFUNCTION("""COMPUTED_VALUE"""),"United States")</f>
        <v>United States</v>
      </c>
      <c r="E9212" s="135"/>
      <c r="F9212" s="31"/>
    </row>
    <row r="9213">
      <c r="A9213" s="134" t="str">
        <f>IFERROR(__xludf.DUMMYFUNCTION("""COMPUTED_VALUE"""),"Wichita Falls")</f>
        <v>Wichita Falls</v>
      </c>
      <c r="B9213" s="120" t="str">
        <f>IFERROR(__xludf.DUMMYFUNCTION("""COMPUTED_VALUE"""),"KIP")</f>
        <v>KIP</v>
      </c>
      <c r="C9213" s="120" t="str">
        <f>IFERROR(__xludf.DUMMYFUNCTION("""COMPUTED_VALUE"""),"Kickapoo")</f>
        <v>Kickapoo</v>
      </c>
      <c r="D9213" s="120" t="str">
        <f>IFERROR(__xludf.DUMMYFUNCTION("""COMPUTED_VALUE"""),"United States")</f>
        <v>United States</v>
      </c>
      <c r="E9213" s="135"/>
      <c r="F9213" s="31"/>
    </row>
    <row r="9214">
      <c r="A9214" s="134" t="str">
        <f>IFERROR(__xludf.DUMMYFUNCTION("""COMPUTED_VALUE"""),"Wichita Falls")</f>
        <v>Wichita Falls</v>
      </c>
      <c r="B9214" s="120" t="str">
        <f>IFERROR(__xludf.DUMMYFUNCTION("""COMPUTED_VALUE"""),"SPS")</f>
        <v>SPS</v>
      </c>
      <c r="C9214" s="120" t="str">
        <f>IFERROR(__xludf.DUMMYFUNCTION("""COMPUTED_VALUE"""),"Sheppard AFB")</f>
        <v>Sheppard AFB</v>
      </c>
      <c r="D9214" s="120" t="str">
        <f>IFERROR(__xludf.DUMMYFUNCTION("""COMPUTED_VALUE"""),"United States")</f>
        <v>United States</v>
      </c>
      <c r="E9214" s="135"/>
      <c r="F9214" s="31"/>
    </row>
    <row r="9215">
      <c r="A9215" s="134" t="str">
        <f>IFERROR(__xludf.DUMMYFUNCTION("""COMPUTED_VALUE"""),"Wick")</f>
        <v>Wick</v>
      </c>
      <c r="B9215" s="120" t="str">
        <f>IFERROR(__xludf.DUMMYFUNCTION("""COMPUTED_VALUE"""),"WIC")</f>
        <v>WIC</v>
      </c>
      <c r="C9215" s="120" t="str">
        <f>IFERROR(__xludf.DUMMYFUNCTION("""COMPUTED_VALUE"""),"Wick")</f>
        <v>Wick</v>
      </c>
      <c r="D9215" s="120" t="str">
        <f>IFERROR(__xludf.DUMMYFUNCTION("""COMPUTED_VALUE"""),"United Kingdom")</f>
        <v>United Kingdom</v>
      </c>
      <c r="E9215" s="135"/>
      <c r="F9215" s="31"/>
    </row>
    <row r="9216">
      <c r="A9216" s="134" t="str">
        <f>IFERROR(__xludf.DUMMYFUNCTION("""COMPUTED_VALUE"""),"Wiesbaden")</f>
        <v>Wiesbaden</v>
      </c>
      <c r="B9216" s="120" t="str">
        <f>IFERROR(__xludf.DUMMYFUNCTION("""COMPUTED_VALUE"""),"WIE")</f>
        <v>WIE</v>
      </c>
      <c r="C9216" s="120" t="str">
        <f>IFERROR(__xludf.DUMMYFUNCTION("""COMPUTED_VALUE"""),"Air Base")</f>
        <v>Air Base</v>
      </c>
      <c r="D9216" s="120" t="str">
        <f>IFERROR(__xludf.DUMMYFUNCTION("""COMPUTED_VALUE"""),"Germany")</f>
        <v>Germany</v>
      </c>
      <c r="E9216" s="135"/>
      <c r="F9216" s="31"/>
    </row>
    <row r="9217">
      <c r="A9217" s="134" t="str">
        <f>IFERROR(__xludf.DUMMYFUNCTION("""COMPUTED_VALUE"""),"Wilcannia")</f>
        <v>Wilcannia</v>
      </c>
      <c r="B9217" s="120" t="str">
        <f>IFERROR(__xludf.DUMMYFUNCTION("""COMPUTED_VALUE"""),"WIO")</f>
        <v>WIO</v>
      </c>
      <c r="C9217" s="120" t="str">
        <f>IFERROR(__xludf.DUMMYFUNCTION("""COMPUTED_VALUE"""),"Wilcannia")</f>
        <v>Wilcannia</v>
      </c>
      <c r="D9217" s="120" t="str">
        <f>IFERROR(__xludf.DUMMYFUNCTION("""COMPUTED_VALUE"""),"Australia")</f>
        <v>Australia</v>
      </c>
      <c r="E9217" s="135"/>
      <c r="F9217" s="31"/>
    </row>
    <row r="9218">
      <c r="A9218" s="134" t="str">
        <f>IFERROR(__xludf.DUMMYFUNCTION("""COMPUTED_VALUE"""),"Wildenrath")</f>
        <v>Wildenrath</v>
      </c>
      <c r="B9218" s="120" t="str">
        <f>IFERROR(__xludf.DUMMYFUNCTION("""COMPUTED_VALUE"""),"WID")</f>
        <v>WID</v>
      </c>
      <c r="C9218" s="120" t="str">
        <f>IFERROR(__xludf.DUMMYFUNCTION("""COMPUTED_VALUE"""),"Wildenrath")</f>
        <v>Wildenrath</v>
      </c>
      <c r="D9218" s="120" t="str">
        <f>IFERROR(__xludf.DUMMYFUNCTION("""COMPUTED_VALUE"""),"Germany")</f>
        <v>Germany</v>
      </c>
      <c r="E9218" s="135"/>
      <c r="F9218" s="31"/>
    </row>
    <row r="9219">
      <c r="A9219" s="134" t="str">
        <f>IFERROR(__xludf.DUMMYFUNCTION("""COMPUTED_VALUE"""),"Wildman Lake")</f>
        <v>Wildman Lake</v>
      </c>
      <c r="B9219" s="120" t="str">
        <f>IFERROR(__xludf.DUMMYFUNCTION("""COMPUTED_VALUE"""),"EWD")</f>
        <v>EWD</v>
      </c>
      <c r="C9219" s="120" t="str">
        <f>IFERROR(__xludf.DUMMYFUNCTION("""COMPUTED_VALUE"""),"Wildman Lake")</f>
        <v>Wildman Lake</v>
      </c>
      <c r="D9219" s="120" t="str">
        <f>IFERROR(__xludf.DUMMYFUNCTION("""COMPUTED_VALUE"""),"United States")</f>
        <v>United States</v>
      </c>
      <c r="E9219" s="135"/>
      <c r="F9219" s="31"/>
    </row>
    <row r="9220">
      <c r="A9220" s="134" t="str">
        <f>IFERROR(__xludf.DUMMYFUNCTION("""COMPUTED_VALUE"""),"Wildwood")</f>
        <v>Wildwood</v>
      </c>
      <c r="B9220" s="120" t="str">
        <f>IFERROR(__xludf.DUMMYFUNCTION("""COMPUTED_VALUE"""),"WWS")</f>
        <v>WWS</v>
      </c>
      <c r="C9220" s="120" t="str">
        <f>IFERROR(__xludf.DUMMYFUNCTION("""COMPUTED_VALUE"""),"USAF Heliport")</f>
        <v>USAF Heliport</v>
      </c>
      <c r="D9220" s="120" t="str">
        <f>IFERROR(__xludf.DUMMYFUNCTION("""COMPUTED_VALUE"""),"United States")</f>
        <v>United States</v>
      </c>
      <c r="E9220" s="135"/>
      <c r="F9220" s="31"/>
    </row>
    <row r="9221">
      <c r="A9221" s="134" t="str">
        <f>IFERROR(__xludf.DUMMYFUNCTION("""COMPUTED_VALUE"""),"Wildwood")</f>
        <v>Wildwood</v>
      </c>
      <c r="B9221" s="120" t="str">
        <f>IFERROR(__xludf.DUMMYFUNCTION("""COMPUTED_VALUE"""),"WWD")</f>
        <v>WWD</v>
      </c>
      <c r="C9221" s="120" t="str">
        <f>IFERROR(__xludf.DUMMYFUNCTION("""COMPUTED_VALUE"""),"Cape May County")</f>
        <v>Cape May County</v>
      </c>
      <c r="D9221" s="120" t="str">
        <f>IFERROR(__xludf.DUMMYFUNCTION("""COMPUTED_VALUE"""),"United States")</f>
        <v>United States</v>
      </c>
      <c r="E9221" s="135"/>
      <c r="F9221" s="31"/>
    </row>
    <row r="9222">
      <c r="A9222" s="134" t="str">
        <f>IFERROR(__xludf.DUMMYFUNCTION("""COMPUTED_VALUE"""),"Wilhelmshaven")</f>
        <v>Wilhelmshaven</v>
      </c>
      <c r="B9222" s="120" t="str">
        <f>IFERROR(__xludf.DUMMYFUNCTION("""COMPUTED_VALUE"""),"WVN")</f>
        <v>WVN</v>
      </c>
      <c r="C9222" s="120" t="str">
        <f>IFERROR(__xludf.DUMMYFUNCTION("""COMPUTED_VALUE"""),"Wilhelmshaven")</f>
        <v>Wilhelmshaven</v>
      </c>
      <c r="D9222" s="120" t="str">
        <f>IFERROR(__xludf.DUMMYFUNCTION("""COMPUTED_VALUE"""),"Germany")</f>
        <v>Germany</v>
      </c>
      <c r="E9222" s="135"/>
      <c r="F9222" s="31"/>
    </row>
    <row r="9223">
      <c r="A9223" s="134" t="str">
        <f>IFERROR(__xludf.DUMMYFUNCTION("""COMPUTED_VALUE"""),"Wilkes-Barre")</f>
        <v>Wilkes-Barre</v>
      </c>
      <c r="B9223" s="120" t="str">
        <f>IFERROR(__xludf.DUMMYFUNCTION("""COMPUTED_VALUE"""),"AVP")</f>
        <v>AVP</v>
      </c>
      <c r="C9223" s="120" t="str">
        <f>IFERROR(__xludf.DUMMYFUNCTION("""COMPUTED_VALUE"""),"International")</f>
        <v>International</v>
      </c>
      <c r="D9223" s="120" t="str">
        <f>IFERROR(__xludf.DUMMYFUNCTION("""COMPUTED_VALUE"""),"United States")</f>
        <v>United States</v>
      </c>
      <c r="E9223" s="135"/>
      <c r="F9223" s="31"/>
    </row>
    <row r="9224">
      <c r="A9224" s="134" t="str">
        <f>IFERROR(__xludf.DUMMYFUNCTION("""COMPUTED_VALUE"""),"Wilkes-Barre")</f>
        <v>Wilkes-Barre</v>
      </c>
      <c r="B9224" s="120" t="str">
        <f>IFERROR(__xludf.DUMMYFUNCTION("""COMPUTED_VALUE"""),"WBW")</f>
        <v>WBW</v>
      </c>
      <c r="C9224" s="120" t="str">
        <f>IFERROR(__xludf.DUMMYFUNCTION("""COMPUTED_VALUE"""),"Wyoming Valle")</f>
        <v>Wyoming Valle</v>
      </c>
      <c r="D9224" s="120" t="str">
        <f>IFERROR(__xludf.DUMMYFUNCTION("""COMPUTED_VALUE"""),"United States")</f>
        <v>United States</v>
      </c>
      <c r="E9224" s="135"/>
      <c r="F9224" s="31"/>
    </row>
    <row r="9225">
      <c r="A9225" s="134" t="str">
        <f>IFERROR(__xludf.DUMMYFUNCTION("""COMPUTED_VALUE"""),"Wilkesboro")</f>
        <v>Wilkesboro</v>
      </c>
      <c r="B9225" s="120" t="str">
        <f>IFERROR(__xludf.DUMMYFUNCTION("""COMPUTED_VALUE"""),"IKB")</f>
        <v>IKB</v>
      </c>
      <c r="C9225" s="120" t="str">
        <f>IFERROR(__xludf.DUMMYFUNCTION("""COMPUTED_VALUE"""),"Wilkes County")</f>
        <v>Wilkes County</v>
      </c>
      <c r="D9225" s="120" t="str">
        <f>IFERROR(__xludf.DUMMYFUNCTION("""COMPUTED_VALUE"""),"United States")</f>
        <v>United States</v>
      </c>
      <c r="E9225" s="135"/>
      <c r="F9225" s="31"/>
    </row>
    <row r="9226">
      <c r="A9226" s="134" t="str">
        <f>IFERROR(__xludf.DUMMYFUNCTION("""COMPUTED_VALUE"""),"Williams Harbour")</f>
        <v>Williams Harbour</v>
      </c>
      <c r="B9226" s="120" t="str">
        <f>IFERROR(__xludf.DUMMYFUNCTION("""COMPUTED_VALUE"""),"YWM")</f>
        <v>YWM</v>
      </c>
      <c r="C9226" s="120" t="str">
        <f>IFERROR(__xludf.DUMMYFUNCTION("""COMPUTED_VALUE"""),"Williams Harbour")</f>
        <v>Williams Harbour</v>
      </c>
      <c r="D9226" s="120" t="str">
        <f>IFERROR(__xludf.DUMMYFUNCTION("""COMPUTED_VALUE"""),"Canada")</f>
        <v>Canada</v>
      </c>
      <c r="E9226" s="135"/>
      <c r="F9226" s="31"/>
    </row>
    <row r="9227">
      <c r="A9227" s="134" t="str">
        <f>IFERROR(__xludf.DUMMYFUNCTION("""COMPUTED_VALUE"""),"Williams Lake")</f>
        <v>Williams Lake</v>
      </c>
      <c r="B9227" s="120" t="str">
        <f>IFERROR(__xludf.DUMMYFUNCTION("""COMPUTED_VALUE"""),"YWL")</f>
        <v>YWL</v>
      </c>
      <c r="C9227" s="120" t="str">
        <f>IFERROR(__xludf.DUMMYFUNCTION("""COMPUTED_VALUE"""),"Williams Lake")</f>
        <v>Williams Lake</v>
      </c>
      <c r="D9227" s="120" t="str">
        <f>IFERROR(__xludf.DUMMYFUNCTION("""COMPUTED_VALUE"""),"Canada")</f>
        <v>Canada</v>
      </c>
      <c r="E9227" s="135"/>
      <c r="F9227" s="31"/>
    </row>
    <row r="9228">
      <c r="A9228" s="134" t="str">
        <f>IFERROR(__xludf.DUMMYFUNCTION("""COMPUTED_VALUE"""),"Williamsburg")</f>
        <v>Williamsburg</v>
      </c>
      <c r="B9228" s="120" t="str">
        <f>IFERROR(__xludf.DUMMYFUNCTION("""COMPUTED_VALUE"""),"PHF")</f>
        <v>PHF</v>
      </c>
      <c r="C9228" s="120" t="str">
        <f>IFERROR(__xludf.DUMMYFUNCTION("""COMPUTED_VALUE"""),"Newport News/Williamsb")</f>
        <v>Newport News/Williamsb</v>
      </c>
      <c r="D9228" s="120" t="str">
        <f>IFERROR(__xludf.DUMMYFUNCTION("""COMPUTED_VALUE"""),"United States")</f>
        <v>United States</v>
      </c>
      <c r="E9228" s="135"/>
      <c r="F9228" s="31"/>
    </row>
    <row r="9229">
      <c r="A9229" s="134" t="str">
        <f>IFERROR(__xludf.DUMMYFUNCTION("""COMPUTED_VALUE"""),"Williamsport")</f>
        <v>Williamsport</v>
      </c>
      <c r="B9229" s="120" t="str">
        <f>IFERROR(__xludf.DUMMYFUNCTION("""COMPUTED_VALUE"""),"IPT")</f>
        <v>IPT</v>
      </c>
      <c r="C9229" s="120" t="str">
        <f>IFERROR(__xludf.DUMMYFUNCTION("""COMPUTED_VALUE"""),"Lycoming County")</f>
        <v>Lycoming County</v>
      </c>
      <c r="D9229" s="120" t="str">
        <f>IFERROR(__xludf.DUMMYFUNCTION("""COMPUTED_VALUE"""),"United States")</f>
        <v>United States</v>
      </c>
      <c r="E9229" s="135"/>
      <c r="F9229" s="31"/>
    </row>
    <row r="9230">
      <c r="A9230" s="134" t="str">
        <f>IFERROR(__xludf.DUMMYFUNCTION("""COMPUTED_VALUE"""),"Williston")</f>
        <v>Williston</v>
      </c>
      <c r="B9230" s="120" t="str">
        <f>IFERROR(__xludf.DUMMYFUNCTION("""COMPUTED_VALUE"""),"ISN")</f>
        <v>ISN</v>
      </c>
      <c r="C9230" s="120" t="str">
        <f>IFERROR(__xludf.DUMMYFUNCTION("""COMPUTED_VALUE"""),"Sloulin Field Intl")</f>
        <v>Sloulin Field Intl</v>
      </c>
      <c r="D9230" s="120" t="str">
        <f>IFERROR(__xludf.DUMMYFUNCTION("""COMPUTED_VALUE"""),"United States")</f>
        <v>United States</v>
      </c>
      <c r="E9230" s="135"/>
      <c r="F9230" s="31"/>
    </row>
    <row r="9231">
      <c r="A9231" s="134" t="str">
        <f>IFERROR(__xludf.DUMMYFUNCTION("""COMPUTED_VALUE"""),"Willmar")</f>
        <v>Willmar</v>
      </c>
      <c r="B9231" s="120" t="str">
        <f>IFERROR(__xludf.DUMMYFUNCTION("""COMPUTED_VALUE"""),"ILL")</f>
        <v>ILL</v>
      </c>
      <c r="C9231" s="120" t="str">
        <f>IFERROR(__xludf.DUMMYFUNCTION("""COMPUTED_VALUE"""),"Willmar")</f>
        <v>Willmar</v>
      </c>
      <c r="D9231" s="120" t="str">
        <f>IFERROR(__xludf.DUMMYFUNCTION("""COMPUTED_VALUE"""),"United States")</f>
        <v>United States</v>
      </c>
      <c r="E9231" s="135"/>
      <c r="F9231" s="31"/>
    </row>
    <row r="9232">
      <c r="A9232" s="134" t="str">
        <f>IFERROR(__xludf.DUMMYFUNCTION("""COMPUTED_VALUE"""),"Willoughby")</f>
        <v>Willoughby</v>
      </c>
      <c r="B9232" s="120" t="str">
        <f>IFERROR(__xludf.DUMMYFUNCTION("""COMPUTED_VALUE"""),"LNN")</f>
        <v>LNN</v>
      </c>
      <c r="C9232" s="120" t="str">
        <f>IFERROR(__xludf.DUMMYFUNCTION("""COMPUTED_VALUE"""),"Lost Nation")</f>
        <v>Lost Nation</v>
      </c>
      <c r="D9232" s="120" t="str">
        <f>IFERROR(__xludf.DUMMYFUNCTION("""COMPUTED_VALUE"""),"United States")</f>
        <v>United States</v>
      </c>
      <c r="E9232" s="135"/>
      <c r="F9232" s="31"/>
    </row>
    <row r="9233">
      <c r="A9233" s="134" t="str">
        <f>IFERROR(__xludf.DUMMYFUNCTION("""COMPUTED_VALUE"""),"Willow")</f>
        <v>Willow</v>
      </c>
      <c r="B9233" s="120" t="str">
        <f>IFERROR(__xludf.DUMMYFUNCTION("""COMPUTED_VALUE"""),"WOW")</f>
        <v>WOW</v>
      </c>
      <c r="C9233" s="120" t="str">
        <f>IFERROR(__xludf.DUMMYFUNCTION("""COMPUTED_VALUE"""),"Willow")</f>
        <v>Willow</v>
      </c>
      <c r="D9233" s="120" t="str">
        <f>IFERROR(__xludf.DUMMYFUNCTION("""COMPUTED_VALUE"""),"United States")</f>
        <v>United States</v>
      </c>
      <c r="E9233" s="135"/>
      <c r="F9233" s="31"/>
    </row>
    <row r="9234">
      <c r="A9234" s="134" t="str">
        <f>IFERROR(__xludf.DUMMYFUNCTION("""COMPUTED_VALUE"""),"Willow Grove")</f>
        <v>Willow Grove</v>
      </c>
      <c r="B9234" s="120" t="str">
        <f>IFERROR(__xludf.DUMMYFUNCTION("""COMPUTED_VALUE"""),"NXX")</f>
        <v>NXX</v>
      </c>
      <c r="C9234" s="120" t="str">
        <f>IFERROR(__xludf.DUMMYFUNCTION("""COMPUTED_VALUE"""),"Willow Grove NAS")</f>
        <v>Willow Grove NAS</v>
      </c>
      <c r="D9234" s="120" t="str">
        <f>IFERROR(__xludf.DUMMYFUNCTION("""COMPUTED_VALUE"""),"United States")</f>
        <v>United States</v>
      </c>
      <c r="E9234" s="135"/>
      <c r="F9234" s="31"/>
    </row>
    <row r="9235">
      <c r="A9235" s="134" t="str">
        <f>IFERROR(__xludf.DUMMYFUNCTION("""COMPUTED_VALUE"""),"Willows")</f>
        <v>Willows</v>
      </c>
      <c r="B9235" s="120" t="str">
        <f>IFERROR(__xludf.DUMMYFUNCTION("""COMPUTED_VALUE"""),"WLW")</f>
        <v>WLW</v>
      </c>
      <c r="C9235" s="120" t="str">
        <f>IFERROR(__xludf.DUMMYFUNCTION("""COMPUTED_VALUE"""),"Glenn County")</f>
        <v>Glenn County</v>
      </c>
      <c r="D9235" s="120" t="str">
        <f>IFERROR(__xludf.DUMMYFUNCTION("""COMPUTED_VALUE"""),"United States")</f>
        <v>United States</v>
      </c>
      <c r="E9235" s="135"/>
      <c r="F9235" s="31"/>
    </row>
    <row r="9236">
      <c r="A9236" s="134" t="str">
        <f>IFERROR(__xludf.DUMMYFUNCTION("""COMPUTED_VALUE"""),"Wilmington")</f>
        <v>Wilmington</v>
      </c>
      <c r="B9236" s="120" t="str">
        <f>IFERROR(__xludf.DUMMYFUNCTION("""COMPUTED_VALUE"""),"ILG")</f>
        <v>ILG</v>
      </c>
      <c r="C9236" s="120" t="str">
        <f>IFERROR(__xludf.DUMMYFUNCTION("""COMPUTED_VALUE"""),"Greater Wilmington")</f>
        <v>Greater Wilmington</v>
      </c>
      <c r="D9236" s="120" t="str">
        <f>IFERROR(__xludf.DUMMYFUNCTION("""COMPUTED_VALUE"""),"United States")</f>
        <v>United States</v>
      </c>
      <c r="E9236" s="135"/>
      <c r="F9236" s="31"/>
    </row>
    <row r="9237">
      <c r="A9237" s="134" t="str">
        <f>IFERROR(__xludf.DUMMYFUNCTION("""COMPUTED_VALUE"""),"Wilmington")</f>
        <v>Wilmington</v>
      </c>
      <c r="B9237" s="120" t="str">
        <f>IFERROR(__xludf.DUMMYFUNCTION("""COMPUTED_VALUE"""),"ZWI")</f>
        <v>ZWI</v>
      </c>
      <c r="C9237" s="120" t="str">
        <f>IFERROR(__xludf.DUMMYFUNCTION("""COMPUTED_VALUE"""),"Wilmington Rail")</f>
        <v>Wilmington Rail</v>
      </c>
      <c r="D9237" s="120" t="str">
        <f>IFERROR(__xludf.DUMMYFUNCTION("""COMPUTED_VALUE"""),"United States")</f>
        <v>United States</v>
      </c>
      <c r="E9237" s="135"/>
      <c r="F9237" s="31"/>
    </row>
    <row r="9238">
      <c r="A9238" s="134" t="str">
        <f>IFERROR(__xludf.DUMMYFUNCTION("""COMPUTED_VALUE"""),"Wilmington")</f>
        <v>Wilmington</v>
      </c>
      <c r="B9238" s="120" t="str">
        <f>IFERROR(__xludf.DUMMYFUNCTION("""COMPUTED_VALUE"""),"ILM")</f>
        <v>ILM</v>
      </c>
      <c r="C9238" s="120" t="str">
        <f>IFERROR(__xludf.DUMMYFUNCTION("""COMPUTED_VALUE"""),"New Hanover County")</f>
        <v>New Hanover County</v>
      </c>
      <c r="D9238" s="120" t="str">
        <f>IFERROR(__xludf.DUMMYFUNCTION("""COMPUTED_VALUE"""),"United States")</f>
        <v>United States</v>
      </c>
      <c r="E9238" s="135"/>
      <c r="F9238" s="31"/>
    </row>
    <row r="9239">
      <c r="A9239" s="134" t="str">
        <f>IFERROR(__xludf.DUMMYFUNCTION("""COMPUTED_VALUE"""),"Wilmington")</f>
        <v>Wilmington</v>
      </c>
      <c r="B9239" s="120" t="str">
        <f>IFERROR(__xludf.DUMMYFUNCTION("""COMPUTED_VALUE"""),"ILN")</f>
        <v>ILN</v>
      </c>
      <c r="C9239" s="120" t="str">
        <f>IFERROR(__xludf.DUMMYFUNCTION("""COMPUTED_VALUE"""),"Clinton Field")</f>
        <v>Clinton Field</v>
      </c>
      <c r="D9239" s="120" t="str">
        <f>IFERROR(__xludf.DUMMYFUNCTION("""COMPUTED_VALUE"""),"United States")</f>
        <v>United States</v>
      </c>
      <c r="E9239" s="135"/>
      <c r="F9239" s="31"/>
    </row>
    <row r="9240">
      <c r="A9240" s="134" t="str">
        <f>IFERROR(__xludf.DUMMYFUNCTION("""COMPUTED_VALUE"""),"Wiluna")</f>
        <v>Wiluna</v>
      </c>
      <c r="B9240" s="120" t="str">
        <f>IFERROR(__xludf.DUMMYFUNCTION("""COMPUTED_VALUE"""),"WUN")</f>
        <v>WUN</v>
      </c>
      <c r="C9240" s="120" t="str">
        <f>IFERROR(__xludf.DUMMYFUNCTION("""COMPUTED_VALUE"""),"Wiluna")</f>
        <v>Wiluna</v>
      </c>
      <c r="D9240" s="120" t="str">
        <f>IFERROR(__xludf.DUMMYFUNCTION("""COMPUTED_VALUE"""),"Australia")</f>
        <v>Australia</v>
      </c>
      <c r="E9240" s="135"/>
      <c r="F9240" s="31"/>
    </row>
    <row r="9241">
      <c r="A9241" s="134" t="str">
        <f>IFERROR(__xludf.DUMMYFUNCTION("""COMPUTED_VALUE"""),"Winchester")</f>
        <v>Winchester</v>
      </c>
      <c r="B9241" s="120" t="str">
        <f>IFERROR(__xludf.DUMMYFUNCTION("""COMPUTED_VALUE"""),"WGO")</f>
        <v>WGO</v>
      </c>
      <c r="C9241" s="120" t="str">
        <f>IFERROR(__xludf.DUMMYFUNCTION("""COMPUTED_VALUE"""),"Municipal")</f>
        <v>Municipal</v>
      </c>
      <c r="D9241" s="120" t="str">
        <f>IFERROR(__xludf.DUMMYFUNCTION("""COMPUTED_VALUE"""),"United States")</f>
        <v>United States</v>
      </c>
      <c r="E9241" s="135"/>
      <c r="F9241" s="31"/>
    </row>
    <row r="9242">
      <c r="A9242" s="134" t="str">
        <f>IFERROR(__xludf.DUMMYFUNCTION("""COMPUTED_VALUE"""),"Windarra")</f>
        <v>Windarra</v>
      </c>
      <c r="B9242" s="120" t="str">
        <f>IFERROR(__xludf.DUMMYFUNCTION("""COMPUTED_VALUE"""),"WND")</f>
        <v>WND</v>
      </c>
      <c r="C9242" s="120" t="str">
        <f>IFERROR(__xludf.DUMMYFUNCTION("""COMPUTED_VALUE"""),"Windarra")</f>
        <v>Windarra</v>
      </c>
      <c r="D9242" s="120" t="str">
        <f>IFERROR(__xludf.DUMMYFUNCTION("""COMPUTED_VALUE"""),"Australia")</f>
        <v>Australia</v>
      </c>
      <c r="E9242" s="135"/>
      <c r="F9242" s="31"/>
    </row>
    <row r="9243">
      <c r="A9243" s="134" t="str">
        <f>IFERROR(__xludf.DUMMYFUNCTION("""COMPUTED_VALUE"""),"Winder")</f>
        <v>Winder</v>
      </c>
      <c r="B9243" s="120" t="str">
        <f>IFERROR(__xludf.DUMMYFUNCTION("""COMPUTED_VALUE"""),"WDR")</f>
        <v>WDR</v>
      </c>
      <c r="C9243" s="120" t="str">
        <f>IFERROR(__xludf.DUMMYFUNCTION("""COMPUTED_VALUE"""),"Winder")</f>
        <v>Winder</v>
      </c>
      <c r="D9243" s="120" t="str">
        <f>IFERROR(__xludf.DUMMYFUNCTION("""COMPUTED_VALUE"""),"United States")</f>
        <v>United States</v>
      </c>
      <c r="E9243" s="135"/>
      <c r="F9243" s="31"/>
    </row>
    <row r="9244">
      <c r="A9244" s="134" t="str">
        <f>IFERROR(__xludf.DUMMYFUNCTION("""COMPUTED_VALUE"""),"Windhoek")</f>
        <v>Windhoek</v>
      </c>
      <c r="B9244" s="120" t="str">
        <f>IFERROR(__xludf.DUMMYFUNCTION("""COMPUTED_VALUE"""),"ERS")</f>
        <v>ERS</v>
      </c>
      <c r="C9244" s="120" t="str">
        <f>IFERROR(__xludf.DUMMYFUNCTION("""COMPUTED_VALUE"""),"Eros")</f>
        <v>Eros</v>
      </c>
      <c r="D9244" s="120" t="str">
        <f>IFERROR(__xludf.DUMMYFUNCTION("""COMPUTED_VALUE"""),"Namibia")</f>
        <v>Namibia</v>
      </c>
      <c r="E9244" s="135"/>
      <c r="F9244" s="31"/>
    </row>
    <row r="9245">
      <c r="A9245" s="134" t="str">
        <f>IFERROR(__xludf.DUMMYFUNCTION("""COMPUTED_VALUE"""),"Windhoek")</f>
        <v>Windhoek</v>
      </c>
      <c r="B9245" s="120" t="str">
        <f>IFERROR(__xludf.DUMMYFUNCTION("""COMPUTED_VALUE"""),"ZWH")</f>
        <v>ZWH</v>
      </c>
      <c r="C9245" s="120" t="str">
        <f>IFERROR(__xludf.DUMMYFUNCTION("""COMPUTED_VALUE"""),"Railway Station")</f>
        <v>Railway Station</v>
      </c>
      <c r="D9245" s="120" t="str">
        <f>IFERROR(__xludf.DUMMYFUNCTION("""COMPUTED_VALUE"""),"Namibia")</f>
        <v>Namibia</v>
      </c>
      <c r="E9245" s="135"/>
      <c r="F9245" s="31"/>
    </row>
    <row r="9246">
      <c r="A9246" s="134" t="str">
        <f>IFERROR(__xludf.DUMMYFUNCTION("""COMPUTED_VALUE"""),"Windom")</f>
        <v>Windom</v>
      </c>
      <c r="B9246" s="120" t="str">
        <f>IFERROR(__xludf.DUMMYFUNCTION("""COMPUTED_VALUE"""),"MWM")</f>
        <v>MWM</v>
      </c>
      <c r="C9246" s="120" t="str">
        <f>IFERROR(__xludf.DUMMYFUNCTION("""COMPUTED_VALUE"""),"Municipal")</f>
        <v>Municipal</v>
      </c>
      <c r="D9246" s="120" t="str">
        <f>IFERROR(__xludf.DUMMYFUNCTION("""COMPUTED_VALUE"""),"MINNESOTA""")</f>
        <v>MINNESOTA"</v>
      </c>
      <c r="E9246" s="135"/>
      <c r="F9246" s="31"/>
    </row>
    <row r="9247">
      <c r="A9247" s="134" t="str">
        <f>IFERROR(__xludf.DUMMYFUNCTION("""COMPUTED_VALUE"""),"Windorah")</f>
        <v>Windorah</v>
      </c>
      <c r="B9247" s="120" t="str">
        <f>IFERROR(__xludf.DUMMYFUNCTION("""COMPUTED_VALUE"""),"WNR")</f>
        <v>WNR</v>
      </c>
      <c r="C9247" s="120" t="str">
        <f>IFERROR(__xludf.DUMMYFUNCTION("""COMPUTED_VALUE"""),"Windorah")</f>
        <v>Windorah</v>
      </c>
      <c r="D9247" s="120" t="str">
        <f>IFERROR(__xludf.DUMMYFUNCTION("""COMPUTED_VALUE"""),"Australia")</f>
        <v>Australia</v>
      </c>
      <c r="E9247" s="135"/>
      <c r="F9247" s="31"/>
    </row>
    <row r="9248">
      <c r="A9248" s="134" t="str">
        <f>IFERROR(__xludf.DUMMYFUNCTION("""COMPUTED_VALUE"""),"Windsor")</f>
        <v>Windsor</v>
      </c>
      <c r="B9248" s="120" t="str">
        <f>IFERROR(__xludf.DUMMYFUNCTION("""COMPUTED_VALUE"""),"YQG")</f>
        <v>YQG</v>
      </c>
      <c r="C9248" s="120" t="str">
        <f>IFERROR(__xludf.DUMMYFUNCTION("""COMPUTED_VALUE"""),"Windsor")</f>
        <v>Windsor</v>
      </c>
      <c r="D9248" s="120" t="str">
        <f>IFERROR(__xludf.DUMMYFUNCTION("""COMPUTED_VALUE"""),"Canada")</f>
        <v>Canada</v>
      </c>
      <c r="E9248" s="135"/>
      <c r="F9248" s="31"/>
    </row>
    <row r="9249">
      <c r="A9249" s="134" t="str">
        <f>IFERROR(__xludf.DUMMYFUNCTION("""COMPUTED_VALUE"""),"Windsor Locks")</f>
        <v>Windsor Locks</v>
      </c>
      <c r="B9249" s="120" t="str">
        <f>IFERROR(__xludf.DUMMYFUNCTION("""COMPUTED_VALUE"""),"BDL")</f>
        <v>BDL</v>
      </c>
      <c r="C9249" s="120" t="str">
        <f>IFERROR(__xludf.DUMMYFUNCTION("""COMPUTED_VALUE"""),"Bradley International")</f>
        <v>Bradley International</v>
      </c>
      <c r="D9249" s="120" t="str">
        <f>IFERROR(__xludf.DUMMYFUNCTION("""COMPUTED_VALUE"""),"United States")</f>
        <v>United States</v>
      </c>
      <c r="E9249" s="135"/>
      <c r="F9249" s="31"/>
    </row>
    <row r="9250">
      <c r="A9250" s="134" t="str">
        <f>IFERROR(__xludf.DUMMYFUNCTION("""COMPUTED_VALUE"""),"Winfield")</f>
        <v>Winfield</v>
      </c>
      <c r="B9250" s="120" t="str">
        <f>IFERROR(__xludf.DUMMYFUNCTION("""COMPUTED_VALUE"""),"WLD")</f>
        <v>WLD</v>
      </c>
      <c r="C9250" s="120" t="str">
        <f>IFERROR(__xludf.DUMMYFUNCTION("""COMPUTED_VALUE"""),"Arkansas City")</f>
        <v>Arkansas City</v>
      </c>
      <c r="D9250" s="120" t="str">
        <f>IFERROR(__xludf.DUMMYFUNCTION("""COMPUTED_VALUE"""),"United States")</f>
        <v>United States</v>
      </c>
      <c r="E9250" s="135"/>
      <c r="F9250" s="31"/>
    </row>
    <row r="9251">
      <c r="A9251" s="134" t="str">
        <f>IFERROR(__xludf.DUMMYFUNCTION("""COMPUTED_VALUE"""),"Winisk")</f>
        <v>Winisk</v>
      </c>
      <c r="B9251" s="120" t="str">
        <f>IFERROR(__xludf.DUMMYFUNCTION("""COMPUTED_VALUE"""),"YWN")</f>
        <v>YWN</v>
      </c>
      <c r="C9251" s="120" t="str">
        <f>IFERROR(__xludf.DUMMYFUNCTION("""COMPUTED_VALUE"""),"Winisk")</f>
        <v>Winisk</v>
      </c>
      <c r="D9251" s="120" t="str">
        <f>IFERROR(__xludf.DUMMYFUNCTION("""COMPUTED_VALUE"""),"Canada")</f>
        <v>Canada</v>
      </c>
      <c r="E9251" s="135"/>
      <c r="F9251" s="31"/>
    </row>
    <row r="9252">
      <c r="A9252" s="134" t="str">
        <f>IFERROR(__xludf.DUMMYFUNCTION("""COMPUTED_VALUE"""),"Wink")</f>
        <v>Wink</v>
      </c>
      <c r="B9252" s="120" t="str">
        <f>IFERROR(__xludf.DUMMYFUNCTION("""COMPUTED_VALUE"""),"INK")</f>
        <v>INK</v>
      </c>
      <c r="C9252" s="120" t="str">
        <f>IFERROR(__xludf.DUMMYFUNCTION("""COMPUTED_VALUE"""),"Wink")</f>
        <v>Wink</v>
      </c>
      <c r="D9252" s="120" t="str">
        <f>IFERROR(__xludf.DUMMYFUNCTION("""COMPUTED_VALUE"""),"United States")</f>
        <v>United States</v>
      </c>
      <c r="E9252" s="135"/>
      <c r="F9252" s="31"/>
    </row>
    <row r="9253">
      <c r="A9253" s="134" t="str">
        <f>IFERROR(__xludf.DUMMYFUNCTION("""COMPUTED_VALUE"""),"Winnemucca")</f>
        <v>Winnemucca</v>
      </c>
      <c r="B9253" s="120" t="str">
        <f>IFERROR(__xludf.DUMMYFUNCTION("""COMPUTED_VALUE"""),"WMC")</f>
        <v>WMC</v>
      </c>
      <c r="C9253" s="120" t="str">
        <f>IFERROR(__xludf.DUMMYFUNCTION("""COMPUTED_VALUE"""),"Winnemucca")</f>
        <v>Winnemucca</v>
      </c>
      <c r="D9253" s="120" t="str">
        <f>IFERROR(__xludf.DUMMYFUNCTION("""COMPUTED_VALUE"""),"United States")</f>
        <v>United States</v>
      </c>
      <c r="E9253" s="135"/>
      <c r="F9253" s="31"/>
    </row>
    <row r="9254">
      <c r="A9254" s="134" t="str">
        <f>IFERROR(__xludf.DUMMYFUNCTION("""COMPUTED_VALUE"""),"Winnipeg")</f>
        <v>Winnipeg</v>
      </c>
      <c r="B9254" s="120" t="str">
        <f>IFERROR(__xludf.DUMMYFUNCTION("""COMPUTED_VALUE"""),"YWG")</f>
        <v>YWG</v>
      </c>
      <c r="C9254" s="120" t="str">
        <f>IFERROR(__xludf.DUMMYFUNCTION("""COMPUTED_VALUE"""),"Winnipeg")</f>
        <v>Winnipeg</v>
      </c>
      <c r="D9254" s="120" t="str">
        <f>IFERROR(__xludf.DUMMYFUNCTION("""COMPUTED_VALUE"""),"Canada")</f>
        <v>Canada</v>
      </c>
      <c r="E9254" s="135"/>
      <c r="F9254" s="31"/>
    </row>
    <row r="9255">
      <c r="A9255" s="134" t="str">
        <f>IFERROR(__xludf.DUMMYFUNCTION("""COMPUTED_VALUE"""),"Winona")</f>
        <v>Winona</v>
      </c>
      <c r="B9255" s="120" t="str">
        <f>IFERROR(__xludf.DUMMYFUNCTION("""COMPUTED_VALUE"""),"ONA")</f>
        <v>ONA</v>
      </c>
      <c r="C9255" s="120" t="str">
        <f>IFERROR(__xludf.DUMMYFUNCTION("""COMPUTED_VALUE"""),"Municipal")</f>
        <v>Municipal</v>
      </c>
      <c r="D9255" s="120" t="str">
        <f>IFERROR(__xludf.DUMMYFUNCTION("""COMPUTED_VALUE"""),"United States")</f>
        <v>United States</v>
      </c>
      <c r="E9255" s="135"/>
      <c r="F9255" s="31"/>
    </row>
    <row r="9256">
      <c r="A9256" s="134" t="str">
        <f>IFERROR(__xludf.DUMMYFUNCTION("""COMPUTED_VALUE"""),"Winslow")</f>
        <v>Winslow</v>
      </c>
      <c r="B9256" s="120" t="str">
        <f>IFERROR(__xludf.DUMMYFUNCTION("""COMPUTED_VALUE"""),"INW")</f>
        <v>INW</v>
      </c>
      <c r="C9256" s="120" t="str">
        <f>IFERROR(__xludf.DUMMYFUNCTION("""COMPUTED_VALUE"""),"Winslow")</f>
        <v>Winslow</v>
      </c>
      <c r="D9256" s="120" t="str">
        <f>IFERROR(__xludf.DUMMYFUNCTION("""COMPUTED_VALUE"""),"United States")</f>
        <v>United States</v>
      </c>
      <c r="E9256" s="135"/>
      <c r="F9256" s="31"/>
    </row>
    <row r="9257">
      <c r="A9257" s="134" t="str">
        <f>IFERROR(__xludf.DUMMYFUNCTION("""COMPUTED_VALUE"""),"Winston Salem")</f>
        <v>Winston Salem</v>
      </c>
      <c r="B9257" s="120" t="str">
        <f>IFERROR(__xludf.DUMMYFUNCTION("""COMPUTED_VALUE"""),"INT")</f>
        <v>INT</v>
      </c>
      <c r="C9257" s="120" t="str">
        <f>IFERROR(__xludf.DUMMYFUNCTION("""COMPUTED_VALUE"""),"Smith-Reynolds")</f>
        <v>Smith-Reynolds</v>
      </c>
      <c r="D9257" s="120" t="str">
        <f>IFERROR(__xludf.DUMMYFUNCTION("""COMPUTED_VALUE"""),"United States")</f>
        <v>United States</v>
      </c>
      <c r="E9257" s="135"/>
      <c r="F9257" s="31"/>
    </row>
    <row r="9258">
      <c r="A9258" s="134" t="str">
        <f>IFERROR(__xludf.DUMMYFUNCTION("""COMPUTED_VALUE"""),"Winter Haven")</f>
        <v>Winter Haven</v>
      </c>
      <c r="B9258" s="120" t="str">
        <f>IFERROR(__xludf.DUMMYFUNCTION("""COMPUTED_VALUE"""),"GIF")</f>
        <v>GIF</v>
      </c>
      <c r="C9258" s="120" t="str">
        <f>IFERROR(__xludf.DUMMYFUNCTION("""COMPUTED_VALUE"""),"Gilbert Field")</f>
        <v>Gilbert Field</v>
      </c>
      <c r="D9258" s="120" t="str">
        <f>IFERROR(__xludf.DUMMYFUNCTION("""COMPUTED_VALUE"""),"United States")</f>
        <v>United States</v>
      </c>
      <c r="E9258" s="135"/>
      <c r="F9258" s="31"/>
    </row>
    <row r="9259">
      <c r="A9259" s="134" t="str">
        <f>IFERROR(__xludf.DUMMYFUNCTION("""COMPUTED_VALUE"""),"Winter Park")</f>
        <v>Winter Park</v>
      </c>
      <c r="B9259" s="120" t="str">
        <f>IFERROR(__xludf.DUMMYFUNCTION("""COMPUTED_VALUE"""),"QWP")</f>
        <v>QWP</v>
      </c>
      <c r="C9259" s="120" t="str">
        <f>IFERROR(__xludf.DUMMYFUNCTION("""COMPUTED_VALUE"""),"Van Service")</f>
        <v>Van Service</v>
      </c>
      <c r="D9259" s="120" t="str">
        <f>IFERROR(__xludf.DUMMYFUNCTION("""COMPUTED_VALUE"""),"United States")</f>
        <v>United States</v>
      </c>
      <c r="E9259" s="135"/>
      <c r="F9259" s="31"/>
    </row>
    <row r="9260">
      <c r="A9260" s="134" t="str">
        <f>IFERROR(__xludf.DUMMYFUNCTION("""COMPUTED_VALUE"""),"Winton")</f>
        <v>Winton</v>
      </c>
      <c r="B9260" s="120" t="str">
        <f>IFERROR(__xludf.DUMMYFUNCTION("""COMPUTED_VALUE"""),"WIN")</f>
        <v>WIN</v>
      </c>
      <c r="C9260" s="120" t="str">
        <f>IFERROR(__xludf.DUMMYFUNCTION("""COMPUTED_VALUE"""),"Winton")</f>
        <v>Winton</v>
      </c>
      <c r="D9260" s="120" t="str">
        <f>IFERROR(__xludf.DUMMYFUNCTION("""COMPUTED_VALUE"""),"Australia")</f>
        <v>Australia</v>
      </c>
      <c r="E9260" s="135"/>
      <c r="F9260" s="31"/>
    </row>
    <row r="9261">
      <c r="A9261" s="134" t="str">
        <f>IFERROR(__xludf.DUMMYFUNCTION("""COMPUTED_VALUE"""),"Wipim")</f>
        <v>Wipim</v>
      </c>
      <c r="B9261" s="120" t="str">
        <f>IFERROR(__xludf.DUMMYFUNCTION("""COMPUTED_VALUE"""),"WPM")</f>
        <v>WPM</v>
      </c>
      <c r="C9261" s="120" t="str">
        <f>IFERROR(__xludf.DUMMYFUNCTION("""COMPUTED_VALUE"""),"Wipim")</f>
        <v>Wipim</v>
      </c>
      <c r="D9261" s="120" t="str">
        <f>IFERROR(__xludf.DUMMYFUNCTION("""COMPUTED_VALUE"""),"Papua New Guinea")</f>
        <v>Papua New Guinea</v>
      </c>
      <c r="E9261" s="135"/>
      <c r="F9261" s="31"/>
    </row>
    <row r="9262">
      <c r="A9262" s="134" t="str">
        <f>IFERROR(__xludf.DUMMYFUNCTION("""COMPUTED_VALUE"""),"Wiscasset")</f>
        <v>Wiscasset</v>
      </c>
      <c r="B9262" s="120" t="str">
        <f>IFERROR(__xludf.DUMMYFUNCTION("""COMPUTED_VALUE"""),"ISS")</f>
        <v>ISS</v>
      </c>
      <c r="C9262" s="120" t="str">
        <f>IFERROR(__xludf.DUMMYFUNCTION("""COMPUTED_VALUE"""),"Wiscasset")</f>
        <v>Wiscasset</v>
      </c>
      <c r="D9262" s="120" t="str">
        <f>IFERROR(__xludf.DUMMYFUNCTION("""COMPUTED_VALUE"""),"United States")</f>
        <v>United States</v>
      </c>
      <c r="E9262" s="135"/>
      <c r="F9262" s="31"/>
    </row>
    <row r="9263">
      <c r="A9263" s="134" t="str">
        <f>IFERROR(__xludf.DUMMYFUNCTION("""COMPUTED_VALUE"""),"Wisconsin Rapids")</f>
        <v>Wisconsin Rapids</v>
      </c>
      <c r="B9263" s="120" t="str">
        <f>IFERROR(__xludf.DUMMYFUNCTION("""COMPUTED_VALUE"""),"ISW")</f>
        <v>ISW</v>
      </c>
      <c r="C9263" s="120" t="str">
        <f>IFERROR(__xludf.DUMMYFUNCTION("""COMPUTED_VALUE"""),"Alexander Field")</f>
        <v>Alexander Field</v>
      </c>
      <c r="D9263" s="120" t="str">
        <f>IFERROR(__xludf.DUMMYFUNCTION("""COMPUTED_VALUE"""),"United States")</f>
        <v>United States</v>
      </c>
      <c r="E9263" s="135"/>
      <c r="F9263" s="31"/>
    </row>
    <row r="9264">
      <c r="A9264" s="134" t="str">
        <f>IFERROR(__xludf.DUMMYFUNCTION("""COMPUTED_VALUE"""),"Wise")</f>
        <v>Wise</v>
      </c>
      <c r="B9264" s="120" t="str">
        <f>IFERROR(__xludf.DUMMYFUNCTION("""COMPUTED_VALUE"""),"LNP")</f>
        <v>LNP</v>
      </c>
      <c r="C9264" s="120" t="str">
        <f>IFERROR(__xludf.DUMMYFUNCTION("""COMPUTED_VALUE"""),"Wise")</f>
        <v>Wise</v>
      </c>
      <c r="D9264" s="120" t="str">
        <f>IFERROR(__xludf.DUMMYFUNCTION("""COMPUTED_VALUE"""),"United States")</f>
        <v>United States</v>
      </c>
      <c r="E9264" s="135"/>
      <c r="F9264" s="31"/>
    </row>
    <row r="9265">
      <c r="A9265" s="134" t="str">
        <f>IFERROR(__xludf.DUMMYFUNCTION("""COMPUTED_VALUE"""),"Wiseman")</f>
        <v>Wiseman</v>
      </c>
      <c r="B9265" s="120" t="str">
        <f>IFERROR(__xludf.DUMMYFUNCTION("""COMPUTED_VALUE"""),"WSM")</f>
        <v>WSM</v>
      </c>
      <c r="C9265" s="120" t="str">
        <f>IFERROR(__xludf.DUMMYFUNCTION("""COMPUTED_VALUE"""),"Wiseman")</f>
        <v>Wiseman</v>
      </c>
      <c r="D9265" s="120" t="str">
        <f>IFERROR(__xludf.DUMMYFUNCTION("""COMPUTED_VALUE"""),"United States")</f>
        <v>United States</v>
      </c>
      <c r="E9265" s="135"/>
      <c r="F9265" s="31"/>
    </row>
    <row r="9266">
      <c r="A9266" s="134" t="str">
        <f>IFERROR(__xludf.DUMMYFUNCTION("""COMPUTED_VALUE"""),"Wittenoom")</f>
        <v>Wittenoom</v>
      </c>
      <c r="B9266" s="120" t="str">
        <f>IFERROR(__xludf.DUMMYFUNCTION("""COMPUTED_VALUE"""),"WIT")</f>
        <v>WIT</v>
      </c>
      <c r="C9266" s="120" t="str">
        <f>IFERROR(__xludf.DUMMYFUNCTION("""COMPUTED_VALUE"""),"Wittenoom")</f>
        <v>Wittenoom</v>
      </c>
      <c r="D9266" s="120" t="str">
        <f>IFERROR(__xludf.DUMMYFUNCTION("""COMPUTED_VALUE"""),"Australia")</f>
        <v>Australia</v>
      </c>
      <c r="E9266" s="135"/>
      <c r="F9266" s="31"/>
    </row>
    <row r="9267">
      <c r="A9267" s="134" t="str">
        <f>IFERROR(__xludf.DUMMYFUNCTION("""COMPUTED_VALUE"""),"Witu")</f>
        <v>Witu</v>
      </c>
      <c r="B9267" s="120" t="str">
        <f>IFERROR(__xludf.DUMMYFUNCTION("""COMPUTED_VALUE"""),"WIU")</f>
        <v>WIU</v>
      </c>
      <c r="C9267" s="120" t="str">
        <f>IFERROR(__xludf.DUMMYFUNCTION("""COMPUTED_VALUE"""),"Witu")</f>
        <v>Witu</v>
      </c>
      <c r="D9267" s="120" t="str">
        <f>IFERROR(__xludf.DUMMYFUNCTION("""COMPUTED_VALUE"""),"Papua New Guinea")</f>
        <v>Papua New Guinea</v>
      </c>
      <c r="E9267" s="135"/>
      <c r="F9267" s="31"/>
    </row>
    <row r="9268">
      <c r="A9268" s="134" t="str">
        <f>IFERROR(__xludf.DUMMYFUNCTION("""COMPUTED_VALUE"""),"Woburn")</f>
        <v>Woburn</v>
      </c>
      <c r="B9268" s="120" t="str">
        <f>IFERROR(__xludf.DUMMYFUNCTION("""COMPUTED_VALUE"""),"WBN")</f>
        <v>WBN</v>
      </c>
      <c r="C9268" s="120" t="str">
        <f>IFERROR(__xludf.DUMMYFUNCTION("""COMPUTED_VALUE"""),"Cummings Park")</f>
        <v>Cummings Park</v>
      </c>
      <c r="D9268" s="120" t="str">
        <f>IFERROR(__xludf.DUMMYFUNCTION("""COMPUTED_VALUE"""),"United States")</f>
        <v>United States</v>
      </c>
      <c r="E9268" s="135"/>
      <c r="F9268" s="31"/>
    </row>
    <row r="9269">
      <c r="A9269" s="134" t="str">
        <f>IFERROR(__xludf.DUMMYFUNCTION("""COMPUTED_VALUE"""),"Woensdrecht AB")</f>
        <v>Woensdrecht AB</v>
      </c>
      <c r="B9269" s="120" t="str">
        <f>IFERROR(__xludf.DUMMYFUNCTION("""COMPUTED_VALUE"""),"WOE")</f>
        <v>WOE</v>
      </c>
      <c r="C9269" s="120" t="str">
        <f>IFERROR(__xludf.DUMMYFUNCTION("""COMPUTED_VALUE"""),"Woensdrecht AB")</f>
        <v>Woensdrecht AB</v>
      </c>
      <c r="D9269" s="120" t="str">
        <f>IFERROR(__xludf.DUMMYFUNCTION("""COMPUTED_VALUE"""),"Netherlands")</f>
        <v>Netherlands</v>
      </c>
      <c r="E9269" s="135"/>
      <c r="F9269" s="31"/>
    </row>
    <row r="9270">
      <c r="A9270" s="134" t="str">
        <f>IFERROR(__xludf.DUMMYFUNCTION("""COMPUTED_VALUE"""),"Woitape")</f>
        <v>Woitape</v>
      </c>
      <c r="B9270" s="120" t="str">
        <f>IFERROR(__xludf.DUMMYFUNCTION("""COMPUTED_VALUE"""),"WTP")</f>
        <v>WTP</v>
      </c>
      <c r="C9270" s="120" t="str">
        <f>IFERROR(__xludf.DUMMYFUNCTION("""COMPUTED_VALUE"""),"Woitape")</f>
        <v>Woitape</v>
      </c>
      <c r="D9270" s="120" t="str">
        <f>IFERROR(__xludf.DUMMYFUNCTION("""COMPUTED_VALUE"""),"Papua New Guinea")</f>
        <v>Papua New Guinea</v>
      </c>
      <c r="E9270" s="135"/>
      <c r="F9270" s="31"/>
    </row>
    <row r="9271">
      <c r="A9271" s="134" t="str">
        <f>IFERROR(__xludf.DUMMYFUNCTION("""COMPUTED_VALUE"""),"Woja")</f>
        <v>Woja</v>
      </c>
      <c r="B9271" s="120" t="str">
        <f>IFERROR(__xludf.DUMMYFUNCTION("""COMPUTED_VALUE"""),"WJA")</f>
        <v>WJA</v>
      </c>
      <c r="C9271" s="120" t="str">
        <f>IFERROR(__xludf.DUMMYFUNCTION("""COMPUTED_VALUE"""),"Woja")</f>
        <v>Woja</v>
      </c>
      <c r="D9271" s="120" t="str">
        <f>IFERROR(__xludf.DUMMYFUNCTION("""COMPUTED_VALUE"""),"Marshall Islands")</f>
        <v>Marshall Islands</v>
      </c>
      <c r="E9271" s="135"/>
      <c r="F9271" s="31"/>
    </row>
    <row r="9272">
      <c r="A9272" s="134" t="str">
        <f>IFERROR(__xludf.DUMMYFUNCTION("""COMPUTED_VALUE"""),"Wolf Point")</f>
        <v>Wolf Point</v>
      </c>
      <c r="B9272" s="120" t="str">
        <f>IFERROR(__xludf.DUMMYFUNCTION("""COMPUTED_VALUE"""),"OLF")</f>
        <v>OLF</v>
      </c>
      <c r="C9272" s="120" t="str">
        <f>IFERROR(__xludf.DUMMYFUNCTION("""COMPUTED_VALUE"""),"International")</f>
        <v>International</v>
      </c>
      <c r="D9272" s="120" t="str">
        <f>IFERROR(__xludf.DUMMYFUNCTION("""COMPUTED_VALUE"""),"United States")</f>
        <v>United States</v>
      </c>
      <c r="E9272" s="135"/>
      <c r="F9272" s="31"/>
    </row>
    <row r="9273">
      <c r="A9273" s="134" t="str">
        <f>IFERROR(__xludf.DUMMYFUNCTION("""COMPUTED_VALUE"""),"Wollaston Lake")</f>
        <v>Wollaston Lake</v>
      </c>
      <c r="B9273" s="120" t="str">
        <f>IFERROR(__xludf.DUMMYFUNCTION("""COMPUTED_VALUE"""),"ZWL")</f>
        <v>ZWL</v>
      </c>
      <c r="C9273" s="120" t="str">
        <f>IFERROR(__xludf.DUMMYFUNCTION("""COMPUTED_VALUE"""),"Wollaston Lake")</f>
        <v>Wollaston Lake</v>
      </c>
      <c r="D9273" s="120" t="str">
        <f>IFERROR(__xludf.DUMMYFUNCTION("""COMPUTED_VALUE"""),"Canada")</f>
        <v>Canada</v>
      </c>
      <c r="E9273" s="135"/>
      <c r="F9273" s="31"/>
    </row>
    <row r="9274">
      <c r="A9274" s="134" t="str">
        <f>IFERROR(__xludf.DUMMYFUNCTION("""COMPUTED_VALUE"""),"Wollogorang")</f>
        <v>Wollogorang</v>
      </c>
      <c r="B9274" s="120" t="str">
        <f>IFERROR(__xludf.DUMMYFUNCTION("""COMPUTED_VALUE"""),"WLL")</f>
        <v>WLL</v>
      </c>
      <c r="C9274" s="120" t="str">
        <f>IFERROR(__xludf.DUMMYFUNCTION("""COMPUTED_VALUE"""),"Wollogorang")</f>
        <v>Wollogorang</v>
      </c>
      <c r="D9274" s="120" t="str">
        <f>IFERROR(__xludf.DUMMYFUNCTION("""COMPUTED_VALUE"""),"Australia")</f>
        <v>Australia</v>
      </c>
      <c r="E9274" s="135"/>
      <c r="F9274" s="31"/>
    </row>
    <row r="9275">
      <c r="A9275" s="134" t="str">
        <f>IFERROR(__xludf.DUMMYFUNCTION("""COMPUTED_VALUE"""),"Wollongong")</f>
        <v>Wollongong</v>
      </c>
      <c r="B9275" s="120" t="str">
        <f>IFERROR(__xludf.DUMMYFUNCTION("""COMPUTED_VALUE"""),"WOL")</f>
        <v>WOL</v>
      </c>
      <c r="C9275" s="120" t="str">
        <f>IFERROR(__xludf.DUMMYFUNCTION("""COMPUTED_VALUE"""),"Wollongong")</f>
        <v>Wollongong</v>
      </c>
      <c r="D9275" s="120" t="str">
        <f>IFERROR(__xludf.DUMMYFUNCTION("""COMPUTED_VALUE"""),"Australia")</f>
        <v>Australia</v>
      </c>
      <c r="E9275" s="135"/>
      <c r="F9275" s="31"/>
    </row>
    <row r="9276">
      <c r="A9276" s="134" t="str">
        <f>IFERROR(__xludf.DUMMYFUNCTION("""COMPUTED_VALUE"""),"Wologissi")</f>
        <v>Wologissi</v>
      </c>
      <c r="B9276" s="120" t="str">
        <f>IFERROR(__xludf.DUMMYFUNCTION("""COMPUTED_VALUE"""),"WOI")</f>
        <v>WOI</v>
      </c>
      <c r="C9276" s="120" t="str">
        <f>IFERROR(__xludf.DUMMYFUNCTION("""COMPUTED_VALUE"""),"Wologissi")</f>
        <v>Wologissi</v>
      </c>
      <c r="D9276" s="120" t="str">
        <f>IFERROR(__xludf.DUMMYFUNCTION("""COMPUTED_VALUE"""),"Liberia")</f>
        <v>Liberia</v>
      </c>
      <c r="E9276" s="135"/>
      <c r="F9276" s="31"/>
    </row>
    <row r="9277">
      <c r="A9277" s="134" t="str">
        <f>IFERROR(__xludf.DUMMYFUNCTION("""COMPUTED_VALUE"""),"Wonan")</f>
        <v>Wonan</v>
      </c>
      <c r="B9277" s="120" t="str">
        <f>IFERROR(__xludf.DUMMYFUNCTION("""COMPUTED_VALUE"""),"WOT")</f>
        <v>WOT</v>
      </c>
      <c r="C9277" s="120" t="str">
        <f>IFERROR(__xludf.DUMMYFUNCTION("""COMPUTED_VALUE"""),"Wonan")</f>
        <v>Wonan</v>
      </c>
      <c r="D9277" s="120" t="str">
        <f>IFERROR(__xludf.DUMMYFUNCTION("""COMPUTED_VALUE"""),"Taiwan")</f>
        <v>Taiwan</v>
      </c>
      <c r="E9277" s="135"/>
      <c r="F9277" s="31"/>
    </row>
    <row r="9278">
      <c r="A9278" s="134" t="str">
        <f>IFERROR(__xludf.DUMMYFUNCTION("""COMPUTED_VALUE"""),"Wondai")</f>
        <v>Wondai</v>
      </c>
      <c r="B9278" s="120" t="str">
        <f>IFERROR(__xludf.DUMMYFUNCTION("""COMPUTED_VALUE"""),"WDI")</f>
        <v>WDI</v>
      </c>
      <c r="C9278" s="120" t="str">
        <f>IFERROR(__xludf.DUMMYFUNCTION("""COMPUTED_VALUE"""),"Wondai")</f>
        <v>Wondai</v>
      </c>
      <c r="D9278" s="120" t="str">
        <f>IFERROR(__xludf.DUMMYFUNCTION("""COMPUTED_VALUE"""),"Australia")</f>
        <v>Australia</v>
      </c>
      <c r="E9278" s="135"/>
      <c r="F9278" s="31"/>
    </row>
    <row r="9279">
      <c r="A9279" s="134" t="str">
        <f>IFERROR(__xludf.DUMMYFUNCTION("""COMPUTED_VALUE"""),"Wondoola")</f>
        <v>Wondoola</v>
      </c>
      <c r="B9279" s="120" t="str">
        <f>IFERROR(__xludf.DUMMYFUNCTION("""COMPUTED_VALUE"""),"WON")</f>
        <v>WON</v>
      </c>
      <c r="C9279" s="120" t="str">
        <f>IFERROR(__xludf.DUMMYFUNCTION("""COMPUTED_VALUE"""),"Wondoola")</f>
        <v>Wondoola</v>
      </c>
      <c r="D9279" s="120" t="str">
        <f>IFERROR(__xludf.DUMMYFUNCTION("""COMPUTED_VALUE"""),"Australia")</f>
        <v>Australia</v>
      </c>
      <c r="E9279" s="135"/>
      <c r="F9279" s="31"/>
    </row>
    <row r="9280">
      <c r="A9280" s="134" t="str">
        <f>IFERROR(__xludf.DUMMYFUNCTION("""COMPUTED_VALUE"""),"Wonenara")</f>
        <v>Wonenara</v>
      </c>
      <c r="B9280" s="120" t="str">
        <f>IFERROR(__xludf.DUMMYFUNCTION("""COMPUTED_VALUE"""),"WOA")</f>
        <v>WOA</v>
      </c>
      <c r="C9280" s="120" t="str">
        <f>IFERROR(__xludf.DUMMYFUNCTION("""COMPUTED_VALUE"""),"Wonenara")</f>
        <v>Wonenara</v>
      </c>
      <c r="D9280" s="120" t="str">
        <f>IFERROR(__xludf.DUMMYFUNCTION("""COMPUTED_VALUE"""),"Papua New Guinea")</f>
        <v>Papua New Guinea</v>
      </c>
      <c r="E9280" s="135"/>
      <c r="F9280" s="31"/>
    </row>
    <row r="9281">
      <c r="A9281" s="134" t="str">
        <f>IFERROR(__xludf.DUMMYFUNCTION("""COMPUTED_VALUE"""),"WonJu")</f>
        <v>WonJu</v>
      </c>
      <c r="B9281" s="120" t="str">
        <f>IFERROR(__xludf.DUMMYFUNCTION("""COMPUTED_VALUE"""),"WJU")</f>
        <v>WJU</v>
      </c>
      <c r="C9281" s="120" t="str">
        <f>IFERROR(__xludf.DUMMYFUNCTION("""COMPUTED_VALUE"""),"WonJu")</f>
        <v>WonJu</v>
      </c>
      <c r="D9281" s="120" t="str">
        <f>IFERROR(__xludf.DUMMYFUNCTION("""COMPUTED_VALUE"""),"Korea (South)")</f>
        <v>Korea (South)</v>
      </c>
      <c r="E9281" s="135"/>
      <c r="F9281" s="31"/>
    </row>
    <row r="9282">
      <c r="A9282" s="134" t="str">
        <f>IFERROR(__xludf.DUMMYFUNCTION("""COMPUTED_VALUE"""),"Wonken")</f>
        <v>Wonken</v>
      </c>
      <c r="B9282" s="120" t="str">
        <f>IFERROR(__xludf.DUMMYFUNCTION("""COMPUTED_VALUE"""),"WOK")</f>
        <v>WOK</v>
      </c>
      <c r="C9282" s="120" t="str">
        <f>IFERROR(__xludf.DUMMYFUNCTION("""COMPUTED_VALUE"""),"Wonken")</f>
        <v>Wonken</v>
      </c>
      <c r="D9282" s="120" t="str">
        <f>IFERROR(__xludf.DUMMYFUNCTION("""COMPUTED_VALUE"""),"Venezuela")</f>
        <v>Venezuela</v>
      </c>
      <c r="E9282" s="135"/>
      <c r="F9282" s="31"/>
    </row>
    <row r="9283">
      <c r="A9283" s="134" t="str">
        <f>IFERROR(__xludf.DUMMYFUNCTION("""COMPUTED_VALUE"""),"Wood River")</f>
        <v>Wood River</v>
      </c>
      <c r="B9283" s="120" t="str">
        <f>IFERROR(__xludf.DUMMYFUNCTION("""COMPUTED_VALUE"""),"WOD")</f>
        <v>WOD</v>
      </c>
      <c r="C9283" s="120" t="str">
        <f>IFERROR(__xludf.DUMMYFUNCTION("""COMPUTED_VALUE"""),"Wood River")</f>
        <v>Wood River</v>
      </c>
      <c r="D9283" s="120" t="str">
        <f>IFERROR(__xludf.DUMMYFUNCTION("""COMPUTED_VALUE"""),"United States")</f>
        <v>United States</v>
      </c>
      <c r="E9283" s="135"/>
      <c r="F9283" s="31"/>
    </row>
    <row r="9284">
      <c r="A9284" s="134" t="str">
        <f>IFERROR(__xludf.DUMMYFUNCTION("""COMPUTED_VALUE"""),"Woodbridge")</f>
        <v>Woodbridge</v>
      </c>
      <c r="B9284" s="120" t="str">
        <f>IFERROR(__xludf.DUMMYFUNCTION("""COMPUTED_VALUE"""),"BWY")</f>
        <v>BWY</v>
      </c>
      <c r="C9284" s="120" t="str">
        <f>IFERROR(__xludf.DUMMYFUNCTION("""COMPUTED_VALUE"""),"Bentwaters St")</f>
        <v>Bentwaters St</v>
      </c>
      <c r="D9284" s="120" t="str">
        <f>IFERROR(__xludf.DUMMYFUNCTION("""COMPUTED_VALUE"""),"United Kingdom")</f>
        <v>United Kingdom</v>
      </c>
      <c r="E9284" s="135"/>
      <c r="F9284" s="31"/>
    </row>
    <row r="9285">
      <c r="A9285" s="134" t="str">
        <f>IFERROR(__xludf.DUMMYFUNCTION("""COMPUTED_VALUE"""),"Woodchopper")</f>
        <v>Woodchopper</v>
      </c>
      <c r="B9285" s="120" t="str">
        <f>IFERROR(__xludf.DUMMYFUNCTION("""COMPUTED_VALUE"""),"WOO")</f>
        <v>WOO</v>
      </c>
      <c r="C9285" s="120" t="str">
        <f>IFERROR(__xludf.DUMMYFUNCTION("""COMPUTED_VALUE"""),"Woodchopper")</f>
        <v>Woodchopper</v>
      </c>
      <c r="D9285" s="120" t="str">
        <f>IFERROR(__xludf.DUMMYFUNCTION("""COMPUTED_VALUE"""),"United States")</f>
        <v>United States</v>
      </c>
      <c r="E9285" s="135"/>
      <c r="F9285" s="31"/>
    </row>
    <row r="9286">
      <c r="A9286" s="134" t="str">
        <f>IFERROR(__xludf.DUMMYFUNCTION("""COMPUTED_VALUE"""),"Woodford")</f>
        <v>Woodford</v>
      </c>
      <c r="B9286" s="120" t="str">
        <f>IFERROR(__xludf.DUMMYFUNCTION("""COMPUTED_VALUE"""),"WFD")</f>
        <v>WFD</v>
      </c>
      <c r="C9286" s="120" t="str">
        <f>IFERROR(__xludf.DUMMYFUNCTION("""COMPUTED_VALUE"""),"Woodford")</f>
        <v>Woodford</v>
      </c>
      <c r="D9286" s="120" t="str">
        <f>IFERROR(__xludf.DUMMYFUNCTION("""COMPUTED_VALUE"""),"United Kingdom")</f>
        <v>United Kingdom</v>
      </c>
      <c r="E9286" s="135"/>
      <c r="F9286" s="31"/>
    </row>
    <row r="9287">
      <c r="A9287" s="134" t="str">
        <f>IFERROR(__xludf.DUMMYFUNCTION("""COMPUTED_VALUE"""),"Woodgreen")</f>
        <v>Woodgreen</v>
      </c>
      <c r="B9287" s="120" t="str">
        <f>IFERROR(__xludf.DUMMYFUNCTION("""COMPUTED_VALUE"""),"WOG")</f>
        <v>WOG</v>
      </c>
      <c r="C9287" s="120" t="str">
        <f>IFERROR(__xludf.DUMMYFUNCTION("""COMPUTED_VALUE"""),"Woodgreen")</f>
        <v>Woodgreen</v>
      </c>
      <c r="D9287" s="120" t="str">
        <f>IFERROR(__xludf.DUMMYFUNCTION("""COMPUTED_VALUE"""),"Australia")</f>
        <v>Australia</v>
      </c>
      <c r="E9287" s="135"/>
      <c r="F9287" s="31"/>
    </row>
    <row r="9288">
      <c r="A9288" s="134" t="str">
        <f>IFERROR(__xludf.DUMMYFUNCTION("""COMPUTED_VALUE"""),"Woodie Woodie")</f>
        <v>Woodie Woodie</v>
      </c>
      <c r="B9288" s="120" t="str">
        <f>IFERROR(__xludf.DUMMYFUNCTION("""COMPUTED_VALUE"""),"WWI")</f>
        <v>WWI</v>
      </c>
      <c r="C9288" s="120" t="str">
        <f>IFERROR(__xludf.DUMMYFUNCTION("""COMPUTED_VALUE"""),"Woodie Woodie")</f>
        <v>Woodie Woodie</v>
      </c>
      <c r="D9288" s="120" t="str">
        <f>IFERROR(__xludf.DUMMYFUNCTION("""COMPUTED_VALUE"""),"Australia")</f>
        <v>Australia</v>
      </c>
      <c r="E9288" s="135"/>
      <c r="F9288" s="31"/>
    </row>
    <row r="9289">
      <c r="A9289" s="134" t="str">
        <f>IFERROR(__xludf.DUMMYFUNCTION("""COMPUTED_VALUE"""),"Woodward")</f>
        <v>Woodward</v>
      </c>
      <c r="B9289" s="120" t="str">
        <f>IFERROR(__xludf.DUMMYFUNCTION("""COMPUTED_VALUE"""),"WWR")</f>
        <v>WWR</v>
      </c>
      <c r="C9289" s="120" t="str">
        <f>IFERROR(__xludf.DUMMYFUNCTION("""COMPUTED_VALUE"""),"West Woodward")</f>
        <v>West Woodward</v>
      </c>
      <c r="D9289" s="120" t="str">
        <f>IFERROR(__xludf.DUMMYFUNCTION("""COMPUTED_VALUE"""),"United States")</f>
        <v>United States</v>
      </c>
      <c r="E9289" s="135"/>
      <c r="F9289" s="31"/>
    </row>
    <row r="9290">
      <c r="A9290" s="134" t="str">
        <f>IFERROR(__xludf.DUMMYFUNCTION("""COMPUTED_VALUE"""),"Woomera")</f>
        <v>Woomera</v>
      </c>
      <c r="B9290" s="120" t="str">
        <f>IFERROR(__xludf.DUMMYFUNCTION("""COMPUTED_VALUE"""),"UMR")</f>
        <v>UMR</v>
      </c>
      <c r="C9290" s="120" t="str">
        <f>IFERROR(__xludf.DUMMYFUNCTION("""COMPUTED_VALUE"""),"Woomera")</f>
        <v>Woomera</v>
      </c>
      <c r="D9290" s="120" t="str">
        <f>IFERROR(__xludf.DUMMYFUNCTION("""COMPUTED_VALUE"""),"Australia")</f>
        <v>Australia</v>
      </c>
      <c r="E9290" s="135"/>
      <c r="F9290" s="31"/>
    </row>
    <row r="9291">
      <c r="A9291" s="134" t="str">
        <f>IFERROR(__xludf.DUMMYFUNCTION("""COMPUTED_VALUE"""),"Wooster")</f>
        <v>Wooster</v>
      </c>
      <c r="B9291" s="120" t="str">
        <f>IFERROR(__xludf.DUMMYFUNCTION("""COMPUTED_VALUE"""),"BJJ")</f>
        <v>BJJ</v>
      </c>
      <c r="C9291" s="120" t="str">
        <f>IFERROR(__xludf.DUMMYFUNCTION("""COMPUTED_VALUE"""),"Wayne County")</f>
        <v>Wayne County</v>
      </c>
      <c r="D9291" s="120" t="str">
        <f>IFERROR(__xludf.DUMMYFUNCTION("""COMPUTED_VALUE"""),"United States")</f>
        <v>United States</v>
      </c>
      <c r="E9291" s="135"/>
      <c r="F9291" s="31"/>
    </row>
    <row r="9292">
      <c r="A9292" s="134" t="str">
        <f>IFERROR(__xludf.DUMMYFUNCTION("""COMPUTED_VALUE"""),"Wora Na Ye")</f>
        <v>Wora Na Ye</v>
      </c>
      <c r="B9292" s="120" t="str">
        <f>IFERROR(__xludf.DUMMYFUNCTION("""COMPUTED_VALUE"""),"WNE")</f>
        <v>WNE</v>
      </c>
      <c r="C9292" s="120" t="str">
        <f>IFERROR(__xludf.DUMMYFUNCTION("""COMPUTED_VALUE"""),"Wora Na Ye")</f>
        <v>Wora Na Ye</v>
      </c>
      <c r="D9292" s="120" t="str">
        <f>IFERROR(__xludf.DUMMYFUNCTION("""COMPUTED_VALUE"""),"Gabon")</f>
        <v>Gabon</v>
      </c>
      <c r="E9292" s="135"/>
      <c r="F9292" s="31"/>
    </row>
    <row r="9293">
      <c r="A9293" s="134" t="str">
        <f>IFERROR(__xludf.DUMMYFUNCTION("""COMPUTED_VALUE"""),"Worcester")</f>
        <v>Worcester</v>
      </c>
      <c r="B9293" s="120" t="str">
        <f>IFERROR(__xludf.DUMMYFUNCTION("""COMPUTED_VALUE"""),"ORH")</f>
        <v>ORH</v>
      </c>
      <c r="C9293" s="120" t="str">
        <f>IFERROR(__xludf.DUMMYFUNCTION("""COMPUTED_VALUE"""),"Worcester")</f>
        <v>Worcester</v>
      </c>
      <c r="D9293" s="120" t="str">
        <f>IFERROR(__xludf.DUMMYFUNCTION("""COMPUTED_VALUE"""),"United States")</f>
        <v>United States</v>
      </c>
      <c r="E9293" s="135"/>
      <c r="F9293" s="31"/>
    </row>
    <row r="9294">
      <c r="A9294" s="134" t="str">
        <f>IFERROR(__xludf.DUMMYFUNCTION("""COMPUTED_VALUE"""),"Worland")</f>
        <v>Worland</v>
      </c>
      <c r="B9294" s="120" t="str">
        <f>IFERROR(__xludf.DUMMYFUNCTION("""COMPUTED_VALUE"""),"WRL")</f>
        <v>WRL</v>
      </c>
      <c r="C9294" s="120" t="str">
        <f>IFERROR(__xludf.DUMMYFUNCTION("""COMPUTED_VALUE"""),"Worland")</f>
        <v>Worland</v>
      </c>
      <c r="D9294" s="120" t="str">
        <f>IFERROR(__xludf.DUMMYFUNCTION("""COMPUTED_VALUE"""),"United States")</f>
        <v>United States</v>
      </c>
      <c r="E9294" s="135"/>
      <c r="F9294" s="31"/>
    </row>
    <row r="9295">
      <c r="A9295" s="134" t="str">
        <f>IFERROR(__xludf.DUMMYFUNCTION("""COMPUTED_VALUE"""),"Worthington")</f>
        <v>Worthington</v>
      </c>
      <c r="B9295" s="120" t="str">
        <f>IFERROR(__xludf.DUMMYFUNCTION("""COMPUTED_VALUE"""),"OTG")</f>
        <v>OTG</v>
      </c>
      <c r="C9295" s="120" t="str">
        <f>IFERROR(__xludf.DUMMYFUNCTION("""COMPUTED_VALUE"""),"Worthington")</f>
        <v>Worthington</v>
      </c>
      <c r="D9295" s="120" t="str">
        <f>IFERROR(__xludf.DUMMYFUNCTION("""COMPUTED_VALUE"""),"United States")</f>
        <v>United States</v>
      </c>
      <c r="E9295" s="135"/>
      <c r="F9295" s="31"/>
    </row>
    <row r="9296">
      <c r="A9296" s="134" t="str">
        <f>IFERROR(__xludf.DUMMYFUNCTION("""COMPUTED_VALUE"""),"Wotho Island")</f>
        <v>Wotho Island</v>
      </c>
      <c r="B9296" s="120" t="str">
        <f>IFERROR(__xludf.DUMMYFUNCTION("""COMPUTED_VALUE"""),"WTO")</f>
        <v>WTO</v>
      </c>
      <c r="C9296" s="120" t="str">
        <f>IFERROR(__xludf.DUMMYFUNCTION("""COMPUTED_VALUE"""),"Wotho Island")</f>
        <v>Wotho Island</v>
      </c>
      <c r="D9296" s="120" t="str">
        <f>IFERROR(__xludf.DUMMYFUNCTION("""COMPUTED_VALUE"""),"Marshall Islands")</f>
        <v>Marshall Islands</v>
      </c>
      <c r="E9296" s="135"/>
      <c r="F9296" s="31"/>
    </row>
    <row r="9297">
      <c r="A9297" s="134" t="str">
        <f>IFERROR(__xludf.DUMMYFUNCTION("""COMPUTED_VALUE"""),"Wotje Island")</f>
        <v>Wotje Island</v>
      </c>
      <c r="B9297" s="120" t="str">
        <f>IFERROR(__xludf.DUMMYFUNCTION("""COMPUTED_VALUE"""),"WTE")</f>
        <v>WTE</v>
      </c>
      <c r="C9297" s="120" t="str">
        <f>IFERROR(__xludf.DUMMYFUNCTION("""COMPUTED_VALUE"""),"Wotje Island")</f>
        <v>Wotje Island</v>
      </c>
      <c r="D9297" s="120" t="str">
        <f>IFERROR(__xludf.DUMMYFUNCTION("""COMPUTED_VALUE"""),"Marshall Islands")</f>
        <v>Marshall Islands</v>
      </c>
      <c r="E9297" s="135"/>
      <c r="F9297" s="31"/>
    </row>
    <row r="9298">
      <c r="A9298" s="134" t="str">
        <f>IFERROR(__xludf.DUMMYFUNCTION("""COMPUTED_VALUE"""),"Wrangell")</f>
        <v>Wrangell</v>
      </c>
      <c r="B9298" s="120" t="str">
        <f>IFERROR(__xludf.DUMMYFUNCTION("""COMPUTED_VALUE"""),"WRG")</f>
        <v>WRG</v>
      </c>
      <c r="C9298" s="120" t="str">
        <f>IFERROR(__xludf.DUMMYFUNCTION("""COMPUTED_VALUE"""),"Wrangell SPB")</f>
        <v>Wrangell SPB</v>
      </c>
      <c r="D9298" s="120" t="str">
        <f>IFERROR(__xludf.DUMMYFUNCTION("""COMPUTED_VALUE"""),"United States")</f>
        <v>United States</v>
      </c>
      <c r="E9298" s="135"/>
      <c r="F9298" s="31"/>
    </row>
    <row r="9299">
      <c r="A9299" s="134" t="str">
        <f>IFERROR(__xludf.DUMMYFUNCTION("""COMPUTED_VALUE"""),"Wrench Creek")</f>
        <v>Wrench Creek</v>
      </c>
      <c r="B9299" s="120" t="str">
        <f>IFERROR(__xludf.DUMMYFUNCTION("""COMPUTED_VALUE"""),"WRH")</f>
        <v>WRH</v>
      </c>
      <c r="C9299" s="120" t="str">
        <f>IFERROR(__xludf.DUMMYFUNCTION("""COMPUTED_VALUE"""),"Wrench Creek")</f>
        <v>Wrench Creek</v>
      </c>
      <c r="D9299" s="120" t="str">
        <f>IFERROR(__xludf.DUMMYFUNCTION("""COMPUTED_VALUE"""),"United States")</f>
        <v>United States</v>
      </c>
      <c r="E9299" s="135"/>
      <c r="F9299" s="31"/>
    </row>
    <row r="9300">
      <c r="A9300" s="134" t="str">
        <f>IFERROR(__xludf.DUMMYFUNCTION("""COMPUTED_VALUE"""),"Wrigley")</f>
        <v>Wrigley</v>
      </c>
      <c r="B9300" s="120" t="str">
        <f>IFERROR(__xludf.DUMMYFUNCTION("""COMPUTED_VALUE"""),"YWY")</f>
        <v>YWY</v>
      </c>
      <c r="C9300" s="120" t="str">
        <f>IFERROR(__xludf.DUMMYFUNCTION("""COMPUTED_VALUE"""),"Wrigley")</f>
        <v>Wrigley</v>
      </c>
      <c r="D9300" s="120" t="str">
        <f>IFERROR(__xludf.DUMMYFUNCTION("""COMPUTED_VALUE"""),"Canada")</f>
        <v>Canada</v>
      </c>
      <c r="E9300" s="135"/>
      <c r="F9300" s="31"/>
    </row>
    <row r="9301">
      <c r="A9301" s="134" t="str">
        <f>IFERROR(__xludf.DUMMYFUNCTION("""COMPUTED_VALUE"""),"Wroclaw")</f>
        <v>Wroclaw</v>
      </c>
      <c r="B9301" s="120" t="str">
        <f>IFERROR(__xludf.DUMMYFUNCTION("""COMPUTED_VALUE"""),"WRO")</f>
        <v>WRO</v>
      </c>
      <c r="C9301" s="120" t="str">
        <f>IFERROR(__xludf.DUMMYFUNCTION("""COMPUTED_VALUE"""),"Strachowice")</f>
        <v>Strachowice</v>
      </c>
      <c r="D9301" s="120" t="str">
        <f>IFERROR(__xludf.DUMMYFUNCTION("""COMPUTED_VALUE"""),"Poland")</f>
        <v>Poland</v>
      </c>
      <c r="E9301" s="135"/>
      <c r="F9301" s="31"/>
    </row>
    <row r="9302">
      <c r="A9302" s="134" t="str">
        <f>IFERROR(__xludf.DUMMYFUNCTION("""COMPUTED_VALUE"""),"Wrotham Park")</f>
        <v>Wrotham Park</v>
      </c>
      <c r="B9302" s="120" t="str">
        <f>IFERROR(__xludf.DUMMYFUNCTION("""COMPUTED_VALUE"""),"WPK")</f>
        <v>WPK</v>
      </c>
      <c r="C9302" s="120" t="str">
        <f>IFERROR(__xludf.DUMMYFUNCTION("""COMPUTED_VALUE"""),"Wrotham Park")</f>
        <v>Wrotham Park</v>
      </c>
      <c r="D9302" s="120" t="str">
        <f>IFERROR(__xludf.DUMMYFUNCTION("""COMPUTED_VALUE"""),"Australia")</f>
        <v>Australia</v>
      </c>
      <c r="E9302" s="135"/>
      <c r="F9302" s="31"/>
    </row>
    <row r="9303">
      <c r="A9303" s="134" t="str">
        <f>IFERROR(__xludf.DUMMYFUNCTION("""COMPUTED_VALUE"""),"Wu Hai")</f>
        <v>Wu Hai</v>
      </c>
      <c r="B9303" s="120" t="str">
        <f>IFERROR(__xludf.DUMMYFUNCTION("""COMPUTED_VALUE"""),"WUA")</f>
        <v>WUA</v>
      </c>
      <c r="C9303" s="120" t="str">
        <f>IFERROR(__xludf.DUMMYFUNCTION("""COMPUTED_VALUE"""),"Wu Hai")</f>
        <v>Wu Hai</v>
      </c>
      <c r="D9303" s="120" t="str">
        <f>IFERROR(__xludf.DUMMYFUNCTION("""COMPUTED_VALUE"""),"China")</f>
        <v>China</v>
      </c>
      <c r="E9303" s="135"/>
      <c r="F9303" s="31"/>
    </row>
    <row r="9304">
      <c r="A9304" s="134" t="str">
        <f>IFERROR(__xludf.DUMMYFUNCTION("""COMPUTED_VALUE"""),"Wudinna")</f>
        <v>Wudinna</v>
      </c>
      <c r="B9304" s="120" t="str">
        <f>IFERROR(__xludf.DUMMYFUNCTION("""COMPUTED_VALUE"""),"WUD")</f>
        <v>WUD</v>
      </c>
      <c r="C9304" s="120" t="str">
        <f>IFERROR(__xludf.DUMMYFUNCTION("""COMPUTED_VALUE"""),"Wudinna")</f>
        <v>Wudinna</v>
      </c>
      <c r="D9304" s="120" t="str">
        <f>IFERROR(__xludf.DUMMYFUNCTION("""COMPUTED_VALUE"""),"Australia")</f>
        <v>Australia</v>
      </c>
      <c r="E9304" s="135"/>
      <c r="F9304" s="31"/>
    </row>
    <row r="9305">
      <c r="A9305" s="134" t="str">
        <f>IFERROR(__xludf.DUMMYFUNCTION("""COMPUTED_VALUE"""),"Wuhan")</f>
        <v>Wuhan</v>
      </c>
      <c r="B9305" s="120" t="str">
        <f>IFERROR(__xludf.DUMMYFUNCTION("""COMPUTED_VALUE"""),"WUH")</f>
        <v>WUH</v>
      </c>
      <c r="C9305" s="120" t="str">
        <f>IFERROR(__xludf.DUMMYFUNCTION("""COMPUTED_VALUE"""),"Wuhan")</f>
        <v>Wuhan</v>
      </c>
      <c r="D9305" s="120" t="str">
        <f>IFERROR(__xludf.DUMMYFUNCTION("""COMPUTED_VALUE"""),"China")</f>
        <v>China</v>
      </c>
      <c r="E9305" s="135"/>
      <c r="F9305" s="31"/>
    </row>
    <row r="9306">
      <c r="A9306" s="134" t="str">
        <f>IFERROR(__xludf.DUMMYFUNCTION("""COMPUTED_VALUE"""),"Wuhu")</f>
        <v>Wuhu</v>
      </c>
      <c r="B9306" s="120" t="str">
        <f>IFERROR(__xludf.DUMMYFUNCTION("""COMPUTED_VALUE"""),"WHU")</f>
        <v>WHU</v>
      </c>
      <c r="C9306" s="120" t="str">
        <f>IFERROR(__xludf.DUMMYFUNCTION("""COMPUTED_VALUE"""),"Wuhu")</f>
        <v>Wuhu</v>
      </c>
      <c r="D9306" s="120" t="str">
        <f>IFERROR(__xludf.DUMMYFUNCTION("""COMPUTED_VALUE"""),"China")</f>
        <v>China</v>
      </c>
      <c r="E9306" s="135"/>
      <c r="F9306" s="31"/>
    </row>
    <row r="9307">
      <c r="A9307" s="134" t="str">
        <f>IFERROR(__xludf.DUMMYFUNCTION("""COMPUTED_VALUE"""),"Wunnummin Lake")</f>
        <v>Wunnummin Lake</v>
      </c>
      <c r="B9307" s="120" t="str">
        <f>IFERROR(__xludf.DUMMYFUNCTION("""COMPUTED_VALUE"""),"WNN")</f>
        <v>WNN</v>
      </c>
      <c r="C9307" s="120" t="str">
        <f>IFERROR(__xludf.DUMMYFUNCTION("""COMPUTED_VALUE"""),"Wunnummin Lake")</f>
        <v>Wunnummin Lake</v>
      </c>
      <c r="D9307" s="120" t="str">
        <f>IFERROR(__xludf.DUMMYFUNCTION("""COMPUTED_VALUE"""),"Canada")</f>
        <v>Canada</v>
      </c>
      <c r="E9307" s="135"/>
      <c r="F9307" s="31"/>
    </row>
    <row r="9308">
      <c r="A9308" s="134" t="str">
        <f>IFERROR(__xludf.DUMMYFUNCTION("""COMPUTED_VALUE"""),"Wuvulu Is")</f>
        <v>Wuvulu Is</v>
      </c>
      <c r="B9308" s="120" t="str">
        <f>IFERROR(__xludf.DUMMYFUNCTION("""COMPUTED_VALUE"""),"WUV")</f>
        <v>WUV</v>
      </c>
      <c r="C9308" s="120" t="str">
        <f>IFERROR(__xludf.DUMMYFUNCTION("""COMPUTED_VALUE"""),"Wuvulu Is")</f>
        <v>Wuvulu Is</v>
      </c>
      <c r="D9308" s="120" t="str">
        <f>IFERROR(__xludf.DUMMYFUNCTION("""COMPUTED_VALUE"""),"Papua New Guinea")</f>
        <v>Papua New Guinea</v>
      </c>
      <c r="E9308" s="135"/>
      <c r="F9308" s="31"/>
    </row>
    <row r="9309">
      <c r="A9309" s="134" t="str">
        <f>IFERROR(__xludf.DUMMYFUNCTION("""COMPUTED_VALUE"""),"Wuxi")</f>
        <v>Wuxi</v>
      </c>
      <c r="B9309" s="120" t="str">
        <f>IFERROR(__xludf.DUMMYFUNCTION("""COMPUTED_VALUE"""),"WUX")</f>
        <v>WUX</v>
      </c>
      <c r="C9309" s="120" t="str">
        <f>IFERROR(__xludf.DUMMYFUNCTION("""COMPUTED_VALUE"""),"Wuxi")</f>
        <v>Wuxi</v>
      </c>
      <c r="D9309" s="120" t="str">
        <f>IFERROR(__xludf.DUMMYFUNCTION("""COMPUTED_VALUE"""),"China")</f>
        <v>China</v>
      </c>
      <c r="E9309" s="135"/>
      <c r="F9309" s="31"/>
    </row>
    <row r="9310">
      <c r="A9310" s="134" t="str">
        <f>IFERROR(__xludf.DUMMYFUNCTION("""COMPUTED_VALUE"""),"Wuyishan")</f>
        <v>Wuyishan</v>
      </c>
      <c r="B9310" s="120" t="str">
        <f>IFERROR(__xludf.DUMMYFUNCTION("""COMPUTED_VALUE"""),"WUS")</f>
        <v>WUS</v>
      </c>
      <c r="C9310" s="120" t="str">
        <f>IFERROR(__xludf.DUMMYFUNCTION("""COMPUTED_VALUE"""),"Wuyishan")</f>
        <v>Wuyishan</v>
      </c>
      <c r="D9310" s="120" t="str">
        <f>IFERROR(__xludf.DUMMYFUNCTION("""COMPUTED_VALUE"""),"China")</f>
        <v>China</v>
      </c>
      <c r="E9310" s="135"/>
      <c r="F9310" s="31"/>
    </row>
    <row r="9311">
      <c r="A9311" s="134" t="str">
        <f>IFERROR(__xludf.DUMMYFUNCTION("""COMPUTED_VALUE"""),"Wuzhou")</f>
        <v>Wuzhou</v>
      </c>
      <c r="B9311" s="120" t="str">
        <f>IFERROR(__xludf.DUMMYFUNCTION("""COMPUTED_VALUE"""),"WUZ")</f>
        <v>WUZ</v>
      </c>
      <c r="C9311" s="120" t="str">
        <f>IFERROR(__xludf.DUMMYFUNCTION("""COMPUTED_VALUE"""),"Changzhoudao")</f>
        <v>Changzhoudao</v>
      </c>
      <c r="D9311" s="120" t="str">
        <f>IFERROR(__xludf.DUMMYFUNCTION("""COMPUTED_VALUE"""),"China")</f>
        <v>China</v>
      </c>
      <c r="E9311" s="135"/>
      <c r="F9311" s="31"/>
    </row>
    <row r="9312">
      <c r="A9312" s="134" t="str">
        <f>IFERROR(__xludf.DUMMYFUNCTION("""COMPUTED_VALUE"""),"Wyk Auf Foehr")</f>
        <v>Wyk Auf Foehr</v>
      </c>
      <c r="B9312" s="120" t="str">
        <f>IFERROR(__xludf.DUMMYFUNCTION("""COMPUTED_VALUE"""),"OHR")</f>
        <v>OHR</v>
      </c>
      <c r="C9312" s="120" t="str">
        <f>IFERROR(__xludf.DUMMYFUNCTION("""COMPUTED_VALUE"""),"Wyk Auf Foehr")</f>
        <v>Wyk Auf Foehr</v>
      </c>
      <c r="D9312" s="120" t="str">
        <f>IFERROR(__xludf.DUMMYFUNCTION("""COMPUTED_VALUE"""),"Germany")</f>
        <v>Germany</v>
      </c>
      <c r="E9312" s="135"/>
      <c r="F9312" s="31"/>
    </row>
    <row r="9313">
      <c r="A9313" s="134" t="str">
        <f>IFERROR(__xludf.DUMMYFUNCTION("""COMPUTED_VALUE"""),"Wyndham")</f>
        <v>Wyndham</v>
      </c>
      <c r="B9313" s="120" t="str">
        <f>IFERROR(__xludf.DUMMYFUNCTION("""COMPUTED_VALUE"""),"WYN")</f>
        <v>WYN</v>
      </c>
      <c r="C9313" s="120" t="str">
        <f>IFERROR(__xludf.DUMMYFUNCTION("""COMPUTED_VALUE"""),"Wyndham")</f>
        <v>Wyndham</v>
      </c>
      <c r="D9313" s="120" t="str">
        <f>IFERROR(__xludf.DUMMYFUNCTION("""COMPUTED_VALUE"""),"Australia")</f>
        <v>Australia</v>
      </c>
      <c r="E9313" s="135"/>
      <c r="F9313" s="31"/>
    </row>
    <row r="9314">
      <c r="A9314" s="134" t="str">
        <f>IFERROR(__xludf.DUMMYFUNCTION("""COMPUTED_VALUE"""),"Xai Xai")</f>
        <v>Xai Xai</v>
      </c>
      <c r="B9314" s="120" t="str">
        <f>IFERROR(__xludf.DUMMYFUNCTION("""COMPUTED_VALUE"""),"VJB")</f>
        <v>VJB</v>
      </c>
      <c r="C9314" s="120" t="str">
        <f>IFERROR(__xludf.DUMMYFUNCTION("""COMPUTED_VALUE"""),"Xai Xai")</f>
        <v>Xai Xai</v>
      </c>
      <c r="D9314" s="120" t="str">
        <f>IFERROR(__xludf.DUMMYFUNCTION("""COMPUTED_VALUE"""),"Mozambique")</f>
        <v>Mozambique</v>
      </c>
      <c r="E9314" s="135"/>
      <c r="F9314" s="31"/>
    </row>
    <row r="9315">
      <c r="A9315" s="134" t="str">
        <f>IFERROR(__xludf.DUMMYFUNCTION("""COMPUTED_VALUE"""),"Xangongo")</f>
        <v>Xangongo</v>
      </c>
      <c r="B9315" s="120" t="str">
        <f>IFERROR(__xludf.DUMMYFUNCTION("""COMPUTED_VALUE"""),"XGN")</f>
        <v>XGN</v>
      </c>
      <c r="C9315" s="120" t="str">
        <f>IFERROR(__xludf.DUMMYFUNCTION("""COMPUTED_VALUE"""),"Xangongo")</f>
        <v>Xangongo</v>
      </c>
      <c r="D9315" s="120" t="str">
        <f>IFERROR(__xludf.DUMMYFUNCTION("""COMPUTED_VALUE"""),"Angola")</f>
        <v>Angola</v>
      </c>
      <c r="E9315" s="135"/>
      <c r="F9315" s="31"/>
    </row>
    <row r="9316">
      <c r="A9316" s="134" t="str">
        <f>IFERROR(__xludf.DUMMYFUNCTION("""COMPUTED_VALUE"""),"Xanxere")</f>
        <v>Xanxere</v>
      </c>
      <c r="B9316" s="120" t="str">
        <f>IFERROR(__xludf.DUMMYFUNCTION("""COMPUTED_VALUE"""),"AXE")</f>
        <v>AXE</v>
      </c>
      <c r="C9316" s="120" t="str">
        <f>IFERROR(__xludf.DUMMYFUNCTION("""COMPUTED_VALUE"""),"Xanxere")</f>
        <v>Xanxere</v>
      </c>
      <c r="D9316" s="120" t="str">
        <f>IFERROR(__xludf.DUMMYFUNCTION("""COMPUTED_VALUE"""),"Brazil")</f>
        <v>Brazil</v>
      </c>
      <c r="E9316" s="135"/>
      <c r="F9316" s="31"/>
    </row>
    <row r="9317">
      <c r="A9317" s="134" t="str">
        <f>IFERROR(__xludf.DUMMYFUNCTION("""COMPUTED_VALUE"""),"Xayabury")</f>
        <v>Xayabury</v>
      </c>
      <c r="B9317" s="120" t="str">
        <f>IFERROR(__xludf.DUMMYFUNCTION("""COMPUTED_VALUE"""),"XAY")</f>
        <v>XAY</v>
      </c>
      <c r="C9317" s="120" t="str">
        <f>IFERROR(__xludf.DUMMYFUNCTION("""COMPUTED_VALUE"""),"Xayabury")</f>
        <v>Xayabury</v>
      </c>
      <c r="D9317" s="120" t="str">
        <f>IFERROR(__xludf.DUMMYFUNCTION("""COMPUTED_VALUE"""),"Laos")</f>
        <v>Laos</v>
      </c>
      <c r="E9317" s="135"/>
      <c r="F9317" s="31"/>
    </row>
    <row r="9318">
      <c r="A9318" s="134" t="str">
        <f>IFERROR(__xludf.DUMMYFUNCTION("""COMPUTED_VALUE"""),"Xi An")</f>
        <v>Xi An</v>
      </c>
      <c r="B9318" s="120" t="str">
        <f>IFERROR(__xludf.DUMMYFUNCTION("""COMPUTED_VALUE"""),"XIY")</f>
        <v>XIY</v>
      </c>
      <c r="C9318" s="120" t="str">
        <f>IFERROR(__xludf.DUMMYFUNCTION("""COMPUTED_VALUE"""),"Xianyang")</f>
        <v>Xianyang</v>
      </c>
      <c r="D9318" s="120" t="str">
        <f>IFERROR(__xludf.DUMMYFUNCTION("""COMPUTED_VALUE"""),"China")</f>
        <v>China</v>
      </c>
      <c r="E9318" s="135"/>
      <c r="F9318" s="31"/>
    </row>
    <row r="9319">
      <c r="A9319" s="134" t="str">
        <f>IFERROR(__xludf.DUMMYFUNCTION("""COMPUTED_VALUE"""),"Xi An")</f>
        <v>Xi An</v>
      </c>
      <c r="B9319" s="120" t="str">
        <f>IFERROR(__xludf.DUMMYFUNCTION("""COMPUTED_VALUE"""),"SIA")</f>
        <v>SIA</v>
      </c>
      <c r="C9319" s="120" t="str">
        <f>IFERROR(__xludf.DUMMYFUNCTION("""COMPUTED_VALUE"""),"Xiguan")</f>
        <v>Xiguan</v>
      </c>
      <c r="D9319" s="120" t="str">
        <f>IFERROR(__xludf.DUMMYFUNCTION("""COMPUTED_VALUE"""),"China")</f>
        <v>China</v>
      </c>
      <c r="E9319" s="135"/>
      <c r="F9319" s="31"/>
    </row>
    <row r="9320">
      <c r="A9320" s="134" t="str">
        <f>IFERROR(__xludf.DUMMYFUNCTION("""COMPUTED_VALUE"""),"Xiamen")</f>
        <v>Xiamen</v>
      </c>
      <c r="B9320" s="120" t="str">
        <f>IFERROR(__xludf.DUMMYFUNCTION("""COMPUTED_VALUE"""),"XMN")</f>
        <v>XMN</v>
      </c>
      <c r="C9320" s="120" t="str">
        <f>IFERROR(__xludf.DUMMYFUNCTION("""COMPUTED_VALUE"""),"Xiamen")</f>
        <v>Xiamen</v>
      </c>
      <c r="D9320" s="120" t="str">
        <f>IFERROR(__xludf.DUMMYFUNCTION("""COMPUTED_VALUE"""),"China")</f>
        <v>China</v>
      </c>
      <c r="E9320" s="135"/>
      <c r="F9320" s="31"/>
    </row>
    <row r="9321">
      <c r="A9321" s="134" t="str">
        <f>IFERROR(__xludf.DUMMYFUNCTION("""COMPUTED_VALUE"""),"Xiangfan")</f>
        <v>Xiangfan</v>
      </c>
      <c r="B9321" s="120" t="str">
        <f>IFERROR(__xludf.DUMMYFUNCTION("""COMPUTED_VALUE"""),"XFN")</f>
        <v>XFN</v>
      </c>
      <c r="C9321" s="120" t="str">
        <f>IFERROR(__xludf.DUMMYFUNCTION("""COMPUTED_VALUE"""),"Xiangfan")</f>
        <v>Xiangfan</v>
      </c>
      <c r="D9321" s="120" t="str">
        <f>IFERROR(__xludf.DUMMYFUNCTION("""COMPUTED_VALUE"""),"China")</f>
        <v>China</v>
      </c>
      <c r="E9321" s="135"/>
      <c r="F9321" s="31"/>
    </row>
    <row r="9322">
      <c r="A9322" s="134" t="str">
        <f>IFERROR(__xludf.DUMMYFUNCTION("""COMPUTED_VALUE"""),"Xichang")</f>
        <v>Xichang</v>
      </c>
      <c r="B9322" s="120" t="str">
        <f>IFERROR(__xludf.DUMMYFUNCTION("""COMPUTED_VALUE"""),"XIC")</f>
        <v>XIC</v>
      </c>
      <c r="C9322" s="120" t="str">
        <f>IFERROR(__xludf.DUMMYFUNCTION("""COMPUTED_VALUE"""),"Xichang")</f>
        <v>Xichang</v>
      </c>
      <c r="D9322" s="120" t="str">
        <f>IFERROR(__xludf.DUMMYFUNCTION("""COMPUTED_VALUE"""),"China")</f>
        <v>China</v>
      </c>
      <c r="E9322" s="135"/>
      <c r="F9322" s="31"/>
    </row>
    <row r="9323">
      <c r="A9323" s="134" t="str">
        <f>IFERROR(__xludf.DUMMYFUNCTION("""COMPUTED_VALUE"""),"Xieng Khouang")</f>
        <v>Xieng Khouang</v>
      </c>
      <c r="B9323" s="120" t="str">
        <f>IFERROR(__xludf.DUMMYFUNCTION("""COMPUTED_VALUE"""),"XKH")</f>
        <v>XKH</v>
      </c>
      <c r="C9323" s="120" t="str">
        <f>IFERROR(__xludf.DUMMYFUNCTION("""COMPUTED_VALUE"""),"Xieng Khouang")</f>
        <v>Xieng Khouang</v>
      </c>
      <c r="D9323" s="120" t="str">
        <f>IFERROR(__xludf.DUMMYFUNCTION("""COMPUTED_VALUE"""),"Laos")</f>
        <v>Laos</v>
      </c>
      <c r="E9323" s="135"/>
      <c r="F9323" s="31"/>
    </row>
    <row r="9324">
      <c r="A9324" s="134" t="str">
        <f>IFERROR(__xludf.DUMMYFUNCTION("""COMPUTED_VALUE"""),"Xienglom")</f>
        <v>Xienglom</v>
      </c>
      <c r="B9324" s="120" t="str">
        <f>IFERROR(__xludf.DUMMYFUNCTION("""COMPUTED_VALUE"""),"XIE")</f>
        <v>XIE</v>
      </c>
      <c r="C9324" s="120" t="str">
        <f>IFERROR(__xludf.DUMMYFUNCTION("""COMPUTED_VALUE"""),"Xienglom")</f>
        <v>Xienglom</v>
      </c>
      <c r="D9324" s="120" t="str">
        <f>IFERROR(__xludf.DUMMYFUNCTION("""COMPUTED_VALUE"""),"Laos")</f>
        <v>Laos</v>
      </c>
      <c r="E9324" s="135"/>
      <c r="F9324" s="31"/>
    </row>
    <row r="9325">
      <c r="A9325" s="134" t="str">
        <f>IFERROR(__xludf.DUMMYFUNCTION("""COMPUTED_VALUE"""),"Xilinhot")</f>
        <v>Xilinhot</v>
      </c>
      <c r="B9325" s="120" t="str">
        <f>IFERROR(__xludf.DUMMYFUNCTION("""COMPUTED_VALUE"""),"XIL")</f>
        <v>XIL</v>
      </c>
      <c r="C9325" s="120" t="str">
        <f>IFERROR(__xludf.DUMMYFUNCTION("""COMPUTED_VALUE"""),"Xilinhot")</f>
        <v>Xilinhot</v>
      </c>
      <c r="D9325" s="120" t="str">
        <f>IFERROR(__xludf.DUMMYFUNCTION("""COMPUTED_VALUE"""),"China")</f>
        <v>China</v>
      </c>
      <c r="E9325" s="135"/>
      <c r="F9325" s="31"/>
    </row>
    <row r="9326">
      <c r="A9326" s="134" t="str">
        <f>IFERROR(__xludf.DUMMYFUNCTION("""COMPUTED_VALUE"""),"Xin Hui")</f>
        <v>Xin Hui</v>
      </c>
      <c r="B9326" s="120" t="str">
        <f>IFERROR(__xludf.DUMMYFUNCTION("""COMPUTED_VALUE"""),"ZBZ")</f>
        <v>ZBZ</v>
      </c>
      <c r="C9326" s="120" t="str">
        <f>IFERROR(__xludf.DUMMYFUNCTION("""COMPUTED_VALUE"""),"Xin Hui Ferry")</f>
        <v>Xin Hui Ferry</v>
      </c>
      <c r="D9326" s="120" t="str">
        <f>IFERROR(__xludf.DUMMYFUNCTION("""COMPUTED_VALUE"""),"China")</f>
        <v>China</v>
      </c>
      <c r="E9326" s="135"/>
      <c r="F9326" s="31"/>
    </row>
    <row r="9327">
      <c r="A9327" s="134" t="str">
        <f>IFERROR(__xludf.DUMMYFUNCTION("""COMPUTED_VALUE"""),"Xingcheng")</f>
        <v>Xingcheng</v>
      </c>
      <c r="B9327" s="120" t="str">
        <f>IFERROR(__xludf.DUMMYFUNCTION("""COMPUTED_VALUE"""),"XEN")</f>
        <v>XEN</v>
      </c>
      <c r="C9327" s="120" t="str">
        <f>IFERROR(__xludf.DUMMYFUNCTION("""COMPUTED_VALUE"""),"Xingcheng")</f>
        <v>Xingcheng</v>
      </c>
      <c r="D9327" s="120" t="str">
        <f>IFERROR(__xludf.DUMMYFUNCTION("""COMPUTED_VALUE"""),"China")</f>
        <v>China</v>
      </c>
      <c r="E9327" s="135"/>
      <c r="F9327" s="31"/>
    </row>
    <row r="9328">
      <c r="A9328" s="134" t="str">
        <f>IFERROR(__xludf.DUMMYFUNCTION("""COMPUTED_VALUE"""),"Xingning")</f>
        <v>Xingning</v>
      </c>
      <c r="B9328" s="120" t="str">
        <f>IFERROR(__xludf.DUMMYFUNCTION("""COMPUTED_VALUE"""),"XIN")</f>
        <v>XIN</v>
      </c>
      <c r="C9328" s="120" t="str">
        <f>IFERROR(__xludf.DUMMYFUNCTION("""COMPUTED_VALUE"""),"Xingning")</f>
        <v>Xingning</v>
      </c>
      <c r="D9328" s="120" t="str">
        <f>IFERROR(__xludf.DUMMYFUNCTION("""COMPUTED_VALUE"""),"China")</f>
        <v>China</v>
      </c>
      <c r="E9328" s="135"/>
      <c r="F9328" s="31"/>
    </row>
    <row r="9329">
      <c r="A9329" s="134" t="str">
        <f>IFERROR(__xludf.DUMMYFUNCTION("""COMPUTED_VALUE"""),"Xingtai")</f>
        <v>Xingtai</v>
      </c>
      <c r="B9329" s="120" t="str">
        <f>IFERROR(__xludf.DUMMYFUNCTION("""COMPUTED_VALUE"""),"XNT")</f>
        <v>XNT</v>
      </c>
      <c r="C9329" s="120" t="str">
        <f>IFERROR(__xludf.DUMMYFUNCTION("""COMPUTED_VALUE"""),"Xingtai")</f>
        <v>Xingtai</v>
      </c>
      <c r="D9329" s="120" t="str">
        <f>IFERROR(__xludf.DUMMYFUNCTION("""COMPUTED_VALUE"""),"China")</f>
        <v>China</v>
      </c>
      <c r="E9329" s="135"/>
      <c r="F9329" s="31"/>
    </row>
    <row r="9330">
      <c r="A9330" s="134" t="str">
        <f>IFERROR(__xludf.DUMMYFUNCTION("""COMPUTED_VALUE"""),"Xinguara")</f>
        <v>Xinguara</v>
      </c>
      <c r="B9330" s="120" t="str">
        <f>IFERROR(__xludf.DUMMYFUNCTION("""COMPUTED_VALUE"""),"XIG")</f>
        <v>XIG</v>
      </c>
      <c r="C9330" s="120" t="str">
        <f>IFERROR(__xludf.DUMMYFUNCTION("""COMPUTED_VALUE"""),"Municipal")</f>
        <v>Municipal</v>
      </c>
      <c r="D9330" s="120" t="str">
        <f>IFERROR(__xludf.DUMMYFUNCTION("""COMPUTED_VALUE"""),"Brazil")</f>
        <v>Brazil</v>
      </c>
      <c r="E9330" s="135"/>
      <c r="F9330" s="31"/>
    </row>
    <row r="9331">
      <c r="A9331" s="134" t="str">
        <f>IFERROR(__xludf.DUMMYFUNCTION("""COMPUTED_VALUE"""),"Xingyi")</f>
        <v>Xingyi</v>
      </c>
      <c r="B9331" s="120" t="str">
        <f>IFERROR(__xludf.DUMMYFUNCTION("""COMPUTED_VALUE"""),"ACX")</f>
        <v>ACX</v>
      </c>
      <c r="C9331" s="120" t="str">
        <f>IFERROR(__xludf.DUMMYFUNCTION("""COMPUTED_VALUE"""),"Xingyi")</f>
        <v>Xingyi</v>
      </c>
      <c r="D9331" s="120" t="str">
        <f>IFERROR(__xludf.DUMMYFUNCTION("""COMPUTED_VALUE"""),"China")</f>
        <v>China</v>
      </c>
      <c r="E9331" s="135"/>
      <c r="F9331" s="31"/>
    </row>
    <row r="9332">
      <c r="A9332" s="134" t="str">
        <f>IFERROR(__xludf.DUMMYFUNCTION("""COMPUTED_VALUE"""),"Xining")</f>
        <v>Xining</v>
      </c>
      <c r="B9332" s="120" t="str">
        <f>IFERROR(__xludf.DUMMYFUNCTION("""COMPUTED_VALUE"""),"XNN")</f>
        <v>XNN</v>
      </c>
      <c r="C9332" s="120" t="str">
        <f>IFERROR(__xludf.DUMMYFUNCTION("""COMPUTED_VALUE"""),"Xining")</f>
        <v>Xining</v>
      </c>
      <c r="D9332" s="120" t="str">
        <f>IFERROR(__xludf.DUMMYFUNCTION("""COMPUTED_VALUE"""),"China")</f>
        <v>China</v>
      </c>
      <c r="E9332" s="135"/>
      <c r="F9332" s="31"/>
    </row>
    <row r="9333">
      <c r="A9333" s="134" t="str">
        <f>IFERROR(__xludf.DUMMYFUNCTION("""COMPUTED_VALUE"""),"Xuzhou")</f>
        <v>Xuzhou</v>
      </c>
      <c r="B9333" s="120" t="str">
        <f>IFERROR(__xludf.DUMMYFUNCTION("""COMPUTED_VALUE"""),"XUZ")</f>
        <v>XUZ</v>
      </c>
      <c r="C9333" s="120" t="str">
        <f>IFERROR(__xludf.DUMMYFUNCTION("""COMPUTED_VALUE"""),"Xuzhou")</f>
        <v>Xuzhou</v>
      </c>
      <c r="D9333" s="120" t="str">
        <f>IFERROR(__xludf.DUMMYFUNCTION("""COMPUTED_VALUE"""),"China")</f>
        <v>China</v>
      </c>
      <c r="E9333" s="135"/>
      <c r="F9333" s="31"/>
    </row>
    <row r="9334">
      <c r="A9334" s="134" t="str">
        <f>IFERROR(__xludf.DUMMYFUNCTION("""COMPUTED_VALUE"""),"Yacuiba")</f>
        <v>Yacuiba</v>
      </c>
      <c r="B9334" s="120" t="str">
        <f>IFERROR(__xludf.DUMMYFUNCTION("""COMPUTED_VALUE"""),"BYC")</f>
        <v>BYC</v>
      </c>
      <c r="C9334" s="120" t="str">
        <f>IFERROR(__xludf.DUMMYFUNCTION("""COMPUTED_VALUE"""),"Yacuiba")</f>
        <v>Yacuiba</v>
      </c>
      <c r="D9334" s="120" t="str">
        <f>IFERROR(__xludf.DUMMYFUNCTION("""COMPUTED_VALUE"""),"Bolivia")</f>
        <v>Bolivia</v>
      </c>
      <c r="E9334" s="135"/>
      <c r="F9334" s="31"/>
    </row>
    <row r="9335">
      <c r="A9335" s="134" t="str">
        <f>IFERROR(__xludf.DUMMYFUNCTION("""COMPUTED_VALUE"""),"Yagoua")</f>
        <v>Yagoua</v>
      </c>
      <c r="B9335" s="120" t="str">
        <f>IFERROR(__xludf.DUMMYFUNCTION("""COMPUTED_VALUE"""),"GXX")</f>
        <v>GXX</v>
      </c>
      <c r="C9335" s="120" t="str">
        <f>IFERROR(__xludf.DUMMYFUNCTION("""COMPUTED_VALUE"""),"Yagoua")</f>
        <v>Yagoua</v>
      </c>
      <c r="D9335" s="120" t="str">
        <f>IFERROR(__xludf.DUMMYFUNCTION("""COMPUTED_VALUE"""),"Cameroon")</f>
        <v>Cameroon</v>
      </c>
      <c r="E9335" s="135"/>
      <c r="F9335" s="31"/>
    </row>
    <row r="9336">
      <c r="A9336" s="134" t="str">
        <f>IFERROR(__xludf.DUMMYFUNCTION("""COMPUTED_VALUE"""),"Yaguara")</f>
        <v>Yaguara</v>
      </c>
      <c r="B9336" s="120" t="str">
        <f>IFERROR(__xludf.DUMMYFUNCTION("""COMPUTED_VALUE"""),"AYG")</f>
        <v>AYG</v>
      </c>
      <c r="C9336" s="120" t="str">
        <f>IFERROR(__xludf.DUMMYFUNCTION("""COMPUTED_VALUE"""),"Yaguara")</f>
        <v>Yaguara</v>
      </c>
      <c r="D9336" s="120" t="str">
        <f>IFERROR(__xludf.DUMMYFUNCTION("""COMPUTED_VALUE"""),"Colombia")</f>
        <v>Colombia</v>
      </c>
      <c r="E9336" s="135"/>
      <c r="F9336" s="31"/>
    </row>
    <row r="9337">
      <c r="A9337" s="134" t="str">
        <f>IFERROR(__xludf.DUMMYFUNCTION("""COMPUTED_VALUE"""),"Yakataga")</f>
        <v>Yakataga</v>
      </c>
      <c r="B9337" s="120" t="str">
        <f>IFERROR(__xludf.DUMMYFUNCTION("""COMPUTED_VALUE"""),"CYT")</f>
        <v>CYT</v>
      </c>
      <c r="C9337" s="120" t="str">
        <f>IFERROR(__xludf.DUMMYFUNCTION("""COMPUTED_VALUE"""),"Intermediate")</f>
        <v>Intermediate</v>
      </c>
      <c r="D9337" s="120" t="str">
        <f>IFERROR(__xludf.DUMMYFUNCTION("""COMPUTED_VALUE"""),"United States")</f>
        <v>United States</v>
      </c>
      <c r="E9337" s="135"/>
      <c r="F9337" s="31"/>
    </row>
    <row r="9338">
      <c r="A9338" s="134" t="str">
        <f>IFERROR(__xludf.DUMMYFUNCTION("""COMPUTED_VALUE"""),"Yakima")</f>
        <v>Yakima</v>
      </c>
      <c r="B9338" s="120" t="str">
        <f>IFERROR(__xludf.DUMMYFUNCTION("""COMPUTED_VALUE"""),"FCT")</f>
        <v>FCT</v>
      </c>
      <c r="C9338" s="120" t="str">
        <f>IFERROR(__xludf.DUMMYFUNCTION("""COMPUTED_VALUE"""),"Firing Center AAF")</f>
        <v>Firing Center AAF</v>
      </c>
      <c r="D9338" s="120" t="str">
        <f>IFERROR(__xludf.DUMMYFUNCTION("""COMPUTED_VALUE"""),"United States")</f>
        <v>United States</v>
      </c>
      <c r="E9338" s="135"/>
      <c r="F9338" s="31"/>
    </row>
    <row r="9339">
      <c r="A9339" s="134" t="str">
        <f>IFERROR(__xludf.DUMMYFUNCTION("""COMPUTED_VALUE"""),"Yakima")</f>
        <v>Yakima</v>
      </c>
      <c r="B9339" s="120" t="str">
        <f>IFERROR(__xludf.DUMMYFUNCTION("""COMPUTED_VALUE"""),"YKM")</f>
        <v>YKM</v>
      </c>
      <c r="C9339" s="120" t="str">
        <f>IFERROR(__xludf.DUMMYFUNCTION("""COMPUTED_VALUE"""),"Yakima Air Terminal")</f>
        <v>Yakima Air Terminal</v>
      </c>
      <c r="D9339" s="120" t="str">
        <f>IFERROR(__xludf.DUMMYFUNCTION("""COMPUTED_VALUE"""),"United States")</f>
        <v>United States</v>
      </c>
      <c r="E9339" s="135"/>
      <c r="F9339" s="31"/>
    </row>
    <row r="9340">
      <c r="A9340" s="134" t="str">
        <f>IFERROR(__xludf.DUMMYFUNCTION("""COMPUTED_VALUE"""),"Yakushima")</f>
        <v>Yakushima</v>
      </c>
      <c r="B9340" s="120" t="str">
        <f>IFERROR(__xludf.DUMMYFUNCTION("""COMPUTED_VALUE"""),"KUM")</f>
        <v>KUM</v>
      </c>
      <c r="C9340" s="120" t="str">
        <f>IFERROR(__xludf.DUMMYFUNCTION("""COMPUTED_VALUE"""),"Yakushima")</f>
        <v>Yakushima</v>
      </c>
      <c r="D9340" s="120" t="str">
        <f>IFERROR(__xludf.DUMMYFUNCTION("""COMPUTED_VALUE"""),"Japan")</f>
        <v>Japan</v>
      </c>
      <c r="E9340" s="135"/>
      <c r="F9340" s="31"/>
    </row>
    <row r="9341">
      <c r="A9341" s="134" t="str">
        <f>IFERROR(__xludf.DUMMYFUNCTION("""COMPUTED_VALUE"""),"Yakutat")</f>
        <v>Yakutat</v>
      </c>
      <c r="B9341" s="120" t="str">
        <f>IFERROR(__xludf.DUMMYFUNCTION("""COMPUTED_VALUE"""),"YAK")</f>
        <v>YAK</v>
      </c>
      <c r="C9341" s="120" t="str">
        <f>IFERROR(__xludf.DUMMYFUNCTION("""COMPUTED_VALUE"""),"Yakutat")</f>
        <v>Yakutat</v>
      </c>
      <c r="D9341" s="120" t="str">
        <f>IFERROR(__xludf.DUMMYFUNCTION("""COMPUTED_VALUE"""),"United States")</f>
        <v>United States</v>
      </c>
      <c r="E9341" s="135"/>
      <c r="F9341" s="31"/>
    </row>
    <row r="9342">
      <c r="A9342" s="134" t="str">
        <f>IFERROR(__xludf.DUMMYFUNCTION("""COMPUTED_VALUE"""),"Yakutsk")</f>
        <v>Yakutsk</v>
      </c>
      <c r="B9342" s="120" t="str">
        <f>IFERROR(__xludf.DUMMYFUNCTION("""COMPUTED_VALUE"""),"YKS")</f>
        <v>YKS</v>
      </c>
      <c r="C9342" s="120" t="str">
        <f>IFERROR(__xludf.DUMMYFUNCTION("""COMPUTED_VALUE"""),"Yakutsk")</f>
        <v>Yakutsk</v>
      </c>
      <c r="D9342" s="120" t="str">
        <f>IFERROR(__xludf.DUMMYFUNCTION("""COMPUTED_VALUE"""),"Russia")</f>
        <v>Russia</v>
      </c>
      <c r="E9342" s="135"/>
      <c r="F9342" s="31"/>
    </row>
    <row r="9343">
      <c r="A9343" s="134" t="str">
        <f>IFERROR(__xludf.DUMMYFUNCTION("""COMPUTED_VALUE"""),"Yalata Mission")</f>
        <v>Yalata Mission</v>
      </c>
      <c r="B9343" s="120" t="str">
        <f>IFERROR(__xludf.DUMMYFUNCTION("""COMPUTED_VALUE"""),"KYI")</f>
        <v>KYI</v>
      </c>
      <c r="C9343" s="120" t="str">
        <f>IFERROR(__xludf.DUMMYFUNCTION("""COMPUTED_VALUE"""),"Yalata Mission")</f>
        <v>Yalata Mission</v>
      </c>
      <c r="D9343" s="120" t="str">
        <f>IFERROR(__xludf.DUMMYFUNCTION("""COMPUTED_VALUE"""),"Australia")</f>
        <v>Australia</v>
      </c>
      <c r="E9343" s="135"/>
      <c r="F9343" s="31"/>
    </row>
    <row r="9344">
      <c r="A9344" s="134" t="str">
        <f>IFERROR(__xludf.DUMMYFUNCTION("""COMPUTED_VALUE"""),"Yalgoo")</f>
        <v>Yalgoo</v>
      </c>
      <c r="B9344" s="120" t="str">
        <f>IFERROR(__xludf.DUMMYFUNCTION("""COMPUTED_VALUE"""),"YLG")</f>
        <v>YLG</v>
      </c>
      <c r="C9344" s="120" t="str">
        <f>IFERROR(__xludf.DUMMYFUNCTION("""COMPUTED_VALUE"""),"Yalgoo")</f>
        <v>Yalgoo</v>
      </c>
      <c r="D9344" s="120" t="str">
        <f>IFERROR(__xludf.DUMMYFUNCTION("""COMPUTED_VALUE"""),"Australia")</f>
        <v>Australia</v>
      </c>
      <c r="E9344" s="135"/>
      <c r="F9344" s="31"/>
    </row>
    <row r="9345">
      <c r="A9345" s="134" t="str">
        <f>IFERROR(__xludf.DUMMYFUNCTION("""COMPUTED_VALUE"""),"Yalinga")</f>
        <v>Yalinga</v>
      </c>
      <c r="B9345" s="120" t="str">
        <f>IFERROR(__xludf.DUMMYFUNCTION("""COMPUTED_VALUE"""),"AIG")</f>
        <v>AIG</v>
      </c>
      <c r="C9345" s="120" t="str">
        <f>IFERROR(__xludf.DUMMYFUNCTION("""COMPUTED_VALUE"""),"Yalinga")</f>
        <v>Yalinga</v>
      </c>
      <c r="D9345" s="120" t="str">
        <f>IFERROR(__xludf.DUMMYFUNCTION("""COMPUTED_VALUE"""),"Central African Republic")</f>
        <v>Central African Republic</v>
      </c>
      <c r="E9345" s="135"/>
      <c r="F9345" s="31"/>
    </row>
    <row r="9346">
      <c r="A9346" s="134" t="str">
        <f>IFERROR(__xludf.DUMMYFUNCTION("""COMPUTED_VALUE"""),"Yalumet")</f>
        <v>Yalumet</v>
      </c>
      <c r="B9346" s="120" t="str">
        <f>IFERROR(__xludf.DUMMYFUNCTION("""COMPUTED_VALUE"""),"KYX")</f>
        <v>KYX</v>
      </c>
      <c r="C9346" s="120" t="str">
        <f>IFERROR(__xludf.DUMMYFUNCTION("""COMPUTED_VALUE"""),"Yalumet")</f>
        <v>Yalumet</v>
      </c>
      <c r="D9346" s="120" t="str">
        <f>IFERROR(__xludf.DUMMYFUNCTION("""COMPUTED_VALUE"""),"Papua New Guinea")</f>
        <v>Papua New Guinea</v>
      </c>
      <c r="E9346" s="135"/>
      <c r="F9346" s="31"/>
    </row>
    <row r="9347">
      <c r="A9347" s="134" t="str">
        <f>IFERROR(__xludf.DUMMYFUNCTION("""COMPUTED_VALUE"""),"Yam Island")</f>
        <v>Yam Island</v>
      </c>
      <c r="B9347" s="120" t="str">
        <f>IFERROR(__xludf.DUMMYFUNCTION("""COMPUTED_VALUE"""),"XMY")</f>
        <v>XMY</v>
      </c>
      <c r="C9347" s="120" t="str">
        <f>IFERROR(__xludf.DUMMYFUNCTION("""COMPUTED_VALUE"""),"Yam Island")</f>
        <v>Yam Island</v>
      </c>
      <c r="D9347" s="120" t="str">
        <f>IFERROR(__xludf.DUMMYFUNCTION("""COMPUTED_VALUE"""),"Australia")</f>
        <v>Australia</v>
      </c>
      <c r="E9347" s="135"/>
      <c r="F9347" s="31"/>
    </row>
    <row r="9348">
      <c r="A9348" s="134" t="str">
        <f>IFERROR(__xludf.DUMMYFUNCTION("""COMPUTED_VALUE"""),"Yamagata")</f>
        <v>Yamagata</v>
      </c>
      <c r="B9348" s="120" t="str">
        <f>IFERROR(__xludf.DUMMYFUNCTION("""COMPUTED_VALUE"""),"GAJ")</f>
        <v>GAJ</v>
      </c>
      <c r="C9348" s="120" t="str">
        <f>IFERROR(__xludf.DUMMYFUNCTION("""COMPUTED_VALUE"""),"Junmachi")</f>
        <v>Junmachi</v>
      </c>
      <c r="D9348" s="120" t="str">
        <f>IFERROR(__xludf.DUMMYFUNCTION("""COMPUTED_VALUE"""),"Japan")</f>
        <v>Japan</v>
      </c>
      <c r="E9348" s="135"/>
      <c r="F9348" s="31"/>
    </row>
    <row r="9349">
      <c r="A9349" s="134" t="str">
        <f>IFERROR(__xludf.DUMMYFUNCTION("""COMPUTED_VALUE"""),"Yamoussoukro")</f>
        <v>Yamoussoukro</v>
      </c>
      <c r="B9349" s="120" t="str">
        <f>IFERROR(__xludf.DUMMYFUNCTION("""COMPUTED_VALUE"""),"ASK")</f>
        <v>ASK</v>
      </c>
      <c r="C9349" s="120" t="str">
        <f>IFERROR(__xludf.DUMMYFUNCTION("""COMPUTED_VALUE"""),"Yamoussoukro")</f>
        <v>Yamoussoukro</v>
      </c>
      <c r="D9349" s="120" t="str">
        <f>IFERROR(__xludf.DUMMYFUNCTION("""COMPUTED_VALUE"""),"Cote D'Ivoire (Ivory Coast)")</f>
        <v>Cote D'Ivoire (Ivory Coast)</v>
      </c>
      <c r="E9349" s="135"/>
      <c r="F9349" s="31"/>
    </row>
    <row r="9350">
      <c r="A9350" s="134" t="str">
        <f>IFERROR(__xludf.DUMMYFUNCTION("""COMPUTED_VALUE"""),"Yanbu")</f>
        <v>Yanbu</v>
      </c>
      <c r="B9350" s="120" t="str">
        <f>IFERROR(__xludf.DUMMYFUNCTION("""COMPUTED_VALUE"""),"YNB")</f>
        <v>YNB</v>
      </c>
      <c r="C9350" s="120" t="str">
        <f>IFERROR(__xludf.DUMMYFUNCTION("""COMPUTED_VALUE"""),"Yanbu")</f>
        <v>Yanbu</v>
      </c>
      <c r="D9350" s="120" t="str">
        <f>IFERROR(__xludf.DUMMYFUNCTION("""COMPUTED_VALUE"""),"Saudi Arabia")</f>
        <v>Saudi Arabia</v>
      </c>
      <c r="E9350" s="135"/>
      <c r="F9350" s="31"/>
    </row>
    <row r="9351">
      <c r="A9351" s="134" t="str">
        <f>IFERROR(__xludf.DUMMYFUNCTION("""COMPUTED_VALUE"""),"Yancheng")</f>
        <v>Yancheng</v>
      </c>
      <c r="B9351" s="120" t="str">
        <f>IFERROR(__xludf.DUMMYFUNCTION("""COMPUTED_VALUE"""),"YNZ")</f>
        <v>YNZ</v>
      </c>
      <c r="C9351" s="120" t="str">
        <f>IFERROR(__xludf.DUMMYFUNCTION("""COMPUTED_VALUE"""),"Yancheng")</f>
        <v>Yancheng</v>
      </c>
      <c r="D9351" s="120" t="str">
        <f>IFERROR(__xludf.DUMMYFUNCTION("""COMPUTED_VALUE"""),"China")</f>
        <v>China</v>
      </c>
      <c r="E9351" s="135"/>
      <c r="F9351" s="31"/>
    </row>
    <row r="9352">
      <c r="A9352" s="134" t="str">
        <f>IFERROR(__xludf.DUMMYFUNCTION("""COMPUTED_VALUE"""),"Yandicoogina")</f>
        <v>Yandicoogina</v>
      </c>
      <c r="B9352" s="120" t="str">
        <f>IFERROR(__xludf.DUMMYFUNCTION("""COMPUTED_VALUE"""),"YNN")</f>
        <v>YNN</v>
      </c>
      <c r="C9352" s="120" t="str">
        <f>IFERROR(__xludf.DUMMYFUNCTION("""COMPUTED_VALUE"""),"Yandi")</f>
        <v>Yandi</v>
      </c>
      <c r="D9352" s="120" t="str">
        <f>IFERROR(__xludf.DUMMYFUNCTION("""COMPUTED_VALUE"""),"Australia")</f>
        <v>Australia</v>
      </c>
      <c r="E9352" s="135"/>
      <c r="F9352" s="31"/>
    </row>
    <row r="9353">
      <c r="A9353" s="134" t="str">
        <f>IFERROR(__xludf.DUMMYFUNCTION("""COMPUTED_VALUE"""),"Yandina")</f>
        <v>Yandina</v>
      </c>
      <c r="B9353" s="120" t="str">
        <f>IFERROR(__xludf.DUMMYFUNCTION("""COMPUTED_VALUE"""),"XYA")</f>
        <v>XYA</v>
      </c>
      <c r="C9353" s="120" t="str">
        <f>IFERROR(__xludf.DUMMYFUNCTION("""COMPUTED_VALUE"""),"Yandina")</f>
        <v>Yandina</v>
      </c>
      <c r="D9353" s="120" t="str">
        <f>IFERROR(__xludf.DUMMYFUNCTION("""COMPUTED_VALUE"""),"Solomon Islands")</f>
        <v>Solomon Islands</v>
      </c>
      <c r="E9353" s="135"/>
      <c r="F9353" s="31"/>
    </row>
    <row r="9354">
      <c r="A9354" s="134" t="str">
        <f>IFERROR(__xludf.DUMMYFUNCTION("""COMPUTED_VALUE"""),"Yangambi")</f>
        <v>Yangambi</v>
      </c>
      <c r="B9354" s="120" t="str">
        <f>IFERROR(__xludf.DUMMYFUNCTION("""COMPUTED_VALUE"""),"YAN")</f>
        <v>YAN</v>
      </c>
      <c r="C9354" s="120" t="str">
        <f>IFERROR(__xludf.DUMMYFUNCTION("""COMPUTED_VALUE"""),"Yangambi")</f>
        <v>Yangambi</v>
      </c>
      <c r="D9354" s="120" t="str">
        <f>IFERROR(__xludf.DUMMYFUNCTION("""COMPUTED_VALUE"""),"Zaire")</f>
        <v>Zaire</v>
      </c>
      <c r="E9354" s="135"/>
      <c r="F9354" s="31"/>
    </row>
    <row r="9355">
      <c r="A9355" s="134" t="str">
        <f>IFERROR(__xludf.DUMMYFUNCTION("""COMPUTED_VALUE"""),"Yangon")</f>
        <v>Yangon</v>
      </c>
      <c r="B9355" s="120" t="str">
        <f>IFERROR(__xludf.DUMMYFUNCTION("""COMPUTED_VALUE"""),"RGN")</f>
        <v>RGN</v>
      </c>
      <c r="C9355" s="120" t="str">
        <f>IFERROR(__xludf.DUMMYFUNCTION("""COMPUTED_VALUE"""),"Mingaladon")</f>
        <v>Mingaladon</v>
      </c>
      <c r="D9355" s="120" t="str">
        <f>IFERROR(__xludf.DUMMYFUNCTION("""COMPUTED_VALUE"""),"Myanmar")</f>
        <v>Myanmar</v>
      </c>
      <c r="E9355" s="135"/>
      <c r="F9355" s="31"/>
    </row>
    <row r="9356">
      <c r="A9356" s="134" t="str">
        <f>IFERROR(__xludf.DUMMYFUNCTION("""COMPUTED_VALUE"""),"Yangoonabie")</f>
        <v>Yangoonabie</v>
      </c>
      <c r="B9356" s="120" t="str">
        <f>IFERROR(__xludf.DUMMYFUNCTION("""COMPUTED_VALUE"""),"KYB")</f>
        <v>KYB</v>
      </c>
      <c r="C9356" s="120" t="str">
        <f>IFERROR(__xludf.DUMMYFUNCTION("""COMPUTED_VALUE"""),"Yangoonabie")</f>
        <v>Yangoonabie</v>
      </c>
      <c r="D9356" s="120" t="str">
        <f>IFERROR(__xludf.DUMMYFUNCTION("""COMPUTED_VALUE"""),"Australia")</f>
        <v>Australia</v>
      </c>
      <c r="E9356" s="135"/>
      <c r="F9356" s="31"/>
    </row>
    <row r="9357">
      <c r="A9357" s="134" t="str">
        <f>IFERROR(__xludf.DUMMYFUNCTION("""COMPUTED_VALUE"""),"Yangyang")</f>
        <v>Yangyang</v>
      </c>
      <c r="B9357" s="120" t="str">
        <f>IFERROR(__xludf.DUMMYFUNCTION("""COMPUTED_VALUE"""),"YNY")</f>
        <v>YNY</v>
      </c>
      <c r="C9357" s="120" t="str">
        <f>IFERROR(__xludf.DUMMYFUNCTION("""COMPUTED_VALUE"""),"Yangyang")</f>
        <v>Yangyang</v>
      </c>
      <c r="D9357" s="120" t="str">
        <f>IFERROR(__xludf.DUMMYFUNCTION("""COMPUTED_VALUE"""),"Korea (South)")</f>
        <v>Korea (South)</v>
      </c>
      <c r="E9357" s="135"/>
      <c r="F9357" s="31"/>
    </row>
    <row r="9358">
      <c r="A9358" s="134" t="str">
        <f>IFERROR(__xludf.DUMMYFUNCTION("""COMPUTED_VALUE"""),"Yanji")</f>
        <v>Yanji</v>
      </c>
      <c r="B9358" s="120" t="str">
        <f>IFERROR(__xludf.DUMMYFUNCTION("""COMPUTED_VALUE"""),"YNJ")</f>
        <v>YNJ</v>
      </c>
      <c r="C9358" s="120" t="str">
        <f>IFERROR(__xludf.DUMMYFUNCTION("""COMPUTED_VALUE"""),"Yanji")</f>
        <v>Yanji</v>
      </c>
      <c r="D9358" s="120" t="str">
        <f>IFERROR(__xludf.DUMMYFUNCTION("""COMPUTED_VALUE"""),"China")</f>
        <v>China</v>
      </c>
      <c r="E9358" s="135"/>
      <c r="F9358" s="31"/>
    </row>
    <row r="9359">
      <c r="A9359" s="134" t="str">
        <f>IFERROR(__xludf.DUMMYFUNCTION("""COMPUTED_VALUE"""),"Yankton")</f>
        <v>Yankton</v>
      </c>
      <c r="B9359" s="120" t="str">
        <f>IFERROR(__xludf.DUMMYFUNCTION("""COMPUTED_VALUE"""),"YKN")</f>
        <v>YKN</v>
      </c>
      <c r="C9359" s="120" t="str">
        <f>IFERROR(__xludf.DUMMYFUNCTION("""COMPUTED_VALUE"""),"Chan Gurney")</f>
        <v>Chan Gurney</v>
      </c>
      <c r="D9359" s="120" t="str">
        <f>IFERROR(__xludf.DUMMYFUNCTION("""COMPUTED_VALUE"""),"United States")</f>
        <v>United States</v>
      </c>
      <c r="E9359" s="135"/>
      <c r="F9359" s="31"/>
    </row>
    <row r="9360">
      <c r="A9360" s="134" t="str">
        <f>IFERROR(__xludf.DUMMYFUNCTION("""COMPUTED_VALUE"""),"Yantai")</f>
        <v>Yantai</v>
      </c>
      <c r="B9360" s="120" t="str">
        <f>IFERROR(__xludf.DUMMYFUNCTION("""COMPUTED_VALUE"""),"YNT")</f>
        <v>YNT</v>
      </c>
      <c r="C9360" s="120" t="str">
        <f>IFERROR(__xludf.DUMMYFUNCTION("""COMPUTED_VALUE"""),"Laishan")</f>
        <v>Laishan</v>
      </c>
      <c r="D9360" s="120" t="str">
        <f>IFERROR(__xludf.DUMMYFUNCTION("""COMPUTED_VALUE"""),"China")</f>
        <v>China</v>
      </c>
      <c r="E9360" s="135"/>
      <c r="F9360" s="31"/>
    </row>
    <row r="9361">
      <c r="A9361" s="134" t="str">
        <f>IFERROR(__xludf.DUMMYFUNCTION("""COMPUTED_VALUE"""),"Yaounde")</f>
        <v>Yaounde</v>
      </c>
      <c r="B9361" s="120" t="str">
        <f>IFERROR(__xludf.DUMMYFUNCTION("""COMPUTED_VALUE"""),"NSI")</f>
        <v>NSI</v>
      </c>
      <c r="C9361" s="120" t="str">
        <f>IFERROR(__xludf.DUMMYFUNCTION("""COMPUTED_VALUE"""),"Nsimalen")</f>
        <v>Nsimalen</v>
      </c>
      <c r="D9361" s="120" t="str">
        <f>IFERROR(__xludf.DUMMYFUNCTION("""COMPUTED_VALUE"""),"Cameroon")</f>
        <v>Cameroon</v>
      </c>
      <c r="E9361" s="135"/>
      <c r="F9361" s="31"/>
    </row>
    <row r="9362">
      <c r="A9362" s="134" t="str">
        <f>IFERROR(__xludf.DUMMYFUNCTION("""COMPUTED_VALUE"""),"Yaounde")</f>
        <v>Yaounde</v>
      </c>
      <c r="B9362" s="120" t="str">
        <f>IFERROR(__xludf.DUMMYFUNCTION("""COMPUTED_VALUE"""),"YAO")</f>
        <v>YAO</v>
      </c>
      <c r="C9362" s="120" t="str">
        <f>IFERROR(__xludf.DUMMYFUNCTION("""COMPUTED_VALUE"""),"Yaounde Airport")</f>
        <v>Yaounde Airport</v>
      </c>
      <c r="D9362" s="120" t="str">
        <f>IFERROR(__xludf.DUMMYFUNCTION("""COMPUTED_VALUE"""),"Cameroon")</f>
        <v>Cameroon</v>
      </c>
      <c r="E9362" s="135"/>
      <c r="F9362" s="31"/>
    </row>
    <row r="9363">
      <c r="A9363" s="134" t="str">
        <f>IFERROR(__xludf.DUMMYFUNCTION("""COMPUTED_VALUE"""),"Yap")</f>
        <v>Yap</v>
      </c>
      <c r="B9363" s="120" t="str">
        <f>IFERROR(__xludf.DUMMYFUNCTION("""COMPUTED_VALUE"""),"YAP")</f>
        <v>YAP</v>
      </c>
      <c r="C9363" s="120" t="str">
        <f>IFERROR(__xludf.DUMMYFUNCTION("""COMPUTED_VALUE"""),"Yap")</f>
        <v>Yap</v>
      </c>
      <c r="D9363" s="120" t="str">
        <f>IFERROR(__xludf.DUMMYFUNCTION("""COMPUTED_VALUE"""),"Micronesia")</f>
        <v>Micronesia</v>
      </c>
      <c r="E9363" s="135"/>
      <c r="F9363" s="31"/>
    </row>
    <row r="9364">
      <c r="A9364" s="134" t="str">
        <f>IFERROR(__xludf.DUMMYFUNCTION("""COMPUTED_VALUE"""),"Yapsiei")</f>
        <v>Yapsiei</v>
      </c>
      <c r="B9364" s="120" t="str">
        <f>IFERROR(__xludf.DUMMYFUNCTION("""COMPUTED_VALUE"""),"KPE")</f>
        <v>KPE</v>
      </c>
      <c r="C9364" s="120" t="str">
        <f>IFERROR(__xludf.DUMMYFUNCTION("""COMPUTED_VALUE"""),"Yapsiei")</f>
        <v>Yapsiei</v>
      </c>
      <c r="D9364" s="120" t="str">
        <f>IFERROR(__xludf.DUMMYFUNCTION("""COMPUTED_VALUE"""),"Papua New Guinea")</f>
        <v>Papua New Guinea</v>
      </c>
      <c r="E9364" s="135"/>
      <c r="F9364" s="31"/>
    </row>
    <row r="9365">
      <c r="A9365" s="134" t="str">
        <f>IFERROR(__xludf.DUMMYFUNCTION("""COMPUTED_VALUE"""),"Yari")</f>
        <v>Yari</v>
      </c>
      <c r="B9365" s="120" t="str">
        <f>IFERROR(__xludf.DUMMYFUNCTION("""COMPUTED_VALUE"""),"AYI")</f>
        <v>AYI</v>
      </c>
      <c r="C9365" s="120" t="str">
        <f>IFERROR(__xludf.DUMMYFUNCTION("""COMPUTED_VALUE"""),"Yari")</f>
        <v>Yari</v>
      </c>
      <c r="D9365" s="120" t="str">
        <f>IFERROR(__xludf.DUMMYFUNCTION("""COMPUTED_VALUE"""),"Colombia")</f>
        <v>Colombia</v>
      </c>
      <c r="E9365" s="135"/>
      <c r="F9365" s="31"/>
    </row>
    <row r="9366">
      <c r="A9366" s="134" t="str">
        <f>IFERROR(__xludf.DUMMYFUNCTION("""COMPUTED_VALUE"""),"Yarmouth")</f>
        <v>Yarmouth</v>
      </c>
      <c r="B9366" s="120" t="str">
        <f>IFERROR(__xludf.DUMMYFUNCTION("""COMPUTED_VALUE"""),"YQI")</f>
        <v>YQI</v>
      </c>
      <c r="C9366" s="120" t="str">
        <f>IFERROR(__xludf.DUMMYFUNCTION("""COMPUTED_VALUE"""),"Yarmouth")</f>
        <v>Yarmouth</v>
      </c>
      <c r="D9366" s="120" t="str">
        <f>IFERROR(__xludf.DUMMYFUNCTION("""COMPUTED_VALUE"""),"Canada")</f>
        <v>Canada</v>
      </c>
      <c r="E9366" s="135"/>
      <c r="F9366" s="31"/>
    </row>
    <row r="9367">
      <c r="A9367" s="134" t="str">
        <f>IFERROR(__xludf.DUMMYFUNCTION("""COMPUTED_VALUE"""),"Yaroslavl")</f>
        <v>Yaroslavl</v>
      </c>
      <c r="B9367" s="120" t="str">
        <f>IFERROR(__xludf.DUMMYFUNCTION("""COMPUTED_VALUE"""),"IAR")</f>
        <v>IAR</v>
      </c>
      <c r="C9367" s="120" t="str">
        <f>IFERROR(__xludf.DUMMYFUNCTION("""COMPUTED_VALUE"""),"Yaroslavl")</f>
        <v>Yaroslavl</v>
      </c>
      <c r="D9367" s="120" t="str">
        <f>IFERROR(__xludf.DUMMYFUNCTION("""COMPUTED_VALUE"""),"Russia")</f>
        <v>Russia</v>
      </c>
      <c r="E9367" s="135"/>
      <c r="F9367" s="31"/>
    </row>
    <row r="9368">
      <c r="A9368" s="134" t="str">
        <f>IFERROR(__xludf.DUMMYFUNCTION("""COMPUTED_VALUE"""),"Yasawa Island")</f>
        <v>Yasawa Island</v>
      </c>
      <c r="B9368" s="120" t="str">
        <f>IFERROR(__xludf.DUMMYFUNCTION("""COMPUTED_VALUE"""),"YAS")</f>
        <v>YAS</v>
      </c>
      <c r="C9368" s="120" t="str">
        <f>IFERROR(__xludf.DUMMYFUNCTION("""COMPUTED_VALUE"""),"Yasawa Island")</f>
        <v>Yasawa Island</v>
      </c>
      <c r="D9368" s="120" t="str">
        <f>IFERROR(__xludf.DUMMYFUNCTION("""COMPUTED_VALUE"""),"Fiji")</f>
        <v>Fiji</v>
      </c>
      <c r="E9368" s="135"/>
      <c r="F9368" s="31"/>
    </row>
    <row r="9369">
      <c r="A9369" s="134" t="str">
        <f>IFERROR(__xludf.DUMMYFUNCTION("""COMPUTED_VALUE"""),"Yasouj")</f>
        <v>Yasouj</v>
      </c>
      <c r="B9369" s="120" t="str">
        <f>IFERROR(__xludf.DUMMYFUNCTION("""COMPUTED_VALUE"""),"YES")</f>
        <v>YES</v>
      </c>
      <c r="C9369" s="120" t="str">
        <f>IFERROR(__xludf.DUMMYFUNCTION("""COMPUTED_VALUE"""),"Yasouj")</f>
        <v>Yasouj</v>
      </c>
      <c r="D9369" s="120" t="str">
        <f>IFERROR(__xludf.DUMMYFUNCTION("""COMPUTED_VALUE"""),"Iran")</f>
        <v>Iran</v>
      </c>
      <c r="E9369" s="135"/>
      <c r="F9369" s="31"/>
    </row>
    <row r="9370">
      <c r="A9370" s="134" t="str">
        <f>IFERROR(__xludf.DUMMYFUNCTION("""COMPUTED_VALUE"""),"Yasuru")</f>
        <v>Yasuru</v>
      </c>
      <c r="B9370" s="120" t="str">
        <f>IFERROR(__xludf.DUMMYFUNCTION("""COMPUTED_VALUE"""),"KSX")</f>
        <v>KSX</v>
      </c>
      <c r="C9370" s="120" t="str">
        <f>IFERROR(__xludf.DUMMYFUNCTION("""COMPUTED_VALUE"""),"Yasuru")</f>
        <v>Yasuru</v>
      </c>
      <c r="D9370" s="120" t="str">
        <f>IFERROR(__xludf.DUMMYFUNCTION("""COMPUTED_VALUE"""),"Papua New Guinea")</f>
        <v>Papua New Guinea</v>
      </c>
      <c r="E9370" s="135"/>
      <c r="F9370" s="31"/>
    </row>
    <row r="9371">
      <c r="A9371" s="134" t="str">
        <f>IFERROR(__xludf.DUMMYFUNCTION("""COMPUTED_VALUE"""),"Yavarate")</f>
        <v>Yavarate</v>
      </c>
      <c r="B9371" s="120" t="str">
        <f>IFERROR(__xludf.DUMMYFUNCTION("""COMPUTED_VALUE"""),"VAB")</f>
        <v>VAB</v>
      </c>
      <c r="C9371" s="120" t="str">
        <f>IFERROR(__xludf.DUMMYFUNCTION("""COMPUTED_VALUE"""),"Yavarate")</f>
        <v>Yavarate</v>
      </c>
      <c r="D9371" s="120" t="str">
        <f>IFERROR(__xludf.DUMMYFUNCTION("""COMPUTED_VALUE"""),"Colombia")</f>
        <v>Colombia</v>
      </c>
      <c r="E9371" s="135"/>
      <c r="F9371" s="31"/>
    </row>
    <row r="9372">
      <c r="A9372" s="134" t="str">
        <f>IFERROR(__xludf.DUMMYFUNCTION("""COMPUTED_VALUE"""),"Yaviza")</f>
        <v>Yaviza</v>
      </c>
      <c r="B9372" s="120" t="str">
        <f>IFERROR(__xludf.DUMMYFUNCTION("""COMPUTED_VALUE"""),"PYV")</f>
        <v>PYV</v>
      </c>
      <c r="C9372" s="120" t="str">
        <f>IFERROR(__xludf.DUMMYFUNCTION("""COMPUTED_VALUE"""),"Yaviza")</f>
        <v>Yaviza</v>
      </c>
      <c r="D9372" s="120" t="str">
        <f>IFERROR(__xludf.DUMMYFUNCTION("""COMPUTED_VALUE"""),"Panama")</f>
        <v>Panama</v>
      </c>
      <c r="E9372" s="135"/>
      <c r="F9372" s="31"/>
    </row>
    <row r="9373">
      <c r="A9373" s="134" t="str">
        <f>IFERROR(__xludf.DUMMYFUNCTION("""COMPUTED_VALUE"""),"Yazd")</f>
        <v>Yazd</v>
      </c>
      <c r="B9373" s="120" t="str">
        <f>IFERROR(__xludf.DUMMYFUNCTION("""COMPUTED_VALUE"""),"AZD")</f>
        <v>AZD</v>
      </c>
      <c r="C9373" s="120" t="str">
        <f>IFERROR(__xludf.DUMMYFUNCTION("""COMPUTED_VALUE"""),"Yazd")</f>
        <v>Yazd</v>
      </c>
      <c r="D9373" s="120" t="str">
        <f>IFERROR(__xludf.DUMMYFUNCTION("""COMPUTED_VALUE"""),"Iran")</f>
        <v>Iran</v>
      </c>
      <c r="E9373" s="135"/>
      <c r="F9373" s="31"/>
    </row>
    <row r="9374">
      <c r="A9374" s="134" t="str">
        <f>IFERROR(__xludf.DUMMYFUNCTION("""COMPUTED_VALUE"""),"Ye")</f>
        <v>Ye</v>
      </c>
      <c r="B9374" s="120" t="str">
        <f>IFERROR(__xludf.DUMMYFUNCTION("""COMPUTED_VALUE"""),"XYE")</f>
        <v>XYE</v>
      </c>
      <c r="C9374" s="120" t="str">
        <f>IFERROR(__xludf.DUMMYFUNCTION("""COMPUTED_VALUE"""),"Ye")</f>
        <v>Ye</v>
      </c>
      <c r="D9374" s="120" t="str">
        <f>IFERROR(__xludf.DUMMYFUNCTION("""COMPUTED_VALUE"""),"Myanmar")</f>
        <v>Myanmar</v>
      </c>
      <c r="E9374" s="135"/>
      <c r="F9374" s="31"/>
    </row>
    <row r="9375">
      <c r="A9375" s="134" t="str">
        <f>IFERROR(__xludf.DUMMYFUNCTION("""COMPUTED_VALUE"""),"Yecheon")</f>
        <v>Yecheon</v>
      </c>
      <c r="B9375" s="120" t="str">
        <f>IFERROR(__xludf.DUMMYFUNCTION("""COMPUTED_VALUE"""),"YEC")</f>
        <v>YEC</v>
      </c>
      <c r="C9375" s="120" t="str">
        <f>IFERROR(__xludf.DUMMYFUNCTION("""COMPUTED_VALUE"""),"Yecheon")</f>
        <v>Yecheon</v>
      </c>
      <c r="D9375" s="120" t="str">
        <f>IFERROR(__xludf.DUMMYFUNCTION("""COMPUTED_VALUE"""),"Korea (South)")</f>
        <v>Korea (South)</v>
      </c>
      <c r="E9375" s="135"/>
      <c r="F9375" s="31"/>
    </row>
    <row r="9376">
      <c r="A9376" s="134" t="str">
        <f>IFERROR(__xludf.DUMMYFUNCTION("""COMPUTED_VALUE"""),"Yeelirrie")</f>
        <v>Yeelirrie</v>
      </c>
      <c r="B9376" s="120" t="str">
        <f>IFERROR(__xludf.DUMMYFUNCTION("""COMPUTED_VALUE"""),"KYF")</f>
        <v>KYF</v>
      </c>
      <c r="C9376" s="120" t="str">
        <f>IFERROR(__xludf.DUMMYFUNCTION("""COMPUTED_VALUE"""),"Yeelirrie")</f>
        <v>Yeelirrie</v>
      </c>
      <c r="D9376" s="120" t="str">
        <f>IFERROR(__xludf.DUMMYFUNCTION("""COMPUTED_VALUE"""),"Australia")</f>
        <v>Australia</v>
      </c>
      <c r="E9376" s="135"/>
      <c r="F9376" s="31"/>
    </row>
    <row r="9377">
      <c r="A9377" s="134" t="str">
        <f>IFERROR(__xludf.DUMMYFUNCTION("""COMPUTED_VALUE"""),"Yegepa")</f>
        <v>Yegepa</v>
      </c>
      <c r="B9377" s="120" t="str">
        <f>IFERROR(__xludf.DUMMYFUNCTION("""COMPUTED_VALUE"""),"PGE")</f>
        <v>PGE</v>
      </c>
      <c r="C9377" s="120" t="str">
        <f>IFERROR(__xludf.DUMMYFUNCTION("""COMPUTED_VALUE"""),"Yegepa")</f>
        <v>Yegepa</v>
      </c>
      <c r="D9377" s="120" t="str">
        <f>IFERROR(__xludf.DUMMYFUNCTION("""COMPUTED_VALUE"""),"Papua New Guinea")</f>
        <v>Papua New Guinea</v>
      </c>
      <c r="E9377" s="135"/>
      <c r="F9377" s="31"/>
    </row>
    <row r="9378">
      <c r="A9378" s="134" t="str">
        <f>IFERROR(__xludf.DUMMYFUNCTION("""COMPUTED_VALUE"""),"Yelimane")</f>
        <v>Yelimane</v>
      </c>
      <c r="B9378" s="120" t="str">
        <f>IFERROR(__xludf.DUMMYFUNCTION("""COMPUTED_VALUE"""),"EYL")</f>
        <v>EYL</v>
      </c>
      <c r="C9378" s="120" t="str">
        <f>IFERROR(__xludf.DUMMYFUNCTION("""COMPUTED_VALUE"""),"Yelimane")</f>
        <v>Yelimane</v>
      </c>
      <c r="D9378" s="120" t="str">
        <f>IFERROR(__xludf.DUMMYFUNCTION("""COMPUTED_VALUE"""),"Mali")</f>
        <v>Mali</v>
      </c>
      <c r="E9378" s="135"/>
      <c r="F9378" s="31"/>
    </row>
    <row r="9379">
      <c r="A9379" s="134" t="str">
        <f>IFERROR(__xludf.DUMMYFUNCTION("""COMPUTED_VALUE"""),"Yellow River")</f>
        <v>Yellow River</v>
      </c>
      <c r="B9379" s="120" t="str">
        <f>IFERROR(__xludf.DUMMYFUNCTION("""COMPUTED_VALUE"""),"XYR")</f>
        <v>XYR</v>
      </c>
      <c r="C9379" s="120" t="str">
        <f>IFERROR(__xludf.DUMMYFUNCTION("""COMPUTED_VALUE"""),"Yellow River")</f>
        <v>Yellow River</v>
      </c>
      <c r="D9379" s="120" t="str">
        <f>IFERROR(__xludf.DUMMYFUNCTION("""COMPUTED_VALUE"""),"Papua New Guinea")</f>
        <v>Papua New Guinea</v>
      </c>
      <c r="E9379" s="135"/>
      <c r="F9379" s="31"/>
    </row>
    <row r="9380">
      <c r="A9380" s="134" t="str">
        <f>IFERROR(__xludf.DUMMYFUNCTION("""COMPUTED_VALUE"""),"Yellowknife")</f>
        <v>Yellowknife</v>
      </c>
      <c r="B9380" s="120" t="str">
        <f>IFERROR(__xludf.DUMMYFUNCTION("""COMPUTED_VALUE"""),"YZF")</f>
        <v>YZF</v>
      </c>
      <c r="C9380" s="120" t="str">
        <f>IFERROR(__xludf.DUMMYFUNCTION("""COMPUTED_VALUE"""),"Yellowknife")</f>
        <v>Yellowknife</v>
      </c>
      <c r="D9380" s="120" t="str">
        <f>IFERROR(__xludf.DUMMYFUNCTION("""COMPUTED_VALUE"""),"Canada")</f>
        <v>Canada</v>
      </c>
      <c r="E9380" s="135"/>
      <c r="F9380" s="31"/>
    </row>
    <row r="9381">
      <c r="A9381" s="134" t="str">
        <f>IFERROR(__xludf.DUMMYFUNCTION("""COMPUTED_VALUE"""),"Yengema")</f>
        <v>Yengema</v>
      </c>
      <c r="B9381" s="120" t="str">
        <f>IFERROR(__xludf.DUMMYFUNCTION("""COMPUTED_VALUE"""),"WYE")</f>
        <v>WYE</v>
      </c>
      <c r="C9381" s="120" t="str">
        <f>IFERROR(__xludf.DUMMYFUNCTION("""COMPUTED_VALUE"""),"Yengema")</f>
        <v>Yengema</v>
      </c>
      <c r="D9381" s="120" t="str">
        <f>IFERROR(__xludf.DUMMYFUNCTION("""COMPUTED_VALUE"""),"Sierra Leone")</f>
        <v>Sierra Leone</v>
      </c>
      <c r="E9381" s="135"/>
      <c r="F9381" s="31"/>
    </row>
    <row r="9382">
      <c r="A9382" s="134" t="str">
        <f>IFERROR(__xludf.DUMMYFUNCTION("""COMPUTED_VALUE"""),"Yenkis")</f>
        <v>Yenkis</v>
      </c>
      <c r="B9382" s="120" t="str">
        <f>IFERROR(__xludf.DUMMYFUNCTION("""COMPUTED_VALUE"""),"YEQ")</f>
        <v>YEQ</v>
      </c>
      <c r="C9382" s="120" t="str">
        <f>IFERROR(__xludf.DUMMYFUNCTION("""COMPUTED_VALUE"""),"Yenkis")</f>
        <v>Yenkis</v>
      </c>
      <c r="D9382" s="120" t="str">
        <f>IFERROR(__xludf.DUMMYFUNCTION("""COMPUTED_VALUE"""),"Papua New Guinea")</f>
        <v>Papua New Guinea</v>
      </c>
      <c r="E9382" s="135"/>
      <c r="F9382" s="31"/>
    </row>
    <row r="9383">
      <c r="A9383" s="134" t="str">
        <f>IFERROR(__xludf.DUMMYFUNCTION("""COMPUTED_VALUE"""),"Yeosu")</f>
        <v>Yeosu</v>
      </c>
      <c r="B9383" s="120" t="str">
        <f>IFERROR(__xludf.DUMMYFUNCTION("""COMPUTED_VALUE"""),"RSU")</f>
        <v>RSU</v>
      </c>
      <c r="C9383" s="120" t="str">
        <f>IFERROR(__xludf.DUMMYFUNCTION("""COMPUTED_VALUE"""),"Yeosu")</f>
        <v>Yeosu</v>
      </c>
      <c r="D9383" s="120" t="str">
        <f>IFERROR(__xludf.DUMMYFUNCTION("""COMPUTED_VALUE"""),"Korea (South)")</f>
        <v>Korea (South)</v>
      </c>
      <c r="E9383" s="135"/>
      <c r="F9383" s="31"/>
    </row>
    <row r="9384">
      <c r="A9384" s="134" t="str">
        <f>IFERROR(__xludf.DUMMYFUNCTION("""COMPUTED_VALUE"""),"Yeovilton")</f>
        <v>Yeovilton</v>
      </c>
      <c r="B9384" s="120" t="str">
        <f>IFERROR(__xludf.DUMMYFUNCTION("""COMPUTED_VALUE"""),"YEO")</f>
        <v>YEO</v>
      </c>
      <c r="C9384" s="120" t="str">
        <f>IFERROR(__xludf.DUMMYFUNCTION("""COMPUTED_VALUE"""),"Yeovilton")</f>
        <v>Yeovilton</v>
      </c>
      <c r="D9384" s="120" t="str">
        <f>IFERROR(__xludf.DUMMYFUNCTION("""COMPUTED_VALUE"""),"United Kingdom")</f>
        <v>United Kingdom</v>
      </c>
      <c r="E9384" s="135"/>
      <c r="F9384" s="31"/>
    </row>
    <row r="9385">
      <c r="A9385" s="134" t="str">
        <f>IFERROR(__xludf.DUMMYFUNCTION("""COMPUTED_VALUE"""),"Yerevan")</f>
        <v>Yerevan</v>
      </c>
      <c r="B9385" s="120" t="str">
        <f>IFERROR(__xludf.DUMMYFUNCTION("""COMPUTED_VALUE"""),"EVN")</f>
        <v>EVN</v>
      </c>
      <c r="C9385" s="120" t="str">
        <f>IFERROR(__xludf.DUMMYFUNCTION("""COMPUTED_VALUE"""),"Yerevan")</f>
        <v>Yerevan</v>
      </c>
      <c r="D9385" s="120" t="str">
        <f>IFERROR(__xludf.DUMMYFUNCTION("""COMPUTED_VALUE"""),"Armenia")</f>
        <v>Armenia</v>
      </c>
      <c r="E9385" s="135"/>
      <c r="F9385" s="31"/>
    </row>
    <row r="9386">
      <c r="A9386" s="134" t="str">
        <f>IFERROR(__xludf.DUMMYFUNCTION("""COMPUTED_VALUE"""),"Yerington")</f>
        <v>Yerington</v>
      </c>
      <c r="B9386" s="120" t="str">
        <f>IFERROR(__xludf.DUMMYFUNCTION("""COMPUTED_VALUE"""),"EYR")</f>
        <v>EYR</v>
      </c>
      <c r="C9386" s="120" t="str">
        <f>IFERROR(__xludf.DUMMYFUNCTION("""COMPUTED_VALUE"""),"Yerington")</f>
        <v>Yerington</v>
      </c>
      <c r="D9386" s="120" t="str">
        <f>IFERROR(__xludf.DUMMYFUNCTION("""COMPUTED_VALUE"""),"United States")</f>
        <v>United States</v>
      </c>
      <c r="E9386" s="135"/>
      <c r="F9386" s="31"/>
    </row>
    <row r="9387">
      <c r="A9387" s="134" t="str">
        <f>IFERROR(__xludf.DUMMYFUNCTION("""COMPUTED_VALUE"""),"Yes Bay")</f>
        <v>Yes Bay</v>
      </c>
      <c r="B9387" s="120" t="str">
        <f>IFERROR(__xludf.DUMMYFUNCTION("""COMPUTED_VALUE"""),"WYB")</f>
        <v>WYB</v>
      </c>
      <c r="C9387" s="120" t="str">
        <f>IFERROR(__xludf.DUMMYFUNCTION("""COMPUTED_VALUE"""),"SPB")</f>
        <v>SPB</v>
      </c>
      <c r="D9387" s="120" t="str">
        <f>IFERROR(__xludf.DUMMYFUNCTION("""COMPUTED_VALUE"""),"United States")</f>
        <v>United States</v>
      </c>
      <c r="E9387" s="135"/>
      <c r="F9387" s="31"/>
    </row>
    <row r="9388">
      <c r="A9388" s="134" t="str">
        <f>IFERROR(__xludf.DUMMYFUNCTION("""COMPUTED_VALUE"""),"Yeva")</f>
        <v>Yeva</v>
      </c>
      <c r="B9388" s="120" t="str">
        <f>IFERROR(__xludf.DUMMYFUNCTION("""COMPUTED_VALUE"""),"YVD")</f>
        <v>YVD</v>
      </c>
      <c r="C9388" s="120" t="str">
        <f>IFERROR(__xludf.DUMMYFUNCTION("""COMPUTED_VALUE"""),"Yeva")</f>
        <v>Yeva</v>
      </c>
      <c r="D9388" s="120" t="str">
        <f>IFERROR(__xludf.DUMMYFUNCTION("""COMPUTED_VALUE"""),"Papua New Guinea")</f>
        <v>Papua New Guinea</v>
      </c>
      <c r="E9388" s="135"/>
      <c r="F9388" s="31"/>
    </row>
    <row r="9389">
      <c r="A9389" s="134" t="str">
        <f>IFERROR(__xludf.DUMMYFUNCTION("""COMPUTED_VALUE"""),"Yibin")</f>
        <v>Yibin</v>
      </c>
      <c r="B9389" s="120" t="str">
        <f>IFERROR(__xludf.DUMMYFUNCTION("""COMPUTED_VALUE"""),"YBP")</f>
        <v>YBP</v>
      </c>
      <c r="C9389" s="120" t="str">
        <f>IFERROR(__xludf.DUMMYFUNCTION("""COMPUTED_VALUE"""),"Yibin")</f>
        <v>Yibin</v>
      </c>
      <c r="D9389" s="120" t="str">
        <f>IFERROR(__xludf.DUMMYFUNCTION("""COMPUTED_VALUE"""),"China")</f>
        <v>China</v>
      </c>
      <c r="E9389" s="135"/>
      <c r="F9389" s="31"/>
    </row>
    <row r="9390">
      <c r="A9390" s="134" t="str">
        <f>IFERROR(__xludf.DUMMYFUNCTION("""COMPUTED_VALUE"""),"Yichang")</f>
        <v>Yichang</v>
      </c>
      <c r="B9390" s="120" t="str">
        <f>IFERROR(__xludf.DUMMYFUNCTION("""COMPUTED_VALUE"""),"YIH")</f>
        <v>YIH</v>
      </c>
      <c r="C9390" s="120" t="str">
        <f>IFERROR(__xludf.DUMMYFUNCTION("""COMPUTED_VALUE"""),"Yichang")</f>
        <v>Yichang</v>
      </c>
      <c r="D9390" s="120" t="str">
        <f>IFERROR(__xludf.DUMMYFUNCTION("""COMPUTED_VALUE"""),"China")</f>
        <v>China</v>
      </c>
      <c r="E9390" s="135"/>
      <c r="F9390" s="31"/>
    </row>
    <row r="9391">
      <c r="A9391" s="134" t="str">
        <f>IFERROR(__xludf.DUMMYFUNCTION("""COMPUTED_VALUE"""),"Yilan")</f>
        <v>Yilan</v>
      </c>
      <c r="B9391" s="120" t="str">
        <f>IFERROR(__xludf.DUMMYFUNCTION("""COMPUTED_VALUE"""),"YLN")</f>
        <v>YLN</v>
      </c>
      <c r="C9391" s="120" t="str">
        <f>IFERROR(__xludf.DUMMYFUNCTION("""COMPUTED_VALUE"""),"Yilan")</f>
        <v>Yilan</v>
      </c>
      <c r="D9391" s="120" t="str">
        <f>IFERROR(__xludf.DUMMYFUNCTION("""COMPUTED_VALUE"""),"China")</f>
        <v>China</v>
      </c>
      <c r="E9391" s="135"/>
      <c r="F9391" s="31"/>
    </row>
    <row r="9392">
      <c r="A9392" s="134" t="str">
        <f>IFERROR(__xludf.DUMMYFUNCTION("""COMPUTED_VALUE"""),"Yinchuan")</f>
        <v>Yinchuan</v>
      </c>
      <c r="B9392" s="120" t="str">
        <f>IFERROR(__xludf.DUMMYFUNCTION("""COMPUTED_VALUE"""),"INC")</f>
        <v>INC</v>
      </c>
      <c r="C9392" s="120" t="str">
        <f>IFERROR(__xludf.DUMMYFUNCTION("""COMPUTED_VALUE"""),"Yinchuan")</f>
        <v>Yinchuan</v>
      </c>
      <c r="D9392" s="120" t="str">
        <f>IFERROR(__xludf.DUMMYFUNCTION("""COMPUTED_VALUE"""),"China")</f>
        <v>China</v>
      </c>
      <c r="E9392" s="135"/>
      <c r="F9392" s="31"/>
    </row>
    <row r="9393">
      <c r="A9393" s="134" t="str">
        <f>IFERROR(__xludf.DUMMYFUNCTION("""COMPUTED_VALUE"""),"Yining")</f>
        <v>Yining</v>
      </c>
      <c r="B9393" s="120" t="str">
        <f>IFERROR(__xludf.DUMMYFUNCTION("""COMPUTED_VALUE"""),"YIN")</f>
        <v>YIN</v>
      </c>
      <c r="C9393" s="120" t="str">
        <f>IFERROR(__xludf.DUMMYFUNCTION("""COMPUTED_VALUE"""),"Yining")</f>
        <v>Yining</v>
      </c>
      <c r="D9393" s="120" t="str">
        <f>IFERROR(__xludf.DUMMYFUNCTION("""COMPUTED_VALUE"""),"China")</f>
        <v>China</v>
      </c>
      <c r="E9393" s="135"/>
      <c r="F9393" s="31"/>
    </row>
    <row r="9394">
      <c r="A9394" s="134" t="str">
        <f>IFERROR(__xludf.DUMMYFUNCTION("""COMPUTED_VALUE"""),"Yiwu")</f>
        <v>Yiwu</v>
      </c>
      <c r="B9394" s="120" t="str">
        <f>IFERROR(__xludf.DUMMYFUNCTION("""COMPUTED_VALUE"""),"YIW")</f>
        <v>YIW</v>
      </c>
      <c r="C9394" s="120" t="str">
        <f>IFERROR(__xludf.DUMMYFUNCTION("""COMPUTED_VALUE"""),"Yiwu")</f>
        <v>Yiwu</v>
      </c>
      <c r="D9394" s="120" t="str">
        <f>IFERROR(__xludf.DUMMYFUNCTION("""COMPUTED_VALUE"""),"China")</f>
        <v>China</v>
      </c>
      <c r="E9394" s="135"/>
      <c r="F9394" s="31"/>
    </row>
    <row r="9395">
      <c r="A9395" s="134" t="str">
        <f>IFERROR(__xludf.DUMMYFUNCTION("""COMPUTED_VALUE"""),"Ylivieska")</f>
        <v>Ylivieska</v>
      </c>
      <c r="B9395" s="120" t="str">
        <f>IFERROR(__xludf.DUMMYFUNCTION("""COMPUTED_VALUE"""),"YLI")</f>
        <v>YLI</v>
      </c>
      <c r="C9395" s="120" t="str">
        <f>IFERROR(__xludf.DUMMYFUNCTION("""COMPUTED_VALUE"""),"Ylivieska")</f>
        <v>Ylivieska</v>
      </c>
      <c r="D9395" s="120" t="str">
        <f>IFERROR(__xludf.DUMMYFUNCTION("""COMPUTED_VALUE"""),"Finland")</f>
        <v>Finland</v>
      </c>
      <c r="E9395" s="135"/>
      <c r="F9395" s="31"/>
    </row>
    <row r="9396">
      <c r="A9396" s="134" t="str">
        <f>IFERROR(__xludf.DUMMYFUNCTION("""COMPUTED_VALUE"""),"Yogyakarta")</f>
        <v>Yogyakarta</v>
      </c>
      <c r="B9396" s="120" t="str">
        <f>IFERROR(__xludf.DUMMYFUNCTION("""COMPUTED_VALUE"""),"JOG")</f>
        <v>JOG</v>
      </c>
      <c r="C9396" s="120" t="str">
        <f>IFERROR(__xludf.DUMMYFUNCTION("""COMPUTED_VALUE"""),"Adisutjipto")</f>
        <v>Adisutjipto</v>
      </c>
      <c r="D9396" s="120" t="str">
        <f>IFERROR(__xludf.DUMMYFUNCTION("""COMPUTED_VALUE"""),"Indonesia")</f>
        <v>Indonesia</v>
      </c>
      <c r="E9396" s="135"/>
      <c r="F9396" s="31"/>
    </row>
    <row r="9397">
      <c r="A9397" s="134" t="str">
        <f>IFERROR(__xludf.DUMMYFUNCTION("""COMPUTED_VALUE"""),"Yokohama")</f>
        <v>Yokohama</v>
      </c>
      <c r="B9397" s="120" t="str">
        <f>IFERROR(__xludf.DUMMYFUNCTION("""COMPUTED_VALUE"""),"YOK")</f>
        <v>YOK</v>
      </c>
      <c r="C9397" s="120" t="str">
        <f>IFERROR(__xludf.DUMMYFUNCTION("""COMPUTED_VALUE"""),"Yokohama")</f>
        <v>Yokohama</v>
      </c>
      <c r="D9397" s="120" t="str">
        <f>IFERROR(__xludf.DUMMYFUNCTION("""COMPUTED_VALUE"""),"Japan")</f>
        <v>Japan</v>
      </c>
      <c r="E9397" s="135"/>
      <c r="F9397" s="31"/>
    </row>
    <row r="9398">
      <c r="A9398" s="134" t="str">
        <f>IFERROR(__xludf.DUMMYFUNCTION("""COMPUTED_VALUE"""),"Yola")</f>
        <v>Yola</v>
      </c>
      <c r="B9398" s="120" t="str">
        <f>IFERROR(__xludf.DUMMYFUNCTION("""COMPUTED_VALUE"""),"YOL")</f>
        <v>YOL</v>
      </c>
      <c r="C9398" s="120" t="str">
        <f>IFERROR(__xludf.DUMMYFUNCTION("""COMPUTED_VALUE"""),"Yola")</f>
        <v>Yola</v>
      </c>
      <c r="D9398" s="120" t="str">
        <f>IFERROR(__xludf.DUMMYFUNCTION("""COMPUTED_VALUE"""),"Nigeria")</f>
        <v>Nigeria</v>
      </c>
      <c r="E9398" s="135"/>
      <c r="F9398" s="31"/>
    </row>
    <row r="9399">
      <c r="A9399" s="134" t="str">
        <f>IFERROR(__xludf.DUMMYFUNCTION("""COMPUTED_VALUE"""),"Yonago")</f>
        <v>Yonago</v>
      </c>
      <c r="B9399" s="120" t="str">
        <f>IFERROR(__xludf.DUMMYFUNCTION("""COMPUTED_VALUE"""),"YGJ")</f>
        <v>YGJ</v>
      </c>
      <c r="C9399" s="120" t="str">
        <f>IFERROR(__xludf.DUMMYFUNCTION("""COMPUTED_VALUE"""),"Miho")</f>
        <v>Miho</v>
      </c>
      <c r="D9399" s="120" t="str">
        <f>IFERROR(__xludf.DUMMYFUNCTION("""COMPUTED_VALUE"""),"Japan")</f>
        <v>Japan</v>
      </c>
      <c r="E9399" s="135"/>
      <c r="F9399" s="31"/>
    </row>
    <row r="9400">
      <c r="A9400" s="134" t="str">
        <f>IFERROR(__xludf.DUMMYFUNCTION("""COMPUTED_VALUE"""),"Yonaguni Jima")</f>
        <v>Yonaguni Jima</v>
      </c>
      <c r="B9400" s="120" t="str">
        <f>IFERROR(__xludf.DUMMYFUNCTION("""COMPUTED_VALUE"""),"OGN")</f>
        <v>OGN</v>
      </c>
      <c r="C9400" s="120" t="str">
        <f>IFERROR(__xludf.DUMMYFUNCTION("""COMPUTED_VALUE"""),"Yonaguni Jima")</f>
        <v>Yonaguni Jima</v>
      </c>
      <c r="D9400" s="120" t="str">
        <f>IFERROR(__xludf.DUMMYFUNCTION("""COMPUTED_VALUE"""),"Japan")</f>
        <v>Japan</v>
      </c>
      <c r="E9400" s="135"/>
      <c r="F9400" s="31"/>
    </row>
    <row r="9401">
      <c r="A9401" s="134" t="str">
        <f>IFERROR(__xludf.DUMMYFUNCTION("""COMPUTED_VALUE"""),"Yongai")</f>
        <v>Yongai</v>
      </c>
      <c r="B9401" s="120" t="str">
        <f>IFERROR(__xludf.DUMMYFUNCTION("""COMPUTED_VALUE"""),"KGH")</f>
        <v>KGH</v>
      </c>
      <c r="C9401" s="120" t="str">
        <f>IFERROR(__xludf.DUMMYFUNCTION("""COMPUTED_VALUE"""),"Yongai")</f>
        <v>Yongai</v>
      </c>
      <c r="D9401" s="120" t="str">
        <f>IFERROR(__xludf.DUMMYFUNCTION("""COMPUTED_VALUE"""),"Papua New Guinea")</f>
        <v>Papua New Guinea</v>
      </c>
      <c r="E9401" s="135"/>
      <c r="F9401" s="31"/>
    </row>
    <row r="9402">
      <c r="A9402" s="134" t="str">
        <f>IFERROR(__xludf.DUMMYFUNCTION("""COMPUTED_VALUE"""),"York")</f>
        <v>York</v>
      </c>
      <c r="B9402" s="120" t="str">
        <f>IFERROR(__xludf.DUMMYFUNCTION("""COMPUTED_VALUE"""),"THV")</f>
        <v>THV</v>
      </c>
      <c r="C9402" s="120" t="str">
        <f>IFERROR(__xludf.DUMMYFUNCTION("""COMPUTED_VALUE"""),"York")</f>
        <v>York</v>
      </c>
      <c r="D9402" s="120" t="str">
        <f>IFERROR(__xludf.DUMMYFUNCTION("""COMPUTED_VALUE"""),"United States")</f>
        <v>United States</v>
      </c>
      <c r="E9402" s="135"/>
      <c r="F9402" s="31"/>
    </row>
    <row r="9403">
      <c r="A9403" s="134" t="str">
        <f>IFERROR(__xludf.DUMMYFUNCTION("""COMPUTED_VALUE"""),"York Landing")</f>
        <v>York Landing</v>
      </c>
      <c r="B9403" s="120" t="str">
        <f>IFERROR(__xludf.DUMMYFUNCTION("""COMPUTED_VALUE"""),"ZAC")</f>
        <v>ZAC</v>
      </c>
      <c r="C9403" s="120" t="str">
        <f>IFERROR(__xludf.DUMMYFUNCTION("""COMPUTED_VALUE"""),"York Landing")</f>
        <v>York Landing</v>
      </c>
      <c r="D9403" s="120" t="str">
        <f>IFERROR(__xludf.DUMMYFUNCTION("""COMPUTED_VALUE"""),"Canada")</f>
        <v>Canada</v>
      </c>
      <c r="E9403" s="135"/>
      <c r="F9403" s="31"/>
    </row>
    <row r="9404">
      <c r="A9404" s="134" t="str">
        <f>IFERROR(__xludf.DUMMYFUNCTION("""COMPUTED_VALUE"""),"Yorke Island")</f>
        <v>Yorke Island</v>
      </c>
      <c r="B9404" s="120" t="str">
        <f>IFERROR(__xludf.DUMMYFUNCTION("""COMPUTED_VALUE"""),"OKR")</f>
        <v>OKR</v>
      </c>
      <c r="C9404" s="120" t="str">
        <f>IFERROR(__xludf.DUMMYFUNCTION("""COMPUTED_VALUE"""),"Yorke Island")</f>
        <v>Yorke Island</v>
      </c>
      <c r="D9404" s="120" t="str">
        <f>IFERROR(__xludf.DUMMYFUNCTION("""COMPUTED_VALUE"""),"Australia")</f>
        <v>Australia</v>
      </c>
      <c r="E9404" s="135"/>
      <c r="F9404" s="31"/>
    </row>
    <row r="9405">
      <c r="A9405" s="134" t="str">
        <f>IFERROR(__xludf.DUMMYFUNCTION("""COMPUTED_VALUE"""),"Yorketown")</f>
        <v>Yorketown</v>
      </c>
      <c r="B9405" s="120" t="str">
        <f>IFERROR(__xludf.DUMMYFUNCTION("""COMPUTED_VALUE"""),"ORR")</f>
        <v>ORR</v>
      </c>
      <c r="C9405" s="120" t="str">
        <f>IFERROR(__xludf.DUMMYFUNCTION("""COMPUTED_VALUE"""),"Yorketown")</f>
        <v>Yorketown</v>
      </c>
      <c r="D9405" s="120" t="str">
        <f>IFERROR(__xludf.DUMMYFUNCTION("""COMPUTED_VALUE"""),"Australia")</f>
        <v>Australia</v>
      </c>
      <c r="E9405" s="135"/>
      <c r="F9405" s="31"/>
    </row>
    <row r="9406">
      <c r="A9406" s="134" t="str">
        <f>IFERROR(__xludf.DUMMYFUNCTION("""COMPUTED_VALUE"""),"Yorkton")</f>
        <v>Yorkton</v>
      </c>
      <c r="B9406" s="120" t="str">
        <f>IFERROR(__xludf.DUMMYFUNCTION("""COMPUTED_VALUE"""),"YQV")</f>
        <v>YQV</v>
      </c>
      <c r="C9406" s="120" t="str">
        <f>IFERROR(__xludf.DUMMYFUNCTION("""COMPUTED_VALUE"""),"Yorkton")</f>
        <v>Yorkton</v>
      </c>
      <c r="D9406" s="120" t="str">
        <f>IFERROR(__xludf.DUMMYFUNCTION("""COMPUTED_VALUE"""),"Canada")</f>
        <v>Canada</v>
      </c>
      <c r="E9406" s="135"/>
      <c r="F9406" s="31"/>
    </row>
    <row r="9407">
      <c r="A9407" s="134" t="str">
        <f>IFERROR(__xludf.DUMMYFUNCTION("""COMPUTED_VALUE"""),"Yoro")</f>
        <v>Yoro</v>
      </c>
      <c r="B9407" s="120" t="str">
        <f>IFERROR(__xludf.DUMMYFUNCTION("""COMPUTED_VALUE"""),"ORO")</f>
        <v>ORO</v>
      </c>
      <c r="C9407" s="120" t="str">
        <f>IFERROR(__xludf.DUMMYFUNCTION("""COMPUTED_VALUE"""),"Yoro")</f>
        <v>Yoro</v>
      </c>
      <c r="D9407" s="120" t="str">
        <f>IFERROR(__xludf.DUMMYFUNCTION("""COMPUTED_VALUE"""),"Honduras")</f>
        <v>Honduras</v>
      </c>
      <c r="E9407" s="135"/>
      <c r="F9407" s="31"/>
    </row>
    <row r="9408">
      <c r="A9408" s="134" t="str">
        <f>IFERROR(__xludf.DUMMYFUNCTION("""COMPUTED_VALUE"""),"Yoronjima")</f>
        <v>Yoronjima</v>
      </c>
      <c r="B9408" s="120" t="str">
        <f>IFERROR(__xludf.DUMMYFUNCTION("""COMPUTED_VALUE"""),"RNJ")</f>
        <v>RNJ</v>
      </c>
      <c r="C9408" s="120" t="str">
        <f>IFERROR(__xludf.DUMMYFUNCTION("""COMPUTED_VALUE"""),"Yoronjima")</f>
        <v>Yoronjima</v>
      </c>
      <c r="D9408" s="120" t="str">
        <f>IFERROR(__xludf.DUMMYFUNCTION("""COMPUTED_VALUE"""),"Japan")</f>
        <v>Japan</v>
      </c>
      <c r="E9408" s="135"/>
      <c r="F9408" s="31"/>
    </row>
    <row r="9409">
      <c r="A9409" s="134" t="str">
        <f>IFERROR(__xludf.DUMMYFUNCTION("""COMPUTED_VALUE"""),"Yosemite Ntl Park")</f>
        <v>Yosemite Ntl Park</v>
      </c>
      <c r="B9409" s="120" t="str">
        <f>IFERROR(__xludf.DUMMYFUNCTION("""COMPUTED_VALUE"""),"OYS")</f>
        <v>OYS</v>
      </c>
      <c r="C9409" s="120" t="str">
        <f>IFERROR(__xludf.DUMMYFUNCTION("""COMPUTED_VALUE"""),"Yosemite Ntl Park")</f>
        <v>Yosemite Ntl Park</v>
      </c>
      <c r="D9409" s="120" t="str">
        <f>IFERROR(__xludf.DUMMYFUNCTION("""COMPUTED_VALUE"""),"United States")</f>
        <v>United States</v>
      </c>
      <c r="E9409" s="135"/>
      <c r="F9409" s="31"/>
    </row>
    <row r="9410">
      <c r="A9410" s="134" t="str">
        <f>IFERROR(__xludf.DUMMYFUNCTION("""COMPUTED_VALUE"""),"Yotvata")</f>
        <v>Yotvata</v>
      </c>
      <c r="B9410" s="120" t="str">
        <f>IFERROR(__xludf.DUMMYFUNCTION("""COMPUTED_VALUE"""),"YOT")</f>
        <v>YOT</v>
      </c>
      <c r="C9410" s="120" t="str">
        <f>IFERROR(__xludf.DUMMYFUNCTION("""COMPUTED_VALUE"""),"Yotvata")</f>
        <v>Yotvata</v>
      </c>
      <c r="D9410" s="120" t="str">
        <f>IFERROR(__xludf.DUMMYFUNCTION("""COMPUTED_VALUE"""),"Israel")</f>
        <v>Israel</v>
      </c>
      <c r="E9410" s="135"/>
      <c r="F9410" s="31"/>
    </row>
    <row r="9411">
      <c r="A9411" s="134" t="str">
        <f>IFERROR(__xludf.DUMMYFUNCTION("""COMPUTED_VALUE"""),"Young")</f>
        <v>Young</v>
      </c>
      <c r="B9411" s="120" t="str">
        <f>IFERROR(__xludf.DUMMYFUNCTION("""COMPUTED_VALUE"""),"NGA")</f>
        <v>NGA</v>
      </c>
      <c r="C9411" s="120" t="str">
        <f>IFERROR(__xludf.DUMMYFUNCTION("""COMPUTED_VALUE"""),"Young")</f>
        <v>Young</v>
      </c>
      <c r="D9411" s="120" t="str">
        <f>IFERROR(__xludf.DUMMYFUNCTION("""COMPUTED_VALUE"""),"Australia")</f>
        <v>Australia</v>
      </c>
      <c r="E9411" s="135"/>
      <c r="F9411" s="31"/>
    </row>
    <row r="9412">
      <c r="A9412" s="134" t="str">
        <f>IFERROR(__xludf.DUMMYFUNCTION("""COMPUTED_VALUE"""),"Youngstown")</f>
        <v>Youngstown</v>
      </c>
      <c r="B9412" s="120" t="str">
        <f>IFERROR(__xludf.DUMMYFUNCTION("""COMPUTED_VALUE"""),"YNG")</f>
        <v>YNG</v>
      </c>
      <c r="C9412" s="120" t="str">
        <f>IFERROR(__xludf.DUMMYFUNCTION("""COMPUTED_VALUE"""),"Youngstown")</f>
        <v>Youngstown</v>
      </c>
      <c r="D9412" s="120" t="str">
        <f>IFERROR(__xludf.DUMMYFUNCTION("""COMPUTED_VALUE"""),"United States")</f>
        <v>United States</v>
      </c>
      <c r="E9412" s="135"/>
      <c r="F9412" s="31"/>
    </row>
    <row r="9413">
      <c r="A9413" s="134" t="str">
        <f>IFERROR(__xludf.DUMMYFUNCTION("""COMPUTED_VALUE"""),"Yreka")</f>
        <v>Yreka</v>
      </c>
      <c r="B9413" s="120" t="str">
        <f>IFERROR(__xludf.DUMMYFUNCTION("""COMPUTED_VALUE"""),"RKC")</f>
        <v>RKC</v>
      </c>
      <c r="C9413" s="120" t="str">
        <f>IFERROR(__xludf.DUMMYFUNCTION("""COMPUTED_VALUE"""),"Yreka")</f>
        <v>Yreka</v>
      </c>
      <c r="D9413" s="120" t="str">
        <f>IFERROR(__xludf.DUMMYFUNCTION("""COMPUTED_VALUE"""),"United States")</f>
        <v>United States</v>
      </c>
      <c r="E9413" s="135"/>
      <c r="F9413" s="31"/>
    </row>
    <row r="9414">
      <c r="A9414" s="134" t="str">
        <f>IFERROR(__xludf.DUMMYFUNCTION("""COMPUTED_VALUE"""),"Yuanmou")</f>
        <v>Yuanmou</v>
      </c>
      <c r="B9414" s="120" t="str">
        <f>IFERROR(__xludf.DUMMYFUNCTION("""COMPUTED_VALUE"""),"YUA")</f>
        <v>YUA</v>
      </c>
      <c r="C9414" s="120" t="str">
        <f>IFERROR(__xludf.DUMMYFUNCTION("""COMPUTED_VALUE"""),"Yuanmou")</f>
        <v>Yuanmou</v>
      </c>
      <c r="D9414" s="120" t="str">
        <f>IFERROR(__xludf.DUMMYFUNCTION("""COMPUTED_VALUE"""),"China")</f>
        <v>China</v>
      </c>
      <c r="E9414" s="135"/>
      <c r="F9414" s="31"/>
    </row>
    <row r="9415">
      <c r="A9415" s="134" t="str">
        <f>IFERROR(__xludf.DUMMYFUNCTION("""COMPUTED_VALUE"""),"Yucca Flat")</f>
        <v>Yucca Flat</v>
      </c>
      <c r="B9415" s="120" t="str">
        <f>IFERROR(__xludf.DUMMYFUNCTION("""COMPUTED_VALUE"""),"UCC")</f>
        <v>UCC</v>
      </c>
      <c r="C9415" s="120" t="str">
        <f>IFERROR(__xludf.DUMMYFUNCTION("""COMPUTED_VALUE"""),"Yucca Flat")</f>
        <v>Yucca Flat</v>
      </c>
      <c r="D9415" s="120" t="str">
        <f>IFERROR(__xludf.DUMMYFUNCTION("""COMPUTED_VALUE"""),"United States")</f>
        <v>United States</v>
      </c>
      <c r="E9415" s="135"/>
      <c r="F9415" s="31"/>
    </row>
    <row r="9416">
      <c r="A9416" s="134" t="str">
        <f>IFERROR(__xludf.DUMMYFUNCTION("""COMPUTED_VALUE"""),"Yuendumu")</f>
        <v>Yuendumu</v>
      </c>
      <c r="B9416" s="120" t="str">
        <f>IFERROR(__xludf.DUMMYFUNCTION("""COMPUTED_VALUE"""),"YUE")</f>
        <v>YUE</v>
      </c>
      <c r="C9416" s="120" t="str">
        <f>IFERROR(__xludf.DUMMYFUNCTION("""COMPUTED_VALUE"""),"Yuendumu")</f>
        <v>Yuendumu</v>
      </c>
      <c r="D9416" s="120" t="str">
        <f>IFERROR(__xludf.DUMMYFUNCTION("""COMPUTED_VALUE"""),"Australia")</f>
        <v>Australia</v>
      </c>
      <c r="E9416" s="135"/>
      <c r="F9416" s="31"/>
    </row>
    <row r="9417">
      <c r="A9417" s="134" t="str">
        <f>IFERROR(__xludf.DUMMYFUNCTION("""COMPUTED_VALUE"""),"Yule Island")</f>
        <v>Yule Island</v>
      </c>
      <c r="B9417" s="120" t="str">
        <f>IFERROR(__xludf.DUMMYFUNCTION("""COMPUTED_VALUE"""),"RKU")</f>
        <v>RKU</v>
      </c>
      <c r="C9417" s="120" t="str">
        <f>IFERROR(__xludf.DUMMYFUNCTION("""COMPUTED_VALUE"""),"Kairuku")</f>
        <v>Kairuku</v>
      </c>
      <c r="D9417" s="120" t="str">
        <f>IFERROR(__xludf.DUMMYFUNCTION("""COMPUTED_VALUE"""),"Papua New Guinea")</f>
        <v>Papua New Guinea</v>
      </c>
      <c r="E9417" s="135"/>
      <c r="F9417" s="31"/>
    </row>
    <row r="9418">
      <c r="A9418" s="134" t="str">
        <f>IFERROR(__xludf.DUMMYFUNCTION("""COMPUTED_VALUE"""),"Yulin")</f>
        <v>Yulin</v>
      </c>
      <c r="B9418" s="120" t="str">
        <f>IFERROR(__xludf.DUMMYFUNCTION("""COMPUTED_VALUE"""),"UYN")</f>
        <v>UYN</v>
      </c>
      <c r="C9418" s="120" t="str">
        <f>IFERROR(__xludf.DUMMYFUNCTION("""COMPUTED_VALUE"""),"Yulin")</f>
        <v>Yulin</v>
      </c>
      <c r="D9418" s="120" t="str">
        <f>IFERROR(__xludf.DUMMYFUNCTION("""COMPUTED_VALUE"""),"China")</f>
        <v>China</v>
      </c>
      <c r="E9418" s="135"/>
      <c r="F9418" s="31"/>
    </row>
    <row r="9419">
      <c r="A9419" s="134" t="str">
        <f>IFERROR(__xludf.DUMMYFUNCTION("""COMPUTED_VALUE"""),"Yuma")</f>
        <v>Yuma</v>
      </c>
      <c r="B9419" s="120" t="str">
        <f>IFERROR(__xludf.DUMMYFUNCTION("""COMPUTED_VALUE"""),"YUM")</f>
        <v>YUM</v>
      </c>
      <c r="C9419" s="120" t="str">
        <f>IFERROR(__xludf.DUMMYFUNCTION("""COMPUTED_VALUE"""),"International")</f>
        <v>International</v>
      </c>
      <c r="D9419" s="120" t="str">
        <f>IFERROR(__xludf.DUMMYFUNCTION("""COMPUTED_VALUE"""),"United States")</f>
        <v>United States</v>
      </c>
      <c r="E9419" s="135"/>
      <c r="F9419" s="31"/>
    </row>
    <row r="9420">
      <c r="A9420" s="134" t="str">
        <f>IFERROR(__xludf.DUMMYFUNCTION("""COMPUTED_VALUE"""),"Yuma")</f>
        <v>Yuma</v>
      </c>
      <c r="B9420" s="120" t="str">
        <f>IFERROR(__xludf.DUMMYFUNCTION("""COMPUTED_VALUE"""),"LGF")</f>
        <v>LGF</v>
      </c>
      <c r="C9420" s="120" t="str">
        <f>IFERROR(__xludf.DUMMYFUNCTION("""COMPUTED_VALUE"""),"Laguna AAF")</f>
        <v>Laguna AAF</v>
      </c>
      <c r="D9420" s="120" t="str">
        <f>IFERROR(__xludf.DUMMYFUNCTION("""COMPUTED_VALUE"""),"United States")</f>
        <v>United States</v>
      </c>
      <c r="E9420" s="135"/>
      <c r="F9420" s="31"/>
    </row>
    <row r="9421">
      <c r="A9421" s="134" t="str">
        <f>IFERROR(__xludf.DUMMYFUNCTION("""COMPUTED_VALUE"""),"Yun Cheng")</f>
        <v>Yun Cheng</v>
      </c>
      <c r="B9421" s="120" t="str">
        <f>IFERROR(__xludf.DUMMYFUNCTION("""COMPUTED_VALUE"""),"YCU")</f>
        <v>YCU</v>
      </c>
      <c r="C9421" s="120" t="str">
        <f>IFERROR(__xludf.DUMMYFUNCTION("""COMPUTED_VALUE"""),"Yun Cheng")</f>
        <v>Yun Cheng</v>
      </c>
      <c r="D9421" s="120" t="str">
        <f>IFERROR(__xludf.DUMMYFUNCTION("""COMPUTED_VALUE"""),"Canada")</f>
        <v>Canada</v>
      </c>
      <c r="E9421" s="135"/>
      <c r="F9421" s="31"/>
    </row>
    <row r="9422">
      <c r="A9422" s="134" t="str">
        <f>IFERROR(__xludf.DUMMYFUNCTION("""COMPUTED_VALUE"""),"Yurimaguas")</f>
        <v>Yurimaguas</v>
      </c>
      <c r="B9422" s="120" t="str">
        <f>IFERROR(__xludf.DUMMYFUNCTION("""COMPUTED_VALUE"""),"YMS")</f>
        <v>YMS</v>
      </c>
      <c r="C9422" s="120" t="str">
        <f>IFERROR(__xludf.DUMMYFUNCTION("""COMPUTED_VALUE"""),"Yurimaguas")</f>
        <v>Yurimaguas</v>
      </c>
      <c r="D9422" s="120" t="str">
        <f>IFERROR(__xludf.DUMMYFUNCTION("""COMPUTED_VALUE"""),"Peru")</f>
        <v>Peru</v>
      </c>
      <c r="E9422" s="135"/>
      <c r="F9422" s="31"/>
    </row>
    <row r="9423">
      <c r="A9423" s="134" t="str">
        <f>IFERROR(__xludf.DUMMYFUNCTION("""COMPUTED_VALUE"""),"Yuruf")</f>
        <v>Yuruf</v>
      </c>
      <c r="B9423" s="120" t="str">
        <f>IFERROR(__xludf.DUMMYFUNCTION("""COMPUTED_VALUE"""),"RUF")</f>
        <v>RUF</v>
      </c>
      <c r="C9423" s="120" t="str">
        <f>IFERROR(__xludf.DUMMYFUNCTION("""COMPUTED_VALUE"""),"Yuruf")</f>
        <v>Yuruf</v>
      </c>
      <c r="D9423" s="120" t="str">
        <f>IFERROR(__xludf.DUMMYFUNCTION("""COMPUTED_VALUE"""),"Indonesia")</f>
        <v>Indonesia</v>
      </c>
      <c r="E9423" s="135"/>
      <c r="F9423" s="31"/>
    </row>
    <row r="9424">
      <c r="A9424" s="134" t="str">
        <f>IFERROR(__xludf.DUMMYFUNCTION("""COMPUTED_VALUE"""),"Yuzhno-Sakhalinsk")</f>
        <v>Yuzhno-Sakhalinsk</v>
      </c>
      <c r="B9424" s="120" t="str">
        <f>IFERROR(__xludf.DUMMYFUNCTION("""COMPUTED_VALUE"""),"UUS")</f>
        <v>UUS</v>
      </c>
      <c r="C9424" s="120" t="str">
        <f>IFERROR(__xludf.DUMMYFUNCTION("""COMPUTED_VALUE"""),"Yuzhno-Sakhalinsk")</f>
        <v>Yuzhno-Sakhalinsk</v>
      </c>
      <c r="D9424" s="120" t="str">
        <f>IFERROR(__xludf.DUMMYFUNCTION("""COMPUTED_VALUE"""),"Russia")</f>
        <v>Russia</v>
      </c>
      <c r="E9424" s="135"/>
      <c r="F9424" s="31"/>
    </row>
    <row r="9425">
      <c r="A9425" s="134" t="str">
        <f>IFERROR(__xludf.DUMMYFUNCTION("""COMPUTED_VALUE"""),"Zabol")</f>
        <v>Zabol</v>
      </c>
      <c r="B9425" s="120" t="str">
        <f>IFERROR(__xludf.DUMMYFUNCTION("""COMPUTED_VALUE"""),"ACZ")</f>
        <v>ACZ</v>
      </c>
      <c r="C9425" s="120" t="str">
        <f>IFERROR(__xludf.DUMMYFUNCTION("""COMPUTED_VALUE"""),"Zabol A/P")</f>
        <v>Zabol A/P</v>
      </c>
      <c r="D9425" s="120" t="str">
        <f>IFERROR(__xludf.DUMMYFUNCTION("""COMPUTED_VALUE"""),"Iran")</f>
        <v>Iran</v>
      </c>
      <c r="E9425" s="135"/>
      <c r="F9425" s="31"/>
    </row>
    <row r="9426">
      <c r="A9426" s="134" t="str">
        <f>IFERROR(__xludf.DUMMYFUNCTION("""COMPUTED_VALUE"""),"Zabre")</f>
        <v>Zabre</v>
      </c>
      <c r="B9426" s="120" t="str">
        <f>IFERROR(__xludf.DUMMYFUNCTION("""COMPUTED_VALUE"""),"XZA")</f>
        <v>XZA</v>
      </c>
      <c r="C9426" s="120" t="str">
        <f>IFERROR(__xludf.DUMMYFUNCTION("""COMPUTED_VALUE"""),"Zabre")</f>
        <v>Zabre</v>
      </c>
      <c r="D9426" s="120" t="str">
        <f>IFERROR(__xludf.DUMMYFUNCTION("""COMPUTED_VALUE"""),"Burkina Faso")</f>
        <v>Burkina Faso</v>
      </c>
      <c r="E9426" s="135"/>
      <c r="F9426" s="31"/>
    </row>
    <row r="9427">
      <c r="A9427" s="134" t="str">
        <f>IFERROR(__xludf.DUMMYFUNCTION("""COMPUTED_VALUE"""),"Zabreh")</f>
        <v>Zabreh</v>
      </c>
      <c r="B9427" s="120" t="str">
        <f>IFERROR(__xludf.DUMMYFUNCTION("""COMPUTED_VALUE"""),"ZBE")</f>
        <v>ZBE</v>
      </c>
      <c r="C9427" s="120" t="str">
        <f>IFERROR(__xludf.DUMMYFUNCTION("""COMPUTED_VALUE"""),"Dolni Benesov")</f>
        <v>Dolni Benesov</v>
      </c>
      <c r="D9427" s="120" t="str">
        <f>IFERROR(__xludf.DUMMYFUNCTION("""COMPUTED_VALUE"""),"Czech")</f>
        <v>Czech</v>
      </c>
      <c r="E9427" s="135"/>
      <c r="F9427" s="31"/>
    </row>
    <row r="9428">
      <c r="A9428" s="134" t="str">
        <f>IFERROR(__xludf.DUMMYFUNCTION("""COMPUTED_VALUE"""),"Zacatecas")</f>
        <v>Zacatecas</v>
      </c>
      <c r="B9428" s="120" t="str">
        <f>IFERROR(__xludf.DUMMYFUNCTION("""COMPUTED_VALUE"""),"ZCL")</f>
        <v>ZCL</v>
      </c>
      <c r="C9428" s="120" t="str">
        <f>IFERROR(__xludf.DUMMYFUNCTION("""COMPUTED_VALUE"""),"La Calera")</f>
        <v>La Calera</v>
      </c>
      <c r="D9428" s="120" t="str">
        <f>IFERROR(__xludf.DUMMYFUNCTION("""COMPUTED_VALUE"""),"Mexico")</f>
        <v>Mexico</v>
      </c>
      <c r="E9428" s="135"/>
      <c r="F9428" s="31"/>
    </row>
    <row r="9429">
      <c r="A9429" s="134" t="str">
        <f>IFERROR(__xludf.DUMMYFUNCTION("""COMPUTED_VALUE"""),"Zachar Bay")</f>
        <v>Zachar Bay</v>
      </c>
      <c r="B9429" s="120" t="str">
        <f>IFERROR(__xludf.DUMMYFUNCTION("""COMPUTED_VALUE"""),"KZB")</f>
        <v>KZB</v>
      </c>
      <c r="C9429" s="120" t="str">
        <f>IFERROR(__xludf.DUMMYFUNCTION("""COMPUTED_VALUE"""),"Zachar Bay SPB")</f>
        <v>Zachar Bay SPB</v>
      </c>
      <c r="D9429" s="120" t="str">
        <f>IFERROR(__xludf.DUMMYFUNCTION("""COMPUTED_VALUE"""),"United States")</f>
        <v>United States</v>
      </c>
      <c r="E9429" s="135"/>
      <c r="F9429" s="31"/>
    </row>
    <row r="9430">
      <c r="A9430" s="134" t="str">
        <f>IFERROR(__xludf.DUMMYFUNCTION("""COMPUTED_VALUE"""),"Zadar")</f>
        <v>Zadar</v>
      </c>
      <c r="B9430" s="120" t="str">
        <f>IFERROR(__xludf.DUMMYFUNCTION("""COMPUTED_VALUE"""),"ZAD")</f>
        <v>ZAD</v>
      </c>
      <c r="C9430" s="120" t="str">
        <f>IFERROR(__xludf.DUMMYFUNCTION("""COMPUTED_VALUE"""),"Zadar")</f>
        <v>Zadar</v>
      </c>
      <c r="D9430" s="120" t="str">
        <f>IFERROR(__xludf.DUMMYFUNCTION("""COMPUTED_VALUE"""),"Croatia")</f>
        <v>Croatia</v>
      </c>
      <c r="E9430" s="135"/>
      <c r="F9430" s="31"/>
    </row>
    <row r="9431">
      <c r="A9431" s="134" t="str">
        <f>IFERROR(__xludf.DUMMYFUNCTION("""COMPUTED_VALUE"""),"Zagreb")</f>
        <v>Zagreb</v>
      </c>
      <c r="B9431" s="120" t="str">
        <f>IFERROR(__xludf.DUMMYFUNCTION("""COMPUTED_VALUE"""),"ZAG")</f>
        <v>ZAG</v>
      </c>
      <c r="C9431" s="120" t="str">
        <f>IFERROR(__xludf.DUMMYFUNCTION("""COMPUTED_VALUE"""),"Pleso")</f>
        <v>Pleso</v>
      </c>
      <c r="D9431" s="120" t="str">
        <f>IFERROR(__xludf.DUMMYFUNCTION("""COMPUTED_VALUE"""),"Croatia")</f>
        <v>Croatia</v>
      </c>
      <c r="E9431" s="135"/>
      <c r="F9431" s="31"/>
    </row>
    <row r="9432">
      <c r="A9432" s="134" t="str">
        <f>IFERROR(__xludf.DUMMYFUNCTION("""COMPUTED_VALUE"""),"Zahedan")</f>
        <v>Zahedan</v>
      </c>
      <c r="B9432" s="120" t="str">
        <f>IFERROR(__xludf.DUMMYFUNCTION("""COMPUTED_VALUE"""),"ZAH")</f>
        <v>ZAH</v>
      </c>
      <c r="C9432" s="120" t="str">
        <f>IFERROR(__xludf.DUMMYFUNCTION("""COMPUTED_VALUE"""),"Zahedan")</f>
        <v>Zahedan</v>
      </c>
      <c r="D9432" s="120" t="str">
        <f>IFERROR(__xludf.DUMMYFUNCTION("""COMPUTED_VALUE"""),"Iran")</f>
        <v>Iran</v>
      </c>
      <c r="E9432" s="135"/>
      <c r="F9432" s="31"/>
    </row>
    <row r="9433">
      <c r="A9433" s="134" t="str">
        <f>IFERROR(__xludf.DUMMYFUNCTION("""COMPUTED_VALUE"""),"Zaisan")</f>
        <v>Zaisan</v>
      </c>
      <c r="B9433" s="120" t="str">
        <f>IFERROR(__xludf.DUMMYFUNCTION("""COMPUTED_VALUE"""),"SZI")</f>
        <v>SZI</v>
      </c>
      <c r="C9433" s="120" t="str">
        <f>IFERROR(__xludf.DUMMYFUNCTION("""COMPUTED_VALUE"""),"Zaisan")</f>
        <v>Zaisan</v>
      </c>
      <c r="D9433" s="120" t="str">
        <f>IFERROR(__xludf.DUMMYFUNCTION("""COMPUTED_VALUE"""),"Kazakhstan")</f>
        <v>Kazakhstan</v>
      </c>
      <c r="E9433" s="135"/>
      <c r="F9433" s="31"/>
    </row>
    <row r="9434">
      <c r="A9434" s="134" t="str">
        <f>IFERROR(__xludf.DUMMYFUNCTION("""COMPUTED_VALUE"""),"Zakinthos Is")</f>
        <v>Zakinthos Is</v>
      </c>
      <c r="B9434" s="120" t="str">
        <f>IFERROR(__xludf.DUMMYFUNCTION("""COMPUTED_VALUE"""),"ZTH")</f>
        <v>ZTH</v>
      </c>
      <c r="C9434" s="120" t="str">
        <f>IFERROR(__xludf.DUMMYFUNCTION("""COMPUTED_VALUE"""),"Zakinthos Is")</f>
        <v>Zakinthos Is</v>
      </c>
      <c r="D9434" s="120" t="str">
        <f>IFERROR(__xludf.DUMMYFUNCTION("""COMPUTED_VALUE"""),"Greece")</f>
        <v>Greece</v>
      </c>
      <c r="E9434" s="135"/>
      <c r="F9434" s="31"/>
    </row>
    <row r="9435">
      <c r="A9435" s="134" t="str">
        <f>IFERROR(__xludf.DUMMYFUNCTION("""COMPUTED_VALUE"""),"Zakouma")</f>
        <v>Zakouma</v>
      </c>
      <c r="B9435" s="120" t="str">
        <f>IFERROR(__xludf.DUMMYFUNCTION("""COMPUTED_VALUE"""),"AKM")</f>
        <v>AKM</v>
      </c>
      <c r="C9435" s="120" t="str">
        <f>IFERROR(__xludf.DUMMYFUNCTION("""COMPUTED_VALUE"""),"Zakouma")</f>
        <v>Zakouma</v>
      </c>
      <c r="D9435" s="120" t="str">
        <f>IFERROR(__xludf.DUMMYFUNCTION("""COMPUTED_VALUE"""),"Chad")</f>
        <v>Chad</v>
      </c>
      <c r="E9435" s="135"/>
      <c r="F9435" s="31"/>
    </row>
    <row r="9436">
      <c r="A9436" s="134" t="str">
        <f>IFERROR(__xludf.DUMMYFUNCTION("""COMPUTED_VALUE"""),"Zambezi")</f>
        <v>Zambezi</v>
      </c>
      <c r="B9436" s="120" t="str">
        <f>IFERROR(__xludf.DUMMYFUNCTION("""COMPUTED_VALUE"""),"BBZ")</f>
        <v>BBZ</v>
      </c>
      <c r="C9436" s="120" t="str">
        <f>IFERROR(__xludf.DUMMYFUNCTION("""COMPUTED_VALUE"""),"Zambezi")</f>
        <v>Zambezi</v>
      </c>
      <c r="D9436" s="120" t="str">
        <f>IFERROR(__xludf.DUMMYFUNCTION("""COMPUTED_VALUE"""),"Zambia")</f>
        <v>Zambia</v>
      </c>
      <c r="E9436" s="135"/>
      <c r="F9436" s="31"/>
    </row>
    <row r="9437">
      <c r="A9437" s="134" t="str">
        <f>IFERROR(__xludf.DUMMYFUNCTION("""COMPUTED_VALUE"""),"Zamboanga")</f>
        <v>Zamboanga</v>
      </c>
      <c r="B9437" s="120" t="str">
        <f>IFERROR(__xludf.DUMMYFUNCTION("""COMPUTED_VALUE"""),"ZAM")</f>
        <v>ZAM</v>
      </c>
      <c r="C9437" s="120" t="str">
        <f>IFERROR(__xludf.DUMMYFUNCTION("""COMPUTED_VALUE"""),"Zamboanga")</f>
        <v>Zamboanga</v>
      </c>
      <c r="D9437" s="120" t="str">
        <f>IFERROR(__xludf.DUMMYFUNCTION("""COMPUTED_VALUE"""),"Philippines")</f>
        <v>Philippines</v>
      </c>
      <c r="E9437" s="135"/>
      <c r="F9437" s="31"/>
    </row>
    <row r="9438">
      <c r="A9438" s="134" t="str">
        <f>IFERROR(__xludf.DUMMYFUNCTION("""COMPUTED_VALUE"""),"Zamora")</f>
        <v>Zamora</v>
      </c>
      <c r="B9438" s="120" t="str">
        <f>IFERROR(__xludf.DUMMYFUNCTION("""COMPUTED_VALUE"""),"ZMM")</f>
        <v>ZMM</v>
      </c>
      <c r="C9438" s="120" t="str">
        <f>IFERROR(__xludf.DUMMYFUNCTION("""COMPUTED_VALUE"""),"Zamora")</f>
        <v>Zamora</v>
      </c>
      <c r="D9438" s="120" t="str">
        <f>IFERROR(__xludf.DUMMYFUNCTION("""COMPUTED_VALUE"""),"Mexico")</f>
        <v>Mexico</v>
      </c>
      <c r="E9438" s="135"/>
      <c r="F9438" s="31"/>
    </row>
    <row r="9439">
      <c r="A9439" s="134" t="str">
        <f>IFERROR(__xludf.DUMMYFUNCTION("""COMPUTED_VALUE"""),"Zanaga")</f>
        <v>Zanaga</v>
      </c>
      <c r="B9439" s="120" t="str">
        <f>IFERROR(__xludf.DUMMYFUNCTION("""COMPUTED_VALUE"""),"ANJ")</f>
        <v>ANJ</v>
      </c>
      <c r="C9439" s="120" t="str">
        <f>IFERROR(__xludf.DUMMYFUNCTION("""COMPUTED_VALUE"""),"Zanaga")</f>
        <v>Zanaga</v>
      </c>
      <c r="D9439" s="120" t="str">
        <f>IFERROR(__xludf.DUMMYFUNCTION("""COMPUTED_VALUE"""),"Congo")</f>
        <v>Congo</v>
      </c>
      <c r="E9439" s="135"/>
      <c r="F9439" s="31"/>
    </row>
    <row r="9440">
      <c r="A9440" s="134" t="str">
        <f>IFERROR(__xludf.DUMMYFUNCTION("""COMPUTED_VALUE"""),"Zanesville")</f>
        <v>Zanesville</v>
      </c>
      <c r="B9440" s="120" t="str">
        <f>IFERROR(__xludf.DUMMYFUNCTION("""COMPUTED_VALUE"""),"ZZV")</f>
        <v>ZZV</v>
      </c>
      <c r="C9440" s="120" t="str">
        <f>IFERROR(__xludf.DUMMYFUNCTION("""COMPUTED_VALUE"""),"Zanesville")</f>
        <v>Zanesville</v>
      </c>
      <c r="D9440" s="120" t="str">
        <f>IFERROR(__xludf.DUMMYFUNCTION("""COMPUTED_VALUE"""),"United States")</f>
        <v>United States</v>
      </c>
      <c r="E9440" s="135"/>
      <c r="F9440" s="31"/>
    </row>
    <row r="9441">
      <c r="A9441" s="134" t="str">
        <f>IFERROR(__xludf.DUMMYFUNCTION("""COMPUTED_VALUE"""),"Zanjan")</f>
        <v>Zanjan</v>
      </c>
      <c r="B9441" s="120" t="str">
        <f>IFERROR(__xludf.DUMMYFUNCTION("""COMPUTED_VALUE"""),"JWN")</f>
        <v>JWN</v>
      </c>
      <c r="C9441" s="120" t="str">
        <f>IFERROR(__xludf.DUMMYFUNCTION("""COMPUTED_VALUE"""),"Zanjan")</f>
        <v>Zanjan</v>
      </c>
      <c r="D9441" s="120" t="str">
        <f>IFERROR(__xludf.DUMMYFUNCTION("""COMPUTED_VALUE"""),"Iran")</f>
        <v>Iran</v>
      </c>
      <c r="E9441" s="135"/>
      <c r="F9441" s="31"/>
    </row>
    <row r="9442">
      <c r="A9442" s="134" t="str">
        <f>IFERROR(__xludf.DUMMYFUNCTION("""COMPUTED_VALUE"""),"Zanzibar")</f>
        <v>Zanzibar</v>
      </c>
      <c r="B9442" s="120" t="str">
        <f>IFERROR(__xludf.DUMMYFUNCTION("""COMPUTED_VALUE"""),"ZNZ")</f>
        <v>ZNZ</v>
      </c>
      <c r="C9442" s="120" t="str">
        <f>IFERROR(__xludf.DUMMYFUNCTION("""COMPUTED_VALUE"""),"Kisauni")</f>
        <v>Kisauni</v>
      </c>
      <c r="D9442" s="120" t="str">
        <f>IFERROR(__xludf.DUMMYFUNCTION("""COMPUTED_VALUE"""),"Tanzania")</f>
        <v>Tanzania</v>
      </c>
      <c r="E9442" s="135"/>
      <c r="F9442" s="31"/>
    </row>
    <row r="9443">
      <c r="A9443" s="134" t="str">
        <f>IFERROR(__xludf.DUMMYFUNCTION("""COMPUTED_VALUE"""),"Zapala")</f>
        <v>Zapala</v>
      </c>
      <c r="B9443" s="120" t="str">
        <f>IFERROR(__xludf.DUMMYFUNCTION("""COMPUTED_VALUE"""),"APZ")</f>
        <v>APZ</v>
      </c>
      <c r="C9443" s="120" t="str">
        <f>IFERROR(__xludf.DUMMYFUNCTION("""COMPUTED_VALUE"""),"Zapala")</f>
        <v>Zapala</v>
      </c>
      <c r="D9443" s="120" t="str">
        <f>IFERROR(__xludf.DUMMYFUNCTION("""COMPUTED_VALUE"""),"Argentina")</f>
        <v>Argentina</v>
      </c>
      <c r="E9443" s="135"/>
      <c r="F9443" s="31"/>
    </row>
    <row r="9444">
      <c r="A9444" s="134" t="str">
        <f>IFERROR(__xludf.DUMMYFUNCTION("""COMPUTED_VALUE"""),"Zapatoca")</f>
        <v>Zapatoca</v>
      </c>
      <c r="B9444" s="120" t="str">
        <f>IFERROR(__xludf.DUMMYFUNCTION("""COMPUTED_VALUE"""),"AZT")</f>
        <v>AZT</v>
      </c>
      <c r="C9444" s="120" t="str">
        <f>IFERROR(__xludf.DUMMYFUNCTION("""COMPUTED_VALUE"""),"Zapatoca")</f>
        <v>Zapatoca</v>
      </c>
      <c r="D9444" s="120" t="str">
        <f>IFERROR(__xludf.DUMMYFUNCTION("""COMPUTED_VALUE"""),"Colombia")</f>
        <v>Colombia</v>
      </c>
      <c r="E9444" s="135"/>
      <c r="F9444" s="31"/>
    </row>
    <row r="9445">
      <c r="A9445" s="134" t="str">
        <f>IFERROR(__xludf.DUMMYFUNCTION("""COMPUTED_VALUE"""),"Zaporozhye")</f>
        <v>Zaporozhye</v>
      </c>
      <c r="B9445" s="120" t="str">
        <f>IFERROR(__xludf.DUMMYFUNCTION("""COMPUTED_VALUE"""),"OZH")</f>
        <v>OZH</v>
      </c>
      <c r="C9445" s="120" t="str">
        <f>IFERROR(__xludf.DUMMYFUNCTION("""COMPUTED_VALUE"""),"Zaporozhye")</f>
        <v>Zaporozhye</v>
      </c>
      <c r="D9445" s="120" t="str">
        <f>IFERROR(__xludf.DUMMYFUNCTION("""COMPUTED_VALUE"""),"Ukraine")</f>
        <v>Ukraine</v>
      </c>
      <c r="E9445" s="135"/>
      <c r="F9445" s="31"/>
    </row>
    <row r="9446">
      <c r="A9446" s="134" t="str">
        <f>IFERROR(__xludf.DUMMYFUNCTION("""COMPUTED_VALUE"""),"Zarafshan")</f>
        <v>Zarafshan</v>
      </c>
      <c r="B9446" s="120" t="str">
        <f>IFERROR(__xludf.DUMMYFUNCTION("""COMPUTED_VALUE"""),"AFS")</f>
        <v>AFS</v>
      </c>
      <c r="C9446" s="120" t="str">
        <f>IFERROR(__xludf.DUMMYFUNCTION("""COMPUTED_VALUE"""),"Zarafshan")</f>
        <v>Zarafshan</v>
      </c>
      <c r="D9446" s="120" t="str">
        <f>IFERROR(__xludf.DUMMYFUNCTION("""COMPUTED_VALUE"""),"Uzbekistan")</f>
        <v>Uzbekistan</v>
      </c>
      <c r="E9446" s="135"/>
      <c r="F9446" s="31"/>
    </row>
    <row r="9447">
      <c r="A9447" s="134" t="str">
        <f>IFERROR(__xludf.DUMMYFUNCTION("""COMPUTED_VALUE"""),"Zaragoza")</f>
        <v>Zaragoza</v>
      </c>
      <c r="B9447" s="120" t="str">
        <f>IFERROR(__xludf.DUMMYFUNCTION("""COMPUTED_VALUE"""),"ZAZ")</f>
        <v>ZAZ</v>
      </c>
      <c r="C9447" s="120" t="str">
        <f>IFERROR(__xludf.DUMMYFUNCTION("""COMPUTED_VALUE"""),"Zaragoza")</f>
        <v>Zaragoza</v>
      </c>
      <c r="D9447" s="120" t="str">
        <f>IFERROR(__xludf.DUMMYFUNCTION("""COMPUTED_VALUE"""),"Spain")</f>
        <v>Spain</v>
      </c>
      <c r="E9447" s="135"/>
      <c r="F9447" s="31"/>
    </row>
    <row r="9448">
      <c r="A9448" s="134" t="str">
        <f>IFERROR(__xludf.DUMMYFUNCTION("""COMPUTED_VALUE"""),"Zaranj")</f>
        <v>Zaranj</v>
      </c>
      <c r="B9448" s="120" t="str">
        <f>IFERROR(__xludf.DUMMYFUNCTION("""COMPUTED_VALUE"""),"ZAJ")</f>
        <v>ZAJ</v>
      </c>
      <c r="C9448" s="120" t="str">
        <f>IFERROR(__xludf.DUMMYFUNCTION("""COMPUTED_VALUE"""),"Zaranj")</f>
        <v>Zaranj</v>
      </c>
      <c r="D9448" s="120" t="str">
        <f>IFERROR(__xludf.DUMMYFUNCTION("""COMPUTED_VALUE"""),"Afghanistan")</f>
        <v>Afghanistan</v>
      </c>
      <c r="E9448" s="135"/>
      <c r="F9448" s="31"/>
    </row>
    <row r="9449">
      <c r="A9449" s="134" t="str">
        <f>IFERROR(__xludf.DUMMYFUNCTION("""COMPUTED_VALUE"""),"Zaria")</f>
        <v>Zaria</v>
      </c>
      <c r="B9449" s="120" t="str">
        <f>IFERROR(__xludf.DUMMYFUNCTION("""COMPUTED_VALUE"""),"ZAR")</f>
        <v>ZAR</v>
      </c>
      <c r="C9449" s="120" t="str">
        <f>IFERROR(__xludf.DUMMYFUNCTION("""COMPUTED_VALUE"""),"Zaria")</f>
        <v>Zaria</v>
      </c>
      <c r="D9449" s="120" t="str">
        <f>IFERROR(__xludf.DUMMYFUNCTION("""COMPUTED_VALUE"""),"Nigeria")</f>
        <v>Nigeria</v>
      </c>
      <c r="E9449" s="135"/>
      <c r="F9449" s="31"/>
    </row>
    <row r="9450">
      <c r="A9450" s="134" t="str">
        <f>IFERROR(__xludf.DUMMYFUNCTION("""COMPUTED_VALUE"""),"Zemio")</f>
        <v>Zemio</v>
      </c>
      <c r="B9450" s="120" t="str">
        <f>IFERROR(__xludf.DUMMYFUNCTION("""COMPUTED_VALUE"""),"IMO")</f>
        <v>IMO</v>
      </c>
      <c r="C9450" s="120" t="str">
        <f>IFERROR(__xludf.DUMMYFUNCTION("""COMPUTED_VALUE"""),"Zemio")</f>
        <v>Zemio</v>
      </c>
      <c r="D9450" s="120" t="str">
        <f>IFERROR(__xludf.DUMMYFUNCTION("""COMPUTED_VALUE"""),"Central African Republic")</f>
        <v>Central African Republic</v>
      </c>
      <c r="E9450" s="135"/>
      <c r="F9450" s="31"/>
    </row>
    <row r="9451">
      <c r="A9451" s="134" t="str">
        <f>IFERROR(__xludf.DUMMYFUNCTION("""COMPUTED_VALUE"""),"Zenag")</f>
        <v>Zenag</v>
      </c>
      <c r="B9451" s="120" t="str">
        <f>IFERROR(__xludf.DUMMYFUNCTION("""COMPUTED_VALUE"""),"ZEN")</f>
        <v>ZEN</v>
      </c>
      <c r="C9451" s="120" t="str">
        <f>IFERROR(__xludf.DUMMYFUNCTION("""COMPUTED_VALUE"""),"Zenag")</f>
        <v>Zenag</v>
      </c>
      <c r="D9451" s="120" t="str">
        <f>IFERROR(__xludf.DUMMYFUNCTION("""COMPUTED_VALUE"""),"Papua New Guinea")</f>
        <v>Papua New Guinea</v>
      </c>
      <c r="E9451" s="135"/>
      <c r="F9451" s="31"/>
    </row>
    <row r="9452">
      <c r="A9452" s="134" t="str">
        <f>IFERROR(__xludf.DUMMYFUNCTION("""COMPUTED_VALUE"""),"Zephyrhills")</f>
        <v>Zephyrhills</v>
      </c>
      <c r="B9452" s="120" t="str">
        <f>IFERROR(__xludf.DUMMYFUNCTION("""COMPUTED_VALUE"""),"ZPH")</f>
        <v>ZPH</v>
      </c>
      <c r="C9452" s="120" t="str">
        <f>IFERROR(__xludf.DUMMYFUNCTION("""COMPUTED_VALUE"""),"Zephyrhills")</f>
        <v>Zephyrhills</v>
      </c>
      <c r="D9452" s="120" t="str">
        <f>IFERROR(__xludf.DUMMYFUNCTION("""COMPUTED_VALUE"""),"United States")</f>
        <v>United States</v>
      </c>
      <c r="E9452" s="135"/>
      <c r="F9452" s="31"/>
    </row>
    <row r="9453">
      <c r="A9453" s="134" t="str">
        <f>IFERROR(__xludf.DUMMYFUNCTION("""COMPUTED_VALUE"""),"Zero")</f>
        <v>Zero</v>
      </c>
      <c r="B9453" s="120" t="str">
        <f>IFERROR(__xludf.DUMMYFUNCTION("""COMPUTED_VALUE"""),"ZER")</f>
        <v>ZER</v>
      </c>
      <c r="C9453" s="120" t="str">
        <f>IFERROR(__xludf.DUMMYFUNCTION("""COMPUTED_VALUE"""),"Zero")</f>
        <v>Zero</v>
      </c>
      <c r="D9453" s="120" t="str">
        <f>IFERROR(__xludf.DUMMYFUNCTION("""COMPUTED_VALUE"""),"India")</f>
        <v>India</v>
      </c>
      <c r="E9453" s="135"/>
      <c r="F9453" s="31"/>
    </row>
    <row r="9454">
      <c r="A9454" s="134" t="str">
        <f>IFERROR(__xludf.DUMMYFUNCTION("""COMPUTED_VALUE"""),"Zhairem")</f>
        <v>Zhairem</v>
      </c>
      <c r="B9454" s="120" t="str">
        <f>IFERROR(__xludf.DUMMYFUNCTION("""COMPUTED_VALUE"""),"HRC")</f>
        <v>HRC</v>
      </c>
      <c r="C9454" s="120" t="str">
        <f>IFERROR(__xludf.DUMMYFUNCTION("""COMPUTED_VALUE"""),"Zhairem")</f>
        <v>Zhairem</v>
      </c>
      <c r="D9454" s="120" t="str">
        <f>IFERROR(__xludf.DUMMYFUNCTION("""COMPUTED_VALUE"""),"Kazakhstan")</f>
        <v>Kazakhstan</v>
      </c>
      <c r="E9454" s="135"/>
      <c r="F9454" s="31"/>
    </row>
    <row r="9455">
      <c r="A9455" s="134" t="str">
        <f>IFERROR(__xludf.DUMMYFUNCTION("""COMPUTED_VALUE"""),"Zhambyl")</f>
        <v>Zhambyl</v>
      </c>
      <c r="B9455" s="120" t="str">
        <f>IFERROR(__xludf.DUMMYFUNCTION("""COMPUTED_VALUE"""),"DMB")</f>
        <v>DMB</v>
      </c>
      <c r="C9455" s="120" t="str">
        <f>IFERROR(__xludf.DUMMYFUNCTION("""COMPUTED_VALUE"""),"Zhambyl")</f>
        <v>Zhambyl</v>
      </c>
      <c r="D9455" s="120" t="str">
        <f>IFERROR(__xludf.DUMMYFUNCTION("""COMPUTED_VALUE"""),"Kazakhstan")</f>
        <v>Kazakhstan</v>
      </c>
      <c r="E9455" s="135"/>
      <c r="F9455" s="31"/>
    </row>
    <row r="9456">
      <c r="A9456" s="134" t="str">
        <f>IFERROR(__xludf.DUMMYFUNCTION("""COMPUTED_VALUE"""),"Zhanjiang")</f>
        <v>Zhanjiang</v>
      </c>
      <c r="B9456" s="120" t="str">
        <f>IFERROR(__xludf.DUMMYFUNCTION("""COMPUTED_VALUE"""),"ZHA")</f>
        <v>ZHA</v>
      </c>
      <c r="C9456" s="120" t="str">
        <f>IFERROR(__xludf.DUMMYFUNCTION("""COMPUTED_VALUE"""),"Zhanjiang")</f>
        <v>Zhanjiang</v>
      </c>
      <c r="D9456" s="120" t="str">
        <f>IFERROR(__xludf.DUMMYFUNCTION("""COMPUTED_VALUE"""),"China")</f>
        <v>China</v>
      </c>
      <c r="E9456" s="135"/>
      <c r="F9456" s="31"/>
    </row>
    <row r="9457">
      <c r="A9457" s="134" t="str">
        <f>IFERROR(__xludf.DUMMYFUNCTION("""COMPUTED_VALUE"""),"Zhaotong")</f>
        <v>Zhaotong</v>
      </c>
      <c r="B9457" s="120" t="str">
        <f>IFERROR(__xludf.DUMMYFUNCTION("""COMPUTED_VALUE"""),"ZAT")</f>
        <v>ZAT</v>
      </c>
      <c r="C9457" s="120" t="str">
        <f>IFERROR(__xludf.DUMMYFUNCTION("""COMPUTED_VALUE"""),"Zhaotong")</f>
        <v>Zhaotong</v>
      </c>
      <c r="D9457" s="120" t="str">
        <f>IFERROR(__xludf.DUMMYFUNCTION("""COMPUTED_VALUE"""),"China")</f>
        <v>China</v>
      </c>
      <c r="E9457" s="135"/>
      <c r="F9457" s="31"/>
    </row>
    <row r="9458">
      <c r="A9458" s="134" t="str">
        <f>IFERROR(__xludf.DUMMYFUNCTION("""COMPUTED_VALUE"""),"Zhengzhou")</f>
        <v>Zhengzhou</v>
      </c>
      <c r="B9458" s="120" t="str">
        <f>IFERROR(__xludf.DUMMYFUNCTION("""COMPUTED_VALUE"""),"CGO")</f>
        <v>CGO</v>
      </c>
      <c r="C9458" s="120" t="str">
        <f>IFERROR(__xludf.DUMMYFUNCTION("""COMPUTED_VALUE"""),"Zhengzhou")</f>
        <v>Zhengzhou</v>
      </c>
      <c r="D9458" s="120" t="str">
        <f>IFERROR(__xludf.DUMMYFUNCTION("""COMPUTED_VALUE"""),"China")</f>
        <v>China</v>
      </c>
      <c r="E9458" s="135"/>
      <c r="F9458" s="31"/>
    </row>
    <row r="9459">
      <c r="A9459" s="134" t="str">
        <f>IFERROR(__xludf.DUMMYFUNCTION("""COMPUTED_VALUE"""),"Zhezkazgan")</f>
        <v>Zhezkazgan</v>
      </c>
      <c r="B9459" s="120" t="str">
        <f>IFERROR(__xludf.DUMMYFUNCTION("""COMPUTED_VALUE"""),"DZN")</f>
        <v>DZN</v>
      </c>
      <c r="C9459" s="120" t="str">
        <f>IFERROR(__xludf.DUMMYFUNCTION("""COMPUTED_VALUE"""),"Zhezhazgan")</f>
        <v>Zhezhazgan</v>
      </c>
      <c r="D9459" s="120" t="str">
        <f>IFERROR(__xludf.DUMMYFUNCTION("""COMPUTED_VALUE"""),"Kazakhstan")</f>
        <v>Kazakhstan</v>
      </c>
      <c r="E9459" s="135"/>
      <c r="F9459" s="31"/>
    </row>
    <row r="9460">
      <c r="A9460" s="134" t="str">
        <f>IFERROR(__xludf.DUMMYFUNCTION("""COMPUTED_VALUE"""),"Zhi Jiang")</f>
        <v>Zhi Jiang</v>
      </c>
      <c r="B9460" s="120" t="str">
        <f>IFERROR(__xludf.DUMMYFUNCTION("""COMPUTED_VALUE"""),"HJJ")</f>
        <v>HJJ</v>
      </c>
      <c r="C9460" s="120" t="str">
        <f>IFERROR(__xludf.DUMMYFUNCTION("""COMPUTED_VALUE"""),"Zhi Jiang")</f>
        <v>Zhi Jiang</v>
      </c>
      <c r="D9460" s="120" t="str">
        <f>IFERROR(__xludf.DUMMYFUNCTION("""COMPUTED_VALUE"""),"China")</f>
        <v>China</v>
      </c>
      <c r="E9460" s="135"/>
      <c r="F9460" s="31"/>
    </row>
    <row r="9461">
      <c r="A9461" s="134" t="str">
        <f>IFERROR(__xludf.DUMMYFUNCTION("""COMPUTED_VALUE"""),"Zhitomir")</f>
        <v>Zhitomir</v>
      </c>
      <c r="B9461" s="120" t="str">
        <f>IFERROR(__xludf.DUMMYFUNCTION("""COMPUTED_VALUE"""),"ZTR")</f>
        <v>ZTR</v>
      </c>
      <c r="C9461" s="120" t="str">
        <f>IFERROR(__xludf.DUMMYFUNCTION("""COMPUTED_VALUE"""),"Zhitomir")</f>
        <v>Zhitomir</v>
      </c>
      <c r="D9461" s="120" t="str">
        <f>IFERROR(__xludf.DUMMYFUNCTION("""COMPUTED_VALUE"""),"Ukraine")</f>
        <v>Ukraine</v>
      </c>
      <c r="E9461" s="135"/>
      <c r="F9461" s="31"/>
    </row>
    <row r="9462">
      <c r="A9462" s="134" t="str">
        <f>IFERROR(__xludf.DUMMYFUNCTION("""COMPUTED_VALUE"""),"Zhob")</f>
        <v>Zhob</v>
      </c>
      <c r="B9462" s="120" t="str">
        <f>IFERROR(__xludf.DUMMYFUNCTION("""COMPUTED_VALUE"""),"PZH")</f>
        <v>PZH</v>
      </c>
      <c r="C9462" s="120" t="str">
        <f>IFERROR(__xludf.DUMMYFUNCTION("""COMPUTED_VALUE"""),"Zhob")</f>
        <v>Zhob</v>
      </c>
      <c r="D9462" s="120" t="str">
        <f>IFERROR(__xludf.DUMMYFUNCTION("""COMPUTED_VALUE"""),"Pakistan")</f>
        <v>Pakistan</v>
      </c>
      <c r="E9462" s="135"/>
      <c r="F9462" s="31"/>
    </row>
    <row r="9463">
      <c r="A9463" s="134" t="str">
        <f>IFERROR(__xludf.DUMMYFUNCTION("""COMPUTED_VALUE"""),"Zhongshan")</f>
        <v>Zhongshan</v>
      </c>
      <c r="B9463" s="120" t="str">
        <f>IFERROR(__xludf.DUMMYFUNCTION("""COMPUTED_VALUE"""),"ZGN")</f>
        <v>ZGN</v>
      </c>
      <c r="C9463" s="120" t="str">
        <f>IFERROR(__xludf.DUMMYFUNCTION("""COMPUTED_VALUE"""),"Zhongshan Ferry Port")</f>
        <v>Zhongshan Ferry Port</v>
      </c>
      <c r="D9463" s="120" t="str">
        <f>IFERROR(__xludf.DUMMYFUNCTION("""COMPUTED_VALUE"""),"China")</f>
        <v>China</v>
      </c>
      <c r="E9463" s="135"/>
      <c r="F9463" s="31"/>
    </row>
    <row r="9464">
      <c r="A9464" s="134" t="str">
        <f>IFERROR(__xludf.DUMMYFUNCTION("""COMPUTED_VALUE"""),"Zhoushan")</f>
        <v>Zhoushan</v>
      </c>
      <c r="B9464" s="120" t="str">
        <f>IFERROR(__xludf.DUMMYFUNCTION("""COMPUTED_VALUE"""),"HSN")</f>
        <v>HSN</v>
      </c>
      <c r="C9464" s="120" t="str">
        <f>IFERROR(__xludf.DUMMYFUNCTION("""COMPUTED_VALUE"""),"Zhoushan")</f>
        <v>Zhoushan</v>
      </c>
      <c r="D9464" s="120" t="str">
        <f>IFERROR(__xludf.DUMMYFUNCTION("""COMPUTED_VALUE"""),"China")</f>
        <v>China</v>
      </c>
      <c r="E9464" s="135"/>
      <c r="F9464" s="31"/>
    </row>
    <row r="9465">
      <c r="A9465" s="134" t="str">
        <f>IFERROR(__xludf.DUMMYFUNCTION("""COMPUTED_VALUE"""),"Zhuhai")</f>
        <v>Zhuhai</v>
      </c>
      <c r="B9465" s="120" t="str">
        <f>IFERROR(__xludf.DUMMYFUNCTION("""COMPUTED_VALUE"""),"ZUH")</f>
        <v>ZUH</v>
      </c>
      <c r="C9465" s="120" t="str">
        <f>IFERROR(__xludf.DUMMYFUNCTION("""COMPUTED_VALUE"""),"Zhuhai Airport")</f>
        <v>Zhuhai Airport</v>
      </c>
      <c r="D9465" s="120" t="str">
        <f>IFERROR(__xludf.DUMMYFUNCTION("""COMPUTED_VALUE"""),"China")</f>
        <v>China</v>
      </c>
      <c r="E9465" s="135"/>
      <c r="F9465" s="31"/>
    </row>
    <row r="9466">
      <c r="A9466" s="134" t="str">
        <f>IFERROR(__xludf.DUMMYFUNCTION("""COMPUTED_VALUE"""),"Zielona Gora")</f>
        <v>Zielona Gora</v>
      </c>
      <c r="B9466" s="120" t="str">
        <f>IFERROR(__xludf.DUMMYFUNCTION("""COMPUTED_VALUE"""),"IEG")</f>
        <v>IEG</v>
      </c>
      <c r="C9466" s="120" t="str">
        <f>IFERROR(__xludf.DUMMYFUNCTION("""COMPUTED_VALUE"""),"Babimost")</f>
        <v>Babimost</v>
      </c>
      <c r="D9466" s="120" t="str">
        <f>IFERROR(__xludf.DUMMYFUNCTION("""COMPUTED_VALUE"""),"Poland")</f>
        <v>Poland</v>
      </c>
      <c r="E9466" s="135"/>
      <c r="F9466" s="31"/>
    </row>
    <row r="9467">
      <c r="A9467" s="134" t="str">
        <f>IFERROR(__xludf.DUMMYFUNCTION("""COMPUTED_VALUE"""),"Ziguinchor")</f>
        <v>Ziguinchor</v>
      </c>
      <c r="B9467" s="120" t="str">
        <f>IFERROR(__xludf.DUMMYFUNCTION("""COMPUTED_VALUE"""),"ZIG")</f>
        <v>ZIG</v>
      </c>
      <c r="C9467" s="120" t="str">
        <f>IFERROR(__xludf.DUMMYFUNCTION("""COMPUTED_VALUE"""),"Ziguinchor")</f>
        <v>Ziguinchor</v>
      </c>
      <c r="D9467" s="120" t="str">
        <f>IFERROR(__xludf.DUMMYFUNCTION("""COMPUTED_VALUE"""),"Senegal")</f>
        <v>Senegal</v>
      </c>
      <c r="E9467" s="135"/>
      <c r="F9467" s="31"/>
    </row>
    <row r="9468">
      <c r="A9468" s="134" t="str">
        <f>IFERROR(__xludf.DUMMYFUNCTION("""COMPUTED_VALUE"""),"Zilfi")</f>
        <v>Zilfi</v>
      </c>
      <c r="B9468" s="120" t="str">
        <f>IFERROR(__xludf.DUMMYFUNCTION("""COMPUTED_VALUE"""),"ZUL")</f>
        <v>ZUL</v>
      </c>
      <c r="C9468" s="120" t="str">
        <f>IFERROR(__xludf.DUMMYFUNCTION("""COMPUTED_VALUE"""),"Zilfi")</f>
        <v>Zilfi</v>
      </c>
      <c r="D9468" s="120" t="str">
        <f>IFERROR(__xludf.DUMMYFUNCTION("""COMPUTED_VALUE"""),"Saudi Arabia")</f>
        <v>Saudi Arabia</v>
      </c>
      <c r="E9468" s="135"/>
      <c r="F9468" s="31"/>
    </row>
    <row r="9469">
      <c r="A9469" s="134" t="str">
        <f>IFERROR(__xludf.DUMMYFUNCTION("""COMPUTED_VALUE"""),"Zilina")</f>
        <v>Zilina</v>
      </c>
      <c r="B9469" s="120" t="str">
        <f>IFERROR(__xludf.DUMMYFUNCTION("""COMPUTED_VALUE"""),"ILZ")</f>
        <v>ILZ</v>
      </c>
      <c r="C9469" s="120" t="str">
        <f>IFERROR(__xludf.DUMMYFUNCTION("""COMPUTED_VALUE"""),"Zilina")</f>
        <v>Zilina</v>
      </c>
      <c r="D9469" s="120" t="str">
        <f>IFERROR(__xludf.DUMMYFUNCTION("""COMPUTED_VALUE"""),"Slovakia")</f>
        <v>Slovakia</v>
      </c>
      <c r="E9469" s="135"/>
      <c r="F9469" s="31"/>
    </row>
    <row r="9470">
      <c r="A9470" s="134" t="str">
        <f>IFERROR(__xludf.DUMMYFUNCTION("""COMPUTED_VALUE"""),"Zinder")</f>
        <v>Zinder</v>
      </c>
      <c r="B9470" s="120" t="str">
        <f>IFERROR(__xludf.DUMMYFUNCTION("""COMPUTED_VALUE"""),"ZND")</f>
        <v>ZND</v>
      </c>
      <c r="C9470" s="120" t="str">
        <f>IFERROR(__xludf.DUMMYFUNCTION("""COMPUTED_VALUE"""),"Zinder")</f>
        <v>Zinder</v>
      </c>
      <c r="D9470" s="120" t="str">
        <f>IFERROR(__xludf.DUMMYFUNCTION("""COMPUTED_VALUE"""),"Niger")</f>
        <v>Niger</v>
      </c>
      <c r="E9470" s="135"/>
      <c r="F9470" s="31"/>
    </row>
    <row r="9471">
      <c r="A9471" s="134" t="str">
        <f>IFERROR(__xludf.DUMMYFUNCTION("""COMPUTED_VALUE"""),"Zlin")</f>
        <v>Zlin</v>
      </c>
      <c r="B9471" s="120" t="str">
        <f>IFERROR(__xludf.DUMMYFUNCTION("""COMPUTED_VALUE"""),"GTW")</f>
        <v>GTW</v>
      </c>
      <c r="C9471" s="120" t="str">
        <f>IFERROR(__xludf.DUMMYFUNCTION("""COMPUTED_VALUE"""),"Holesov")</f>
        <v>Holesov</v>
      </c>
      <c r="D9471" s="120" t="str">
        <f>IFERROR(__xludf.DUMMYFUNCTION("""COMPUTED_VALUE"""),"Czech")</f>
        <v>Czech</v>
      </c>
      <c r="E9471" s="135"/>
      <c r="F9471" s="31"/>
    </row>
    <row r="9472">
      <c r="A9472" s="134" t="str">
        <f>IFERROR(__xludf.DUMMYFUNCTION("""COMPUTED_VALUE"""),"Zoersel")</f>
        <v>Zoersel</v>
      </c>
      <c r="B9472" s="120" t="str">
        <f>IFERROR(__xludf.DUMMYFUNCTION("""COMPUTED_VALUE"""),"OBL")</f>
        <v>OBL</v>
      </c>
      <c r="C9472" s="120" t="str">
        <f>IFERROR(__xludf.DUMMYFUNCTION("""COMPUTED_VALUE"""),"Zoersel")</f>
        <v>Zoersel</v>
      </c>
      <c r="D9472" s="120" t="str">
        <f>IFERROR(__xludf.DUMMYFUNCTION("""COMPUTED_VALUE"""),"Belgium")</f>
        <v>Belgium</v>
      </c>
      <c r="E9472" s="135"/>
      <c r="F9472" s="31"/>
    </row>
    <row r="9473">
      <c r="A9473" s="134" t="str">
        <f>IFERROR(__xludf.DUMMYFUNCTION("""COMPUTED_VALUE"""),"Zonguldak")</f>
        <v>Zonguldak</v>
      </c>
      <c r="B9473" s="120" t="str">
        <f>IFERROR(__xludf.DUMMYFUNCTION("""COMPUTED_VALUE"""),"ONQ")</f>
        <v>ONQ</v>
      </c>
      <c r="C9473" s="120" t="str">
        <f>IFERROR(__xludf.DUMMYFUNCTION("""COMPUTED_VALUE"""),"Zonguldak")</f>
        <v>Zonguldak</v>
      </c>
      <c r="D9473" s="120" t="str">
        <f>IFERROR(__xludf.DUMMYFUNCTION("""COMPUTED_VALUE"""),"Turkey")</f>
        <v>Turkey</v>
      </c>
      <c r="E9473" s="135"/>
      <c r="F9473" s="31"/>
    </row>
    <row r="9474">
      <c r="A9474" s="134" t="str">
        <f>IFERROR(__xludf.DUMMYFUNCTION("""COMPUTED_VALUE"""),"Zouerate")</f>
        <v>Zouerate</v>
      </c>
      <c r="B9474" s="120" t="str">
        <f>IFERROR(__xludf.DUMMYFUNCTION("""COMPUTED_VALUE"""),"OUZ")</f>
        <v>OUZ</v>
      </c>
      <c r="C9474" s="120" t="str">
        <f>IFERROR(__xludf.DUMMYFUNCTION("""COMPUTED_VALUE"""),"Zouerate")</f>
        <v>Zouerate</v>
      </c>
      <c r="D9474" s="120" t="str">
        <f>IFERROR(__xludf.DUMMYFUNCTION("""COMPUTED_VALUE"""),"Mauritania")</f>
        <v>Mauritania</v>
      </c>
      <c r="E9474" s="135"/>
      <c r="F9474" s="31"/>
    </row>
    <row r="9475">
      <c r="A9475" s="134" t="str">
        <f>IFERROR(__xludf.DUMMYFUNCTION("""COMPUTED_VALUE"""),"Zuenoula")</f>
        <v>Zuenoula</v>
      </c>
      <c r="B9475" s="120" t="str">
        <f>IFERROR(__xludf.DUMMYFUNCTION("""COMPUTED_VALUE"""),"ZUE")</f>
        <v>ZUE</v>
      </c>
      <c r="C9475" s="120" t="str">
        <f>IFERROR(__xludf.DUMMYFUNCTION("""COMPUTED_VALUE"""),"Zuenoula")</f>
        <v>Zuenoula</v>
      </c>
      <c r="D9475" s="120" t="str">
        <f>IFERROR(__xludf.DUMMYFUNCTION("""COMPUTED_VALUE"""),"Cote D'Ivoire (Ivory Coast)")</f>
        <v>Cote D'Ivoire (Ivory Coast)</v>
      </c>
      <c r="E9475" s="135"/>
      <c r="F9475" s="31"/>
    </row>
    <row r="9476">
      <c r="A9476" s="134" t="str">
        <f>IFERROR(__xludf.DUMMYFUNCTION("""COMPUTED_VALUE"""),"Zugapa")</f>
        <v>Zugapa</v>
      </c>
      <c r="B9476" s="120" t="str">
        <f>IFERROR(__xludf.DUMMYFUNCTION("""COMPUTED_VALUE"""),"UGU")</f>
        <v>UGU</v>
      </c>
      <c r="C9476" s="120" t="str">
        <f>IFERROR(__xludf.DUMMYFUNCTION("""COMPUTED_VALUE"""),"Zugapa")</f>
        <v>Zugapa</v>
      </c>
      <c r="D9476" s="120" t="str">
        <f>IFERROR(__xludf.DUMMYFUNCTION("""COMPUTED_VALUE"""),"Indonesia")</f>
        <v>Indonesia</v>
      </c>
      <c r="E9476" s="135"/>
      <c r="F9476" s="31"/>
    </row>
    <row r="9477">
      <c r="A9477" s="134" t="str">
        <f>IFERROR(__xludf.DUMMYFUNCTION("""COMPUTED_VALUE"""),"Zunyi")</f>
        <v>Zunyi</v>
      </c>
      <c r="B9477" s="120" t="str">
        <f>IFERROR(__xludf.DUMMYFUNCTION("""COMPUTED_VALUE"""),"ZYI")</f>
        <v>ZYI</v>
      </c>
      <c r="C9477" s="120" t="str">
        <f>IFERROR(__xludf.DUMMYFUNCTION("""COMPUTED_VALUE"""),"Zunyi")</f>
        <v>Zunyi</v>
      </c>
      <c r="D9477" s="120" t="str">
        <f>IFERROR(__xludf.DUMMYFUNCTION("""COMPUTED_VALUE"""),"China")</f>
        <v>China</v>
      </c>
      <c r="E9477" s="135"/>
      <c r="F9477" s="31"/>
    </row>
    <row r="9478">
      <c r="A9478" s="134" t="str">
        <f>IFERROR(__xludf.DUMMYFUNCTION("""COMPUTED_VALUE"""),"Zurich")</f>
        <v>Zurich</v>
      </c>
      <c r="B9478" s="120" t="str">
        <f>IFERROR(__xludf.DUMMYFUNCTION("""COMPUTED_VALUE"""),"ZRH")</f>
        <v>ZRH</v>
      </c>
      <c r="C9478" s="120" t="str">
        <f>IFERROR(__xludf.DUMMYFUNCTION("""COMPUTED_VALUE"""),"Zürich")</f>
        <v>Zürich</v>
      </c>
      <c r="D9478" s="120" t="str">
        <f>IFERROR(__xludf.DUMMYFUNCTION("""COMPUTED_VALUE"""),"Switzerland")</f>
        <v>Switzerland</v>
      </c>
      <c r="E9478" s="135"/>
      <c r="F9478" s="31"/>
    </row>
    <row r="9479">
      <c r="A9479" s="134" t="str">
        <f>IFERROR(__xludf.DUMMYFUNCTION("""COMPUTED_VALUE"""),"Zurs/Lech")</f>
        <v>Zurs/Lech</v>
      </c>
      <c r="B9479" s="120" t="str">
        <f>IFERROR(__xludf.DUMMYFUNCTION("""COMPUTED_VALUE"""),"ZRS")</f>
        <v>ZRS</v>
      </c>
      <c r="C9479" s="120" t="str">
        <f>IFERROR(__xludf.DUMMYFUNCTION("""COMPUTED_VALUE"""),"Flexenpass Heliport")</f>
        <v>Flexenpass Heliport</v>
      </c>
      <c r="D9479" s="120" t="str">
        <f>IFERROR(__xludf.DUMMYFUNCTION("""COMPUTED_VALUE"""),"Austria")</f>
        <v>Austria</v>
      </c>
      <c r="E9479" s="135"/>
      <c r="F9479" s="31"/>
    </row>
    <row r="9480">
      <c r="A9480" s="134" t="str">
        <f>IFERROR(__xludf.DUMMYFUNCTION("""COMPUTED_VALUE"""),"Zwara")</f>
        <v>Zwara</v>
      </c>
      <c r="B9480" s="120" t="str">
        <f>IFERROR(__xludf.DUMMYFUNCTION("""COMPUTED_VALUE"""),"WAX")</f>
        <v>WAX</v>
      </c>
      <c r="C9480" s="120" t="str">
        <f>IFERROR(__xludf.DUMMYFUNCTION("""COMPUTED_VALUE"""),"Zwara")</f>
        <v>Zwara</v>
      </c>
      <c r="D9480" s="120" t="str">
        <f>IFERROR(__xludf.DUMMYFUNCTION("""COMPUTED_VALUE"""),"United States")</f>
        <v>United States</v>
      </c>
      <c r="E9480" s="135"/>
      <c r="F9480" s="31"/>
    </row>
    <row r="9481">
      <c r="A9481" s="134" t="str">
        <f>IFERROR(__xludf.DUMMYFUNCTION("""COMPUTED_VALUE"""),"Chicago")</f>
        <v>Chicago</v>
      </c>
      <c r="B9481" s="120" t="str">
        <f>IFERROR(__xludf.DUMMYFUNCTION("""COMPUTED_VALUE"""),"ORD")</f>
        <v>ORD</v>
      </c>
      <c r="C9481" s="120" t="str">
        <f>IFERROR(__xludf.DUMMYFUNCTION("""COMPUTED_VALUE"""),"Ohare International")</f>
        <v>Ohare International</v>
      </c>
      <c r="D9481" s="120" t="str">
        <f>IFERROR(__xludf.DUMMYFUNCTION("""COMPUTED_VALUE"""),"United States")</f>
        <v>United States</v>
      </c>
      <c r="E9481" s="135"/>
      <c r="F9481" s="31"/>
    </row>
    <row r="9482">
      <c r="A9482" s="134" t="str">
        <f>IFERROR(__xludf.DUMMYFUNCTION("""COMPUTED_VALUE"""),"Hong Kong")</f>
        <v>Hong Kong</v>
      </c>
      <c r="B9482" s="120" t="str">
        <f>IFERROR(__xludf.DUMMYFUNCTION("""COMPUTED_VALUE"""),"HKG")</f>
        <v>HKG</v>
      </c>
      <c r="C9482" s="120" t="str">
        <f>IFERROR(__xludf.DUMMYFUNCTION("""COMPUTED_VALUE"""),"Hong Kong International")</f>
        <v>Hong Kong International</v>
      </c>
      <c r="D9482" s="120" t="str">
        <f>IFERROR(__xludf.DUMMYFUNCTION("""COMPUTED_VALUE"""),"China")</f>
        <v>China</v>
      </c>
      <c r="E9482" s="135"/>
      <c r="F9482" s="31"/>
    </row>
    <row r="9483">
      <c r="A9483" s="134" t="str">
        <f>IFERROR(__xludf.DUMMYFUNCTION("""COMPUTED_VALUE"""),"Newark")</f>
        <v>Newark</v>
      </c>
      <c r="B9483" s="120" t="str">
        <f>IFERROR(__xludf.DUMMYFUNCTION("""COMPUTED_VALUE"""),"EWR")</f>
        <v>EWR</v>
      </c>
      <c r="C9483" s="120" t="str">
        <f>IFERROR(__xludf.DUMMYFUNCTION("""COMPUTED_VALUE"""),"Newark International Airport")</f>
        <v>Newark International Airport</v>
      </c>
      <c r="D9483" s="120" t="str">
        <f>IFERROR(__xludf.DUMMYFUNCTION("""COMPUTED_VALUE"""),"United States")</f>
        <v>United States</v>
      </c>
      <c r="E9483" s="135"/>
      <c r="F9483" s="31"/>
    </row>
    <row r="9484">
      <c r="A9484" s="134" t="str">
        <f>IFERROR(__xludf.DUMMYFUNCTION("""COMPUTED_VALUE"""),"Johannesburg")</f>
        <v>Johannesburg</v>
      </c>
      <c r="B9484" s="120" t="str">
        <f>IFERROR(__xludf.DUMMYFUNCTION("""COMPUTED_VALUE"""),"JNB")</f>
        <v>JNB</v>
      </c>
      <c r="C9484" s="120" t="str">
        <f>IFERROR(__xludf.DUMMYFUNCTION("""COMPUTED_VALUE"""),"Johannesburg International")</f>
        <v>Johannesburg International</v>
      </c>
      <c r="D9484" s="120" t="str">
        <f>IFERROR(__xludf.DUMMYFUNCTION("""COMPUTED_VALUE"""),"South Africa")</f>
        <v>South Africa</v>
      </c>
      <c r="E9484" s="135"/>
      <c r="F9484" s="31"/>
    </row>
    <row r="9485">
      <c r="A9485" s="134" t="str">
        <f>IFERROR(__xludf.DUMMYFUNCTION("""COMPUTED_VALUE"""),"Allentown")</f>
        <v>Allentown</v>
      </c>
      <c r="B9485" s="120" t="str">
        <f>IFERROR(__xludf.DUMMYFUNCTION("""COMPUTED_VALUE"""),"ABE")</f>
        <v>ABE</v>
      </c>
      <c r="C9485" s="120" t="str">
        <f>IFERROR(__xludf.DUMMYFUNCTION("""COMPUTED_VALUE"""),"Lehigh Valley International")</f>
        <v>Lehigh Valley International</v>
      </c>
      <c r="D9485" s="120" t="str">
        <f>IFERROR(__xludf.DUMMYFUNCTION("""COMPUTED_VALUE"""),"United States")</f>
        <v>United States</v>
      </c>
      <c r="E9485" s="135"/>
      <c r="F9485" s="31"/>
    </row>
    <row r="9486">
      <c r="A9486" s="134" t="str">
        <f>IFERROR(__xludf.DUMMYFUNCTION("""COMPUTED_VALUE"""),"Acapulco")</f>
        <v>Acapulco</v>
      </c>
      <c r="B9486" s="120" t="str">
        <f>IFERROR(__xludf.DUMMYFUNCTION("""COMPUTED_VALUE"""),"ACA")</f>
        <v>ACA</v>
      </c>
      <c r="C9486" s="120" t="str">
        <f>IFERROR(__xludf.DUMMYFUNCTION("""COMPUTED_VALUE"""),"General Juan N. Alvarez International")</f>
        <v>General Juan N. Alvarez International</v>
      </c>
      <c r="D9486" s="120" t="str">
        <f>IFERROR(__xludf.DUMMYFUNCTION("""COMPUTED_VALUE"""),"Mexico")</f>
        <v>Mexico</v>
      </c>
      <c r="E9486" s="135"/>
      <c r="F9486" s="31"/>
    </row>
    <row r="9487">
      <c r="A9487" s="134" t="str">
        <f>IFERROR(__xludf.DUMMYFUNCTION("""COMPUTED_VALUE"""),"Baku")</f>
        <v>Baku</v>
      </c>
      <c r="B9487" s="120" t="str">
        <f>IFERROR(__xludf.DUMMYFUNCTION("""COMPUTED_VALUE"""),"GYD")</f>
        <v>GYD</v>
      </c>
      <c r="C9487" s="120" t="str">
        <f>IFERROR(__xludf.DUMMYFUNCTION("""COMPUTED_VALUE"""),"Heydar Aliyev International")</f>
        <v>Heydar Aliyev International</v>
      </c>
      <c r="D9487" s="120" t="str">
        <f>IFERROR(__xludf.DUMMYFUNCTION("""COMPUTED_VALUE"""),"Azerbaijan")</f>
        <v>Azerbaijan</v>
      </c>
      <c r="E9487" s="135"/>
      <c r="F9487" s="31"/>
    </row>
    <row r="9488">
      <c r="A9488" s="134" t="str">
        <f>IFERROR(__xludf.DUMMYFUNCTION("""COMPUTED_VALUE"""),"Buffalo")</f>
        <v>Buffalo</v>
      </c>
      <c r="B9488" s="120" t="str">
        <f>IFERROR(__xludf.DUMMYFUNCTION("""COMPUTED_VALUE"""),"BUF")</f>
        <v>BUF</v>
      </c>
      <c r="C9488" s="120" t="str">
        <f>IFERROR(__xludf.DUMMYFUNCTION("""COMPUTED_VALUE"""),"Buffalo Niagara International")</f>
        <v>Buffalo Niagara International</v>
      </c>
      <c r="D9488" s="120" t="str">
        <f>IFERROR(__xludf.DUMMYFUNCTION("""COMPUTED_VALUE"""),"United States")</f>
        <v>United States</v>
      </c>
      <c r="E9488" s="135"/>
      <c r="F9488" s="31"/>
    </row>
    <row r="9489">
      <c r="A9489" s="134" t="str">
        <f>IFERROR(__xludf.DUMMYFUNCTION("""COMPUTED_VALUE"""),"Nuremberg")</f>
        <v>Nuremberg</v>
      </c>
      <c r="B9489" s="120" t="str">
        <f>IFERROR(__xludf.DUMMYFUNCTION("""COMPUTED_VALUE"""),"NUE")</f>
        <v>NUE</v>
      </c>
      <c r="C9489" s="120" t="str">
        <f>IFERROR(__xludf.DUMMYFUNCTION("""COMPUTED_VALUE"""),"Nuremberg")</f>
        <v>Nuremberg</v>
      </c>
      <c r="D9489" s="120" t="str">
        <f>IFERROR(__xludf.DUMMYFUNCTION("""COMPUTED_VALUE"""),"Germany")</f>
        <v>Germany</v>
      </c>
      <c r="E9489" s="135"/>
      <c r="F9489" s="31"/>
    </row>
    <row r="9490">
      <c r="A9490" s="134" t="str">
        <f>IFERROR(__xludf.DUMMYFUNCTION("""COMPUTED_VALUE"""),"Nagoya")</f>
        <v>Nagoya</v>
      </c>
      <c r="B9490" s="120" t="str">
        <f>IFERROR(__xludf.DUMMYFUNCTION("""COMPUTED_VALUE"""),"NGO")</f>
        <v>NGO</v>
      </c>
      <c r="C9490" s="120" t="str">
        <f>IFERROR(__xludf.DUMMYFUNCTION("""COMPUTED_VALUE"""),"Central Japan International")</f>
        <v>Central Japan International</v>
      </c>
      <c r="D9490" s="120" t="str">
        <f>IFERROR(__xludf.DUMMYFUNCTION("""COMPUTED_VALUE"""),"Japan")</f>
        <v>Japan</v>
      </c>
      <c r="E9490" s="135"/>
      <c r="F9490" s="31"/>
    </row>
    <row r="9491">
      <c r="A9491" s="134" t="str">
        <f>IFERROR(__xludf.DUMMYFUNCTION("""COMPUTED_VALUE"""),"Ramallah")</f>
        <v>Ramallah</v>
      </c>
      <c r="B9491" s="120" t="str">
        <f>IFERROR(__xludf.DUMMYFUNCTION("""COMPUTED_VALUE"""),"ZDM")</f>
        <v>ZDM</v>
      </c>
      <c r="C9491" s="120" t="str">
        <f>IFERROR(__xludf.DUMMYFUNCTION("""COMPUTED_VALUE"""),"Ramallah Heliport")</f>
        <v>Ramallah Heliport</v>
      </c>
      <c r="D9491" s="120" t="str">
        <f>IFERROR(__xludf.DUMMYFUNCTION("""COMPUTED_VALUE"""),"Palestine")</f>
        <v>Palestine</v>
      </c>
      <c r="E9491" s="135"/>
      <c r="F9491" s="31"/>
    </row>
    <row r="9492">
      <c r="A9492" s="134" t="str">
        <f>IFERROR(__xludf.DUMMYFUNCTION("""COMPUTED_VALUE"""),"London")</f>
        <v>London</v>
      </c>
      <c r="B9492" s="120" t="str">
        <f>IFERROR(__xludf.DUMMYFUNCTION("""COMPUTED_VALUE"""),"YXU")</f>
        <v>YXU</v>
      </c>
      <c r="C9492" s="120" t="str">
        <f>IFERROR(__xludf.DUMMYFUNCTION("""COMPUTED_VALUE"""),"London International Airport")</f>
        <v>London International Airport</v>
      </c>
      <c r="D9492" s="120" t="str">
        <f>IFERROR(__xludf.DUMMYFUNCTION("""COMPUTED_VALUE"""),"Canada")</f>
        <v>Canada</v>
      </c>
      <c r="E9492" s="135"/>
      <c r="F9492" s="31"/>
    </row>
    <row r="9493">
      <c r="A9493" s="134" t="str">
        <f>IFERROR(__xludf.DUMMYFUNCTION("""COMPUTED_VALUE"""),"Toronto")</f>
        <v>Toronto</v>
      </c>
      <c r="B9493" s="120" t="str">
        <f>IFERROR(__xludf.DUMMYFUNCTION("""COMPUTED_VALUE"""),"YZD")</f>
        <v>YZD</v>
      </c>
      <c r="C9493" s="120" t="str">
        <f>IFERROR(__xludf.DUMMYFUNCTION("""COMPUTED_VALUE"""),"Downsview Airport")</f>
        <v>Downsview Airport</v>
      </c>
      <c r="D9493" s="120" t="str">
        <f>IFERROR(__xludf.DUMMYFUNCTION("""COMPUTED_VALUE"""),"Canada")</f>
        <v>Canada</v>
      </c>
      <c r="E9493" s="135"/>
      <c r="F9493" s="31"/>
    </row>
    <row r="9494">
      <c r="A9494" s="134" t="str">
        <f>IFERROR(__xludf.DUMMYFUNCTION("""COMPUTED_VALUE"""),"Hendersonville")</f>
        <v>Hendersonville</v>
      </c>
      <c r="B9494" s="120" t="str">
        <f>IFERROR(__xludf.DUMMYFUNCTION("""COMPUTED_VALUE"""),"0A7")</f>
        <v>0A7</v>
      </c>
      <c r="C9494" s="120" t="str">
        <f>IFERROR(__xludf.DUMMYFUNCTION("""COMPUTED_VALUE"""),"Hendersonville Airport")</f>
        <v>Hendersonville Airport</v>
      </c>
      <c r="D9494" s="120" t="str">
        <f>IFERROR(__xludf.DUMMYFUNCTION("""COMPUTED_VALUE"""),"United States")</f>
        <v>United States</v>
      </c>
      <c r="E9494" s="135"/>
      <c r="F9494" s="31"/>
    </row>
    <row r="9495">
      <c r="A9495" s="134" t="str">
        <f>IFERROR(__xludf.DUMMYFUNCTION("""COMPUTED_VALUE"""),"Nice")</f>
        <v>Nice</v>
      </c>
      <c r="B9495" s="120" t="str">
        <f>IFERROR(__xludf.DUMMYFUNCTION("""COMPUTED_VALUE"""),"NCE")</f>
        <v>NCE</v>
      </c>
      <c r="C9495" s="120" t="str">
        <f>IFERROR(__xludf.DUMMYFUNCTION("""COMPUTED_VALUE"""),"Cote d'Azur International Airport")</f>
        <v>Cote d'Azur International Airport</v>
      </c>
      <c r="D9495" s="120" t="str">
        <f>IFERROR(__xludf.DUMMYFUNCTION("""COMPUTED_VALUE"""),"France")</f>
        <v>France</v>
      </c>
      <c r="E9495" s="135"/>
      <c r="F9495" s="31"/>
    </row>
    <row r="9496">
      <c r="A9496" s="134" t="str">
        <f>IFERROR(__xludf.DUMMYFUNCTION("""COMPUTED_VALUE"""),"Sanaa")</f>
        <v>Sanaa</v>
      </c>
      <c r="B9496" s="120" t="str">
        <f>IFERROR(__xludf.DUMMYFUNCTION("""COMPUTED_VALUE"""),"SAH")</f>
        <v>SAH</v>
      </c>
      <c r="C9496" s="120" t="str">
        <f>IFERROR(__xludf.DUMMYFUNCTION("""COMPUTED_VALUE"""),"El Rahaba Airport (Sanaa Intenational)")</f>
        <v>El Rahaba Airport (Sanaa Intenational)</v>
      </c>
      <c r="D9496" s="120" t="str">
        <f>IFERROR(__xludf.DUMMYFUNCTION("""COMPUTED_VALUE"""),"Yemen")</f>
        <v>Yemen</v>
      </c>
      <c r="E9496" s="135"/>
      <c r="F9496" s="31"/>
    </row>
    <row r="9497">
      <c r="A9497" s="134" t="str">
        <f>IFERROR(__xludf.DUMMYFUNCTION("""COMPUTED_VALUE"""),"Monastir")</f>
        <v>Monastir</v>
      </c>
      <c r="B9497" s="120" t="str">
        <f>IFERROR(__xludf.DUMMYFUNCTION("""COMPUTED_VALUE"""),"MIR")</f>
        <v>MIR</v>
      </c>
      <c r="C9497" s="120" t="str">
        <f>IFERROR(__xludf.DUMMYFUNCTION("""COMPUTED_VALUE"""),"Habib Bourguiba")</f>
        <v>Habib Bourguiba</v>
      </c>
      <c r="D9497" s="120" t="str">
        <f>IFERROR(__xludf.DUMMYFUNCTION("""COMPUTED_VALUE"""),"Tunisia")</f>
        <v>Tunisia</v>
      </c>
      <c r="E9497" s="135"/>
      <c r="F9497" s="31"/>
    </row>
    <row r="9498">
      <c r="A9498" s="134" t="str">
        <f>IFERROR(__xludf.DUMMYFUNCTION("""COMPUTED_VALUE"""),"Windhoek")</f>
        <v>Windhoek</v>
      </c>
      <c r="B9498" s="120" t="str">
        <f>IFERROR(__xludf.DUMMYFUNCTION("""COMPUTED_VALUE"""),"WDH")</f>
        <v>WDH</v>
      </c>
      <c r="C9498" s="120" t="str">
        <f>IFERROR(__xludf.DUMMYFUNCTION("""COMPUTED_VALUE"""),"Hosea Kutako International Airport")</f>
        <v>Hosea Kutako International Airport</v>
      </c>
      <c r="D9498" s="120" t="str">
        <f>IFERROR(__xludf.DUMMYFUNCTION("""COMPUTED_VALUE"""),"Namibia")</f>
        <v>Namibia</v>
      </c>
      <c r="E9498" s="135"/>
      <c r="F9498" s="31"/>
    </row>
    <row r="9499">
      <c r="A9499" s="134" t="str">
        <f>IFERROR(__xludf.DUMMYFUNCTION("""COMPUTED_VALUE"""),"St. John's")</f>
        <v>St. John's</v>
      </c>
      <c r="B9499" s="120" t="str">
        <f>IFERROR(__xludf.DUMMYFUNCTION("""COMPUTED_VALUE"""),"YYT")</f>
        <v>YYT</v>
      </c>
      <c r="C9499" s="120" t="str">
        <f>IFERROR(__xludf.DUMMYFUNCTION("""COMPUTED_VALUE"""),"St. John´s International Airport")</f>
        <v>St. John´s International Airport</v>
      </c>
      <c r="D9499" s="120" t="str">
        <f>IFERROR(__xludf.DUMMYFUNCTION("""COMPUTED_VALUE"""),"Canada")</f>
        <v>Canada</v>
      </c>
      <c r="E9499" s="135"/>
      <c r="F9499" s="31"/>
    </row>
    <row r="9500">
      <c r="A9500" s="134" t="str">
        <f>IFERROR(__xludf.DUMMYFUNCTION("""COMPUTED_VALUE"""),"New Orleans")</f>
        <v>New Orleans</v>
      </c>
      <c r="B9500" s="120" t="str">
        <f>IFERROR(__xludf.DUMMYFUNCTION("""COMPUTED_VALUE"""),"MSY")</f>
        <v>MSY</v>
      </c>
      <c r="C9500" s="120" t="str">
        <f>IFERROR(__xludf.DUMMYFUNCTION("""COMPUTED_VALUE"""),"Louis Armstrong New Orleans International Airport")</f>
        <v>Louis Armstrong New Orleans International Airport</v>
      </c>
      <c r="D9500" s="120" t="str">
        <f>IFERROR(__xludf.DUMMYFUNCTION("""COMPUTED_VALUE"""),"United States")</f>
        <v>United States</v>
      </c>
      <c r="E9500" s="135"/>
      <c r="F9500" s="31"/>
    </row>
    <row r="9501">
      <c r="A9501" s="134" t="str">
        <f>IFERROR(__xludf.DUMMYFUNCTION("""COMPUTED_VALUE"""),"Dammam")</f>
        <v>Dammam</v>
      </c>
      <c r="B9501" s="120" t="str">
        <f>IFERROR(__xludf.DUMMYFUNCTION("""COMPUTED_VALUE"""),"DMM")</f>
        <v>DMM</v>
      </c>
      <c r="C9501" s="120" t="str">
        <f>IFERROR(__xludf.DUMMYFUNCTION("""COMPUTED_VALUE"""),"King Fahd International Airport")</f>
        <v>King Fahd International Airport</v>
      </c>
      <c r="D9501" s="120" t="str">
        <f>IFERROR(__xludf.DUMMYFUNCTION("""COMPUTED_VALUE"""),"Saudi Arabia")</f>
        <v>Saudi Arabia</v>
      </c>
      <c r="E9501" s="135"/>
      <c r="F9501" s="31"/>
    </row>
    <row r="9502">
      <c r="A9502" s="134" t="str">
        <f>IFERROR(__xludf.DUMMYFUNCTION("""COMPUTED_VALUE"""),"Pittsburgh")</f>
        <v>Pittsburgh</v>
      </c>
      <c r="B9502" s="120" t="str">
        <f>IFERROR(__xludf.DUMMYFUNCTION("""COMPUTED_VALUE"""),"PIT")</f>
        <v>PIT</v>
      </c>
      <c r="C9502" s="120" t="str">
        <f>IFERROR(__xludf.DUMMYFUNCTION("""COMPUTED_VALUE"""),"Pittsburgh International Airport")</f>
        <v>Pittsburgh International Airport</v>
      </c>
      <c r="D9502" s="120" t="str">
        <f>IFERROR(__xludf.DUMMYFUNCTION("""COMPUTED_VALUE"""),"United States")</f>
        <v>United States</v>
      </c>
      <c r="E9502" s="135"/>
      <c r="F9502" s="31"/>
    </row>
    <row r="9503">
      <c r="A9503" s="134" t="str">
        <f>IFERROR(__xludf.DUMMYFUNCTION("""COMPUTED_VALUE"""),"Kinshasa")</f>
        <v>Kinshasa</v>
      </c>
      <c r="B9503" s="120" t="str">
        <f>IFERROR(__xludf.DUMMYFUNCTION("""COMPUTED_VALUE"""),"FIH")</f>
        <v>FIH</v>
      </c>
      <c r="C9503" s="120" t="str">
        <f>IFERROR(__xludf.DUMMYFUNCTION("""COMPUTED_VALUE"""),"N’Djili Airport")</f>
        <v>N’Djili Airport</v>
      </c>
      <c r="D9503" s="120" t="str">
        <f>IFERROR(__xludf.DUMMYFUNCTION("""COMPUTED_VALUE"""),"Congo")</f>
        <v>Congo</v>
      </c>
      <c r="E9503" s="135"/>
      <c r="F9503" s="31"/>
    </row>
    <row r="9504">
      <c r="A9504" s="134" t="str">
        <f>IFERROR(__xludf.DUMMYFUNCTION("""COMPUTED_VALUE"""),"Rafah")</f>
        <v>Rafah</v>
      </c>
      <c r="B9504" s="120" t="str">
        <f>IFERROR(__xludf.DUMMYFUNCTION("""COMPUTED_VALUE"""),"GZA")</f>
        <v>GZA</v>
      </c>
      <c r="C9504" s="120" t="str">
        <f>IFERROR(__xludf.DUMMYFUNCTION("""COMPUTED_VALUE"""),"Gaza - Yaser Arafat International Airport")</f>
        <v>Gaza - Yaser Arafat International Airport</v>
      </c>
      <c r="D9504" s="120" t="str">
        <f>IFERROR(__xludf.DUMMYFUNCTION("""COMPUTED_VALUE"""),"Palestine")</f>
        <v>Palestine</v>
      </c>
      <c r="E9504" s="135"/>
      <c r="F9504" s="31"/>
    </row>
    <row r="9505">
      <c r="A9505" s="134"/>
      <c r="B9505" s="120" t="str">
        <f>IFERROR(__xludf.DUMMYFUNCTION("""COMPUTED_VALUE"""),"ika")</f>
        <v>ika</v>
      </c>
      <c r="C9505" s="120"/>
      <c r="D9505" s="120" t="str">
        <f>IFERROR(__xludf.DUMMYFUNCTION("""COMPUTED_VALUE"""),"iran")</f>
        <v>iran</v>
      </c>
      <c r="E9505" s="135"/>
      <c r="F9505" s="31"/>
    </row>
    <row r="9506">
      <c r="A9506" s="134"/>
      <c r="B9506" s="120" t="str">
        <f>IFERROR(__xludf.DUMMYFUNCTION("""COMPUTED_VALUE"""),"EBL")</f>
        <v>EBL</v>
      </c>
      <c r="C9506" s="120"/>
      <c r="D9506" s="120" t="str">
        <f>IFERROR(__xludf.DUMMYFUNCTION("""COMPUTED_VALUE"""),"Iraq")</f>
        <v>Iraq</v>
      </c>
      <c r="E9506" s="135"/>
      <c r="F9506" s="31"/>
    </row>
    <row r="9507">
      <c r="A9507" s="134"/>
      <c r="B9507" s="120" t="str">
        <f>IFERROR(__xludf.DUMMYFUNCTION("""COMPUTED_VALUE"""),"BER")</f>
        <v>BER</v>
      </c>
      <c r="C9507" s="120"/>
      <c r="D9507" s="120" t="str">
        <f>IFERROR(__xludf.DUMMYFUNCTION("""COMPUTED_VALUE"""),"Germany")</f>
        <v>Germany</v>
      </c>
      <c r="E9507" s="135"/>
      <c r="F9507" s="31"/>
    </row>
    <row r="9508">
      <c r="A9508" s="134"/>
      <c r="B9508" s="120" t="str">
        <f>IFERROR(__xludf.DUMMYFUNCTION("""COMPUTED_VALUE"""),"WMI")</f>
        <v>WMI</v>
      </c>
      <c r="C9508" s="120"/>
      <c r="D9508" s="120" t="str">
        <f>IFERROR(__xludf.DUMMYFUNCTION("""COMPUTED_VALUE"""),"Poland")</f>
        <v>Poland</v>
      </c>
      <c r="E9508" s="135"/>
      <c r="F9508" s="31"/>
    </row>
    <row r="9509">
      <c r="A9509" s="134"/>
      <c r="B9509" s="120" t="str">
        <f>IFERROR(__xludf.DUMMYFUNCTION("""COMPUTED_VALUE"""),"FMM")</f>
        <v>FMM</v>
      </c>
      <c r="C9509" s="120"/>
      <c r="D9509" s="120" t="str">
        <f>IFERROR(__xludf.DUMMYFUNCTION("""COMPUTED_VALUE"""),"Germany")</f>
        <v>Germany</v>
      </c>
      <c r="E9509" s="135"/>
      <c r="F9509" s="31"/>
    </row>
    <row r="9510">
      <c r="A9510" s="134"/>
      <c r="B9510" s="120" t="str">
        <f>IFERROR(__xludf.DUMMYFUNCTION("""COMPUTED_VALUE"""),"DMK")</f>
        <v>DMK</v>
      </c>
      <c r="C9510" s="120"/>
      <c r="D9510" s="120" t="str">
        <f>IFERROR(__xludf.DUMMYFUNCTION("""COMPUTED_VALUE"""),"Thailand")</f>
        <v>Thailand</v>
      </c>
      <c r="E9510" s="135"/>
      <c r="F9510" s="31"/>
    </row>
    <row r="9511">
      <c r="A9511" s="134"/>
      <c r="B9511" s="120" t="str">
        <f>IFERROR(__xludf.DUMMYFUNCTION("""COMPUTED_VALUE"""),"HMB")</f>
        <v>HMB</v>
      </c>
      <c r="C9511" s="120"/>
      <c r="D9511" s="120" t="str">
        <f>IFERROR(__xludf.DUMMYFUNCTION("""COMPUTED_VALUE"""),"Egypt")</f>
        <v>Egypt</v>
      </c>
      <c r="E9511" s="135"/>
      <c r="F9511" s="31"/>
    </row>
    <row r="9512">
      <c r="A9512" s="134"/>
      <c r="B9512" s="120" t="str">
        <f>IFERROR(__xludf.DUMMYFUNCTION("""COMPUTED_VALUE"""),"ZYA")</f>
        <v>ZYA</v>
      </c>
      <c r="C9512" s="120"/>
      <c r="D9512" s="120" t="str">
        <f>IFERROR(__xludf.DUMMYFUNCTION("""COMPUTED_VALUE"""),"Netherlands")</f>
        <v>Netherlands</v>
      </c>
      <c r="E9512" s="135"/>
      <c r="F9512" s="31"/>
    </row>
    <row r="9513">
      <c r="A9513" s="134"/>
      <c r="B9513" s="120" t="str">
        <f>IFERROR(__xludf.DUMMYFUNCTION("""COMPUTED_VALUE"""),"CGK")</f>
        <v>CGK</v>
      </c>
      <c r="C9513" s="120"/>
      <c r="D9513" s="120" t="str">
        <f>IFERROR(__xludf.DUMMYFUNCTION("""COMPUTED_VALUE"""),"Indonesia")</f>
        <v>Indonesia</v>
      </c>
      <c r="E9513" s="135"/>
      <c r="F9513" s="31"/>
    </row>
    <row r="9514">
      <c r="A9514" s="134"/>
      <c r="B9514" s="120" t="str">
        <f>IFERROR(__xludf.DUMMYFUNCTION("""COMPUTED_VALUE"""),"AUS")</f>
        <v>AUS</v>
      </c>
      <c r="C9514" s="120"/>
      <c r="D9514" s="120" t="str">
        <f>IFERROR(__xludf.DUMMYFUNCTION("""COMPUTED_VALUE"""),"United States")</f>
        <v>United States</v>
      </c>
      <c r="E9514" s="135"/>
      <c r="F9514" s="31"/>
    </row>
    <row r="9515">
      <c r="A9515" s="134"/>
      <c r="B9515" s="120" t="str">
        <f>IFERROR(__xludf.DUMMYFUNCTION("""COMPUTED_VALUE"""),"SID")</f>
        <v>SID</v>
      </c>
      <c r="C9515" s="120"/>
      <c r="D9515" s="120" t="str">
        <f>IFERROR(__xludf.DUMMYFUNCTION("""COMPUTED_VALUE"""),"Cape Verde")</f>
        <v>Cape Verde</v>
      </c>
      <c r="E9515" s="135"/>
      <c r="F9515" s="31"/>
    </row>
    <row r="9516">
      <c r="A9516" s="134"/>
      <c r="B9516" s="120" t="str">
        <f>IFERROR(__xludf.DUMMYFUNCTION("""COMPUTED_VALUE"""),"TUN")</f>
        <v>TUN</v>
      </c>
      <c r="C9516" s="120"/>
      <c r="D9516" s="120" t="str">
        <f>IFERROR(__xludf.DUMMYFUNCTION("""COMPUTED_VALUE"""),"Tunisia")</f>
        <v>Tunisia</v>
      </c>
      <c r="E9516" s="135"/>
      <c r="F9516" s="31"/>
    </row>
    <row r="9517">
      <c r="A9517" s="134"/>
      <c r="B9517" s="120" t="str">
        <f>IFERROR(__xludf.DUMMYFUNCTION("""COMPUTED_VALUE"""),"COK")</f>
        <v>COK</v>
      </c>
      <c r="C9517" s="120"/>
      <c r="D9517" s="120" t="str">
        <f>IFERROR(__xludf.DUMMYFUNCTION("""COMPUTED_VALUE"""),"India")</f>
        <v>India</v>
      </c>
      <c r="E9517" s="135"/>
      <c r="F9517" s="31"/>
    </row>
    <row r="9518">
      <c r="A9518" s="134"/>
      <c r="B9518" s="120" t="str">
        <f>IFERROR(__xludf.DUMMYFUNCTION("""COMPUTED_VALUE"""),"SFO")</f>
        <v>SFO</v>
      </c>
      <c r="C9518" s="120"/>
      <c r="D9518" s="120" t="str">
        <f>IFERROR(__xludf.DUMMYFUNCTION("""COMPUTED_VALUE"""),"United States")</f>
        <v>United States</v>
      </c>
      <c r="E9518" s="135"/>
      <c r="F9518" s="31"/>
    </row>
    <row r="9519">
      <c r="A9519" s="134"/>
      <c r="B9519" s="120" t="str">
        <f>IFERROR(__xludf.DUMMYFUNCTION("""COMPUTED_VALUE"""),"CRK")</f>
        <v>CRK</v>
      </c>
      <c r="C9519" s="120"/>
      <c r="D9519" s="120" t="str">
        <f>IFERROR(__xludf.DUMMYFUNCTION("""COMPUTED_VALUE"""),"Philippines")</f>
        <v>Philippines</v>
      </c>
      <c r="E9519" s="135"/>
      <c r="F9519" s="31"/>
    </row>
    <row r="9520">
      <c r="A9520" s="134"/>
      <c r="B9520" s="120" t="str">
        <f>IFERROR(__xludf.DUMMYFUNCTION("""COMPUTED_VALUE"""),"HND")</f>
        <v>HND</v>
      </c>
      <c r="C9520" s="120"/>
      <c r="D9520" s="120" t="str">
        <f>IFERROR(__xludf.DUMMYFUNCTION("""COMPUTED_VALUE"""),"Japan")</f>
        <v>Japan</v>
      </c>
      <c r="E9520" s="135"/>
      <c r="F9520" s="31"/>
    </row>
    <row r="9521">
      <c r="A9521" s="134"/>
      <c r="B9521" s="139" t="str">
        <f>IFERROR(__xludf.DUMMYFUNCTION("""COMPUTED_VALUE"""),"MIR")</f>
        <v>MIR</v>
      </c>
      <c r="C9521" s="120"/>
      <c r="D9521" s="120" t="str">
        <f>IFERROR(__xludf.DUMMYFUNCTION("""COMPUTED_VALUE"""),"Tunisia")</f>
        <v>Tunisia</v>
      </c>
      <c r="E9521" s="135"/>
      <c r="F9521" s="31"/>
    </row>
    <row r="9522">
      <c r="A9522" s="134"/>
      <c r="B9522" s="140" t="str">
        <f>IFERROR(__xludf.DUMMYFUNCTION("""COMPUTED_VALUE"""),"MCO")</f>
        <v>MCO</v>
      </c>
      <c r="C9522" s="128"/>
      <c r="D9522" s="141" t="str">
        <f>IFERROR(__xludf.DUMMYFUNCTION("""COMPUTED_VALUE"""),"United States")</f>
        <v>United States</v>
      </c>
      <c r="E9522" s="135"/>
      <c r="F9522" s="31"/>
    </row>
    <row r="9523">
      <c r="A9523" s="134"/>
      <c r="B9523" s="134" t="str">
        <f>IFERROR(__xludf.DUMMYFUNCTION("""COMPUTED_VALUE"""),"AGA")</f>
        <v>AGA</v>
      </c>
      <c r="C9523" s="142"/>
      <c r="D9523" s="134" t="str">
        <f>IFERROR(__xludf.DUMMYFUNCTION("""COMPUTED_VALUE"""),"Morocco")</f>
        <v>Morocco</v>
      </c>
      <c r="E9523" s="135"/>
      <c r="F9523" s="31"/>
    </row>
    <row r="9524">
      <c r="A9524" s="134"/>
      <c r="B9524" s="134" t="str">
        <f>IFERROR(__xludf.DUMMYFUNCTION("""COMPUTED_VALUE"""),"MRU")</f>
        <v>MRU</v>
      </c>
      <c r="C9524" s="142"/>
      <c r="D9524" s="134" t="str">
        <f>IFERROR(__xludf.DUMMYFUNCTION("""COMPUTED_VALUE"""),"Mauritius")</f>
        <v>Mauritius</v>
      </c>
      <c r="E9524" s="135"/>
      <c r="F9524" s="31"/>
    </row>
    <row r="9525">
      <c r="A9525" s="134"/>
      <c r="B9525" s="134" t="str">
        <f>IFERROR(__xludf.DUMMYFUNCTION("""COMPUTED_VALUE"""),"SAT")</f>
        <v>SAT</v>
      </c>
      <c r="C9525" s="142"/>
      <c r="D9525" s="134" t="str">
        <f>IFERROR(__xludf.DUMMYFUNCTION("""COMPUTED_VALUE"""),"United States")</f>
        <v>United States</v>
      </c>
      <c r="E9525" s="135"/>
      <c r="F9525" s="31"/>
    </row>
    <row r="9526">
      <c r="A9526" s="134"/>
      <c r="B9526" s="134" t="str">
        <f>IFERROR(__xludf.DUMMYFUNCTION("""COMPUTED_VALUE"""),"PEI")</f>
        <v>PEI</v>
      </c>
      <c r="C9526" s="142"/>
      <c r="D9526" s="134" t="str">
        <f>IFERROR(__xludf.DUMMYFUNCTION("""COMPUTED_VALUE"""),"Colombia")</f>
        <v>Colombia</v>
      </c>
      <c r="E9526" s="135"/>
      <c r="F9526" s="31"/>
    </row>
    <row r="9527">
      <c r="A9527" s="134"/>
      <c r="B9527" s="134" t="str">
        <f>IFERROR(__xludf.DUMMYFUNCTION("""COMPUTED_VALUE"""),"MTY")</f>
        <v>MTY</v>
      </c>
      <c r="C9527" s="142"/>
      <c r="D9527" s="134" t="str">
        <f>IFERROR(__xludf.DUMMYFUNCTION("""COMPUTED_VALUE"""),"Mexico")</f>
        <v>Mexico</v>
      </c>
      <c r="E9527" s="135"/>
      <c r="F9527" s="31"/>
    </row>
    <row r="9528">
      <c r="A9528" s="134"/>
      <c r="B9528" s="134" t="str">
        <f>IFERROR(__xludf.DUMMYFUNCTION("""COMPUTED_VALUE"""),"KEF")</f>
        <v>KEF</v>
      </c>
      <c r="C9528" s="142"/>
      <c r="D9528" s="134" t="str">
        <f>IFERROR(__xludf.DUMMYFUNCTION("""COMPUTED_VALUE"""),"Iceland")</f>
        <v>Iceland</v>
      </c>
      <c r="E9528" s="135"/>
      <c r="F9528" s="31"/>
    </row>
    <row r="9529">
      <c r="A9529" s="134"/>
      <c r="B9529" s="134" t="str">
        <f>IFERROR(__xludf.DUMMYFUNCTION("""COMPUTED_VALUE"""),"BSR")</f>
        <v>BSR</v>
      </c>
      <c r="C9529" s="142"/>
      <c r="D9529" s="134" t="str">
        <f>IFERROR(__xludf.DUMMYFUNCTION("""COMPUTED_VALUE"""),"Iraq")</f>
        <v>Iraq</v>
      </c>
      <c r="E9529" s="135"/>
      <c r="F9529" s="31"/>
    </row>
    <row r="9530">
      <c r="A9530" s="134"/>
      <c r="B9530" s="134" t="str">
        <f>IFERROR(__xludf.DUMMYFUNCTION("""COMPUTED_VALUE"""),"CLO")</f>
        <v>CLO</v>
      </c>
      <c r="C9530" s="142"/>
      <c r="D9530" s="134" t="str">
        <f>IFERROR(__xludf.DUMMYFUNCTION("""COMPUTED_VALUE"""),"Colombia")</f>
        <v>Colombia</v>
      </c>
      <c r="E9530" s="135"/>
      <c r="F9530" s="31"/>
    </row>
    <row r="9531">
      <c r="A9531" s="134"/>
      <c r="B9531" s="134" t="str">
        <f>IFERROR(__xludf.DUMMYFUNCTION("""COMPUTED_VALUE"""),"MCZ")</f>
        <v>MCZ</v>
      </c>
      <c r="C9531" s="142"/>
      <c r="D9531" s="134" t="str">
        <f>IFERROR(__xludf.DUMMYFUNCTION("""COMPUTED_VALUE"""),"Brazil")</f>
        <v>Brazil</v>
      </c>
      <c r="E9531" s="135"/>
      <c r="F9531" s="31"/>
    </row>
    <row r="9532">
      <c r="A9532" s="134"/>
      <c r="B9532" s="134" t="str">
        <f>IFERROR(__xludf.DUMMYFUNCTION("""COMPUTED_VALUE"""),"OXB")</f>
        <v>OXB</v>
      </c>
      <c r="C9532" s="142"/>
      <c r="D9532" s="134" t="str">
        <f>IFERROR(__xludf.DUMMYFUNCTION("""COMPUTED_VALUE"""),"Guinea-Bissau")</f>
        <v>Guinea-Bissau</v>
      </c>
      <c r="E9532" s="135"/>
      <c r="F9532" s="31"/>
    </row>
    <row r="9533">
      <c r="A9533" s="134"/>
      <c r="B9533" s="134" t="str">
        <f>IFERROR(__xludf.DUMMYFUNCTION("""COMPUTED_VALUE"""),"CCU")</f>
        <v>CCU</v>
      </c>
      <c r="C9533" s="142"/>
      <c r="D9533" s="134" t="str">
        <f>IFERROR(__xludf.DUMMYFUNCTION("""COMPUTED_VALUE"""),"India")</f>
        <v>India</v>
      </c>
      <c r="E9533" s="135"/>
      <c r="F9533" s="31"/>
    </row>
    <row r="9534">
      <c r="A9534" s="134"/>
      <c r="B9534" s="134" t="str">
        <f>IFERROR(__xludf.DUMMYFUNCTION("""COMPUTED_VALUE"""),"KBV")</f>
        <v>KBV</v>
      </c>
      <c r="C9534" s="142"/>
      <c r="D9534" s="134" t="str">
        <f>IFERROR(__xludf.DUMMYFUNCTION("""COMPUTED_VALUE"""),"Thailand")</f>
        <v>Thailand</v>
      </c>
      <c r="E9534" s="135"/>
      <c r="F9534" s="31"/>
    </row>
    <row r="9535">
      <c r="A9535" s="134"/>
      <c r="B9535" s="134" t="str">
        <f>IFERROR(__xludf.DUMMYFUNCTION("""COMPUTED_VALUE"""),"SXB")</f>
        <v>SXB</v>
      </c>
      <c r="C9535" s="142"/>
      <c r="D9535" s="134" t="str">
        <f>IFERROR(__xludf.DUMMYFUNCTION("""COMPUTED_VALUE"""),"France")</f>
        <v>France</v>
      </c>
      <c r="E9535" s="135"/>
      <c r="F9535" s="31"/>
    </row>
    <row r="9536">
      <c r="A9536" s="134"/>
      <c r="B9536" s="134" t="str">
        <f>IFERROR(__xludf.DUMMYFUNCTION("""COMPUTED_VALUE"""),"EGC")</f>
        <v>EGC</v>
      </c>
      <c r="C9536" s="142"/>
      <c r="D9536" s="134" t="str">
        <f>IFERROR(__xludf.DUMMYFUNCTION("""COMPUTED_VALUE"""),"France")</f>
        <v>France</v>
      </c>
      <c r="E9536" s="135"/>
      <c r="F9536" s="31"/>
    </row>
    <row r="9537">
      <c r="A9537" s="134"/>
      <c r="B9537" s="134" t="str">
        <f>IFERROR(__xludf.DUMMYFUNCTION("""COMPUTED_VALUE"""),"LRM")</f>
        <v>LRM</v>
      </c>
      <c r="C9537" s="142"/>
      <c r="D9537" s="134" t="str">
        <f>IFERROR(__xludf.DUMMYFUNCTION("""COMPUTED_VALUE"""),"Dominican Republic")</f>
        <v>Dominican Republic</v>
      </c>
      <c r="E9537" s="135"/>
      <c r="F9537" s="31"/>
    </row>
    <row r="9538">
      <c r="A9538" s="134"/>
      <c r="B9538" s="134" t="str">
        <f>IFERROR(__xludf.DUMMYFUNCTION("""COMPUTED_VALUE"""),"CTG")</f>
        <v>CTG</v>
      </c>
      <c r="C9538" s="142"/>
      <c r="D9538" s="134" t="str">
        <f>IFERROR(__xludf.DUMMYFUNCTION("""COMPUTED_VALUE"""),"Colombia")</f>
        <v>Colombia</v>
      </c>
      <c r="E9538" s="135"/>
      <c r="F9538" s="31"/>
    </row>
    <row r="9539">
      <c r="A9539" s="134"/>
      <c r="B9539" s="134" t="str">
        <f>IFERROR(__xludf.DUMMYFUNCTION("""COMPUTED_VALUE"""),"LCJ")</f>
        <v>LCJ</v>
      </c>
      <c r="C9539" s="142"/>
      <c r="D9539" s="134" t="str">
        <f>IFERROR(__xludf.DUMMYFUNCTION("""COMPUTED_VALUE"""),"Poland")</f>
        <v>Poland</v>
      </c>
      <c r="E9539" s="135"/>
      <c r="F9539" s="31"/>
    </row>
    <row r="9540">
      <c r="A9540" s="134"/>
      <c r="B9540" s="134" t="str">
        <f>IFERROR(__xludf.DUMMYFUNCTION("""COMPUTED_VALUE"""),"AEP")</f>
        <v>AEP</v>
      </c>
      <c r="C9540" s="142"/>
      <c r="D9540" s="134" t="str">
        <f>IFERROR(__xludf.DUMMYFUNCTION("""COMPUTED_VALUE"""),"Argentina")</f>
        <v>Argentina</v>
      </c>
      <c r="E9540" s="135"/>
      <c r="F9540" s="31"/>
    </row>
    <row r="9541">
      <c r="A9541" s="134"/>
      <c r="B9541" s="134" t="str">
        <f>IFERROR(__xludf.DUMMYFUNCTION("""COMPUTED_VALUE"""),"OKC")</f>
        <v>OKC</v>
      </c>
      <c r="C9541" s="142"/>
      <c r="D9541" s="134" t="str">
        <f>IFERROR(__xludf.DUMMYFUNCTION("""COMPUTED_VALUE"""),"United States")</f>
        <v>United States</v>
      </c>
      <c r="E9541" s="135"/>
      <c r="F9541" s="31"/>
    </row>
    <row r="9542">
      <c r="A9542" s="134"/>
      <c r="B9542" s="134" t="str">
        <f>IFERROR(__xludf.DUMMYFUNCTION("""COMPUTED_VALUE"""),"C02")</f>
        <v>C02</v>
      </c>
      <c r="C9542" s="142"/>
      <c r="D9542" s="134" t="str">
        <f>IFERROR(__xludf.DUMMYFUNCTION("""COMPUTED_VALUE"""),"United States")</f>
        <v>United States</v>
      </c>
      <c r="E9542" s="135"/>
      <c r="F9542" s="31"/>
    </row>
    <row r="9543">
      <c r="A9543" s="134"/>
      <c r="B9543" s="134" t="str">
        <f>IFERROR(__xludf.DUMMYFUNCTION("""COMPUTED_VALUE"""),"PER")</f>
        <v>PER</v>
      </c>
      <c r="C9543" s="142"/>
      <c r="D9543" s="134" t="str">
        <f>IFERROR(__xludf.DUMMYFUNCTION("""COMPUTED_VALUE"""),"Australia")</f>
        <v>Australia</v>
      </c>
      <c r="E9543" s="135"/>
      <c r="F9543" s="31"/>
    </row>
    <row r="9544">
      <c r="A9544" s="134"/>
      <c r="B9544" s="134" t="str">
        <f>IFERROR(__xludf.DUMMYFUNCTION("""COMPUTED_VALUE"""),"BJL")</f>
        <v>BJL</v>
      </c>
      <c r="C9544" s="142"/>
      <c r="D9544" s="134" t="str">
        <f>IFERROR(__xludf.DUMMYFUNCTION("""COMPUTED_VALUE"""),"Gambia")</f>
        <v>Gambia</v>
      </c>
      <c r="E9544" s="135"/>
      <c r="F9544" s="31"/>
    </row>
    <row r="9545">
      <c r="A9545" s="134"/>
      <c r="B9545" s="134" t="str">
        <f>IFERROR(__xludf.DUMMYFUNCTION("""COMPUTED_VALUE"""),"NDR")</f>
        <v>NDR</v>
      </c>
      <c r="C9545" s="142"/>
      <c r="D9545" s="134" t="str">
        <f>IFERROR(__xludf.DUMMYFUNCTION("""COMPUTED_VALUE"""),"Morocco")</f>
        <v>Morocco</v>
      </c>
      <c r="E9545" s="135"/>
      <c r="F9545" s="31"/>
    </row>
    <row r="9546">
      <c r="A9546" s="134"/>
      <c r="B9546" s="134" t="str">
        <f>IFERROR(__xludf.DUMMYFUNCTION("""COMPUTED_VALUE"""),"TGR")</f>
        <v>TGR</v>
      </c>
      <c r="C9546" s="142"/>
      <c r="D9546" s="134" t="str">
        <f>IFERROR(__xludf.DUMMYFUNCTION("""COMPUTED_VALUE"""),"Algeria")</f>
        <v>Algeria</v>
      </c>
      <c r="E9546" s="135"/>
      <c r="F9546" s="31"/>
    </row>
    <row r="9547">
      <c r="A9547" s="134"/>
      <c r="B9547" s="134" t="str">
        <f>IFERROR(__xludf.DUMMYFUNCTION("""COMPUTED_VALUE"""),"LBA")</f>
        <v>LBA</v>
      </c>
      <c r="C9547" s="142"/>
      <c r="D9547" s="134" t="str">
        <f>IFERROR(__xludf.DUMMYFUNCTION("""COMPUTED_VALUE"""),"United Kingdom")</f>
        <v>United Kingdom</v>
      </c>
      <c r="E9547" s="135"/>
      <c r="F9547" s="31"/>
    </row>
    <row r="9548">
      <c r="A9548" s="134"/>
      <c r="B9548" s="134" t="str">
        <f>IFERROR(__xludf.DUMMYFUNCTION("""COMPUTED_VALUE"""),"AJF")</f>
        <v>AJF</v>
      </c>
      <c r="C9548" s="142"/>
      <c r="D9548" s="134" t="str">
        <f>IFERROR(__xludf.DUMMYFUNCTION("""COMPUTED_VALUE"""),"Saudi Arabia")</f>
        <v>Saudi Arabia</v>
      </c>
      <c r="E9548" s="135"/>
      <c r="F9548" s="31"/>
    </row>
    <row r="9549">
      <c r="A9549" s="134"/>
      <c r="B9549" s="134" t="str">
        <f>IFERROR(__xludf.DUMMYFUNCTION("""COMPUTED_VALUE"""),"RDU")</f>
        <v>RDU</v>
      </c>
      <c r="C9549" s="142"/>
      <c r="D9549" s="134" t="str">
        <f>IFERROR(__xludf.DUMMYFUNCTION("""COMPUTED_VALUE"""),"United States")</f>
        <v>United States</v>
      </c>
      <c r="E9549" s="135"/>
      <c r="F9549" s="31"/>
    </row>
    <row r="9550">
      <c r="A9550" s="134"/>
      <c r="B9550" s="134" t="str">
        <f>IFERROR(__xludf.DUMMYFUNCTION("""COMPUTED_VALUE"""),"LOP")</f>
        <v>LOP</v>
      </c>
      <c r="C9550" s="142"/>
      <c r="D9550" s="134" t="str">
        <f>IFERROR(__xludf.DUMMYFUNCTION("""COMPUTED_VALUE"""),"Indonesia")</f>
        <v>Indonesia</v>
      </c>
      <c r="E9550" s="135"/>
      <c r="F9550" s="31"/>
    </row>
    <row r="9551">
      <c r="A9551" s="134"/>
      <c r="B9551" s="134" t="str">
        <f>IFERROR(__xludf.DUMMYFUNCTION("""COMPUTED_VALUE"""),"DAD")</f>
        <v>DAD</v>
      </c>
      <c r="C9551" s="142"/>
      <c r="D9551" s="134" t="str">
        <f>IFERROR(__xludf.DUMMYFUNCTION("""COMPUTED_VALUE"""),"Vietnam")</f>
        <v>Vietnam</v>
      </c>
      <c r="E9551" s="135"/>
      <c r="F9551" s="31"/>
    </row>
    <row r="9552">
      <c r="A9552" s="134"/>
      <c r="B9552" s="134" t="str">
        <f>IFERROR(__xludf.DUMMYFUNCTION("""COMPUTED_VALUE"""),"PXO")</f>
        <v>PXO</v>
      </c>
      <c r="C9552" s="142"/>
      <c r="D9552" s="134" t="str">
        <f>IFERROR(__xludf.DUMMYFUNCTION("""COMPUTED_VALUE"""),"Portugal")</f>
        <v>Portugal</v>
      </c>
      <c r="E9552" s="135"/>
      <c r="F9552" s="31"/>
    </row>
    <row r="9553">
      <c r="A9553" s="134"/>
      <c r="B9553" s="134" t="str">
        <f>IFERROR(__xludf.DUMMYFUNCTION("""COMPUTED_VALUE"""),"OKA")</f>
        <v>OKA</v>
      </c>
      <c r="C9553" s="142"/>
      <c r="D9553" s="134" t="str">
        <f>IFERROR(__xludf.DUMMYFUNCTION("""COMPUTED_VALUE"""),"Japan")</f>
        <v>Japan</v>
      </c>
      <c r="E9553" s="135"/>
      <c r="F9553" s="31"/>
    </row>
    <row r="9554">
      <c r="A9554" s="134"/>
      <c r="B9554" s="134" t="str">
        <f>IFERROR(__xludf.DUMMYFUNCTION("""COMPUTED_VALUE"""),"PUJ")</f>
        <v>PUJ</v>
      </c>
      <c r="C9554" s="142"/>
      <c r="D9554" s="134" t="str">
        <f>IFERROR(__xludf.DUMMYFUNCTION("""COMPUTED_VALUE"""),"Dominican Republic")</f>
        <v>Dominican Republic</v>
      </c>
      <c r="E9554" s="135"/>
      <c r="F9554" s="31"/>
    </row>
    <row r="9555">
      <c r="A9555" s="134"/>
      <c r="B9555" s="134" t="str">
        <f>IFERROR(__xludf.DUMMYFUNCTION("""COMPUTED_VALUE"""),"CPT")</f>
        <v>CPT</v>
      </c>
      <c r="C9555" s="142"/>
      <c r="D9555" s="134" t="str">
        <f>IFERROR(__xludf.DUMMYFUNCTION("""COMPUTED_VALUE"""),"South Africa")</f>
        <v>South Africa</v>
      </c>
      <c r="E9555" s="135"/>
      <c r="F9555" s="31"/>
    </row>
    <row r="9556">
      <c r="A9556" s="134"/>
      <c r="B9556" s="134" t="str">
        <f>IFERROR(__xludf.DUMMYFUNCTION("""COMPUTED_VALUE"""),"IKA")</f>
        <v>IKA</v>
      </c>
      <c r="C9556" s="142"/>
      <c r="D9556" s="134" t="str">
        <f>IFERROR(__xludf.DUMMYFUNCTION("""COMPUTED_VALUE"""),"Iran")</f>
        <v>Iran</v>
      </c>
      <c r="E9556" s="135"/>
      <c r="F9556" s="31"/>
    </row>
    <row r="9557">
      <c r="A9557" s="134"/>
      <c r="B9557" s="134" t="str">
        <f>IFERROR(__xludf.DUMMYFUNCTION("""COMPUTED_VALUE"""),"BRS")</f>
        <v>BRS</v>
      </c>
      <c r="C9557" s="142"/>
      <c r="D9557" s="134" t="str">
        <f>IFERROR(__xludf.DUMMYFUNCTION("""COMPUTED_VALUE"""),"United Kingdom")</f>
        <v>United Kingdom</v>
      </c>
      <c r="E9557" s="135"/>
      <c r="F9557" s="31"/>
    </row>
    <row r="9558">
      <c r="A9558" s="134"/>
      <c r="B9558" s="134" t="str">
        <f>IFERROR(__xludf.DUMMYFUNCTION("""COMPUTED_VALUE"""),"ISB")</f>
        <v>ISB</v>
      </c>
      <c r="C9558" s="142"/>
      <c r="D9558" s="134" t="str">
        <f>IFERROR(__xludf.DUMMYFUNCTION("""COMPUTED_VALUE"""),"Pakistan")</f>
        <v>Pakistan</v>
      </c>
      <c r="E9558" s="135"/>
      <c r="F9558" s="31"/>
    </row>
    <row r="9559">
      <c r="A9559" s="134"/>
      <c r="B9559" s="134" t="str">
        <f>IFERROR(__xludf.DUMMYFUNCTION("""COMPUTED_VALUE"""),"PTY")</f>
        <v>PTY</v>
      </c>
      <c r="C9559" s="142"/>
      <c r="D9559" s="134" t="str">
        <f>IFERROR(__xludf.DUMMYFUNCTION("""COMPUTED_VALUE"""),"Panama")</f>
        <v>Panama</v>
      </c>
      <c r="E9559" s="135"/>
      <c r="F9559" s="31"/>
    </row>
    <row r="9560">
      <c r="A9560" s="134"/>
      <c r="B9560" s="134" t="str">
        <f>IFERROR(__xludf.DUMMYFUNCTION("""COMPUTED_VALUE"""),"BAY")</f>
        <v>BAY</v>
      </c>
      <c r="C9560" s="142"/>
      <c r="D9560" s="134" t="str">
        <f>IFERROR(__xludf.DUMMYFUNCTION("""COMPUTED_VALUE"""),"Romania")</f>
        <v>Romania</v>
      </c>
      <c r="E9560" s="135"/>
      <c r="F9560" s="31"/>
    </row>
    <row r="9561">
      <c r="A9561" s="134"/>
      <c r="B9561" s="134" t="str">
        <f>IFERROR(__xludf.DUMMYFUNCTION("""COMPUTED_VALUE"""),"LEJ")</f>
        <v>LEJ</v>
      </c>
      <c r="C9561" s="142"/>
      <c r="D9561" s="134" t="str">
        <f>IFERROR(__xludf.DUMMYFUNCTION("""COMPUTED_VALUE"""),"Germany")</f>
        <v>Germany</v>
      </c>
      <c r="E9561" s="135"/>
      <c r="F9561" s="31"/>
    </row>
    <row r="9562">
      <c r="A9562" s="134"/>
      <c r="B9562" s="134" t="str">
        <f>IFERROR(__xludf.DUMMYFUNCTION("""COMPUTED_VALUE"""),"ASE")</f>
        <v>ASE</v>
      </c>
      <c r="C9562" s="142"/>
      <c r="D9562" s="134" t="str">
        <f>IFERROR(__xludf.DUMMYFUNCTION("""COMPUTED_VALUE"""),"United States")</f>
        <v>United States</v>
      </c>
      <c r="E9562" s="135"/>
      <c r="F9562" s="31"/>
    </row>
    <row r="9563">
      <c r="A9563" s="134"/>
      <c r="B9563" s="134" t="str">
        <f>IFERROR(__xludf.DUMMYFUNCTION("""COMPUTED_VALUE"""),"VGO")</f>
        <v>VGO</v>
      </c>
      <c r="C9563" s="142"/>
      <c r="D9563" s="134" t="str">
        <f>IFERROR(__xludf.DUMMYFUNCTION("""COMPUTED_VALUE"""),"Spain")</f>
        <v>Spain</v>
      </c>
      <c r="E9563" s="135"/>
      <c r="F9563" s="31"/>
    </row>
    <row r="9564">
      <c r="A9564" s="134"/>
      <c r="B9564" s="134" t="str">
        <f>IFERROR(__xludf.DUMMYFUNCTION("""COMPUTED_VALUE"""),"TIJ")</f>
        <v>TIJ</v>
      </c>
      <c r="C9564" s="142"/>
      <c r="D9564" s="134" t="str">
        <f>IFERROR(__xludf.DUMMYFUNCTION("""COMPUTED_VALUE"""),"Mexico")</f>
        <v>Mexico</v>
      </c>
      <c r="E9564" s="135"/>
      <c r="F9564" s="31"/>
    </row>
    <row r="9565">
      <c r="A9565" s="134"/>
      <c r="B9565" s="134" t="str">
        <f>IFERROR(__xludf.DUMMYFUNCTION("""COMPUTED_VALUE"""),"CEB")</f>
        <v>CEB</v>
      </c>
      <c r="C9565" s="142"/>
      <c r="D9565" s="134" t="str">
        <f>IFERROR(__xludf.DUMMYFUNCTION("""COMPUTED_VALUE"""),"Philippines")</f>
        <v>Philippines</v>
      </c>
      <c r="E9565" s="135"/>
      <c r="F9565" s="31"/>
    </row>
    <row r="9566">
      <c r="A9566" s="134"/>
      <c r="B9566" s="134" t="str">
        <f>IFERROR(__xludf.DUMMYFUNCTION("""COMPUTED_VALUE"""),"BOO")</f>
        <v>BOO</v>
      </c>
      <c r="C9566" s="142"/>
      <c r="D9566" s="134" t="str">
        <f>IFERROR(__xludf.DUMMYFUNCTION("""COMPUTED_VALUE"""),"Norway")</f>
        <v>Norway</v>
      </c>
      <c r="E9566" s="135"/>
      <c r="F9566" s="31"/>
    </row>
    <row r="9567">
      <c r="A9567" s="134"/>
      <c r="B9567" s="134" t="str">
        <f>IFERROR(__xludf.DUMMYFUNCTION("""COMPUTED_VALUE"""),"TAL")</f>
        <v>TAL</v>
      </c>
      <c r="C9567" s="142"/>
      <c r="D9567" s="134" t="str">
        <f>IFERROR(__xludf.DUMMYFUNCTION("""COMPUTED_VALUE"""),"United States")</f>
        <v>United States</v>
      </c>
      <c r="E9567" s="135"/>
      <c r="F9567" s="31"/>
    </row>
    <row r="9568">
      <c r="A9568" s="134"/>
      <c r="B9568" s="134" t="str">
        <f>IFERROR(__xludf.DUMMYFUNCTION("""COMPUTED_VALUE"""),"LXS")</f>
        <v>LXS</v>
      </c>
      <c r="C9568" s="142"/>
      <c r="D9568" s="134" t="str">
        <f>IFERROR(__xludf.DUMMYFUNCTION("""COMPUTED_VALUE"""),"Greece")</f>
        <v>Greece</v>
      </c>
      <c r="E9568" s="135"/>
      <c r="F9568" s="31"/>
    </row>
    <row r="9569">
      <c r="A9569" s="134"/>
      <c r="B9569" s="134" t="str">
        <f>IFERROR(__xludf.DUMMYFUNCTION("""COMPUTED_VALUE"""),"JIJ")</f>
        <v>JIJ</v>
      </c>
      <c r="C9569" s="142"/>
      <c r="D9569" s="134" t="str">
        <f>IFERROR(__xludf.DUMMYFUNCTION("""COMPUTED_VALUE"""),"Ethiopia")</f>
        <v>Ethiopia</v>
      </c>
      <c r="E9569" s="135"/>
      <c r="F9569" s="31"/>
    </row>
    <row r="9570">
      <c r="A9570" s="134"/>
      <c r="B9570" s="134" t="str">
        <f>IFERROR(__xludf.DUMMYFUNCTION("""COMPUTED_VALUE"""),"XWW")</f>
        <v>XWW</v>
      </c>
      <c r="C9570" s="142"/>
      <c r="D9570" s="134" t="str">
        <f>IFERROR(__xludf.DUMMYFUNCTION("""COMPUTED_VALUE"""),"Austria")</f>
        <v>Austria</v>
      </c>
      <c r="E9570" s="135"/>
      <c r="F9570" s="31"/>
    </row>
    <row r="9571">
      <c r="A9571" s="134"/>
      <c r="B9571" s="134" t="str">
        <f>IFERROR(__xludf.DUMMYFUNCTION("""COMPUTED_VALUE"""),"VAL")</f>
        <v>VAL</v>
      </c>
      <c r="C9571" s="142"/>
      <c r="D9571" s="134" t="str">
        <f>IFERROR(__xludf.DUMMYFUNCTION("""COMPUTED_VALUE"""),"Brazil")</f>
        <v>Brazil</v>
      </c>
      <c r="E9571" s="135"/>
      <c r="F9571" s="31"/>
    </row>
    <row r="9572">
      <c r="A9572" s="134"/>
      <c r="B9572" s="134" t="str">
        <f>IFERROR(__xludf.DUMMYFUNCTION("""COMPUTED_VALUE"""),"BIQ")</f>
        <v>BIQ</v>
      </c>
      <c r="C9572" s="142"/>
      <c r="D9572" s="134" t="str">
        <f>IFERROR(__xludf.DUMMYFUNCTION("""COMPUTED_VALUE"""),"France")</f>
        <v>France</v>
      </c>
      <c r="E9572" s="135"/>
      <c r="F9572" s="31"/>
    </row>
    <row r="9573">
      <c r="A9573" s="134"/>
      <c r="B9573" s="134" t="str">
        <f>IFERROR(__xludf.DUMMYFUNCTION("""COMPUTED_VALUE"""),"PXM")</f>
        <v>PXM</v>
      </c>
      <c r="C9573" s="142"/>
      <c r="D9573" s="134" t="str">
        <f>IFERROR(__xludf.DUMMYFUNCTION("""COMPUTED_VALUE"""),"Mexico")</f>
        <v>Mexico</v>
      </c>
      <c r="E9573" s="135"/>
      <c r="F9573" s="31"/>
    </row>
    <row r="9574">
      <c r="A9574" s="134"/>
      <c r="B9574" s="134" t="str">
        <f>IFERROR(__xludf.DUMMYFUNCTION("""COMPUTED_VALUE"""),"SIN")</f>
        <v>SIN</v>
      </c>
      <c r="C9574" s="142"/>
      <c r="D9574" s="134" t="str">
        <f>IFERROR(__xludf.DUMMYFUNCTION("""COMPUTED_VALUE"""),"Singapore")</f>
        <v>Singapore</v>
      </c>
      <c r="E9574" s="135"/>
      <c r="F9574" s="31"/>
    </row>
    <row r="9575">
      <c r="A9575" s="134"/>
      <c r="B9575" s="134" t="str">
        <f>IFERROR(__xludf.DUMMYFUNCTION("""COMPUTED_VALUE"""),"VSA")</f>
        <v>VSA</v>
      </c>
      <c r="C9575" s="142"/>
      <c r="D9575" s="134" t="str">
        <f>IFERROR(__xludf.DUMMYFUNCTION("""COMPUTED_VALUE"""),"Mexico")</f>
        <v>Mexico</v>
      </c>
      <c r="E9575" s="135"/>
      <c r="F9575" s="31"/>
    </row>
    <row r="9576">
      <c r="A9576" s="134"/>
      <c r="B9576" s="134" t="str">
        <f>IFERROR(__xludf.DUMMYFUNCTION("""COMPUTED_VALUE"""),"TIV")</f>
        <v>TIV</v>
      </c>
      <c r="C9576" s="142"/>
      <c r="D9576" s="134" t="str">
        <f>IFERROR(__xludf.DUMMYFUNCTION("""COMPUTED_VALUE"""),"Montenegro")</f>
        <v>Montenegro</v>
      </c>
      <c r="E9576" s="135"/>
      <c r="F9576" s="31"/>
    </row>
    <row r="9577">
      <c r="A9577" s="134"/>
      <c r="B9577" s="134" t="str">
        <f>IFERROR(__xludf.DUMMYFUNCTION("""COMPUTED_VALUE"""),"VIL")</f>
        <v>VIL</v>
      </c>
      <c r="C9577" s="142"/>
      <c r="D9577" s="134" t="str">
        <f>IFERROR(__xludf.DUMMYFUNCTION("""COMPUTED_VALUE"""),"Western Sahara")</f>
        <v>Western Sahara</v>
      </c>
      <c r="E9577" s="135"/>
      <c r="F9577" s="31"/>
    </row>
    <row r="9578">
      <c r="A9578" s="134"/>
      <c r="B9578" s="134" t="str">
        <f>IFERROR(__xludf.DUMMYFUNCTION("""COMPUTED_VALUE"""),"ODB")</f>
        <v>ODB</v>
      </c>
      <c r="C9578" s="142"/>
      <c r="D9578" s="134" t="str">
        <f>IFERROR(__xludf.DUMMYFUNCTION("""COMPUTED_VALUE"""),"Spain")</f>
        <v>Spain</v>
      </c>
      <c r="E9578" s="135"/>
      <c r="F9578" s="31"/>
    </row>
    <row r="9579">
      <c r="A9579" s="134"/>
      <c r="B9579" s="134" t="str">
        <f>IFERROR(__xludf.DUMMYFUNCTION("""COMPUTED_VALUE"""),"DOM")</f>
        <v>DOM</v>
      </c>
      <c r="C9579" s="142"/>
      <c r="D9579" s="134" t="str">
        <f>IFERROR(__xludf.DUMMYFUNCTION("""COMPUTED_VALUE"""),"Dominica")</f>
        <v>Dominica</v>
      </c>
      <c r="E9579" s="135"/>
      <c r="F9579" s="31"/>
    </row>
    <row r="9580">
      <c r="A9580" s="134"/>
      <c r="B9580" s="134" t="str">
        <f>IFERROR(__xludf.DUMMYFUNCTION("""COMPUTED_VALUE"""),"ULN")</f>
        <v>ULN</v>
      </c>
      <c r="C9580" s="142"/>
      <c r="D9580" s="134" t="str">
        <f>IFERROR(__xludf.DUMMYFUNCTION("""COMPUTED_VALUE"""),"Mongolia")</f>
        <v>Mongolia</v>
      </c>
      <c r="E9580" s="135"/>
      <c r="F9580" s="31"/>
    </row>
    <row r="9581">
      <c r="A9581" s="134"/>
      <c r="B9581" s="134" t="str">
        <f>IFERROR(__xludf.DUMMYFUNCTION("""COMPUTED_VALUE"""),"GRX")</f>
        <v>GRX</v>
      </c>
      <c r="C9581" s="142"/>
      <c r="D9581" s="134" t="str">
        <f>IFERROR(__xludf.DUMMYFUNCTION("""COMPUTED_VALUE"""),"Spain")</f>
        <v>Spain</v>
      </c>
      <c r="E9581" s="135"/>
      <c r="F9581" s="31"/>
    </row>
    <row r="9582">
      <c r="A9582" s="134"/>
      <c r="B9582" s="134" t="str">
        <f>IFERROR(__xludf.DUMMYFUNCTION("""COMPUTED_VALUE"""),"LDY")</f>
        <v>LDY</v>
      </c>
      <c r="C9582" s="142"/>
      <c r="D9582" s="134" t="str">
        <f>IFERROR(__xludf.DUMMYFUNCTION("""COMPUTED_VALUE"""),"United Kingdom")</f>
        <v>United Kingdom</v>
      </c>
      <c r="E9582" s="135"/>
      <c r="F9582" s="31"/>
    </row>
    <row r="9583">
      <c r="A9583" s="134"/>
      <c r="B9583" s="134" t="str">
        <f>IFERROR(__xludf.DUMMYFUNCTION("""COMPUTED_VALUE"""),"AMD")</f>
        <v>AMD</v>
      </c>
      <c r="C9583" s="142"/>
      <c r="D9583" s="134" t="str">
        <f>IFERROR(__xludf.DUMMYFUNCTION("""COMPUTED_VALUE"""),"India")</f>
        <v>India</v>
      </c>
      <c r="E9583" s="135"/>
      <c r="F9583" s="31"/>
    </row>
    <row r="9584">
      <c r="A9584" s="134"/>
      <c r="B9584" s="134" t="str">
        <f>IFERROR(__xludf.DUMMYFUNCTION("""COMPUTED_VALUE"""),"SMF")</f>
        <v>SMF</v>
      </c>
      <c r="C9584" s="142"/>
      <c r="D9584" s="134" t="str">
        <f>IFERROR(__xludf.DUMMYFUNCTION("""COMPUTED_VALUE"""),"United States")</f>
        <v>United States</v>
      </c>
      <c r="E9584" s="135"/>
      <c r="F9584" s="31"/>
    </row>
    <row r="9585">
      <c r="A9585" s="134"/>
      <c r="B9585" s="134" t="str">
        <f>IFERROR(__xludf.DUMMYFUNCTION("""COMPUTED_VALUE"""),"SZF")</f>
        <v>SZF</v>
      </c>
      <c r="C9585" s="142"/>
      <c r="D9585" s="134" t="str">
        <f>IFERROR(__xludf.DUMMYFUNCTION("""COMPUTED_VALUE"""),"Turkey")</f>
        <v>Turkey</v>
      </c>
      <c r="E9585" s="135"/>
      <c r="F9585" s="31"/>
    </row>
    <row r="9586">
      <c r="A9586" s="134"/>
      <c r="B9586" s="134" t="str">
        <f>IFERROR(__xludf.DUMMYFUNCTION("""COMPUTED_VALUE"""),"LKO")</f>
        <v>LKO</v>
      </c>
      <c r="C9586" s="142"/>
      <c r="D9586" s="134" t="str">
        <f>IFERROR(__xludf.DUMMYFUNCTION("""COMPUTED_VALUE"""),"India")</f>
        <v>India</v>
      </c>
      <c r="E9586" s="135"/>
      <c r="F9586" s="31"/>
    </row>
    <row r="9587">
      <c r="A9587" s="134"/>
      <c r="B9587" s="134" t="str">
        <f>IFERROR(__xludf.DUMMYFUNCTION("""COMPUTED_VALUE"""),"NOS")</f>
        <v>NOS</v>
      </c>
      <c r="C9587" s="142"/>
      <c r="D9587" s="134" t="str">
        <f>IFERROR(__xludf.DUMMYFUNCTION("""COMPUTED_VALUE"""),"Madagascar")</f>
        <v>Madagascar</v>
      </c>
      <c r="E9587" s="135"/>
      <c r="F9587" s="31"/>
    </row>
    <row r="9588">
      <c r="A9588" s="134"/>
      <c r="B9588" s="134" t="str">
        <f>IFERROR(__xludf.DUMMYFUNCTION("""COMPUTED_VALUE"""),"ILY")</f>
        <v>ILY</v>
      </c>
      <c r="C9588" s="142"/>
      <c r="D9588" s="134" t="str">
        <f>IFERROR(__xludf.DUMMYFUNCTION("""COMPUTED_VALUE"""),"United Kingdom")</f>
        <v>United Kingdom</v>
      </c>
      <c r="E9588" s="135"/>
      <c r="F9588" s="31"/>
    </row>
    <row r="9589">
      <c r="A9589" s="134"/>
      <c r="B9589" s="134" t="str">
        <f>IFERROR(__xludf.DUMMYFUNCTION("""COMPUTED_VALUE"""),"LJU")</f>
        <v>LJU</v>
      </c>
      <c r="C9589" s="142"/>
      <c r="D9589" s="134" t="str">
        <f>IFERROR(__xludf.DUMMYFUNCTION("""COMPUTED_VALUE"""),"Slovenia")</f>
        <v>Slovenia</v>
      </c>
      <c r="E9589" s="135"/>
      <c r="F9589" s="31"/>
    </row>
    <row r="9590">
      <c r="A9590" s="134"/>
      <c r="B9590" s="134" t="str">
        <f>IFERROR(__xludf.DUMMYFUNCTION("""COMPUTED_VALUE"""),"TOJ")</f>
        <v>TOJ</v>
      </c>
      <c r="C9590" s="142"/>
      <c r="D9590" s="134" t="str">
        <f>IFERROR(__xludf.DUMMYFUNCTION("""COMPUTED_VALUE"""),"Spain")</f>
        <v>Spain</v>
      </c>
      <c r="E9590" s="135"/>
      <c r="F9590" s="31"/>
    </row>
    <row r="9591">
      <c r="A9591" s="134"/>
      <c r="B9591" s="134" t="str">
        <f>IFERROR(__xludf.DUMMYFUNCTION("""COMPUTED_VALUE"""),"NVT")</f>
        <v>NVT</v>
      </c>
      <c r="C9591" s="142"/>
      <c r="D9591" s="134" t="str">
        <f>IFERROR(__xludf.DUMMYFUNCTION("""COMPUTED_VALUE"""),"Brazil")</f>
        <v>Brazil</v>
      </c>
      <c r="E9591" s="135"/>
      <c r="F9591" s="31"/>
    </row>
    <row r="9592">
      <c r="A9592" s="134"/>
      <c r="B9592" s="134" t="str">
        <f>IFERROR(__xludf.DUMMYFUNCTION("""COMPUTED_VALUE"""),"MLH")</f>
        <v>MLH</v>
      </c>
      <c r="C9592" s="142"/>
      <c r="D9592" s="134" t="str">
        <f>IFERROR(__xludf.DUMMYFUNCTION("""COMPUTED_VALUE"""),"France")</f>
        <v>France</v>
      </c>
      <c r="E9592" s="135"/>
      <c r="F9592" s="31"/>
    </row>
    <row r="9593">
      <c r="A9593" s="134"/>
      <c r="B9593" s="134" t="str">
        <f>IFERROR(__xludf.DUMMYFUNCTION("""COMPUTED_VALUE"""),"AHB")</f>
        <v>AHB</v>
      </c>
      <c r="C9593" s="142"/>
      <c r="D9593" s="134" t="str">
        <f>IFERROR(__xludf.DUMMYFUNCTION("""COMPUTED_VALUE"""),"Saudi Arabia")</f>
        <v>Saudi Arabia</v>
      </c>
      <c r="E9593" s="135"/>
      <c r="F9593" s="31"/>
    </row>
    <row r="9594">
      <c r="A9594" s="134"/>
      <c r="B9594" s="134" t="str">
        <f>IFERROR(__xludf.DUMMYFUNCTION("""COMPUTED_VALUE"""),"OUL")</f>
        <v>OUL</v>
      </c>
      <c r="C9594" s="142"/>
      <c r="D9594" s="134" t="str">
        <f>IFERROR(__xludf.DUMMYFUNCTION("""COMPUTED_VALUE"""),"Finland")</f>
        <v>Finland</v>
      </c>
      <c r="E9594" s="135"/>
      <c r="F9594" s="31"/>
    </row>
    <row r="9595">
      <c r="A9595" s="134"/>
      <c r="B9595" s="134" t="str">
        <f>IFERROR(__xludf.DUMMYFUNCTION("""COMPUTED_VALUE"""),"TRV")</f>
        <v>TRV</v>
      </c>
      <c r="C9595" s="142"/>
      <c r="D9595" s="134" t="str">
        <f>IFERROR(__xludf.DUMMYFUNCTION("""COMPUTED_VALUE"""),"India")</f>
        <v>India</v>
      </c>
      <c r="E9595" s="135"/>
      <c r="F9595" s="31"/>
    </row>
    <row r="9596">
      <c r="A9596" s="134"/>
      <c r="B9596" s="134" t="str">
        <f>IFERROR(__xludf.DUMMYFUNCTION("""COMPUTED_VALUE"""),"PEN")</f>
        <v>PEN</v>
      </c>
      <c r="C9596" s="142"/>
      <c r="D9596" s="134" t="str">
        <f>IFERROR(__xludf.DUMMYFUNCTION("""COMPUTED_VALUE"""),"Malaysia")</f>
        <v>Malaysia</v>
      </c>
      <c r="E9596" s="135"/>
      <c r="F9596" s="31"/>
    </row>
    <row r="9597">
      <c r="A9597" s="134"/>
      <c r="B9597" s="134" t="str">
        <f>IFERROR(__xludf.DUMMYFUNCTION("""COMPUTED_VALUE"""),"MST")</f>
        <v>MST</v>
      </c>
      <c r="C9597" s="142"/>
      <c r="D9597" s="134" t="str">
        <f>IFERROR(__xludf.DUMMYFUNCTION("""COMPUTED_VALUE"""),"Netherlands")</f>
        <v>Netherlands</v>
      </c>
      <c r="E9597" s="135"/>
      <c r="F9597" s="31"/>
    </row>
    <row r="9598">
      <c r="A9598" s="134"/>
      <c r="B9598" s="134" t="str">
        <f>IFERROR(__xludf.DUMMYFUNCTION("""COMPUTED_VALUE"""),"PMW")</f>
        <v>PMW</v>
      </c>
      <c r="C9598" s="142"/>
      <c r="D9598" s="134" t="str">
        <f>IFERROR(__xludf.DUMMYFUNCTION("""COMPUTED_VALUE"""),"Brazil")</f>
        <v>Brazil</v>
      </c>
      <c r="E9598" s="135"/>
      <c r="F9598" s="31"/>
    </row>
    <row r="9599">
      <c r="A9599" s="134"/>
      <c r="B9599" s="134" t="str">
        <f>IFERROR(__xludf.DUMMYFUNCTION("""COMPUTED_VALUE"""),"CIY")</f>
        <v>CIY</v>
      </c>
      <c r="C9599" s="142"/>
      <c r="D9599" s="134" t="str">
        <f>IFERROR(__xludf.DUMMYFUNCTION("""COMPUTED_VALUE"""),"Italy")</f>
        <v>Italy</v>
      </c>
      <c r="E9599" s="135"/>
      <c r="F9599" s="31"/>
    </row>
    <row r="9600">
      <c r="A9600" s="134"/>
      <c r="B9600" s="134" t="str">
        <f>IFERROR(__xludf.DUMMYFUNCTION("""COMPUTED_VALUE"""),"MBJ")</f>
        <v>MBJ</v>
      </c>
      <c r="C9600" s="142"/>
      <c r="D9600" s="134" t="str">
        <f>IFERROR(__xludf.DUMMYFUNCTION("""COMPUTED_VALUE"""),"Jamaica")</f>
        <v>Jamaica</v>
      </c>
      <c r="E9600" s="135"/>
      <c r="F9600" s="31"/>
    </row>
    <row r="9601">
      <c r="A9601" s="134"/>
      <c r="B9601" s="134" t="str">
        <f>IFERROR(__xludf.DUMMYFUNCTION("""COMPUTED_VALUE"""),"CTS")</f>
        <v>CTS</v>
      </c>
      <c r="C9601" s="142"/>
      <c r="D9601" s="134" t="str">
        <f>IFERROR(__xludf.DUMMYFUNCTION("""COMPUTED_VALUE"""),"Japan")</f>
        <v>Japan</v>
      </c>
      <c r="E9601" s="135"/>
      <c r="F9601" s="31"/>
    </row>
    <row r="9602">
      <c r="A9602" s="134"/>
      <c r="B9602" s="134" t="str">
        <f>IFERROR(__xludf.DUMMYFUNCTION("""COMPUTED_VALUE"""),"MID")</f>
        <v>MID</v>
      </c>
      <c r="C9602" s="142"/>
      <c r="D9602" s="134" t="str">
        <f>IFERROR(__xludf.DUMMYFUNCTION("""COMPUTED_VALUE"""),"Mexico")</f>
        <v>Mexico</v>
      </c>
      <c r="E9602" s="135"/>
      <c r="F9602" s="31"/>
    </row>
    <row r="9603">
      <c r="A9603" s="134"/>
      <c r="B9603" s="134" t="str">
        <f>IFERROR(__xludf.DUMMYFUNCTION("""COMPUTED_VALUE"""),"TRS")</f>
        <v>TRS</v>
      </c>
      <c r="C9603" s="142"/>
      <c r="D9603" s="134" t="str">
        <f>IFERROR(__xludf.DUMMYFUNCTION("""COMPUTED_VALUE"""),"Italy")</f>
        <v>Italy</v>
      </c>
      <c r="E9603" s="135"/>
      <c r="F9603" s="31"/>
    </row>
    <row r="9604">
      <c r="A9604" s="134"/>
      <c r="B9604" s="134" t="str">
        <f>IFERROR(__xludf.DUMMYFUNCTION("""COMPUTED_VALUE"""),"DKR")</f>
        <v>DKR</v>
      </c>
      <c r="C9604" s="142"/>
      <c r="D9604" s="134" t="str">
        <f>IFERROR(__xludf.DUMMYFUNCTION("""COMPUTED_VALUE"""),"Senegal")</f>
        <v>Senegal</v>
      </c>
      <c r="E9604" s="135"/>
      <c r="F9604" s="31"/>
    </row>
    <row r="9605">
      <c r="A9605" s="134"/>
      <c r="B9605" s="134" t="str">
        <f>IFERROR(__xludf.DUMMYFUNCTION("""COMPUTED_VALUE"""),"WIL")</f>
        <v>WIL</v>
      </c>
      <c r="C9605" s="142"/>
      <c r="D9605" s="134" t="str">
        <f>IFERROR(__xludf.DUMMYFUNCTION("""COMPUTED_VALUE"""),"Kenya")</f>
        <v>Kenya</v>
      </c>
      <c r="E9605" s="135"/>
      <c r="F9605" s="31"/>
    </row>
    <row r="9606">
      <c r="A9606" s="134"/>
      <c r="B9606" s="134" t="str">
        <f>IFERROR(__xludf.DUMMYFUNCTION("""COMPUTED_VALUE"""),"BEN")</f>
        <v>BEN</v>
      </c>
      <c r="C9606" s="142"/>
      <c r="D9606" s="134" t="str">
        <f>IFERROR(__xludf.DUMMYFUNCTION("""COMPUTED_VALUE"""),"Libya")</f>
        <v>Libya</v>
      </c>
      <c r="E9606" s="135"/>
      <c r="F9606" s="31"/>
    </row>
    <row r="9607">
      <c r="A9607" s="134"/>
      <c r="B9607" s="134" t="str">
        <f>IFERROR(__xludf.DUMMYFUNCTION("""COMPUTED_VALUE"""),"MED")</f>
        <v>MED</v>
      </c>
      <c r="C9607" s="142"/>
      <c r="D9607" s="134" t="str">
        <f>IFERROR(__xludf.DUMMYFUNCTION("""COMPUTED_VALUE"""),"Saudi Arabia")</f>
        <v>Saudi Arabia</v>
      </c>
      <c r="E9607" s="135"/>
      <c r="F9607" s="31"/>
    </row>
    <row r="9608">
      <c r="A9608" s="134"/>
      <c r="B9608" s="134" t="str">
        <f>IFERROR(__xludf.DUMMYFUNCTION("""COMPUTED_VALUE"""),"YIW")</f>
        <v>YIW</v>
      </c>
      <c r="C9608" s="142"/>
      <c r="D9608" s="134" t="str">
        <f>IFERROR(__xludf.DUMMYFUNCTION("""COMPUTED_VALUE"""),"China")</f>
        <v>China</v>
      </c>
      <c r="E9608" s="135"/>
      <c r="F9608" s="31"/>
    </row>
    <row r="9609">
      <c r="A9609" s="134"/>
      <c r="B9609" s="134" t="str">
        <f>IFERROR(__xludf.DUMMYFUNCTION("""COMPUTED_VALUE"""),"ALJ")</f>
        <v>ALJ</v>
      </c>
      <c r="C9609" s="142"/>
      <c r="D9609" s="134" t="str">
        <f>IFERROR(__xludf.DUMMYFUNCTION("""COMPUTED_VALUE"""),"South Africa")</f>
        <v>South Africa</v>
      </c>
      <c r="E9609" s="135"/>
      <c r="F9609" s="31"/>
    </row>
    <row r="9610">
      <c r="A9610" s="134"/>
      <c r="B9610" s="134" t="str">
        <f>IFERROR(__xludf.DUMMYFUNCTION("""COMPUTED_VALUE"""),"MPM")</f>
        <v>MPM</v>
      </c>
      <c r="C9610" s="142"/>
      <c r="D9610" s="134" t="str">
        <f>IFERROR(__xludf.DUMMYFUNCTION("""COMPUTED_VALUE"""),"Mozambique")</f>
        <v>Mozambique</v>
      </c>
      <c r="E9610" s="135"/>
      <c r="F9610" s="31"/>
    </row>
    <row r="9611">
      <c r="A9611" s="134"/>
      <c r="B9611" s="134" t="str">
        <f>IFERROR(__xludf.DUMMYFUNCTION("""COMPUTED_VALUE"""),"WAR")</f>
        <v>WAR</v>
      </c>
      <c r="C9611" s="142"/>
      <c r="D9611" s="134" t="str">
        <f>IFERROR(__xludf.DUMMYFUNCTION("""COMPUTED_VALUE"""),"Indonesia")</f>
        <v>Indonesia</v>
      </c>
      <c r="E9611" s="135"/>
      <c r="F9611" s="31"/>
    </row>
    <row r="9612">
      <c r="A9612" s="134"/>
      <c r="B9612" s="134" t="str">
        <f>IFERROR(__xludf.DUMMYFUNCTION("""COMPUTED_VALUE"""),"TLL")</f>
        <v>TLL</v>
      </c>
      <c r="C9612" s="142"/>
      <c r="D9612" s="134" t="str">
        <f>IFERROR(__xludf.DUMMYFUNCTION("""COMPUTED_VALUE"""),"Estonia")</f>
        <v>Estonia</v>
      </c>
      <c r="E9612" s="135"/>
      <c r="F9612" s="31"/>
    </row>
    <row r="9613">
      <c r="A9613" s="134"/>
      <c r="B9613" s="134" t="str">
        <f>IFERROR(__xludf.DUMMYFUNCTION("""COMPUTED_VALUE"""),"NUR")</f>
        <v>NUR</v>
      </c>
      <c r="C9613" s="142"/>
      <c r="D9613" s="134" t="str">
        <f>IFERROR(__xludf.DUMMYFUNCTION("""COMPUTED_VALUE"""),"Germany")</f>
        <v>Germany</v>
      </c>
      <c r="E9613" s="135"/>
      <c r="F9613" s="31"/>
    </row>
    <row r="9614">
      <c r="A9614" s="134"/>
      <c r="B9614" s="134" t="str">
        <f>IFERROR(__xludf.DUMMYFUNCTION("""COMPUTED_VALUE"""),"FKB")</f>
        <v>FKB</v>
      </c>
      <c r="C9614" s="142"/>
      <c r="D9614" s="134" t="str">
        <f>IFERROR(__xludf.DUMMYFUNCTION("""COMPUTED_VALUE"""),"Germany")</f>
        <v>Germany</v>
      </c>
      <c r="E9614" s="135"/>
      <c r="F9614" s="31"/>
    </row>
    <row r="9615">
      <c r="A9615" s="134"/>
      <c r="B9615" s="134" t="str">
        <f>IFERROR(__xludf.DUMMYFUNCTION("""COMPUTED_VALUE"""),"TIR")</f>
        <v>TIR</v>
      </c>
      <c r="C9615" s="142"/>
      <c r="D9615" s="134" t="str">
        <f>IFERROR(__xludf.DUMMYFUNCTION("""COMPUTED_VALUE"""),"India")</f>
        <v>India</v>
      </c>
      <c r="E9615" s="135"/>
      <c r="F9615" s="31"/>
    </row>
    <row r="9616">
      <c r="A9616" s="134"/>
      <c r="B9616" s="134" t="str">
        <f>IFERROR(__xludf.DUMMYFUNCTION("""COMPUTED_VALUE"""),"ESB")</f>
        <v>ESB</v>
      </c>
      <c r="C9616" s="142"/>
      <c r="D9616" s="134" t="str">
        <f>IFERROR(__xludf.DUMMYFUNCTION("""COMPUTED_VALUE"""),"Turkey")</f>
        <v>Turkey</v>
      </c>
      <c r="E9616" s="135"/>
      <c r="F9616" s="31"/>
    </row>
    <row r="9617">
      <c r="A9617" s="134"/>
      <c r="B9617" s="134" t="str">
        <f>IFERROR(__xludf.DUMMYFUNCTION("""COMPUTED_VALUE"""),"KBL")</f>
        <v>KBL</v>
      </c>
      <c r="C9617" s="142"/>
      <c r="D9617" s="134" t="str">
        <f>IFERROR(__xludf.DUMMYFUNCTION("""COMPUTED_VALUE"""),"Afghanistan")</f>
        <v>Afghanistan</v>
      </c>
      <c r="E9617" s="135"/>
      <c r="F9617" s="31"/>
    </row>
    <row r="9618">
      <c r="A9618" s="134"/>
      <c r="B9618" s="134" t="str">
        <f>IFERROR(__xludf.DUMMYFUNCTION("""COMPUTED_VALUE"""),"SIG")</f>
        <v>SIG</v>
      </c>
      <c r="C9618" s="142"/>
      <c r="D9618" s="134" t="str">
        <f>IFERROR(__xludf.DUMMYFUNCTION("""COMPUTED_VALUE"""),"Puerto Rico")</f>
        <v>Puerto Rico</v>
      </c>
      <c r="E9618" s="135"/>
      <c r="F9618" s="31"/>
    </row>
    <row r="9619">
      <c r="A9619" s="134"/>
      <c r="B9619" s="134" t="str">
        <f>IFERROR(__xludf.DUMMYFUNCTION("""COMPUTED_VALUE"""),"FXE")</f>
        <v>FXE</v>
      </c>
      <c r="C9619" s="142"/>
      <c r="D9619" s="134" t="str">
        <f>IFERROR(__xludf.DUMMYFUNCTION("""COMPUTED_VALUE"""),"United States")</f>
        <v>United States</v>
      </c>
      <c r="E9619" s="135"/>
      <c r="F9619" s="31"/>
    </row>
    <row r="9620">
      <c r="A9620" s="134"/>
      <c r="B9620" s="134" t="str">
        <f>IFERROR(__xludf.DUMMYFUNCTION("""COMPUTED_VALUE"""),"RNS")</f>
        <v>RNS</v>
      </c>
      <c r="C9620" s="142"/>
      <c r="D9620" s="134" t="str">
        <f>IFERROR(__xludf.DUMMYFUNCTION("""COMPUTED_VALUE"""),"France")</f>
        <v>France</v>
      </c>
      <c r="E9620" s="135"/>
      <c r="F9620" s="31"/>
    </row>
    <row r="9621">
      <c r="A9621" s="134"/>
      <c r="B9621" s="134" t="str">
        <f>IFERROR(__xludf.DUMMYFUNCTION("""COMPUTED_VALUE"""),"RTB")</f>
        <v>RTB</v>
      </c>
      <c r="C9621" s="142"/>
      <c r="D9621" s="134" t="str">
        <f>IFERROR(__xludf.DUMMYFUNCTION("""COMPUTED_VALUE"""),"Honduras")</f>
        <v>Honduras</v>
      </c>
      <c r="E9621" s="135"/>
      <c r="F9621" s="31"/>
    </row>
    <row r="9622">
      <c r="A9622" s="134"/>
      <c r="B9622" s="134" t="str">
        <f>IFERROR(__xludf.DUMMYFUNCTION("""COMPUTED_VALUE"""),"ASR")</f>
        <v>ASR</v>
      </c>
      <c r="C9622" s="142"/>
      <c r="D9622" s="134" t="str">
        <f>IFERROR(__xludf.DUMMYFUNCTION("""COMPUTED_VALUE"""),"Turkey")</f>
        <v>Turkey</v>
      </c>
      <c r="E9622" s="135"/>
      <c r="F9622" s="31"/>
    </row>
    <row r="9623">
      <c r="A9623" s="134"/>
      <c r="B9623" s="134" t="str">
        <f>IFERROR(__xludf.DUMMYFUNCTION("""COMPUTED_VALUE"""),"HFA")</f>
        <v>HFA</v>
      </c>
      <c r="C9623" s="142"/>
      <c r="D9623" s="134" t="str">
        <f>IFERROR(__xludf.DUMMYFUNCTION("""COMPUTED_VALUE"""),"Israel")</f>
        <v>Israel</v>
      </c>
      <c r="E9623" s="135"/>
      <c r="F9623" s="31"/>
    </row>
    <row r="9624">
      <c r="A9624" s="134"/>
      <c r="B9624" s="134" t="str">
        <f>IFERROR(__xludf.DUMMYFUNCTION("""COMPUTED_VALUE"""),"SHA")</f>
        <v>SHA</v>
      </c>
      <c r="C9624" s="142"/>
      <c r="D9624" s="134" t="str">
        <f>IFERROR(__xludf.DUMMYFUNCTION("""COMPUTED_VALUE"""),"China")</f>
        <v>China</v>
      </c>
      <c r="E9624" s="135"/>
      <c r="F9624" s="31"/>
    </row>
    <row r="9625">
      <c r="A9625" s="134"/>
      <c r="B9625" s="134" t="str">
        <f>IFERROR(__xludf.DUMMYFUNCTION("""COMPUTED_VALUE"""),"AQJ")</f>
        <v>AQJ</v>
      </c>
      <c r="C9625" s="142"/>
      <c r="D9625" s="134" t="str">
        <f>IFERROR(__xludf.DUMMYFUNCTION("""COMPUTED_VALUE"""),"Jordan")</f>
        <v>Jordan</v>
      </c>
      <c r="E9625" s="135"/>
      <c r="F9625" s="31"/>
    </row>
    <row r="9626">
      <c r="A9626" s="134"/>
      <c r="B9626" s="134" t="str">
        <f>IFERROR(__xludf.DUMMYFUNCTION("""COMPUTED_VALUE"""),"AUA")</f>
        <v>AUA</v>
      </c>
      <c r="C9626" s="142"/>
      <c r="D9626" s="134" t="str">
        <f>IFERROR(__xludf.DUMMYFUNCTION("""COMPUTED_VALUE"""),"Aruba")</f>
        <v>Aruba</v>
      </c>
      <c r="E9626" s="135"/>
      <c r="F9626" s="31"/>
    </row>
    <row r="9627">
      <c r="A9627" s="134"/>
      <c r="B9627" s="134" t="str">
        <f>IFERROR(__xludf.DUMMYFUNCTION("""COMPUTED_VALUE"""),"RSW")</f>
        <v>RSW</v>
      </c>
      <c r="C9627" s="142"/>
      <c r="D9627" s="134" t="str">
        <f>IFERROR(__xludf.DUMMYFUNCTION("""COMPUTED_VALUE"""),"United States")</f>
        <v>United States</v>
      </c>
      <c r="E9627" s="135"/>
      <c r="F9627" s="31"/>
    </row>
    <row r="9628">
      <c r="A9628" s="134"/>
      <c r="B9628" s="134" t="str">
        <f>IFERROR(__xludf.DUMMYFUNCTION("""COMPUTED_VALUE"""),"RMO")</f>
        <v>RMO</v>
      </c>
      <c r="C9628" s="142"/>
      <c r="D9628" s="134" t="str">
        <f>IFERROR(__xludf.DUMMYFUNCTION("""COMPUTED_VALUE"""),"Moldova")</f>
        <v>Moldova</v>
      </c>
      <c r="E9628" s="135"/>
      <c r="F9628" s="31"/>
    </row>
    <row r="9629">
      <c r="A9629" s="134"/>
      <c r="B9629" s="134" t="str">
        <f>IFERROR(__xludf.DUMMYFUNCTION("""COMPUTED_VALUE"""),"LGW")</f>
        <v>LGW</v>
      </c>
      <c r="C9629" s="142"/>
      <c r="D9629" s="134" t="str">
        <f>IFERROR(__xludf.DUMMYFUNCTION("""COMPUTED_VALUE"""),"United Kingdom")</f>
        <v>United Kingdom</v>
      </c>
      <c r="E9629" s="135"/>
      <c r="F9629" s="31"/>
    </row>
    <row r="9630">
      <c r="A9630" s="134"/>
      <c r="B9630" s="134" t="str">
        <f>IFERROR(__xludf.DUMMYFUNCTION("""COMPUTED_VALUE"""),"SSH")</f>
        <v>SSH</v>
      </c>
      <c r="C9630" s="142"/>
      <c r="D9630" s="134" t="str">
        <f>IFERROR(__xludf.DUMMYFUNCTION("""COMPUTED_VALUE"""),"Egypt")</f>
        <v>Egypt</v>
      </c>
      <c r="E9630" s="135"/>
      <c r="F9630" s="31"/>
    </row>
    <row r="9631">
      <c r="A9631" s="134"/>
      <c r="B9631" s="134" t="str">
        <f>IFERROR(__xludf.DUMMYFUNCTION("""COMPUTED_VALUE"""),"VLC")</f>
        <v>VLC</v>
      </c>
      <c r="C9631" s="142"/>
      <c r="D9631" s="134" t="str">
        <f>IFERROR(__xludf.DUMMYFUNCTION("""COMPUTED_VALUE"""),"Spain")</f>
        <v>Spain</v>
      </c>
      <c r="E9631" s="135"/>
      <c r="F9631" s="31"/>
    </row>
    <row r="9632">
      <c r="A9632" s="134"/>
      <c r="B9632" s="134" t="str">
        <f>IFERROR(__xludf.DUMMYFUNCTION("""COMPUTED_VALUE"""),"CLJ")</f>
        <v>CLJ</v>
      </c>
      <c r="C9632" s="142"/>
      <c r="D9632" s="134" t="str">
        <f>IFERROR(__xludf.DUMMYFUNCTION("""COMPUTED_VALUE"""),"Romania")</f>
        <v>Romania</v>
      </c>
      <c r="E9632" s="135"/>
      <c r="F9632" s="31"/>
    </row>
    <row r="9633">
      <c r="A9633" s="134"/>
      <c r="B9633" s="134" t="str">
        <f>IFERROR(__xludf.DUMMYFUNCTION("""COMPUTED_VALUE"""),"NTE")</f>
        <v>NTE</v>
      </c>
      <c r="C9633" s="142"/>
      <c r="D9633" s="134" t="str">
        <f>IFERROR(__xludf.DUMMYFUNCTION("""COMPUTED_VALUE"""),"France")</f>
        <v>France</v>
      </c>
      <c r="E9633" s="135"/>
      <c r="F9633" s="31"/>
    </row>
    <row r="9634">
      <c r="A9634" s="134"/>
      <c r="B9634" s="134" t="str">
        <f>IFERROR(__xludf.DUMMYFUNCTION("""COMPUTED_VALUE"""),"IAS")</f>
        <v>IAS</v>
      </c>
      <c r="C9634" s="142"/>
      <c r="D9634" s="134" t="str">
        <f>IFERROR(__xludf.DUMMYFUNCTION("""COMPUTED_VALUE"""),"Romania")</f>
        <v>Romania</v>
      </c>
      <c r="E9634" s="135"/>
      <c r="F9634" s="31"/>
    </row>
    <row r="9635">
      <c r="A9635" s="134"/>
      <c r="B9635" s="134" t="str">
        <f>IFERROR(__xludf.DUMMYFUNCTION("""COMPUTED_VALUE"""),"VCE")</f>
        <v>VCE</v>
      </c>
      <c r="C9635" s="142"/>
      <c r="D9635" s="134" t="str">
        <f>IFERROR(__xludf.DUMMYFUNCTION("""COMPUTED_VALUE"""),"italy")</f>
        <v>italy</v>
      </c>
      <c r="E9635" s="135"/>
      <c r="F9635" s="31"/>
    </row>
    <row r="9636">
      <c r="A9636" s="134" t="str">
        <f>IFERROR(__xludf.DUMMYFUNCTION("""COMPUTED_VALUE"""),"Istanbu")</f>
        <v>Istanbu</v>
      </c>
      <c r="B9636" s="134" t="str">
        <f>IFERROR(__xludf.DUMMYFUNCTION("""COMPUTED_VALUE"""),"ISL")</f>
        <v>ISL</v>
      </c>
      <c r="C9636" s="142" t="str">
        <f>IFERROR(__xludf.DUMMYFUNCTION("""COMPUTED_VALUE"""),"Istanbul Ataturk Airport")</f>
        <v>Istanbul Ataturk Airport</v>
      </c>
      <c r="D9636" s="134" t="str">
        <f>IFERROR(__xludf.DUMMYFUNCTION("""COMPUTED_VALUE"""),"Turkey")</f>
        <v>Turkey</v>
      </c>
      <c r="E9636" s="135"/>
      <c r="F9636" s="31"/>
    </row>
    <row r="9637">
      <c r="A9637" s="134"/>
      <c r="B9637" s="134" t="str">
        <f>IFERROR(__xludf.DUMMYFUNCTION("""COMPUTED_VALUE"""),"DSS")</f>
        <v>DSS</v>
      </c>
      <c r="C9637" s="142"/>
      <c r="D9637" s="134" t="str">
        <f>IFERROR(__xludf.DUMMYFUNCTION("""COMPUTED_VALUE"""),"Senegal")</f>
        <v>Senegal</v>
      </c>
      <c r="E9637" s="135"/>
      <c r="F9637" s="31"/>
    </row>
    <row r="9638">
      <c r="A9638" s="134"/>
      <c r="B9638" s="134" t="str">
        <f>IFERROR(__xludf.DUMMYFUNCTION("""COMPUTED_VALUE"""),"ISU")</f>
        <v>ISU</v>
      </c>
      <c r="C9638" s="142"/>
      <c r="D9638" s="134" t="str">
        <f>IFERROR(__xludf.DUMMYFUNCTION("""COMPUTED_VALUE"""),"Iraq")</f>
        <v>Iraq</v>
      </c>
      <c r="E9638" s="135"/>
      <c r="F9638" s="31"/>
    </row>
    <row r="9639">
      <c r="A9639" s="134"/>
      <c r="B9639" s="134" t="str">
        <f>IFERROR(__xludf.DUMMYFUNCTION("""COMPUTED_VALUE"""),"CDT ")</f>
        <v>CDT </v>
      </c>
      <c r="C9639" s="142"/>
      <c r="D9639" s="134" t="str">
        <f>IFERROR(__xludf.DUMMYFUNCTION("""COMPUTED_VALUE"""),"Spain")</f>
        <v>Spain</v>
      </c>
      <c r="E9639" s="135"/>
      <c r="F9639" s="31"/>
    </row>
    <row r="9640">
      <c r="A9640" s="134"/>
      <c r="B9640" s="134" t="str">
        <f>IFERROR(__xludf.DUMMYFUNCTION("""COMPUTED_VALUE"""),"TNR")</f>
        <v>TNR</v>
      </c>
      <c r="C9640" s="142"/>
      <c r="D9640" s="134" t="str">
        <f>IFERROR(__xludf.DUMMYFUNCTION("""COMPUTED_VALUE"""),"Madagascar")</f>
        <v>Madagascar</v>
      </c>
      <c r="E9640" s="135"/>
      <c r="F9640" s="31"/>
    </row>
    <row r="9641">
      <c r="A9641" s="134"/>
      <c r="B9641" s="134" t="str">
        <f>IFERROR(__xludf.DUMMYFUNCTION("""COMPUTED_VALUE"""),"TSE")</f>
        <v>TSE</v>
      </c>
      <c r="C9641" s="142"/>
      <c r="D9641" s="134" t="str">
        <f>IFERROR(__xludf.DUMMYFUNCTION("""COMPUTED_VALUE"""),"Kazakhstan")</f>
        <v>Kazakhstan</v>
      </c>
      <c r="E9641" s="135"/>
      <c r="F9641" s="31"/>
    </row>
    <row r="9642">
      <c r="A9642" s="134"/>
      <c r="B9642" s="134" t="str">
        <f>IFERROR(__xludf.DUMMYFUNCTION("""COMPUTED_VALUE"""),"TXB")</f>
        <v>TXB</v>
      </c>
      <c r="C9642" s="120"/>
      <c r="D9642" s="134" t="str">
        <f>IFERROR(__xludf.DUMMYFUNCTION("""COMPUTED_VALUE"""),"Italy")</f>
        <v>Italy</v>
      </c>
      <c r="E9642" s="135"/>
      <c r="F9642" s="31"/>
    </row>
    <row r="9643">
      <c r="A9643" s="134"/>
      <c r="B9643" s="143" t="str">
        <f>IFERROR(__xludf.DUMMYFUNCTION("""COMPUTED_VALUE"""),"XOC")</f>
        <v>XOC</v>
      </c>
      <c r="C9643" s="120"/>
      <c r="D9643" s="120" t="str">
        <f>IFERROR(__xludf.DUMMYFUNCTION("""COMPUTED_VALUE"""),"Spain")</f>
        <v>Spain</v>
      </c>
      <c r="E9643" s="135"/>
      <c r="F9643" s="31"/>
    </row>
    <row r="9644">
      <c r="A9644" s="134"/>
      <c r="B9644" s="143" t="str">
        <f>IFERROR(__xludf.DUMMYFUNCTION("""COMPUTED_VALUE"""),"XSH")</f>
        <v>XSH</v>
      </c>
      <c r="C9644" s="120"/>
      <c r="D9644" s="120" t="str">
        <f>IFERROR(__xludf.DUMMYFUNCTION("""COMPUTED_VALUE"""),"France")</f>
        <v>France</v>
      </c>
      <c r="E9644" s="135"/>
      <c r="F9644" s="31"/>
    </row>
    <row r="9645">
      <c r="A9645" s="134"/>
      <c r="B9645" s="143" t="str">
        <f>IFERROR(__xludf.DUMMYFUNCTION("""COMPUTED_VALUE"""),"YEK")</f>
        <v>YEK</v>
      </c>
      <c r="C9645" s="120"/>
      <c r="D9645" s="120" t="str">
        <f>IFERROR(__xludf.DUMMYFUNCTION("""COMPUTED_VALUE"""),"Canada")</f>
        <v>Canada</v>
      </c>
      <c r="E9645" s="135"/>
      <c r="F9645" s="31"/>
    </row>
    <row r="9646">
      <c r="A9646" s="134"/>
      <c r="B9646" s="134" t="str">
        <f>IFERROR(__xludf.DUMMYFUNCTION("""COMPUTED_VALUE"""),"YJB")</f>
        <v>YJB</v>
      </c>
      <c r="C9646" s="120"/>
      <c r="D9646" s="120" t="str">
        <f>IFERROR(__xludf.DUMMYFUNCTION("""COMPUTED_VALUE"""),"Spain")</f>
        <v>Spain</v>
      </c>
      <c r="E9646" s="135"/>
      <c r="F9646" s="31"/>
    </row>
    <row r="9647">
      <c r="A9647" s="134"/>
      <c r="B9647" s="143" t="str">
        <f>IFERROR(__xludf.DUMMYFUNCTION("""COMPUTED_VALUE"""),"YJE")</f>
        <v>YJE</v>
      </c>
      <c r="C9647" s="120"/>
      <c r="D9647" s="120" t="str">
        <f>IFERROR(__xludf.DUMMYFUNCTION("""COMPUTED_VALUE"""),"Spain")</f>
        <v>Spain</v>
      </c>
      <c r="E9647" s="135"/>
      <c r="F9647" s="31"/>
    </row>
    <row r="9648">
      <c r="A9648" s="134"/>
      <c r="B9648" s="120" t="str">
        <f>IFERROR(__xludf.DUMMYFUNCTION("""COMPUTED_VALUE"""),"ZCC")</f>
        <v>ZCC</v>
      </c>
      <c r="C9648" s="120"/>
      <c r="D9648" s="120" t="str">
        <f>IFERROR(__xludf.DUMMYFUNCTION("""COMPUTED_VALUE"""),"Germany")</f>
        <v>Germany</v>
      </c>
      <c r="E9648" s="135"/>
      <c r="F9648" s="31"/>
    </row>
    <row r="9649">
      <c r="A9649" s="134"/>
      <c r="B9649" s="143" t="str">
        <f>IFERROR(__xludf.DUMMYFUNCTION("""COMPUTED_VALUE"""),"ZHR")</f>
        <v>ZHR</v>
      </c>
      <c r="C9649" s="120"/>
      <c r="D9649" s="120" t="str">
        <f>IFERROR(__xludf.DUMMYFUNCTION("""COMPUTED_VALUE"""),"Switzerland")</f>
        <v>Switzerland</v>
      </c>
      <c r="E9649" s="135"/>
      <c r="F9649" s="31"/>
    </row>
    <row r="9650">
      <c r="A9650" s="134"/>
      <c r="B9650" s="143" t="str">
        <f>IFERROR(__xludf.DUMMYFUNCTION("""COMPUTED_VALUE"""),"ZHT")</f>
        <v>ZHT</v>
      </c>
      <c r="C9650" s="120"/>
      <c r="D9650" s="120" t="str">
        <f>IFERROR(__xludf.DUMMYFUNCTION("""COMPUTED_VALUE"""),"Switzerland")</f>
        <v>Switzerland</v>
      </c>
      <c r="E9650" s="135"/>
      <c r="F9650" s="31"/>
    </row>
    <row r="9651">
      <c r="A9651" s="134"/>
      <c r="B9651" s="120" t="str">
        <f>IFERROR(__xludf.DUMMYFUNCTION("""COMPUTED_VALUE"""),"ZMU")</f>
        <v>ZMU</v>
      </c>
      <c r="C9651" s="120"/>
      <c r="D9651" s="120" t="str">
        <f>IFERROR(__xludf.DUMMYFUNCTION("""COMPUTED_VALUE"""),"Germany")</f>
        <v>Germany</v>
      </c>
      <c r="E9651" s="135"/>
      <c r="F9651" s="30"/>
    </row>
    <row r="9652">
      <c r="A9652" s="134"/>
      <c r="B9652" s="120" t="str">
        <f>IFERROR(__xludf.DUMMYFUNCTION("""COMPUTED_VALUE"""),"ZWS")</f>
        <v>ZWS</v>
      </c>
      <c r="C9652" s="120"/>
      <c r="D9652" s="120" t="str">
        <f>IFERROR(__xludf.DUMMYFUNCTION("""COMPUTED_VALUE"""),"Germany")</f>
        <v>Germany</v>
      </c>
      <c r="E9652" s="135"/>
      <c r="F9652" s="30"/>
    </row>
    <row r="9653">
      <c r="A9653" s="134"/>
      <c r="B9653" s="120" t="str">
        <f>IFERROR(__xludf.DUMMYFUNCTION("""COMPUTED_VALUE"""),"PXC")</f>
        <v>PXC</v>
      </c>
      <c r="C9653" s="120"/>
      <c r="D9653" s="120" t="str">
        <f>IFERROR(__xludf.DUMMYFUNCTION("""COMPUTED_VALUE"""),"Italy")</f>
        <v>Italy</v>
      </c>
      <c r="E9653" s="135"/>
      <c r="F9653" s="30"/>
    </row>
    <row r="9654">
      <c r="A9654" s="134"/>
      <c r="B9654" s="120" t="str">
        <f>IFERROR(__xludf.DUMMYFUNCTION("""COMPUTED_VALUE"""),"QSR")</f>
        <v>QSR</v>
      </c>
      <c r="C9654" s="120"/>
      <c r="D9654" s="120" t="str">
        <f>IFERROR(__xludf.DUMMYFUNCTION("""COMPUTED_VALUE"""),"Italy")</f>
        <v>Italy</v>
      </c>
      <c r="E9654" s="135"/>
      <c r="F9654" s="30"/>
    </row>
    <row r="9655">
      <c r="A9655" s="134"/>
      <c r="B9655" s="120" t="str">
        <f>IFERROR(__xludf.DUMMYFUNCTION("""COMPUTED_VALUE"""),"QXR")</f>
        <v>QXR</v>
      </c>
      <c r="C9655" s="120"/>
      <c r="D9655" s="120" t="str">
        <f>IFERROR(__xludf.DUMMYFUNCTION("""COMPUTED_VALUE"""),"Poland")</f>
        <v>Poland</v>
      </c>
      <c r="E9655" s="135"/>
      <c r="F9655" s="30"/>
    </row>
    <row r="9656">
      <c r="A9656" s="134"/>
      <c r="B9656" s="120" t="str">
        <f>IFERROR(__xludf.DUMMYFUNCTION("""COMPUTED_VALUE"""),"RMU")</f>
        <v>RMU</v>
      </c>
      <c r="C9656" s="120"/>
      <c r="D9656" s="120" t="str">
        <f>IFERROR(__xludf.DUMMYFUNCTION("""COMPUTED_VALUE"""),"Spain")</f>
        <v>Spain</v>
      </c>
      <c r="E9656" s="135"/>
      <c r="F9656" s="30"/>
    </row>
    <row r="9657">
      <c r="A9657" s="134"/>
      <c r="B9657" s="120" t="str">
        <f>IFERROR(__xludf.DUMMYFUNCTION("""COMPUTED_VALUE"""),"SPL")</f>
        <v>SPL</v>
      </c>
      <c r="C9657" s="120"/>
      <c r="D9657" s="120" t="str">
        <f>IFERROR(__xludf.DUMMYFUNCTION("""COMPUTED_VALUE"""),"Netherlands")</f>
        <v>Netherlands</v>
      </c>
      <c r="E9657" s="135"/>
      <c r="F9657" s="30"/>
    </row>
    <row r="9658">
      <c r="A9658" s="134"/>
      <c r="B9658" s="120" t="str">
        <f>IFERROR(__xludf.DUMMYFUNCTION("""COMPUTED_VALUE"""),"STO")</f>
        <v>STO</v>
      </c>
      <c r="C9658" s="120"/>
      <c r="D9658" s="120" t="str">
        <f>IFERROR(__xludf.DUMMYFUNCTION("""COMPUTED_VALUE"""),"Sweden")</f>
        <v>Sweden</v>
      </c>
      <c r="E9658" s="135"/>
      <c r="F9658" s="30"/>
    </row>
    <row r="9659">
      <c r="A9659" s="134"/>
      <c r="B9659" s="120" t="str">
        <f>IFERROR(__xludf.DUMMYFUNCTION("""COMPUTED_VALUE"""),"NBE")</f>
        <v>NBE</v>
      </c>
      <c r="C9659" s="120"/>
      <c r="D9659" s="120" t="str">
        <f>IFERROR(__xludf.DUMMYFUNCTION("""COMPUTED_VALUE"""),"Tunisia")</f>
        <v>Tunisia</v>
      </c>
      <c r="E9659" s="135"/>
      <c r="F9659" s="30"/>
    </row>
    <row r="9660">
      <c r="A9660" s="134"/>
      <c r="B9660" s="120" t="str">
        <f>IFERROR(__xludf.DUMMYFUNCTION("""COMPUTED_VALUE"""),"NBK")</f>
        <v>NBK</v>
      </c>
      <c r="C9660" s="120"/>
      <c r="D9660" s="120" t="str">
        <f>IFERROR(__xludf.DUMMYFUNCTION("""COMPUTED_VALUE"""),"Thailand")</f>
        <v>Thailand</v>
      </c>
      <c r="E9660" s="135"/>
      <c r="F9660" s="30"/>
    </row>
    <row r="9661">
      <c r="A9661" s="134"/>
      <c r="B9661" s="120" t="str">
        <f>IFERROR(__xludf.DUMMYFUNCTION("""COMPUTED_VALUE"""),"PKX")</f>
        <v>PKX</v>
      </c>
      <c r="C9661" s="120"/>
      <c r="D9661" s="120" t="str">
        <f>IFERROR(__xludf.DUMMYFUNCTION("""COMPUTED_VALUE"""),"China")</f>
        <v>China</v>
      </c>
      <c r="E9661" s="135"/>
      <c r="F9661" s="30"/>
    </row>
    <row r="9662">
      <c r="A9662" s="134"/>
      <c r="B9662" s="120" t="str">
        <f>IFERROR(__xludf.DUMMYFUNCTION("""COMPUTED_VALUE"""),"L6")</f>
        <v>L6</v>
      </c>
      <c r="C9662" s="120"/>
      <c r="D9662" s="120" t="str">
        <f>IFERROR(__xludf.DUMMYFUNCTION("""COMPUTED_VALUE"""),"United States")</f>
        <v>United States</v>
      </c>
      <c r="E9662" s="135"/>
      <c r="F9662" s="30"/>
    </row>
    <row r="9663">
      <c r="A9663" s="134"/>
      <c r="B9663" s="120" t="str">
        <f>IFERROR(__xludf.DUMMYFUNCTION("""COMPUTED_VALUE"""),"LEI")</f>
        <v>LEI</v>
      </c>
      <c r="C9663" s="120"/>
      <c r="D9663" s="120" t="str">
        <f>IFERROR(__xludf.DUMMYFUNCTION("""COMPUTED_VALUE"""),"Spain")</f>
        <v>Spain</v>
      </c>
      <c r="E9663" s="135"/>
      <c r="F9663" s="30"/>
    </row>
    <row r="9664">
      <c r="A9664" s="134"/>
      <c r="B9664" s="120" t="str">
        <f>IFERROR(__xludf.DUMMYFUNCTION("""COMPUTED_VALUE"""),"IUD")</f>
        <v>IUD</v>
      </c>
      <c r="C9664" s="120"/>
      <c r="D9664" s="120" t="str">
        <f>IFERROR(__xludf.DUMMYFUNCTION("""COMPUTED_VALUE"""),"Qatar")</f>
        <v>Qatar</v>
      </c>
      <c r="E9664" s="135"/>
      <c r="F9664" s="30"/>
    </row>
    <row r="9665">
      <c r="A9665" s="134"/>
      <c r="B9665" s="120" t="str">
        <f>IFERROR(__xludf.DUMMYFUNCTION("""COMPUTED_VALUE"""),"AES")</f>
        <v>AES</v>
      </c>
      <c r="C9665" s="120"/>
      <c r="D9665" s="120" t="str">
        <f>IFERROR(__xludf.DUMMYFUNCTION("""COMPUTED_VALUE"""),"Norway")</f>
        <v>Norway</v>
      </c>
      <c r="E9665" s="135"/>
      <c r="F9665" s="30"/>
    </row>
    <row r="9666">
      <c r="A9666" s="134"/>
      <c r="B9666" s="120" t="str">
        <f>IFERROR(__xludf.DUMMYFUNCTION("""COMPUTED_VALUE"""),"AUH")</f>
        <v>AUH</v>
      </c>
      <c r="C9666" s="120"/>
      <c r="D9666" s="120" t="str">
        <f>IFERROR(__xludf.DUMMYFUNCTION("""COMPUTED_VALUE"""),"United Arab Emirates")</f>
        <v>United Arab Emirates</v>
      </c>
      <c r="E9666" s="135"/>
      <c r="F9666" s="30"/>
    </row>
    <row r="9667">
      <c r="A9667" s="134"/>
      <c r="B9667" s="120" t="str">
        <f>IFERROR(__xludf.DUMMYFUNCTION("""COMPUTED_VALUE"""),"BHZ")</f>
        <v>BHZ</v>
      </c>
      <c r="C9667" s="120"/>
      <c r="D9667" s="120" t="str">
        <f>IFERROR(__xludf.DUMMYFUNCTION("""COMPUTED_VALUE"""),"Brazil")</f>
        <v>Brazil</v>
      </c>
      <c r="E9667" s="135"/>
      <c r="F9667" s="30"/>
    </row>
    <row r="9668">
      <c r="A9668" s="134"/>
      <c r="B9668" s="120" t="str">
        <f>IFERROR(__xludf.DUMMYFUNCTION("""COMPUTED_VALUE"""),"C2")</f>
        <v>C2</v>
      </c>
      <c r="C9668" s="120"/>
      <c r="D9668" s="120" t="str">
        <f>IFERROR(__xludf.DUMMYFUNCTION("""COMPUTED_VALUE"""),"United States")</f>
        <v>United States</v>
      </c>
      <c r="E9668" s="135"/>
      <c r="F9668" s="30"/>
    </row>
    <row r="9669">
      <c r="A9669" s="134"/>
      <c r="B9669" s="120" t="str">
        <f>IFERROR(__xludf.DUMMYFUNCTION("""COMPUTED_VALUE"""),"CDT")</f>
        <v>CDT</v>
      </c>
      <c r="C9669" s="120"/>
      <c r="D9669" s="120" t="str">
        <f>IFERROR(__xludf.DUMMYFUNCTION("""COMPUTED_VALUE"""),"Spain")</f>
        <v>Spain</v>
      </c>
      <c r="E9669" s="135"/>
      <c r="F9669" s="30"/>
    </row>
    <row r="9670">
      <c r="A9670" s="134"/>
      <c r="B9670" s="120" t="str">
        <f>IFERROR(__xludf.DUMMYFUNCTION("""COMPUTED_VALUE"""),"CNF")</f>
        <v>CNF</v>
      </c>
      <c r="C9670" s="120"/>
      <c r="D9670" s="120" t="str">
        <f>IFERROR(__xludf.DUMMYFUNCTION("""COMPUTED_VALUE"""),"Brazil")</f>
        <v>Brazil</v>
      </c>
      <c r="E9670" s="135"/>
      <c r="F9670" s="30"/>
    </row>
    <row r="9671">
      <c r="A9671" s="134"/>
      <c r="B9671" s="120" t="str">
        <f>IFERROR(__xludf.DUMMYFUNCTION("""COMPUTED_VALUE"""),"CPJ")</f>
        <v>CPJ</v>
      </c>
      <c r="C9671" s="120"/>
      <c r="D9671" s="120" t="str">
        <f>IFERROR(__xludf.DUMMYFUNCTION("""COMPUTED_VALUE"""),"Spain")</f>
        <v>Spain</v>
      </c>
      <c r="E9671" s="135"/>
      <c r="F9671" s="30"/>
    </row>
    <row r="9672">
      <c r="A9672" s="134"/>
      <c r="B9672" s="120" t="str">
        <f>IFERROR(__xludf.DUMMYFUNCTION("""COMPUTED_VALUE"""),"DIA")</f>
        <v>DIA</v>
      </c>
      <c r="C9672" s="120"/>
      <c r="D9672" s="120" t="str">
        <f>IFERROR(__xludf.DUMMYFUNCTION("""COMPUTED_VALUE"""),"Qatar")</f>
        <v>Qatar</v>
      </c>
      <c r="E9672" s="135"/>
      <c r="F9672" s="30"/>
    </row>
    <row r="9673">
      <c r="A9673" s="134"/>
      <c r="B9673" s="120" t="str">
        <f>IFERROR(__xludf.DUMMYFUNCTION("""COMPUTED_VALUE"""),"EAP")</f>
        <v>EAP</v>
      </c>
      <c r="C9673" s="120"/>
      <c r="D9673" s="120" t="str">
        <f>IFERROR(__xludf.DUMMYFUNCTION("""COMPUTED_VALUE"""),"France")</f>
        <v>France</v>
      </c>
      <c r="E9673" s="135"/>
      <c r="F9673" s="30"/>
    </row>
    <row r="9674">
      <c r="A9674" s="134"/>
      <c r="B9674" s="120" t="str">
        <f>IFERROR(__xludf.DUMMYFUNCTION("""COMPUTED_VALUE"""),"GHV")</f>
        <v>GHV</v>
      </c>
      <c r="C9674" s="120"/>
      <c r="D9674" s="120" t="str">
        <f>IFERROR(__xludf.DUMMYFUNCTION("""COMPUTED_VALUE"""),"Romania")</f>
        <v>Romania</v>
      </c>
      <c r="E9674" s="135"/>
      <c r="F9674" s="30"/>
    </row>
    <row r="9675">
      <c r="A9675" s="134"/>
      <c r="B9675" s="120" t="str">
        <f>IFERROR(__xludf.DUMMYFUNCTION("""COMPUTED_VALUE"""),"GOX")</f>
        <v>GOX</v>
      </c>
      <c r="C9675" s="120"/>
      <c r="D9675" s="120" t="str">
        <f>IFERROR(__xludf.DUMMYFUNCTION("""COMPUTED_VALUE"""),"India")</f>
        <v>India</v>
      </c>
      <c r="E9675" s="135"/>
      <c r="F9675" s="30"/>
    </row>
    <row r="9676">
      <c r="A9676" s="134"/>
      <c r="B9676" s="120" t="str">
        <f>IFERROR(__xludf.DUMMYFUNCTION("""COMPUTED_VALUE"""),"GZP")</f>
        <v>GZP</v>
      </c>
      <c r="C9676" s="120"/>
      <c r="D9676" s="120" t="str">
        <f>IFERROR(__xludf.DUMMYFUNCTION("""COMPUTED_VALUE"""),"Turkey")</f>
        <v>Turkey</v>
      </c>
      <c r="E9676" s="135"/>
      <c r="F9676" s="30"/>
    </row>
    <row r="9677">
      <c r="A9677" s="134"/>
      <c r="B9677" s="120" t="str">
        <f>IFERROR(__xludf.DUMMYFUNCTION("""COMPUTED_VALUE"""),"HRI")</f>
        <v>HRI</v>
      </c>
      <c r="C9677" s="120"/>
      <c r="D9677" s="120" t="str">
        <f>IFERROR(__xludf.DUMMYFUNCTION("""COMPUTED_VALUE"""),"Sri Lanka")</f>
        <v>Sri Lanka</v>
      </c>
      <c r="E9677" s="135"/>
      <c r="F9677" s="30"/>
    </row>
    <row r="9678">
      <c r="A9678" s="134"/>
      <c r="B9678" s="120" t="str">
        <f>IFERROR(__xludf.DUMMYFUNCTION("""COMPUTED_VALUE"""),"HSR")</f>
        <v>HSR</v>
      </c>
      <c r="C9678" s="120"/>
      <c r="D9678" s="120" t="str">
        <f>IFERROR(__xludf.DUMMYFUNCTION("""COMPUTED_VALUE"""),"India")</f>
        <v>India</v>
      </c>
      <c r="E9678" s="135"/>
      <c r="F9678" s="30"/>
    </row>
    <row r="9679">
      <c r="A9679" s="134"/>
      <c r="B9679" s="120" t="str">
        <f>IFERROR(__xludf.DUMMYFUNCTION("""COMPUTED_VALUE"""),"HBE")</f>
        <v>HBE</v>
      </c>
      <c r="C9679" s="120"/>
      <c r="D9679" s="120" t="str">
        <f>IFERROR(__xludf.DUMMYFUNCTION("""COMPUTED_VALUE"""),"Egypt")</f>
        <v>Egypt</v>
      </c>
      <c r="E9679" s="135"/>
      <c r="F9679" s="30"/>
    </row>
    <row r="9680">
      <c r="A9680" s="134"/>
      <c r="B9680" s="120" t="str">
        <f>IFERROR(__xludf.DUMMYFUNCTION("""COMPUTED_VALUE"""),"KOX")</f>
        <v>KOX</v>
      </c>
      <c r="C9680" s="120"/>
      <c r="D9680" s="120" t="str">
        <f>IFERROR(__xludf.DUMMYFUNCTION("""COMPUTED_VALUE"""),"United States")</f>
        <v>United States</v>
      </c>
      <c r="E9680" s="135"/>
      <c r="F9680" s="30"/>
    </row>
    <row r="9681">
      <c r="A9681" s="134"/>
      <c r="B9681" s="120" t="str">
        <f>IFERROR(__xludf.DUMMYFUNCTION("""COMPUTED_VALUE"""),"ABJ")</f>
        <v>ABJ</v>
      </c>
      <c r="C9681" s="120"/>
      <c r="D9681" s="120" t="str">
        <f>IFERROR(__xludf.DUMMYFUNCTION("""COMPUTED_VALUE"""),"Cote d'Ivoire")</f>
        <v>Cote d'Ivoire</v>
      </c>
      <c r="E9681" s="135"/>
      <c r="F9681" s="30"/>
    </row>
    <row r="9682">
      <c r="A9682" s="134"/>
      <c r="B9682" s="120" t="str">
        <f>IFERROR(__xludf.DUMMYFUNCTION("""COMPUTED_VALUE"""),"AKL")</f>
        <v>AKL</v>
      </c>
      <c r="C9682" s="120"/>
      <c r="D9682" s="120" t="str">
        <f>IFERROR(__xludf.DUMMYFUNCTION("""COMPUTED_VALUE"""),"New Zealand")</f>
        <v>New Zealand</v>
      </c>
      <c r="E9682" s="135"/>
      <c r="F9682" s="30"/>
    </row>
    <row r="9683">
      <c r="A9683" s="134"/>
      <c r="B9683" s="120" t="str">
        <f>IFERROR(__xludf.DUMMYFUNCTION("""COMPUTED_VALUE"""),"ASM")</f>
        <v>ASM</v>
      </c>
      <c r="C9683" s="120"/>
      <c r="D9683" s="120" t="str">
        <f>IFERROR(__xludf.DUMMYFUNCTION("""COMPUTED_VALUE"""),"Eritrea")</f>
        <v>Eritrea</v>
      </c>
      <c r="E9683" s="135"/>
      <c r="F9683" s="30"/>
    </row>
    <row r="9684">
      <c r="A9684" s="134"/>
      <c r="B9684" s="120" t="str">
        <f>IFERROR(__xludf.DUMMYFUNCTION("""COMPUTED_VALUE"""),"BEM")</f>
        <v>BEM</v>
      </c>
      <c r="C9684" s="120"/>
      <c r="D9684" s="120" t="str">
        <f>IFERROR(__xludf.DUMMYFUNCTION("""COMPUTED_VALUE"""),"Morocco")</f>
        <v>Morocco</v>
      </c>
      <c r="E9684" s="135"/>
      <c r="F9684" s="30"/>
    </row>
    <row r="9685">
      <c r="A9685" s="134"/>
      <c r="B9685" s="120" t="str">
        <f>IFERROR(__xludf.DUMMYFUNCTION("""COMPUTED_VALUE"""),"BSL")</f>
        <v>BSL</v>
      </c>
      <c r="C9685" s="120"/>
      <c r="D9685" s="120" t="str">
        <f>IFERROR(__xludf.DUMMYFUNCTION("""COMPUTED_VALUE"""),"France")</f>
        <v>France</v>
      </c>
      <c r="E9685" s="135"/>
      <c r="F9685" s="30"/>
    </row>
    <row r="9686">
      <c r="A9686" s="134"/>
      <c r="B9686" s="120" t="str">
        <f>IFERROR(__xludf.DUMMYFUNCTION("""COMPUTED_VALUE"""),"DZA")</f>
        <v>DZA</v>
      </c>
      <c r="C9686" s="120"/>
      <c r="D9686" s="120" t="str">
        <f>IFERROR(__xludf.DUMMYFUNCTION("""COMPUTED_VALUE"""),"Mayotte")</f>
        <v>Mayotte</v>
      </c>
      <c r="E9686" s="135"/>
      <c r="F9686" s="30"/>
    </row>
    <row r="9687">
      <c r="A9687" s="134"/>
      <c r="B9687" s="120" t="str">
        <f>IFERROR(__xludf.DUMMYFUNCTION("""COMPUTED_VALUE"""),"HEN")</f>
        <v>HEN</v>
      </c>
      <c r="C9687" s="120"/>
      <c r="D9687" s="120" t="str">
        <f>IFERROR(__xludf.DUMMYFUNCTION("""COMPUTED_VALUE"""),"Finland")</f>
        <v>Finland</v>
      </c>
      <c r="E9687" s="135"/>
      <c r="F9687" s="30"/>
    </row>
    <row r="9688">
      <c r="A9688" s="134"/>
      <c r="B9688" s="120" t="str">
        <f>IFERROR(__xludf.DUMMYFUNCTION("""COMPUTED_VALUE"""),"LUZ")</f>
        <v>LUZ</v>
      </c>
      <c r="C9688" s="120"/>
      <c r="D9688" s="120" t="str">
        <f>IFERROR(__xludf.DUMMYFUNCTION("""COMPUTED_VALUE"""),"Poland")</f>
        <v>Poland</v>
      </c>
      <c r="E9688" s="135"/>
      <c r="F9688" s="30"/>
    </row>
    <row r="9689">
      <c r="A9689" s="134"/>
      <c r="B9689" s="120" t="str">
        <f>IFERROR(__xludf.DUMMYFUNCTION("""COMPUTED_VALUE"""),"SPX")</f>
        <v>SPX</v>
      </c>
      <c r="C9689" s="120"/>
      <c r="D9689" s="120" t="str">
        <f>IFERROR(__xludf.DUMMYFUNCTION("""COMPUTED_VALUE"""),"Egypt")</f>
        <v>Egypt</v>
      </c>
      <c r="E9689" s="135"/>
      <c r="F9689" s="30"/>
    </row>
    <row r="9690">
      <c r="A9690" s="134"/>
      <c r="B9690" s="120" t="str">
        <f>IFERROR(__xludf.DUMMYFUNCTION("""COMPUTED_VALUE"""),"BRE ")</f>
        <v>BRE </v>
      </c>
      <c r="C9690" s="120"/>
      <c r="D9690" s="120" t="str">
        <f>IFERROR(__xludf.DUMMYFUNCTION("""COMPUTED_VALUE"""),"Germany")</f>
        <v>Germany</v>
      </c>
      <c r="E9690" s="135"/>
      <c r="F9690" s="30"/>
    </row>
    <row r="9691">
      <c r="A9691" s="134"/>
      <c r="B9691" s="120" t="str">
        <f>IFERROR(__xludf.DUMMYFUNCTION("""COMPUTED_VALUE"""),"RNO")</f>
        <v>RNO</v>
      </c>
      <c r="C9691" s="120"/>
      <c r="D9691" s="120" t="str">
        <f>IFERROR(__xludf.DUMMYFUNCTION("""COMPUTED_VALUE"""),"United States")</f>
        <v>United States</v>
      </c>
      <c r="E9691" s="135"/>
      <c r="F9691" s="30"/>
    </row>
    <row r="9692">
      <c r="A9692" s="134"/>
      <c r="B9692" s="120" t="str">
        <f>IFERROR(__xludf.DUMMYFUNCTION("""COMPUTED_VALUE"""),"NBJ")</f>
        <v>NBJ</v>
      </c>
      <c r="C9692" s="120"/>
      <c r="D9692" s="120" t="str">
        <f>IFERROR(__xludf.DUMMYFUNCTION("""COMPUTED_VALUE"""),"Angola")</f>
        <v>Angola</v>
      </c>
      <c r="E9692" s="135"/>
      <c r="F9692" s="30"/>
    </row>
    <row r="9693">
      <c r="A9693" s="134"/>
      <c r="B9693" s="120" t="str">
        <f>IFERROR(__xludf.DUMMYFUNCTION("""COMPUTED_VALUE"""),"KQH")</f>
        <v>KQH</v>
      </c>
      <c r="C9693" s="120"/>
      <c r="D9693" s="120" t="str">
        <f>IFERROR(__xludf.DUMMYFUNCTION("""COMPUTED_VALUE"""),"India")</f>
        <v>India</v>
      </c>
      <c r="E9693" s="135"/>
      <c r="F9693" s="30"/>
    </row>
    <row r="9694">
      <c r="A9694" s="134"/>
      <c r="B9694" s="120" t="str">
        <f>IFERROR(__xludf.DUMMYFUNCTION("""COMPUTED_VALUE"""),"YIE")</f>
        <v>YIE</v>
      </c>
      <c r="C9694" s="120"/>
      <c r="D9694" s="120" t="str">
        <f>IFERROR(__xludf.DUMMYFUNCTION("""COMPUTED_VALUE"""),"China")</f>
        <v>China</v>
      </c>
      <c r="E9694" s="135"/>
      <c r="F9694" s="30"/>
    </row>
    <row r="9695">
      <c r="A9695" s="134"/>
      <c r="B9695" s="120" t="str">
        <f>IFERROR(__xludf.DUMMYFUNCTION("""COMPUTED_VALUE"""),"TQO")</f>
        <v>TQO</v>
      </c>
      <c r="C9695" s="120"/>
      <c r="D9695" s="120" t="str">
        <f>IFERROR(__xludf.DUMMYFUNCTION("""COMPUTED_VALUE"""),"Mexico")</f>
        <v>Mexico</v>
      </c>
      <c r="E9695" s="135"/>
      <c r="F9695" s="30"/>
    </row>
    <row r="9696">
      <c r="A9696" s="134"/>
      <c r="B9696" s="120" t="str">
        <f>IFERROR(__xludf.DUMMYFUNCTION("""COMPUTED_VALUE"""),"TFU")</f>
        <v>TFU</v>
      </c>
      <c r="C9696" s="120"/>
      <c r="D9696" s="120" t="str">
        <f>IFERROR(__xludf.DUMMYFUNCTION("""COMPUTED_VALUE"""),"China")</f>
        <v>China</v>
      </c>
      <c r="E9696" s="135"/>
      <c r="F9696" s="30"/>
    </row>
    <row r="9697">
      <c r="A9697" s="134"/>
      <c r="B9697" s="120" t="str">
        <f>IFERROR(__xludf.DUMMYFUNCTION("""COMPUTED_VALUE"""),"RRJ")</f>
        <v>RRJ</v>
      </c>
      <c r="C9697" s="120"/>
      <c r="D9697" s="120" t="str">
        <f>IFERROR(__xludf.DUMMYFUNCTION("""COMPUTED_VALUE"""),"Brazil")</f>
        <v>Brazil</v>
      </c>
      <c r="E9697" s="135"/>
      <c r="F9697" s="30"/>
    </row>
    <row r="9698">
      <c r="A9698" s="134"/>
      <c r="B9698" s="120" t="str">
        <f>IFERROR(__xludf.DUMMYFUNCTION("""COMPUTED_VALUE"""),"RQY")</f>
        <v>RQY</v>
      </c>
      <c r="C9698" s="120"/>
      <c r="D9698" s="120" t="str">
        <f>IFERROR(__xludf.DUMMYFUNCTION("""COMPUTED_VALUE"""),"India")</f>
        <v>India</v>
      </c>
      <c r="E9698" s="135"/>
      <c r="F9698" s="30"/>
    </row>
    <row r="9699">
      <c r="A9699" s="134"/>
      <c r="B9699" s="120" t="str">
        <f>IFERROR(__xludf.DUMMYFUNCTION("""COMPUTED_VALUE"""),"RGS")</f>
        <v>RGS</v>
      </c>
      <c r="C9699" s="120"/>
      <c r="D9699" s="120" t="str">
        <f>IFERROR(__xludf.DUMMYFUNCTION("""COMPUTED_VALUE"""),"Spain")</f>
        <v>Spain</v>
      </c>
      <c r="E9699" s="135"/>
      <c r="F9699" s="30"/>
    </row>
    <row r="9700">
      <c r="A9700" s="134"/>
      <c r="B9700" s="120" t="str">
        <f>IFERROR(__xludf.DUMMYFUNCTION("""COMPUTED_VALUE"""),"RDO")</f>
        <v>RDO</v>
      </c>
      <c r="C9700" s="120"/>
      <c r="D9700" s="120" t="str">
        <f>IFERROR(__xludf.DUMMYFUNCTION("""COMPUTED_VALUE"""),"Poland")</f>
        <v>Poland</v>
      </c>
      <c r="E9700" s="135"/>
      <c r="F9700" s="30"/>
    </row>
    <row r="9701">
      <c r="A9701" s="134"/>
      <c r="B9701" s="120" t="str">
        <f>IFERROR(__xludf.DUMMYFUNCTION("""COMPUTED_VALUE"""),"OGU")</f>
        <v>OGU</v>
      </c>
      <c r="C9701" s="120"/>
      <c r="D9701" s="120" t="str">
        <f>IFERROR(__xludf.DUMMYFUNCTION("""COMPUTED_VALUE"""),"Turkey")</f>
        <v>Turkey</v>
      </c>
      <c r="E9701" s="135"/>
      <c r="F9701" s="30"/>
    </row>
    <row r="9702">
      <c r="A9702" s="134"/>
      <c r="B9702" s="120" t="str">
        <f>IFERROR(__xludf.DUMMYFUNCTION("""COMPUTED_VALUE"""),"NYW")</f>
        <v>NYW</v>
      </c>
      <c r="C9702" s="120"/>
      <c r="D9702" s="120" t="str">
        <f>IFERROR(__xludf.DUMMYFUNCTION("""COMPUTED_VALUE"""),"Myanmar")</f>
        <v>Myanmar</v>
      </c>
      <c r="E9702" s="135"/>
      <c r="F9702" s="30"/>
    </row>
    <row r="9703">
      <c r="A9703" s="134"/>
      <c r="B9703" s="120" t="str">
        <f>IFERROR(__xludf.DUMMYFUNCTION("""COMPUTED_VALUE"""),"NQZ")</f>
        <v>NQZ</v>
      </c>
      <c r="C9703" s="120"/>
      <c r="D9703" s="120" t="str">
        <f>IFERROR(__xludf.DUMMYFUNCTION("""COMPUTED_VALUE"""),"Kazakhstan")</f>
        <v>Kazakhstan</v>
      </c>
      <c r="E9703" s="135"/>
      <c r="F9703" s="30"/>
    </row>
    <row r="9704">
      <c r="A9704" s="134"/>
      <c r="B9704" s="120" t="str">
        <f>IFERROR(__xludf.DUMMYFUNCTION("""COMPUTED_VALUE"""),"NJF")</f>
        <v>NJF</v>
      </c>
      <c r="C9704" s="120"/>
      <c r="D9704" s="120" t="str">
        <f>IFERROR(__xludf.DUMMYFUNCTION("""COMPUTED_VALUE"""),"Iraq")</f>
        <v>Iraq</v>
      </c>
      <c r="E9704" s="135"/>
      <c r="F9704" s="30"/>
    </row>
    <row r="9705">
      <c r="A9705" s="134"/>
      <c r="B9705" s="120" t="str">
        <f>IFERROR(__xludf.DUMMYFUNCTION("""COMPUTED_VALUE"""),"KZR")</f>
        <v>KZR</v>
      </c>
      <c r="C9705" s="120"/>
      <c r="D9705" s="120" t="str">
        <f>IFERROR(__xludf.DUMMYFUNCTION("""COMPUTED_VALUE"""),"Turkey")</f>
        <v>Turkey</v>
      </c>
      <c r="E9705" s="135"/>
      <c r="F9705" s="30"/>
    </row>
    <row r="9706">
      <c r="A9706" s="134"/>
      <c r="B9706" s="120" t="str">
        <f>IFERROR(__xludf.DUMMYFUNCTION("""COMPUTED_VALUE"""),"JRG")</f>
        <v>JRG</v>
      </c>
      <c r="C9706" s="120"/>
      <c r="D9706" s="120" t="str">
        <f>IFERROR(__xludf.DUMMYFUNCTION("""COMPUTED_VALUE"""),"India")</f>
        <v>India</v>
      </c>
      <c r="E9706" s="135"/>
      <c r="F9706" s="30"/>
    </row>
    <row r="9707">
      <c r="A9707" s="134"/>
      <c r="B9707" s="120" t="str">
        <f>IFERROR(__xludf.DUMMYFUNCTION("""COMPUTED_VALUE"""),"JKL")</f>
        <v>JKL</v>
      </c>
      <c r="C9707" s="120"/>
      <c r="D9707" s="120" t="str">
        <f>IFERROR(__xludf.DUMMYFUNCTION("""COMPUTED_VALUE"""),"Greece")</f>
        <v>Greece</v>
      </c>
      <c r="E9707" s="135"/>
      <c r="F9707" s="30"/>
    </row>
    <row r="9708">
      <c r="A9708" s="134"/>
      <c r="B9708" s="120" t="str">
        <f>IFERROR(__xludf.DUMMYFUNCTION("""COMPUTED_VALUE"""),"IXX")</f>
        <v>IXX</v>
      </c>
      <c r="C9708" s="120"/>
      <c r="D9708" s="120" t="str">
        <f>IFERROR(__xludf.DUMMYFUNCTION("""COMPUTED_VALUE"""),"India")</f>
        <v>India</v>
      </c>
      <c r="E9708" s="135"/>
      <c r="F9708" s="30"/>
    </row>
    <row r="9709">
      <c r="A9709" s="134"/>
      <c r="B9709" s="120" t="str">
        <f>IFERROR(__xludf.DUMMYFUNCTION("""COMPUTED_VALUE"""),"HSA")</f>
        <v>HSA</v>
      </c>
      <c r="C9709" s="120"/>
      <c r="D9709" s="120" t="str">
        <f>IFERROR(__xludf.DUMMYFUNCTION("""COMPUTED_VALUE"""),"United States")</f>
        <v>United States</v>
      </c>
      <c r="E9709" s="135"/>
      <c r="F9709" s="30"/>
    </row>
    <row r="9710">
      <c r="A9710" s="134"/>
      <c r="B9710" s="120" t="str">
        <f>IFERROR(__xludf.DUMMYFUNCTION("""COMPUTED_VALUE"""),"GNY")</f>
        <v>GNY</v>
      </c>
      <c r="C9710" s="120"/>
      <c r="D9710" s="120" t="str">
        <f>IFERROR(__xludf.DUMMYFUNCTION("""COMPUTED_VALUE"""),"Turkey")</f>
        <v>Turkey</v>
      </c>
      <c r="E9710" s="135"/>
      <c r="F9710" s="30"/>
    </row>
    <row r="9711">
      <c r="A9711" s="134"/>
      <c r="B9711" s="120" t="str">
        <f>IFERROR(__xludf.DUMMYFUNCTION("""COMPUTED_VALUE"""),"GMP")</f>
        <v>GMP</v>
      </c>
      <c r="C9711" s="120"/>
      <c r="D9711" s="120" t="str">
        <f>IFERROR(__xludf.DUMMYFUNCTION("""COMPUTED_VALUE"""),"South Korea")</f>
        <v>South Korea</v>
      </c>
      <c r="E9711" s="135"/>
      <c r="F9711" s="30"/>
    </row>
    <row r="9712">
      <c r="A9712" s="134"/>
      <c r="B9712" s="120" t="str">
        <f>IFERROR(__xludf.DUMMYFUNCTION("""COMPUTED_VALUE"""),"GEO")</f>
        <v>GEO</v>
      </c>
      <c r="C9712" s="120"/>
      <c r="D9712" s="120" t="str">
        <f>IFERROR(__xludf.DUMMYFUNCTION("""COMPUTED_VALUE"""),"Guyana")</f>
        <v>Guyana</v>
      </c>
      <c r="E9712" s="135"/>
      <c r="F9712" s="30"/>
    </row>
    <row r="9713">
      <c r="A9713" s="134"/>
      <c r="B9713" s="120" t="str">
        <f>IFERROR(__xludf.DUMMYFUNCTION("""COMPUTED_VALUE"""),"GDB")</f>
        <v>GDB</v>
      </c>
      <c r="C9713" s="120"/>
      <c r="D9713" s="120" t="str">
        <f>IFERROR(__xludf.DUMMYFUNCTION("""COMPUTED_VALUE"""),"India")</f>
        <v>India</v>
      </c>
      <c r="E9713" s="135"/>
      <c r="F9713" s="30"/>
    </row>
    <row r="9714">
      <c r="A9714" s="134"/>
      <c r="B9714" s="120" t="str">
        <f>IFERROR(__xludf.DUMMYFUNCTION("""COMPUTED_VALUE"""),"ETM")</f>
        <v>ETM</v>
      </c>
      <c r="C9714" s="120"/>
      <c r="D9714" s="120" t="str">
        <f>IFERROR(__xludf.DUMMYFUNCTION("""COMPUTED_VALUE"""),"Israel")</f>
        <v>Israel</v>
      </c>
      <c r="E9714" s="135"/>
      <c r="F9714" s="30"/>
    </row>
    <row r="9715">
      <c r="A9715" s="134"/>
      <c r="B9715" s="120" t="str">
        <f>IFERROR(__xludf.DUMMYFUNCTION("""COMPUTED_VALUE"""),"DWC")</f>
        <v>DWC</v>
      </c>
      <c r="C9715" s="120"/>
      <c r="D9715" s="120" t="str">
        <f>IFERROR(__xludf.DUMMYFUNCTION("""COMPUTED_VALUE"""),"United Arab Emirates")</f>
        <v>United Arab Emirates</v>
      </c>
      <c r="E9715" s="135"/>
      <c r="F9715" s="30"/>
    </row>
    <row r="9716">
      <c r="A9716" s="134"/>
      <c r="B9716" s="120" t="str">
        <f>IFERROR(__xludf.DUMMYFUNCTION("""COMPUTED_VALUE"""),"AZS")</f>
        <v>AZS</v>
      </c>
      <c r="C9716" s="120"/>
      <c r="D9716" s="120" t="str">
        <f>IFERROR(__xludf.DUMMYFUNCTION("""COMPUTED_VALUE"""),"Dominican Republic")</f>
        <v>Dominican Republic</v>
      </c>
      <c r="E9716" s="135"/>
      <c r="F9716" s="30"/>
    </row>
    <row r="9717">
      <c r="A9717" s="134"/>
      <c r="B9717" s="120"/>
      <c r="C9717" s="120"/>
      <c r="D9717" s="120"/>
      <c r="E9717" s="135"/>
      <c r="F9717" s="30"/>
    </row>
    <row r="9718">
      <c r="A9718" s="134"/>
      <c r="B9718" s="120"/>
      <c r="C9718" s="120"/>
      <c r="D9718" s="120"/>
      <c r="E9718" s="135"/>
      <c r="F9718" s="30"/>
    </row>
    <row r="9719">
      <c r="A9719" s="134"/>
      <c r="B9719" s="120"/>
      <c r="C9719" s="120"/>
      <c r="D9719" s="120"/>
      <c r="E9719" s="135"/>
      <c r="F9719" s="30"/>
    </row>
    <row r="9720">
      <c r="A9720" s="134"/>
      <c r="B9720" s="120"/>
      <c r="C9720" s="120"/>
      <c r="D9720" s="120"/>
      <c r="E9720" s="135"/>
      <c r="F9720" s="30"/>
    </row>
    <row r="9721">
      <c r="A9721" s="134"/>
      <c r="B9721" s="120"/>
      <c r="C9721" s="120"/>
      <c r="D9721" s="120"/>
      <c r="E9721" s="135"/>
      <c r="F9721" s="30"/>
    </row>
    <row r="9722">
      <c r="A9722" s="134"/>
      <c r="B9722" s="120"/>
      <c r="C9722" s="120"/>
      <c r="D9722" s="120"/>
      <c r="E9722" s="135"/>
      <c r="F9722" s="30"/>
    </row>
    <row r="9723">
      <c r="A9723" s="134"/>
      <c r="B9723" s="120"/>
      <c r="C9723" s="120"/>
      <c r="D9723" s="120"/>
      <c r="E9723" s="135"/>
      <c r="F9723" s="30"/>
    </row>
    <row r="9724">
      <c r="A9724" s="134"/>
      <c r="B9724" s="120"/>
      <c r="C9724" s="120"/>
      <c r="D9724" s="120"/>
      <c r="E9724" s="135"/>
      <c r="F9724" s="30"/>
    </row>
    <row r="9725">
      <c r="A9725" s="134"/>
      <c r="B9725" s="120"/>
      <c r="C9725" s="120"/>
      <c r="D9725" s="120"/>
      <c r="E9725" s="135"/>
      <c r="F9725" s="30"/>
    </row>
    <row r="9726">
      <c r="A9726" s="134"/>
      <c r="B9726" s="120"/>
      <c r="C9726" s="120"/>
      <c r="D9726" s="120"/>
      <c r="E9726" s="135"/>
      <c r="F9726" s="30"/>
    </row>
    <row r="9727">
      <c r="A9727" s="134"/>
      <c r="B9727" s="120"/>
      <c r="C9727" s="120"/>
      <c r="D9727" s="120"/>
      <c r="E9727" s="135"/>
      <c r="F9727" s="30"/>
    </row>
    <row r="9728">
      <c r="A9728" s="134"/>
      <c r="B9728" s="120"/>
      <c r="C9728" s="120"/>
      <c r="D9728" s="120"/>
      <c r="E9728" s="135"/>
      <c r="F9728" s="30"/>
    </row>
    <row r="9729">
      <c r="A9729" s="134"/>
      <c r="B9729" s="120"/>
      <c r="C9729" s="120"/>
      <c r="D9729" s="120"/>
      <c r="E9729" s="135"/>
      <c r="F9729" s="30"/>
    </row>
    <row r="9730">
      <c r="A9730" s="134"/>
      <c r="B9730" s="120"/>
      <c r="C9730" s="120"/>
      <c r="D9730" s="120"/>
      <c r="E9730" s="135"/>
      <c r="F9730" s="30"/>
    </row>
    <row r="9731">
      <c r="A9731" s="134"/>
      <c r="B9731" s="120"/>
      <c r="C9731" s="120"/>
      <c r="D9731" s="120"/>
      <c r="E9731" s="135"/>
      <c r="F9731" s="30"/>
    </row>
    <row r="9732">
      <c r="A9732" s="134"/>
      <c r="B9732" s="120"/>
      <c r="C9732" s="120"/>
      <c r="D9732" s="120"/>
      <c r="E9732" s="135"/>
      <c r="F9732" s="30"/>
    </row>
    <row r="9733">
      <c r="A9733" s="134"/>
      <c r="B9733" s="120"/>
      <c r="C9733" s="120"/>
      <c r="D9733" s="120"/>
      <c r="E9733" s="135"/>
      <c r="F9733" s="30"/>
    </row>
    <row r="9734">
      <c r="A9734" s="134"/>
      <c r="B9734" s="120"/>
      <c r="C9734" s="120"/>
      <c r="D9734" s="120"/>
      <c r="E9734" s="135"/>
      <c r="F9734" s="30"/>
    </row>
    <row r="9735">
      <c r="A9735" s="134"/>
      <c r="B9735" s="120"/>
      <c r="C9735" s="120"/>
      <c r="D9735" s="120"/>
      <c r="E9735" s="135"/>
      <c r="F9735" s="30"/>
    </row>
    <row r="9736">
      <c r="A9736" s="134"/>
      <c r="B9736" s="120"/>
      <c r="C9736" s="120"/>
      <c r="D9736" s="120"/>
      <c r="E9736" s="135"/>
      <c r="F9736" s="30"/>
    </row>
    <row r="9737">
      <c r="A9737" s="134"/>
      <c r="B9737" s="120"/>
      <c r="C9737" s="120"/>
      <c r="D9737" s="120"/>
      <c r="E9737" s="135"/>
      <c r="F9737" s="30"/>
    </row>
    <row r="9738">
      <c r="A9738" s="134"/>
      <c r="B9738" s="120"/>
      <c r="C9738" s="120"/>
      <c r="D9738" s="120"/>
      <c r="E9738" s="135"/>
      <c r="F9738" s="30"/>
    </row>
    <row r="9739">
      <c r="A9739" s="134"/>
      <c r="B9739" s="120"/>
      <c r="C9739" s="120"/>
      <c r="D9739" s="120"/>
      <c r="E9739" s="135"/>
      <c r="F9739" s="30"/>
    </row>
    <row r="9740">
      <c r="A9740" s="134"/>
      <c r="B9740" s="120"/>
      <c r="C9740" s="120"/>
      <c r="D9740" s="120"/>
      <c r="E9740" s="135"/>
      <c r="F9740" s="30"/>
    </row>
    <row r="9741">
      <c r="A9741" s="134"/>
      <c r="B9741" s="120"/>
      <c r="C9741" s="120"/>
      <c r="D9741" s="120"/>
      <c r="E9741" s="135"/>
      <c r="F9741" s="30"/>
    </row>
    <row r="9742">
      <c r="A9742" s="134"/>
      <c r="B9742" s="120"/>
      <c r="C9742" s="120"/>
      <c r="D9742" s="120"/>
      <c r="E9742" s="135"/>
      <c r="F9742" s="30"/>
    </row>
    <row r="9743">
      <c r="A9743" s="134"/>
      <c r="B9743" s="120"/>
      <c r="C9743" s="120"/>
      <c r="D9743" s="120"/>
      <c r="E9743" s="135"/>
      <c r="F9743" s="30"/>
    </row>
    <row r="9744">
      <c r="A9744" s="134"/>
      <c r="B9744" s="120"/>
      <c r="C9744" s="120"/>
      <c r="D9744" s="120"/>
      <c r="E9744" s="135"/>
      <c r="F9744" s="30"/>
    </row>
    <row r="9745">
      <c r="A9745" s="134"/>
      <c r="B9745" s="120"/>
      <c r="C9745" s="120"/>
      <c r="D9745" s="120"/>
      <c r="E9745" s="135"/>
      <c r="F9745" s="30"/>
    </row>
    <row r="9746">
      <c r="A9746" s="134"/>
      <c r="B9746" s="120"/>
      <c r="C9746" s="120"/>
      <c r="D9746" s="120"/>
      <c r="E9746" s="135"/>
      <c r="F9746" s="30"/>
    </row>
    <row r="9747">
      <c r="A9747" s="134"/>
      <c r="B9747" s="120"/>
      <c r="C9747" s="120"/>
      <c r="D9747" s="120"/>
      <c r="E9747" s="135"/>
      <c r="F9747" s="30"/>
    </row>
    <row r="9748">
      <c r="A9748" s="134"/>
      <c r="B9748" s="120"/>
      <c r="C9748" s="120"/>
      <c r="D9748" s="120"/>
      <c r="E9748" s="135"/>
      <c r="F9748" s="30"/>
    </row>
    <row r="9749">
      <c r="A9749" s="134"/>
      <c r="B9749" s="120"/>
      <c r="C9749" s="120"/>
      <c r="D9749" s="120"/>
      <c r="E9749" s="135"/>
      <c r="F9749" s="30"/>
    </row>
    <row r="9750">
      <c r="A9750" s="134"/>
      <c r="B9750" s="120"/>
      <c r="C9750" s="120"/>
      <c r="D9750" s="120"/>
      <c r="E9750" s="135"/>
      <c r="F9750" s="30"/>
    </row>
    <row r="9751">
      <c r="A9751" s="134"/>
      <c r="B9751" s="120"/>
      <c r="C9751" s="120"/>
      <c r="D9751" s="120"/>
      <c r="E9751" s="135"/>
      <c r="F9751" s="30"/>
    </row>
    <row r="9752">
      <c r="A9752" s="134"/>
      <c r="B9752" s="120"/>
      <c r="C9752" s="120"/>
      <c r="D9752" s="120"/>
      <c r="E9752" s="135"/>
      <c r="F9752" s="30"/>
    </row>
    <row r="9753">
      <c r="A9753" s="134"/>
      <c r="B9753" s="120"/>
      <c r="C9753" s="120"/>
      <c r="D9753" s="120"/>
      <c r="E9753" s="135"/>
      <c r="F9753" s="30"/>
    </row>
    <row r="9754">
      <c r="A9754" s="134"/>
      <c r="B9754" s="120"/>
      <c r="C9754" s="120"/>
      <c r="D9754" s="120"/>
      <c r="E9754" s="135"/>
      <c r="F9754" s="30"/>
    </row>
    <row r="9755">
      <c r="A9755" s="134"/>
      <c r="B9755" s="120"/>
      <c r="C9755" s="120"/>
      <c r="D9755" s="120"/>
      <c r="E9755" s="135"/>
      <c r="F9755" s="30"/>
    </row>
    <row r="9756">
      <c r="A9756" s="134"/>
      <c r="B9756" s="120"/>
      <c r="C9756" s="120"/>
      <c r="D9756" s="120"/>
      <c r="E9756" s="135"/>
      <c r="F9756" s="30"/>
    </row>
    <row r="9757">
      <c r="A9757" s="134"/>
      <c r="B9757" s="120"/>
      <c r="C9757" s="120"/>
      <c r="D9757" s="120"/>
      <c r="E9757" s="135"/>
      <c r="F9757" s="30"/>
    </row>
    <row r="9758">
      <c r="A9758" s="134"/>
      <c r="B9758" s="120"/>
      <c r="C9758" s="120"/>
      <c r="D9758" s="120"/>
      <c r="E9758" s="135"/>
      <c r="F9758" s="30"/>
    </row>
    <row r="9759">
      <c r="A9759" s="134"/>
      <c r="B9759" s="120"/>
      <c r="C9759" s="120"/>
      <c r="D9759" s="120"/>
      <c r="E9759" s="135"/>
      <c r="F9759" s="30"/>
    </row>
    <row r="9760">
      <c r="A9760" s="134"/>
      <c r="B9760" s="120"/>
      <c r="C9760" s="120"/>
      <c r="D9760" s="120"/>
      <c r="E9760" s="135"/>
      <c r="F9760" s="30"/>
    </row>
    <row r="9761">
      <c r="A9761" s="134"/>
      <c r="B9761" s="120"/>
      <c r="C9761" s="120"/>
      <c r="D9761" s="120"/>
      <c r="E9761" s="135"/>
      <c r="F9761" s="30"/>
    </row>
    <row r="9762">
      <c r="A9762" s="134"/>
      <c r="B9762" s="120"/>
      <c r="C9762" s="120"/>
      <c r="D9762" s="120"/>
      <c r="E9762" s="135"/>
      <c r="F9762" s="30"/>
    </row>
    <row r="9763">
      <c r="A9763" s="134"/>
      <c r="B9763" s="120"/>
      <c r="C9763" s="120"/>
      <c r="D9763" s="120"/>
      <c r="E9763" s="135"/>
      <c r="F9763" s="30"/>
    </row>
    <row r="9764">
      <c r="A9764" s="134"/>
      <c r="B9764" s="120"/>
      <c r="C9764" s="120"/>
      <c r="D9764" s="120"/>
      <c r="E9764" s="135"/>
      <c r="F9764" s="30"/>
    </row>
    <row r="9765">
      <c r="A9765" s="134"/>
      <c r="B9765" s="120"/>
      <c r="C9765" s="120"/>
      <c r="D9765" s="120"/>
      <c r="E9765" s="135"/>
      <c r="F9765" s="30"/>
    </row>
    <row r="9766">
      <c r="A9766" s="134"/>
      <c r="B9766" s="120"/>
      <c r="C9766" s="120"/>
      <c r="D9766" s="120"/>
      <c r="E9766" s="135"/>
      <c r="F9766" s="30"/>
    </row>
    <row r="9767">
      <c r="A9767" s="134"/>
      <c r="B9767" s="120"/>
      <c r="C9767" s="120"/>
      <c r="D9767" s="120"/>
      <c r="E9767" s="135"/>
      <c r="F9767" s="30"/>
    </row>
    <row r="9768">
      <c r="A9768" s="134"/>
      <c r="B9768" s="120"/>
      <c r="C9768" s="120"/>
      <c r="D9768" s="120"/>
      <c r="E9768" s="135"/>
      <c r="F9768" s="30"/>
    </row>
    <row r="9769">
      <c r="A9769" s="134"/>
      <c r="B9769" s="120"/>
      <c r="C9769" s="120"/>
      <c r="D9769" s="120"/>
      <c r="E9769" s="135"/>
      <c r="F9769" s="30"/>
    </row>
    <row r="9770">
      <c r="A9770" s="134"/>
      <c r="B9770" s="120"/>
      <c r="C9770" s="120"/>
      <c r="D9770" s="120"/>
      <c r="E9770" s="135"/>
      <c r="F9770" s="30"/>
    </row>
    <row r="9771">
      <c r="A9771" s="134"/>
      <c r="B9771" s="120"/>
      <c r="C9771" s="120"/>
      <c r="D9771" s="120"/>
      <c r="E9771" s="135"/>
      <c r="F9771" s="30"/>
    </row>
    <row r="9772">
      <c r="A9772" s="134"/>
      <c r="B9772" s="120"/>
      <c r="C9772" s="120"/>
      <c r="D9772" s="120"/>
      <c r="E9772" s="135"/>
      <c r="F9772" s="30"/>
    </row>
    <row r="9773">
      <c r="A9773" s="134"/>
      <c r="B9773" s="120"/>
      <c r="C9773" s="120"/>
      <c r="D9773" s="120"/>
      <c r="E9773" s="135"/>
      <c r="F9773" s="30"/>
    </row>
    <row r="9774">
      <c r="A9774" s="134"/>
      <c r="B9774" s="120"/>
      <c r="C9774" s="120"/>
      <c r="D9774" s="120"/>
      <c r="E9774" s="135"/>
      <c r="F9774" s="30"/>
    </row>
    <row r="9775">
      <c r="A9775" s="134"/>
      <c r="B9775" s="120"/>
      <c r="C9775" s="120"/>
      <c r="D9775" s="120"/>
      <c r="E9775" s="135"/>
      <c r="F9775" s="30"/>
    </row>
    <row r="9776">
      <c r="A9776" s="134"/>
      <c r="B9776" s="120"/>
      <c r="C9776" s="120"/>
      <c r="D9776" s="120"/>
      <c r="E9776" s="135"/>
      <c r="F9776" s="30"/>
    </row>
    <row r="9777">
      <c r="A9777" s="134"/>
      <c r="B9777" s="120"/>
      <c r="C9777" s="120"/>
      <c r="D9777" s="120"/>
      <c r="E9777" s="135"/>
      <c r="F9777" s="30"/>
    </row>
    <row r="9778">
      <c r="A9778" s="134"/>
      <c r="B9778" s="120"/>
      <c r="C9778" s="120"/>
      <c r="D9778" s="120"/>
      <c r="E9778" s="135"/>
      <c r="F9778" s="30"/>
    </row>
    <row r="9779">
      <c r="A9779" s="134"/>
      <c r="B9779" s="120"/>
      <c r="C9779" s="120"/>
      <c r="D9779" s="120"/>
      <c r="E9779" s="135"/>
      <c r="F9779" s="30"/>
    </row>
    <row r="9780">
      <c r="A9780" s="134"/>
      <c r="B9780" s="120"/>
      <c r="C9780" s="120"/>
      <c r="D9780" s="120"/>
      <c r="E9780" s="135"/>
      <c r="F9780" s="30"/>
    </row>
    <row r="9781">
      <c r="A9781" s="134"/>
      <c r="B9781" s="120"/>
      <c r="C9781" s="120"/>
      <c r="D9781" s="120"/>
      <c r="E9781" s="135"/>
      <c r="F9781" s="30"/>
    </row>
    <row r="9782">
      <c r="A9782" s="134"/>
      <c r="B9782" s="120"/>
      <c r="C9782" s="120"/>
      <c r="D9782" s="120"/>
      <c r="E9782" s="135"/>
      <c r="F9782" s="30"/>
    </row>
    <row r="9783">
      <c r="A9783" s="134"/>
      <c r="B9783" s="120"/>
      <c r="C9783" s="120"/>
      <c r="D9783" s="120"/>
      <c r="E9783" s="135"/>
      <c r="F9783" s="30"/>
    </row>
    <row r="9784">
      <c r="A9784" s="134"/>
      <c r="B9784" s="120"/>
      <c r="C9784" s="120"/>
      <c r="D9784" s="120"/>
      <c r="E9784" s="135"/>
      <c r="F9784" s="30"/>
    </row>
    <row r="9785">
      <c r="A9785" s="134"/>
      <c r="B9785" s="120"/>
      <c r="C9785" s="120"/>
      <c r="D9785" s="120"/>
      <c r="E9785" s="135"/>
      <c r="F9785" s="30"/>
    </row>
    <row r="9786">
      <c r="A9786" s="134"/>
      <c r="B9786" s="120"/>
      <c r="C9786" s="120"/>
      <c r="D9786" s="120"/>
      <c r="E9786" s="135"/>
      <c r="F9786" s="30"/>
    </row>
    <row r="9787">
      <c r="A9787" s="134"/>
      <c r="B9787" s="120"/>
      <c r="C9787" s="120"/>
      <c r="D9787" s="120"/>
      <c r="E9787" s="135"/>
      <c r="F9787" s="30"/>
    </row>
    <row r="9788">
      <c r="A9788" s="134"/>
      <c r="B9788" s="120"/>
      <c r="C9788" s="120"/>
      <c r="D9788" s="120"/>
      <c r="E9788" s="135"/>
      <c r="F9788" s="30"/>
    </row>
    <row r="9789">
      <c r="A9789" s="134"/>
      <c r="B9789" s="120"/>
      <c r="C9789" s="120"/>
      <c r="D9789" s="120"/>
      <c r="E9789" s="135"/>
      <c r="F9789" s="30"/>
    </row>
    <row r="9790">
      <c r="A9790" s="134"/>
      <c r="B9790" s="120"/>
      <c r="C9790" s="120"/>
      <c r="D9790" s="120"/>
      <c r="E9790" s="135"/>
      <c r="F9790" s="30"/>
    </row>
    <row r="9791">
      <c r="A9791" s="134"/>
      <c r="B9791" s="120"/>
      <c r="C9791" s="120"/>
      <c r="D9791" s="120"/>
      <c r="E9791" s="135"/>
      <c r="F9791" s="30"/>
    </row>
    <row r="9792">
      <c r="A9792" s="134"/>
      <c r="B9792" s="120"/>
      <c r="C9792" s="120"/>
      <c r="D9792" s="120"/>
      <c r="E9792" s="135"/>
      <c r="F9792" s="30"/>
    </row>
    <row r="9793">
      <c r="A9793" s="134"/>
      <c r="B9793" s="120"/>
      <c r="C9793" s="120"/>
      <c r="D9793" s="120"/>
      <c r="E9793" s="135"/>
      <c r="F9793" s="30"/>
    </row>
    <row r="9794">
      <c r="A9794" s="134"/>
      <c r="B9794" s="120"/>
      <c r="C9794" s="120"/>
      <c r="D9794" s="120"/>
      <c r="E9794" s="135"/>
      <c r="F9794" s="30"/>
    </row>
    <row r="9795">
      <c r="A9795" s="134"/>
      <c r="B9795" s="120"/>
      <c r="C9795" s="120"/>
      <c r="D9795" s="120"/>
      <c r="E9795" s="135"/>
      <c r="F9795" s="30"/>
    </row>
    <row r="9796">
      <c r="A9796" s="134"/>
      <c r="B9796" s="120"/>
      <c r="C9796" s="120"/>
      <c r="D9796" s="120"/>
      <c r="E9796" s="135"/>
      <c r="F9796" s="30"/>
    </row>
    <row r="9797">
      <c r="A9797" s="134"/>
      <c r="B9797" s="120"/>
      <c r="C9797" s="120"/>
      <c r="D9797" s="120"/>
      <c r="E9797" s="135"/>
      <c r="F9797" s="30"/>
    </row>
    <row r="9798">
      <c r="A9798" s="134"/>
      <c r="B9798" s="120"/>
      <c r="C9798" s="120"/>
      <c r="D9798" s="120"/>
      <c r="E9798" s="135"/>
      <c r="F9798" s="30"/>
    </row>
    <row r="9799">
      <c r="A9799" s="134"/>
      <c r="B9799" s="120"/>
      <c r="C9799" s="120"/>
      <c r="D9799" s="120"/>
      <c r="E9799" s="135"/>
      <c r="F9799" s="30"/>
    </row>
    <row r="9800">
      <c r="A9800" s="134"/>
      <c r="B9800" s="120"/>
      <c r="C9800" s="120"/>
      <c r="D9800" s="120"/>
      <c r="E9800" s="135"/>
      <c r="F9800" s="30"/>
    </row>
    <row r="9801">
      <c r="A9801" s="134"/>
      <c r="B9801" s="120"/>
      <c r="C9801" s="120"/>
      <c r="D9801" s="120"/>
      <c r="E9801" s="135"/>
      <c r="F9801" s="30"/>
    </row>
    <row r="9802">
      <c r="A9802" s="134"/>
      <c r="B9802" s="120"/>
      <c r="C9802" s="120"/>
      <c r="D9802" s="120"/>
      <c r="E9802" s="135"/>
      <c r="F9802" s="30"/>
    </row>
    <row r="9803">
      <c r="A9803" s="134"/>
      <c r="B9803" s="120"/>
      <c r="C9803" s="120"/>
      <c r="D9803" s="120"/>
      <c r="E9803" s="135"/>
      <c r="F9803" s="30"/>
    </row>
    <row r="9804">
      <c r="A9804" s="134"/>
      <c r="B9804" s="120"/>
      <c r="C9804" s="120"/>
      <c r="D9804" s="120"/>
      <c r="E9804" s="135"/>
      <c r="F9804" s="30"/>
    </row>
    <row r="9805">
      <c r="A9805" s="134"/>
      <c r="B9805" s="120"/>
      <c r="C9805" s="120"/>
      <c r="D9805" s="120"/>
      <c r="E9805" s="135"/>
      <c r="F9805" s="30"/>
    </row>
    <row r="9806">
      <c r="A9806" s="134"/>
      <c r="B9806" s="120"/>
      <c r="C9806" s="120"/>
      <c r="D9806" s="120"/>
      <c r="E9806" s="135"/>
      <c r="F9806" s="30"/>
    </row>
    <row r="9807">
      <c r="A9807" s="134"/>
      <c r="B9807" s="120"/>
      <c r="C9807" s="120"/>
      <c r="D9807" s="120"/>
      <c r="E9807" s="135"/>
      <c r="F9807" s="30"/>
    </row>
    <row r="9808">
      <c r="A9808" s="134"/>
      <c r="B9808" s="120"/>
      <c r="C9808" s="120"/>
      <c r="D9808" s="120"/>
      <c r="E9808" s="135"/>
      <c r="F9808" s="30"/>
    </row>
    <row r="9809">
      <c r="A9809" s="134"/>
      <c r="B9809" s="120"/>
      <c r="C9809" s="120"/>
      <c r="D9809" s="120"/>
      <c r="E9809" s="135"/>
      <c r="F9809" s="30"/>
    </row>
    <row r="9810">
      <c r="A9810" s="134"/>
      <c r="B9810" s="120"/>
      <c r="C9810" s="120"/>
      <c r="D9810" s="120"/>
      <c r="E9810" s="135"/>
      <c r="F9810" s="30"/>
    </row>
    <row r="9811">
      <c r="A9811" s="134"/>
      <c r="B9811" s="120"/>
      <c r="C9811" s="120"/>
      <c r="D9811" s="120"/>
      <c r="E9811" s="135"/>
      <c r="F9811" s="30"/>
    </row>
    <row r="9812">
      <c r="A9812" s="134"/>
      <c r="B9812" s="120"/>
      <c r="C9812" s="120"/>
      <c r="D9812" s="120"/>
      <c r="E9812" s="135"/>
      <c r="F9812" s="30"/>
    </row>
    <row r="9813">
      <c r="A9813" s="134"/>
      <c r="B9813" s="120"/>
      <c r="C9813" s="120"/>
      <c r="D9813" s="120"/>
      <c r="E9813" s="135"/>
      <c r="F9813" s="30"/>
    </row>
    <row r="9814">
      <c r="A9814" s="134"/>
      <c r="B9814" s="120"/>
      <c r="C9814" s="120"/>
      <c r="D9814" s="120"/>
      <c r="E9814" s="135"/>
      <c r="F9814" s="30"/>
    </row>
    <row r="9815">
      <c r="A9815" s="134"/>
      <c r="B9815" s="120"/>
      <c r="C9815" s="120"/>
      <c r="D9815" s="120"/>
      <c r="E9815" s="135"/>
      <c r="F9815" s="30"/>
    </row>
    <row r="9816">
      <c r="A9816" s="134"/>
      <c r="B9816" s="120"/>
      <c r="C9816" s="120"/>
      <c r="D9816" s="120"/>
      <c r="E9816" s="135"/>
      <c r="F9816" s="30"/>
    </row>
    <row r="9817">
      <c r="A9817" s="134"/>
      <c r="B9817" s="120"/>
      <c r="C9817" s="120"/>
      <c r="D9817" s="120"/>
      <c r="E9817" s="135"/>
      <c r="F9817" s="30"/>
    </row>
    <row r="9818">
      <c r="A9818" s="134"/>
      <c r="B9818" s="120"/>
      <c r="C9818" s="120"/>
      <c r="D9818" s="120"/>
      <c r="E9818" s="135"/>
      <c r="F9818" s="30"/>
    </row>
    <row r="9819">
      <c r="A9819" s="134"/>
      <c r="B9819" s="120"/>
      <c r="C9819" s="120"/>
      <c r="D9819" s="120"/>
      <c r="E9819" s="135"/>
      <c r="F9819" s="30"/>
    </row>
    <row r="9820">
      <c r="A9820" s="134"/>
      <c r="B9820" s="120"/>
      <c r="C9820" s="120"/>
      <c r="D9820" s="120"/>
      <c r="E9820" s="135"/>
      <c r="F9820" s="30"/>
    </row>
    <row r="9821">
      <c r="A9821" s="134"/>
      <c r="B9821" s="120"/>
      <c r="C9821" s="120"/>
      <c r="D9821" s="120"/>
      <c r="E9821" s="135"/>
      <c r="F9821" s="30"/>
    </row>
    <row r="9822">
      <c r="A9822" s="134"/>
      <c r="B9822" s="120"/>
      <c r="C9822" s="120"/>
      <c r="D9822" s="120"/>
      <c r="E9822" s="135"/>
      <c r="F9822" s="30"/>
    </row>
    <row r="9823">
      <c r="A9823" s="134"/>
      <c r="B9823" s="120"/>
      <c r="C9823" s="120"/>
      <c r="D9823" s="120"/>
      <c r="E9823" s="135"/>
      <c r="F9823" s="30"/>
    </row>
    <row r="9824">
      <c r="A9824" s="134"/>
      <c r="B9824" s="120"/>
      <c r="C9824" s="120"/>
      <c r="D9824" s="120"/>
      <c r="E9824" s="135"/>
      <c r="F9824" s="30"/>
    </row>
    <row r="9825">
      <c r="A9825" s="134"/>
      <c r="B9825" s="120"/>
      <c r="C9825" s="120"/>
      <c r="D9825" s="120"/>
      <c r="E9825" s="135"/>
      <c r="F9825" s="30"/>
    </row>
    <row r="9826">
      <c r="A9826" s="134"/>
      <c r="B9826" s="120"/>
      <c r="C9826" s="120"/>
      <c r="D9826" s="120"/>
      <c r="E9826" s="135"/>
      <c r="F9826" s="30"/>
    </row>
    <row r="9827">
      <c r="A9827" s="134"/>
      <c r="B9827" s="120"/>
      <c r="C9827" s="120"/>
      <c r="D9827" s="120"/>
      <c r="E9827" s="135"/>
      <c r="F9827" s="30"/>
    </row>
    <row r="9828">
      <c r="A9828" s="134"/>
      <c r="B9828" s="120"/>
      <c r="C9828" s="120"/>
      <c r="D9828" s="120"/>
      <c r="E9828" s="135"/>
      <c r="F9828" s="30"/>
    </row>
    <row r="9829">
      <c r="A9829" s="134"/>
      <c r="B9829" s="120"/>
      <c r="C9829" s="120"/>
      <c r="D9829" s="120"/>
      <c r="E9829" s="135"/>
      <c r="F9829" s="30"/>
    </row>
    <row r="9830">
      <c r="A9830" s="134"/>
      <c r="B9830" s="120"/>
      <c r="C9830" s="120"/>
      <c r="D9830" s="120"/>
      <c r="E9830" s="135"/>
      <c r="F9830" s="30"/>
    </row>
    <row r="9831">
      <c r="A9831" s="134"/>
      <c r="B9831" s="120"/>
      <c r="C9831" s="120"/>
      <c r="D9831" s="120"/>
      <c r="E9831" s="135"/>
      <c r="F9831" s="30"/>
    </row>
    <row r="9832">
      <c r="A9832" s="134"/>
      <c r="B9832" s="120"/>
      <c r="C9832" s="120"/>
      <c r="D9832" s="120"/>
      <c r="E9832" s="135"/>
      <c r="F9832" s="30"/>
    </row>
    <row r="9833">
      <c r="A9833" s="134"/>
      <c r="B9833" s="120"/>
      <c r="C9833" s="120"/>
      <c r="D9833" s="120"/>
      <c r="E9833" s="135"/>
      <c r="F9833" s="30"/>
    </row>
    <row r="9834">
      <c r="A9834" s="134"/>
      <c r="B9834" s="120"/>
      <c r="C9834" s="120"/>
      <c r="D9834" s="120"/>
      <c r="E9834" s="135"/>
      <c r="F9834" s="30"/>
    </row>
    <row r="9835">
      <c r="A9835" s="134"/>
      <c r="B9835" s="120"/>
      <c r="C9835" s="120"/>
      <c r="D9835" s="120"/>
      <c r="E9835" s="135"/>
      <c r="F9835" s="30"/>
    </row>
    <row r="9836">
      <c r="A9836" s="134"/>
      <c r="B9836" s="120"/>
      <c r="C9836" s="120"/>
      <c r="D9836" s="120"/>
      <c r="E9836" s="135"/>
      <c r="F9836" s="30"/>
    </row>
    <row r="9837">
      <c r="A9837" s="134"/>
      <c r="B9837" s="120"/>
      <c r="C9837" s="120"/>
      <c r="D9837" s="120"/>
      <c r="E9837" s="135"/>
      <c r="F9837" s="30"/>
    </row>
    <row r="9838">
      <c r="A9838" s="134"/>
      <c r="B9838" s="120"/>
      <c r="C9838" s="120"/>
      <c r="D9838" s="120"/>
      <c r="E9838" s="135"/>
      <c r="F9838" s="30"/>
    </row>
    <row r="9839">
      <c r="A9839" s="134"/>
      <c r="B9839" s="120"/>
      <c r="C9839" s="120"/>
      <c r="D9839" s="120"/>
      <c r="E9839" s="135"/>
      <c r="F9839" s="30"/>
    </row>
    <row r="9840">
      <c r="A9840" s="134"/>
      <c r="B9840" s="120"/>
      <c r="C9840" s="120"/>
      <c r="D9840" s="120"/>
      <c r="E9840" s="135"/>
      <c r="F9840" s="30"/>
    </row>
    <row r="9841">
      <c r="A9841" s="134"/>
      <c r="B9841" s="120"/>
      <c r="C9841" s="120"/>
      <c r="D9841" s="120"/>
      <c r="E9841" s="135"/>
      <c r="F9841" s="30"/>
    </row>
    <row r="9842">
      <c r="A9842" s="134"/>
      <c r="B9842" s="120"/>
      <c r="C9842" s="120"/>
      <c r="D9842" s="120"/>
      <c r="E9842" s="135"/>
      <c r="F9842" s="30"/>
    </row>
    <row r="9843">
      <c r="A9843" s="134"/>
      <c r="B9843" s="120"/>
      <c r="C9843" s="120"/>
      <c r="D9843" s="120"/>
      <c r="E9843" s="135"/>
      <c r="F9843" s="30"/>
    </row>
    <row r="9844">
      <c r="A9844" s="134"/>
      <c r="B9844" s="120"/>
      <c r="C9844" s="120"/>
      <c r="D9844" s="120"/>
      <c r="E9844" s="135"/>
      <c r="F9844" s="30"/>
    </row>
    <row r="9845">
      <c r="A9845" s="134"/>
      <c r="B9845" s="120"/>
      <c r="C9845" s="120"/>
      <c r="D9845" s="120"/>
      <c r="E9845" s="135"/>
      <c r="F9845" s="30"/>
    </row>
    <row r="9846">
      <c r="A9846" s="134"/>
      <c r="B9846" s="120"/>
      <c r="C9846" s="120"/>
      <c r="D9846" s="120"/>
      <c r="E9846" s="135"/>
      <c r="F9846" s="30"/>
    </row>
    <row r="9847">
      <c r="A9847" s="134"/>
      <c r="B9847" s="120"/>
      <c r="C9847" s="120"/>
      <c r="D9847" s="120"/>
      <c r="E9847" s="135"/>
      <c r="F9847" s="30"/>
    </row>
    <row r="9848">
      <c r="A9848" s="134"/>
      <c r="B9848" s="120"/>
      <c r="C9848" s="120"/>
      <c r="D9848" s="120"/>
      <c r="E9848" s="135"/>
      <c r="F9848" s="30"/>
    </row>
    <row r="9849">
      <c r="A9849" s="134"/>
      <c r="B9849" s="120"/>
      <c r="C9849" s="120"/>
      <c r="D9849" s="120"/>
      <c r="E9849" s="135"/>
      <c r="F9849" s="30"/>
    </row>
    <row r="9850">
      <c r="A9850" s="134"/>
      <c r="B9850" s="120"/>
      <c r="C9850" s="120"/>
      <c r="D9850" s="120"/>
      <c r="E9850" s="135"/>
      <c r="F9850" s="30"/>
    </row>
    <row r="9851">
      <c r="A9851" s="134"/>
      <c r="B9851" s="120"/>
      <c r="C9851" s="120"/>
      <c r="D9851" s="120"/>
      <c r="E9851" s="135"/>
      <c r="F9851" s="30"/>
    </row>
    <row r="9852">
      <c r="A9852" s="134"/>
      <c r="B9852" s="120"/>
      <c r="C9852" s="120"/>
      <c r="D9852" s="120"/>
      <c r="E9852" s="135"/>
      <c r="F9852" s="30"/>
    </row>
    <row r="9853">
      <c r="A9853" s="134"/>
      <c r="B9853" s="120"/>
      <c r="C9853" s="120"/>
      <c r="D9853" s="120"/>
      <c r="E9853" s="135"/>
      <c r="F9853" s="30"/>
    </row>
    <row r="9854">
      <c r="A9854" s="134"/>
      <c r="B9854" s="120"/>
      <c r="C9854" s="120"/>
      <c r="D9854" s="120"/>
      <c r="E9854" s="135"/>
      <c r="F9854" s="30"/>
    </row>
    <row r="9855">
      <c r="A9855" s="134"/>
      <c r="B9855" s="120"/>
      <c r="C9855" s="120"/>
      <c r="D9855" s="120"/>
      <c r="E9855" s="135"/>
      <c r="F9855" s="30"/>
    </row>
    <row r="9856">
      <c r="A9856" s="134"/>
      <c r="B9856" s="120"/>
      <c r="C9856" s="120"/>
      <c r="D9856" s="120"/>
      <c r="E9856" s="135"/>
      <c r="F9856" s="30"/>
    </row>
    <row r="9857">
      <c r="A9857" s="134"/>
      <c r="B9857" s="120"/>
      <c r="C9857" s="120"/>
      <c r="D9857" s="120"/>
      <c r="E9857" s="135"/>
      <c r="F9857" s="30"/>
    </row>
    <row r="9858">
      <c r="A9858" s="134"/>
      <c r="B9858" s="120"/>
      <c r="C9858" s="120"/>
      <c r="D9858" s="120"/>
      <c r="E9858" s="135"/>
      <c r="F9858" s="30"/>
    </row>
    <row r="9859">
      <c r="A9859" s="134"/>
      <c r="B9859" s="120"/>
      <c r="C9859" s="120"/>
      <c r="D9859" s="120"/>
      <c r="E9859" s="135"/>
      <c r="F9859" s="30"/>
    </row>
    <row r="9860">
      <c r="A9860" s="134"/>
      <c r="B9860" s="120"/>
      <c r="C9860" s="120"/>
      <c r="D9860" s="120"/>
      <c r="E9860" s="135"/>
      <c r="F9860" s="30"/>
    </row>
    <row r="9861">
      <c r="A9861" s="134"/>
      <c r="B9861" s="120"/>
      <c r="C9861" s="120"/>
      <c r="D9861" s="120"/>
      <c r="E9861" s="135"/>
      <c r="F9861" s="30"/>
    </row>
    <row r="9862">
      <c r="A9862" s="134"/>
      <c r="B9862" s="120"/>
      <c r="C9862" s="120"/>
      <c r="D9862" s="120"/>
      <c r="E9862" s="135"/>
      <c r="F9862" s="30"/>
    </row>
    <row r="9863">
      <c r="A9863" s="134"/>
      <c r="B9863" s="120"/>
      <c r="C9863" s="120"/>
      <c r="D9863" s="120"/>
      <c r="E9863" s="135"/>
      <c r="F9863" s="30"/>
    </row>
    <row r="9864">
      <c r="A9864" s="134"/>
      <c r="B9864" s="120"/>
      <c r="C9864" s="120"/>
      <c r="D9864" s="120"/>
      <c r="E9864" s="135"/>
      <c r="F9864" s="30"/>
    </row>
    <row r="9865">
      <c r="A9865" s="134"/>
      <c r="B9865" s="120"/>
      <c r="C9865" s="120"/>
      <c r="D9865" s="120"/>
      <c r="E9865" s="135"/>
      <c r="F9865" s="30"/>
    </row>
    <row r="9866">
      <c r="A9866" s="134"/>
      <c r="B9866" s="120"/>
      <c r="C9866" s="120"/>
      <c r="D9866" s="120"/>
      <c r="E9866" s="135"/>
      <c r="F9866" s="30"/>
    </row>
    <row r="9867">
      <c r="A9867" s="134"/>
      <c r="B9867" s="120"/>
      <c r="C9867" s="120"/>
      <c r="D9867" s="120"/>
      <c r="E9867" s="135"/>
      <c r="F9867" s="30"/>
    </row>
    <row r="9868">
      <c r="A9868" s="134"/>
      <c r="B9868" s="120"/>
      <c r="C9868" s="120"/>
      <c r="D9868" s="120"/>
      <c r="E9868" s="135"/>
      <c r="F9868" s="30"/>
    </row>
    <row r="9869">
      <c r="A9869" s="134"/>
      <c r="B9869" s="120"/>
      <c r="C9869" s="120"/>
      <c r="D9869" s="120"/>
      <c r="E9869" s="135"/>
      <c r="F9869" s="30"/>
    </row>
    <row r="9870">
      <c r="A9870" s="134"/>
      <c r="B9870" s="120"/>
      <c r="C9870" s="120"/>
      <c r="D9870" s="120"/>
      <c r="E9870" s="135"/>
      <c r="F9870" s="30"/>
    </row>
    <row r="9871">
      <c r="A9871" s="134"/>
      <c r="B9871" s="120"/>
      <c r="C9871" s="120"/>
      <c r="D9871" s="120"/>
      <c r="E9871" s="135"/>
      <c r="F9871" s="30"/>
    </row>
    <row r="9872">
      <c r="A9872" s="134"/>
      <c r="B9872" s="120"/>
      <c r="C9872" s="120"/>
      <c r="D9872" s="120"/>
      <c r="E9872" s="135"/>
      <c r="F9872" s="30"/>
    </row>
    <row r="9873">
      <c r="A9873" s="134"/>
      <c r="B9873" s="120"/>
      <c r="C9873" s="120"/>
      <c r="D9873" s="120"/>
      <c r="E9873" s="135"/>
      <c r="F9873" s="30"/>
    </row>
    <row r="9874">
      <c r="A9874" s="134"/>
      <c r="B9874" s="120"/>
      <c r="C9874" s="120"/>
      <c r="D9874" s="120"/>
      <c r="E9874" s="135"/>
      <c r="F9874" s="30"/>
    </row>
    <row r="9875">
      <c r="A9875" s="134"/>
      <c r="B9875" s="120"/>
      <c r="C9875" s="120"/>
      <c r="D9875" s="120"/>
      <c r="E9875" s="135"/>
      <c r="F9875" s="30"/>
    </row>
    <row r="9876">
      <c r="A9876" s="134"/>
      <c r="B9876" s="120"/>
      <c r="C9876" s="120"/>
      <c r="D9876" s="120"/>
      <c r="E9876" s="135"/>
      <c r="F9876" s="30"/>
    </row>
    <row r="9877">
      <c r="A9877" s="134"/>
      <c r="B9877" s="120"/>
      <c r="C9877" s="120"/>
      <c r="D9877" s="120"/>
      <c r="E9877" s="135"/>
      <c r="F9877" s="30"/>
    </row>
    <row r="9878">
      <c r="A9878" s="134"/>
      <c r="B9878" s="120"/>
      <c r="C9878" s="120"/>
      <c r="D9878" s="120"/>
      <c r="E9878" s="135"/>
      <c r="F9878" s="30"/>
    </row>
    <row r="9879">
      <c r="A9879" s="134"/>
      <c r="B9879" s="120"/>
      <c r="C9879" s="120"/>
      <c r="D9879" s="120"/>
      <c r="E9879" s="135"/>
      <c r="F9879" s="30"/>
    </row>
    <row r="9880">
      <c r="A9880" s="134"/>
      <c r="B9880" s="120"/>
      <c r="C9880" s="120"/>
      <c r="D9880" s="120"/>
      <c r="E9880" s="135"/>
      <c r="F9880" s="30"/>
    </row>
    <row r="9881">
      <c r="A9881" s="134"/>
      <c r="B9881" s="120"/>
      <c r="C9881" s="120"/>
      <c r="D9881" s="120"/>
      <c r="E9881" s="135"/>
      <c r="F9881" s="30"/>
    </row>
    <row r="9882">
      <c r="A9882" s="134"/>
      <c r="B9882" s="120"/>
      <c r="C9882" s="120"/>
      <c r="D9882" s="120"/>
      <c r="E9882" s="135"/>
      <c r="F9882" s="30"/>
    </row>
    <row r="9883">
      <c r="A9883" s="134"/>
      <c r="B9883" s="120"/>
      <c r="C9883" s="120"/>
      <c r="D9883" s="120"/>
      <c r="E9883" s="135"/>
      <c r="F9883" s="30"/>
    </row>
    <row r="9884">
      <c r="A9884" s="134"/>
      <c r="B9884" s="120"/>
      <c r="C9884" s="120"/>
      <c r="D9884" s="120"/>
      <c r="E9884" s="135"/>
      <c r="F9884" s="30"/>
    </row>
    <row r="9885">
      <c r="A9885" s="134"/>
      <c r="B9885" s="120"/>
      <c r="C9885" s="120"/>
      <c r="D9885" s="120"/>
      <c r="E9885" s="135"/>
      <c r="F9885" s="30"/>
    </row>
    <row r="9886">
      <c r="A9886" s="134"/>
      <c r="B9886" s="120"/>
      <c r="C9886" s="120"/>
      <c r="D9886" s="120"/>
      <c r="E9886" s="135"/>
      <c r="F9886" s="30"/>
    </row>
    <row r="9887">
      <c r="A9887" s="134"/>
      <c r="B9887" s="120"/>
      <c r="C9887" s="120"/>
      <c r="D9887" s="120"/>
      <c r="E9887" s="135"/>
      <c r="F9887" s="30"/>
    </row>
    <row r="9888">
      <c r="A9888" s="134"/>
      <c r="B9888" s="120"/>
      <c r="C9888" s="120"/>
      <c r="D9888" s="120"/>
      <c r="E9888" s="135"/>
      <c r="F9888" s="30"/>
    </row>
    <row r="9889">
      <c r="A9889" s="134"/>
      <c r="B9889" s="120"/>
      <c r="C9889" s="120"/>
      <c r="D9889" s="120"/>
      <c r="E9889" s="135"/>
      <c r="F9889" s="30"/>
    </row>
    <row r="9890">
      <c r="A9890" s="134"/>
      <c r="B9890" s="120"/>
      <c r="C9890" s="120"/>
      <c r="D9890" s="120"/>
      <c r="E9890" s="135"/>
      <c r="F9890" s="30"/>
    </row>
    <row r="9891">
      <c r="A9891" s="134"/>
      <c r="B9891" s="120"/>
      <c r="C9891" s="120"/>
      <c r="D9891" s="120"/>
      <c r="E9891" s="135"/>
      <c r="F9891" s="30"/>
    </row>
    <row r="9892">
      <c r="A9892" s="134"/>
      <c r="B9892" s="120"/>
      <c r="C9892" s="120"/>
      <c r="D9892" s="120"/>
      <c r="E9892" s="135"/>
      <c r="F9892" s="30"/>
    </row>
    <row r="9893">
      <c r="A9893" s="134"/>
      <c r="B9893" s="120"/>
      <c r="C9893" s="120"/>
      <c r="D9893" s="120"/>
      <c r="E9893" s="135"/>
      <c r="F9893" s="30"/>
    </row>
    <row r="9894">
      <c r="A9894" s="134"/>
      <c r="B9894" s="120"/>
      <c r="C9894" s="120"/>
      <c r="D9894" s="120"/>
      <c r="E9894" s="135"/>
      <c r="F9894" s="30"/>
    </row>
    <row r="9895">
      <c r="A9895" s="134"/>
      <c r="B9895" s="120"/>
      <c r="C9895" s="120"/>
      <c r="D9895" s="120"/>
      <c r="E9895" s="135"/>
      <c r="F9895" s="30"/>
    </row>
    <row r="9896">
      <c r="A9896" s="134"/>
      <c r="B9896" s="120"/>
      <c r="C9896" s="120"/>
      <c r="D9896" s="120"/>
      <c r="E9896" s="135"/>
      <c r="F9896" s="30"/>
    </row>
    <row r="9897">
      <c r="A9897" s="134"/>
      <c r="B9897" s="120"/>
      <c r="C9897" s="120"/>
      <c r="D9897" s="120"/>
      <c r="E9897" s="135"/>
      <c r="F9897" s="30"/>
    </row>
    <row r="9898">
      <c r="A9898" s="134"/>
      <c r="B9898" s="120"/>
      <c r="C9898" s="120"/>
      <c r="D9898" s="120"/>
      <c r="E9898" s="135"/>
      <c r="F9898" s="30"/>
    </row>
    <row r="9899">
      <c r="A9899" s="134"/>
      <c r="B9899" s="120"/>
      <c r="C9899" s="120"/>
      <c r="D9899" s="120"/>
      <c r="E9899" s="135"/>
      <c r="F9899" s="30"/>
    </row>
    <row r="9900">
      <c r="A9900" s="134"/>
      <c r="B9900" s="120"/>
      <c r="C9900" s="120"/>
      <c r="D9900" s="120"/>
      <c r="E9900" s="135"/>
      <c r="F9900" s="30"/>
    </row>
    <row r="9901">
      <c r="A9901" s="134"/>
      <c r="B9901" s="120"/>
      <c r="C9901" s="120"/>
      <c r="D9901" s="120"/>
      <c r="E9901" s="135"/>
      <c r="F9901" s="30"/>
    </row>
    <row r="9902">
      <c r="A9902" s="134"/>
      <c r="B9902" s="120"/>
      <c r="C9902" s="120"/>
      <c r="D9902" s="120"/>
      <c r="E9902" s="135"/>
      <c r="F9902" s="30"/>
    </row>
    <row r="9903">
      <c r="A9903" s="134"/>
      <c r="B9903" s="120"/>
      <c r="C9903" s="120"/>
      <c r="D9903" s="120"/>
      <c r="E9903" s="135"/>
      <c r="F9903" s="30"/>
    </row>
    <row r="9904">
      <c r="A9904" s="134"/>
      <c r="B9904" s="120"/>
      <c r="C9904" s="120"/>
      <c r="D9904" s="120"/>
      <c r="E9904" s="135"/>
      <c r="F9904" s="30"/>
    </row>
    <row r="9905">
      <c r="A9905" s="134"/>
      <c r="B9905" s="120"/>
      <c r="C9905" s="120"/>
      <c r="D9905" s="120"/>
      <c r="E9905" s="135"/>
      <c r="F9905" s="30"/>
    </row>
    <row r="9906">
      <c r="A9906" s="134"/>
      <c r="B9906" s="120"/>
      <c r="C9906" s="120"/>
      <c r="D9906" s="120"/>
      <c r="E9906" s="135"/>
      <c r="F9906" s="30"/>
    </row>
    <row r="9907">
      <c r="A9907" s="134"/>
      <c r="B9907" s="120"/>
      <c r="C9907" s="120"/>
      <c r="D9907" s="120"/>
      <c r="E9907" s="135"/>
      <c r="F9907" s="30"/>
    </row>
    <row r="9908">
      <c r="A9908" s="134"/>
      <c r="B9908" s="120"/>
      <c r="C9908" s="120"/>
      <c r="D9908" s="120"/>
      <c r="E9908" s="135"/>
      <c r="F9908" s="30"/>
    </row>
    <row r="9909">
      <c r="A9909" s="134"/>
      <c r="B9909" s="120"/>
      <c r="C9909" s="120"/>
      <c r="D9909" s="120"/>
      <c r="E9909" s="135"/>
      <c r="F9909" s="30"/>
    </row>
    <row r="9910">
      <c r="A9910" s="134"/>
      <c r="B9910" s="120"/>
      <c r="C9910" s="120"/>
      <c r="D9910" s="120"/>
      <c r="E9910" s="135"/>
      <c r="F9910" s="30"/>
    </row>
    <row r="9911">
      <c r="A9911" s="134"/>
      <c r="B9911" s="120"/>
      <c r="C9911" s="120"/>
      <c r="D9911" s="120"/>
      <c r="E9911" s="135"/>
      <c r="F9911" s="30"/>
    </row>
    <row r="9912">
      <c r="A9912" s="134"/>
      <c r="B9912" s="120"/>
      <c r="C9912" s="120"/>
      <c r="D9912" s="120"/>
      <c r="E9912" s="135"/>
      <c r="F9912" s="30"/>
    </row>
    <row r="9913">
      <c r="A9913" s="134"/>
      <c r="B9913" s="120"/>
      <c r="C9913" s="120"/>
      <c r="D9913" s="120"/>
      <c r="E9913" s="135"/>
      <c r="F9913" s="30"/>
    </row>
    <row r="9914">
      <c r="A9914" s="134"/>
      <c r="B9914" s="120"/>
      <c r="C9914" s="120"/>
      <c r="D9914" s="120"/>
      <c r="E9914" s="135"/>
      <c r="F9914" s="30"/>
    </row>
    <row r="9915">
      <c r="A9915" s="134"/>
      <c r="B9915" s="120"/>
      <c r="C9915" s="120"/>
      <c r="D9915" s="120"/>
      <c r="E9915" s="135"/>
      <c r="F9915" s="30"/>
    </row>
    <row r="9916">
      <c r="A9916" s="134"/>
      <c r="B9916" s="120"/>
      <c r="C9916" s="120"/>
      <c r="D9916" s="120"/>
      <c r="E9916" s="135"/>
      <c r="F9916" s="30"/>
    </row>
    <row r="9917">
      <c r="A9917" s="134"/>
      <c r="B9917" s="120"/>
      <c r="C9917" s="120"/>
      <c r="D9917" s="120"/>
      <c r="E9917" s="135"/>
      <c r="F9917" s="30"/>
    </row>
    <row r="9918">
      <c r="A9918" s="134"/>
      <c r="B9918" s="120"/>
      <c r="C9918" s="120"/>
      <c r="D9918" s="120"/>
      <c r="E9918" s="135"/>
      <c r="F9918" s="30"/>
    </row>
    <row r="9919">
      <c r="A9919" s="134"/>
      <c r="B9919" s="120"/>
      <c r="C9919" s="120"/>
      <c r="D9919" s="120"/>
      <c r="E9919" s="135"/>
      <c r="F9919" s="30"/>
    </row>
    <row r="9920">
      <c r="A9920" s="134"/>
      <c r="B9920" s="120"/>
      <c r="C9920" s="120"/>
      <c r="D9920" s="120"/>
      <c r="E9920" s="135"/>
      <c r="F9920" s="30"/>
    </row>
    <row r="9921">
      <c r="A9921" s="134"/>
      <c r="B9921" s="120"/>
      <c r="C9921" s="120"/>
      <c r="D9921" s="120"/>
      <c r="E9921" s="135"/>
      <c r="F9921" s="30"/>
    </row>
    <row r="9922">
      <c r="A9922" s="134"/>
      <c r="B9922" s="120"/>
      <c r="C9922" s="120"/>
      <c r="D9922" s="120"/>
      <c r="E9922" s="135"/>
      <c r="F9922" s="30"/>
    </row>
    <row r="9923">
      <c r="A9923" s="134"/>
      <c r="B9923" s="120"/>
      <c r="C9923" s="120"/>
      <c r="D9923" s="120"/>
      <c r="E9923" s="135"/>
      <c r="F9923" s="30"/>
    </row>
    <row r="9924">
      <c r="A9924" s="134"/>
      <c r="B9924" s="120"/>
      <c r="C9924" s="120"/>
      <c r="D9924" s="120"/>
      <c r="E9924" s="135"/>
      <c r="F9924" s="30"/>
    </row>
    <row r="9925">
      <c r="A9925" s="134"/>
      <c r="B9925" s="120"/>
      <c r="C9925" s="120"/>
      <c r="D9925" s="120"/>
      <c r="E9925" s="135"/>
      <c r="F9925" s="30"/>
    </row>
    <row r="9926">
      <c r="A9926" s="134"/>
      <c r="B9926" s="120"/>
      <c r="C9926" s="120"/>
      <c r="D9926" s="120"/>
      <c r="E9926" s="135"/>
      <c r="F9926" s="30"/>
    </row>
    <row r="9927">
      <c r="A9927" s="134"/>
      <c r="B9927" s="120"/>
      <c r="C9927" s="120"/>
      <c r="D9927" s="120"/>
      <c r="E9927" s="135"/>
      <c r="F9927" s="30"/>
    </row>
    <row r="9928">
      <c r="A9928" s="134"/>
      <c r="B9928" s="120"/>
      <c r="C9928" s="120"/>
      <c r="D9928" s="120"/>
      <c r="E9928" s="135"/>
      <c r="F9928" s="30"/>
    </row>
    <row r="9929">
      <c r="A9929" s="134"/>
      <c r="B9929" s="120"/>
      <c r="C9929" s="120"/>
      <c r="D9929" s="120"/>
      <c r="E9929" s="135"/>
      <c r="F9929" s="30"/>
    </row>
    <row r="9930">
      <c r="A9930" s="134"/>
      <c r="B9930" s="120"/>
      <c r="C9930" s="120"/>
      <c r="D9930" s="120"/>
      <c r="E9930" s="135"/>
      <c r="F9930" s="30"/>
    </row>
    <row r="9931">
      <c r="A9931" s="134"/>
      <c r="B9931" s="120"/>
      <c r="C9931" s="120"/>
      <c r="D9931" s="120"/>
      <c r="E9931" s="135"/>
      <c r="F9931" s="30"/>
    </row>
    <row r="9932">
      <c r="A9932" s="134"/>
      <c r="B9932" s="120"/>
      <c r="C9932" s="120"/>
      <c r="D9932" s="120"/>
      <c r="E9932" s="135"/>
      <c r="F9932" s="30"/>
    </row>
    <row r="9933">
      <c r="A9933" s="134"/>
      <c r="B9933" s="120"/>
      <c r="C9933" s="120"/>
      <c r="D9933" s="120"/>
      <c r="E9933" s="135"/>
      <c r="F9933" s="30"/>
    </row>
    <row r="9934">
      <c r="A9934" s="134"/>
      <c r="B9934" s="120"/>
      <c r="C9934" s="120"/>
      <c r="D9934" s="120"/>
      <c r="E9934" s="135"/>
      <c r="F9934" s="30"/>
    </row>
    <row r="9935">
      <c r="A9935" s="134"/>
      <c r="B9935" s="120"/>
      <c r="C9935" s="120"/>
      <c r="D9935" s="120"/>
      <c r="E9935" s="135"/>
      <c r="F9935" s="30"/>
    </row>
    <row r="9936">
      <c r="A9936" s="134"/>
      <c r="B9936" s="120"/>
      <c r="C9936" s="120"/>
      <c r="D9936" s="120"/>
      <c r="E9936" s="135"/>
      <c r="F9936" s="30"/>
    </row>
    <row r="9937">
      <c r="A9937" s="134"/>
      <c r="B9937" s="120"/>
      <c r="C9937" s="120"/>
      <c r="D9937" s="120"/>
      <c r="E9937" s="135"/>
      <c r="F9937" s="30"/>
    </row>
    <row r="9938">
      <c r="A9938" s="134"/>
      <c r="B9938" s="120"/>
      <c r="C9938" s="120"/>
      <c r="D9938" s="120"/>
      <c r="E9938" s="135"/>
      <c r="F9938" s="30"/>
    </row>
    <row r="9939">
      <c r="A9939" s="134"/>
      <c r="B9939" s="120"/>
      <c r="C9939" s="120"/>
      <c r="D9939" s="120"/>
      <c r="E9939" s="135"/>
      <c r="F9939" s="30"/>
    </row>
    <row r="9940">
      <c r="A9940" s="134"/>
      <c r="B9940" s="120"/>
      <c r="C9940" s="120"/>
      <c r="D9940" s="120"/>
      <c r="E9940" s="135"/>
      <c r="F9940" s="30"/>
    </row>
    <row r="9941">
      <c r="A9941" s="134"/>
      <c r="B9941" s="120"/>
      <c r="C9941" s="120"/>
      <c r="D9941" s="120"/>
      <c r="E9941" s="135"/>
      <c r="F9941" s="30"/>
    </row>
    <row r="9942">
      <c r="A9942" s="134"/>
      <c r="B9942" s="120"/>
      <c r="C9942" s="120"/>
      <c r="D9942" s="120"/>
      <c r="E9942" s="135"/>
      <c r="F9942" s="30"/>
    </row>
    <row r="9943">
      <c r="A9943" s="134"/>
      <c r="B9943" s="120"/>
      <c r="C9943" s="120"/>
      <c r="D9943" s="120"/>
      <c r="E9943" s="135"/>
      <c r="F9943" s="30"/>
    </row>
    <row r="9944">
      <c r="A9944" s="134"/>
      <c r="B9944" s="120"/>
      <c r="C9944" s="120"/>
      <c r="D9944" s="120"/>
      <c r="E9944" s="135"/>
      <c r="F9944" s="30"/>
    </row>
    <row r="9945">
      <c r="A9945" s="134"/>
      <c r="B9945" s="120"/>
      <c r="C9945" s="120"/>
      <c r="D9945" s="120"/>
      <c r="E9945" s="135"/>
      <c r="F9945" s="30"/>
    </row>
    <row r="9946">
      <c r="A9946" s="134"/>
      <c r="B9946" s="120"/>
      <c r="C9946" s="120"/>
      <c r="D9946" s="120"/>
      <c r="E9946" s="135"/>
      <c r="F9946" s="30"/>
    </row>
    <row r="9947">
      <c r="A9947" s="134"/>
      <c r="B9947" s="120"/>
      <c r="C9947" s="120"/>
      <c r="D9947" s="120"/>
      <c r="E9947" s="135"/>
      <c r="F9947" s="30"/>
    </row>
    <row r="9948">
      <c r="A9948" s="134"/>
      <c r="B9948" s="120"/>
      <c r="C9948" s="120"/>
      <c r="D9948" s="120"/>
      <c r="E9948" s="135"/>
      <c r="F9948" s="30"/>
    </row>
    <row r="9949">
      <c r="A9949" s="134"/>
      <c r="B9949" s="120"/>
      <c r="C9949" s="120"/>
      <c r="D9949" s="120"/>
      <c r="E9949" s="135"/>
      <c r="F9949" s="30"/>
    </row>
    <row r="9950">
      <c r="A9950" s="134"/>
      <c r="B9950" s="120"/>
      <c r="C9950" s="120"/>
      <c r="D9950" s="120"/>
      <c r="E9950" s="135"/>
      <c r="F9950" s="30"/>
    </row>
    <row r="9951">
      <c r="A9951" s="134"/>
      <c r="B9951" s="120"/>
      <c r="C9951" s="120"/>
      <c r="D9951" s="120"/>
      <c r="E9951" s="135"/>
      <c r="F9951" s="30"/>
    </row>
    <row r="9952">
      <c r="A9952" s="134"/>
      <c r="B9952" s="120"/>
      <c r="C9952" s="120"/>
      <c r="D9952" s="120"/>
      <c r="E9952" s="135"/>
      <c r="F9952" s="30"/>
    </row>
    <row r="9953">
      <c r="A9953" s="134"/>
      <c r="B9953" s="120"/>
      <c r="C9953" s="120"/>
      <c r="D9953" s="120"/>
      <c r="E9953" s="135"/>
      <c r="F9953" s="30"/>
    </row>
    <row r="9954">
      <c r="A9954" s="134"/>
      <c r="B9954" s="120"/>
      <c r="C9954" s="120"/>
      <c r="D9954" s="120"/>
      <c r="E9954" s="135"/>
      <c r="F9954" s="30"/>
    </row>
    <row r="9955">
      <c r="A9955" s="134"/>
      <c r="B9955" s="120"/>
      <c r="C9955" s="120"/>
      <c r="D9955" s="120"/>
      <c r="E9955" s="135"/>
      <c r="F9955" s="30"/>
    </row>
    <row r="9956">
      <c r="A9956" s="134"/>
      <c r="B9956" s="120"/>
      <c r="C9956" s="120"/>
      <c r="D9956" s="120"/>
      <c r="E9956" s="135"/>
      <c r="F9956" s="30"/>
    </row>
    <row r="9957">
      <c r="A9957" s="134"/>
      <c r="B9957" s="120"/>
      <c r="C9957" s="120"/>
      <c r="D9957" s="120"/>
      <c r="E9957" s="135"/>
      <c r="F9957" s="30"/>
    </row>
    <row r="9958">
      <c r="A9958" s="134"/>
      <c r="B9958" s="120"/>
      <c r="C9958" s="120"/>
      <c r="D9958" s="120"/>
      <c r="E9958" s="135"/>
      <c r="F9958" s="30"/>
    </row>
    <row r="9959">
      <c r="A9959" s="134"/>
      <c r="B9959" s="120"/>
      <c r="C9959" s="120"/>
      <c r="D9959" s="120"/>
      <c r="E9959" s="135"/>
      <c r="F9959" s="30"/>
    </row>
    <row r="9960">
      <c r="A9960" s="134"/>
      <c r="B9960" s="120"/>
      <c r="C9960" s="120"/>
      <c r="D9960" s="120"/>
      <c r="E9960" s="135"/>
      <c r="F9960" s="30"/>
    </row>
    <row r="9961">
      <c r="A9961" s="134"/>
      <c r="B9961" s="120"/>
      <c r="C9961" s="120"/>
      <c r="D9961" s="120"/>
      <c r="E9961" s="135"/>
      <c r="F9961" s="30"/>
    </row>
    <row r="9962">
      <c r="A9962" s="134"/>
      <c r="B9962" s="120"/>
      <c r="C9962" s="120"/>
      <c r="D9962" s="120"/>
      <c r="E9962" s="135"/>
      <c r="F9962" s="30"/>
    </row>
    <row r="9963">
      <c r="A9963" s="134"/>
      <c r="B9963" s="120"/>
      <c r="C9963" s="120"/>
      <c r="D9963" s="120"/>
      <c r="E9963" s="135"/>
      <c r="F9963" s="30"/>
    </row>
    <row r="9964">
      <c r="A9964" s="134"/>
      <c r="B9964" s="120"/>
      <c r="C9964" s="120"/>
      <c r="D9964" s="120"/>
      <c r="E9964" s="135"/>
      <c r="F9964" s="30"/>
    </row>
    <row r="9965">
      <c r="A9965" s="134"/>
      <c r="B9965" s="120"/>
      <c r="C9965" s="120"/>
      <c r="D9965" s="120"/>
      <c r="E9965" s="135"/>
      <c r="F9965" s="30"/>
    </row>
    <row r="9966">
      <c r="A9966" s="134"/>
      <c r="B9966" s="120"/>
      <c r="C9966" s="120"/>
      <c r="D9966" s="120"/>
      <c r="E9966" s="135"/>
      <c r="F9966" s="30"/>
    </row>
    <row r="9967">
      <c r="A9967" s="134"/>
      <c r="B9967" s="120"/>
      <c r="C9967" s="120"/>
      <c r="D9967" s="120"/>
      <c r="E9967" s="135"/>
      <c r="F9967" s="30"/>
    </row>
    <row r="9968">
      <c r="A9968" s="134"/>
      <c r="B9968" s="120"/>
      <c r="C9968" s="120"/>
      <c r="D9968" s="120"/>
      <c r="E9968" s="135"/>
      <c r="F9968" s="30"/>
    </row>
    <row r="9969">
      <c r="A9969" s="134"/>
      <c r="B9969" s="120"/>
      <c r="C9969" s="120"/>
      <c r="D9969" s="120"/>
      <c r="E9969" s="135"/>
      <c r="F9969" s="30"/>
    </row>
    <row r="9970">
      <c r="A9970" s="134"/>
      <c r="B9970" s="120"/>
      <c r="C9970" s="120"/>
      <c r="D9970" s="120"/>
      <c r="E9970" s="135"/>
      <c r="F9970" s="30"/>
    </row>
    <row r="9971">
      <c r="A9971" s="134"/>
      <c r="B9971" s="120"/>
      <c r="C9971" s="120"/>
      <c r="D9971" s="120"/>
      <c r="E9971" s="135"/>
      <c r="F9971" s="30"/>
    </row>
    <row r="9972">
      <c r="A9972" s="134"/>
      <c r="B9972" s="120"/>
      <c r="C9972" s="120"/>
      <c r="D9972" s="120"/>
      <c r="E9972" s="135"/>
      <c r="F9972" s="30"/>
    </row>
    <row r="9973">
      <c r="A9973" s="134"/>
      <c r="B9973" s="120"/>
      <c r="C9973" s="120"/>
      <c r="D9973" s="120"/>
      <c r="E9973" s="135"/>
      <c r="F9973" s="30"/>
    </row>
    <row r="9974">
      <c r="A9974" s="134"/>
      <c r="B9974" s="120"/>
      <c r="C9974" s="120"/>
      <c r="D9974" s="120"/>
      <c r="E9974" s="135"/>
      <c r="F9974" s="30"/>
    </row>
    <row r="9975">
      <c r="A9975" s="134"/>
      <c r="B9975" s="120"/>
      <c r="C9975" s="120"/>
      <c r="D9975" s="120"/>
      <c r="E9975" s="135"/>
      <c r="F9975" s="30"/>
    </row>
    <row r="9976">
      <c r="A9976" s="134"/>
      <c r="B9976" s="120"/>
      <c r="C9976" s="120"/>
      <c r="D9976" s="120"/>
      <c r="E9976" s="135"/>
      <c r="F9976" s="30"/>
    </row>
    <row r="9977">
      <c r="A9977" s="134"/>
      <c r="B9977" s="120"/>
      <c r="C9977" s="120"/>
      <c r="D9977" s="120"/>
      <c r="E9977" s="135"/>
      <c r="F9977" s="30"/>
    </row>
    <row r="9978">
      <c r="A9978" s="134"/>
      <c r="B9978" s="120"/>
      <c r="C9978" s="120"/>
      <c r="D9978" s="120"/>
      <c r="E9978" s="135"/>
      <c r="F9978" s="30"/>
    </row>
    <row r="9979">
      <c r="A9979" s="134"/>
      <c r="B9979" s="120"/>
      <c r="C9979" s="120"/>
      <c r="D9979" s="120"/>
      <c r="E9979" s="135"/>
      <c r="F9979" s="30"/>
    </row>
    <row r="9980">
      <c r="A9980" s="134"/>
      <c r="B9980" s="120"/>
      <c r="C9980" s="120"/>
      <c r="D9980" s="120"/>
      <c r="E9980" s="135"/>
      <c r="F9980" s="30"/>
    </row>
    <row r="9981">
      <c r="A9981" s="134"/>
      <c r="B9981" s="120"/>
      <c r="C9981" s="120"/>
      <c r="D9981" s="120"/>
      <c r="E9981" s="135"/>
      <c r="F9981" s="30"/>
    </row>
    <row r="9982">
      <c r="A9982" s="134"/>
      <c r="B9982" s="120"/>
      <c r="C9982" s="120"/>
      <c r="D9982" s="120"/>
      <c r="E9982" s="135"/>
      <c r="F9982" s="30"/>
    </row>
    <row r="9983">
      <c r="A9983" s="134"/>
      <c r="B9983" s="120"/>
      <c r="C9983" s="120"/>
      <c r="D9983" s="120"/>
      <c r="E9983" s="135"/>
      <c r="F9983" s="30"/>
    </row>
    <row r="9984">
      <c r="A9984" s="134"/>
      <c r="B9984" s="120"/>
      <c r="C9984" s="120"/>
      <c r="D9984" s="120"/>
      <c r="E9984" s="135"/>
      <c r="F9984" s="30"/>
    </row>
    <row r="9985">
      <c r="A9985" s="134"/>
      <c r="B9985" s="120"/>
      <c r="C9985" s="120"/>
      <c r="D9985" s="120"/>
      <c r="E9985" s="135"/>
      <c r="F9985" s="30"/>
    </row>
    <row r="9986">
      <c r="A9986" s="134"/>
      <c r="B9986" s="120"/>
      <c r="C9986" s="120"/>
      <c r="D9986" s="120"/>
      <c r="E9986" s="135"/>
      <c r="F9986" s="30"/>
    </row>
    <row r="9987">
      <c r="A9987" s="134"/>
      <c r="B9987" s="120"/>
      <c r="C9987" s="120"/>
      <c r="D9987" s="120"/>
      <c r="E9987" s="135"/>
      <c r="F9987" s="30"/>
    </row>
    <row r="9988">
      <c r="A9988" s="134"/>
      <c r="B9988" s="120"/>
      <c r="C9988" s="120"/>
      <c r="D9988" s="120"/>
      <c r="E9988" s="135"/>
      <c r="F9988" s="30"/>
    </row>
    <row r="9989">
      <c r="A9989" s="134"/>
      <c r="B9989" s="120"/>
      <c r="C9989" s="120"/>
      <c r="D9989" s="120"/>
      <c r="E9989" s="135"/>
      <c r="F9989" s="30"/>
    </row>
    <row r="9990">
      <c r="A9990" s="134"/>
      <c r="B9990" s="120"/>
      <c r="C9990" s="120"/>
      <c r="D9990" s="120"/>
      <c r="E9990" s="135"/>
      <c r="F9990" s="30"/>
    </row>
    <row r="9991">
      <c r="A9991" s="134"/>
      <c r="B9991" s="120"/>
      <c r="C9991" s="120"/>
      <c r="D9991" s="120"/>
      <c r="E9991" s="135"/>
      <c r="F9991" s="30"/>
    </row>
    <row r="9992">
      <c r="A9992" s="134"/>
      <c r="B9992" s="120"/>
      <c r="C9992" s="120"/>
      <c r="D9992" s="120"/>
      <c r="E9992" s="135"/>
      <c r="F9992" s="30"/>
    </row>
    <row r="9993">
      <c r="A9993" s="134"/>
      <c r="B9993" s="120"/>
      <c r="C9993" s="120"/>
      <c r="D9993" s="120"/>
      <c r="E9993" s="135"/>
      <c r="F9993" s="30"/>
    </row>
    <row r="9994">
      <c r="A9994" s="134"/>
      <c r="B9994" s="120"/>
      <c r="C9994" s="120"/>
      <c r="D9994" s="120"/>
      <c r="E9994" s="135"/>
      <c r="F9994" s="30"/>
    </row>
    <row r="9995">
      <c r="A9995" s="134"/>
      <c r="B9995" s="120"/>
      <c r="C9995" s="120"/>
      <c r="D9995" s="120"/>
      <c r="E9995" s="135"/>
      <c r="F9995" s="30"/>
    </row>
    <row r="9996">
      <c r="A9996" s="134"/>
      <c r="B9996" s="120"/>
      <c r="C9996" s="120"/>
      <c r="D9996" s="120"/>
      <c r="E9996" s="135"/>
      <c r="F9996" s="30"/>
    </row>
    <row r="9997">
      <c r="A9997" s="134"/>
      <c r="B9997" s="120"/>
      <c r="C9997" s="120"/>
      <c r="D9997" s="120"/>
      <c r="E9997" s="135"/>
      <c r="F9997" s="30"/>
    </row>
    <row r="9998">
      <c r="A9998" s="134"/>
      <c r="B9998" s="120"/>
      <c r="C9998" s="120"/>
      <c r="D9998" s="120"/>
      <c r="E9998" s="135"/>
      <c r="F9998" s="30"/>
    </row>
    <row r="9999">
      <c r="A9999" s="134"/>
      <c r="B9999" s="120"/>
      <c r="C9999" s="120"/>
      <c r="D9999" s="120"/>
      <c r="E9999" s="135"/>
      <c r="F9999" s="30"/>
    </row>
    <row r="10000">
      <c r="A10000" s="134"/>
      <c r="B10000" s="120"/>
      <c r="C10000" s="120"/>
      <c r="D10000" s="120"/>
      <c r="E10000" s="135"/>
      <c r="F10000" s="30"/>
    </row>
    <row r="10001">
      <c r="A10001" s="134"/>
      <c r="B10001" s="120"/>
      <c r="C10001" s="120"/>
      <c r="D10001" s="120"/>
      <c r="E10001" s="135"/>
      <c r="F10001" s="30"/>
    </row>
    <row r="10002">
      <c r="A10002" s="134"/>
      <c r="B10002" s="120"/>
      <c r="C10002" s="120"/>
      <c r="D10002" s="120"/>
      <c r="E10002" s="135"/>
      <c r="F10002" s="30"/>
    </row>
    <row r="10003">
      <c r="A10003" s="134"/>
      <c r="B10003" s="120"/>
      <c r="C10003" s="120"/>
      <c r="D10003" s="120"/>
      <c r="E10003" s="135"/>
      <c r="F10003" s="30"/>
    </row>
    <row r="10004">
      <c r="A10004" s="134"/>
      <c r="B10004" s="120"/>
      <c r="C10004" s="120"/>
      <c r="D10004" s="120"/>
      <c r="E10004" s="135"/>
      <c r="F10004" s="30"/>
    </row>
    <row r="10005">
      <c r="A10005" s="134"/>
      <c r="B10005" s="120"/>
      <c r="C10005" s="120"/>
      <c r="D10005" s="120"/>
      <c r="E10005" s="135"/>
      <c r="F10005" s="30"/>
    </row>
    <row r="10006">
      <c r="A10006" s="134"/>
      <c r="B10006" s="120"/>
      <c r="C10006" s="120"/>
      <c r="D10006" s="120"/>
      <c r="E10006" s="135"/>
      <c r="F10006" s="30"/>
    </row>
    <row r="10007">
      <c r="A10007" s="134"/>
      <c r="B10007" s="120"/>
      <c r="C10007" s="120"/>
      <c r="D10007" s="120"/>
      <c r="E10007" s="135"/>
      <c r="F10007" s="30"/>
    </row>
    <row r="10008">
      <c r="A10008" s="134"/>
      <c r="B10008" s="120"/>
      <c r="C10008" s="120"/>
      <c r="D10008" s="120"/>
      <c r="E10008" s="135"/>
      <c r="F10008" s="30"/>
    </row>
    <row r="10009">
      <c r="A10009" s="134"/>
      <c r="B10009" s="120"/>
      <c r="C10009" s="120"/>
      <c r="D10009" s="120"/>
      <c r="E10009" s="135"/>
      <c r="F10009" s="30"/>
    </row>
    <row r="10010">
      <c r="A10010" s="134"/>
      <c r="B10010" s="120"/>
      <c r="C10010" s="120"/>
      <c r="D10010" s="120"/>
      <c r="E10010" s="135"/>
      <c r="F10010" s="30"/>
    </row>
    <row r="10011">
      <c r="A10011" s="134"/>
      <c r="B10011" s="120"/>
      <c r="C10011" s="120"/>
      <c r="D10011" s="120"/>
      <c r="E10011" s="135"/>
      <c r="F10011" s="30"/>
    </row>
    <row r="10012">
      <c r="A10012" s="134"/>
      <c r="B10012" s="120"/>
      <c r="C10012" s="120"/>
      <c r="D10012" s="120"/>
      <c r="E10012" s="135"/>
      <c r="F10012" s="30"/>
    </row>
    <row r="10013">
      <c r="A10013" s="134"/>
      <c r="B10013" s="120"/>
      <c r="C10013" s="120"/>
      <c r="D10013" s="120"/>
      <c r="E10013" s="135"/>
      <c r="F10013" s="30"/>
    </row>
    <row r="10014">
      <c r="A10014" s="134"/>
      <c r="B10014" s="120"/>
      <c r="C10014" s="120"/>
      <c r="D10014" s="120"/>
      <c r="E10014" s="135"/>
      <c r="F10014" s="30"/>
    </row>
    <row r="10015">
      <c r="A10015" s="134"/>
      <c r="B10015" s="120"/>
      <c r="C10015" s="120"/>
      <c r="D10015" s="120"/>
      <c r="E10015" s="135"/>
      <c r="F10015" s="30"/>
    </row>
    <row r="10016">
      <c r="A10016" s="134"/>
      <c r="B10016" s="120"/>
      <c r="C10016" s="120"/>
      <c r="D10016" s="120"/>
      <c r="E10016" s="135"/>
      <c r="F10016" s="30"/>
    </row>
    <row r="10017">
      <c r="A10017" s="134"/>
      <c r="B10017" s="120"/>
      <c r="C10017" s="120"/>
      <c r="D10017" s="120"/>
      <c r="E10017" s="135"/>
      <c r="F10017" s="30"/>
    </row>
    <row r="10018">
      <c r="A10018" s="134"/>
      <c r="B10018" s="120"/>
      <c r="C10018" s="120"/>
      <c r="D10018" s="120"/>
      <c r="E10018" s="135"/>
      <c r="F10018" s="30"/>
    </row>
    <row r="10019">
      <c r="A10019" s="134"/>
      <c r="B10019" s="120"/>
      <c r="C10019" s="120"/>
      <c r="D10019" s="120"/>
      <c r="E10019" s="135"/>
      <c r="F10019" s="30"/>
    </row>
    <row r="10020">
      <c r="A10020" s="134"/>
      <c r="B10020" s="120"/>
      <c r="C10020" s="120"/>
      <c r="D10020" s="120"/>
      <c r="E10020" s="135"/>
      <c r="F10020" s="30"/>
    </row>
    <row r="10021">
      <c r="A10021" s="134"/>
      <c r="B10021" s="120"/>
      <c r="C10021" s="120"/>
      <c r="D10021" s="120"/>
      <c r="E10021" s="135"/>
      <c r="F10021" s="30"/>
    </row>
    <row r="10022">
      <c r="A10022" s="134"/>
      <c r="B10022" s="120"/>
      <c r="C10022" s="120"/>
      <c r="D10022" s="120"/>
      <c r="E10022" s="135"/>
      <c r="F10022" s="30"/>
    </row>
    <row r="10023">
      <c r="A10023" s="134"/>
      <c r="B10023" s="120"/>
      <c r="C10023" s="120"/>
      <c r="D10023" s="120"/>
      <c r="E10023" s="135"/>
      <c r="F10023" s="30"/>
    </row>
    <row r="10024">
      <c r="A10024" s="134"/>
      <c r="B10024" s="120"/>
      <c r="C10024" s="120"/>
      <c r="D10024" s="120"/>
      <c r="E10024" s="135"/>
      <c r="F10024" s="30"/>
    </row>
    <row r="10025">
      <c r="A10025" s="134"/>
      <c r="B10025" s="120"/>
      <c r="C10025" s="120"/>
      <c r="D10025" s="120"/>
      <c r="E10025" s="135"/>
      <c r="F10025" s="30"/>
    </row>
    <row r="10026">
      <c r="A10026" s="134"/>
      <c r="B10026" s="120"/>
      <c r="C10026" s="120"/>
      <c r="D10026" s="120"/>
      <c r="E10026" s="135"/>
      <c r="F10026" s="30"/>
    </row>
    <row r="10027">
      <c r="A10027" s="134"/>
      <c r="B10027" s="120"/>
      <c r="C10027" s="120"/>
      <c r="D10027" s="120"/>
      <c r="E10027" s="135"/>
      <c r="F10027" s="30"/>
    </row>
    <row r="10028">
      <c r="A10028" s="134"/>
      <c r="B10028" s="120"/>
      <c r="C10028" s="120"/>
      <c r="D10028" s="120"/>
      <c r="E10028" s="135"/>
      <c r="F10028" s="30"/>
    </row>
    <row r="10029">
      <c r="A10029" s="134"/>
      <c r="B10029" s="120"/>
      <c r="C10029" s="120"/>
      <c r="D10029" s="120"/>
      <c r="E10029" s="135"/>
      <c r="F10029" s="30"/>
    </row>
    <row r="10030">
      <c r="A10030" s="134"/>
      <c r="B10030" s="120"/>
      <c r="C10030" s="120"/>
      <c r="D10030" s="120"/>
      <c r="E10030" s="135"/>
      <c r="F10030" s="30"/>
    </row>
    <row r="10031">
      <c r="A10031" s="134"/>
      <c r="B10031" s="120"/>
      <c r="C10031" s="120"/>
      <c r="D10031" s="120"/>
      <c r="E10031" s="135"/>
      <c r="F10031" s="30"/>
    </row>
    <row r="10032">
      <c r="A10032" s="134"/>
      <c r="B10032" s="120"/>
      <c r="C10032" s="120"/>
      <c r="D10032" s="120"/>
      <c r="E10032" s="135"/>
      <c r="F10032" s="30"/>
    </row>
    <row r="10033">
      <c r="A10033" s="134"/>
      <c r="B10033" s="120"/>
      <c r="C10033" s="120"/>
      <c r="D10033" s="120"/>
      <c r="E10033" s="135"/>
      <c r="F10033" s="30"/>
    </row>
    <row r="10034">
      <c r="A10034" s="134"/>
      <c r="B10034" s="120"/>
      <c r="C10034" s="120"/>
      <c r="D10034" s="120"/>
      <c r="E10034" s="135"/>
      <c r="F10034" s="30"/>
    </row>
    <row r="10035">
      <c r="A10035" s="134"/>
      <c r="B10035" s="120"/>
      <c r="C10035" s="120"/>
      <c r="D10035" s="120"/>
      <c r="E10035" s="135"/>
      <c r="F10035" s="30"/>
    </row>
    <row r="10036">
      <c r="A10036" s="134"/>
      <c r="B10036" s="120"/>
      <c r="C10036" s="120"/>
      <c r="D10036" s="120"/>
      <c r="E10036" s="135"/>
      <c r="F10036" s="30"/>
    </row>
    <row r="10037">
      <c r="A10037" s="134"/>
      <c r="B10037" s="120"/>
      <c r="C10037" s="120"/>
      <c r="D10037" s="120"/>
      <c r="E10037" s="135"/>
      <c r="F10037" s="30"/>
    </row>
    <row r="10038">
      <c r="A10038" s="134"/>
      <c r="B10038" s="120"/>
      <c r="C10038" s="120"/>
      <c r="D10038" s="120"/>
      <c r="E10038" s="135"/>
      <c r="F10038" s="30"/>
    </row>
    <row r="10039">
      <c r="A10039" s="134"/>
      <c r="B10039" s="120"/>
      <c r="C10039" s="120"/>
      <c r="D10039" s="120"/>
      <c r="E10039" s="135"/>
      <c r="F10039" s="30"/>
    </row>
    <row r="10040">
      <c r="A10040" s="134"/>
      <c r="B10040" s="120"/>
      <c r="C10040" s="120"/>
      <c r="D10040" s="120"/>
      <c r="E10040" s="135"/>
      <c r="F10040" s="30"/>
    </row>
    <row r="10041">
      <c r="A10041" s="134"/>
      <c r="B10041" s="120"/>
      <c r="C10041" s="120"/>
      <c r="D10041" s="120"/>
      <c r="E10041" s="135"/>
      <c r="F10041" s="30"/>
    </row>
    <row r="10042">
      <c r="A10042" s="134"/>
      <c r="B10042" s="120"/>
      <c r="C10042" s="120"/>
      <c r="D10042" s="120"/>
      <c r="E10042" s="135"/>
      <c r="F10042" s="30"/>
    </row>
    <row r="10043">
      <c r="A10043" s="134"/>
      <c r="B10043" s="120"/>
      <c r="C10043" s="120"/>
      <c r="D10043" s="120"/>
      <c r="E10043" s="135"/>
      <c r="F10043" s="30"/>
    </row>
    <row r="10044">
      <c r="A10044" s="134"/>
      <c r="B10044" s="120"/>
      <c r="C10044" s="120"/>
      <c r="D10044" s="120"/>
      <c r="E10044" s="135"/>
      <c r="F10044" s="30"/>
    </row>
    <row r="10045">
      <c r="A10045" s="134"/>
      <c r="B10045" s="120"/>
      <c r="C10045" s="120"/>
      <c r="D10045" s="120"/>
      <c r="E10045" s="135"/>
      <c r="F10045" s="30"/>
    </row>
    <row r="10046">
      <c r="A10046" s="134"/>
      <c r="B10046" s="120"/>
      <c r="C10046" s="120"/>
      <c r="D10046" s="120"/>
      <c r="E10046" s="135"/>
      <c r="F10046" s="30"/>
    </row>
    <row r="10047">
      <c r="A10047" s="134"/>
      <c r="B10047" s="120"/>
      <c r="C10047" s="120"/>
      <c r="D10047" s="120"/>
      <c r="E10047" s="135"/>
      <c r="F10047" s="30"/>
    </row>
    <row r="10048">
      <c r="A10048" s="134"/>
      <c r="B10048" s="120"/>
      <c r="C10048" s="120"/>
      <c r="D10048" s="120"/>
      <c r="E10048" s="135"/>
      <c r="F10048" s="30"/>
    </row>
    <row r="10049">
      <c r="A10049" s="134"/>
      <c r="B10049" s="120"/>
      <c r="C10049" s="120"/>
      <c r="D10049" s="120"/>
      <c r="E10049" s="135"/>
      <c r="F10049" s="30"/>
    </row>
    <row r="10050">
      <c r="A10050" s="134"/>
      <c r="B10050" s="120"/>
      <c r="C10050" s="120"/>
      <c r="D10050" s="120"/>
      <c r="E10050" s="135"/>
      <c r="F10050" s="30"/>
    </row>
    <row r="10051">
      <c r="A10051" s="134"/>
      <c r="B10051" s="120"/>
      <c r="C10051" s="120"/>
      <c r="D10051" s="120"/>
      <c r="E10051" s="135"/>
      <c r="F10051" s="30"/>
    </row>
    <row r="10052">
      <c r="A10052" s="134"/>
      <c r="B10052" s="120"/>
      <c r="C10052" s="120"/>
      <c r="D10052" s="120"/>
      <c r="E10052" s="135"/>
      <c r="F10052" s="30"/>
    </row>
    <row r="10053">
      <c r="A10053" s="134"/>
      <c r="B10053" s="120"/>
      <c r="C10053" s="120"/>
      <c r="D10053" s="120"/>
      <c r="E10053" s="135"/>
      <c r="F10053" s="30"/>
    </row>
    <row r="10054">
      <c r="A10054" s="134"/>
      <c r="B10054" s="120"/>
      <c r="C10054" s="120"/>
      <c r="D10054" s="120"/>
      <c r="E10054" s="135"/>
      <c r="F10054" s="30"/>
    </row>
    <row r="10055">
      <c r="A10055" s="134"/>
      <c r="B10055" s="120"/>
      <c r="C10055" s="120"/>
      <c r="D10055" s="120"/>
      <c r="E10055" s="135"/>
      <c r="F10055" s="30"/>
    </row>
    <row r="10056">
      <c r="A10056" s="134"/>
      <c r="B10056" s="120"/>
      <c r="C10056" s="120"/>
      <c r="D10056" s="120"/>
      <c r="E10056" s="135"/>
      <c r="F10056" s="30"/>
    </row>
    <row r="10057">
      <c r="A10057" s="134"/>
      <c r="B10057" s="120"/>
      <c r="C10057" s="120"/>
      <c r="D10057" s="120"/>
      <c r="E10057" s="135"/>
      <c r="F10057" s="30"/>
    </row>
    <row r="10058">
      <c r="A10058" s="134"/>
      <c r="B10058" s="120"/>
      <c r="C10058" s="120"/>
      <c r="D10058" s="120"/>
      <c r="E10058" s="135"/>
      <c r="F10058" s="30"/>
    </row>
    <row r="10059">
      <c r="A10059" s="134"/>
      <c r="B10059" s="120"/>
      <c r="C10059" s="120"/>
      <c r="D10059" s="120"/>
      <c r="E10059" s="135"/>
      <c r="F10059" s="30"/>
    </row>
    <row r="10060">
      <c r="A10060" s="134"/>
      <c r="B10060" s="120"/>
      <c r="C10060" s="120"/>
      <c r="D10060" s="120"/>
      <c r="E10060" s="135"/>
      <c r="F10060" s="30"/>
    </row>
    <row r="10061">
      <c r="A10061" s="134"/>
      <c r="B10061" s="120"/>
      <c r="C10061" s="120"/>
      <c r="D10061" s="120"/>
      <c r="E10061" s="135"/>
      <c r="F10061" s="30"/>
    </row>
    <row r="10062">
      <c r="A10062" s="134"/>
      <c r="B10062" s="120"/>
      <c r="C10062" s="120"/>
      <c r="D10062" s="120"/>
      <c r="E10062" s="135"/>
      <c r="F10062" s="30"/>
    </row>
    <row r="10063">
      <c r="A10063" s="134"/>
      <c r="B10063" s="120"/>
      <c r="C10063" s="120"/>
      <c r="D10063" s="120"/>
      <c r="E10063" s="135"/>
      <c r="F10063" s="30"/>
    </row>
    <row r="10064">
      <c r="A10064" s="134"/>
      <c r="B10064" s="120"/>
      <c r="C10064" s="120"/>
      <c r="D10064" s="120"/>
      <c r="E10064" s="135"/>
      <c r="F10064" s="30"/>
    </row>
    <row r="10065">
      <c r="A10065" s="134"/>
      <c r="B10065" s="120"/>
      <c r="C10065" s="120"/>
      <c r="D10065" s="120"/>
      <c r="E10065" s="135"/>
      <c r="F10065" s="30"/>
    </row>
    <row r="10066">
      <c r="A10066" s="134"/>
      <c r="B10066" s="120"/>
      <c r="C10066" s="120"/>
      <c r="D10066" s="120"/>
      <c r="E10066" s="135"/>
      <c r="F10066" s="30"/>
    </row>
    <row r="10067">
      <c r="A10067" s="134"/>
      <c r="B10067" s="120"/>
      <c r="C10067" s="120"/>
      <c r="D10067" s="120"/>
      <c r="E10067" s="135"/>
      <c r="F10067" s="30"/>
    </row>
    <row r="10068">
      <c r="A10068" s="134"/>
      <c r="B10068" s="120"/>
      <c r="C10068" s="120"/>
      <c r="D10068" s="120"/>
      <c r="E10068" s="135"/>
      <c r="F10068" s="30"/>
    </row>
    <row r="10069">
      <c r="A10069" s="134"/>
      <c r="B10069" s="120"/>
      <c r="C10069" s="120"/>
      <c r="D10069" s="120"/>
      <c r="E10069" s="135"/>
      <c r="F10069" s="30"/>
    </row>
    <row r="10070">
      <c r="A10070" s="134"/>
      <c r="B10070" s="120"/>
      <c r="C10070" s="120"/>
      <c r="D10070" s="120"/>
      <c r="E10070" s="135"/>
      <c r="F10070" s="30"/>
    </row>
    <row r="10071">
      <c r="A10071" s="134"/>
      <c r="B10071" s="120"/>
      <c r="C10071" s="120"/>
      <c r="D10071" s="120"/>
      <c r="E10071" s="135"/>
      <c r="F10071" s="30"/>
    </row>
    <row r="10072">
      <c r="A10072" s="134"/>
      <c r="B10072" s="120"/>
      <c r="C10072" s="120"/>
      <c r="D10072" s="120"/>
      <c r="E10072" s="135"/>
      <c r="F10072" s="30"/>
    </row>
    <row r="10073">
      <c r="A10073" s="134"/>
      <c r="B10073" s="120"/>
      <c r="C10073" s="120"/>
      <c r="D10073" s="120"/>
      <c r="E10073" s="135"/>
      <c r="F10073" s="30"/>
    </row>
    <row r="10074">
      <c r="A10074" s="134"/>
      <c r="B10074" s="120"/>
      <c r="C10074" s="120"/>
      <c r="D10074" s="120"/>
      <c r="E10074" s="135"/>
      <c r="F10074" s="30"/>
    </row>
    <row r="10075">
      <c r="A10075" s="134"/>
      <c r="B10075" s="120"/>
      <c r="C10075" s="120"/>
      <c r="D10075" s="120"/>
      <c r="E10075" s="135"/>
      <c r="F10075" s="30"/>
    </row>
    <row r="10076">
      <c r="A10076" s="134"/>
      <c r="B10076" s="120"/>
      <c r="C10076" s="120"/>
      <c r="D10076" s="120"/>
      <c r="E10076" s="135"/>
      <c r="F10076" s="30"/>
    </row>
    <row r="10077">
      <c r="A10077" s="134"/>
      <c r="B10077" s="120"/>
      <c r="C10077" s="120"/>
      <c r="D10077" s="120"/>
      <c r="E10077" s="135"/>
      <c r="F10077" s="30"/>
    </row>
    <row r="10078">
      <c r="A10078" s="134"/>
      <c r="B10078" s="120"/>
      <c r="C10078" s="120"/>
      <c r="D10078" s="120"/>
      <c r="E10078" s="135"/>
      <c r="F10078" s="30"/>
    </row>
    <row r="10079">
      <c r="A10079" s="134"/>
      <c r="B10079" s="120"/>
      <c r="C10079" s="120"/>
      <c r="D10079" s="120"/>
      <c r="E10079" s="135"/>
      <c r="F10079" s="30"/>
    </row>
    <row r="10080">
      <c r="A10080" s="134"/>
      <c r="B10080" s="120"/>
      <c r="C10080" s="120"/>
      <c r="D10080" s="120"/>
      <c r="E10080" s="135"/>
      <c r="F10080" s="30"/>
    </row>
    <row r="10081">
      <c r="A10081" s="134"/>
      <c r="B10081" s="120"/>
      <c r="C10081" s="120"/>
      <c r="D10081" s="120"/>
      <c r="E10081" s="135"/>
      <c r="F10081" s="30"/>
    </row>
    <row r="10082">
      <c r="A10082" s="134"/>
      <c r="B10082" s="120"/>
      <c r="C10082" s="120"/>
      <c r="D10082" s="120"/>
      <c r="E10082" s="135"/>
      <c r="F10082" s="30"/>
    </row>
    <row r="10083">
      <c r="A10083" s="134"/>
      <c r="B10083" s="120"/>
      <c r="C10083" s="120"/>
      <c r="D10083" s="120"/>
      <c r="E10083" s="135"/>
      <c r="F10083" s="30"/>
    </row>
    <row r="10084">
      <c r="A10084" s="134"/>
      <c r="B10084" s="120"/>
      <c r="C10084" s="120"/>
      <c r="D10084" s="120"/>
      <c r="E10084" s="135"/>
      <c r="F10084" s="30"/>
    </row>
    <row r="10085">
      <c r="A10085" s="134"/>
      <c r="B10085" s="120"/>
      <c r="C10085" s="120"/>
      <c r="D10085" s="120"/>
      <c r="E10085" s="135"/>
      <c r="F10085" s="30"/>
    </row>
    <row r="10086">
      <c r="A10086" s="134"/>
      <c r="B10086" s="120"/>
      <c r="C10086" s="120"/>
      <c r="D10086" s="120"/>
      <c r="E10086" s="135"/>
      <c r="F10086" s="30"/>
    </row>
    <row r="10087">
      <c r="A10087" s="134"/>
      <c r="B10087" s="120"/>
      <c r="C10087" s="120"/>
      <c r="D10087" s="120"/>
      <c r="E10087" s="135"/>
      <c r="F10087" s="30"/>
    </row>
    <row r="10088">
      <c r="A10088" s="134"/>
      <c r="B10088" s="120"/>
      <c r="C10088" s="120"/>
      <c r="D10088" s="120"/>
      <c r="E10088" s="135"/>
      <c r="F10088" s="30"/>
    </row>
    <row r="10089">
      <c r="A10089" s="134"/>
      <c r="B10089" s="120"/>
      <c r="C10089" s="120"/>
      <c r="D10089" s="120"/>
      <c r="E10089" s="135"/>
      <c r="F10089" s="30"/>
    </row>
    <row r="10090">
      <c r="A10090" s="134"/>
      <c r="B10090" s="120"/>
      <c r="C10090" s="120"/>
      <c r="D10090" s="120"/>
      <c r="E10090" s="135"/>
      <c r="F10090" s="30"/>
    </row>
    <row r="10091">
      <c r="A10091" s="134"/>
      <c r="B10091" s="120"/>
      <c r="C10091" s="120"/>
      <c r="D10091" s="120"/>
      <c r="E10091" s="135"/>
      <c r="F10091" s="30"/>
    </row>
    <row r="10092">
      <c r="A10092" s="134"/>
      <c r="B10092" s="120"/>
      <c r="C10092" s="120"/>
      <c r="D10092" s="120"/>
      <c r="E10092" s="135"/>
      <c r="F10092" s="30"/>
    </row>
    <row r="10093">
      <c r="A10093" s="134"/>
      <c r="B10093" s="120"/>
      <c r="C10093" s="120"/>
      <c r="D10093" s="120"/>
      <c r="E10093" s="135"/>
      <c r="F10093" s="30"/>
    </row>
    <row r="10094">
      <c r="A10094" s="134"/>
      <c r="B10094" s="120"/>
      <c r="C10094" s="120"/>
      <c r="D10094" s="120"/>
      <c r="E10094" s="135"/>
      <c r="F10094" s="30"/>
    </row>
    <row r="10095">
      <c r="A10095" s="134"/>
      <c r="B10095" s="120"/>
      <c r="C10095" s="120"/>
      <c r="D10095" s="120"/>
      <c r="E10095" s="135"/>
      <c r="F10095" s="30"/>
    </row>
    <row r="10096">
      <c r="A10096" s="134"/>
      <c r="B10096" s="120"/>
      <c r="C10096" s="120"/>
      <c r="D10096" s="120"/>
      <c r="E10096" s="135"/>
      <c r="F10096" s="30"/>
    </row>
    <row r="10097">
      <c r="A10097" s="134"/>
      <c r="B10097" s="120"/>
      <c r="C10097" s="120"/>
      <c r="D10097" s="120"/>
      <c r="E10097" s="135"/>
      <c r="F10097" s="30"/>
    </row>
    <row r="10098">
      <c r="A10098" s="134"/>
      <c r="B10098" s="120"/>
      <c r="C10098" s="120"/>
      <c r="D10098" s="120"/>
      <c r="E10098" s="135"/>
      <c r="F10098" s="30"/>
    </row>
    <row r="10099">
      <c r="A10099" s="134"/>
      <c r="B10099" s="120"/>
      <c r="C10099" s="120"/>
      <c r="D10099" s="120"/>
      <c r="E10099" s="135"/>
      <c r="F10099" s="30"/>
    </row>
    <row r="10100">
      <c r="A10100" s="134"/>
      <c r="B10100" s="120"/>
      <c r="C10100" s="120"/>
      <c r="D10100" s="120"/>
      <c r="E10100" s="135"/>
      <c r="F10100" s="30"/>
    </row>
    <row r="10101">
      <c r="A10101" s="134"/>
      <c r="B10101" s="120"/>
      <c r="C10101" s="120"/>
      <c r="D10101" s="120"/>
      <c r="E10101" s="135"/>
      <c r="F10101" s="30"/>
    </row>
    <row r="10102">
      <c r="A10102" s="134"/>
      <c r="B10102" s="120"/>
      <c r="C10102" s="120"/>
      <c r="D10102" s="120"/>
      <c r="E10102" s="135"/>
      <c r="F10102" s="30"/>
    </row>
    <row r="10103">
      <c r="A10103" s="134"/>
      <c r="B10103" s="120"/>
      <c r="C10103" s="120"/>
      <c r="D10103" s="120"/>
      <c r="E10103" s="135"/>
      <c r="F10103" s="30"/>
    </row>
    <row r="10104">
      <c r="A10104" s="134"/>
      <c r="B10104" s="120"/>
      <c r="C10104" s="120"/>
      <c r="D10104" s="120"/>
      <c r="E10104" s="135"/>
      <c r="F10104" s="30"/>
    </row>
    <row r="10105">
      <c r="A10105" s="134"/>
      <c r="B10105" s="120"/>
      <c r="C10105" s="120"/>
      <c r="D10105" s="120"/>
      <c r="E10105" s="135"/>
      <c r="F10105" s="30"/>
    </row>
    <row r="10106">
      <c r="A10106" s="134"/>
      <c r="B10106" s="120"/>
      <c r="C10106" s="120"/>
      <c r="D10106" s="120"/>
      <c r="E10106" s="135"/>
      <c r="F10106" s="30"/>
    </row>
    <row r="10107">
      <c r="A10107" s="134"/>
      <c r="B10107" s="120"/>
      <c r="C10107" s="120"/>
      <c r="D10107" s="120"/>
      <c r="E10107" s="135"/>
      <c r="F10107" s="30"/>
    </row>
    <row r="10108">
      <c r="A10108" s="134"/>
      <c r="B10108" s="120"/>
      <c r="C10108" s="120"/>
      <c r="D10108" s="120"/>
      <c r="E10108" s="135"/>
      <c r="F10108" s="30"/>
    </row>
    <row r="10109">
      <c r="A10109" s="134"/>
      <c r="B10109" s="120"/>
      <c r="C10109" s="120"/>
      <c r="D10109" s="120"/>
      <c r="E10109" s="135"/>
      <c r="F10109" s="30"/>
    </row>
    <row r="10110">
      <c r="A10110" s="134"/>
      <c r="B10110" s="120"/>
      <c r="C10110" s="120"/>
      <c r="D10110" s="120"/>
      <c r="E10110" s="135"/>
      <c r="F10110" s="30"/>
    </row>
    <row r="10111">
      <c r="A10111" s="134"/>
      <c r="B10111" s="120"/>
      <c r="C10111" s="120"/>
      <c r="D10111" s="120"/>
      <c r="E10111" s="135"/>
      <c r="F10111" s="30"/>
    </row>
    <row r="10112">
      <c r="A10112" s="134"/>
      <c r="B10112" s="120"/>
      <c r="C10112" s="120"/>
      <c r="D10112" s="120"/>
      <c r="E10112" s="135"/>
      <c r="F10112" s="30"/>
    </row>
    <row r="10113">
      <c r="A10113" s="134"/>
      <c r="B10113" s="120"/>
      <c r="C10113" s="120"/>
      <c r="D10113" s="120"/>
      <c r="E10113" s="135"/>
      <c r="F10113" s="30"/>
    </row>
    <row r="10114">
      <c r="A10114" s="134"/>
      <c r="B10114" s="120"/>
      <c r="C10114" s="120"/>
      <c r="D10114" s="120"/>
      <c r="E10114" s="135"/>
      <c r="F10114" s="30"/>
    </row>
    <row r="10115">
      <c r="A10115" s="134"/>
      <c r="B10115" s="120"/>
      <c r="C10115" s="120"/>
      <c r="D10115" s="120"/>
      <c r="E10115" s="135"/>
      <c r="F10115" s="30"/>
    </row>
    <row r="10116">
      <c r="A10116" s="134"/>
      <c r="B10116" s="120"/>
      <c r="C10116" s="120"/>
      <c r="D10116" s="120"/>
      <c r="E10116" s="135"/>
      <c r="F10116" s="30"/>
    </row>
    <row r="10117">
      <c r="A10117" s="134"/>
      <c r="B10117" s="120"/>
      <c r="C10117" s="120"/>
      <c r="D10117" s="120"/>
      <c r="E10117" s="135"/>
      <c r="F10117" s="30"/>
    </row>
    <row r="10118">
      <c r="A10118" s="134"/>
      <c r="B10118" s="120"/>
      <c r="C10118" s="120"/>
      <c r="D10118" s="120"/>
      <c r="E10118" s="135"/>
      <c r="F10118" s="30"/>
    </row>
    <row r="10119">
      <c r="A10119" s="134"/>
      <c r="B10119" s="120"/>
      <c r="C10119" s="120"/>
      <c r="D10119" s="120"/>
      <c r="E10119" s="135"/>
      <c r="F10119" s="30"/>
    </row>
    <row r="10120">
      <c r="A10120" s="134"/>
      <c r="B10120" s="120"/>
      <c r="C10120" s="120"/>
      <c r="D10120" s="120"/>
      <c r="E10120" s="135"/>
      <c r="F10120" s="30"/>
    </row>
    <row r="10121">
      <c r="A10121" s="134"/>
      <c r="B10121" s="120"/>
      <c r="C10121" s="120"/>
      <c r="D10121" s="120"/>
      <c r="E10121" s="135"/>
      <c r="F10121" s="30"/>
    </row>
    <row r="10122">
      <c r="A10122" s="134"/>
      <c r="B10122" s="120"/>
      <c r="C10122" s="120"/>
      <c r="D10122" s="120"/>
      <c r="E10122" s="135"/>
      <c r="F10122" s="30"/>
    </row>
    <row r="10123">
      <c r="A10123" s="134"/>
      <c r="B10123" s="120"/>
      <c r="C10123" s="120"/>
      <c r="D10123" s="120"/>
      <c r="E10123" s="135"/>
      <c r="F10123" s="30"/>
    </row>
    <row r="10124">
      <c r="A10124" s="134"/>
      <c r="B10124" s="120"/>
      <c r="C10124" s="120"/>
      <c r="D10124" s="120"/>
      <c r="E10124" s="135"/>
      <c r="F10124" s="30"/>
    </row>
    <row r="10125">
      <c r="A10125" s="134"/>
      <c r="B10125" s="120"/>
      <c r="C10125" s="120"/>
      <c r="D10125" s="120"/>
      <c r="E10125" s="135"/>
      <c r="F10125" s="30"/>
    </row>
    <row r="10126">
      <c r="A10126" s="134"/>
      <c r="B10126" s="120"/>
      <c r="C10126" s="120"/>
      <c r="D10126" s="120"/>
      <c r="E10126" s="135"/>
      <c r="F10126" s="30"/>
    </row>
    <row r="10127">
      <c r="A10127" s="134"/>
      <c r="B10127" s="120"/>
      <c r="C10127" s="120"/>
      <c r="D10127" s="120"/>
      <c r="E10127" s="135"/>
      <c r="F10127" s="30"/>
    </row>
    <row r="10128">
      <c r="A10128" s="134"/>
      <c r="B10128" s="120"/>
      <c r="C10128" s="120"/>
      <c r="D10128" s="120"/>
      <c r="E10128" s="135"/>
      <c r="F10128" s="30"/>
    </row>
    <row r="10129">
      <c r="A10129" s="134"/>
      <c r="B10129" s="120"/>
      <c r="C10129" s="120"/>
      <c r="D10129" s="120"/>
      <c r="E10129" s="135"/>
      <c r="F10129" s="30"/>
    </row>
    <row r="10130">
      <c r="A10130" s="134"/>
      <c r="B10130" s="120"/>
      <c r="C10130" s="120"/>
      <c r="D10130" s="120"/>
      <c r="E10130" s="135"/>
      <c r="F10130" s="30"/>
    </row>
    <row r="10131">
      <c r="A10131" s="134"/>
      <c r="B10131" s="120"/>
      <c r="C10131" s="120"/>
      <c r="D10131" s="120"/>
      <c r="E10131" s="135"/>
      <c r="F10131" s="30"/>
    </row>
    <row r="10132">
      <c r="A10132" s="134"/>
      <c r="B10132" s="120"/>
      <c r="C10132" s="120"/>
      <c r="D10132" s="120"/>
      <c r="E10132" s="135"/>
      <c r="F10132" s="30"/>
    </row>
    <row r="10133">
      <c r="A10133" s="134"/>
      <c r="B10133" s="120"/>
      <c r="C10133" s="120"/>
      <c r="D10133" s="120"/>
      <c r="E10133" s="135"/>
      <c r="F10133" s="30"/>
    </row>
    <row r="10134">
      <c r="A10134" s="134"/>
      <c r="B10134" s="120"/>
      <c r="C10134" s="120"/>
      <c r="D10134" s="120"/>
      <c r="E10134" s="135"/>
      <c r="F10134" s="30"/>
    </row>
    <row r="10135">
      <c r="A10135" s="134"/>
      <c r="B10135" s="120"/>
      <c r="C10135" s="120"/>
      <c r="D10135" s="120"/>
      <c r="E10135" s="135"/>
      <c r="F10135" s="30"/>
    </row>
    <row r="10136">
      <c r="A10136" s="134"/>
      <c r="B10136" s="120"/>
      <c r="C10136" s="120"/>
      <c r="D10136" s="120"/>
      <c r="E10136" s="135"/>
      <c r="F10136" s="30"/>
    </row>
    <row r="10137">
      <c r="A10137" s="134"/>
      <c r="B10137" s="120"/>
      <c r="C10137" s="120"/>
      <c r="D10137" s="120"/>
      <c r="E10137" s="135"/>
      <c r="F10137" s="30"/>
    </row>
    <row r="10138">
      <c r="A10138" s="134"/>
      <c r="B10138" s="120"/>
      <c r="C10138" s="120"/>
      <c r="D10138" s="120"/>
      <c r="E10138" s="135"/>
      <c r="F10138" s="30"/>
    </row>
    <row r="10139">
      <c r="A10139" s="134"/>
      <c r="B10139" s="120"/>
      <c r="C10139" s="120"/>
      <c r="D10139" s="120"/>
      <c r="E10139" s="135"/>
      <c r="F10139" s="30"/>
    </row>
    <row r="10140">
      <c r="A10140" s="134"/>
      <c r="B10140" s="120"/>
      <c r="C10140" s="120"/>
      <c r="D10140" s="120"/>
      <c r="E10140" s="135"/>
      <c r="F10140" s="30"/>
    </row>
    <row r="10141">
      <c r="A10141" s="134"/>
      <c r="B10141" s="120"/>
      <c r="C10141" s="120"/>
      <c r="D10141" s="120"/>
      <c r="E10141" s="135"/>
      <c r="F10141" s="30"/>
    </row>
    <row r="10142">
      <c r="A10142" s="134"/>
      <c r="B10142" s="120"/>
      <c r="C10142" s="120"/>
      <c r="D10142" s="120"/>
      <c r="E10142" s="135"/>
      <c r="F10142" s="30"/>
    </row>
    <row r="10143">
      <c r="A10143" s="134"/>
      <c r="B10143" s="120"/>
      <c r="C10143" s="120"/>
      <c r="D10143" s="120"/>
      <c r="E10143" s="135"/>
      <c r="F10143" s="30"/>
    </row>
    <row r="10144">
      <c r="A10144" s="134"/>
      <c r="B10144" s="120"/>
      <c r="C10144" s="120"/>
      <c r="D10144" s="120"/>
      <c r="E10144" s="135"/>
      <c r="F10144" s="30"/>
    </row>
    <row r="10145">
      <c r="A10145" s="134"/>
      <c r="B10145" s="120"/>
      <c r="C10145" s="120"/>
      <c r="D10145" s="120"/>
      <c r="E10145" s="135"/>
      <c r="F10145" s="30"/>
    </row>
    <row r="10146">
      <c r="A10146" s="134"/>
      <c r="B10146" s="120"/>
      <c r="C10146" s="120"/>
      <c r="D10146" s="120"/>
      <c r="E10146" s="135"/>
      <c r="F10146" s="30"/>
    </row>
    <row r="10147">
      <c r="A10147" s="134"/>
      <c r="B10147" s="120"/>
      <c r="C10147" s="120"/>
      <c r="D10147" s="120"/>
      <c r="E10147" s="135"/>
      <c r="F10147" s="30"/>
    </row>
    <row r="10148">
      <c r="A10148" s="134"/>
      <c r="B10148" s="120"/>
      <c r="C10148" s="120"/>
      <c r="D10148" s="120"/>
      <c r="E10148" s="135"/>
      <c r="F10148" s="30"/>
    </row>
    <row r="10149">
      <c r="A10149" s="134"/>
      <c r="B10149" s="120"/>
      <c r="C10149" s="120"/>
      <c r="D10149" s="120"/>
      <c r="E10149" s="135"/>
      <c r="F10149" s="30"/>
    </row>
    <row r="10150">
      <c r="A10150" s="134"/>
      <c r="B10150" s="120"/>
      <c r="C10150" s="120"/>
      <c r="D10150" s="120"/>
      <c r="E10150" s="135"/>
      <c r="F10150" s="30"/>
    </row>
    <row r="10151">
      <c r="A10151" s="134"/>
      <c r="B10151" s="120"/>
      <c r="C10151" s="120"/>
      <c r="D10151" s="120"/>
      <c r="E10151" s="135"/>
      <c r="F10151" s="30"/>
    </row>
    <row r="10152">
      <c r="A10152" s="134"/>
      <c r="B10152" s="120"/>
      <c r="C10152" s="120"/>
      <c r="D10152" s="120"/>
      <c r="E10152" s="135"/>
      <c r="F10152" s="30"/>
    </row>
    <row r="10153">
      <c r="A10153" s="134"/>
      <c r="B10153" s="120"/>
      <c r="C10153" s="120"/>
      <c r="D10153" s="120"/>
      <c r="E10153" s="135"/>
      <c r="F10153" s="30"/>
    </row>
    <row r="10154">
      <c r="A10154" s="134"/>
      <c r="B10154" s="120"/>
      <c r="C10154" s="120"/>
      <c r="D10154" s="120"/>
      <c r="E10154" s="135"/>
      <c r="F10154" s="30"/>
    </row>
    <row r="10155">
      <c r="A10155" s="134"/>
      <c r="B10155" s="120"/>
      <c r="C10155" s="120"/>
      <c r="D10155" s="120"/>
      <c r="E10155" s="135"/>
      <c r="F10155" s="30"/>
    </row>
    <row r="10156">
      <c r="A10156" s="134"/>
      <c r="B10156" s="120"/>
      <c r="C10156" s="120"/>
      <c r="D10156" s="120"/>
      <c r="E10156" s="135"/>
      <c r="F10156" s="30"/>
    </row>
    <row r="10157">
      <c r="A10157" s="134"/>
      <c r="B10157" s="120"/>
      <c r="C10157" s="120"/>
      <c r="D10157" s="120"/>
      <c r="E10157" s="135"/>
      <c r="F10157" s="30"/>
    </row>
    <row r="10158">
      <c r="A10158" s="134"/>
      <c r="B10158" s="120"/>
      <c r="C10158" s="120"/>
      <c r="D10158" s="120"/>
      <c r="E10158" s="135"/>
      <c r="F10158" s="30"/>
    </row>
    <row r="10159">
      <c r="A10159" s="134"/>
      <c r="B10159" s="120"/>
      <c r="C10159" s="120"/>
      <c r="D10159" s="120"/>
      <c r="E10159" s="135"/>
      <c r="F10159" s="30"/>
    </row>
    <row r="10160">
      <c r="A10160" s="134"/>
      <c r="B10160" s="120"/>
      <c r="C10160" s="120"/>
      <c r="D10160" s="120"/>
      <c r="E10160" s="135"/>
      <c r="F10160" s="30"/>
    </row>
    <row r="10161">
      <c r="A10161" s="134"/>
      <c r="B10161" s="120"/>
      <c r="C10161" s="120"/>
      <c r="D10161" s="120"/>
      <c r="E10161" s="135"/>
      <c r="F10161" s="30"/>
    </row>
    <row r="10162">
      <c r="A10162" s="134"/>
      <c r="B10162" s="120"/>
      <c r="C10162" s="120"/>
      <c r="D10162" s="120"/>
      <c r="E10162" s="135"/>
      <c r="F10162" s="30"/>
    </row>
    <row r="10163">
      <c r="A10163" s="134"/>
      <c r="B10163" s="120"/>
      <c r="C10163" s="120"/>
      <c r="D10163" s="120"/>
      <c r="E10163" s="135"/>
      <c r="F10163" s="30"/>
    </row>
    <row r="10164">
      <c r="A10164" s="134"/>
      <c r="B10164" s="120"/>
      <c r="C10164" s="120"/>
      <c r="D10164" s="120"/>
      <c r="E10164" s="135"/>
      <c r="F10164" s="30"/>
    </row>
    <row r="10165">
      <c r="A10165" s="134"/>
      <c r="B10165" s="120"/>
      <c r="C10165" s="120"/>
      <c r="D10165" s="120"/>
      <c r="E10165" s="135"/>
      <c r="F10165" s="30"/>
    </row>
    <row r="10166">
      <c r="A10166" s="134"/>
      <c r="B10166" s="120"/>
      <c r="C10166" s="120"/>
      <c r="D10166" s="120"/>
      <c r="E10166" s="135"/>
      <c r="F10166" s="30"/>
    </row>
    <row r="10167">
      <c r="A10167" s="134"/>
      <c r="B10167" s="120"/>
      <c r="C10167" s="120"/>
      <c r="D10167" s="120"/>
      <c r="E10167" s="135"/>
      <c r="F10167" s="30"/>
    </row>
    <row r="10168">
      <c r="A10168" s="134"/>
      <c r="B10168" s="120"/>
      <c r="C10168" s="120"/>
      <c r="D10168" s="120"/>
      <c r="E10168" s="135"/>
      <c r="F10168" s="30"/>
    </row>
    <row r="10169">
      <c r="A10169" s="134"/>
      <c r="B10169" s="120"/>
      <c r="C10169" s="120"/>
      <c r="D10169" s="120"/>
      <c r="E10169" s="135"/>
      <c r="F10169" s="30"/>
    </row>
    <row r="10170">
      <c r="A10170" s="134"/>
      <c r="B10170" s="120"/>
      <c r="C10170" s="120"/>
      <c r="D10170" s="120"/>
      <c r="E10170" s="135"/>
      <c r="F10170" s="30"/>
    </row>
    <row r="10171">
      <c r="A10171" s="134"/>
      <c r="B10171" s="120"/>
      <c r="C10171" s="120"/>
      <c r="D10171" s="120"/>
      <c r="E10171" s="135"/>
      <c r="F10171" s="30"/>
    </row>
    <row r="10172">
      <c r="A10172" s="134"/>
      <c r="B10172" s="120"/>
      <c r="C10172" s="120"/>
      <c r="D10172" s="120"/>
      <c r="E10172" s="135"/>
      <c r="F10172" s="30"/>
    </row>
    <row r="10173">
      <c r="A10173" s="134"/>
      <c r="B10173" s="120"/>
      <c r="C10173" s="120"/>
      <c r="D10173" s="120"/>
      <c r="E10173" s="135"/>
      <c r="F10173" s="30"/>
    </row>
    <row r="10174">
      <c r="A10174" s="134"/>
      <c r="B10174" s="120"/>
      <c r="C10174" s="120"/>
      <c r="D10174" s="120"/>
      <c r="E10174" s="135"/>
      <c r="F10174" s="30"/>
    </row>
    <row r="10175">
      <c r="A10175" s="134"/>
      <c r="B10175" s="120"/>
      <c r="C10175" s="120"/>
      <c r="D10175" s="120"/>
      <c r="E10175" s="135"/>
      <c r="F10175" s="30"/>
    </row>
    <row r="10176">
      <c r="A10176" s="134"/>
      <c r="B10176" s="120"/>
      <c r="C10176" s="120"/>
      <c r="D10176" s="120"/>
      <c r="E10176" s="135"/>
      <c r="F10176" s="30"/>
    </row>
    <row r="10177">
      <c r="A10177" s="134"/>
      <c r="B10177" s="120"/>
      <c r="C10177" s="120"/>
      <c r="D10177" s="120"/>
      <c r="E10177" s="135"/>
      <c r="F10177" s="30"/>
    </row>
    <row r="10178">
      <c r="A10178" s="134"/>
      <c r="B10178" s="120"/>
      <c r="C10178" s="120"/>
      <c r="D10178" s="120"/>
      <c r="E10178" s="135"/>
      <c r="F10178" s="30"/>
    </row>
    <row r="10179">
      <c r="A10179" s="134"/>
      <c r="B10179" s="120"/>
      <c r="C10179" s="120"/>
      <c r="D10179" s="120"/>
      <c r="E10179" s="135"/>
      <c r="F10179" s="30"/>
    </row>
    <row r="10180">
      <c r="A10180" s="134"/>
      <c r="B10180" s="120"/>
      <c r="C10180" s="120"/>
      <c r="D10180" s="120"/>
      <c r="E10180" s="135"/>
      <c r="F10180" s="30"/>
    </row>
    <row r="10181">
      <c r="A10181" s="134"/>
      <c r="B10181" s="120"/>
      <c r="C10181" s="120"/>
      <c r="D10181" s="120"/>
      <c r="E10181" s="135"/>
      <c r="F10181" s="30"/>
    </row>
    <row r="10182">
      <c r="A10182" s="134"/>
      <c r="B10182" s="120"/>
      <c r="C10182" s="120"/>
      <c r="D10182" s="120"/>
      <c r="E10182" s="135"/>
      <c r="F10182" s="30"/>
    </row>
    <row r="10183">
      <c r="A10183" s="134"/>
      <c r="B10183" s="120"/>
      <c r="C10183" s="120"/>
      <c r="D10183" s="120"/>
      <c r="E10183" s="135"/>
      <c r="F10183" s="30"/>
    </row>
    <row r="10184">
      <c r="A10184" s="134"/>
      <c r="B10184" s="120"/>
      <c r="C10184" s="120"/>
      <c r="D10184" s="120"/>
      <c r="E10184" s="135"/>
      <c r="F10184" s="30"/>
    </row>
    <row r="10185">
      <c r="A10185" s="134"/>
      <c r="B10185" s="120"/>
      <c r="C10185" s="120"/>
      <c r="D10185" s="120"/>
      <c r="E10185" s="135"/>
      <c r="F10185" s="30"/>
    </row>
    <row r="10186">
      <c r="A10186" s="134"/>
      <c r="B10186" s="120"/>
      <c r="C10186" s="120"/>
      <c r="D10186" s="120"/>
      <c r="E10186" s="135"/>
      <c r="F10186" s="30"/>
    </row>
    <row r="10187">
      <c r="A10187" s="134"/>
      <c r="B10187" s="120"/>
      <c r="C10187" s="120"/>
      <c r="D10187" s="120"/>
      <c r="E10187" s="135"/>
      <c r="F10187" s="30"/>
    </row>
    <row r="10188">
      <c r="A10188" s="134"/>
      <c r="B10188" s="120"/>
      <c r="C10188" s="120"/>
      <c r="D10188" s="120"/>
      <c r="E10188" s="135"/>
      <c r="F10188" s="30"/>
    </row>
    <row r="10189">
      <c r="A10189" s="134"/>
      <c r="B10189" s="120"/>
      <c r="C10189" s="120"/>
      <c r="D10189" s="120"/>
      <c r="E10189" s="135"/>
      <c r="F10189" s="30"/>
    </row>
    <row r="10190">
      <c r="A10190" s="134"/>
      <c r="B10190" s="120"/>
      <c r="C10190" s="120"/>
      <c r="D10190" s="120"/>
      <c r="E10190" s="135"/>
      <c r="F10190" s="30"/>
    </row>
    <row r="10191">
      <c r="A10191" s="134"/>
      <c r="B10191" s="120"/>
      <c r="C10191" s="120"/>
      <c r="D10191" s="120"/>
      <c r="E10191" s="135"/>
      <c r="F10191" s="30"/>
    </row>
    <row r="10192">
      <c r="A10192" s="134"/>
      <c r="B10192" s="120"/>
      <c r="C10192" s="120"/>
      <c r="D10192" s="120"/>
      <c r="E10192" s="135"/>
      <c r="F10192" s="30"/>
    </row>
    <row r="10193">
      <c r="A10193" s="134"/>
      <c r="B10193" s="120"/>
      <c r="C10193" s="120"/>
      <c r="D10193" s="120"/>
      <c r="E10193" s="135"/>
      <c r="F10193" s="30"/>
    </row>
    <row r="10194">
      <c r="A10194" s="134"/>
      <c r="B10194" s="120"/>
      <c r="C10194" s="120"/>
      <c r="D10194" s="120"/>
      <c r="E10194" s="135"/>
      <c r="F10194" s="30"/>
    </row>
    <row r="10195">
      <c r="A10195" s="134"/>
      <c r="B10195" s="120"/>
      <c r="C10195" s="120"/>
      <c r="D10195" s="120"/>
      <c r="E10195" s="135"/>
      <c r="F10195" s="30"/>
    </row>
    <row r="10196">
      <c r="A10196" s="134"/>
      <c r="B10196" s="120"/>
      <c r="C10196" s="120"/>
      <c r="D10196" s="120"/>
      <c r="E10196" s="135"/>
      <c r="F10196" s="30"/>
    </row>
    <row r="10197">
      <c r="A10197" s="134"/>
      <c r="B10197" s="120"/>
      <c r="C10197" s="120"/>
      <c r="D10197" s="120"/>
      <c r="E10197" s="135"/>
      <c r="F10197" s="30"/>
    </row>
    <row r="10198">
      <c r="A10198" s="134"/>
      <c r="B10198" s="120"/>
      <c r="C10198" s="120"/>
      <c r="D10198" s="120"/>
      <c r="E10198" s="135"/>
      <c r="F10198" s="30"/>
    </row>
    <row r="10199">
      <c r="A10199" s="134"/>
      <c r="B10199" s="120"/>
      <c r="C10199" s="120"/>
      <c r="D10199" s="120"/>
      <c r="E10199" s="135"/>
      <c r="F10199" s="30"/>
    </row>
    <row r="10200">
      <c r="A10200" s="134"/>
      <c r="B10200" s="120"/>
      <c r="C10200" s="120"/>
      <c r="D10200" s="120"/>
      <c r="E10200" s="135"/>
      <c r="F10200" s="30"/>
    </row>
    <row r="10201">
      <c r="A10201" s="134"/>
      <c r="B10201" s="120"/>
      <c r="C10201" s="120"/>
      <c r="D10201" s="120"/>
      <c r="E10201" s="135"/>
      <c r="F10201" s="30"/>
    </row>
    <row r="10202">
      <c r="A10202" s="134"/>
      <c r="B10202" s="120"/>
      <c r="C10202" s="120"/>
      <c r="D10202" s="120"/>
      <c r="E10202" s="135"/>
      <c r="F10202" s="30"/>
    </row>
    <row r="10203">
      <c r="A10203" s="134"/>
      <c r="B10203" s="120"/>
      <c r="C10203" s="120"/>
      <c r="D10203" s="120"/>
      <c r="E10203" s="135"/>
      <c r="F10203" s="30"/>
    </row>
    <row r="10204">
      <c r="A10204" s="134"/>
      <c r="B10204" s="120"/>
      <c r="C10204" s="120"/>
      <c r="D10204" s="120"/>
      <c r="E10204" s="135"/>
      <c r="F10204" s="30"/>
    </row>
    <row r="10205">
      <c r="A10205" s="134"/>
      <c r="B10205" s="120"/>
      <c r="C10205" s="120"/>
      <c r="D10205" s="120"/>
      <c r="E10205" s="135"/>
      <c r="F10205" s="30"/>
    </row>
    <row r="10206">
      <c r="A10206" s="134"/>
      <c r="B10206" s="120"/>
      <c r="C10206" s="120"/>
      <c r="D10206" s="120"/>
      <c r="E10206" s="135"/>
      <c r="F10206" s="30"/>
    </row>
    <row r="10207">
      <c r="A10207" s="134"/>
      <c r="B10207" s="120"/>
      <c r="C10207" s="120"/>
      <c r="D10207" s="120"/>
      <c r="E10207" s="135"/>
      <c r="F10207" s="30"/>
    </row>
    <row r="10208">
      <c r="A10208" s="134"/>
      <c r="B10208" s="120"/>
      <c r="C10208" s="120"/>
      <c r="D10208" s="120"/>
      <c r="E10208" s="135"/>
      <c r="F10208" s="30"/>
    </row>
    <row r="10209">
      <c r="A10209" s="134"/>
      <c r="B10209" s="120"/>
      <c r="C10209" s="120"/>
      <c r="D10209" s="120"/>
      <c r="E10209" s="135"/>
      <c r="F10209" s="30"/>
    </row>
    <row r="10210">
      <c r="A10210" s="134"/>
      <c r="B10210" s="120"/>
      <c r="C10210" s="120"/>
      <c r="D10210" s="120"/>
      <c r="E10210" s="135"/>
      <c r="F10210" s="30"/>
    </row>
    <row r="10211">
      <c r="A10211" s="134"/>
      <c r="B10211" s="120"/>
      <c r="C10211" s="120"/>
      <c r="D10211" s="120"/>
      <c r="E10211" s="135"/>
      <c r="F10211" s="30"/>
    </row>
    <row r="10212">
      <c r="A10212" s="134"/>
      <c r="B10212" s="120"/>
      <c r="C10212" s="120"/>
      <c r="D10212" s="120"/>
      <c r="E10212" s="135"/>
      <c r="F10212" s="30"/>
    </row>
    <row r="10213">
      <c r="A10213" s="134"/>
      <c r="B10213" s="120"/>
      <c r="C10213" s="120"/>
      <c r="D10213" s="120"/>
      <c r="E10213" s="135"/>
      <c r="F10213" s="30"/>
    </row>
    <row r="10214">
      <c r="A10214" s="134"/>
      <c r="B10214" s="120"/>
      <c r="C10214" s="120"/>
      <c r="D10214" s="120"/>
      <c r="E10214" s="135"/>
      <c r="F10214" s="30"/>
    </row>
    <row r="10215">
      <c r="A10215" s="134"/>
      <c r="B10215" s="120"/>
      <c r="C10215" s="120"/>
      <c r="D10215" s="120"/>
      <c r="E10215" s="135"/>
      <c r="F10215" s="30"/>
    </row>
    <row r="10216">
      <c r="A10216" s="134"/>
      <c r="B10216" s="120"/>
      <c r="C10216" s="120"/>
      <c r="D10216" s="120"/>
      <c r="E10216" s="135"/>
      <c r="F10216" s="30"/>
    </row>
    <row r="10217">
      <c r="A10217" s="134"/>
      <c r="B10217" s="120"/>
      <c r="C10217" s="120"/>
      <c r="D10217" s="120"/>
      <c r="E10217" s="135"/>
      <c r="F10217" s="30"/>
    </row>
    <row r="10218">
      <c r="A10218" s="134"/>
      <c r="B10218" s="120"/>
      <c r="C10218" s="120"/>
      <c r="D10218" s="120"/>
      <c r="E10218" s="135"/>
      <c r="F10218" s="30"/>
    </row>
    <row r="10219">
      <c r="A10219" s="134"/>
      <c r="B10219" s="120"/>
      <c r="C10219" s="120"/>
      <c r="D10219" s="120"/>
      <c r="E10219" s="135"/>
      <c r="F10219" s="30"/>
    </row>
    <row r="10220">
      <c r="A10220" s="134"/>
      <c r="B10220" s="120"/>
      <c r="C10220" s="120"/>
      <c r="D10220" s="120"/>
      <c r="E10220" s="135"/>
      <c r="F10220" s="30"/>
    </row>
    <row r="10221">
      <c r="A10221" s="134"/>
      <c r="B10221" s="120"/>
      <c r="C10221" s="120"/>
      <c r="D10221" s="120"/>
      <c r="E10221" s="135"/>
      <c r="F10221" s="30"/>
    </row>
    <row r="10222">
      <c r="A10222" s="134"/>
      <c r="B10222" s="120"/>
      <c r="C10222" s="120"/>
      <c r="D10222" s="120"/>
      <c r="E10222" s="135"/>
      <c r="F10222" s="30"/>
    </row>
    <row r="10223">
      <c r="A10223" s="134"/>
      <c r="B10223" s="120"/>
      <c r="C10223" s="120"/>
      <c r="D10223" s="120"/>
      <c r="E10223" s="135"/>
      <c r="F10223" s="30"/>
    </row>
    <row r="10224">
      <c r="A10224" s="134"/>
      <c r="B10224" s="120"/>
      <c r="C10224" s="120"/>
      <c r="D10224" s="120"/>
      <c r="E10224" s="135"/>
      <c r="F10224" s="30"/>
    </row>
    <row r="10225">
      <c r="A10225" s="134"/>
      <c r="B10225" s="120"/>
      <c r="C10225" s="120"/>
      <c r="D10225" s="120"/>
      <c r="E10225" s="135"/>
      <c r="F10225" s="30"/>
    </row>
    <row r="10226">
      <c r="A10226" s="134"/>
      <c r="B10226" s="120"/>
      <c r="C10226" s="120"/>
      <c r="D10226" s="120"/>
      <c r="E10226" s="135"/>
      <c r="F10226" s="30"/>
    </row>
    <row r="10227">
      <c r="A10227" s="134"/>
      <c r="B10227" s="120"/>
      <c r="C10227" s="120"/>
      <c r="D10227" s="120"/>
      <c r="E10227" s="135"/>
      <c r="F10227" s="30"/>
    </row>
    <row r="10228">
      <c r="A10228" s="134"/>
      <c r="B10228" s="120"/>
      <c r="C10228" s="120"/>
      <c r="D10228" s="120"/>
      <c r="E10228" s="135"/>
      <c r="F10228" s="30"/>
    </row>
    <row r="10229">
      <c r="A10229" s="134"/>
      <c r="B10229" s="120"/>
      <c r="C10229" s="120"/>
      <c r="D10229" s="120"/>
      <c r="E10229" s="135"/>
      <c r="F10229" s="30"/>
    </row>
    <row r="10230">
      <c r="A10230" s="134"/>
      <c r="B10230" s="120"/>
      <c r="C10230" s="120"/>
      <c r="D10230" s="120"/>
      <c r="E10230" s="135"/>
      <c r="F10230" s="30"/>
    </row>
    <row r="10231">
      <c r="A10231" s="134"/>
      <c r="B10231" s="120"/>
      <c r="C10231" s="120"/>
      <c r="D10231" s="120"/>
      <c r="E10231" s="135"/>
      <c r="F10231" s="30"/>
    </row>
    <row r="10232">
      <c r="A10232" s="134"/>
      <c r="B10232" s="120"/>
      <c r="C10232" s="120"/>
      <c r="D10232" s="120"/>
      <c r="E10232" s="135"/>
      <c r="F10232" s="30"/>
    </row>
    <row r="10233">
      <c r="A10233" s="134"/>
      <c r="B10233" s="120"/>
      <c r="C10233" s="120"/>
      <c r="D10233" s="120"/>
      <c r="E10233" s="135"/>
      <c r="F10233" s="30"/>
    </row>
    <row r="10234">
      <c r="A10234" s="134"/>
      <c r="B10234" s="120"/>
      <c r="C10234" s="120"/>
      <c r="D10234" s="120"/>
      <c r="E10234" s="135"/>
      <c r="F10234" s="30"/>
    </row>
    <row r="10235">
      <c r="A10235" s="134"/>
      <c r="B10235" s="120"/>
      <c r="C10235" s="120"/>
      <c r="D10235" s="120"/>
      <c r="E10235" s="135"/>
      <c r="F10235" s="30"/>
    </row>
    <row r="10236">
      <c r="A10236" s="134"/>
      <c r="B10236" s="120"/>
      <c r="C10236" s="120"/>
      <c r="D10236" s="120"/>
      <c r="E10236" s="135"/>
      <c r="F10236" s="30"/>
    </row>
    <row r="10237">
      <c r="A10237" s="134"/>
      <c r="B10237" s="120"/>
      <c r="C10237" s="120"/>
      <c r="D10237" s="120"/>
      <c r="E10237" s="135"/>
      <c r="F10237" s="30"/>
    </row>
    <row r="10238">
      <c r="A10238" s="134"/>
      <c r="B10238" s="120"/>
      <c r="C10238" s="120"/>
      <c r="D10238" s="120"/>
      <c r="E10238" s="135"/>
      <c r="F10238" s="30"/>
    </row>
    <row r="10239">
      <c r="A10239" s="134"/>
      <c r="B10239" s="120"/>
      <c r="C10239" s="120"/>
      <c r="D10239" s="120"/>
      <c r="E10239" s="135"/>
      <c r="F10239" s="30"/>
    </row>
    <row r="10240">
      <c r="A10240" s="134"/>
      <c r="B10240" s="120"/>
      <c r="C10240" s="120"/>
      <c r="D10240" s="120"/>
      <c r="E10240" s="135"/>
      <c r="F10240" s="30"/>
    </row>
    <row r="10241">
      <c r="A10241" s="134"/>
      <c r="B10241" s="120"/>
      <c r="C10241" s="120"/>
      <c r="D10241" s="120"/>
      <c r="E10241" s="135"/>
      <c r="F10241" s="30"/>
    </row>
    <row r="10242">
      <c r="A10242" s="134"/>
      <c r="B10242" s="120"/>
      <c r="C10242" s="120"/>
      <c r="D10242" s="120"/>
      <c r="E10242" s="135"/>
      <c r="F10242" s="30"/>
    </row>
    <row r="10243">
      <c r="A10243" s="134"/>
      <c r="B10243" s="120"/>
      <c r="C10243" s="120"/>
      <c r="D10243" s="120"/>
      <c r="E10243" s="135"/>
      <c r="F10243" s="30"/>
    </row>
    <row r="10244">
      <c r="A10244" s="134"/>
      <c r="B10244" s="120"/>
      <c r="C10244" s="120"/>
      <c r="D10244" s="120"/>
      <c r="E10244" s="135"/>
      <c r="F10244" s="30"/>
    </row>
    <row r="10245">
      <c r="A10245" s="134"/>
      <c r="B10245" s="120"/>
      <c r="C10245" s="120"/>
      <c r="D10245" s="120"/>
      <c r="E10245" s="135"/>
      <c r="F10245" s="30"/>
    </row>
    <row r="10246">
      <c r="A10246" s="134"/>
      <c r="B10246" s="120"/>
      <c r="C10246" s="120"/>
      <c r="D10246" s="120"/>
      <c r="E10246" s="135"/>
      <c r="F10246" s="30"/>
    </row>
    <row r="10247">
      <c r="A10247" s="134"/>
      <c r="B10247" s="120"/>
      <c r="C10247" s="120"/>
      <c r="D10247" s="120"/>
      <c r="E10247" s="135"/>
      <c r="F10247" s="30"/>
    </row>
    <row r="10248">
      <c r="A10248" s="134"/>
      <c r="B10248" s="120"/>
      <c r="C10248" s="120"/>
      <c r="D10248" s="120"/>
      <c r="E10248" s="135"/>
      <c r="F10248" s="30"/>
    </row>
    <row r="10249">
      <c r="A10249" s="134"/>
      <c r="B10249" s="120"/>
      <c r="C10249" s="120"/>
      <c r="D10249" s="120"/>
      <c r="E10249" s="135"/>
      <c r="F10249" s="30"/>
    </row>
    <row r="10250">
      <c r="A10250" s="134"/>
      <c r="B10250" s="120"/>
      <c r="C10250" s="120"/>
      <c r="D10250" s="120"/>
      <c r="E10250" s="135"/>
      <c r="F10250" s="30"/>
    </row>
    <row r="10251">
      <c r="A10251" s="134"/>
      <c r="B10251" s="120"/>
      <c r="C10251" s="120"/>
      <c r="D10251" s="120"/>
      <c r="E10251" s="135"/>
      <c r="F10251" s="30"/>
    </row>
    <row r="10252">
      <c r="A10252" s="134"/>
      <c r="B10252" s="120"/>
      <c r="C10252" s="120"/>
      <c r="D10252" s="120"/>
      <c r="E10252" s="135"/>
      <c r="F10252" s="30"/>
    </row>
    <row r="10253">
      <c r="A10253" s="134"/>
      <c r="B10253" s="120"/>
      <c r="C10253" s="120"/>
      <c r="D10253" s="120"/>
      <c r="E10253" s="135"/>
      <c r="F10253" s="30"/>
    </row>
    <row r="10254">
      <c r="A10254" s="134"/>
      <c r="B10254" s="120"/>
      <c r="C10254" s="120"/>
      <c r="D10254" s="120"/>
      <c r="E10254" s="135"/>
      <c r="F10254" s="30"/>
    </row>
    <row r="10255">
      <c r="A10255" s="134"/>
      <c r="B10255" s="120"/>
      <c r="C10255" s="120"/>
      <c r="D10255" s="120"/>
      <c r="E10255" s="135"/>
      <c r="F10255" s="30"/>
    </row>
    <row r="10256">
      <c r="A10256" s="134"/>
      <c r="B10256" s="120"/>
      <c r="C10256" s="120"/>
      <c r="D10256" s="120"/>
      <c r="E10256" s="135"/>
      <c r="F10256" s="30"/>
    </row>
    <row r="10257">
      <c r="A10257" s="134"/>
      <c r="B10257" s="120"/>
      <c r="C10257" s="120"/>
      <c r="D10257" s="120"/>
      <c r="E10257" s="135"/>
      <c r="F10257" s="30"/>
    </row>
    <row r="10258">
      <c r="A10258" s="134"/>
      <c r="B10258" s="120"/>
      <c r="C10258" s="120"/>
      <c r="D10258" s="120"/>
      <c r="E10258" s="135"/>
      <c r="F10258" s="30"/>
    </row>
    <row r="10259">
      <c r="A10259" s="134"/>
      <c r="B10259" s="120"/>
      <c r="C10259" s="120"/>
      <c r="D10259" s="120"/>
      <c r="E10259" s="135"/>
      <c r="F10259" s="30"/>
    </row>
    <row r="10260">
      <c r="A10260" s="134"/>
      <c r="B10260" s="120"/>
      <c r="C10260" s="120"/>
      <c r="D10260" s="120"/>
      <c r="E10260" s="135"/>
      <c r="F10260" s="30"/>
    </row>
    <row r="10261">
      <c r="A10261" s="134"/>
      <c r="B10261" s="120"/>
      <c r="C10261" s="120"/>
      <c r="D10261" s="120"/>
      <c r="E10261" s="135"/>
      <c r="F10261" s="30"/>
    </row>
    <row r="10262">
      <c r="A10262" s="134"/>
      <c r="B10262" s="120"/>
      <c r="C10262" s="120"/>
      <c r="D10262" s="120"/>
      <c r="E10262" s="135"/>
      <c r="F10262" s="30"/>
    </row>
    <row r="10263">
      <c r="A10263" s="134"/>
      <c r="B10263" s="120"/>
      <c r="C10263" s="120"/>
      <c r="D10263" s="120"/>
      <c r="E10263" s="135"/>
      <c r="F10263" s="30"/>
    </row>
    <row r="10264">
      <c r="A10264" s="134"/>
      <c r="B10264" s="120"/>
      <c r="C10264" s="120"/>
      <c r="D10264" s="120"/>
      <c r="E10264" s="135"/>
      <c r="F10264" s="30"/>
    </row>
    <row r="10265">
      <c r="A10265" s="134"/>
      <c r="B10265" s="120"/>
      <c r="C10265" s="120"/>
      <c r="D10265" s="120"/>
      <c r="E10265" s="135"/>
      <c r="F10265" s="30"/>
    </row>
    <row r="10266">
      <c r="A10266" s="134"/>
      <c r="B10266" s="120"/>
      <c r="C10266" s="120"/>
      <c r="D10266" s="120"/>
      <c r="E10266" s="135"/>
      <c r="F10266" s="30"/>
    </row>
    <row r="10267">
      <c r="A10267" s="134"/>
      <c r="B10267" s="120"/>
      <c r="C10267" s="120"/>
      <c r="D10267" s="120"/>
      <c r="E10267" s="135"/>
      <c r="F10267" s="30"/>
    </row>
    <row r="10268">
      <c r="A10268" s="134"/>
      <c r="B10268" s="120"/>
      <c r="C10268" s="120"/>
      <c r="D10268" s="120"/>
      <c r="E10268" s="135"/>
      <c r="F10268" s="30"/>
    </row>
    <row r="10269">
      <c r="A10269" s="134"/>
      <c r="B10269" s="120"/>
      <c r="C10269" s="120"/>
      <c r="D10269" s="120"/>
      <c r="E10269" s="135"/>
      <c r="F10269" s="30"/>
    </row>
    <row r="10270">
      <c r="A10270" s="134"/>
      <c r="B10270" s="120"/>
      <c r="C10270" s="120"/>
      <c r="D10270" s="120"/>
      <c r="E10270" s="135"/>
      <c r="F10270" s="30"/>
    </row>
    <row r="10271">
      <c r="A10271" s="134"/>
      <c r="B10271" s="120"/>
      <c r="C10271" s="120"/>
      <c r="D10271" s="120"/>
      <c r="E10271" s="135"/>
      <c r="F10271" s="30"/>
    </row>
    <row r="10272">
      <c r="A10272" s="134"/>
      <c r="B10272" s="120"/>
      <c r="C10272" s="120"/>
      <c r="D10272" s="120"/>
      <c r="E10272" s="135"/>
      <c r="F10272" s="30"/>
    </row>
    <row r="10273">
      <c r="A10273" s="134"/>
      <c r="B10273" s="120"/>
      <c r="C10273" s="120"/>
      <c r="D10273" s="120"/>
      <c r="E10273" s="135"/>
      <c r="F10273" s="30"/>
    </row>
    <row r="10274">
      <c r="A10274" s="134"/>
      <c r="B10274" s="120"/>
      <c r="C10274" s="120"/>
      <c r="D10274" s="120"/>
      <c r="E10274" s="135"/>
      <c r="F10274" s="30"/>
    </row>
    <row r="10275">
      <c r="A10275" s="134"/>
      <c r="B10275" s="120"/>
      <c r="C10275" s="120"/>
      <c r="D10275" s="120"/>
      <c r="E10275" s="135"/>
      <c r="F10275" s="30"/>
    </row>
    <row r="10276">
      <c r="A10276" s="134"/>
      <c r="B10276" s="120"/>
      <c r="C10276" s="120"/>
      <c r="D10276" s="120"/>
      <c r="E10276" s="135"/>
      <c r="F10276" s="30"/>
    </row>
    <row r="10277">
      <c r="A10277" s="134"/>
      <c r="B10277" s="120"/>
      <c r="C10277" s="120"/>
      <c r="D10277" s="120"/>
      <c r="E10277" s="135"/>
      <c r="F10277" s="30"/>
    </row>
    <row r="10278">
      <c r="A10278" s="134"/>
      <c r="B10278" s="120"/>
      <c r="C10278" s="120"/>
      <c r="D10278" s="120"/>
      <c r="E10278" s="135"/>
      <c r="F10278" s="30"/>
    </row>
    <row r="10279">
      <c r="A10279" s="134"/>
      <c r="B10279" s="120"/>
      <c r="C10279" s="120"/>
      <c r="D10279" s="120"/>
      <c r="E10279" s="135"/>
      <c r="F10279" s="30"/>
    </row>
    <row r="10280">
      <c r="A10280" s="134"/>
      <c r="B10280" s="120"/>
      <c r="C10280" s="120"/>
      <c r="D10280" s="120"/>
      <c r="E10280" s="135"/>
      <c r="F10280" s="30"/>
    </row>
    <row r="10281">
      <c r="A10281" s="134"/>
      <c r="B10281" s="120"/>
      <c r="C10281" s="120"/>
      <c r="D10281" s="120"/>
      <c r="E10281" s="135"/>
      <c r="F10281" s="30"/>
    </row>
    <row r="10282">
      <c r="A10282" s="134"/>
      <c r="B10282" s="120"/>
      <c r="C10282" s="120"/>
      <c r="D10282" s="120"/>
      <c r="E10282" s="135"/>
      <c r="F10282" s="30"/>
    </row>
    <row r="10283">
      <c r="A10283" s="134"/>
      <c r="B10283" s="120"/>
      <c r="C10283" s="120"/>
      <c r="D10283" s="120"/>
      <c r="E10283" s="135"/>
      <c r="F10283" s="30"/>
    </row>
    <row r="10284">
      <c r="A10284" s="134"/>
      <c r="B10284" s="120"/>
      <c r="C10284" s="120"/>
      <c r="D10284" s="120"/>
      <c r="E10284" s="135"/>
      <c r="F10284" s="30"/>
    </row>
    <row r="10285">
      <c r="A10285" s="134"/>
      <c r="B10285" s="120"/>
      <c r="C10285" s="120"/>
      <c r="D10285" s="120"/>
      <c r="E10285" s="135"/>
      <c r="F10285" s="30"/>
    </row>
    <row r="10286">
      <c r="A10286" s="134"/>
      <c r="B10286" s="120"/>
      <c r="C10286" s="120"/>
      <c r="D10286" s="120"/>
      <c r="E10286" s="135"/>
      <c r="F10286" s="30"/>
    </row>
    <row r="10287">
      <c r="A10287" s="134"/>
      <c r="B10287" s="120"/>
      <c r="C10287" s="120"/>
      <c r="D10287" s="120"/>
      <c r="E10287" s="135"/>
      <c r="F10287" s="30"/>
    </row>
    <row r="10288">
      <c r="A10288" s="134"/>
      <c r="B10288" s="120"/>
      <c r="C10288" s="120"/>
      <c r="D10288" s="120"/>
      <c r="E10288" s="135"/>
      <c r="F10288" s="30"/>
    </row>
    <row r="10289">
      <c r="A10289" s="134"/>
      <c r="B10289" s="120"/>
      <c r="C10289" s="120"/>
      <c r="D10289" s="120"/>
      <c r="E10289" s="135"/>
      <c r="F10289" s="30"/>
    </row>
    <row r="10290">
      <c r="A10290" s="134"/>
      <c r="B10290" s="120"/>
      <c r="C10290" s="120"/>
      <c r="D10290" s="120"/>
      <c r="E10290" s="135"/>
      <c r="F10290" s="30"/>
    </row>
    <row r="10291">
      <c r="A10291" s="134"/>
      <c r="B10291" s="120"/>
      <c r="C10291" s="120"/>
      <c r="D10291" s="120"/>
      <c r="E10291" s="135"/>
      <c r="F10291" s="30"/>
    </row>
    <row r="10292">
      <c r="A10292" s="134"/>
      <c r="B10292" s="120"/>
      <c r="C10292" s="120"/>
      <c r="D10292" s="120"/>
      <c r="E10292" s="135"/>
      <c r="F10292" s="30"/>
    </row>
    <row r="10293">
      <c r="A10293" s="134"/>
      <c r="B10293" s="120"/>
      <c r="C10293" s="120"/>
      <c r="D10293" s="120"/>
      <c r="E10293" s="135"/>
      <c r="F10293" s="30"/>
    </row>
    <row r="10294">
      <c r="A10294" s="134"/>
      <c r="B10294" s="120"/>
      <c r="C10294" s="120"/>
      <c r="D10294" s="120"/>
      <c r="E10294" s="135"/>
      <c r="F10294" s="30"/>
    </row>
    <row r="10295">
      <c r="A10295" s="134"/>
      <c r="B10295" s="120"/>
      <c r="C10295" s="120"/>
      <c r="D10295" s="120"/>
      <c r="E10295" s="135"/>
      <c r="F10295" s="30"/>
    </row>
    <row r="10296">
      <c r="A10296" s="134"/>
      <c r="B10296" s="120"/>
      <c r="C10296" s="120"/>
      <c r="D10296" s="120"/>
      <c r="E10296" s="135"/>
      <c r="F10296" s="30"/>
    </row>
    <row r="10297">
      <c r="A10297" s="134"/>
      <c r="B10297" s="120"/>
      <c r="C10297" s="120"/>
      <c r="D10297" s="120"/>
      <c r="E10297" s="135"/>
      <c r="F10297" s="30"/>
    </row>
    <row r="10298">
      <c r="A10298" s="134"/>
      <c r="B10298" s="120"/>
      <c r="C10298" s="120"/>
      <c r="D10298" s="120"/>
      <c r="E10298" s="135"/>
      <c r="F10298" s="30"/>
    </row>
    <row r="10299">
      <c r="A10299" s="134"/>
      <c r="B10299" s="120"/>
      <c r="C10299" s="120"/>
      <c r="D10299" s="120"/>
      <c r="E10299" s="135"/>
      <c r="F10299" s="30"/>
    </row>
    <row r="10300">
      <c r="A10300" s="134"/>
      <c r="B10300" s="120"/>
      <c r="C10300" s="120"/>
      <c r="D10300" s="120"/>
      <c r="E10300" s="135"/>
      <c r="F10300" s="30"/>
    </row>
    <row r="10301">
      <c r="A10301" s="134"/>
      <c r="B10301" s="120"/>
      <c r="C10301" s="120"/>
      <c r="D10301" s="120"/>
      <c r="E10301" s="135"/>
      <c r="F10301" s="30"/>
    </row>
    <row r="10302">
      <c r="A10302" s="134"/>
      <c r="B10302" s="120"/>
      <c r="C10302" s="120"/>
      <c r="D10302" s="120"/>
      <c r="E10302" s="135"/>
      <c r="F10302" s="30"/>
    </row>
    <row r="10303">
      <c r="A10303" s="134"/>
      <c r="B10303" s="120"/>
      <c r="C10303" s="120"/>
      <c r="D10303" s="120"/>
      <c r="E10303" s="135"/>
      <c r="F10303" s="30"/>
    </row>
    <row r="10304">
      <c r="A10304" s="134"/>
      <c r="B10304" s="120"/>
      <c r="C10304" s="120"/>
      <c r="D10304" s="120"/>
      <c r="E10304" s="135"/>
      <c r="F10304" s="30"/>
    </row>
    <row r="10305">
      <c r="A10305" s="134"/>
      <c r="B10305" s="120"/>
      <c r="C10305" s="120"/>
      <c r="D10305" s="120"/>
      <c r="E10305" s="135"/>
      <c r="F10305" s="30"/>
    </row>
    <row r="10306">
      <c r="A10306" s="134"/>
      <c r="B10306" s="120"/>
      <c r="C10306" s="120"/>
      <c r="D10306" s="120"/>
      <c r="E10306" s="135"/>
      <c r="F10306" s="30"/>
    </row>
    <row r="10307">
      <c r="A10307" s="134"/>
      <c r="B10307" s="120"/>
      <c r="C10307" s="120"/>
      <c r="D10307" s="120"/>
      <c r="E10307" s="135"/>
      <c r="F10307" s="30"/>
    </row>
    <row r="10308">
      <c r="A10308" s="134"/>
      <c r="B10308" s="120"/>
      <c r="C10308" s="120"/>
      <c r="D10308" s="120"/>
      <c r="E10308" s="135"/>
      <c r="F10308" s="30"/>
    </row>
    <row r="10309">
      <c r="A10309" s="134"/>
      <c r="B10309" s="120"/>
      <c r="C10309" s="120"/>
      <c r="D10309" s="120"/>
      <c r="E10309" s="135"/>
      <c r="F10309" s="30"/>
    </row>
    <row r="10310">
      <c r="A10310" s="134"/>
      <c r="B10310" s="120"/>
      <c r="C10310" s="120"/>
      <c r="D10310" s="120"/>
      <c r="E10310" s="135"/>
      <c r="F10310" s="30"/>
    </row>
    <row r="10311">
      <c r="A10311" s="134"/>
      <c r="B10311" s="120"/>
      <c r="C10311" s="120"/>
      <c r="D10311" s="120"/>
      <c r="E10311" s="135"/>
      <c r="F10311" s="30"/>
    </row>
    <row r="10312">
      <c r="A10312" s="134"/>
      <c r="B10312" s="120"/>
      <c r="C10312" s="120"/>
      <c r="D10312" s="120"/>
      <c r="E10312" s="135"/>
      <c r="F10312" s="30"/>
    </row>
    <row r="10313">
      <c r="A10313" s="134"/>
      <c r="B10313" s="120"/>
      <c r="C10313" s="120"/>
      <c r="D10313" s="120"/>
      <c r="E10313" s="135"/>
      <c r="F10313" s="30"/>
    </row>
    <row r="10314">
      <c r="A10314" s="134"/>
      <c r="B10314" s="120"/>
      <c r="C10314" s="120"/>
      <c r="D10314" s="120"/>
      <c r="E10314" s="135"/>
      <c r="F10314" s="30"/>
    </row>
    <row r="10315">
      <c r="A10315" s="134"/>
      <c r="B10315" s="120"/>
      <c r="C10315" s="120"/>
      <c r="D10315" s="120"/>
      <c r="E10315" s="135"/>
      <c r="F10315" s="30"/>
    </row>
    <row r="10316">
      <c r="A10316" s="134"/>
      <c r="B10316" s="120"/>
      <c r="C10316" s="120"/>
      <c r="D10316" s="120"/>
      <c r="E10316" s="135"/>
      <c r="F10316" s="30"/>
    </row>
    <row r="10317">
      <c r="A10317" s="134"/>
      <c r="B10317" s="120"/>
      <c r="C10317" s="120"/>
      <c r="D10317" s="120"/>
      <c r="E10317" s="135"/>
      <c r="F10317" s="30"/>
    </row>
    <row r="10318">
      <c r="A10318" s="134"/>
      <c r="B10318" s="120"/>
      <c r="C10318" s="120"/>
      <c r="D10318" s="120"/>
      <c r="E10318" s="135"/>
      <c r="F10318" s="30"/>
    </row>
    <row r="10319">
      <c r="A10319" s="134"/>
      <c r="B10319" s="120"/>
      <c r="C10319" s="120"/>
      <c r="D10319" s="120"/>
      <c r="E10319" s="135"/>
      <c r="F10319" s="30"/>
    </row>
    <row r="10320">
      <c r="A10320" s="134"/>
      <c r="B10320" s="120"/>
      <c r="C10320" s="120"/>
      <c r="D10320" s="120"/>
      <c r="E10320" s="135"/>
      <c r="F10320" s="30"/>
    </row>
    <row r="10321">
      <c r="A10321" s="134"/>
      <c r="B10321" s="120"/>
      <c r="C10321" s="120"/>
      <c r="D10321" s="120"/>
      <c r="E10321" s="135"/>
      <c r="F10321" s="30"/>
    </row>
    <row r="10322">
      <c r="A10322" s="134"/>
      <c r="B10322" s="120"/>
      <c r="C10322" s="120"/>
      <c r="D10322" s="120"/>
      <c r="E10322" s="135"/>
      <c r="F10322" s="30"/>
    </row>
    <row r="10323">
      <c r="A10323" s="134"/>
      <c r="B10323" s="120"/>
      <c r="C10323" s="120"/>
      <c r="D10323" s="120"/>
      <c r="E10323" s="135"/>
      <c r="F10323" s="30"/>
    </row>
    <row r="10324">
      <c r="A10324" s="134"/>
      <c r="B10324" s="120"/>
      <c r="C10324" s="120"/>
      <c r="D10324" s="120"/>
      <c r="E10324" s="135"/>
      <c r="F10324" s="30"/>
    </row>
    <row r="10325">
      <c r="A10325" s="134"/>
      <c r="B10325" s="120"/>
      <c r="C10325" s="120"/>
      <c r="D10325" s="120"/>
      <c r="E10325" s="135"/>
      <c r="F10325" s="30"/>
    </row>
    <row r="10326">
      <c r="A10326" s="134"/>
      <c r="B10326" s="120"/>
      <c r="C10326" s="120"/>
      <c r="D10326" s="120"/>
      <c r="E10326" s="135"/>
      <c r="F10326" s="30"/>
    </row>
    <row r="10327">
      <c r="A10327" s="134"/>
      <c r="B10327" s="120"/>
      <c r="C10327" s="120"/>
      <c r="D10327" s="120"/>
      <c r="E10327" s="135"/>
      <c r="F10327" s="30"/>
    </row>
    <row r="10328">
      <c r="A10328" s="134"/>
      <c r="B10328" s="120"/>
      <c r="C10328" s="120"/>
      <c r="D10328" s="120"/>
      <c r="E10328" s="135"/>
      <c r="F10328" s="30"/>
    </row>
    <row r="10329">
      <c r="A10329" s="134"/>
      <c r="B10329" s="120"/>
      <c r="C10329" s="120"/>
      <c r="D10329" s="120"/>
      <c r="E10329" s="135"/>
      <c r="F10329" s="30"/>
    </row>
    <row r="10330">
      <c r="A10330" s="134"/>
      <c r="B10330" s="120"/>
      <c r="C10330" s="120"/>
      <c r="D10330" s="120"/>
      <c r="E10330" s="135"/>
      <c r="F10330" s="30"/>
    </row>
    <row r="10331">
      <c r="A10331" s="134"/>
      <c r="B10331" s="120"/>
      <c r="C10331" s="120"/>
      <c r="D10331" s="120"/>
      <c r="E10331" s="135"/>
      <c r="F10331" s="30"/>
    </row>
    <row r="10332">
      <c r="A10332" s="134"/>
      <c r="B10332" s="120"/>
      <c r="C10332" s="120"/>
      <c r="D10332" s="120"/>
      <c r="E10332" s="135"/>
      <c r="F10332" s="30"/>
    </row>
    <row r="10333">
      <c r="A10333" s="134"/>
      <c r="B10333" s="120"/>
      <c r="C10333" s="120"/>
      <c r="D10333" s="120"/>
      <c r="E10333" s="135"/>
      <c r="F10333" s="30"/>
    </row>
    <row r="10334">
      <c r="A10334" s="134"/>
      <c r="B10334" s="120"/>
      <c r="C10334" s="120"/>
      <c r="D10334" s="120"/>
      <c r="E10334" s="135"/>
      <c r="F10334" s="30"/>
    </row>
    <row r="10335">
      <c r="A10335" s="134"/>
      <c r="B10335" s="120"/>
      <c r="C10335" s="120"/>
      <c r="D10335" s="120"/>
      <c r="E10335" s="135"/>
      <c r="F10335" s="30"/>
    </row>
    <row r="10336">
      <c r="A10336" s="134"/>
      <c r="B10336" s="120"/>
      <c r="C10336" s="120"/>
      <c r="D10336" s="120"/>
      <c r="E10336" s="135"/>
      <c r="F10336" s="30"/>
    </row>
    <row r="10337">
      <c r="A10337" s="134"/>
      <c r="B10337" s="120"/>
      <c r="C10337" s="120"/>
      <c r="D10337" s="120"/>
      <c r="E10337" s="135"/>
      <c r="F10337" s="30"/>
    </row>
    <row r="10338">
      <c r="A10338" s="134"/>
      <c r="B10338" s="120"/>
      <c r="C10338" s="120"/>
      <c r="D10338" s="120"/>
      <c r="E10338" s="135"/>
      <c r="F10338" s="30"/>
    </row>
    <row r="10339">
      <c r="A10339" s="134"/>
      <c r="B10339" s="120"/>
      <c r="C10339" s="120"/>
      <c r="D10339" s="120"/>
      <c r="E10339" s="135"/>
      <c r="F10339" s="30"/>
    </row>
    <row r="10340">
      <c r="A10340" s="134"/>
      <c r="B10340" s="120"/>
      <c r="C10340" s="120"/>
      <c r="D10340" s="120"/>
      <c r="E10340" s="135"/>
      <c r="F10340" s="30"/>
    </row>
    <row r="10341">
      <c r="A10341" s="134"/>
      <c r="B10341" s="120"/>
      <c r="C10341" s="120"/>
      <c r="D10341" s="120"/>
      <c r="E10341" s="135"/>
      <c r="F10341" s="30"/>
    </row>
    <row r="10342">
      <c r="A10342" s="134"/>
      <c r="B10342" s="120"/>
      <c r="C10342" s="120"/>
      <c r="D10342" s="120"/>
      <c r="E10342" s="135"/>
      <c r="F10342" s="30"/>
    </row>
    <row r="10343">
      <c r="A10343" s="134"/>
      <c r="B10343" s="120"/>
      <c r="C10343" s="120"/>
      <c r="D10343" s="120"/>
      <c r="E10343" s="135"/>
      <c r="F10343" s="30"/>
    </row>
    <row r="10344">
      <c r="A10344" s="134"/>
      <c r="B10344" s="120"/>
      <c r="C10344" s="120"/>
      <c r="D10344" s="120"/>
      <c r="E10344" s="135"/>
      <c r="F10344" s="30"/>
    </row>
    <row r="10345">
      <c r="A10345" s="134"/>
      <c r="B10345" s="120"/>
      <c r="C10345" s="120"/>
      <c r="D10345" s="120"/>
      <c r="E10345" s="135"/>
      <c r="F10345" s="30"/>
    </row>
    <row r="10346">
      <c r="A10346" s="134"/>
      <c r="B10346" s="120"/>
      <c r="C10346" s="120"/>
      <c r="D10346" s="120"/>
      <c r="E10346" s="135"/>
      <c r="F10346" s="30"/>
    </row>
    <row r="10347">
      <c r="A10347" s="134"/>
      <c r="B10347" s="120"/>
      <c r="C10347" s="120"/>
      <c r="D10347" s="120"/>
      <c r="E10347" s="135"/>
      <c r="F10347" s="30"/>
    </row>
    <row r="10348">
      <c r="A10348" s="134"/>
      <c r="B10348" s="120"/>
      <c r="C10348" s="120"/>
      <c r="D10348" s="120"/>
      <c r="E10348" s="135"/>
      <c r="F10348" s="30"/>
    </row>
    <row r="10349">
      <c r="A10349" s="134"/>
      <c r="B10349" s="120"/>
      <c r="C10349" s="120"/>
      <c r="D10349" s="120"/>
      <c r="E10349" s="135"/>
      <c r="F10349" s="30"/>
    </row>
    <row r="10350">
      <c r="A10350" s="134"/>
      <c r="B10350" s="120"/>
      <c r="C10350" s="120"/>
      <c r="D10350" s="120"/>
      <c r="E10350" s="135"/>
      <c r="F10350" s="30"/>
    </row>
    <row r="10351">
      <c r="A10351" s="134"/>
      <c r="B10351" s="120"/>
      <c r="C10351" s="120"/>
      <c r="D10351" s="120"/>
      <c r="E10351" s="135"/>
      <c r="F10351" s="30"/>
    </row>
    <row r="10352">
      <c r="A10352" s="134"/>
      <c r="B10352" s="120"/>
      <c r="C10352" s="120"/>
      <c r="D10352" s="120"/>
      <c r="E10352" s="135"/>
      <c r="F10352" s="30"/>
    </row>
    <row r="10353">
      <c r="A10353" s="134"/>
      <c r="B10353" s="120"/>
      <c r="C10353" s="120"/>
      <c r="D10353" s="120"/>
      <c r="E10353" s="135"/>
      <c r="F10353" s="30"/>
    </row>
    <row r="10354">
      <c r="A10354" s="134"/>
      <c r="B10354" s="120"/>
      <c r="C10354" s="120"/>
      <c r="D10354" s="120"/>
      <c r="E10354" s="135"/>
      <c r="F10354" s="30"/>
    </row>
    <row r="10355">
      <c r="A10355" s="134"/>
      <c r="B10355" s="120"/>
      <c r="C10355" s="120"/>
      <c r="D10355" s="120"/>
      <c r="E10355" s="135"/>
      <c r="F10355" s="30"/>
    </row>
    <row r="10356">
      <c r="A10356" s="134"/>
      <c r="B10356" s="120"/>
      <c r="C10356" s="120"/>
      <c r="D10356" s="120"/>
      <c r="E10356" s="135"/>
      <c r="F10356" s="30"/>
    </row>
    <row r="10357">
      <c r="A10357" s="134"/>
      <c r="B10357" s="120"/>
      <c r="C10357" s="120"/>
      <c r="D10357" s="120"/>
      <c r="E10357" s="135"/>
      <c r="F10357" s="30"/>
    </row>
    <row r="10358">
      <c r="A10358" s="134"/>
      <c r="B10358" s="120"/>
      <c r="C10358" s="120"/>
      <c r="D10358" s="120"/>
      <c r="E10358" s="135"/>
      <c r="F10358" s="30"/>
    </row>
    <row r="10359">
      <c r="A10359" s="134"/>
      <c r="B10359" s="120"/>
      <c r="C10359" s="120"/>
      <c r="D10359" s="120"/>
      <c r="E10359" s="135"/>
      <c r="F10359" s="30"/>
    </row>
    <row r="10360">
      <c r="A10360" s="134"/>
      <c r="B10360" s="120"/>
      <c r="C10360" s="120"/>
      <c r="D10360" s="120"/>
      <c r="E10360" s="135"/>
      <c r="F10360" s="30"/>
    </row>
    <row r="10361">
      <c r="A10361" s="134"/>
      <c r="B10361" s="120"/>
      <c r="C10361" s="120"/>
      <c r="D10361" s="120"/>
      <c r="E10361" s="135"/>
      <c r="F10361" s="30"/>
    </row>
    <row r="10362">
      <c r="A10362" s="134"/>
      <c r="B10362" s="120"/>
      <c r="C10362" s="120"/>
      <c r="D10362" s="120"/>
      <c r="E10362" s="135"/>
      <c r="F10362" s="30"/>
    </row>
    <row r="10363">
      <c r="A10363" s="134"/>
      <c r="B10363" s="120"/>
      <c r="C10363" s="120"/>
      <c r="D10363" s="120"/>
      <c r="E10363" s="135"/>
      <c r="F10363" s="30"/>
    </row>
    <row r="10364">
      <c r="A10364" s="134"/>
      <c r="B10364" s="120"/>
      <c r="C10364" s="120"/>
      <c r="D10364" s="120"/>
      <c r="E10364" s="135"/>
      <c r="F10364" s="30"/>
    </row>
    <row r="10365">
      <c r="A10365" s="134"/>
      <c r="B10365" s="120"/>
      <c r="C10365" s="120"/>
      <c r="D10365" s="120"/>
      <c r="E10365" s="135"/>
      <c r="F10365" s="30"/>
    </row>
    <row r="10366">
      <c r="A10366" s="134"/>
      <c r="B10366" s="120"/>
      <c r="C10366" s="120"/>
      <c r="D10366" s="120"/>
      <c r="E10366" s="135"/>
      <c r="F10366" s="30"/>
    </row>
    <row r="10367">
      <c r="A10367" s="134"/>
      <c r="B10367" s="120"/>
      <c r="C10367" s="120"/>
      <c r="D10367" s="120"/>
      <c r="E10367" s="135"/>
      <c r="F10367" s="30"/>
    </row>
    <row r="10368">
      <c r="A10368" s="134"/>
      <c r="B10368" s="120"/>
      <c r="C10368" s="120"/>
      <c r="D10368" s="120"/>
      <c r="E10368" s="135"/>
      <c r="F10368" s="30"/>
    </row>
    <row r="10369">
      <c r="A10369" s="134"/>
      <c r="B10369" s="120"/>
      <c r="C10369" s="120"/>
      <c r="D10369" s="120"/>
      <c r="E10369" s="135"/>
      <c r="F10369" s="30"/>
    </row>
    <row r="10370">
      <c r="A10370" s="134"/>
      <c r="B10370" s="120"/>
      <c r="C10370" s="120"/>
      <c r="D10370" s="120"/>
      <c r="E10370" s="135"/>
      <c r="F10370" s="30"/>
    </row>
    <row r="10371">
      <c r="A10371" s="134"/>
      <c r="B10371" s="120"/>
      <c r="C10371" s="120"/>
      <c r="D10371" s="120"/>
      <c r="E10371" s="135"/>
      <c r="F10371" s="30"/>
    </row>
    <row r="10372">
      <c r="A10372" s="134"/>
      <c r="B10372" s="120"/>
      <c r="C10372" s="120"/>
      <c r="D10372" s="120"/>
      <c r="E10372" s="135"/>
      <c r="F10372" s="30"/>
    </row>
    <row r="10373">
      <c r="A10373" s="134"/>
      <c r="B10373" s="120"/>
      <c r="C10373" s="120"/>
      <c r="D10373" s="120"/>
      <c r="E10373" s="135"/>
      <c r="F10373" s="30"/>
    </row>
    <row r="10374">
      <c r="A10374" s="134"/>
      <c r="B10374" s="120"/>
      <c r="C10374" s="120"/>
      <c r="D10374" s="120"/>
      <c r="E10374" s="135"/>
      <c r="F10374" s="30"/>
    </row>
    <row r="10375">
      <c r="A10375" s="134"/>
      <c r="B10375" s="120"/>
      <c r="C10375" s="120"/>
      <c r="D10375" s="120"/>
      <c r="E10375" s="135"/>
      <c r="F10375" s="30"/>
    </row>
    <row r="10376">
      <c r="A10376" s="134"/>
      <c r="B10376" s="120"/>
      <c r="C10376" s="120"/>
      <c r="D10376" s="120"/>
      <c r="E10376" s="135"/>
      <c r="F10376" s="30"/>
    </row>
    <row r="10377">
      <c r="A10377" s="134"/>
      <c r="B10377" s="120"/>
      <c r="C10377" s="120"/>
      <c r="D10377" s="120"/>
      <c r="E10377" s="135"/>
      <c r="F10377" s="30"/>
    </row>
    <row r="10378">
      <c r="A10378" s="134"/>
      <c r="B10378" s="120"/>
      <c r="C10378" s="120"/>
      <c r="D10378" s="120"/>
      <c r="E10378" s="135"/>
      <c r="F10378" s="30"/>
    </row>
    <row r="10379">
      <c r="A10379" s="134"/>
      <c r="B10379" s="120"/>
      <c r="C10379" s="120"/>
      <c r="D10379" s="120"/>
      <c r="E10379" s="135"/>
      <c r="F10379" s="30"/>
    </row>
    <row r="10380">
      <c r="A10380" s="134"/>
      <c r="B10380" s="120"/>
      <c r="C10380" s="120"/>
      <c r="D10380" s="120"/>
      <c r="E10380" s="135"/>
      <c r="F10380" s="30"/>
    </row>
    <row r="10381">
      <c r="A10381" s="134"/>
      <c r="B10381" s="120"/>
      <c r="C10381" s="120"/>
      <c r="D10381" s="120"/>
      <c r="E10381" s="135"/>
      <c r="F10381" s="30"/>
    </row>
    <row r="10382">
      <c r="A10382" s="134"/>
      <c r="B10382" s="120"/>
      <c r="C10382" s="120"/>
      <c r="D10382" s="120"/>
      <c r="E10382" s="135"/>
      <c r="F10382" s="30"/>
    </row>
    <row r="10383">
      <c r="A10383" s="134"/>
      <c r="B10383" s="120"/>
      <c r="C10383" s="120"/>
      <c r="D10383" s="120"/>
      <c r="E10383" s="135"/>
      <c r="F10383" s="30"/>
    </row>
    <row r="10384">
      <c r="A10384" s="134"/>
      <c r="B10384" s="120"/>
      <c r="C10384" s="120"/>
      <c r="D10384" s="120"/>
      <c r="E10384" s="135"/>
      <c r="F10384" s="30"/>
    </row>
    <row r="10385">
      <c r="A10385" s="134"/>
      <c r="B10385" s="120"/>
      <c r="C10385" s="120"/>
      <c r="D10385" s="120"/>
      <c r="E10385" s="135"/>
      <c r="F10385" s="30"/>
    </row>
    <row r="10386">
      <c r="A10386" s="134"/>
      <c r="B10386" s="120"/>
      <c r="C10386" s="120"/>
      <c r="D10386" s="120"/>
      <c r="E10386" s="135"/>
      <c r="F10386" s="30"/>
    </row>
    <row r="10387">
      <c r="A10387" s="134"/>
      <c r="B10387" s="120"/>
      <c r="C10387" s="120"/>
      <c r="D10387" s="120"/>
      <c r="E10387" s="135"/>
      <c r="F10387" s="30"/>
    </row>
    <row r="10388">
      <c r="A10388" s="134"/>
      <c r="B10388" s="120"/>
      <c r="C10388" s="120"/>
      <c r="D10388" s="120"/>
      <c r="E10388" s="135"/>
      <c r="F10388" s="30"/>
    </row>
    <row r="10389">
      <c r="A10389" s="134"/>
      <c r="B10389" s="120"/>
      <c r="C10389" s="120"/>
      <c r="D10389" s="120"/>
      <c r="E10389" s="135"/>
      <c r="F10389" s="30"/>
    </row>
    <row r="10390">
      <c r="A10390" s="134"/>
      <c r="B10390" s="120"/>
      <c r="C10390" s="120"/>
      <c r="D10390" s="120"/>
      <c r="E10390" s="135"/>
      <c r="F10390" s="30"/>
    </row>
    <row r="10391">
      <c r="A10391" s="134"/>
      <c r="B10391" s="120"/>
      <c r="C10391" s="120"/>
      <c r="D10391" s="120"/>
      <c r="E10391" s="135"/>
      <c r="F10391" s="30"/>
    </row>
    <row r="10392">
      <c r="A10392" s="134"/>
      <c r="B10392" s="120"/>
      <c r="C10392" s="120"/>
      <c r="D10392" s="120"/>
      <c r="E10392" s="135"/>
      <c r="F10392" s="30"/>
    </row>
    <row r="10393">
      <c r="A10393" s="134"/>
      <c r="B10393" s="120"/>
      <c r="C10393" s="120"/>
      <c r="D10393" s="120"/>
      <c r="E10393" s="135"/>
      <c r="F10393" s="30"/>
    </row>
    <row r="10394">
      <c r="A10394" s="134"/>
      <c r="B10394" s="120"/>
      <c r="C10394" s="120"/>
      <c r="D10394" s="120"/>
      <c r="E10394" s="135"/>
      <c r="F10394" s="30"/>
    </row>
    <row r="10395">
      <c r="A10395" s="134"/>
      <c r="B10395" s="120"/>
      <c r="C10395" s="120"/>
      <c r="D10395" s="120"/>
      <c r="E10395" s="135"/>
      <c r="F10395" s="30"/>
    </row>
    <row r="10396">
      <c r="A10396" s="134"/>
      <c r="B10396" s="120"/>
      <c r="C10396" s="120"/>
      <c r="D10396" s="120"/>
      <c r="E10396" s="135"/>
      <c r="F10396" s="30"/>
    </row>
    <row r="10397">
      <c r="A10397" s="134"/>
      <c r="B10397" s="120"/>
      <c r="C10397" s="120"/>
      <c r="D10397" s="120"/>
      <c r="E10397" s="135"/>
      <c r="F10397" s="30"/>
    </row>
    <row r="10398">
      <c r="A10398" s="134"/>
      <c r="B10398" s="120"/>
      <c r="C10398" s="120"/>
      <c r="D10398" s="120"/>
      <c r="E10398" s="135"/>
      <c r="F10398" s="30"/>
    </row>
    <row r="10399">
      <c r="A10399" s="134"/>
      <c r="B10399" s="120"/>
      <c r="C10399" s="120"/>
      <c r="D10399" s="120"/>
      <c r="E10399" s="135"/>
      <c r="F10399" s="30"/>
    </row>
    <row r="10400">
      <c r="A10400" s="134"/>
      <c r="B10400" s="120"/>
      <c r="C10400" s="120"/>
      <c r="D10400" s="120"/>
      <c r="E10400" s="135"/>
      <c r="F10400" s="30"/>
    </row>
    <row r="10401">
      <c r="A10401" s="134"/>
      <c r="B10401" s="120"/>
      <c r="C10401" s="120"/>
      <c r="D10401" s="120"/>
      <c r="E10401" s="135"/>
      <c r="F10401" s="30"/>
    </row>
    <row r="10402">
      <c r="A10402" s="134"/>
      <c r="B10402" s="120"/>
      <c r="C10402" s="120"/>
      <c r="D10402" s="120"/>
      <c r="E10402" s="135"/>
      <c r="F10402" s="30"/>
    </row>
    <row r="10403">
      <c r="A10403" s="134"/>
      <c r="B10403" s="120"/>
      <c r="C10403" s="120"/>
      <c r="D10403" s="120"/>
      <c r="E10403" s="135"/>
      <c r="F10403" s="30"/>
    </row>
    <row r="10404">
      <c r="A10404" s="134"/>
      <c r="B10404" s="120"/>
      <c r="C10404" s="120"/>
      <c r="D10404" s="120"/>
      <c r="E10404" s="135"/>
      <c r="F10404" s="30"/>
    </row>
    <row r="10405">
      <c r="A10405" s="134"/>
      <c r="B10405" s="120"/>
      <c r="C10405" s="120"/>
      <c r="D10405" s="120"/>
      <c r="E10405" s="135"/>
      <c r="F10405" s="30"/>
    </row>
    <row r="10406">
      <c r="A10406" s="134"/>
      <c r="B10406" s="120"/>
      <c r="C10406" s="120"/>
      <c r="D10406" s="120"/>
      <c r="E10406" s="135"/>
      <c r="F10406" s="30"/>
    </row>
    <row r="10407">
      <c r="A10407" s="134"/>
      <c r="B10407" s="120"/>
      <c r="C10407" s="120"/>
      <c r="D10407" s="120"/>
      <c r="E10407" s="135"/>
      <c r="F10407" s="30"/>
    </row>
    <row r="10408">
      <c r="A10408" s="134"/>
      <c r="B10408" s="120"/>
      <c r="C10408" s="120"/>
      <c r="D10408" s="120"/>
      <c r="E10408" s="135"/>
      <c r="F10408" s="30"/>
    </row>
    <row r="10409">
      <c r="A10409" s="134"/>
      <c r="B10409" s="120"/>
      <c r="C10409" s="120"/>
      <c r="D10409" s="120"/>
      <c r="E10409" s="135"/>
      <c r="F10409" s="30"/>
    </row>
    <row r="10410">
      <c r="A10410" s="134"/>
      <c r="B10410" s="120"/>
      <c r="C10410" s="120"/>
      <c r="D10410" s="120"/>
      <c r="E10410" s="135"/>
      <c r="F10410" s="30"/>
    </row>
    <row r="10411">
      <c r="A10411" s="134"/>
      <c r="B10411" s="120"/>
      <c r="C10411" s="120"/>
      <c r="D10411" s="120"/>
      <c r="E10411" s="135"/>
      <c r="F10411" s="30"/>
    </row>
    <row r="10412">
      <c r="A10412" s="134"/>
      <c r="B10412" s="120"/>
      <c r="C10412" s="120"/>
      <c r="D10412" s="120"/>
      <c r="E10412" s="135"/>
      <c r="F10412" s="30"/>
    </row>
    <row r="10413">
      <c r="A10413" s="134"/>
      <c r="B10413" s="120"/>
      <c r="C10413" s="120"/>
      <c r="D10413" s="120"/>
      <c r="E10413" s="135"/>
      <c r="F10413" s="30"/>
    </row>
    <row r="10414">
      <c r="A10414" s="134"/>
      <c r="B10414" s="120"/>
      <c r="C10414" s="120"/>
      <c r="D10414" s="120"/>
      <c r="E10414" s="135"/>
      <c r="F10414" s="30"/>
    </row>
    <row r="10415">
      <c r="A10415" s="134"/>
      <c r="B10415" s="120"/>
      <c r="C10415" s="120"/>
      <c r="D10415" s="120"/>
      <c r="E10415" s="135"/>
      <c r="F10415" s="30"/>
    </row>
    <row r="10416">
      <c r="A10416" s="134"/>
      <c r="B10416" s="120"/>
      <c r="C10416" s="120"/>
      <c r="D10416" s="120"/>
      <c r="E10416" s="135"/>
      <c r="F10416" s="30"/>
    </row>
    <row r="10417">
      <c r="A10417" s="134"/>
      <c r="B10417" s="120"/>
      <c r="C10417" s="120"/>
      <c r="D10417" s="120"/>
      <c r="E10417" s="135"/>
      <c r="F10417" s="30"/>
    </row>
    <row r="10418">
      <c r="A10418" s="134"/>
      <c r="B10418" s="120"/>
      <c r="C10418" s="120"/>
      <c r="D10418" s="120"/>
      <c r="E10418" s="135"/>
      <c r="F10418" s="30"/>
    </row>
    <row r="10419">
      <c r="A10419" s="134"/>
      <c r="B10419" s="120"/>
      <c r="C10419" s="120"/>
      <c r="D10419" s="120"/>
      <c r="E10419" s="135"/>
      <c r="F10419" s="30"/>
    </row>
    <row r="10420">
      <c r="A10420" s="134"/>
      <c r="B10420" s="120"/>
      <c r="C10420" s="120"/>
      <c r="D10420" s="120"/>
      <c r="E10420" s="135"/>
      <c r="F10420" s="30"/>
    </row>
    <row r="10421">
      <c r="A10421" s="134"/>
      <c r="B10421" s="120"/>
      <c r="C10421" s="120"/>
      <c r="D10421" s="120"/>
      <c r="E10421" s="135"/>
      <c r="F10421" s="30"/>
    </row>
    <row r="10422">
      <c r="A10422" s="134"/>
      <c r="B10422" s="120"/>
      <c r="C10422" s="120"/>
      <c r="D10422" s="120"/>
      <c r="E10422" s="135"/>
      <c r="F10422" s="30"/>
    </row>
    <row r="10423">
      <c r="A10423" s="134"/>
      <c r="B10423" s="120"/>
      <c r="C10423" s="120"/>
      <c r="D10423" s="120"/>
      <c r="E10423" s="135"/>
      <c r="F10423" s="30"/>
    </row>
    <row r="10424">
      <c r="A10424" s="134"/>
      <c r="B10424" s="120"/>
      <c r="C10424" s="120"/>
      <c r="D10424" s="120"/>
      <c r="E10424" s="135"/>
      <c r="F10424" s="30"/>
    </row>
    <row r="10425">
      <c r="A10425" s="134"/>
      <c r="B10425" s="120"/>
      <c r="C10425" s="120"/>
      <c r="D10425" s="120"/>
      <c r="E10425" s="135"/>
      <c r="F10425" s="30"/>
    </row>
    <row r="10426">
      <c r="A10426" s="134"/>
      <c r="B10426" s="120"/>
      <c r="C10426" s="120"/>
      <c r="D10426" s="120"/>
      <c r="E10426" s="135"/>
      <c r="F10426" s="30"/>
    </row>
    <row r="10427">
      <c r="A10427" s="134"/>
      <c r="B10427" s="120"/>
      <c r="C10427" s="120"/>
      <c r="D10427" s="120"/>
      <c r="E10427" s="135"/>
      <c r="F10427" s="30"/>
    </row>
    <row r="10428">
      <c r="A10428" s="134"/>
      <c r="B10428" s="120"/>
      <c r="C10428" s="120"/>
      <c r="D10428" s="120"/>
      <c r="E10428" s="135"/>
      <c r="F10428" s="30"/>
    </row>
    <row r="10429">
      <c r="A10429" s="134"/>
      <c r="B10429" s="120"/>
      <c r="C10429" s="120"/>
      <c r="D10429" s="120"/>
      <c r="E10429" s="135"/>
      <c r="F10429" s="30"/>
    </row>
    <row r="10430">
      <c r="A10430" s="134"/>
      <c r="B10430" s="120"/>
      <c r="C10430" s="120"/>
      <c r="D10430" s="120"/>
      <c r="E10430" s="135"/>
      <c r="F10430" s="30"/>
    </row>
    <row r="10431">
      <c r="A10431" s="134"/>
      <c r="B10431" s="120"/>
      <c r="C10431" s="120"/>
      <c r="D10431" s="120"/>
      <c r="E10431" s="135"/>
      <c r="F10431" s="30"/>
    </row>
    <row r="10432">
      <c r="A10432" s="134"/>
      <c r="B10432" s="120"/>
      <c r="C10432" s="120"/>
      <c r="D10432" s="120"/>
      <c r="E10432" s="135"/>
      <c r="F10432" s="30"/>
    </row>
    <row r="10433">
      <c r="A10433" s="134"/>
      <c r="B10433" s="120"/>
      <c r="C10433" s="120"/>
      <c r="D10433" s="120"/>
      <c r="E10433" s="135"/>
      <c r="F10433" s="30"/>
    </row>
    <row r="10434">
      <c r="A10434" s="134"/>
      <c r="B10434" s="120"/>
      <c r="C10434" s="120"/>
      <c r="D10434" s="120"/>
      <c r="E10434" s="135"/>
      <c r="F10434" s="30"/>
    </row>
    <row r="10435">
      <c r="A10435" s="134"/>
      <c r="B10435" s="120"/>
      <c r="C10435" s="120"/>
      <c r="D10435" s="120"/>
      <c r="E10435" s="135"/>
      <c r="F10435" s="30"/>
    </row>
    <row r="10436">
      <c r="A10436" s="134"/>
      <c r="B10436" s="120"/>
      <c r="C10436" s="120"/>
      <c r="D10436" s="120"/>
      <c r="E10436" s="135"/>
      <c r="F10436" s="30"/>
    </row>
    <row r="10437">
      <c r="A10437" s="134"/>
      <c r="B10437" s="120"/>
      <c r="C10437" s="120"/>
      <c r="D10437" s="120"/>
      <c r="E10437" s="135"/>
      <c r="F10437" s="30"/>
    </row>
    <row r="10438">
      <c r="A10438" s="134"/>
      <c r="B10438" s="120"/>
      <c r="C10438" s="120"/>
      <c r="D10438" s="120"/>
      <c r="E10438" s="135"/>
      <c r="F10438" s="30"/>
    </row>
    <row r="10439">
      <c r="A10439" s="134"/>
      <c r="B10439" s="120"/>
      <c r="C10439" s="120"/>
      <c r="D10439" s="120"/>
      <c r="E10439" s="135"/>
      <c r="F10439" s="30"/>
    </row>
    <row r="10440">
      <c r="A10440" s="134"/>
      <c r="B10440" s="120"/>
      <c r="C10440" s="120"/>
      <c r="D10440" s="120"/>
      <c r="E10440" s="135"/>
      <c r="F10440" s="30"/>
    </row>
    <row r="10441">
      <c r="A10441" s="134"/>
      <c r="B10441" s="120"/>
      <c r="C10441" s="120"/>
      <c r="D10441" s="120"/>
      <c r="E10441" s="135"/>
      <c r="F10441" s="30"/>
    </row>
    <row r="10442">
      <c r="A10442" s="134"/>
      <c r="B10442" s="120"/>
      <c r="C10442" s="120"/>
      <c r="D10442" s="120"/>
      <c r="E10442" s="135"/>
      <c r="F10442" s="30"/>
    </row>
    <row r="10443">
      <c r="A10443" s="134"/>
      <c r="B10443" s="120"/>
      <c r="C10443" s="120"/>
      <c r="D10443" s="120"/>
      <c r="E10443" s="135"/>
      <c r="F10443" s="30"/>
    </row>
    <row r="10444">
      <c r="A10444" s="134"/>
      <c r="B10444" s="120"/>
      <c r="C10444" s="120"/>
      <c r="D10444" s="120"/>
      <c r="E10444" s="135"/>
      <c r="F10444" s="30"/>
    </row>
    <row r="10445">
      <c r="A10445" s="134"/>
      <c r="B10445" s="120"/>
      <c r="C10445" s="120"/>
      <c r="D10445" s="120"/>
      <c r="E10445" s="135"/>
      <c r="F10445" s="30"/>
    </row>
    <row r="10446">
      <c r="A10446" s="134"/>
      <c r="B10446" s="120"/>
      <c r="C10446" s="120"/>
      <c r="D10446" s="120"/>
      <c r="E10446" s="135"/>
      <c r="F10446" s="30"/>
    </row>
    <row r="10447">
      <c r="A10447" s="134"/>
      <c r="B10447" s="120"/>
      <c r="C10447" s="120"/>
      <c r="D10447" s="120"/>
      <c r="E10447" s="135"/>
      <c r="F10447" s="30"/>
    </row>
    <row r="10448">
      <c r="A10448" s="134"/>
      <c r="B10448" s="120"/>
      <c r="C10448" s="120"/>
      <c r="D10448" s="120"/>
      <c r="E10448" s="135"/>
      <c r="F10448" s="30"/>
    </row>
    <row r="10449">
      <c r="A10449" s="134"/>
      <c r="B10449" s="120"/>
      <c r="C10449" s="120"/>
      <c r="D10449" s="120"/>
      <c r="E10449" s="135"/>
      <c r="F10449" s="30"/>
    </row>
    <row r="10450">
      <c r="A10450" s="134"/>
      <c r="B10450" s="120"/>
      <c r="C10450" s="120"/>
      <c r="D10450" s="120"/>
      <c r="E10450" s="135"/>
      <c r="F10450" s="30"/>
    </row>
    <row r="10451">
      <c r="A10451" s="134"/>
      <c r="B10451" s="120"/>
      <c r="C10451" s="120"/>
      <c r="D10451" s="120"/>
      <c r="E10451" s="135"/>
      <c r="F10451" s="30"/>
    </row>
    <row r="10452">
      <c r="A10452" s="134"/>
      <c r="B10452" s="120"/>
      <c r="C10452" s="120"/>
      <c r="D10452" s="120"/>
      <c r="E10452" s="135"/>
      <c r="F10452" s="30"/>
    </row>
    <row r="10453">
      <c r="A10453" s="134"/>
      <c r="B10453" s="120"/>
      <c r="C10453" s="120"/>
      <c r="D10453" s="120"/>
      <c r="E10453" s="135"/>
      <c r="F10453" s="30"/>
    </row>
    <row r="10454">
      <c r="A10454" s="134"/>
      <c r="B10454" s="120"/>
      <c r="C10454" s="120"/>
      <c r="D10454" s="120"/>
      <c r="E10454" s="135"/>
      <c r="F10454" s="30"/>
    </row>
    <row r="10455">
      <c r="A10455" s="134"/>
      <c r="B10455" s="120"/>
      <c r="C10455" s="120"/>
      <c r="D10455" s="120"/>
      <c r="E10455" s="135"/>
      <c r="F10455" s="30"/>
    </row>
    <row r="10456">
      <c r="A10456" s="134"/>
      <c r="B10456" s="120"/>
      <c r="C10456" s="120"/>
      <c r="D10456" s="120"/>
      <c r="E10456" s="135"/>
      <c r="F10456" s="30"/>
    </row>
    <row r="10457">
      <c r="A10457" s="134"/>
      <c r="B10457" s="120"/>
      <c r="C10457" s="120"/>
      <c r="D10457" s="120"/>
      <c r="E10457" s="135"/>
      <c r="F10457" s="30"/>
    </row>
    <row r="10458">
      <c r="A10458" s="134"/>
      <c r="B10458" s="120"/>
      <c r="C10458" s="120"/>
      <c r="D10458" s="120"/>
      <c r="E10458" s="135"/>
      <c r="F10458" s="30"/>
    </row>
    <row r="10459">
      <c r="A10459" s="134"/>
      <c r="B10459" s="120"/>
      <c r="C10459" s="120"/>
      <c r="D10459" s="120"/>
      <c r="E10459" s="135"/>
      <c r="F10459" s="30"/>
    </row>
    <row r="10460">
      <c r="A10460" s="134"/>
      <c r="B10460" s="120"/>
      <c r="C10460" s="120"/>
      <c r="D10460" s="120"/>
      <c r="E10460" s="135"/>
      <c r="F10460" s="30"/>
    </row>
    <row r="10461">
      <c r="A10461" s="134"/>
      <c r="B10461" s="120"/>
      <c r="C10461" s="120"/>
      <c r="D10461" s="120"/>
      <c r="E10461" s="135"/>
      <c r="F10461" s="30"/>
    </row>
    <row r="10462">
      <c r="A10462" s="134"/>
      <c r="B10462" s="120"/>
      <c r="C10462" s="120"/>
      <c r="D10462" s="120"/>
      <c r="E10462" s="135"/>
      <c r="F10462" s="30"/>
    </row>
    <row r="10463">
      <c r="A10463" s="134"/>
      <c r="B10463" s="120"/>
      <c r="C10463" s="120"/>
      <c r="D10463" s="120"/>
      <c r="E10463" s="135"/>
      <c r="F10463" s="30"/>
    </row>
    <row r="10464">
      <c r="A10464" s="134"/>
      <c r="B10464" s="120"/>
      <c r="C10464" s="120"/>
      <c r="D10464" s="120"/>
      <c r="E10464" s="135"/>
      <c r="F10464" s="30"/>
    </row>
    <row r="10465">
      <c r="A10465" s="134"/>
      <c r="B10465" s="120"/>
      <c r="C10465" s="120"/>
      <c r="D10465" s="120"/>
      <c r="E10465" s="135"/>
      <c r="F10465" s="30"/>
    </row>
    <row r="10466">
      <c r="A10466" s="134"/>
      <c r="B10466" s="120"/>
      <c r="C10466" s="120"/>
      <c r="D10466" s="120"/>
      <c r="E10466" s="135"/>
      <c r="F10466" s="30"/>
    </row>
    <row r="10467">
      <c r="A10467" s="134"/>
      <c r="B10467" s="120"/>
      <c r="C10467" s="120"/>
      <c r="D10467" s="120"/>
      <c r="E10467" s="135"/>
      <c r="F10467" s="30"/>
    </row>
    <row r="10468">
      <c r="A10468" s="134"/>
      <c r="B10468" s="120"/>
      <c r="C10468" s="120"/>
      <c r="D10468" s="120"/>
      <c r="E10468" s="135"/>
      <c r="F10468" s="30"/>
    </row>
    <row r="10469">
      <c r="A10469" s="134"/>
      <c r="B10469" s="120"/>
      <c r="C10469" s="120"/>
      <c r="D10469" s="120"/>
      <c r="E10469" s="135"/>
      <c r="F10469" s="30"/>
    </row>
    <row r="10470">
      <c r="A10470" s="134"/>
      <c r="B10470" s="120"/>
      <c r="C10470" s="120"/>
      <c r="D10470" s="120"/>
      <c r="E10470" s="135"/>
      <c r="F10470" s="30"/>
    </row>
    <row r="10471">
      <c r="A10471" s="134"/>
      <c r="B10471" s="120"/>
      <c r="C10471" s="120"/>
      <c r="D10471" s="120"/>
      <c r="E10471" s="135"/>
      <c r="F10471" s="30"/>
    </row>
    <row r="10472">
      <c r="A10472" s="134"/>
      <c r="B10472" s="120"/>
      <c r="C10472" s="120"/>
      <c r="D10472" s="120"/>
      <c r="E10472" s="135"/>
      <c r="F10472" s="30"/>
    </row>
    <row r="10473">
      <c r="A10473" s="134"/>
      <c r="B10473" s="120"/>
      <c r="C10473" s="120"/>
      <c r="D10473" s="120"/>
      <c r="E10473" s="135"/>
      <c r="F10473" s="30"/>
    </row>
    <row r="10474">
      <c r="A10474" s="134"/>
      <c r="B10474" s="120"/>
      <c r="C10474" s="120"/>
      <c r="D10474" s="120"/>
      <c r="E10474" s="135"/>
      <c r="F10474" s="30"/>
    </row>
    <row r="10475">
      <c r="A10475" s="134"/>
      <c r="B10475" s="120"/>
      <c r="C10475" s="120"/>
      <c r="D10475" s="120"/>
      <c r="E10475" s="135"/>
      <c r="F10475" s="30"/>
    </row>
    <row r="10476">
      <c r="A10476" s="134"/>
      <c r="B10476" s="120"/>
      <c r="C10476" s="120"/>
      <c r="D10476" s="120"/>
      <c r="E10476" s="135"/>
      <c r="F10476" s="30"/>
    </row>
    <row r="10477">
      <c r="A10477" s="134"/>
      <c r="B10477" s="120"/>
      <c r="C10477" s="120"/>
      <c r="D10477" s="120"/>
      <c r="E10477" s="135"/>
      <c r="F10477" s="30"/>
    </row>
    <row r="10478">
      <c r="A10478" s="134"/>
      <c r="B10478" s="120"/>
      <c r="C10478" s="120"/>
      <c r="D10478" s="120"/>
      <c r="E10478" s="135"/>
      <c r="F10478" s="30"/>
    </row>
    <row r="10479">
      <c r="A10479" s="134"/>
      <c r="B10479" s="120"/>
      <c r="C10479" s="120"/>
      <c r="D10479" s="120"/>
      <c r="E10479" s="135"/>
      <c r="F10479" s="30"/>
    </row>
    <row r="10480">
      <c r="A10480" s="134"/>
      <c r="B10480" s="120"/>
      <c r="C10480" s="120"/>
      <c r="D10480" s="120"/>
      <c r="E10480" s="135"/>
      <c r="F10480" s="30"/>
    </row>
    <row r="10481">
      <c r="A10481" s="134"/>
      <c r="B10481" s="120"/>
      <c r="C10481" s="120"/>
      <c r="D10481" s="120"/>
      <c r="E10481" s="135"/>
      <c r="F10481" s="30"/>
    </row>
    <row r="10482">
      <c r="A10482" s="134"/>
      <c r="B10482" s="120"/>
      <c r="C10482" s="120"/>
      <c r="D10482" s="120"/>
      <c r="E10482" s="135"/>
      <c r="F10482" s="30"/>
    </row>
    <row r="10483">
      <c r="A10483" s="134"/>
      <c r="B10483" s="120"/>
      <c r="C10483" s="120"/>
      <c r="D10483" s="120"/>
      <c r="E10483" s="135"/>
      <c r="F10483" s="30"/>
    </row>
    <row r="10484">
      <c r="A10484" s="134"/>
      <c r="B10484" s="120"/>
      <c r="C10484" s="120"/>
      <c r="D10484" s="120"/>
      <c r="E10484" s="135"/>
      <c r="F10484" s="30"/>
    </row>
    <row r="10485">
      <c r="A10485" s="134"/>
      <c r="B10485" s="120"/>
      <c r="C10485" s="120"/>
      <c r="D10485" s="120"/>
      <c r="E10485" s="135"/>
      <c r="F10485" s="30"/>
    </row>
    <row r="10486">
      <c r="A10486" s="134"/>
      <c r="B10486" s="120"/>
      <c r="C10486" s="120"/>
      <c r="D10486" s="120"/>
      <c r="E10486" s="135"/>
      <c r="F10486" s="30"/>
    </row>
    <row r="10487">
      <c r="A10487" s="134"/>
      <c r="B10487" s="120"/>
      <c r="C10487" s="120"/>
      <c r="D10487" s="120"/>
      <c r="E10487" s="135"/>
      <c r="F10487" s="30"/>
    </row>
    <row r="10488">
      <c r="A10488" s="134"/>
      <c r="B10488" s="120"/>
      <c r="C10488" s="120"/>
      <c r="D10488" s="120"/>
      <c r="E10488" s="135"/>
      <c r="F10488" s="30"/>
    </row>
    <row r="10489">
      <c r="A10489" s="134"/>
      <c r="B10489" s="120"/>
      <c r="C10489" s="120"/>
      <c r="D10489" s="120"/>
      <c r="E10489" s="135"/>
      <c r="F10489" s="30"/>
    </row>
    <row r="10490">
      <c r="A10490" s="134"/>
      <c r="B10490" s="120"/>
      <c r="C10490" s="120"/>
      <c r="D10490" s="120"/>
      <c r="E10490" s="135"/>
      <c r="F10490" s="30"/>
    </row>
    <row r="10491">
      <c r="A10491" s="134"/>
      <c r="B10491" s="120"/>
      <c r="C10491" s="120"/>
      <c r="D10491" s="120"/>
      <c r="E10491" s="135"/>
      <c r="F10491" s="30"/>
    </row>
    <row r="10492">
      <c r="A10492" s="134"/>
      <c r="B10492" s="120"/>
      <c r="C10492" s="120"/>
      <c r="D10492" s="120"/>
      <c r="E10492" s="135"/>
      <c r="F10492" s="30"/>
    </row>
    <row r="10493">
      <c r="A10493" s="134"/>
      <c r="B10493" s="120"/>
      <c r="C10493" s="120"/>
      <c r="D10493" s="120"/>
      <c r="E10493" s="135"/>
      <c r="F10493" s="30"/>
    </row>
    <row r="10494">
      <c r="A10494" s="134"/>
      <c r="B10494" s="120"/>
      <c r="C10494" s="120"/>
      <c r="D10494" s="120"/>
      <c r="E10494" s="135"/>
      <c r="F10494" s="30"/>
    </row>
    <row r="10495">
      <c r="A10495" s="134"/>
      <c r="B10495" s="120"/>
      <c r="C10495" s="120"/>
      <c r="D10495" s="120"/>
      <c r="E10495" s="135"/>
      <c r="F10495" s="30"/>
    </row>
    <row r="10496">
      <c r="A10496" s="134"/>
      <c r="B10496" s="120"/>
      <c r="C10496" s="120"/>
      <c r="D10496" s="120"/>
      <c r="E10496" s="135"/>
      <c r="F10496" s="30"/>
    </row>
    <row r="10497">
      <c r="A10497" s="134"/>
      <c r="B10497" s="120"/>
      <c r="C10497" s="120"/>
      <c r="D10497" s="120"/>
      <c r="E10497" s="135"/>
      <c r="F10497" s="30"/>
    </row>
    <row r="10498">
      <c r="A10498" s="134"/>
      <c r="B10498" s="120"/>
      <c r="C10498" s="120"/>
      <c r="D10498" s="120"/>
      <c r="E10498" s="135"/>
      <c r="F10498" s="30"/>
    </row>
    <row r="10499">
      <c r="A10499" s="134"/>
      <c r="B10499" s="120"/>
      <c r="C10499" s="120"/>
      <c r="D10499" s="120"/>
      <c r="E10499" s="135"/>
      <c r="F10499" s="30"/>
    </row>
    <row r="10500">
      <c r="A10500" s="134"/>
      <c r="B10500" s="120"/>
      <c r="C10500" s="120"/>
      <c r="D10500" s="120"/>
      <c r="E10500" s="135"/>
      <c r="F10500" s="30"/>
    </row>
    <row r="10501">
      <c r="A10501" s="134"/>
      <c r="B10501" s="120"/>
      <c r="C10501" s="120"/>
      <c r="D10501" s="120"/>
      <c r="E10501" s="135"/>
      <c r="F10501" s="30"/>
    </row>
    <row r="10502">
      <c r="A10502" s="134"/>
      <c r="B10502" s="120"/>
      <c r="C10502" s="120"/>
      <c r="D10502" s="120"/>
      <c r="E10502" s="135"/>
      <c r="F10502" s="30"/>
    </row>
    <row r="10503">
      <c r="A10503" s="134"/>
      <c r="B10503" s="120"/>
      <c r="C10503" s="120"/>
      <c r="D10503" s="120"/>
      <c r="E10503" s="135"/>
      <c r="F10503" s="30"/>
    </row>
    <row r="10504">
      <c r="A10504" s="134"/>
      <c r="B10504" s="120"/>
      <c r="C10504" s="120"/>
      <c r="D10504" s="120"/>
      <c r="E10504" s="135"/>
      <c r="F10504" s="30"/>
    </row>
    <row r="10505">
      <c r="A10505" s="134"/>
      <c r="B10505" s="120"/>
      <c r="C10505" s="120"/>
      <c r="D10505" s="120"/>
      <c r="E10505" s="135"/>
      <c r="F10505" s="30"/>
    </row>
    <row r="10506">
      <c r="A10506" s="134"/>
      <c r="B10506" s="120"/>
      <c r="C10506" s="120"/>
      <c r="D10506" s="120"/>
      <c r="E10506" s="135"/>
      <c r="F10506" s="30"/>
    </row>
    <row r="10507">
      <c r="A10507" s="134"/>
      <c r="B10507" s="120"/>
      <c r="C10507" s="120"/>
      <c r="D10507" s="120"/>
      <c r="E10507" s="135"/>
      <c r="F10507" s="30"/>
    </row>
    <row r="10508">
      <c r="A10508" s="134"/>
      <c r="B10508" s="120"/>
      <c r="C10508" s="120"/>
      <c r="D10508" s="120"/>
      <c r="E10508" s="135"/>
      <c r="F10508" s="30"/>
    </row>
    <row r="10509">
      <c r="A10509" s="134"/>
      <c r="B10509" s="120"/>
      <c r="C10509" s="120"/>
      <c r="D10509" s="120"/>
      <c r="E10509" s="135"/>
      <c r="F10509" s="30"/>
    </row>
    <row r="10510">
      <c r="A10510" s="134"/>
      <c r="B10510" s="120"/>
      <c r="C10510" s="120"/>
      <c r="D10510" s="120"/>
      <c r="E10510" s="135"/>
      <c r="F10510" s="30"/>
    </row>
    <row r="10511">
      <c r="A10511" s="134"/>
      <c r="B10511" s="120"/>
      <c r="C10511" s="120"/>
      <c r="D10511" s="120"/>
      <c r="E10511" s="135"/>
      <c r="F10511" s="30"/>
    </row>
    <row r="10512">
      <c r="A10512" s="134"/>
      <c r="B10512" s="120"/>
      <c r="C10512" s="120"/>
      <c r="D10512" s="120"/>
      <c r="E10512" s="135"/>
      <c r="F10512" s="30"/>
    </row>
    <row r="10513">
      <c r="A10513" s="134"/>
      <c r="B10513" s="120"/>
      <c r="C10513" s="120"/>
      <c r="D10513" s="120"/>
      <c r="E10513" s="135"/>
      <c r="F10513" s="30"/>
    </row>
    <row r="10514">
      <c r="A10514" s="134"/>
      <c r="B10514" s="120"/>
      <c r="C10514" s="120"/>
      <c r="D10514" s="120"/>
      <c r="E10514" s="135"/>
      <c r="F10514" s="30"/>
    </row>
    <row r="10515">
      <c r="A10515" s="134"/>
      <c r="B10515" s="120"/>
      <c r="C10515" s="120"/>
      <c r="D10515" s="120"/>
      <c r="E10515" s="135"/>
      <c r="F10515" s="30"/>
    </row>
    <row r="10516">
      <c r="A10516" s="134"/>
      <c r="B10516" s="120"/>
      <c r="C10516" s="120"/>
      <c r="D10516" s="120"/>
      <c r="E10516" s="135"/>
      <c r="F10516" s="30"/>
    </row>
    <row r="10517">
      <c r="A10517" s="134"/>
      <c r="B10517" s="120"/>
      <c r="C10517" s="120"/>
      <c r="D10517" s="120"/>
      <c r="E10517" s="135"/>
      <c r="F10517" s="30"/>
    </row>
    <row r="10518">
      <c r="A10518" s="134"/>
      <c r="B10518" s="120"/>
      <c r="C10518" s="120"/>
      <c r="D10518" s="120"/>
      <c r="E10518" s="135"/>
      <c r="F10518" s="30"/>
    </row>
  </sheetData>
  <autoFilter ref="$A$1:$F$9650"/>
  <drawing r:id="rId1"/>
</worksheet>
</file>